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2.xml" ContentType="application/vnd.openxmlformats-officedocument.drawing+xml"/>
  <Override PartName="/xl/comments1.xml" ContentType="application/vnd.openxmlformats-officedocument.spreadsheetml.comments+xml"/>
  <Override PartName="/xl/customProperty7.bin" ContentType="application/vnd.openxmlformats-officedocument.spreadsheetml.customProperty"/>
  <Override PartName="/xl/customProperty8.bin" ContentType="application/vnd.openxmlformats-officedocument.spreadsheetml.customProperty"/>
  <Override PartName="/xl/drawings/drawing3.xml" ContentType="application/vnd.openxmlformats-officedocument.drawing+xml"/>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drawings/drawing4.xml" ContentType="application/vnd.openxmlformats-officedocument.drawing+xml"/>
  <Override PartName="/xl/comments2.xml" ContentType="application/vnd.openxmlformats-officedocument.spreadsheetml.comments+xml"/>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omments3.xml" ContentType="application/vnd.openxmlformats-officedocument.spreadsheetml.comments+xml"/>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omments4.xml" ContentType="application/vnd.openxmlformats-officedocument.spreadsheetml.comments+xml"/>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omments5.xml" ContentType="application/vnd.openxmlformats-officedocument.spreadsheetml.comments+xml"/>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omments6.xml" ContentType="application/vnd.openxmlformats-officedocument.spreadsheetml.comments+xml"/>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omments7.xml" ContentType="application/vnd.openxmlformats-officedocument.spreadsheetml.comments+xml"/>
  <Override PartName="/xl/customProperty34.bin" ContentType="application/vnd.openxmlformats-officedocument.spreadsheetml.customProperty"/>
  <Override PartName="/xl/customProperty35.bin" ContentType="application/vnd.openxmlformats-officedocument.spreadsheetml.customProperty"/>
  <Override PartName="/xl/comments8.xml" ContentType="application/vnd.openxmlformats-officedocument.spreadsheetml.comments+xml"/>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omments9.xml" ContentType="application/vnd.openxmlformats-officedocument.spreadsheetml.comments+xml"/>
  <Override PartName="/xl/customProperty39.bin" ContentType="application/vnd.openxmlformats-officedocument.spreadsheetml.customProperty"/>
  <Override PartName="/xl/customProperty40.bin" ContentType="application/vnd.openxmlformats-officedocument.spreadsheetml.customProperty"/>
  <Override PartName="/xl/comments10.xml" ContentType="application/vnd.openxmlformats-officedocument.spreadsheetml.comments+xml"/>
  <Override PartName="/xl/customProperty41.bin" ContentType="application/vnd.openxmlformats-officedocument.spreadsheetml.customProperty"/>
  <Override PartName="/xl/customProperty42.bin" ContentType="application/vnd.openxmlformats-officedocument.spreadsheetml.customProperty"/>
  <Override PartName="/xl/comments11.xml" ContentType="application/vnd.openxmlformats-officedocument.spreadsheetml.comments+xml"/>
  <Override PartName="/xl/customProperty43.bin" ContentType="application/vnd.openxmlformats-officedocument.spreadsheetml.customProperty"/>
  <Override PartName="/xl/comments12.xml" ContentType="application/vnd.openxmlformats-officedocument.spreadsheetml.comments+xml"/>
  <Override PartName="/xl/customProperty44.bin" ContentType="application/vnd.openxmlformats-officedocument.spreadsheetml.customProperty"/>
  <Override PartName="/xl/comments13.xml" ContentType="application/vnd.openxmlformats-officedocument.spreadsheetml.comments+xml"/>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omments14.xml" ContentType="application/vnd.openxmlformats-officedocument.spreadsheetml.comments+xml"/>
  <Override PartName="/xl/customProperty48.bin" ContentType="application/vnd.openxmlformats-officedocument.spreadsheetml.customProperty"/>
  <Override PartName="/xl/comments15.xml" ContentType="application/vnd.openxmlformats-officedocument.spreadsheetml.comments+xml"/>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omments16.xml" ContentType="application/vnd.openxmlformats-officedocument.spreadsheetml.comments+xml"/>
  <Override PartName="/xl/customProperty55.bin" ContentType="application/vnd.openxmlformats-officedocument.spreadsheetml.customProperty"/>
  <Override PartName="/xl/comments17.xml" ContentType="application/vnd.openxmlformats-officedocument.spreadsheetml.comments+xml"/>
  <Override PartName="/xl/customProperty56.bin" ContentType="application/vnd.openxmlformats-officedocument.spreadsheetml.customProperty"/>
  <Override PartName="/xl/customProperty57.bin" ContentType="application/vnd.openxmlformats-officedocument.spreadsheetml.customProperty"/>
  <Override PartName="/xl/comments18.xml" ContentType="application/vnd.openxmlformats-officedocument.spreadsheetml.comments+xml"/>
  <Override PartName="/xl/customProperty58.bin" ContentType="application/vnd.openxmlformats-officedocument.spreadsheetml.customProperty"/>
  <Override PartName="/xl/customProperty59.bin" ContentType="application/vnd.openxmlformats-officedocument.spreadsheetml.customProperty"/>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CVaughan\Desktop\"/>
    </mc:Choice>
  </mc:AlternateContent>
  <bookViews>
    <workbookView xWindow="-120" yWindow="-120" windowWidth="29040" windowHeight="15840" firstSheet="14" activeTab="18"/>
  </bookViews>
  <sheets>
    <sheet name="INTERFACE" sheetId="78" r:id="rId1"/>
    <sheet name="Cover" sheetId="69" r:id="rId2"/>
    <sheet name="Drivers Tabs-&gt;" sheetId="70" r:id="rId3"/>
    <sheet name="Input" sheetId="29" r:id="rId4"/>
    <sheet name="Debt &amp; Cust Dep" sheetId="38" r:id="rId5"/>
    <sheet name="Input Plant" sheetId="49" r:id="rId6"/>
    <sheet name="Input Seg of CWIP" sheetId="54" r:id="rId7"/>
    <sheet name="Input Tax Rate" sheetId="52" r:id="rId8"/>
    <sheet name="Input WFNG" sheetId="16" r:id="rId9"/>
    <sheet name="Input IS ACCTS" sheetId="41" r:id="rId10"/>
    <sheet name="Input BS ACCTS" sheetId="40" r:id="rId11"/>
    <sheet name="Model Tabs -&gt;" sheetId="71" r:id="rId12"/>
    <sheet name="Bal Sheet" sheetId="15" r:id="rId13"/>
    <sheet name="IncomeStmt" sheetId="8" r:id="rId14"/>
    <sheet name="Cap Str 54.7%" sheetId="68" r:id="rId15"/>
    <sheet name="Int Synch" sheetId="3" r:id="rId16"/>
    <sheet name="Output Tabs-&gt;" sheetId="72" r:id="rId17"/>
    <sheet name="Market to Reg ROE" sheetId="75" r:id="rId18"/>
    <sheet name="Report" sheetId="1" r:id="rId19"/>
    <sheet name="Reconcil" sheetId="2" r:id="rId20"/>
    <sheet name="Comparison Report Tabs-&gt;" sheetId="73" r:id="rId21"/>
    <sheet name="COMP Prior Yr" sheetId="44" r:id="rId22"/>
    <sheet name="COMP Final Bud" sheetId="45" r:id="rId23"/>
    <sheet name="COMP Q1F Qrtly" sheetId="47" r:id="rId24"/>
    <sheet name="COMP Bud Qrtly" sheetId="60" r:id="rId25"/>
    <sheet name="COMP Q3F" sheetId="66" r:id="rId26"/>
    <sheet name="NOT UPDATED ---------&gt;" sheetId="74" r:id="rId27"/>
    <sheet name="Working Cap Comparison" sheetId="77" r:id="rId28"/>
    <sheet name="Report YE" sheetId="64" r:id="rId29"/>
    <sheet name="Reconcil YE" sheetId="65" r:id="rId30"/>
    <sheet name="AFUDC Sch A " sheetId="57" r:id="rId31"/>
    <sheet name="AFUDC Sch B" sheetId="56" r:id="rId32"/>
    <sheet name="AFUDC Sch C" sheetId="58" r:id="rId33"/>
    <sheet name="ROE Comparison" sheetId="76" r:id="rId34"/>
    <sheet name="COMP Org Bud Qrtly" sheetId="42" r:id="rId35"/>
    <sheet name="COMP Orginal Bud" sheetId="59" r:id="rId36"/>
    <sheet name="COMP Qrt vs prior Yr Qtr" sheetId="48" r:id="rId37"/>
    <sheet name="COMP 5+7F" sheetId="46" r:id="rId38"/>
  </sheets>
  <externalReferences>
    <externalReference r:id="rId39"/>
    <externalReference r:id="rId40"/>
    <externalReference r:id="rId41"/>
    <externalReference r:id="rId42"/>
    <externalReference r:id="rId43"/>
    <externalReference r:id="rId44"/>
    <externalReference r:id="rId45"/>
    <externalReference r:id="rId46"/>
  </externalReferences>
  <definedNames>
    <definedName name="_xlnm._FilterDatabase" localSheetId="10" hidden="1">'Input BS ACCTS'!$A$4:$DH$329</definedName>
    <definedName name="_xlnm._FilterDatabase" localSheetId="9" hidden="1">'Input IS ACCTS'!$A$4:$CU$4</definedName>
    <definedName name="Bal_Sheet">'Bal Sheet'!$A$1:$FF$109</definedName>
    <definedName name="dcHundred">100</definedName>
    <definedName name="dcMillions">1000000</definedName>
    <definedName name="dcMonthsinYear">12</definedName>
    <definedName name="dcThousands">1000</definedName>
    <definedName name="Interest_synch">'Int Synch'!$A$6:$E$37</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44420.558275463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Area" localSheetId="30">'AFUDC Sch A '!$A$1:$I$30</definedName>
    <definedName name="_xlnm.Print_Area" localSheetId="31">'AFUDC Sch B'!$A$1:$G$32</definedName>
    <definedName name="_xlnm.Print_Area" localSheetId="32">'AFUDC Sch C'!$A$1:$G$25</definedName>
    <definedName name="_xlnm.Print_Area" localSheetId="12">'Bal Sheet'!$A$1:$FF$113</definedName>
    <definedName name="_xlnm.Print_Area" localSheetId="37">'COMP 5+7F'!$A$1:$H$58</definedName>
    <definedName name="_xlnm.Print_Area" localSheetId="24">'COMP Bud Qrtly'!$A$1:$H$58</definedName>
    <definedName name="_xlnm.Print_Area" localSheetId="22">'COMP Final Bud'!$A$1:$H$59</definedName>
    <definedName name="_xlnm.Print_Area" localSheetId="34">'COMP Org Bud Qrtly'!$A$1:$H$58</definedName>
    <definedName name="_xlnm.Print_Area" localSheetId="35">'COMP Orginal Bud'!$A$1:$H$59</definedName>
    <definedName name="_xlnm.Print_Area" localSheetId="21">'COMP Prior Yr'!$A$1:$H$59</definedName>
    <definedName name="_xlnm.Print_Area" localSheetId="23">'COMP Q1F Qrtly'!$A$1:$H$58</definedName>
    <definedName name="_xlnm.Print_Area" localSheetId="25">'COMP Q3F'!$A$1:$H$58</definedName>
    <definedName name="_xlnm.Print_Area" localSheetId="36">'COMP Qrt vs prior Yr Qtr'!$A$1:$H$58</definedName>
    <definedName name="_xlnm.Print_Area" localSheetId="4">'Debt &amp; Cust Dep'!$A$1:$EM$94</definedName>
    <definedName name="_xlnm.Print_Area" localSheetId="13">IncomeStmt!$A$1:$EU$59</definedName>
    <definedName name="_xlnm.Print_Area" localSheetId="3">Input!$A$3:$FB$86</definedName>
    <definedName name="_xlnm.Print_Area" localSheetId="9">'Input IS ACCTS'!$B$4:$DI$374</definedName>
    <definedName name="_xlnm.Print_Area" localSheetId="5">'Input Plant'!$A$1:$CW$40</definedName>
    <definedName name="_xlnm.Print_Area" localSheetId="8">'Input WFNG'!$A$6:$G$267,'Input WFNG'!$S$258:$T$278</definedName>
    <definedName name="_xlnm.Print_Area" localSheetId="15">'Int Synch'!$A$1:$E$36</definedName>
    <definedName name="_xlnm.Print_Area" localSheetId="17">'Market to Reg ROE'!$A$1:$D$76</definedName>
    <definedName name="_xlnm.Print_Area" localSheetId="19">Reconcil!$A$6:$L$46</definedName>
    <definedName name="_xlnm.Print_Area" localSheetId="18">Report!$Y$108,Report!$A$45:$T$92,Report!$A$95:$V$145,Report!$A$148:$V$172,Report!$A$176:$L$231,Report!$A$238:$L$292,Report!$A$1:$O$42</definedName>
    <definedName name="_xlnm.Print_Area" localSheetId="28">'Report YE'!$A$94:$V$145</definedName>
    <definedName name="_xlnm.Print_Area" localSheetId="33">'ROE Comparison'!$A$2:$O$55</definedName>
    <definedName name="_xlnm.Print_Area" localSheetId="27">'Working Cap Comparison'!$A$1:$P$48</definedName>
    <definedName name="_xlnm.Print_Titles" localSheetId="12">'Bal Sheet'!$1:$6</definedName>
    <definedName name="_xlnm.Print_Titles" localSheetId="8">'Input WFNG'!$1:$11</definedName>
    <definedName name="Reconcil_Average">Reconcil!$A$1:$K$45</definedName>
    <definedName name="Reconcil_year_end">Reconcil!$A$50:$K$93</definedName>
    <definedName name="rngCopyMacro">INTERFACE!$K$24:$K$154</definedName>
    <definedName name="ROE_COMPARISON" localSheetId="37">'COMP 5+7F'!$A$2:$H$58</definedName>
    <definedName name="ROE_COMPARISON" localSheetId="24">'COMP Bud Qrtly'!$A$2:$H$58</definedName>
    <definedName name="ROE_COMPARISON" localSheetId="22">'COMP Final Bud'!$A$2:$H$59</definedName>
    <definedName name="ROE_COMPARISON" localSheetId="34">'COMP Org Bud Qrtly'!$A$2:$H$58</definedName>
    <definedName name="ROE_COMPARISON" localSheetId="35">'COMP Orginal Bud'!$A$2:$H$59</definedName>
    <definedName name="ROE_COMPARISON" localSheetId="21">'COMP Prior Yr'!$A$2:$H$59</definedName>
    <definedName name="ROE_COMPARISON" localSheetId="23">'COMP Q1F Qrtly'!$A$2:$H$58</definedName>
    <definedName name="ROE_COMPARISON" localSheetId="25">'COMP Q3F'!$A$2:$H$58</definedName>
    <definedName name="ROE_COMPARISON" localSheetId="36">'COMP Qrt vs prior Yr Qtr'!$A$2:$H$58</definedName>
    <definedName name="Sched_1" localSheetId="28">'Report YE'!$A$1:$O$42</definedName>
    <definedName name="Sched_1">Report!$A$1:$O$42</definedName>
    <definedName name="Sched_2" localSheetId="28">'Report YE'!$A$45:$U$91</definedName>
    <definedName name="Sched_2">Report!$A$45:$U$93</definedName>
    <definedName name="Sched_3" localSheetId="28">'Report YE'!$A$94:$V$145</definedName>
    <definedName name="Sched_3">Report!$A$95:$V$146</definedName>
    <definedName name="Sched_4" localSheetId="28">'Report YE'!$A$147:$V$177</definedName>
    <definedName name="Sched_4">Report!$A$148:$V$172</definedName>
    <definedName name="Sched_5" localSheetId="28">'Report YE'!$A$180:$M$233</definedName>
    <definedName name="Sched_5">Report!$A$176:$M$230</definedName>
    <definedName name="Sched_5_2" localSheetId="28">'Report YE'!$A$241:$M$294</definedName>
    <definedName name="Sched_5_2">Report!$A$238:$M$291</definedName>
    <definedName name="Summary_MSEA_Return" localSheetId="3">#REF!</definedName>
    <definedName name="Surv_support">#REF!</definedName>
    <definedName name="sysLastSave">INTERFACE!$K$25</definedName>
    <definedName name="sysUserName">INTERFACE!$K$24</definedName>
    <definedName name="Tolerance">INTERFACE!$F$3</definedName>
    <definedName name="Working_capital">Reconcil!$A$172:$H$211</definedName>
  </definedNames>
  <calcPr calcId="162913"/>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2" i="1" l="1"/>
  <c r="D72" i="1"/>
  <c r="EW60" i="29" l="1"/>
  <c r="EV60" i="29"/>
  <c r="AL50" i="54" l="1"/>
  <c r="AL49" i="54"/>
  <c r="AL48" i="54"/>
  <c r="AL47" i="54"/>
  <c r="AL46" i="54"/>
  <c r="AL45" i="54"/>
  <c r="AL44" i="54"/>
  <c r="AL43" i="54"/>
  <c r="AL42" i="54"/>
  <c r="AL41" i="54"/>
  <c r="AL40" i="54"/>
  <c r="AL39" i="54"/>
  <c r="AL38" i="54"/>
  <c r="AL37" i="54"/>
  <c r="AL36" i="54"/>
  <c r="AL35" i="54"/>
  <c r="AL34" i="54"/>
  <c r="AL33" i="54"/>
  <c r="AL32" i="54"/>
  <c r="AL31" i="54"/>
  <c r="AL30" i="54"/>
  <c r="AL29" i="54"/>
  <c r="AL28" i="54"/>
  <c r="AL27" i="54"/>
  <c r="AL26" i="54"/>
  <c r="AL25" i="54"/>
  <c r="AL24" i="54"/>
  <c r="AL23" i="54"/>
  <c r="AL22" i="54"/>
  <c r="AL21" i="54"/>
  <c r="AL20" i="54"/>
  <c r="AL19" i="54"/>
  <c r="AL18" i="54"/>
  <c r="AL17" i="54"/>
  <c r="AL16" i="54"/>
  <c r="AL15" i="54"/>
  <c r="AL14" i="54"/>
  <c r="AL13" i="54"/>
  <c r="AL8" i="54"/>
  <c r="AL6" i="54"/>
  <c r="DG189" i="40"/>
  <c r="DF189" i="40"/>
  <c r="DS61" i="38"/>
  <c r="DT61" i="38"/>
  <c r="DU61" i="38"/>
  <c r="DV61" i="38"/>
  <c r="DW61" i="38"/>
  <c r="DX61" i="38"/>
  <c r="DY61" i="38"/>
  <c r="DZ61" i="38"/>
  <c r="EA61" i="38"/>
  <c r="EB61" i="38"/>
  <c r="EC61" i="38"/>
  <c r="ED61" i="38"/>
  <c r="DF128" i="40"/>
  <c r="DG128" i="40"/>
  <c r="N74" i="1" l="1"/>
  <c r="CU33" i="49"/>
  <c r="CU32" i="49"/>
  <c r="CU31" i="49"/>
  <c r="CU30" i="49"/>
  <c r="CU29" i="49"/>
  <c r="EA57" i="38"/>
  <c r="EA60" i="38"/>
  <c r="EA59" i="38"/>
  <c r="EA58" i="38"/>
  <c r="DZ57" i="38"/>
  <c r="DZ60" i="38"/>
  <c r="DZ59" i="38"/>
  <c r="DZ58" i="38"/>
  <c r="DY57" i="38"/>
  <c r="DY60" i="38"/>
  <c r="DY59" i="38"/>
  <c r="DY58" i="38"/>
  <c r="DX57" i="38"/>
  <c r="DX60" i="38"/>
  <c r="DX59" i="38"/>
  <c r="DX58" i="38"/>
  <c r="DW57" i="38"/>
  <c r="DW60" i="38"/>
  <c r="DW59" i="38"/>
  <c r="DW58" i="38"/>
  <c r="DV57" i="38"/>
  <c r="DV60" i="38"/>
  <c r="DV59" i="38"/>
  <c r="DV58" i="38"/>
  <c r="DU57" i="38"/>
  <c r="DU60" i="38"/>
  <c r="DU59" i="38"/>
  <c r="DU58" i="38"/>
  <c r="DT57" i="38"/>
  <c r="DT60" i="38"/>
  <c r="DT59" i="38"/>
  <c r="DT58" i="38"/>
  <c r="DS60" i="38"/>
  <c r="DS59" i="38"/>
  <c r="DS58" i="38"/>
  <c r="DS57" i="38"/>
  <c r="DG2" i="41" l="1"/>
  <c r="DF2" i="41"/>
  <c r="DE2" i="41"/>
  <c r="DD2" i="41"/>
  <c r="DC2" i="41"/>
  <c r="DB2" i="41"/>
  <c r="DA2" i="41"/>
  <c r="CZ2" i="41"/>
  <c r="CY2" i="41"/>
  <c r="CX2" i="41"/>
  <c r="CW2" i="41"/>
  <c r="CV2" i="41"/>
  <c r="DH2" i="40"/>
  <c r="DG2" i="40"/>
  <c r="DF2" i="40"/>
  <c r="DE2" i="40"/>
  <c r="DD2" i="40"/>
  <c r="DC2" i="40"/>
  <c r="DB2" i="40"/>
  <c r="DA2" i="40"/>
  <c r="CZ2" i="40"/>
  <c r="CY2" i="40"/>
  <c r="CX2" i="40"/>
  <c r="CW2" i="40"/>
  <c r="FB81" i="29" l="1"/>
  <c r="FA81" i="29"/>
  <c r="EZ81" i="29"/>
  <c r="F74" i="1" l="1"/>
  <c r="Z157" i="1"/>
  <c r="EQ51" i="8" l="1"/>
  <c r="F123" i="1" l="1"/>
  <c r="H119" i="1"/>
  <c r="F115" i="1"/>
  <c r="J123" i="1"/>
  <c r="H123" i="1"/>
  <c r="B124" i="1" l="1"/>
  <c r="B123" i="1" s="1"/>
  <c r="B121" i="1"/>
  <c r="D52" i="3"/>
  <c r="D19" i="3"/>
  <c r="ET57" i="8" l="1"/>
  <c r="ET54" i="8"/>
  <c r="ET51" i="8"/>
  <c r="CT40" i="49" l="1"/>
  <c r="CS40" i="49"/>
  <c r="CR40" i="49"/>
  <c r="D21" i="8" l="1"/>
  <c r="ET21" i="8"/>
  <c r="II6" i="15"/>
  <c r="IH6" i="15"/>
  <c r="IG6" i="15"/>
  <c r="FF112" i="15" l="1"/>
  <c r="FF102" i="15"/>
  <c r="FF98" i="15"/>
  <c r="FF87" i="15"/>
  <c r="FF67" i="15"/>
  <c r="FF50" i="15"/>
  <c r="FF28" i="15"/>
  <c r="FF20" i="15"/>
  <c r="FF19" i="15"/>
  <c r="A65" i="40" l="1"/>
  <c r="A128" i="40"/>
  <c r="DH334" i="40"/>
  <c r="DG334" i="40"/>
  <c r="DF334" i="40"/>
  <c r="DH65" i="40" l="1"/>
  <c r="DG65" i="40"/>
  <c r="DF65" i="40"/>
  <c r="DH128" i="40" l="1"/>
  <c r="DG329" i="40"/>
  <c r="DG328" i="40"/>
  <c r="DG327" i="40"/>
  <c r="DG326" i="40"/>
  <c r="DG325" i="40"/>
  <c r="DG324" i="40"/>
  <c r="DG323" i="40"/>
  <c r="DG322" i="40"/>
  <c r="DG321" i="40"/>
  <c r="DG320" i="40"/>
  <c r="DG319" i="40"/>
  <c r="DG318" i="40"/>
  <c r="DG317" i="40"/>
  <c r="DG316" i="40"/>
  <c r="DG315" i="40"/>
  <c r="DG314" i="40"/>
  <c r="DG313" i="40"/>
  <c r="DG312" i="40"/>
  <c r="DG311" i="40"/>
  <c r="DG310" i="40"/>
  <c r="DG309" i="40"/>
  <c r="DG308" i="40"/>
  <c r="DG307" i="40"/>
  <c r="DG306" i="40"/>
  <c r="DG305" i="40"/>
  <c r="DG304" i="40"/>
  <c r="IH95" i="15" s="1"/>
  <c r="DG303" i="40"/>
  <c r="DG302" i="40"/>
  <c r="DG301" i="40"/>
  <c r="DG300" i="40"/>
  <c r="DG299" i="40"/>
  <c r="DG298" i="40"/>
  <c r="DG297" i="40"/>
  <c r="DG296" i="40"/>
  <c r="DG295" i="40"/>
  <c r="DG294" i="40"/>
  <c r="DG293" i="40"/>
  <c r="DG292" i="40"/>
  <c r="DG291" i="40"/>
  <c r="DG290" i="40"/>
  <c r="DG289" i="40"/>
  <c r="DG288" i="40"/>
  <c r="DG287" i="40"/>
  <c r="DG286" i="40"/>
  <c r="DG285" i="40"/>
  <c r="DG284" i="40"/>
  <c r="DG283" i="40"/>
  <c r="DG282" i="40"/>
  <c r="DG281" i="40"/>
  <c r="DG280" i="40"/>
  <c r="DG279" i="40"/>
  <c r="DG278" i="40"/>
  <c r="DG277" i="40"/>
  <c r="DG275" i="40"/>
  <c r="DG273" i="40"/>
  <c r="DG272" i="40"/>
  <c r="DG271" i="40"/>
  <c r="DG270" i="40"/>
  <c r="DG269" i="40"/>
  <c r="DG268" i="40"/>
  <c r="DG267" i="40"/>
  <c r="DG266" i="40"/>
  <c r="DG265" i="40"/>
  <c r="DG264" i="40"/>
  <c r="DG263" i="40"/>
  <c r="DG262" i="40"/>
  <c r="DG261" i="40"/>
  <c r="DG260" i="40"/>
  <c r="DG259" i="40"/>
  <c r="DG258" i="40"/>
  <c r="DG257" i="40"/>
  <c r="DG256" i="40"/>
  <c r="DG255" i="40"/>
  <c r="DG254" i="40"/>
  <c r="DG253" i="40"/>
  <c r="DG252" i="40"/>
  <c r="DG251" i="40"/>
  <c r="DG250" i="40"/>
  <c r="DG249" i="40"/>
  <c r="DG248" i="40"/>
  <c r="DG247" i="40"/>
  <c r="DG246" i="40"/>
  <c r="DG245" i="40"/>
  <c r="DG244" i="40"/>
  <c r="DG243" i="40"/>
  <c r="DG242" i="40"/>
  <c r="DG241" i="40"/>
  <c r="DG240" i="40"/>
  <c r="DG239" i="40"/>
  <c r="DG238" i="40"/>
  <c r="DG237" i="40"/>
  <c r="DG236" i="40"/>
  <c r="DG235" i="40"/>
  <c r="DG234" i="40"/>
  <c r="DG233" i="40"/>
  <c r="DG232" i="40"/>
  <c r="DG231" i="40"/>
  <c r="DG230" i="40"/>
  <c r="DG229" i="40"/>
  <c r="DG228" i="40"/>
  <c r="DG227" i="40"/>
  <c r="DG226" i="40"/>
  <c r="DG225" i="40"/>
  <c r="DG223" i="40"/>
  <c r="DG224" i="40"/>
  <c r="DG222" i="40"/>
  <c r="DG221" i="40"/>
  <c r="DG220" i="40"/>
  <c r="DG219" i="40"/>
  <c r="DG218" i="40"/>
  <c r="DG217" i="40"/>
  <c r="DG216" i="40"/>
  <c r="DG215" i="40"/>
  <c r="DG214" i="40"/>
  <c r="DG213" i="40"/>
  <c r="DG212" i="40"/>
  <c r="DG211" i="40"/>
  <c r="DG210" i="40"/>
  <c r="DG209" i="40"/>
  <c r="DG208" i="40"/>
  <c r="DG207" i="40"/>
  <c r="DG206" i="40"/>
  <c r="DG205" i="40"/>
  <c r="DG203" i="40"/>
  <c r="DG202" i="40"/>
  <c r="DG201" i="40"/>
  <c r="DG200" i="40"/>
  <c r="DG199" i="40"/>
  <c r="DG198" i="40"/>
  <c r="DG197" i="40"/>
  <c r="DG196" i="40"/>
  <c r="DG195" i="40"/>
  <c r="DG194" i="40"/>
  <c r="DG193" i="40"/>
  <c r="DG192" i="40"/>
  <c r="DG191" i="40"/>
  <c r="DG188" i="40"/>
  <c r="DG187" i="40"/>
  <c r="DG186" i="40"/>
  <c r="DG185" i="40"/>
  <c r="DG184" i="40"/>
  <c r="DG183" i="40"/>
  <c r="DG182" i="40"/>
  <c r="DG181" i="40"/>
  <c r="DG180" i="40"/>
  <c r="DG179" i="40"/>
  <c r="DG178" i="40"/>
  <c r="DG177" i="40"/>
  <c r="DG176" i="40"/>
  <c r="DG175" i="40"/>
  <c r="DG174" i="40"/>
  <c r="DG173" i="40"/>
  <c r="DG172" i="40"/>
  <c r="DG171" i="40"/>
  <c r="DG170" i="40"/>
  <c r="DG169" i="40"/>
  <c r="DG168" i="40"/>
  <c r="DG167" i="40"/>
  <c r="DG166" i="40"/>
  <c r="DG165" i="40"/>
  <c r="DG164" i="40"/>
  <c r="DG163" i="40"/>
  <c r="DG162" i="40"/>
  <c r="DG161" i="40"/>
  <c r="DG160" i="40"/>
  <c r="DG159" i="40"/>
  <c r="DG158" i="40"/>
  <c r="DG157" i="40"/>
  <c r="DG156" i="40"/>
  <c r="DG155" i="40"/>
  <c r="DG154" i="40"/>
  <c r="DG153" i="40"/>
  <c r="DG152" i="40"/>
  <c r="DG151" i="40"/>
  <c r="DG150" i="40"/>
  <c r="DG149" i="40"/>
  <c r="DG148" i="40"/>
  <c r="DG147" i="40"/>
  <c r="DG146" i="40"/>
  <c r="DG145" i="40"/>
  <c r="DG144" i="40"/>
  <c r="DG143" i="40"/>
  <c r="DG142" i="40"/>
  <c r="DG141" i="40"/>
  <c r="DG140" i="40"/>
  <c r="DG139" i="40"/>
  <c r="DG138" i="40"/>
  <c r="DG137" i="40"/>
  <c r="DG136" i="40"/>
  <c r="DG135" i="40"/>
  <c r="DG134" i="40"/>
  <c r="DG133" i="40"/>
  <c r="DG132" i="40"/>
  <c r="DG131" i="40"/>
  <c r="DG130" i="40"/>
  <c r="DG129" i="40"/>
  <c r="DG127" i="40"/>
  <c r="DG126" i="40"/>
  <c r="DG125" i="40"/>
  <c r="DG124" i="40"/>
  <c r="DG123" i="40"/>
  <c r="DG122" i="40"/>
  <c r="DG121" i="40"/>
  <c r="DG120" i="40"/>
  <c r="DG119" i="40"/>
  <c r="DG118" i="40"/>
  <c r="DG117" i="40"/>
  <c r="DG116" i="40"/>
  <c r="DG115" i="40"/>
  <c r="DG114" i="40"/>
  <c r="IH30" i="15" s="1"/>
  <c r="DG113" i="40"/>
  <c r="DG112" i="40"/>
  <c r="DG111" i="40"/>
  <c r="DG110" i="40"/>
  <c r="DG109" i="40"/>
  <c r="DG108" i="40"/>
  <c r="DG107" i="40"/>
  <c r="DG106" i="40"/>
  <c r="DG105" i="40"/>
  <c r="DG104" i="40"/>
  <c r="DG103" i="40"/>
  <c r="DG102" i="40"/>
  <c r="DG101" i="40"/>
  <c r="DG100" i="40"/>
  <c r="DG99" i="40"/>
  <c r="DG98" i="40"/>
  <c r="DG97" i="40"/>
  <c r="DG96" i="40"/>
  <c r="DG95" i="40"/>
  <c r="DG94" i="40"/>
  <c r="DG93" i="40"/>
  <c r="DG92" i="40"/>
  <c r="DG91" i="40"/>
  <c r="DG90" i="40"/>
  <c r="DG89" i="40"/>
  <c r="DG88" i="40"/>
  <c r="DG87" i="40"/>
  <c r="DG86" i="40"/>
  <c r="DG85" i="40"/>
  <c r="DG84" i="40"/>
  <c r="DG83" i="40"/>
  <c r="DG82" i="40"/>
  <c r="DG81" i="40"/>
  <c r="DG80" i="40"/>
  <c r="DG79" i="40"/>
  <c r="DG78" i="40"/>
  <c r="DG77" i="40"/>
  <c r="DG76" i="40"/>
  <c r="DG75" i="40"/>
  <c r="DG74" i="40"/>
  <c r="DG73" i="40"/>
  <c r="DG72" i="40"/>
  <c r="DG71" i="40"/>
  <c r="DG70" i="40"/>
  <c r="DG69" i="40"/>
  <c r="DG68" i="40"/>
  <c r="DG67" i="40"/>
  <c r="DG66" i="40"/>
  <c r="DG64" i="40"/>
  <c r="DG63" i="40"/>
  <c r="DG62" i="40"/>
  <c r="DG61" i="40"/>
  <c r="DG60" i="40"/>
  <c r="DG59" i="40"/>
  <c r="DG58" i="40"/>
  <c r="DG57" i="40"/>
  <c r="DG56" i="40"/>
  <c r="DG55" i="40"/>
  <c r="DG54" i="40"/>
  <c r="DG53" i="40"/>
  <c r="DG52" i="40"/>
  <c r="DG51" i="40"/>
  <c r="DG50" i="40"/>
  <c r="DG49" i="40"/>
  <c r="DG48" i="40"/>
  <c r="DG47" i="40"/>
  <c r="DG46" i="40"/>
  <c r="DG45" i="40"/>
  <c r="DG44" i="40"/>
  <c r="DG43" i="40"/>
  <c r="DG42" i="40"/>
  <c r="DG41" i="40"/>
  <c r="DG40" i="40"/>
  <c r="DG39" i="40"/>
  <c r="DG38" i="40"/>
  <c r="DG37" i="40"/>
  <c r="DG36" i="40"/>
  <c r="DG35" i="40"/>
  <c r="DG34" i="40"/>
  <c r="DG33" i="40"/>
  <c r="DG32" i="40"/>
  <c r="DG31" i="40"/>
  <c r="DG30" i="40"/>
  <c r="DG29" i="40"/>
  <c r="DG28" i="40"/>
  <c r="DG27" i="40"/>
  <c r="DG26" i="40"/>
  <c r="DG25" i="40"/>
  <c r="DG24" i="40"/>
  <c r="DG23" i="40"/>
  <c r="DG22" i="40"/>
  <c r="DG21" i="40"/>
  <c r="DG20" i="40"/>
  <c r="DG19" i="40"/>
  <c r="DG18" i="40"/>
  <c r="DG17" i="40"/>
  <c r="IH15" i="15" s="1"/>
  <c r="DG16" i="40"/>
  <c r="DG15" i="40"/>
  <c r="DG14" i="40"/>
  <c r="DG13" i="40"/>
  <c r="DG12" i="40"/>
  <c r="DG11" i="40"/>
  <c r="DG10" i="40"/>
  <c r="DG9" i="40"/>
  <c r="DG8" i="40"/>
  <c r="DG7" i="40"/>
  <c r="IH10" i="15" s="1"/>
  <c r="DG6" i="40"/>
  <c r="DG5" i="40"/>
  <c r="DF5" i="40"/>
  <c r="DF329" i="40"/>
  <c r="DF328" i="40"/>
  <c r="DF327" i="40"/>
  <c r="DF326" i="40"/>
  <c r="DF325" i="40"/>
  <c r="DF324" i="40"/>
  <c r="DF323" i="40"/>
  <c r="DF322" i="40"/>
  <c r="DF321" i="40"/>
  <c r="DF320" i="40"/>
  <c r="DF319" i="40"/>
  <c r="DF318" i="40"/>
  <c r="DF317" i="40"/>
  <c r="DF316" i="40"/>
  <c r="DF315" i="40"/>
  <c r="DF314" i="40"/>
  <c r="DF313" i="40"/>
  <c r="DF312" i="40"/>
  <c r="DF311" i="40"/>
  <c r="DF310" i="40"/>
  <c r="DF309" i="40"/>
  <c r="DF308" i="40"/>
  <c r="DF307" i="40"/>
  <c r="DF306" i="40"/>
  <c r="DF305" i="40"/>
  <c r="DF304" i="40"/>
  <c r="IG95" i="15" s="1"/>
  <c r="DF303" i="40"/>
  <c r="DF302" i="40"/>
  <c r="DF301" i="40"/>
  <c r="DF300" i="40"/>
  <c r="DF299" i="40"/>
  <c r="DF298" i="40"/>
  <c r="DF297" i="40"/>
  <c r="DF296" i="40"/>
  <c r="DF295" i="40"/>
  <c r="DF294" i="40"/>
  <c r="DF293" i="40"/>
  <c r="DF292" i="40"/>
  <c r="DF291" i="40"/>
  <c r="DF290" i="40"/>
  <c r="DF289" i="40"/>
  <c r="DF288" i="40"/>
  <c r="DF287" i="40"/>
  <c r="DF286" i="40"/>
  <c r="DF285" i="40"/>
  <c r="DF284" i="40"/>
  <c r="DF283" i="40"/>
  <c r="DF282" i="40"/>
  <c r="DF281" i="40"/>
  <c r="DF280" i="40"/>
  <c r="DF279" i="40"/>
  <c r="DF278" i="40"/>
  <c r="DF277" i="40"/>
  <c r="DF275" i="40"/>
  <c r="DF273" i="40"/>
  <c r="DF272" i="40"/>
  <c r="DF271" i="40"/>
  <c r="DF270" i="40"/>
  <c r="DF269" i="40"/>
  <c r="DF268" i="40"/>
  <c r="DF267" i="40"/>
  <c r="DF266" i="40"/>
  <c r="DF265" i="40"/>
  <c r="DF264" i="40"/>
  <c r="DF263" i="40"/>
  <c r="DF262" i="40"/>
  <c r="DF261" i="40"/>
  <c r="DF260" i="40"/>
  <c r="DF259" i="40"/>
  <c r="DF258" i="40"/>
  <c r="DF257" i="40"/>
  <c r="DF256" i="40"/>
  <c r="DF255" i="40"/>
  <c r="DF254" i="40"/>
  <c r="DF253" i="40"/>
  <c r="DF252" i="40"/>
  <c r="DF251" i="40"/>
  <c r="DF250" i="40"/>
  <c r="DF249" i="40"/>
  <c r="DF248" i="40"/>
  <c r="DF247" i="40"/>
  <c r="DF246" i="40"/>
  <c r="DF245" i="40"/>
  <c r="DF244" i="40"/>
  <c r="DF243" i="40"/>
  <c r="DF242" i="40"/>
  <c r="DF241" i="40"/>
  <c r="DF240" i="40"/>
  <c r="DF239" i="40"/>
  <c r="DF238" i="40"/>
  <c r="DF237" i="40"/>
  <c r="DF236" i="40"/>
  <c r="DF235" i="40"/>
  <c r="DF234" i="40"/>
  <c r="DF233" i="40"/>
  <c r="DF232" i="40"/>
  <c r="DF231" i="40"/>
  <c r="DF230" i="40"/>
  <c r="DF229" i="40"/>
  <c r="DF228" i="40"/>
  <c r="DF227" i="40"/>
  <c r="DF226" i="40"/>
  <c r="DF225" i="40"/>
  <c r="DF223" i="40"/>
  <c r="DF224" i="40"/>
  <c r="DF222" i="40"/>
  <c r="DF221" i="40"/>
  <c r="DF220" i="40"/>
  <c r="DF219" i="40"/>
  <c r="DF218" i="40"/>
  <c r="DF217" i="40"/>
  <c r="DF216" i="40"/>
  <c r="DF215" i="40"/>
  <c r="DF214" i="40"/>
  <c r="DF213" i="40"/>
  <c r="DF212" i="40"/>
  <c r="DF211" i="40"/>
  <c r="DF210" i="40"/>
  <c r="DF209" i="40"/>
  <c r="DF208" i="40"/>
  <c r="DF207" i="40"/>
  <c r="DF206" i="40"/>
  <c r="DF205" i="40"/>
  <c r="DF203" i="40"/>
  <c r="DF202" i="40"/>
  <c r="DF201" i="40"/>
  <c r="DF200" i="40"/>
  <c r="DF199" i="40"/>
  <c r="DF198" i="40"/>
  <c r="DF197" i="40"/>
  <c r="DF196" i="40"/>
  <c r="DF195" i="40"/>
  <c r="DF194" i="40"/>
  <c r="DF193" i="40"/>
  <c r="DF192" i="40"/>
  <c r="DF191" i="40"/>
  <c r="DF188" i="40"/>
  <c r="DF187" i="40"/>
  <c r="DF186" i="40"/>
  <c r="DF185" i="40"/>
  <c r="DF184" i="40"/>
  <c r="DF183" i="40"/>
  <c r="DF182" i="40"/>
  <c r="DF181" i="40"/>
  <c r="DF180" i="40"/>
  <c r="DF179" i="40"/>
  <c r="DF178" i="40"/>
  <c r="DF177" i="40"/>
  <c r="DF176" i="40"/>
  <c r="DF175" i="40"/>
  <c r="DF174" i="40"/>
  <c r="DF173" i="40"/>
  <c r="DF172" i="40"/>
  <c r="DF171" i="40"/>
  <c r="DF170" i="40"/>
  <c r="DF169" i="40"/>
  <c r="DF168" i="40"/>
  <c r="DF167" i="40"/>
  <c r="DF166" i="40"/>
  <c r="DF165" i="40"/>
  <c r="DF164" i="40"/>
  <c r="DF163" i="40"/>
  <c r="DF162" i="40"/>
  <c r="DF161" i="40"/>
  <c r="DF160" i="40"/>
  <c r="DF159" i="40"/>
  <c r="DF158" i="40"/>
  <c r="DF157" i="40"/>
  <c r="DF156" i="40"/>
  <c r="DF155" i="40"/>
  <c r="DF154" i="40"/>
  <c r="DF153" i="40"/>
  <c r="DF152" i="40"/>
  <c r="DF151" i="40"/>
  <c r="DF150" i="40"/>
  <c r="DF149" i="40"/>
  <c r="DF148" i="40"/>
  <c r="DF147" i="40"/>
  <c r="DF146" i="40"/>
  <c r="DF145" i="40"/>
  <c r="DF144" i="40"/>
  <c r="DF143" i="40"/>
  <c r="DF142" i="40"/>
  <c r="DF141" i="40"/>
  <c r="DF140" i="40"/>
  <c r="DF139" i="40"/>
  <c r="DF138" i="40"/>
  <c r="DF137" i="40"/>
  <c r="DF136" i="40"/>
  <c r="DF135" i="40"/>
  <c r="DF134" i="40"/>
  <c r="DF133" i="40"/>
  <c r="DF132" i="40"/>
  <c r="DF131" i="40"/>
  <c r="DF130" i="40"/>
  <c r="DF129" i="40"/>
  <c r="DF127" i="40"/>
  <c r="DF126" i="40"/>
  <c r="DF125" i="40"/>
  <c r="DF124" i="40"/>
  <c r="DF123" i="40"/>
  <c r="DF122" i="40"/>
  <c r="DF121" i="40"/>
  <c r="DF120" i="40"/>
  <c r="DF119" i="40"/>
  <c r="DF118" i="40"/>
  <c r="DF117" i="40"/>
  <c r="DF116" i="40"/>
  <c r="DF115" i="40"/>
  <c r="DF114" i="40"/>
  <c r="IG30" i="15" s="1"/>
  <c r="DF113" i="40"/>
  <c r="DF112" i="40"/>
  <c r="DF111" i="40"/>
  <c r="DF110" i="40"/>
  <c r="DF109" i="40"/>
  <c r="DF108" i="40"/>
  <c r="DF107" i="40"/>
  <c r="DF106" i="40"/>
  <c r="DF105" i="40"/>
  <c r="DF104" i="40"/>
  <c r="DF103" i="40"/>
  <c r="DF102" i="40"/>
  <c r="DF101" i="40"/>
  <c r="DF100" i="40"/>
  <c r="DF99" i="40"/>
  <c r="DF98" i="40"/>
  <c r="DF97" i="40"/>
  <c r="DF96" i="40"/>
  <c r="DF95" i="40"/>
  <c r="DF94" i="40"/>
  <c r="DF93" i="40"/>
  <c r="DF92" i="40"/>
  <c r="DF91" i="40"/>
  <c r="DF90" i="40"/>
  <c r="DF89" i="40"/>
  <c r="DF88" i="40"/>
  <c r="DF87" i="40"/>
  <c r="DF86" i="40"/>
  <c r="DF85" i="40"/>
  <c r="DF84" i="40"/>
  <c r="DF83" i="40"/>
  <c r="DF82" i="40"/>
  <c r="DF81" i="40"/>
  <c r="DF80" i="40"/>
  <c r="DF79" i="40"/>
  <c r="DF78" i="40"/>
  <c r="DF77" i="40"/>
  <c r="DF76" i="40"/>
  <c r="DF75" i="40"/>
  <c r="DF74" i="40"/>
  <c r="DF73" i="40"/>
  <c r="DF72" i="40"/>
  <c r="DF71" i="40"/>
  <c r="DF70" i="40"/>
  <c r="DF69" i="40"/>
  <c r="DF68" i="40"/>
  <c r="DF67" i="40"/>
  <c r="DF66" i="40"/>
  <c r="DF64" i="40"/>
  <c r="DF63" i="40"/>
  <c r="DF62" i="40"/>
  <c r="DF61" i="40"/>
  <c r="DF60" i="40"/>
  <c r="DF59" i="40"/>
  <c r="DF58" i="40"/>
  <c r="DF57" i="40"/>
  <c r="DF56" i="40"/>
  <c r="DF55" i="40"/>
  <c r="DF54" i="40"/>
  <c r="DF53" i="40"/>
  <c r="DF52" i="40"/>
  <c r="DF51" i="40"/>
  <c r="DF50" i="40"/>
  <c r="DF49" i="40"/>
  <c r="DF48" i="40"/>
  <c r="DF47" i="40"/>
  <c r="DF46" i="40"/>
  <c r="DF45" i="40"/>
  <c r="DF44" i="40"/>
  <c r="DF43" i="40"/>
  <c r="DF42" i="40"/>
  <c r="DF41" i="40"/>
  <c r="DF40" i="40"/>
  <c r="DF39" i="40"/>
  <c r="DF38" i="40"/>
  <c r="DF37" i="40"/>
  <c r="DF36" i="40"/>
  <c r="DF35" i="40"/>
  <c r="DF34" i="40"/>
  <c r="DF33" i="40"/>
  <c r="DF32" i="40"/>
  <c r="DF31" i="40"/>
  <c r="DF30" i="40"/>
  <c r="DF29" i="40"/>
  <c r="DF28" i="40"/>
  <c r="DF27" i="40"/>
  <c r="DF26" i="40"/>
  <c r="DF25" i="40"/>
  <c r="DF24" i="40"/>
  <c r="DF23" i="40"/>
  <c r="DF22" i="40"/>
  <c r="DF21" i="40"/>
  <c r="DF20" i="40"/>
  <c r="DF19" i="40"/>
  <c r="DF18" i="40"/>
  <c r="DF17" i="40"/>
  <c r="IG15" i="15" s="1"/>
  <c r="DF16" i="40"/>
  <c r="DF15" i="40"/>
  <c r="DF14" i="40"/>
  <c r="DF13" i="40"/>
  <c r="DF12" i="40"/>
  <c r="DF11" i="40"/>
  <c r="DF10" i="40"/>
  <c r="DF9" i="40"/>
  <c r="DF8" i="40"/>
  <c r="DF7" i="40"/>
  <c r="IG10" i="15" s="1"/>
  <c r="DF6" i="40"/>
  <c r="DH329" i="40"/>
  <c r="DH328" i="40"/>
  <c r="DH327" i="40"/>
  <c r="DH326" i="40"/>
  <c r="DH325" i="40"/>
  <c r="DH324" i="40"/>
  <c r="DH323" i="40"/>
  <c r="DH322" i="40"/>
  <c r="DH321" i="40"/>
  <c r="DH320" i="40"/>
  <c r="DH319" i="40"/>
  <c r="DH318" i="40"/>
  <c r="DH317" i="40"/>
  <c r="DH316" i="40"/>
  <c r="DH315" i="40"/>
  <c r="DH314" i="40"/>
  <c r="DH313" i="40"/>
  <c r="DH312" i="40"/>
  <c r="DH311" i="40"/>
  <c r="DH310" i="40"/>
  <c r="DH309" i="40"/>
  <c r="DH308" i="40"/>
  <c r="DH307" i="40"/>
  <c r="DH306" i="40"/>
  <c r="DH305" i="40"/>
  <c r="DH304" i="40"/>
  <c r="II95" i="15" s="1"/>
  <c r="DH303" i="40"/>
  <c r="DH302" i="40"/>
  <c r="DH301" i="40"/>
  <c r="DH300" i="40"/>
  <c r="DH299" i="40"/>
  <c r="DH298" i="40"/>
  <c r="DH297" i="40"/>
  <c r="DH296" i="40"/>
  <c r="DH295" i="40"/>
  <c r="DH294" i="40"/>
  <c r="DH293" i="40"/>
  <c r="DH292" i="40"/>
  <c r="DH291" i="40"/>
  <c r="DH290" i="40"/>
  <c r="DH289" i="40"/>
  <c r="DH288" i="40"/>
  <c r="DH287" i="40"/>
  <c r="DH286" i="40"/>
  <c r="DH285" i="40"/>
  <c r="DH284" i="40"/>
  <c r="DH283" i="40"/>
  <c r="DH282" i="40"/>
  <c r="DH281" i="40"/>
  <c r="DH280" i="40"/>
  <c r="DH279" i="40"/>
  <c r="DH278" i="40"/>
  <c r="DH277" i="40"/>
  <c r="DH275" i="40"/>
  <c r="DH273" i="40"/>
  <c r="DH272" i="40"/>
  <c r="DH271" i="40"/>
  <c r="DH270" i="40"/>
  <c r="DH269" i="40"/>
  <c r="DH268" i="40"/>
  <c r="DH267" i="40"/>
  <c r="DH266" i="40"/>
  <c r="DH265" i="40"/>
  <c r="DH264" i="40"/>
  <c r="DH263" i="40"/>
  <c r="DH262" i="40"/>
  <c r="DH261" i="40"/>
  <c r="DH260" i="40"/>
  <c r="DH259" i="40"/>
  <c r="DH258" i="40"/>
  <c r="DH257" i="40"/>
  <c r="DH256" i="40"/>
  <c r="DH255" i="40"/>
  <c r="DH254" i="40"/>
  <c r="DH253" i="40"/>
  <c r="DH252" i="40"/>
  <c r="DH251" i="40"/>
  <c r="DH250" i="40"/>
  <c r="DH249" i="40"/>
  <c r="DH248" i="40"/>
  <c r="DH247" i="40"/>
  <c r="DH246" i="40"/>
  <c r="DH245" i="40"/>
  <c r="DH244" i="40"/>
  <c r="DH243" i="40"/>
  <c r="DH242" i="40"/>
  <c r="DH241" i="40"/>
  <c r="DH240" i="40"/>
  <c r="DH239" i="40"/>
  <c r="DH238" i="40"/>
  <c r="DH237" i="40"/>
  <c r="DH236" i="40"/>
  <c r="DH235" i="40"/>
  <c r="DH234" i="40"/>
  <c r="DH233" i="40"/>
  <c r="DH232" i="40"/>
  <c r="DH231" i="40"/>
  <c r="DH230" i="40"/>
  <c r="DH229" i="40"/>
  <c r="DH228" i="40"/>
  <c r="DH227" i="40"/>
  <c r="DH226" i="40"/>
  <c r="DH225" i="40"/>
  <c r="DH223" i="40"/>
  <c r="DH224" i="40"/>
  <c r="DH222" i="40"/>
  <c r="DH221" i="40"/>
  <c r="DH220" i="40"/>
  <c r="DH219" i="40"/>
  <c r="DH218" i="40"/>
  <c r="DH217" i="40"/>
  <c r="DH216" i="40"/>
  <c r="DH215" i="40"/>
  <c r="DH214" i="40"/>
  <c r="DH213" i="40"/>
  <c r="DH212" i="40"/>
  <c r="DH211" i="40"/>
  <c r="DH210" i="40"/>
  <c r="DH209" i="40"/>
  <c r="DH208" i="40"/>
  <c r="DH207" i="40"/>
  <c r="DH206" i="40"/>
  <c r="DH205" i="40"/>
  <c r="DH203" i="40"/>
  <c r="DH202" i="40"/>
  <c r="DH201" i="40"/>
  <c r="DH200" i="40"/>
  <c r="DH199" i="40"/>
  <c r="DH198" i="40"/>
  <c r="DH197" i="40"/>
  <c r="DH196" i="40"/>
  <c r="DH195" i="40"/>
  <c r="DH194" i="40"/>
  <c r="DH193" i="40"/>
  <c r="DH192" i="40"/>
  <c r="DH191" i="40"/>
  <c r="DH189" i="40"/>
  <c r="DH188" i="40"/>
  <c r="DH187" i="40"/>
  <c r="DH186" i="40"/>
  <c r="DH185" i="40"/>
  <c r="DH184" i="40"/>
  <c r="DH183" i="40"/>
  <c r="DH182" i="40"/>
  <c r="DH181" i="40"/>
  <c r="DH180" i="40"/>
  <c r="DH179" i="40"/>
  <c r="DH178" i="40"/>
  <c r="DH177" i="40"/>
  <c r="DH176" i="40"/>
  <c r="DH175" i="40"/>
  <c r="DH174" i="40"/>
  <c r="DH173" i="40"/>
  <c r="DH172" i="40"/>
  <c r="DH171" i="40"/>
  <c r="DH170" i="40"/>
  <c r="DH169" i="40"/>
  <c r="DH168" i="40"/>
  <c r="DH167" i="40"/>
  <c r="DH166" i="40"/>
  <c r="DH165" i="40"/>
  <c r="DH164" i="40"/>
  <c r="DH163" i="40"/>
  <c r="DH162" i="40"/>
  <c r="DH161" i="40"/>
  <c r="DH160" i="40"/>
  <c r="DH159" i="40"/>
  <c r="DH158" i="40"/>
  <c r="DH157" i="40"/>
  <c r="DH156" i="40"/>
  <c r="DH155" i="40"/>
  <c r="DH154" i="40"/>
  <c r="DH153" i="40"/>
  <c r="DH152" i="40"/>
  <c r="DH151" i="40"/>
  <c r="DH150" i="40"/>
  <c r="DH149" i="40"/>
  <c r="DH148" i="40"/>
  <c r="DH147" i="40"/>
  <c r="DH146" i="40"/>
  <c r="DH145" i="40"/>
  <c r="DH144" i="40"/>
  <c r="DH143" i="40"/>
  <c r="DH142" i="40"/>
  <c r="DH141" i="40"/>
  <c r="DH140" i="40"/>
  <c r="DH139" i="40"/>
  <c r="DH138" i="40"/>
  <c r="DH137" i="40"/>
  <c r="DH136" i="40"/>
  <c r="DH135" i="40"/>
  <c r="DH134" i="40"/>
  <c r="DH133" i="40"/>
  <c r="DH132" i="40"/>
  <c r="DH131" i="40"/>
  <c r="DH130" i="40"/>
  <c r="DH129" i="40"/>
  <c r="DH127" i="40"/>
  <c r="DH126" i="40"/>
  <c r="DH125" i="40"/>
  <c r="DH124" i="40"/>
  <c r="DH123" i="40"/>
  <c r="DH122" i="40"/>
  <c r="DH121" i="40"/>
  <c r="DH120" i="40"/>
  <c r="DH119" i="40"/>
  <c r="DH118" i="40"/>
  <c r="DH117" i="40"/>
  <c r="DH116" i="40"/>
  <c r="DH115" i="40"/>
  <c r="DH114" i="40"/>
  <c r="II30" i="15" s="1"/>
  <c r="DH113" i="40"/>
  <c r="DH112" i="40"/>
  <c r="DH111" i="40"/>
  <c r="DH110" i="40"/>
  <c r="DH109" i="40"/>
  <c r="DH108" i="40"/>
  <c r="DH107" i="40"/>
  <c r="DH106" i="40"/>
  <c r="DH105" i="40"/>
  <c r="DH104" i="40"/>
  <c r="DH103" i="40"/>
  <c r="DH102" i="40"/>
  <c r="DH101" i="40"/>
  <c r="DH100" i="40"/>
  <c r="DH99" i="40"/>
  <c r="DH98" i="40"/>
  <c r="DH97" i="40"/>
  <c r="DH96" i="40"/>
  <c r="DH95" i="40"/>
  <c r="DH94" i="40"/>
  <c r="DH93" i="40"/>
  <c r="DH92" i="40"/>
  <c r="DH91" i="40"/>
  <c r="DH90" i="40"/>
  <c r="DH89" i="40"/>
  <c r="DH88" i="40"/>
  <c r="DH87" i="40"/>
  <c r="DH86" i="40"/>
  <c r="DH85" i="40"/>
  <c r="DH84" i="40"/>
  <c r="DH83" i="40"/>
  <c r="DH82" i="40"/>
  <c r="DH81" i="40"/>
  <c r="DH80" i="40"/>
  <c r="DH79" i="40"/>
  <c r="DH78" i="40"/>
  <c r="DH77" i="40"/>
  <c r="DH76" i="40"/>
  <c r="DH75" i="40"/>
  <c r="DH74" i="40"/>
  <c r="DH73" i="40"/>
  <c r="DH72" i="40"/>
  <c r="DH71" i="40"/>
  <c r="DH70" i="40"/>
  <c r="DH69" i="40"/>
  <c r="DH68" i="40"/>
  <c r="DH67" i="40"/>
  <c r="DH66" i="40"/>
  <c r="DH64" i="40"/>
  <c r="DH63" i="40"/>
  <c r="DH62" i="40"/>
  <c r="DH61" i="40"/>
  <c r="DH60" i="40"/>
  <c r="DH59" i="40"/>
  <c r="DH58" i="40"/>
  <c r="DH57" i="40"/>
  <c r="DH56" i="40"/>
  <c r="DH55" i="40"/>
  <c r="DH54" i="40"/>
  <c r="DH53" i="40"/>
  <c r="DH52" i="40"/>
  <c r="DH51" i="40"/>
  <c r="DH50" i="40"/>
  <c r="DH49" i="40"/>
  <c r="DH48" i="40"/>
  <c r="DH47" i="40"/>
  <c r="DH46" i="40"/>
  <c r="DH45" i="40"/>
  <c r="DH44" i="40"/>
  <c r="DH43" i="40"/>
  <c r="DH42" i="40"/>
  <c r="DH41" i="40"/>
  <c r="DH40" i="40"/>
  <c r="DH39" i="40"/>
  <c r="DH38" i="40"/>
  <c r="DH37" i="40"/>
  <c r="DH36" i="40"/>
  <c r="DH35" i="40"/>
  <c r="DH34" i="40"/>
  <c r="DH33" i="40"/>
  <c r="DH32" i="40"/>
  <c r="DH31" i="40"/>
  <c r="DH30" i="40"/>
  <c r="DH29" i="40"/>
  <c r="DH28" i="40"/>
  <c r="DH27" i="40"/>
  <c r="DH26" i="40"/>
  <c r="DH25" i="40"/>
  <c r="DH24" i="40"/>
  <c r="DH23" i="40"/>
  <c r="DH22" i="40"/>
  <c r="DH21" i="40"/>
  <c r="DH20" i="40"/>
  <c r="DH19" i="40"/>
  <c r="DH18" i="40"/>
  <c r="DH17" i="40"/>
  <c r="II15" i="15" s="1"/>
  <c r="DH16" i="40"/>
  <c r="DH15" i="40"/>
  <c r="DH14" i="40"/>
  <c r="DH13" i="40"/>
  <c r="DH12" i="40"/>
  <c r="DH11" i="40"/>
  <c r="DH10" i="40"/>
  <c r="DH9" i="40"/>
  <c r="DH8" i="40"/>
  <c r="DH7" i="40"/>
  <c r="II10" i="15" s="1"/>
  <c r="DH6" i="40"/>
  <c r="DH5" i="40"/>
  <c r="II47" i="15" l="1"/>
  <c r="II107" i="15" s="1"/>
  <c r="IG47" i="15"/>
  <c r="IG107" i="15" s="1"/>
  <c r="IH47" i="15"/>
  <c r="IH107" i="15" s="1"/>
  <c r="DF190" i="40"/>
  <c r="DF332" i="40" s="1"/>
  <c r="DG190" i="40"/>
  <c r="DG332" i="40" s="1"/>
  <c r="DH190" i="40"/>
  <c r="DH332" i="40" s="1"/>
  <c r="DH331" i="40"/>
  <c r="DG331" i="40"/>
  <c r="DF331" i="40"/>
  <c r="DG333" i="40" l="1"/>
  <c r="DF333" i="40"/>
  <c r="DH333" i="40"/>
  <c r="DH389" i="40" l="1"/>
  <c r="DH381" i="40"/>
  <c r="DH373" i="40"/>
  <c r="DH365" i="40"/>
  <c r="DH357" i="40"/>
  <c r="DH347" i="40"/>
  <c r="DH339" i="40"/>
  <c r="DG387" i="40"/>
  <c r="DG379" i="40"/>
  <c r="DG371" i="40"/>
  <c r="DG363" i="40"/>
  <c r="DG353" i="40"/>
  <c r="DG345" i="40"/>
  <c r="DG337" i="40"/>
  <c r="DH388" i="40"/>
  <c r="DH380" i="40"/>
  <c r="DH372" i="40"/>
  <c r="DH364" i="40"/>
  <c r="DH354" i="40"/>
  <c r="DH346" i="40"/>
  <c r="DH338" i="40"/>
  <c r="DG386" i="40"/>
  <c r="DG378" i="40"/>
  <c r="DG370" i="40"/>
  <c r="DG362" i="40"/>
  <c r="DG352" i="40"/>
  <c r="DG344" i="40"/>
  <c r="DG336" i="40"/>
  <c r="DH387" i="40"/>
  <c r="DH379" i="40"/>
  <c r="DH371" i="40"/>
  <c r="DH363" i="40"/>
  <c r="DH353" i="40"/>
  <c r="DH345" i="40"/>
  <c r="DH337" i="40"/>
  <c r="DG385" i="40"/>
  <c r="DG377" i="40"/>
  <c r="DG369" i="40"/>
  <c r="DG361" i="40"/>
  <c r="DG351" i="40"/>
  <c r="DG343" i="40"/>
  <c r="DG335" i="40"/>
  <c r="DH386" i="40"/>
  <c r="DH378" i="40"/>
  <c r="DH370" i="40"/>
  <c r="DH362" i="40"/>
  <c r="DH352" i="40"/>
  <c r="DH344" i="40"/>
  <c r="DH336" i="40"/>
  <c r="DG384" i="40"/>
  <c r="DG376" i="40"/>
  <c r="DG368" i="40"/>
  <c r="DG360" i="40"/>
  <c r="DG350" i="40"/>
  <c r="DG342" i="40"/>
  <c r="DH385" i="40"/>
  <c r="DH377" i="40"/>
  <c r="DH369" i="40"/>
  <c r="DH361" i="40"/>
  <c r="DH351" i="40"/>
  <c r="DH343" i="40"/>
  <c r="DH335" i="40"/>
  <c r="DH384" i="40"/>
  <c r="DH376" i="40"/>
  <c r="DH368" i="40"/>
  <c r="DH360" i="40"/>
  <c r="DH350" i="40"/>
  <c r="DH342" i="40"/>
  <c r="DG390" i="40"/>
  <c r="DG382" i="40"/>
  <c r="DG374" i="40"/>
  <c r="DG366" i="40"/>
  <c r="DG358" i="40"/>
  <c r="DG348" i="40"/>
  <c r="DG340" i="40"/>
  <c r="DH383" i="40"/>
  <c r="DH375" i="40"/>
  <c r="DH367" i="40"/>
  <c r="DH359" i="40"/>
  <c r="DH349" i="40"/>
  <c r="DH341" i="40"/>
  <c r="DG389" i="40"/>
  <c r="DG381" i="40"/>
  <c r="DG373" i="40"/>
  <c r="DG365" i="40"/>
  <c r="DG357" i="40"/>
  <c r="DG347" i="40"/>
  <c r="DG339" i="40"/>
  <c r="DH382" i="40"/>
  <c r="DG380" i="40"/>
  <c r="DG346" i="40"/>
  <c r="DF385" i="40"/>
  <c r="DF377" i="40"/>
  <c r="DF369" i="40"/>
  <c r="DF361" i="40"/>
  <c r="DF351" i="40"/>
  <c r="DF343" i="40"/>
  <c r="DF335" i="40"/>
  <c r="DH374" i="40"/>
  <c r="DG375" i="40"/>
  <c r="DG341" i="40"/>
  <c r="DF384" i="40"/>
  <c r="DF376" i="40"/>
  <c r="DF368" i="40"/>
  <c r="DF360" i="40"/>
  <c r="DF350" i="40"/>
  <c r="DF342" i="40"/>
  <c r="DH366" i="40"/>
  <c r="DG372" i="40"/>
  <c r="DG338" i="40"/>
  <c r="DF383" i="40"/>
  <c r="DF375" i="40"/>
  <c r="DF367" i="40"/>
  <c r="DF359" i="40"/>
  <c r="DF349" i="40"/>
  <c r="DF341" i="40"/>
  <c r="DH358" i="40"/>
  <c r="DG367" i="40"/>
  <c r="DF390" i="40"/>
  <c r="DF382" i="40"/>
  <c r="DF374" i="40"/>
  <c r="DF366" i="40"/>
  <c r="DF358" i="40"/>
  <c r="DF348" i="40"/>
  <c r="DF340" i="40"/>
  <c r="DH348" i="40"/>
  <c r="DG364" i="40"/>
  <c r="DF389" i="40"/>
  <c r="DF381" i="40"/>
  <c r="DF373" i="40"/>
  <c r="DF365" i="40"/>
  <c r="DF357" i="40"/>
  <c r="DF347" i="40"/>
  <c r="DF339" i="40"/>
  <c r="DG388" i="40"/>
  <c r="DG354" i="40"/>
  <c r="DF387" i="40"/>
  <c r="FC95" i="15" s="1"/>
  <c r="DF379" i="40"/>
  <c r="DF371" i="40"/>
  <c r="DF363" i="40"/>
  <c r="DF353" i="40"/>
  <c r="DF345" i="40"/>
  <c r="DF337" i="40"/>
  <c r="DH390" i="40"/>
  <c r="DG383" i="40"/>
  <c r="DF378" i="40"/>
  <c r="DF344" i="40"/>
  <c r="DF380" i="40"/>
  <c r="DF346" i="40"/>
  <c r="DG359" i="40"/>
  <c r="DF372" i="40"/>
  <c r="DF338" i="40"/>
  <c r="DF388" i="40"/>
  <c r="DF354" i="40"/>
  <c r="DG349" i="40"/>
  <c r="DF370" i="40"/>
  <c r="DF336" i="40"/>
  <c r="DF364" i="40"/>
  <c r="DF362" i="40"/>
  <c r="DH340" i="40"/>
  <c r="DF386" i="40"/>
  <c r="DF352" i="40"/>
  <c r="DF393" i="40" l="1"/>
  <c r="DH393" i="40"/>
  <c r="DG393" i="40"/>
  <c r="DF397" i="40"/>
  <c r="DF392" i="40"/>
  <c r="DF402" i="40"/>
  <c r="DH395" i="40"/>
  <c r="DH399" i="40"/>
  <c r="DH400" i="40" s="1"/>
  <c r="DG392" i="40"/>
  <c r="DG397" i="40"/>
  <c r="DG402" i="40"/>
  <c r="DF399" i="40"/>
  <c r="DF400" i="40" s="1"/>
  <c r="DF395" i="40"/>
  <c r="DG395" i="40"/>
  <c r="DG399" i="40"/>
  <c r="DG400" i="40" s="1"/>
  <c r="DH392" i="40"/>
  <c r="DH397" i="40"/>
  <c r="DH402" i="40"/>
  <c r="DH398" i="40" l="1"/>
  <c r="II108" i="15"/>
  <c r="II109" i="15" s="1"/>
  <c r="DF398" i="40"/>
  <c r="IG108" i="15"/>
  <c r="IG109" i="15" s="1"/>
  <c r="DG398" i="40"/>
  <c r="IH108" i="15"/>
  <c r="IH109" i="15" s="1"/>
  <c r="DH514" i="41"/>
  <c r="DH456" i="41"/>
  <c r="DF426" i="41"/>
  <c r="DF437" i="41"/>
  <c r="DF436" i="41"/>
  <c r="DF435" i="41"/>
  <c r="DF434" i="41"/>
  <c r="DF433" i="41"/>
  <c r="DF432" i="41"/>
  <c r="DF431" i="41"/>
  <c r="DF430" i="41"/>
  <c r="DF429" i="41"/>
  <c r="DF428" i="41"/>
  <c r="DF427" i="41"/>
  <c r="DE5" i="41"/>
  <c r="DG423" i="41"/>
  <c r="DG422" i="41"/>
  <c r="DG421" i="41"/>
  <c r="DG420" i="41"/>
  <c r="DG419" i="41"/>
  <c r="DG418" i="41"/>
  <c r="DG417" i="41"/>
  <c r="DG416" i="41"/>
  <c r="DG415" i="41"/>
  <c r="DG414" i="41"/>
  <c r="DG413" i="41"/>
  <c r="DG412" i="41"/>
  <c r="DG411" i="41"/>
  <c r="DG410" i="41"/>
  <c r="DG409" i="41"/>
  <c r="DG408" i="41"/>
  <c r="DG407" i="41"/>
  <c r="DG406" i="41"/>
  <c r="DG405" i="41"/>
  <c r="DG404" i="41"/>
  <c r="DG403" i="41"/>
  <c r="DG402" i="41"/>
  <c r="DG401" i="41"/>
  <c r="DG400" i="41"/>
  <c r="DG399" i="41"/>
  <c r="DG398" i="41"/>
  <c r="DG397" i="41"/>
  <c r="DG396" i="41"/>
  <c r="DG395" i="41"/>
  <c r="DG394" i="41"/>
  <c r="DG393" i="41"/>
  <c r="DG392" i="41"/>
  <c r="ED60" i="38" s="1"/>
  <c r="DG391" i="41"/>
  <c r="DG390" i="41"/>
  <c r="DG389" i="41"/>
  <c r="DG388" i="41"/>
  <c r="DG387" i="41"/>
  <c r="DG386" i="41"/>
  <c r="DG385" i="41"/>
  <c r="DG384" i="41"/>
  <c r="ED59" i="38" s="1"/>
  <c r="DG383" i="41"/>
  <c r="ED58" i="38" s="1"/>
  <c r="DG382" i="41"/>
  <c r="DG381" i="41"/>
  <c r="ED57" i="38" s="1"/>
  <c r="DG380" i="41"/>
  <c r="DG379" i="41"/>
  <c r="DG378" i="41"/>
  <c r="DG377" i="41"/>
  <c r="DG376" i="41"/>
  <c r="DG375" i="41"/>
  <c r="DG374" i="41"/>
  <c r="DG373" i="41"/>
  <c r="DG372" i="41"/>
  <c r="DG371" i="41"/>
  <c r="DG370" i="41"/>
  <c r="DG369" i="41"/>
  <c r="DG368" i="41"/>
  <c r="DG367" i="41"/>
  <c r="DG366" i="41"/>
  <c r="DG365" i="41"/>
  <c r="DG364" i="41"/>
  <c r="DG363" i="41"/>
  <c r="DG362" i="41"/>
  <c r="DG361" i="41"/>
  <c r="DG360" i="41"/>
  <c r="DG359" i="41"/>
  <c r="DG358" i="41"/>
  <c r="DG357" i="41"/>
  <c r="DG356" i="41"/>
  <c r="DG355" i="41"/>
  <c r="DG354" i="41"/>
  <c r="DG353" i="41"/>
  <c r="DG352" i="41"/>
  <c r="DG351" i="41"/>
  <c r="DG350" i="41"/>
  <c r="DG349" i="41"/>
  <c r="DG348" i="41"/>
  <c r="DG347" i="41"/>
  <c r="DG346" i="41"/>
  <c r="DG345" i="41"/>
  <c r="DG344" i="41"/>
  <c r="DG343" i="41"/>
  <c r="DG342" i="41"/>
  <c r="DG341" i="41"/>
  <c r="DG340" i="41"/>
  <c r="DG339" i="41"/>
  <c r="DG338" i="41"/>
  <c r="DG337" i="41"/>
  <c r="DG336" i="41"/>
  <c r="DG335" i="41"/>
  <c r="DG334" i="41"/>
  <c r="DG333" i="41"/>
  <c r="DG332" i="41"/>
  <c r="DG331" i="41"/>
  <c r="DG330" i="41"/>
  <c r="DG329" i="41"/>
  <c r="DG328" i="41"/>
  <c r="DG327" i="41"/>
  <c r="DG326" i="41"/>
  <c r="DG325" i="41"/>
  <c r="DG324" i="41"/>
  <c r="DG323" i="41"/>
  <c r="DG322" i="41"/>
  <c r="DG321" i="41"/>
  <c r="DG320" i="41"/>
  <c r="DG319" i="41"/>
  <c r="DG318" i="41"/>
  <c r="DG317" i="41"/>
  <c r="DG316" i="41"/>
  <c r="DG315" i="41"/>
  <c r="DG314" i="41"/>
  <c r="DG313" i="41"/>
  <c r="DG312" i="41"/>
  <c r="DG311" i="41"/>
  <c r="DG310" i="41"/>
  <c r="DG309" i="41"/>
  <c r="DG308" i="41"/>
  <c r="DG307" i="41"/>
  <c r="DG306" i="41"/>
  <c r="DG305" i="41"/>
  <c r="DG304" i="41"/>
  <c r="DG303" i="41"/>
  <c r="DG302" i="41"/>
  <c r="DG301" i="41"/>
  <c r="DG300" i="41"/>
  <c r="DG299" i="41"/>
  <c r="DG298" i="41"/>
  <c r="DG297" i="41"/>
  <c r="DG296" i="41"/>
  <c r="DG295" i="41"/>
  <c r="DG294" i="41"/>
  <c r="DG293" i="41"/>
  <c r="DG292" i="41"/>
  <c r="DG291" i="41"/>
  <c r="DG290" i="41"/>
  <c r="DG289" i="41"/>
  <c r="DG288" i="41"/>
  <c r="DG287" i="41"/>
  <c r="DG286" i="41"/>
  <c r="DG285" i="41"/>
  <c r="DG284" i="41"/>
  <c r="DG283" i="41"/>
  <c r="DG282" i="41"/>
  <c r="DG281" i="41"/>
  <c r="DG280" i="41"/>
  <c r="DG279" i="41"/>
  <c r="DG278" i="41"/>
  <c r="DG277" i="41"/>
  <c r="DG276" i="41"/>
  <c r="DG275" i="41"/>
  <c r="DG274" i="41"/>
  <c r="DG273" i="41"/>
  <c r="DG272" i="41"/>
  <c r="DG271" i="41"/>
  <c r="DG270" i="41"/>
  <c r="DG269" i="41"/>
  <c r="DG268" i="41"/>
  <c r="DG267" i="41"/>
  <c r="DG266" i="41"/>
  <c r="DG265" i="41"/>
  <c r="DG264" i="41"/>
  <c r="DG263" i="41"/>
  <c r="DG262" i="41"/>
  <c r="DG261" i="41"/>
  <c r="DG260" i="41"/>
  <c r="DG259" i="41"/>
  <c r="DG258" i="41"/>
  <c r="DG257" i="41"/>
  <c r="DG256" i="41"/>
  <c r="DG255" i="41"/>
  <c r="DG254" i="41"/>
  <c r="DG253" i="41"/>
  <c r="DG252" i="41"/>
  <c r="DG251" i="41"/>
  <c r="DG250" i="41"/>
  <c r="DG249" i="41"/>
  <c r="DG248" i="41"/>
  <c r="DG247" i="41"/>
  <c r="DG246" i="41"/>
  <c r="DG245" i="41"/>
  <c r="DG244" i="41"/>
  <c r="DG243" i="41"/>
  <c r="DG242" i="41"/>
  <c r="DG241" i="41"/>
  <c r="DG240" i="41"/>
  <c r="DG239" i="41"/>
  <c r="DG238" i="41"/>
  <c r="DG237" i="41"/>
  <c r="DG236" i="41"/>
  <c r="DG235" i="41"/>
  <c r="DG234" i="41"/>
  <c r="DG233" i="41"/>
  <c r="DG232" i="41"/>
  <c r="DG231" i="41"/>
  <c r="DG230" i="41"/>
  <c r="DG229" i="41"/>
  <c r="DG228" i="41"/>
  <c r="DG227" i="41"/>
  <c r="DG226" i="41"/>
  <c r="DG225" i="41"/>
  <c r="DG224" i="41"/>
  <c r="DG223" i="41"/>
  <c r="DG222" i="41"/>
  <c r="DG221" i="41"/>
  <c r="DG220" i="41"/>
  <c r="DG219" i="41"/>
  <c r="DG218" i="41"/>
  <c r="DG217" i="41"/>
  <c r="DG216" i="41"/>
  <c r="DG215" i="41"/>
  <c r="DG214" i="41"/>
  <c r="DG213" i="41"/>
  <c r="DG212" i="41"/>
  <c r="DG211" i="41"/>
  <c r="DG210" i="41"/>
  <c r="DG209" i="41"/>
  <c r="DG208" i="41"/>
  <c r="DG207" i="41"/>
  <c r="DG206" i="41"/>
  <c r="DG205" i="41"/>
  <c r="DG204" i="41"/>
  <c r="DG203" i="41"/>
  <c r="DG202" i="41"/>
  <c r="DG201" i="41"/>
  <c r="DG200" i="41"/>
  <c r="DG199" i="41"/>
  <c r="DG198" i="41"/>
  <c r="DG197" i="41"/>
  <c r="DG196" i="41"/>
  <c r="DG195" i="41"/>
  <c r="DG194" i="41"/>
  <c r="DG193" i="41"/>
  <c r="DG192" i="41"/>
  <c r="DG191" i="41"/>
  <c r="DG190" i="41"/>
  <c r="DG189" i="41"/>
  <c r="DG188" i="41"/>
  <c r="DG187" i="41"/>
  <c r="DG186" i="41"/>
  <c r="DG185" i="41"/>
  <c r="DG184" i="41"/>
  <c r="DG183" i="41"/>
  <c r="DG182" i="41"/>
  <c r="DG181" i="41"/>
  <c r="DG180" i="41"/>
  <c r="DG179" i="41"/>
  <c r="DG178" i="41"/>
  <c r="DG177" i="41"/>
  <c r="DG176" i="41"/>
  <c r="DG175" i="41"/>
  <c r="DG174" i="41"/>
  <c r="DG173" i="41"/>
  <c r="DG172" i="41"/>
  <c r="DG171" i="41"/>
  <c r="DG170" i="41"/>
  <c r="DG169" i="41"/>
  <c r="DG168" i="41"/>
  <c r="DG167" i="41"/>
  <c r="DG166" i="41"/>
  <c r="DG165" i="41"/>
  <c r="DG164" i="41"/>
  <c r="DG163" i="41"/>
  <c r="DG162" i="41"/>
  <c r="DG161" i="41"/>
  <c r="DG160" i="41"/>
  <c r="DG159" i="41"/>
  <c r="DG158" i="41"/>
  <c r="DG157" i="41"/>
  <c r="DG156" i="41"/>
  <c r="DG155" i="41"/>
  <c r="DG154" i="41"/>
  <c r="DG153" i="41"/>
  <c r="DG152" i="41"/>
  <c r="DG151" i="41"/>
  <c r="DG150" i="41"/>
  <c r="DG149" i="41"/>
  <c r="DG148" i="41"/>
  <c r="DG147" i="41"/>
  <c r="DG146" i="41"/>
  <c r="DG145" i="41"/>
  <c r="DG144" i="41"/>
  <c r="DG143" i="41"/>
  <c r="DG142" i="41"/>
  <c r="DG141" i="41"/>
  <c r="DG140" i="41"/>
  <c r="DG139" i="41"/>
  <c r="DG138" i="41"/>
  <c r="DG137" i="41"/>
  <c r="DG136" i="41"/>
  <c r="DG135" i="41"/>
  <c r="DG134" i="41"/>
  <c r="DG133" i="41"/>
  <c r="DG132" i="41"/>
  <c r="DG131" i="41"/>
  <c r="DG130" i="41"/>
  <c r="DG129" i="41"/>
  <c r="DG128" i="41"/>
  <c r="DG127" i="41"/>
  <c r="DG126" i="41"/>
  <c r="DG125" i="41"/>
  <c r="DG124" i="41"/>
  <c r="DG123" i="41"/>
  <c r="DG122" i="41"/>
  <c r="DG121" i="41"/>
  <c r="DG120" i="41"/>
  <c r="DG119" i="41"/>
  <c r="DG118" i="41"/>
  <c r="DG117" i="41"/>
  <c r="DG116" i="41"/>
  <c r="DG115" i="41"/>
  <c r="DG114" i="41"/>
  <c r="DG113" i="41"/>
  <c r="DG112" i="41"/>
  <c r="DG111" i="41"/>
  <c r="DG110" i="41"/>
  <c r="DG109" i="41"/>
  <c r="DG108" i="41"/>
  <c r="DG107" i="41"/>
  <c r="DG106" i="41"/>
  <c r="DG105" i="41"/>
  <c r="DG104" i="41"/>
  <c r="DG103" i="41"/>
  <c r="DG102" i="41"/>
  <c r="DG101" i="41"/>
  <c r="DG100" i="41"/>
  <c r="DG99" i="41"/>
  <c r="DG98" i="41"/>
  <c r="DG97" i="41"/>
  <c r="DG96" i="41"/>
  <c r="DG95" i="41"/>
  <c r="DG94" i="41"/>
  <c r="DG93" i="41"/>
  <c r="DG92" i="41"/>
  <c r="DG91" i="41"/>
  <c r="DG90" i="41"/>
  <c r="DG89" i="41"/>
  <c r="DG88" i="41"/>
  <c r="DG87" i="41"/>
  <c r="DG86" i="41"/>
  <c r="DG85" i="41"/>
  <c r="DG84" i="41"/>
  <c r="DG83" i="41"/>
  <c r="DG82" i="41"/>
  <c r="DG81" i="41"/>
  <c r="DG80" i="41"/>
  <c r="DG79" i="41"/>
  <c r="DG78" i="41"/>
  <c r="DG77" i="41"/>
  <c r="DG76" i="41"/>
  <c r="DG75" i="41"/>
  <c r="DG74" i="41"/>
  <c r="DG73" i="41"/>
  <c r="DG72" i="41"/>
  <c r="DG71" i="41"/>
  <c r="DG70" i="41"/>
  <c r="DG69" i="41"/>
  <c r="DG68" i="41"/>
  <c r="DG67" i="41"/>
  <c r="DG66" i="41"/>
  <c r="DG65" i="41"/>
  <c r="DG64" i="41"/>
  <c r="DG63" i="41"/>
  <c r="DG62" i="41"/>
  <c r="DG61" i="41"/>
  <c r="DG60" i="41"/>
  <c r="DG59" i="41"/>
  <c r="DG58" i="41"/>
  <c r="DG57" i="41"/>
  <c r="DG56" i="41"/>
  <c r="DG55" i="41"/>
  <c r="DG54" i="41"/>
  <c r="DG53" i="41"/>
  <c r="DG52" i="41"/>
  <c r="DG51" i="41"/>
  <c r="DG50" i="41"/>
  <c r="DG49" i="41"/>
  <c r="DG48" i="41"/>
  <c r="DG47" i="41"/>
  <c r="DG46" i="41"/>
  <c r="DG45" i="41"/>
  <c r="DG44" i="41"/>
  <c r="DG43" i="41"/>
  <c r="DG42" i="41"/>
  <c r="DG41" i="41"/>
  <c r="DG40" i="41"/>
  <c r="DG39" i="41"/>
  <c r="DG38" i="41"/>
  <c r="DG37" i="41"/>
  <c r="DG36" i="41"/>
  <c r="DG35" i="41"/>
  <c r="DG34" i="41"/>
  <c r="DG33" i="41"/>
  <c r="DG32" i="41"/>
  <c r="DG31" i="41"/>
  <c r="DG30" i="41"/>
  <c r="DG29" i="41"/>
  <c r="DG28" i="41"/>
  <c r="DG27" i="41"/>
  <c r="DG26" i="41"/>
  <c r="DG25" i="41"/>
  <c r="DG24" i="41"/>
  <c r="DG23" i="41"/>
  <c r="DG22" i="41"/>
  <c r="DG21" i="41"/>
  <c r="DG20" i="41"/>
  <c r="DG19" i="41"/>
  <c r="DG18" i="41"/>
  <c r="DG17" i="41"/>
  <c r="DG16" i="41"/>
  <c r="DG15" i="41"/>
  <c r="DG14" i="41"/>
  <c r="DG13" i="41"/>
  <c r="DG12" i="41"/>
  <c r="DG11" i="41"/>
  <c r="DG10" i="41"/>
  <c r="DG9" i="41"/>
  <c r="DG8" i="41"/>
  <c r="DG7" i="41"/>
  <c r="DG6" i="41"/>
  <c r="DG5" i="41"/>
  <c r="DF423" i="41"/>
  <c r="DF422" i="41"/>
  <c r="DF421" i="41"/>
  <c r="DF420" i="41"/>
  <c r="DF419" i="41"/>
  <c r="DF418" i="41"/>
  <c r="DF417" i="41"/>
  <c r="DF416" i="41"/>
  <c r="DF415" i="41"/>
  <c r="DF414" i="41"/>
  <c r="DF413" i="41"/>
  <c r="DF412" i="41"/>
  <c r="DF411" i="41"/>
  <c r="DF410" i="41"/>
  <c r="DF409" i="41"/>
  <c r="DF408" i="41"/>
  <c r="DF407" i="41"/>
  <c r="DF406" i="41"/>
  <c r="DF405" i="41"/>
  <c r="DF404" i="41"/>
  <c r="DF403" i="41"/>
  <c r="DF402" i="41"/>
  <c r="DF401" i="41"/>
  <c r="DF400" i="41"/>
  <c r="DF399" i="41"/>
  <c r="DF398" i="41"/>
  <c r="DF397" i="41"/>
  <c r="DF396" i="41"/>
  <c r="DF395" i="41"/>
  <c r="DF394" i="41"/>
  <c r="DF393" i="41"/>
  <c r="DF392" i="41"/>
  <c r="EC60" i="38" s="1"/>
  <c r="DF391" i="41"/>
  <c r="DF390" i="41"/>
  <c r="DF389" i="41"/>
  <c r="DF388" i="41"/>
  <c r="DF387" i="41"/>
  <c r="DF386" i="41"/>
  <c r="DF385" i="41"/>
  <c r="DF384" i="41"/>
  <c r="EC59" i="38" s="1"/>
  <c r="DF383" i="41"/>
  <c r="EC58" i="38" s="1"/>
  <c r="DF382" i="41"/>
  <c r="DF381" i="41"/>
  <c r="EC57" i="38" s="1"/>
  <c r="DF380" i="41"/>
  <c r="DF379" i="41"/>
  <c r="DF378" i="41"/>
  <c r="DF377" i="41"/>
  <c r="DF376" i="41"/>
  <c r="DF375" i="41"/>
  <c r="DF374" i="41"/>
  <c r="DF373" i="41"/>
  <c r="DF372" i="41"/>
  <c r="DF371" i="41"/>
  <c r="DF370" i="41"/>
  <c r="DF369" i="41"/>
  <c r="DF368" i="41"/>
  <c r="DF367" i="41"/>
  <c r="DF366" i="41"/>
  <c r="DF365" i="41"/>
  <c r="DF364" i="41"/>
  <c r="DF363" i="41"/>
  <c r="DF362" i="41"/>
  <c r="DF361" i="41"/>
  <c r="DF360" i="41"/>
  <c r="DF359" i="41"/>
  <c r="DF358" i="41"/>
  <c r="DF357" i="41"/>
  <c r="DF356" i="41"/>
  <c r="DF355" i="41"/>
  <c r="DF354" i="41"/>
  <c r="DF353" i="41"/>
  <c r="DF352" i="41"/>
  <c r="DF351" i="41"/>
  <c r="DF350" i="41"/>
  <c r="DF349" i="41"/>
  <c r="DF348" i="41"/>
  <c r="DF347" i="41"/>
  <c r="DF346" i="41"/>
  <c r="DF345" i="41"/>
  <c r="DF344" i="41"/>
  <c r="DF343" i="41"/>
  <c r="DF342" i="41"/>
  <c r="DF341" i="41"/>
  <c r="DF340" i="41"/>
  <c r="DF339" i="41"/>
  <c r="DF338" i="41"/>
  <c r="DF337" i="41"/>
  <c r="DF336" i="41"/>
  <c r="DF335" i="41"/>
  <c r="DF334" i="41"/>
  <c r="DF333" i="41"/>
  <c r="DF332" i="41"/>
  <c r="DF331" i="41"/>
  <c r="DF330" i="41"/>
  <c r="DF329" i="41"/>
  <c r="DF328" i="41"/>
  <c r="DF327" i="41"/>
  <c r="DF326" i="41"/>
  <c r="DF325" i="41"/>
  <c r="DF324" i="41"/>
  <c r="DF323" i="41"/>
  <c r="DF322" i="41"/>
  <c r="DF321" i="41"/>
  <c r="DF320" i="41"/>
  <c r="DF319" i="41"/>
  <c r="DF318" i="41"/>
  <c r="DF317" i="41"/>
  <c r="DF316" i="41"/>
  <c r="DF315" i="41"/>
  <c r="DF314" i="41"/>
  <c r="DF313" i="41"/>
  <c r="DF312" i="41"/>
  <c r="DF311" i="41"/>
  <c r="DF310" i="41"/>
  <c r="DF309" i="41"/>
  <c r="DF308" i="41"/>
  <c r="DF307" i="41"/>
  <c r="DF306" i="41"/>
  <c r="DF305" i="41"/>
  <c r="DF304" i="41"/>
  <c r="DF303" i="41"/>
  <c r="DF302" i="41"/>
  <c r="DF301" i="41"/>
  <c r="DF300" i="41"/>
  <c r="DF299" i="41"/>
  <c r="DF298" i="41"/>
  <c r="DF297" i="41"/>
  <c r="DF296" i="41"/>
  <c r="DF295" i="41"/>
  <c r="DF294" i="41"/>
  <c r="DF293" i="41"/>
  <c r="DF292" i="41"/>
  <c r="DF291" i="41"/>
  <c r="DF290" i="41"/>
  <c r="DF289" i="41"/>
  <c r="DF288" i="41"/>
  <c r="DF287" i="41"/>
  <c r="DF286" i="41"/>
  <c r="DF285" i="41"/>
  <c r="DF284" i="41"/>
  <c r="DF283" i="41"/>
  <c r="DF282" i="41"/>
  <c r="DF281" i="41"/>
  <c r="DF280" i="41"/>
  <c r="DF279" i="41"/>
  <c r="DF278" i="41"/>
  <c r="DF277" i="41"/>
  <c r="DF276" i="41"/>
  <c r="DF275" i="41"/>
  <c r="DF274" i="41"/>
  <c r="DF273" i="41"/>
  <c r="DF272" i="41"/>
  <c r="DF271" i="41"/>
  <c r="DF270" i="41"/>
  <c r="DF269" i="41"/>
  <c r="DF268" i="41"/>
  <c r="DF267" i="41"/>
  <c r="DF266" i="41"/>
  <c r="DF265" i="41"/>
  <c r="DF264" i="41"/>
  <c r="DF263" i="41"/>
  <c r="DF262" i="41"/>
  <c r="DF261" i="41"/>
  <c r="DF260" i="41"/>
  <c r="DF259" i="41"/>
  <c r="DF258" i="41"/>
  <c r="DF257" i="41"/>
  <c r="DF256" i="41"/>
  <c r="DF255" i="41"/>
  <c r="DF254" i="41"/>
  <c r="DF253" i="41"/>
  <c r="DF252" i="41"/>
  <c r="DF251" i="41"/>
  <c r="DF250" i="41"/>
  <c r="DF249" i="41"/>
  <c r="DF248" i="41"/>
  <c r="DF247" i="41"/>
  <c r="DF246" i="41"/>
  <c r="DF245" i="41"/>
  <c r="DF244" i="41"/>
  <c r="DF243" i="41"/>
  <c r="DF242" i="41"/>
  <c r="DF241" i="41"/>
  <c r="DF240" i="41"/>
  <c r="DF239" i="41"/>
  <c r="DF238" i="41"/>
  <c r="DF237" i="41"/>
  <c r="DF236" i="41"/>
  <c r="DF235" i="41"/>
  <c r="DF234" i="41"/>
  <c r="DF233" i="41"/>
  <c r="DF232" i="41"/>
  <c r="DF231" i="41"/>
  <c r="DF230" i="41"/>
  <c r="DF229" i="41"/>
  <c r="DF228" i="41"/>
  <c r="DF227" i="41"/>
  <c r="DF226" i="41"/>
  <c r="DF225" i="41"/>
  <c r="DF224" i="41"/>
  <c r="DF223" i="41"/>
  <c r="DF222" i="41"/>
  <c r="DF221" i="41"/>
  <c r="DF220" i="41"/>
  <c r="DF219" i="41"/>
  <c r="DF218" i="41"/>
  <c r="DF217" i="41"/>
  <c r="DF216" i="41"/>
  <c r="DF215" i="41"/>
  <c r="DF214" i="41"/>
  <c r="DF213" i="41"/>
  <c r="DF212" i="41"/>
  <c r="DF211" i="41"/>
  <c r="DF210" i="41"/>
  <c r="DF209" i="41"/>
  <c r="DF208" i="41"/>
  <c r="DF207" i="41"/>
  <c r="DF206" i="41"/>
  <c r="DF205" i="41"/>
  <c r="DF204" i="41"/>
  <c r="DF203" i="41"/>
  <c r="DF202" i="41"/>
  <c r="DF201" i="41"/>
  <c r="DF200" i="41"/>
  <c r="DF199" i="41"/>
  <c r="DF198" i="41"/>
  <c r="DF197" i="41"/>
  <c r="DF196" i="41"/>
  <c r="DF195" i="41"/>
  <c r="DF194" i="41"/>
  <c r="DF193" i="41"/>
  <c r="DF192" i="41"/>
  <c r="DF191" i="41"/>
  <c r="DF190" i="41"/>
  <c r="DF189" i="41"/>
  <c r="DF188" i="41"/>
  <c r="DF187" i="41"/>
  <c r="DF186" i="41"/>
  <c r="DF185" i="41"/>
  <c r="DF184" i="41"/>
  <c r="DF183" i="41"/>
  <c r="DF182" i="41"/>
  <c r="DF181" i="41"/>
  <c r="DF180" i="41"/>
  <c r="DF179" i="41"/>
  <c r="DF178" i="41"/>
  <c r="DF177" i="41"/>
  <c r="DF176" i="41"/>
  <c r="DF175" i="41"/>
  <c r="DF174" i="41"/>
  <c r="DF173" i="41"/>
  <c r="DF172" i="41"/>
  <c r="DF171" i="41"/>
  <c r="DF170" i="41"/>
  <c r="DF169" i="41"/>
  <c r="DF168" i="41"/>
  <c r="DF167" i="41"/>
  <c r="DF166" i="41"/>
  <c r="DF165" i="41"/>
  <c r="DF164" i="41"/>
  <c r="DF163" i="41"/>
  <c r="DF162" i="41"/>
  <c r="DF161" i="41"/>
  <c r="DF160" i="41"/>
  <c r="DF159" i="41"/>
  <c r="DF158" i="41"/>
  <c r="DF157" i="41"/>
  <c r="DF156" i="41"/>
  <c r="DF155" i="41"/>
  <c r="DF154" i="41"/>
  <c r="DF153" i="41"/>
  <c r="DF152" i="41"/>
  <c r="DF151" i="41"/>
  <c r="DF150" i="41"/>
  <c r="DF149" i="41"/>
  <c r="DF148" i="41"/>
  <c r="DF147" i="41"/>
  <c r="DF146" i="41"/>
  <c r="DF145" i="41"/>
  <c r="DF144" i="41"/>
  <c r="DF143" i="41"/>
  <c r="DF142" i="41"/>
  <c r="DF141" i="41"/>
  <c r="DF140" i="41"/>
  <c r="DF139" i="41"/>
  <c r="DF138" i="41"/>
  <c r="DF137" i="41"/>
  <c r="DF136" i="41"/>
  <c r="DF135" i="41"/>
  <c r="DF134" i="41"/>
  <c r="DF133" i="41"/>
  <c r="DF132" i="41"/>
  <c r="DF131" i="41"/>
  <c r="DF130" i="41"/>
  <c r="DF129" i="41"/>
  <c r="DF128" i="41"/>
  <c r="DF127" i="41"/>
  <c r="DF126" i="41"/>
  <c r="DF125" i="41"/>
  <c r="DF124" i="41"/>
  <c r="DF123" i="41"/>
  <c r="DF122" i="41"/>
  <c r="DF121" i="41"/>
  <c r="DF120" i="41"/>
  <c r="DF119" i="41"/>
  <c r="DF118" i="41"/>
  <c r="DF117" i="41"/>
  <c r="DF116" i="41"/>
  <c r="DF115" i="41"/>
  <c r="DF114" i="41"/>
  <c r="DF113" i="41"/>
  <c r="DF112" i="41"/>
  <c r="DF111" i="41"/>
  <c r="DF110" i="41"/>
  <c r="DF109" i="41"/>
  <c r="DF108" i="41"/>
  <c r="DF107" i="41"/>
  <c r="DF106" i="41"/>
  <c r="DF105" i="41"/>
  <c r="DF104" i="41"/>
  <c r="DF103" i="41"/>
  <c r="DF102" i="41"/>
  <c r="DF101" i="41"/>
  <c r="DF100" i="41"/>
  <c r="DF99" i="41"/>
  <c r="DF98" i="41"/>
  <c r="DF97" i="41"/>
  <c r="DF96" i="41"/>
  <c r="DF95" i="41"/>
  <c r="DF94" i="41"/>
  <c r="DF93" i="41"/>
  <c r="DF92" i="41"/>
  <c r="DF91" i="41"/>
  <c r="DF90" i="41"/>
  <c r="DF89" i="41"/>
  <c r="DF88" i="41"/>
  <c r="DF87" i="41"/>
  <c r="DF86" i="41"/>
  <c r="DF85" i="41"/>
  <c r="DF84" i="41"/>
  <c r="DF83" i="41"/>
  <c r="DF82" i="41"/>
  <c r="DF81" i="41"/>
  <c r="DF80" i="41"/>
  <c r="DF79" i="41"/>
  <c r="DF78" i="41"/>
  <c r="DF77" i="41"/>
  <c r="DF76" i="41"/>
  <c r="DF75" i="41"/>
  <c r="DF74" i="41"/>
  <c r="DF73" i="41"/>
  <c r="DF72" i="41"/>
  <c r="DF71" i="41"/>
  <c r="DF70" i="41"/>
  <c r="DF69" i="41"/>
  <c r="DF68" i="41"/>
  <c r="DF67" i="41"/>
  <c r="DF66" i="41"/>
  <c r="DF65" i="41"/>
  <c r="DF64" i="41"/>
  <c r="DF63" i="41"/>
  <c r="DF62" i="41"/>
  <c r="DF61" i="41"/>
  <c r="DF60" i="41"/>
  <c r="DF59" i="41"/>
  <c r="DF58" i="41"/>
  <c r="DF57" i="41"/>
  <c r="DF56" i="41"/>
  <c r="DF55" i="41"/>
  <c r="DF54" i="41"/>
  <c r="DF53" i="41"/>
  <c r="DF52" i="41"/>
  <c r="DF51" i="41"/>
  <c r="DF50" i="41"/>
  <c r="DF49" i="41"/>
  <c r="DF48" i="41"/>
  <c r="DF47" i="41"/>
  <c r="DF46" i="41"/>
  <c r="DF45" i="41"/>
  <c r="DF44" i="41"/>
  <c r="DF43" i="41"/>
  <c r="DF42" i="41"/>
  <c r="DF41" i="41"/>
  <c r="DF40" i="41"/>
  <c r="DF39" i="41"/>
  <c r="DF38" i="41"/>
  <c r="DF37" i="41"/>
  <c r="DF36" i="41"/>
  <c r="DF35" i="41"/>
  <c r="DF34" i="41"/>
  <c r="DF33" i="41"/>
  <c r="DF32" i="41"/>
  <c r="DF31" i="41"/>
  <c r="DF30" i="41"/>
  <c r="DF29" i="41"/>
  <c r="DF28" i="41"/>
  <c r="DF27" i="41"/>
  <c r="DF26" i="41"/>
  <c r="DF25" i="41"/>
  <c r="DF24" i="41"/>
  <c r="DF23" i="41"/>
  <c r="DF22" i="41"/>
  <c r="DF21" i="41"/>
  <c r="DF20" i="41"/>
  <c r="DF19" i="41"/>
  <c r="DF18" i="41"/>
  <c r="DF17" i="41"/>
  <c r="DF16" i="41"/>
  <c r="DF15" i="41"/>
  <c r="DF14" i="41"/>
  <c r="DF13" i="41"/>
  <c r="DF12" i="41"/>
  <c r="DF11" i="41"/>
  <c r="DF10" i="41"/>
  <c r="DF9" i="41"/>
  <c r="DF8" i="41"/>
  <c r="DF7" i="41"/>
  <c r="DF6" i="41"/>
  <c r="DF5" i="41"/>
  <c r="DE423" i="41"/>
  <c r="DE422" i="41"/>
  <c r="DE421" i="41"/>
  <c r="DE420" i="41"/>
  <c r="DE419" i="41"/>
  <c r="DE418" i="41"/>
  <c r="DE417" i="41"/>
  <c r="DE416" i="41"/>
  <c r="DE415" i="41"/>
  <c r="DE414" i="41"/>
  <c r="DE413" i="41"/>
  <c r="DE412" i="41"/>
  <c r="DE411" i="41"/>
  <c r="DE410" i="41"/>
  <c r="DE409" i="41"/>
  <c r="DE408" i="41"/>
  <c r="DE407" i="41"/>
  <c r="DE406" i="41"/>
  <c r="DE405" i="41"/>
  <c r="DE404" i="41"/>
  <c r="DE403" i="41"/>
  <c r="DE402" i="41"/>
  <c r="DE401" i="41"/>
  <c r="DE400" i="41"/>
  <c r="DE399" i="41"/>
  <c r="DE398" i="41"/>
  <c r="DE397" i="41"/>
  <c r="DE396" i="41"/>
  <c r="DE395" i="41"/>
  <c r="DE394" i="41"/>
  <c r="DE393" i="41"/>
  <c r="DE392" i="41"/>
  <c r="EB60" i="38" s="1"/>
  <c r="DE391" i="41"/>
  <c r="DE390" i="41"/>
  <c r="DE389" i="41"/>
  <c r="DE388" i="41"/>
  <c r="DE387" i="41"/>
  <c r="DE386" i="41"/>
  <c r="DE385" i="41"/>
  <c r="DE384" i="41"/>
  <c r="EB59" i="38" s="1"/>
  <c r="DE383" i="41"/>
  <c r="EB58" i="38" s="1"/>
  <c r="DE382" i="41"/>
  <c r="DE381" i="41"/>
  <c r="EB57" i="38" s="1"/>
  <c r="DE380" i="41"/>
  <c r="DE379" i="41"/>
  <c r="DE378" i="41"/>
  <c r="DE377" i="41"/>
  <c r="DE376" i="41"/>
  <c r="DE375" i="41"/>
  <c r="DE374" i="41"/>
  <c r="DE373" i="41"/>
  <c r="DE372" i="41"/>
  <c r="DE371" i="41"/>
  <c r="DE370" i="41"/>
  <c r="DE369" i="41"/>
  <c r="DE368" i="41"/>
  <c r="DE367" i="41"/>
  <c r="DE366" i="41"/>
  <c r="DE365" i="41"/>
  <c r="DE364" i="41"/>
  <c r="DE363" i="41"/>
  <c r="DE362" i="41"/>
  <c r="DE361" i="41"/>
  <c r="DE360" i="41"/>
  <c r="DE359" i="41"/>
  <c r="DE358" i="41"/>
  <c r="DE357" i="41"/>
  <c r="DE356" i="41"/>
  <c r="DE355" i="41"/>
  <c r="DE354" i="41"/>
  <c r="DE353" i="41"/>
  <c r="DE352" i="41"/>
  <c r="DE351" i="41"/>
  <c r="DE350" i="41"/>
  <c r="DE349" i="41"/>
  <c r="DE348" i="41"/>
  <c r="DE347" i="41"/>
  <c r="DE346" i="41"/>
  <c r="DE345" i="41"/>
  <c r="DE344" i="41"/>
  <c r="DE343" i="41"/>
  <c r="DE342" i="41"/>
  <c r="DE341" i="41"/>
  <c r="DE340" i="41"/>
  <c r="DE339" i="41"/>
  <c r="DE338" i="41"/>
  <c r="DE337" i="41"/>
  <c r="DE336" i="41"/>
  <c r="DE335" i="41"/>
  <c r="DE334" i="41"/>
  <c r="DE333" i="41"/>
  <c r="DE332" i="41"/>
  <c r="DE331" i="41"/>
  <c r="DE330" i="41"/>
  <c r="DE329" i="41"/>
  <c r="DE328" i="41"/>
  <c r="DE327" i="41"/>
  <c r="DE326" i="41"/>
  <c r="DE325" i="41"/>
  <c r="DE324" i="41"/>
  <c r="DE323" i="41"/>
  <c r="DE322" i="41"/>
  <c r="DE321" i="41"/>
  <c r="DE320" i="41"/>
  <c r="DE319" i="41"/>
  <c r="DE318" i="41"/>
  <c r="DE317" i="41"/>
  <c r="DE316" i="41"/>
  <c r="DE315" i="41"/>
  <c r="DE314" i="41"/>
  <c r="DE313" i="41"/>
  <c r="DE312" i="41"/>
  <c r="DE311" i="41"/>
  <c r="DE310" i="41"/>
  <c r="DE309" i="41"/>
  <c r="DE308" i="41"/>
  <c r="DE307" i="41"/>
  <c r="DE306" i="41"/>
  <c r="DE305" i="41"/>
  <c r="DE304" i="41"/>
  <c r="DE303" i="41"/>
  <c r="DE302" i="41"/>
  <c r="DE301" i="41"/>
  <c r="DE300" i="41"/>
  <c r="DE299" i="41"/>
  <c r="DE298" i="41"/>
  <c r="DE297" i="41"/>
  <c r="DE296" i="41"/>
  <c r="DE295" i="41"/>
  <c r="DE294" i="41"/>
  <c r="DE293" i="41"/>
  <c r="DE292" i="41"/>
  <c r="DE291" i="41"/>
  <c r="DE290" i="41"/>
  <c r="DE289" i="41"/>
  <c r="DE288" i="41"/>
  <c r="DE287" i="41"/>
  <c r="DE286" i="41"/>
  <c r="DE285" i="41"/>
  <c r="DE284" i="41"/>
  <c r="DE283" i="41"/>
  <c r="DE282" i="41"/>
  <c r="DE281" i="41"/>
  <c r="DE280" i="41"/>
  <c r="DE279" i="41"/>
  <c r="DE278" i="41"/>
  <c r="DE277" i="41"/>
  <c r="DE276" i="41"/>
  <c r="DE275" i="41"/>
  <c r="DE274" i="41"/>
  <c r="DE273" i="41"/>
  <c r="DE272" i="41"/>
  <c r="DE271" i="41"/>
  <c r="DE270" i="41"/>
  <c r="DE269" i="41"/>
  <c r="DE268" i="41"/>
  <c r="DE267" i="41"/>
  <c r="DE266" i="41"/>
  <c r="DE265" i="41"/>
  <c r="DE264" i="41"/>
  <c r="DE263" i="41"/>
  <c r="DE262" i="41"/>
  <c r="DE261" i="41"/>
  <c r="DE260" i="41"/>
  <c r="DE259" i="41"/>
  <c r="DE258" i="41"/>
  <c r="DE257" i="41"/>
  <c r="DE256" i="41"/>
  <c r="DE255" i="41"/>
  <c r="DE254" i="41"/>
  <c r="DE253" i="41"/>
  <c r="DE252" i="41"/>
  <c r="DE251" i="41"/>
  <c r="DE250" i="41"/>
  <c r="DE249" i="41"/>
  <c r="DE248" i="41"/>
  <c r="DE247" i="41"/>
  <c r="DE246" i="41"/>
  <c r="DE245" i="41"/>
  <c r="DE244" i="41"/>
  <c r="DE243" i="41"/>
  <c r="DE242" i="41"/>
  <c r="DE241" i="41"/>
  <c r="DE240" i="41"/>
  <c r="DE239" i="41"/>
  <c r="DE238" i="41"/>
  <c r="DE237" i="41"/>
  <c r="DE236" i="41"/>
  <c r="DE235" i="41"/>
  <c r="DE234" i="41"/>
  <c r="DE233" i="41"/>
  <c r="DE232" i="41"/>
  <c r="DE231" i="41"/>
  <c r="DE230" i="41"/>
  <c r="DE229" i="41"/>
  <c r="DE228" i="41"/>
  <c r="DE227" i="41"/>
  <c r="DE226" i="41"/>
  <c r="DE225" i="41"/>
  <c r="DE224" i="41"/>
  <c r="DE223" i="41"/>
  <c r="DE222" i="41"/>
  <c r="DE221" i="41"/>
  <c r="DE220" i="41"/>
  <c r="DE219" i="41"/>
  <c r="DE218" i="41"/>
  <c r="DE217" i="41"/>
  <c r="DE216" i="41"/>
  <c r="DE215" i="41"/>
  <c r="DE214" i="41"/>
  <c r="DE213" i="41"/>
  <c r="DE212" i="41"/>
  <c r="DE211" i="41"/>
  <c r="DE210" i="41"/>
  <c r="DE209" i="41"/>
  <c r="DE208" i="41"/>
  <c r="DE207" i="41"/>
  <c r="DE206" i="41"/>
  <c r="DE205" i="41"/>
  <c r="DE204" i="41"/>
  <c r="DE203" i="41"/>
  <c r="DE202" i="41"/>
  <c r="DE201" i="41"/>
  <c r="DE200" i="41"/>
  <c r="DE199" i="41"/>
  <c r="DE198" i="41"/>
  <c r="DE197" i="41"/>
  <c r="DE196" i="41"/>
  <c r="DE195" i="41"/>
  <c r="DE194" i="41"/>
  <c r="DE193" i="41"/>
  <c r="DE192" i="41"/>
  <c r="DE191" i="41"/>
  <c r="DE190" i="41"/>
  <c r="DE189" i="41"/>
  <c r="DE188" i="41"/>
  <c r="DE187" i="41"/>
  <c r="DE186" i="41"/>
  <c r="DE185" i="41"/>
  <c r="DE184" i="41"/>
  <c r="DE183" i="41"/>
  <c r="DE182" i="41"/>
  <c r="DE181" i="41"/>
  <c r="DE180" i="41"/>
  <c r="DE179" i="41"/>
  <c r="DE178" i="41"/>
  <c r="DE177" i="41"/>
  <c r="DE176" i="41"/>
  <c r="DE175" i="41"/>
  <c r="DE174" i="41"/>
  <c r="DE173" i="41"/>
  <c r="DE172" i="41"/>
  <c r="DE171" i="41"/>
  <c r="DE170" i="41"/>
  <c r="DE169" i="41"/>
  <c r="DE168" i="41"/>
  <c r="DE167" i="41"/>
  <c r="DE166" i="41"/>
  <c r="DE165" i="41"/>
  <c r="DE164" i="41"/>
  <c r="DE163" i="41"/>
  <c r="DE162" i="41"/>
  <c r="DE161" i="41"/>
  <c r="DE160" i="41"/>
  <c r="DE159" i="41"/>
  <c r="DE158" i="41"/>
  <c r="DE157" i="41"/>
  <c r="DE156" i="41"/>
  <c r="DE155" i="41"/>
  <c r="DE154" i="41"/>
  <c r="DE153" i="41"/>
  <c r="DE152" i="41"/>
  <c r="DE151" i="41"/>
  <c r="DE150" i="41"/>
  <c r="DE149" i="41"/>
  <c r="DE148" i="41"/>
  <c r="DE147" i="41"/>
  <c r="DE146" i="41"/>
  <c r="DE145" i="41"/>
  <c r="DE144" i="41"/>
  <c r="DE143" i="41"/>
  <c r="DE142" i="41"/>
  <c r="DE141" i="41"/>
  <c r="DE140" i="41"/>
  <c r="DE139" i="41"/>
  <c r="DE138" i="41"/>
  <c r="DE137" i="41"/>
  <c r="DE136" i="41"/>
  <c r="DE135" i="41"/>
  <c r="DE134" i="41"/>
  <c r="DE133" i="41"/>
  <c r="DE132" i="41"/>
  <c r="DE131" i="41"/>
  <c r="DE130" i="41"/>
  <c r="DE129" i="41"/>
  <c r="DE128" i="41"/>
  <c r="DE127" i="41"/>
  <c r="DE126" i="41"/>
  <c r="DE125" i="41"/>
  <c r="DE124" i="41"/>
  <c r="DE123" i="41"/>
  <c r="DE122" i="41"/>
  <c r="DE121" i="41"/>
  <c r="DE120" i="41"/>
  <c r="DE119" i="41"/>
  <c r="DE118" i="41"/>
  <c r="DE117" i="41"/>
  <c r="DE116" i="41"/>
  <c r="DE115" i="41"/>
  <c r="DE114" i="41"/>
  <c r="DE113" i="41"/>
  <c r="DE112" i="41"/>
  <c r="DE111" i="41"/>
  <c r="DE110" i="41"/>
  <c r="DE109" i="41"/>
  <c r="DE108" i="41"/>
  <c r="DE107" i="41"/>
  <c r="DE106" i="41"/>
  <c r="DE105" i="41"/>
  <c r="DE104" i="41"/>
  <c r="DE103" i="41"/>
  <c r="DE102" i="41"/>
  <c r="DE101" i="41"/>
  <c r="DE100" i="41"/>
  <c r="DE99" i="41"/>
  <c r="DE98" i="41"/>
  <c r="DE97" i="41"/>
  <c r="DE96" i="41"/>
  <c r="DE95" i="41"/>
  <c r="DE94" i="41"/>
  <c r="DE93" i="41"/>
  <c r="DE92" i="41"/>
  <c r="DE91" i="41"/>
  <c r="DE90" i="41"/>
  <c r="DE89" i="41"/>
  <c r="DE88" i="41"/>
  <c r="DE87" i="41"/>
  <c r="DE86" i="41"/>
  <c r="DE85" i="41"/>
  <c r="DE84" i="41"/>
  <c r="DE83" i="41"/>
  <c r="DE82" i="41"/>
  <c r="DE81" i="41"/>
  <c r="DE80" i="41"/>
  <c r="DE79" i="41"/>
  <c r="DE78" i="41"/>
  <c r="DE77" i="41"/>
  <c r="DE76" i="41"/>
  <c r="DE75" i="41"/>
  <c r="DE74" i="41"/>
  <c r="DE73" i="41"/>
  <c r="DE72" i="41"/>
  <c r="DE71" i="41"/>
  <c r="DE70" i="41"/>
  <c r="DE69" i="41"/>
  <c r="DE68" i="41"/>
  <c r="DE67" i="41"/>
  <c r="DE66" i="41"/>
  <c r="DE65" i="41"/>
  <c r="DE64" i="41"/>
  <c r="DE63" i="41"/>
  <c r="DE62" i="41"/>
  <c r="DE61" i="41"/>
  <c r="DE60" i="41"/>
  <c r="DE59" i="41"/>
  <c r="DE58" i="41"/>
  <c r="DE57" i="41"/>
  <c r="DE56" i="41"/>
  <c r="DE55" i="41"/>
  <c r="DE54" i="41"/>
  <c r="DE53" i="41"/>
  <c r="DE52" i="41"/>
  <c r="DE51" i="41"/>
  <c r="DE50" i="41"/>
  <c r="DE49" i="41"/>
  <c r="DE48" i="41"/>
  <c r="DE47" i="41"/>
  <c r="DE46" i="41"/>
  <c r="DE45" i="41"/>
  <c r="DE44" i="41"/>
  <c r="DE43" i="41"/>
  <c r="DE42" i="41"/>
  <c r="DE41" i="41"/>
  <c r="DE40" i="41"/>
  <c r="DE39" i="41"/>
  <c r="DE38" i="41"/>
  <c r="DE37" i="41"/>
  <c r="DE36" i="41"/>
  <c r="DE35" i="41"/>
  <c r="DE34" i="41"/>
  <c r="DE33" i="41"/>
  <c r="DE32" i="41"/>
  <c r="DE31" i="41"/>
  <c r="DE30" i="41"/>
  <c r="DE29" i="41"/>
  <c r="DE28" i="41"/>
  <c r="DE27" i="41"/>
  <c r="DE26" i="41"/>
  <c r="DE25" i="41"/>
  <c r="DE24" i="41"/>
  <c r="DE23" i="41"/>
  <c r="DE22" i="41"/>
  <c r="DE21" i="41"/>
  <c r="DE20" i="41"/>
  <c r="DE19" i="41"/>
  <c r="DE18" i="41"/>
  <c r="DE17" i="41"/>
  <c r="DE16" i="41"/>
  <c r="DE15" i="41"/>
  <c r="DE14" i="41"/>
  <c r="DE13" i="41"/>
  <c r="DE12" i="41"/>
  <c r="DE11" i="41"/>
  <c r="DE10" i="41"/>
  <c r="DE9" i="41"/>
  <c r="DE8" i="41"/>
  <c r="DE7" i="41"/>
  <c r="DE6" i="41"/>
  <c r="DG426" i="41"/>
  <c r="DG513" i="41"/>
  <c r="DG512" i="41"/>
  <c r="DG511" i="41"/>
  <c r="DG510" i="41"/>
  <c r="DG509" i="41"/>
  <c r="DG508" i="41"/>
  <c r="DG507" i="41"/>
  <c r="DG506" i="41"/>
  <c r="DG505" i="41"/>
  <c r="DG504" i="41"/>
  <c r="DG503" i="41"/>
  <c r="DG502" i="41"/>
  <c r="DG501" i="41"/>
  <c r="DG500" i="41"/>
  <c r="DG499" i="41"/>
  <c r="DG498" i="41"/>
  <c r="DG497" i="41"/>
  <c r="DG496" i="41"/>
  <c r="DG495" i="41"/>
  <c r="DG494" i="41"/>
  <c r="DG493" i="41"/>
  <c r="DG492" i="41"/>
  <c r="DG491" i="41"/>
  <c r="DG490" i="41"/>
  <c r="DG489" i="41"/>
  <c r="DG488" i="41"/>
  <c r="DG487" i="41"/>
  <c r="DG486" i="41"/>
  <c r="DG485" i="41"/>
  <c r="DG484" i="41"/>
  <c r="DG483" i="41"/>
  <c r="DG482" i="41"/>
  <c r="DG481" i="41"/>
  <c r="DG480" i="41"/>
  <c r="DG479" i="41"/>
  <c r="DG478" i="41"/>
  <c r="DG477" i="41"/>
  <c r="DG476" i="41"/>
  <c r="DG475" i="41"/>
  <c r="DG474" i="41"/>
  <c r="DG473" i="41"/>
  <c r="DG472" i="41"/>
  <c r="DG471" i="41"/>
  <c r="DG470" i="41"/>
  <c r="DG469" i="41"/>
  <c r="DG468" i="41"/>
  <c r="DG467" i="41"/>
  <c r="DG466" i="41"/>
  <c r="DG465" i="41"/>
  <c r="DG464" i="41"/>
  <c r="DG463" i="41"/>
  <c r="DG462" i="41"/>
  <c r="DG461" i="41"/>
  <c r="DG460" i="41"/>
  <c r="DG459" i="41"/>
  <c r="DG458" i="41"/>
  <c r="DG457" i="41"/>
  <c r="DG455" i="41"/>
  <c r="DG454" i="41"/>
  <c r="DG453" i="41"/>
  <c r="DG452" i="41"/>
  <c r="DG451" i="41"/>
  <c r="DG450" i="41"/>
  <c r="DG449" i="41"/>
  <c r="DG448" i="41"/>
  <c r="DG447" i="41"/>
  <c r="DG446" i="41"/>
  <c r="DG445" i="41"/>
  <c r="DG444" i="41"/>
  <c r="DG443" i="41"/>
  <c r="DG442" i="41"/>
  <c r="DG441" i="41"/>
  <c r="DG440" i="41"/>
  <c r="DG439" i="41"/>
  <c r="DG438" i="41"/>
  <c r="DG437" i="41"/>
  <c r="DG436" i="41"/>
  <c r="DG435" i="41"/>
  <c r="DG434" i="41"/>
  <c r="DG433" i="41"/>
  <c r="DG432" i="41"/>
  <c r="DG431" i="41"/>
  <c r="DG430" i="41"/>
  <c r="DG429" i="41"/>
  <c r="DG428" i="41"/>
  <c r="DG427" i="41"/>
  <c r="DF438" i="41"/>
  <c r="DF513" i="41"/>
  <c r="DF512" i="41"/>
  <c r="DF511" i="41"/>
  <c r="DF510" i="41"/>
  <c r="DF509" i="41"/>
  <c r="DF508" i="41"/>
  <c r="DF507" i="41"/>
  <c r="DF506" i="41"/>
  <c r="DF505" i="41"/>
  <c r="DF504" i="41"/>
  <c r="DF503" i="41"/>
  <c r="DF502" i="41"/>
  <c r="DF501" i="41"/>
  <c r="DF500" i="41"/>
  <c r="DF499" i="41"/>
  <c r="DF498" i="41"/>
  <c r="DF497" i="41"/>
  <c r="DF496" i="41"/>
  <c r="DF495" i="41"/>
  <c r="DF494" i="41"/>
  <c r="DF493" i="41"/>
  <c r="DF492" i="41"/>
  <c r="DF491" i="41"/>
  <c r="DF490" i="41"/>
  <c r="DF489" i="41"/>
  <c r="DF488" i="41"/>
  <c r="DF487" i="41"/>
  <c r="DF486" i="41"/>
  <c r="DF485" i="41"/>
  <c r="DF484" i="41"/>
  <c r="DF483" i="41"/>
  <c r="DF482" i="41"/>
  <c r="DF481" i="41"/>
  <c r="DF480" i="41"/>
  <c r="DF479" i="41"/>
  <c r="DF478" i="41"/>
  <c r="DF477" i="41"/>
  <c r="DF476" i="41"/>
  <c r="DF475" i="41"/>
  <c r="DF474" i="41"/>
  <c r="DF473" i="41"/>
  <c r="DF472" i="41"/>
  <c r="DF471" i="41"/>
  <c r="DF470" i="41"/>
  <c r="DF469" i="41"/>
  <c r="DF468" i="41"/>
  <c r="DF467" i="41"/>
  <c r="DF466" i="41"/>
  <c r="DF465" i="41"/>
  <c r="DF464" i="41"/>
  <c r="DF463" i="41"/>
  <c r="DF462" i="41"/>
  <c r="DF461" i="41"/>
  <c r="DF460" i="41"/>
  <c r="DF459" i="41"/>
  <c r="DF458" i="41"/>
  <c r="DF457" i="41"/>
  <c r="DF455" i="41"/>
  <c r="DF454" i="41"/>
  <c r="DF453" i="41"/>
  <c r="DF452" i="41"/>
  <c r="DF451" i="41"/>
  <c r="DF450" i="41"/>
  <c r="DF449" i="41"/>
  <c r="DF448" i="41"/>
  <c r="DF447" i="41"/>
  <c r="DF446" i="41"/>
  <c r="DF445" i="41"/>
  <c r="DF444" i="41"/>
  <c r="DF443" i="41"/>
  <c r="DF442" i="41"/>
  <c r="DF441" i="41"/>
  <c r="DF440" i="41"/>
  <c r="DF439" i="41"/>
  <c r="DE513" i="41"/>
  <c r="DE512" i="41"/>
  <c r="DE511" i="41"/>
  <c r="DE510" i="41"/>
  <c r="DE509" i="41"/>
  <c r="DE508" i="41"/>
  <c r="DE507" i="41"/>
  <c r="DE506" i="41"/>
  <c r="DE505" i="41"/>
  <c r="DE504" i="41"/>
  <c r="DE503" i="41"/>
  <c r="DE502" i="41"/>
  <c r="DE501" i="41"/>
  <c r="DE500" i="41"/>
  <c r="DE499" i="41"/>
  <c r="DE498" i="41"/>
  <c r="DE497" i="41"/>
  <c r="DE496" i="41"/>
  <c r="DE495" i="41"/>
  <c r="DE494" i="41"/>
  <c r="DE493" i="41"/>
  <c r="DE492" i="41"/>
  <c r="DE491" i="41"/>
  <c r="DE490" i="41"/>
  <c r="DE489" i="41"/>
  <c r="DE488" i="41"/>
  <c r="DE487" i="41"/>
  <c r="DE486" i="41"/>
  <c r="DE485" i="41"/>
  <c r="DE484" i="41"/>
  <c r="DE483" i="41"/>
  <c r="DE482" i="41"/>
  <c r="DE481" i="41"/>
  <c r="DE480" i="41"/>
  <c r="DE479" i="41"/>
  <c r="DE478" i="41"/>
  <c r="DE477" i="41"/>
  <c r="DE476" i="41"/>
  <c r="DE475" i="41"/>
  <c r="DE474" i="41"/>
  <c r="DE473" i="41"/>
  <c r="DE472" i="41"/>
  <c r="DE471" i="41"/>
  <c r="DE470" i="41"/>
  <c r="DE469" i="41"/>
  <c r="DE468" i="41"/>
  <c r="DE467" i="41"/>
  <c r="DE466" i="41"/>
  <c r="DE465" i="41"/>
  <c r="DE464" i="41"/>
  <c r="DE463" i="41"/>
  <c r="DE462" i="41"/>
  <c r="DE461" i="41"/>
  <c r="DE460" i="41"/>
  <c r="DE459" i="41"/>
  <c r="DE458" i="41"/>
  <c r="DE457" i="41"/>
  <c r="DE455" i="41"/>
  <c r="DE454" i="41"/>
  <c r="DE453" i="41"/>
  <c r="DE452" i="41"/>
  <c r="DE451" i="41"/>
  <c r="DE450" i="41"/>
  <c r="DE449" i="41"/>
  <c r="DE448" i="41"/>
  <c r="DE447" i="41"/>
  <c r="DE446" i="41"/>
  <c r="DE445" i="41"/>
  <c r="DE444" i="41"/>
  <c r="DE443" i="41"/>
  <c r="DE442" i="41"/>
  <c r="DE441" i="41"/>
  <c r="DE440" i="41"/>
  <c r="DE439" i="41"/>
  <c r="DE438" i="41"/>
  <c r="DE437" i="41"/>
  <c r="DE436" i="41"/>
  <c r="DE435" i="41"/>
  <c r="DE434" i="41"/>
  <c r="DE433" i="41"/>
  <c r="DE432" i="41"/>
  <c r="DE431" i="41"/>
  <c r="DE430" i="41"/>
  <c r="DE429" i="41"/>
  <c r="DE428" i="41"/>
  <c r="DE427" i="41"/>
  <c r="DE426" i="41"/>
  <c r="DE425" i="41"/>
  <c r="DF425" i="41"/>
  <c r="DG425" i="41"/>
  <c r="A404" i="41"/>
  <c r="A327" i="41"/>
  <c r="DH37" i="41" l="1"/>
  <c r="DH93" i="41"/>
  <c r="DH125" i="41"/>
  <c r="DH165" i="41"/>
  <c r="DH197" i="41"/>
  <c r="DH253" i="41"/>
  <c r="DH285" i="41"/>
  <c r="DH317" i="41"/>
  <c r="DH357" i="41"/>
  <c r="DH413" i="41"/>
  <c r="DH13" i="41"/>
  <c r="DH29" i="41"/>
  <c r="DH101" i="41"/>
  <c r="DH117" i="41"/>
  <c r="DH157" i="41"/>
  <c r="DH205" i="41"/>
  <c r="DH261" i="41"/>
  <c r="DH293" i="41"/>
  <c r="DH341" i="41"/>
  <c r="DH349" i="41"/>
  <c r="DH421" i="41"/>
  <c r="DH61" i="41"/>
  <c r="DH85" i="41"/>
  <c r="DH133" i="41"/>
  <c r="DH181" i="41"/>
  <c r="DH221" i="41"/>
  <c r="DH245" i="41"/>
  <c r="DH277" i="41"/>
  <c r="DH325" i="41"/>
  <c r="DH373" i="41"/>
  <c r="DH397" i="41"/>
  <c r="DH53" i="41"/>
  <c r="DH77" i="41"/>
  <c r="DH141" i="41"/>
  <c r="DH173" i="41"/>
  <c r="DH213" i="41"/>
  <c r="DH237" i="41"/>
  <c r="DH301" i="41"/>
  <c r="DH333" i="41"/>
  <c r="DH365" i="41"/>
  <c r="DH405" i="41"/>
  <c r="DH21" i="41"/>
  <c r="DH45" i="41"/>
  <c r="DH69" i="41"/>
  <c r="DH109" i="41"/>
  <c r="DH149" i="41"/>
  <c r="DH189" i="41"/>
  <c r="DH229" i="41"/>
  <c r="DH269" i="41"/>
  <c r="DH309" i="41"/>
  <c r="DH389" i="41"/>
  <c r="DH464" i="41"/>
  <c r="DH435" i="41"/>
  <c r="DH472" i="41"/>
  <c r="DH480" i="41"/>
  <c r="DH488" i="41"/>
  <c r="DH496" i="41"/>
  <c r="DH504" i="41"/>
  <c r="DH512" i="41"/>
  <c r="FB14" i="29"/>
  <c r="FA14" i="29"/>
  <c r="EZ14" i="29"/>
  <c r="FD14" i="29" s="1"/>
  <c r="DH460" i="41"/>
  <c r="DH476" i="41"/>
  <c r="DH492" i="41"/>
  <c r="DH508" i="41"/>
  <c r="DH468" i="41"/>
  <c r="DH484" i="41"/>
  <c r="DH500" i="41"/>
  <c r="DH436" i="41"/>
  <c r="DH430" i="41"/>
  <c r="DG519" i="41"/>
  <c r="DH6" i="41"/>
  <c r="DH14" i="41"/>
  <c r="DH22" i="41"/>
  <c r="DH30" i="41"/>
  <c r="DH38" i="41"/>
  <c r="DH46" i="41"/>
  <c r="DH54" i="41"/>
  <c r="DH62" i="41"/>
  <c r="DH70" i="41"/>
  <c r="DH78" i="41"/>
  <c r="DH86" i="41"/>
  <c r="DH94" i="41"/>
  <c r="DH102" i="41"/>
  <c r="DH110" i="41"/>
  <c r="DH118" i="41"/>
  <c r="DH126" i="41"/>
  <c r="DH134" i="41"/>
  <c r="DH142" i="41"/>
  <c r="DH150" i="41"/>
  <c r="DH158" i="41"/>
  <c r="DH166" i="41"/>
  <c r="DH174" i="41"/>
  <c r="DH182" i="41"/>
  <c r="DH190" i="41"/>
  <c r="DH198" i="41"/>
  <c r="DH206" i="41"/>
  <c r="DH214" i="41"/>
  <c r="DH222" i="41"/>
  <c r="DH230" i="41"/>
  <c r="DH238" i="41"/>
  <c r="DH246" i="41"/>
  <c r="DH254" i="41"/>
  <c r="DH262" i="41"/>
  <c r="DH270" i="41"/>
  <c r="DH278" i="41"/>
  <c r="DH286" i="41"/>
  <c r="DH294" i="41"/>
  <c r="DH302" i="41"/>
  <c r="DH310" i="41"/>
  <c r="DH318" i="41"/>
  <c r="DH326" i="41"/>
  <c r="DH334" i="41"/>
  <c r="DH342" i="41"/>
  <c r="DH350" i="41"/>
  <c r="DH358" i="41"/>
  <c r="DH366" i="41"/>
  <c r="DH374" i="41"/>
  <c r="DH382" i="41"/>
  <c r="DH390" i="41"/>
  <c r="DH398" i="41"/>
  <c r="DH406" i="41"/>
  <c r="DH414" i="41"/>
  <c r="DH422" i="41"/>
  <c r="DH444" i="41"/>
  <c r="DH452" i="41"/>
  <c r="DH461" i="41"/>
  <c r="DH469" i="41"/>
  <c r="DH477" i="41"/>
  <c r="DH485" i="41"/>
  <c r="DH493" i="41"/>
  <c r="DH501" i="41"/>
  <c r="DH509" i="41"/>
  <c r="DH351" i="41"/>
  <c r="DH415" i="41"/>
  <c r="DH429" i="41"/>
  <c r="DH437" i="41"/>
  <c r="DH462" i="41"/>
  <c r="DH470" i="41"/>
  <c r="DH478" i="41"/>
  <c r="DH486" i="41"/>
  <c r="DH494" i="41"/>
  <c r="DH502" i="41"/>
  <c r="DH510" i="41"/>
  <c r="DH448" i="41"/>
  <c r="DH465" i="41"/>
  <c r="DH473" i="41"/>
  <c r="DH481" i="41"/>
  <c r="DH489" i="41"/>
  <c r="DH497" i="41"/>
  <c r="DH505" i="41"/>
  <c r="DH513" i="41"/>
  <c r="DH495" i="41"/>
  <c r="DH503" i="41"/>
  <c r="DH511" i="41"/>
  <c r="DH7" i="41"/>
  <c r="DH15" i="41"/>
  <c r="DH23" i="41"/>
  <c r="DH31" i="41"/>
  <c r="DH39" i="41"/>
  <c r="DH47" i="41"/>
  <c r="DH55" i="41"/>
  <c r="DH63" i="41"/>
  <c r="DH71" i="41"/>
  <c r="DH79" i="41"/>
  <c r="DH87" i="41"/>
  <c r="DH95" i="41"/>
  <c r="DH103" i="41"/>
  <c r="DH111" i="41"/>
  <c r="DH119" i="41"/>
  <c r="DH127" i="41"/>
  <c r="DH135" i="41"/>
  <c r="DH143" i="41"/>
  <c r="DH151" i="41"/>
  <c r="DH159" i="41"/>
  <c r="DH167" i="41"/>
  <c r="DH175" i="41"/>
  <c r="DH183" i="41"/>
  <c r="DH191" i="41"/>
  <c r="DH199" i="41"/>
  <c r="DH207" i="41"/>
  <c r="DH215" i="41"/>
  <c r="DH223" i="41"/>
  <c r="DH231" i="41"/>
  <c r="DH239" i="41"/>
  <c r="DH247" i="41"/>
  <c r="DH255" i="41"/>
  <c r="DH263" i="41"/>
  <c r="DH271" i="41"/>
  <c r="DH279" i="41"/>
  <c r="DH287" i="41"/>
  <c r="DH295" i="41"/>
  <c r="DH303" i="41"/>
  <c r="DH311" i="41"/>
  <c r="DH319" i="41"/>
  <c r="DH327" i="41"/>
  <c r="DH335" i="41"/>
  <c r="DH343" i="41"/>
  <c r="DH359" i="41"/>
  <c r="DH367" i="41"/>
  <c r="DH375" i="41"/>
  <c r="DH383" i="41"/>
  <c r="DH391" i="41"/>
  <c r="DH399" i="41"/>
  <c r="DH407" i="41"/>
  <c r="DH423" i="41"/>
  <c r="DH10" i="41"/>
  <c r="DH18" i="41"/>
  <c r="DH26" i="41"/>
  <c r="DH34" i="41"/>
  <c r="DH42" i="41"/>
  <c r="DH50" i="41"/>
  <c r="DH58" i="41"/>
  <c r="DH66" i="41"/>
  <c r="DH74" i="41"/>
  <c r="DH82" i="41"/>
  <c r="DH90" i="41"/>
  <c r="DH98" i="41"/>
  <c r="DH106" i="41"/>
  <c r="DH114" i="41"/>
  <c r="DH122" i="41"/>
  <c r="DH130" i="41"/>
  <c r="DH138" i="41"/>
  <c r="DH146" i="41"/>
  <c r="DH154" i="41"/>
  <c r="DH162" i="41"/>
  <c r="DH170" i="41"/>
  <c r="DH178" i="41"/>
  <c r="DH186" i="41"/>
  <c r="DH194" i="41"/>
  <c r="DH202" i="41"/>
  <c r="DH210" i="41"/>
  <c r="DH218" i="41"/>
  <c r="DH226" i="41"/>
  <c r="DH234" i="41"/>
  <c r="DH242" i="41"/>
  <c r="DH250" i="41"/>
  <c r="DH258" i="41"/>
  <c r="DH266" i="41"/>
  <c r="DH274" i="41"/>
  <c r="DH282" i="41"/>
  <c r="DH290" i="41"/>
  <c r="DH298" i="41"/>
  <c r="DH306" i="41"/>
  <c r="DH314" i="41"/>
  <c r="DH322" i="41"/>
  <c r="DH330" i="41"/>
  <c r="DH338" i="41"/>
  <c r="DH346" i="41"/>
  <c r="DH354" i="41"/>
  <c r="DH362" i="41"/>
  <c r="DH370" i="41"/>
  <c r="DH378" i="41"/>
  <c r="DH386" i="41"/>
  <c r="DH394" i="41"/>
  <c r="DH402" i="41"/>
  <c r="DH410" i="41"/>
  <c r="DH418" i="41"/>
  <c r="DH8" i="41"/>
  <c r="DH16" i="41"/>
  <c r="DH24" i="41"/>
  <c r="DH32" i="41"/>
  <c r="DH40" i="41"/>
  <c r="DH48" i="41"/>
  <c r="DH56" i="41"/>
  <c r="DH64" i="41"/>
  <c r="DH72" i="41"/>
  <c r="DH80" i="41"/>
  <c r="DH88" i="41"/>
  <c r="DH96" i="41"/>
  <c r="DH104" i="41"/>
  <c r="DH112" i="41"/>
  <c r="DH120" i="41"/>
  <c r="DH128" i="41"/>
  <c r="DH136" i="41"/>
  <c r="DH144" i="41"/>
  <c r="DH152" i="41"/>
  <c r="DH160" i="41"/>
  <c r="DH168" i="41"/>
  <c r="DH176" i="41"/>
  <c r="DH184" i="41"/>
  <c r="DH192" i="41"/>
  <c r="DH200" i="41"/>
  <c r="DH208" i="41"/>
  <c r="DH216" i="41"/>
  <c r="DH224" i="41"/>
  <c r="DH232" i="41"/>
  <c r="DH240" i="41"/>
  <c r="DH248" i="41"/>
  <c r="DH256" i="41"/>
  <c r="DH264" i="41"/>
  <c r="DH272" i="41"/>
  <c r="DH280" i="41"/>
  <c r="DH288" i="41"/>
  <c r="DH296" i="41"/>
  <c r="DH304" i="41"/>
  <c r="DH312" i="41"/>
  <c r="DH320" i="41"/>
  <c r="DH328" i="41"/>
  <c r="DH336" i="41"/>
  <c r="DH344" i="41"/>
  <c r="DH352" i="41"/>
  <c r="DH360" i="41"/>
  <c r="DH368" i="41"/>
  <c r="DH376" i="41"/>
  <c r="DH384" i="41"/>
  <c r="DH400" i="41"/>
  <c r="DH408" i="41"/>
  <c r="DH416" i="41"/>
  <c r="DE519" i="41"/>
  <c r="DH446" i="41"/>
  <c r="DH454" i="41"/>
  <c r="DH463" i="41"/>
  <c r="DH471" i="41"/>
  <c r="DH479" i="41"/>
  <c r="DH487" i="41"/>
  <c r="DH9" i="41"/>
  <c r="DH17" i="41"/>
  <c r="DH25" i="41"/>
  <c r="DH33" i="41"/>
  <c r="DH41" i="41"/>
  <c r="DH49" i="41"/>
  <c r="DH57" i="41"/>
  <c r="DH65" i="41"/>
  <c r="DH73" i="41"/>
  <c r="DH81" i="41"/>
  <c r="DH89" i="41"/>
  <c r="DH97" i="41"/>
  <c r="DH105" i="41"/>
  <c r="DH113" i="41"/>
  <c r="DH121" i="41"/>
  <c r="DH129" i="41"/>
  <c r="DH137" i="41"/>
  <c r="DH145" i="41"/>
  <c r="DH153" i="41"/>
  <c r="DH161" i="41"/>
  <c r="DH169" i="41"/>
  <c r="DH177" i="41"/>
  <c r="DH185" i="41"/>
  <c r="DH193" i="41"/>
  <c r="DH201" i="41"/>
  <c r="DH209" i="41"/>
  <c r="DH217" i="41"/>
  <c r="DH225" i="41"/>
  <c r="DH233" i="41"/>
  <c r="DH241" i="41"/>
  <c r="DH249" i="41"/>
  <c r="DH257" i="41"/>
  <c r="DH265" i="41"/>
  <c r="DH273" i="41"/>
  <c r="DH281" i="41"/>
  <c r="DH289" i="41"/>
  <c r="DH297" i="41"/>
  <c r="DH305" i="41"/>
  <c r="DH313" i="41"/>
  <c r="DH321" i="41"/>
  <c r="DH329" i="41"/>
  <c r="DH337" i="41"/>
  <c r="DH345" i="41"/>
  <c r="DH353" i="41"/>
  <c r="DH361" i="41"/>
  <c r="DH369" i="41"/>
  <c r="DH377" i="41"/>
  <c r="DH385" i="41"/>
  <c r="DH393" i="41"/>
  <c r="DH401" i="41"/>
  <c r="DH409" i="41"/>
  <c r="DH417" i="41"/>
  <c r="DH439" i="41"/>
  <c r="DH447" i="41"/>
  <c r="DH455" i="41"/>
  <c r="DH11" i="41"/>
  <c r="DH19" i="41"/>
  <c r="DH27" i="41"/>
  <c r="DH35" i="41"/>
  <c r="DH43" i="41"/>
  <c r="DH51" i="41"/>
  <c r="DH59" i="41"/>
  <c r="DH67" i="41"/>
  <c r="DH75" i="41"/>
  <c r="DH83" i="41"/>
  <c r="DH91" i="41"/>
  <c r="DH99" i="41"/>
  <c r="DH107" i="41"/>
  <c r="DH115" i="41"/>
  <c r="DH123" i="41"/>
  <c r="DH131" i="41"/>
  <c r="DH139" i="41"/>
  <c r="DH147" i="41"/>
  <c r="DH155" i="41"/>
  <c r="DH163" i="41"/>
  <c r="DH171" i="41"/>
  <c r="DH179" i="41"/>
  <c r="DH187" i="41"/>
  <c r="DH195" i="41"/>
  <c r="DH203" i="41"/>
  <c r="DH211" i="41"/>
  <c r="DH219" i="41"/>
  <c r="DH227" i="41"/>
  <c r="DH235" i="41"/>
  <c r="DH243" i="41"/>
  <c r="DH251" i="41"/>
  <c r="DH259" i="41"/>
  <c r="DH267" i="41"/>
  <c r="DH275" i="41"/>
  <c r="DH283" i="41"/>
  <c r="DH291" i="41"/>
  <c r="DH299" i="41"/>
  <c r="DH307" i="41"/>
  <c r="DH315" i="41"/>
  <c r="DH323" i="41"/>
  <c r="DH331" i="41"/>
  <c r="DH339" i="41"/>
  <c r="DH347" i="41"/>
  <c r="DH355" i="41"/>
  <c r="DH363" i="41"/>
  <c r="DH371" i="41"/>
  <c r="DH379" i="41"/>
  <c r="DH387" i="41"/>
  <c r="DH395" i="41"/>
  <c r="DH403" i="41"/>
  <c r="DH411" i="41"/>
  <c r="DH419" i="41"/>
  <c r="DH449" i="41"/>
  <c r="DH458" i="41"/>
  <c r="DH474" i="41"/>
  <c r="DH482" i="41"/>
  <c r="DH490" i="41"/>
  <c r="DH498" i="41"/>
  <c r="DH506" i="41"/>
  <c r="DH12" i="41"/>
  <c r="DH20" i="41"/>
  <c r="DH28" i="41"/>
  <c r="DH36" i="41"/>
  <c r="DH44" i="41"/>
  <c r="DH52" i="41"/>
  <c r="DH60" i="41"/>
  <c r="DH68" i="41"/>
  <c r="DH76" i="41"/>
  <c r="DH84" i="41"/>
  <c r="DH92" i="41"/>
  <c r="DH100" i="41"/>
  <c r="DH108" i="41"/>
  <c r="DH116" i="41"/>
  <c r="DH124" i="41"/>
  <c r="DH132" i="41"/>
  <c r="DH140" i="41"/>
  <c r="DH148" i="41"/>
  <c r="DH156" i="41"/>
  <c r="DH164" i="41"/>
  <c r="DH172" i="41"/>
  <c r="DH180" i="41"/>
  <c r="DH188" i="41"/>
  <c r="DH196" i="41"/>
  <c r="DH204" i="41"/>
  <c r="DH212" i="41"/>
  <c r="DH220" i="41"/>
  <c r="DH228" i="41"/>
  <c r="DH236" i="41"/>
  <c r="DH244" i="41"/>
  <c r="DH252" i="41"/>
  <c r="DH260" i="41"/>
  <c r="DH268" i="41"/>
  <c r="DH276" i="41"/>
  <c r="DH284" i="41"/>
  <c r="DH292" i="41"/>
  <c r="DH300" i="41"/>
  <c r="DH308" i="41"/>
  <c r="DH316" i="41"/>
  <c r="DH324" i="41"/>
  <c r="DH332" i="41"/>
  <c r="DH340" i="41"/>
  <c r="DH348" i="41"/>
  <c r="DH356" i="41"/>
  <c r="DH364" i="41"/>
  <c r="DH372" i="41"/>
  <c r="DH380" i="41"/>
  <c r="DH388" i="41"/>
  <c r="DH396" i="41"/>
  <c r="DH404" i="41"/>
  <c r="DH412" i="41"/>
  <c r="DH420" i="41"/>
  <c r="DH459" i="41"/>
  <c r="DH467" i="41"/>
  <c r="DH475" i="41"/>
  <c r="DH483" i="41"/>
  <c r="DH491" i="41"/>
  <c r="DH499" i="41"/>
  <c r="DH507" i="41"/>
  <c r="DH431" i="41"/>
  <c r="DH392" i="41"/>
  <c r="DH432" i="41"/>
  <c r="DH440" i="41"/>
  <c r="DH433" i="41"/>
  <c r="DH441" i="41"/>
  <c r="DH457" i="41"/>
  <c r="DG517" i="41"/>
  <c r="ES13" i="8" s="1"/>
  <c r="DH426" i="41"/>
  <c r="DH434" i="41"/>
  <c r="DH442" i="41"/>
  <c r="DH450" i="41"/>
  <c r="DH466" i="41"/>
  <c r="DF517" i="41"/>
  <c r="ER13" i="8" s="1"/>
  <c r="DH427" i="41"/>
  <c r="DH443" i="41"/>
  <c r="DH451" i="41"/>
  <c r="DG515" i="41"/>
  <c r="DH428" i="41"/>
  <c r="DF519" i="41"/>
  <c r="DH381" i="41"/>
  <c r="DH445" i="41"/>
  <c r="DH453" i="41"/>
  <c r="DE515" i="41"/>
  <c r="DE517" i="41"/>
  <c r="DH438" i="41"/>
  <c r="DF515" i="41"/>
  <c r="DE424" i="41"/>
  <c r="DF424" i="41"/>
  <c r="DG424" i="41"/>
  <c r="DH5" i="41" l="1"/>
  <c r="AL53" i="54" l="1"/>
  <c r="AL51" i="54"/>
  <c r="CU22" i="49"/>
  <c r="CU21" i="49"/>
  <c r="CU20" i="49"/>
  <c r="CU19" i="49"/>
  <c r="CU18" i="49"/>
  <c r="CU10" i="49"/>
  <c r="CU9" i="49"/>
  <c r="CU8" i="49"/>
  <c r="CU7" i="49"/>
  <c r="CU6" i="49"/>
  <c r="CT34" i="49"/>
  <c r="CS34" i="49"/>
  <c r="CR34" i="49"/>
  <c r="CT27" i="49"/>
  <c r="CT38" i="49" s="1"/>
  <c r="CS27" i="49"/>
  <c r="CS38" i="49" s="1"/>
  <c r="CR27" i="49"/>
  <c r="CR38" i="49" s="1"/>
  <c r="CT23" i="49"/>
  <c r="CS23" i="49"/>
  <c r="CR23" i="49"/>
  <c r="CT16" i="49"/>
  <c r="CS16" i="49"/>
  <c r="CR16" i="49"/>
  <c r="CT11" i="49"/>
  <c r="CS11" i="49"/>
  <c r="CR11" i="49"/>
  <c r="CS3" i="49"/>
  <c r="CS26" i="49" s="1"/>
  <c r="CS37" i="49" s="1"/>
  <c r="CR3" i="49"/>
  <c r="CR26" i="49" s="1"/>
  <c r="CR37" i="49" s="1"/>
  <c r="B74" i="1"/>
  <c r="CT3" i="49" l="1"/>
  <c r="CR15" i="49"/>
  <c r="CS15" i="49"/>
  <c r="CT15" i="49" l="1"/>
  <c r="CT26" i="49"/>
  <c r="CT37" i="49" s="1"/>
  <c r="FB61" i="29"/>
  <c r="B130" i="1" s="1"/>
  <c r="FA61" i="29"/>
  <c r="EZ61" i="29"/>
  <c r="FB57" i="29"/>
  <c r="FA57" i="29"/>
  <c r="EZ57" i="29"/>
  <c r="FB49" i="29"/>
  <c r="FA49" i="29"/>
  <c r="EZ49" i="29"/>
  <c r="FB44" i="29"/>
  <c r="FA44" i="29"/>
  <c r="EZ44" i="29"/>
  <c r="T274" i="16" l="1"/>
  <c r="T275" i="16" s="1"/>
  <c r="T276" i="16" s="1"/>
  <c r="T277" i="16" s="1"/>
  <c r="T278" i="16" s="1"/>
  <c r="C262" i="16" l="1"/>
  <c r="F262" i="16"/>
  <c r="D262" i="16" s="1"/>
  <c r="C263" i="16"/>
  <c r="D263" i="16"/>
  <c r="F263" i="16"/>
  <c r="C264" i="16"/>
  <c r="F264" i="16"/>
  <c r="G264" i="16"/>
  <c r="C265" i="16"/>
  <c r="C266" i="16"/>
  <c r="E263" i="16" l="1"/>
  <c r="E262" i="16"/>
  <c r="E264" i="16"/>
  <c r="G262" i="16"/>
  <c r="D264" i="16"/>
  <c r="F265" i="16"/>
  <c r="G263" i="16"/>
  <c r="D265" i="16" l="1"/>
  <c r="F266" i="16"/>
  <c r="G265" i="16"/>
  <c r="G266" i="16"/>
  <c r="D266" i="16" l="1"/>
  <c r="E265" i="16"/>
  <c r="E266" i="16" l="1"/>
  <c r="EO51" i="8" l="1"/>
  <c r="IF95" i="15" l="1"/>
  <c r="IF47" i="15"/>
  <c r="IF30" i="15"/>
  <c r="IF15" i="15"/>
  <c r="IF10" i="15"/>
  <c r="IF107" i="15" s="1"/>
  <c r="IE95" i="15"/>
  <c r="IE47" i="15"/>
  <c r="IE30" i="15"/>
  <c r="IE15" i="15"/>
  <c r="IE10" i="15"/>
  <c r="ID95" i="15"/>
  <c r="ID47" i="15"/>
  <c r="ID30" i="15"/>
  <c r="ID15" i="15"/>
  <c r="ID10" i="15"/>
  <c r="ID107" i="15" s="1"/>
  <c r="A313" i="40"/>
  <c r="DD393" i="40"/>
  <c r="DE393" i="40"/>
  <c r="DE334" i="40"/>
  <c r="DD334" i="40"/>
  <c r="DC334" i="40"/>
  <c r="IE107" i="15" l="1"/>
  <c r="DC392" i="40"/>
  <c r="DC331" i="40"/>
  <c r="DD331" i="40"/>
  <c r="DE331" i="40"/>
  <c r="DC393" i="40"/>
  <c r="DD392" i="40"/>
  <c r="DE395" i="40"/>
  <c r="DC332" i="40"/>
  <c r="DE332" i="40"/>
  <c r="DD332" i="40"/>
  <c r="DE397" i="40"/>
  <c r="DC399" i="40"/>
  <c r="DC400" i="40" s="1"/>
  <c r="DD399" i="40"/>
  <c r="DD400" i="40" s="1"/>
  <c r="DE392" i="40"/>
  <c r="DE399" i="40"/>
  <c r="DE400" i="40" s="1"/>
  <c r="DE402" i="40"/>
  <c r="DD395" i="40"/>
  <c r="DD397" i="40"/>
  <c r="DD398" i="40" s="1"/>
  <c r="DD402" i="40"/>
  <c r="DC395" i="40"/>
  <c r="DC397" i="40"/>
  <c r="DC398" i="40" s="1"/>
  <c r="DC402" i="40"/>
  <c r="DE398" i="40" l="1"/>
  <c r="IF108" i="15"/>
  <c r="IF109" i="15" s="1"/>
  <c r="IE108" i="15"/>
  <c r="IE109" i="15" s="1"/>
  <c r="ID108" i="15"/>
  <c r="ID109" i="15" s="1"/>
  <c r="DC333" i="40"/>
  <c r="DD333" i="40"/>
  <c r="DE333" i="40"/>
  <c r="CP40" i="49" l="1"/>
  <c r="CQ40" i="49"/>
  <c r="CO40" i="49"/>
  <c r="DB425" i="41" l="1"/>
  <c r="DC425" i="41"/>
  <c r="DD425" i="41"/>
  <c r="DB519" i="41"/>
  <c r="DC519" i="41" l="1"/>
  <c r="DD519" i="41"/>
  <c r="DD424" i="41"/>
  <c r="DC424" i="41"/>
  <c r="DB424" i="41"/>
  <c r="DH424" i="41" s="1"/>
  <c r="CQ34" i="49" l="1"/>
  <c r="CQ27" i="49"/>
  <c r="CQ38" i="49" s="1"/>
  <c r="CQ23" i="49"/>
  <c r="CQ16" i="49"/>
  <c r="CQ11" i="49"/>
  <c r="CP34" i="49"/>
  <c r="CP27" i="49"/>
  <c r="CP38" i="49" s="1"/>
  <c r="CP23" i="49"/>
  <c r="CP16" i="49"/>
  <c r="CP11" i="49"/>
  <c r="CO34" i="49"/>
  <c r="CO27" i="49"/>
  <c r="CO38" i="49" s="1"/>
  <c r="CO23" i="49"/>
  <c r="CO16" i="49"/>
  <c r="CO11" i="49"/>
  <c r="EY61" i="29"/>
  <c r="EY57" i="29"/>
  <c r="EY51" i="29"/>
  <c r="EY49" i="29"/>
  <c r="EY44" i="29"/>
  <c r="EX61" i="29"/>
  <c r="EX57" i="29"/>
  <c r="EX51" i="29"/>
  <c r="EX49" i="29"/>
  <c r="EX44" i="29"/>
  <c r="EW84" i="29"/>
  <c r="EY83" i="29"/>
  <c r="EW61" i="29"/>
  <c r="EW57" i="29"/>
  <c r="EW51" i="29"/>
  <c r="EW49" i="29"/>
  <c r="EX46" i="29"/>
  <c r="EW44" i="29"/>
  <c r="EZ51" i="29" l="1"/>
  <c r="FA51" i="29" s="1"/>
  <c r="FB51" i="29" s="1"/>
  <c r="EY46" i="29"/>
  <c r="EW83" i="29"/>
  <c r="EW85" i="29" s="1"/>
  <c r="EW46" i="29"/>
  <c r="EY84" i="29"/>
  <c r="EY85" i="29" s="1"/>
  <c r="EX83" i="29"/>
  <c r="EX84" i="29"/>
  <c r="EX85" i="29" l="1"/>
  <c r="CX22" i="49"/>
  <c r="CX21" i="49"/>
  <c r="CX20" i="49"/>
  <c r="CX19" i="49"/>
  <c r="CX18" i="49"/>
  <c r="CX10" i="49"/>
  <c r="CX9" i="49"/>
  <c r="CX8" i="49"/>
  <c r="CX7" i="49"/>
  <c r="CX6" i="49"/>
  <c r="EK51" i="8" l="1"/>
  <c r="IC95" i="15" l="1"/>
  <c r="IC30" i="15"/>
  <c r="IC15" i="15"/>
  <c r="IC10" i="15"/>
  <c r="A136" i="40"/>
  <c r="IB95" i="15"/>
  <c r="IB30" i="15"/>
  <c r="IB15" i="15"/>
  <c r="IB10" i="15"/>
  <c r="IA95" i="15"/>
  <c r="IA30" i="15"/>
  <c r="IA15" i="15"/>
  <c r="IA10" i="15"/>
  <c r="IC47" i="15" l="1"/>
  <c r="IC107" i="15" s="1"/>
  <c r="IB47" i="15"/>
  <c r="IB107" i="15" s="1"/>
  <c r="IA47" i="15"/>
  <c r="IA107" i="15" s="1"/>
  <c r="EV21" i="15"/>
  <c r="EU21" i="15"/>
  <c r="A348" i="41" l="1"/>
  <c r="A177" i="41"/>
  <c r="A19" i="41" l="1"/>
  <c r="R106" i="1" l="1"/>
  <c r="CM40" i="49"/>
  <c r="CN40" i="49"/>
  <c r="CV40" i="49" s="1"/>
  <c r="CL40" i="49"/>
  <c r="DB334" i="40" l="1"/>
  <c r="DA334" i="40"/>
  <c r="CZ334" i="40"/>
  <c r="CZ397" i="40" l="1"/>
  <c r="DB333" i="40"/>
  <c r="CZ393" i="40"/>
  <c r="DA393" i="40"/>
  <c r="DB392" i="40"/>
  <c r="DB399" i="40"/>
  <c r="DB400" i="40" s="1"/>
  <c r="DB393" i="40"/>
  <c r="CZ395" i="40"/>
  <c r="CZ392" i="40"/>
  <c r="DA392" i="40"/>
  <c r="DA333" i="40"/>
  <c r="DA399" i="40"/>
  <c r="DA400" i="40" s="1"/>
  <c r="DB395" i="40"/>
  <c r="DB397" i="40"/>
  <c r="DB402" i="40"/>
  <c r="DA397" i="40"/>
  <c r="DA395" i="40"/>
  <c r="DA402" i="40"/>
  <c r="CZ399" i="40"/>
  <c r="CZ400" i="40" s="1"/>
  <c r="CZ402" i="40"/>
  <c r="DB398" i="40" l="1"/>
  <c r="IC108" i="15"/>
  <c r="IC109" i="15" s="1"/>
  <c r="DA398" i="40"/>
  <c r="IB108" i="15"/>
  <c r="IB109" i="15" s="1"/>
  <c r="CZ398" i="40"/>
  <c r="IA108" i="15"/>
  <c r="IA109" i="15" s="1"/>
  <c r="CZ333" i="40"/>
  <c r="DA425" i="41" l="1"/>
  <c r="CZ425" i="41"/>
  <c r="CY425" i="41"/>
  <c r="CN34" i="49"/>
  <c r="CN27" i="49"/>
  <c r="CN38" i="49" s="1"/>
  <c r="CN23" i="49"/>
  <c r="CN16" i="49"/>
  <c r="CN11" i="49"/>
  <c r="CM34" i="49"/>
  <c r="CM27" i="49"/>
  <c r="CM38" i="49" s="1"/>
  <c r="CM23" i="49"/>
  <c r="CM16" i="49"/>
  <c r="CM11" i="49"/>
  <c r="CL34" i="49"/>
  <c r="CL27" i="49"/>
  <c r="CL38" i="49" s="1"/>
  <c r="CL23" i="49"/>
  <c r="CL16" i="49"/>
  <c r="CL11" i="49"/>
  <c r="EV57" i="29"/>
  <c r="EV49" i="29"/>
  <c r="EV44" i="29"/>
  <c r="EU57" i="29"/>
  <c r="EU49" i="29"/>
  <c r="EU44" i="29"/>
  <c r="ET57" i="29"/>
  <c r="ET49" i="29"/>
  <c r="ET44" i="29"/>
  <c r="B37" i="52"/>
  <c r="CY517" i="41" l="1"/>
  <c r="CZ519" i="41"/>
  <c r="CZ515" i="41"/>
  <c r="DA517" i="41"/>
  <c r="CY519" i="41"/>
  <c r="CY515" i="41"/>
  <c r="CZ517" i="41"/>
  <c r="DA519" i="41"/>
  <c r="DA515" i="41"/>
  <c r="EQ51" i="29"/>
  <c r="ER51" i="29" s="1"/>
  <c r="ES51" i="29" s="1"/>
  <c r="EV51" i="29" l="1"/>
  <c r="ET51" i="29"/>
  <c r="EI51" i="8" l="1"/>
  <c r="A262" i="41"/>
  <c r="A198" i="40" l="1"/>
  <c r="A199" i="40"/>
  <c r="HZ95" i="15" l="1"/>
  <c r="HY95" i="15"/>
  <c r="HX95" i="15"/>
  <c r="HZ30" i="15"/>
  <c r="HY30" i="15"/>
  <c r="HX30" i="15"/>
  <c r="HZ15" i="15"/>
  <c r="HY15" i="15"/>
  <c r="HX15" i="15"/>
  <c r="HZ10" i="15"/>
  <c r="HY10" i="15"/>
  <c r="HX10" i="15"/>
  <c r="HX47" i="15" l="1"/>
  <c r="HX107" i="15"/>
  <c r="HY47" i="15"/>
  <c r="HY107" i="15" s="1"/>
  <c r="HZ47" i="15"/>
  <c r="HZ107" i="15" s="1"/>
  <c r="CX519" i="41" l="1"/>
  <c r="CW519" i="41"/>
  <c r="CV519" i="41"/>
  <c r="EU84" i="29" l="1"/>
  <c r="EV84" i="29"/>
  <c r="ET84" i="29"/>
  <c r="ET46" i="29"/>
  <c r="EU46" i="29"/>
  <c r="EV46" i="29"/>
  <c r="ET83" i="29"/>
  <c r="EV83" i="29"/>
  <c r="EU83" i="29"/>
  <c r="CY393" i="40"/>
  <c r="CY334" i="40"/>
  <c r="CX393" i="40"/>
  <c r="CX334" i="40"/>
  <c r="CW393" i="40"/>
  <c r="CW334" i="40"/>
  <c r="ET85" i="29" l="1"/>
  <c r="EV85" i="29"/>
  <c r="EU85" i="29"/>
  <c r="CY399" i="40"/>
  <c r="CY400" i="40" s="1"/>
  <c r="CX399" i="40"/>
  <c r="CX400" i="40" s="1"/>
  <c r="CW399" i="40"/>
  <c r="CW400" i="40" s="1"/>
  <c r="CY395" i="40"/>
  <c r="CY397" i="40"/>
  <c r="CY402" i="40"/>
  <c r="CX395" i="40"/>
  <c r="CX397" i="40"/>
  <c r="CX402" i="40"/>
  <c r="CW395" i="40"/>
  <c r="CW397" i="40"/>
  <c r="CW402" i="40"/>
  <c r="CX333" i="40" l="1"/>
  <c r="CW333" i="40"/>
  <c r="CY333" i="40"/>
  <c r="CW398" i="40"/>
  <c r="HX108" i="15"/>
  <c r="HX109" i="15" s="1"/>
  <c r="CX398" i="40"/>
  <c r="HY108" i="15"/>
  <c r="HY109" i="15" s="1"/>
  <c r="CY398" i="40"/>
  <c r="HZ108" i="15"/>
  <c r="HZ109" i="15" s="1"/>
  <c r="CX425" i="41"/>
  <c r="CW425" i="41"/>
  <c r="CV425" i="41"/>
  <c r="DH425" i="41" s="1"/>
  <c r="CW517" i="41" l="1"/>
  <c r="CW515" i="41"/>
  <c r="CV515" i="41"/>
  <c r="CV517" i="41"/>
  <c r="CX515" i="41"/>
  <c r="CX517" i="41"/>
  <c r="CJ40" i="49"/>
  <c r="CK40" i="49"/>
  <c r="CI40" i="49"/>
  <c r="CK34" i="49"/>
  <c r="CK27" i="49"/>
  <c r="CK38" i="49" s="1"/>
  <c r="CK23" i="49"/>
  <c r="CK16" i="49"/>
  <c r="CK11" i="49"/>
  <c r="CJ34" i="49"/>
  <c r="CJ27" i="49"/>
  <c r="CJ38" i="49" s="1"/>
  <c r="CJ23" i="49"/>
  <c r="CJ16" i="49"/>
  <c r="CJ11" i="49"/>
  <c r="CJ3" i="49"/>
  <c r="CJ15" i="49" s="1"/>
  <c r="CI34" i="49"/>
  <c r="CI27" i="49"/>
  <c r="CI38" i="49" s="1"/>
  <c r="CI26" i="49"/>
  <c r="CI37" i="49" s="1"/>
  <c r="CI23" i="49"/>
  <c r="CI16" i="49"/>
  <c r="CI15" i="49"/>
  <c r="CI11" i="49"/>
  <c r="CJ26" i="49" l="1"/>
  <c r="CJ37" i="49" s="1"/>
  <c r="CK3" i="49"/>
  <c r="CL3" i="49" s="1"/>
  <c r="ES84" i="29"/>
  <c r="ES83" i="29"/>
  <c r="ES57" i="29"/>
  <c r="ES49" i="29"/>
  <c r="ES46" i="29"/>
  <c r="ES44" i="29"/>
  <c r="ER84" i="29"/>
  <c r="ER83" i="29"/>
  <c r="ER57" i="29"/>
  <c r="ER49" i="29"/>
  <c r="ER46" i="29"/>
  <c r="ER44" i="29"/>
  <c r="EQ84" i="29"/>
  <c r="EQ83" i="29"/>
  <c r="EQ57" i="29"/>
  <c r="EQ49" i="29"/>
  <c r="EQ46" i="29"/>
  <c r="EQ44" i="29"/>
  <c r="D7" i="46"/>
  <c r="D30" i="46"/>
  <c r="D30" i="48"/>
  <c r="F30" i="48" s="1"/>
  <c r="B7" i="42"/>
  <c r="B7" i="46" s="1"/>
  <c r="D30" i="42"/>
  <c r="D30" i="60"/>
  <c r="H30" i="60" s="1"/>
  <c r="D7" i="47"/>
  <c r="D30" i="47"/>
  <c r="F30" i="47" s="1"/>
  <c r="B6" i="66"/>
  <c r="D7" i="66"/>
  <c r="D30" i="66"/>
  <c r="F30" i="66" s="1"/>
  <c r="D8" i="59"/>
  <c r="D31" i="59"/>
  <c r="F31" i="59"/>
  <c r="H31" i="59"/>
  <c r="D8" i="45"/>
  <c r="D31" i="45"/>
  <c r="F31" i="45" s="1"/>
  <c r="D6" i="44"/>
  <c r="D7" i="59" s="1"/>
  <c r="F30" i="44"/>
  <c r="H30" i="44"/>
  <c r="C22" i="56"/>
  <c r="L16" i="65"/>
  <c r="L20" i="65"/>
  <c r="L22" i="65"/>
  <c r="K31" i="65"/>
  <c r="L31" i="65" s="1"/>
  <c r="L32" i="65"/>
  <c r="K35" i="65"/>
  <c r="L35" i="65" s="1"/>
  <c r="I37" i="65"/>
  <c r="L37" i="65" s="1"/>
  <c r="L39" i="65"/>
  <c r="E43" i="65"/>
  <c r="F43" i="65"/>
  <c r="I43" i="65"/>
  <c r="A1" i="64"/>
  <c r="A2" i="64"/>
  <c r="A4" i="64"/>
  <c r="L14" i="64"/>
  <c r="A39" i="64"/>
  <c r="A45" i="64"/>
  <c r="A55" i="64"/>
  <c r="A57" i="64"/>
  <c r="A58" i="64"/>
  <c r="A59" i="64"/>
  <c r="A60" i="64"/>
  <c r="A61" i="64"/>
  <c r="A62" i="64"/>
  <c r="A63" i="64"/>
  <c r="A64" i="64"/>
  <c r="A65" i="64"/>
  <c r="A66" i="64"/>
  <c r="A67" i="64"/>
  <c r="A68" i="64"/>
  <c r="A69" i="64"/>
  <c r="A70" i="64"/>
  <c r="A71" i="64"/>
  <c r="T71" i="64"/>
  <c r="A72" i="64"/>
  <c r="D72" i="64"/>
  <c r="D77" i="64" s="1"/>
  <c r="A73" i="64"/>
  <c r="A74" i="64"/>
  <c r="B74" i="64"/>
  <c r="F74" i="64"/>
  <c r="N74" i="64"/>
  <c r="A75" i="64"/>
  <c r="A76" i="64"/>
  <c r="A77" i="64"/>
  <c r="H77" i="64"/>
  <c r="A79" i="64"/>
  <c r="A81" i="64"/>
  <c r="A82" i="64"/>
  <c r="A83" i="64"/>
  <c r="A85" i="64"/>
  <c r="A86" i="64"/>
  <c r="T88" i="64"/>
  <c r="T90" i="64" s="1"/>
  <c r="A90" i="64"/>
  <c r="B90" i="64"/>
  <c r="D90" i="64"/>
  <c r="F90" i="64"/>
  <c r="H90" i="64"/>
  <c r="J90" i="64"/>
  <c r="L90" i="64"/>
  <c r="N90" i="64"/>
  <c r="P90" i="64"/>
  <c r="R90" i="64"/>
  <c r="A92" i="64"/>
  <c r="A95" i="64"/>
  <c r="A96" i="64"/>
  <c r="A106" i="64"/>
  <c r="A108" i="64"/>
  <c r="A109" i="64"/>
  <c r="A110" i="64"/>
  <c r="A111" i="64"/>
  <c r="A112" i="64"/>
  <c r="A113" i="64"/>
  <c r="A114" i="64"/>
  <c r="A115" i="64"/>
  <c r="A116" i="64"/>
  <c r="A117" i="64"/>
  <c r="A118" i="64"/>
  <c r="A119" i="64"/>
  <c r="A120" i="64"/>
  <c r="L120" i="64"/>
  <c r="T120" i="64" s="1"/>
  <c r="V120" i="64" s="1"/>
  <c r="A121" i="64"/>
  <c r="B121" i="64"/>
  <c r="L121" i="64" s="1"/>
  <c r="T121" i="64" s="1"/>
  <c r="V121" i="64" s="1"/>
  <c r="A122" i="64"/>
  <c r="L122" i="64"/>
  <c r="A123" i="64"/>
  <c r="F123" i="64"/>
  <c r="H123" i="64"/>
  <c r="J123" i="64"/>
  <c r="A124" i="64"/>
  <c r="B124" i="64"/>
  <c r="B123" i="64" s="1"/>
  <c r="A125" i="64"/>
  <c r="L125" i="64"/>
  <c r="T125" i="64" s="1"/>
  <c r="V125" i="64" s="1"/>
  <c r="A126" i="64"/>
  <c r="N126" i="64"/>
  <c r="R126" i="64"/>
  <c r="A128" i="64"/>
  <c r="A130" i="64"/>
  <c r="A131" i="64"/>
  <c r="A132" i="64"/>
  <c r="A134" i="64"/>
  <c r="A135" i="64"/>
  <c r="A137" i="64"/>
  <c r="T137" i="64"/>
  <c r="A139" i="64"/>
  <c r="B139" i="64"/>
  <c r="F139" i="64"/>
  <c r="L139" i="64"/>
  <c r="R139" i="64"/>
  <c r="A141" i="64"/>
  <c r="A143" i="64"/>
  <c r="A144" i="64"/>
  <c r="A148" i="64"/>
  <c r="A149" i="64"/>
  <c r="A150" i="64"/>
  <c r="L162" i="64"/>
  <c r="P162" i="64" s="1"/>
  <c r="L166" i="64"/>
  <c r="P166" i="64"/>
  <c r="AB170" i="64"/>
  <c r="A176" i="64"/>
  <c r="A177" i="64"/>
  <c r="A178" i="64"/>
  <c r="H221" i="64"/>
  <c r="H223" i="64"/>
  <c r="A241" i="64"/>
  <c r="H282" i="64"/>
  <c r="H284" i="64"/>
  <c r="D41" i="77"/>
  <c r="L41" i="77"/>
  <c r="G18" i="57"/>
  <c r="L16" i="2"/>
  <c r="L20" i="2"/>
  <c r="L22" i="2"/>
  <c r="K31" i="2"/>
  <c r="L31" i="2" s="1"/>
  <c r="L32" i="2"/>
  <c r="K35" i="2"/>
  <c r="L35" i="2" s="1"/>
  <c r="I37" i="2"/>
  <c r="L37" i="2" s="1"/>
  <c r="L39" i="2"/>
  <c r="F43" i="2"/>
  <c r="B68" i="2"/>
  <c r="D14" i="65" s="1"/>
  <c r="B69" i="2"/>
  <c r="C178" i="2" s="1"/>
  <c r="B77" i="2"/>
  <c r="G18" i="65" s="1"/>
  <c r="L18" i="65" s="1"/>
  <c r="B98" i="2"/>
  <c r="C201" i="2" s="1"/>
  <c r="C109" i="2"/>
  <c r="B110" i="2"/>
  <c r="C110" i="2"/>
  <c r="B112" i="2"/>
  <c r="C112" i="2"/>
  <c r="B119" i="2"/>
  <c r="B140" i="2"/>
  <c r="H187" i="2" s="1"/>
  <c r="B148" i="2"/>
  <c r="B156" i="2"/>
  <c r="N46" i="76"/>
  <c r="N48" i="76"/>
  <c r="C82" i="75"/>
  <c r="C83" i="75"/>
  <c r="C84" i="75"/>
  <c r="B31" i="3"/>
  <c r="B64" i="3"/>
  <c r="B19" i="68"/>
  <c r="C19" i="68"/>
  <c r="A24" i="68"/>
  <c r="A25" i="68"/>
  <c r="A26" i="68"/>
  <c r="A27" i="68"/>
  <c r="A28" i="68"/>
  <c r="A29" i="68"/>
  <c r="A30" i="68"/>
  <c r="A35" i="68"/>
  <c r="A36" i="68"/>
  <c r="A37" i="68"/>
  <c r="A38" i="68"/>
  <c r="A39" i="68"/>
  <c r="A40" i="68"/>
  <c r="B40" i="68"/>
  <c r="A41" i="68"/>
  <c r="A46" i="68"/>
  <c r="A47" i="68"/>
  <c r="A48" i="68"/>
  <c r="A49" i="68"/>
  <c r="ET7" i="8"/>
  <c r="DJ8" i="8"/>
  <c r="DK8" i="8" s="1"/>
  <c r="DL8" i="8" s="1"/>
  <c r="DM8" i="8" s="1"/>
  <c r="DN8" i="8" s="1"/>
  <c r="DO8" i="8" s="1"/>
  <c r="DP8" i="8" s="1"/>
  <c r="DQ8" i="8" s="1"/>
  <c r="DR8" i="8" s="1"/>
  <c r="DS8" i="8" s="1"/>
  <c r="DT8" i="8" s="1"/>
  <c r="DU8" i="8" s="1"/>
  <c r="DV8" i="8" s="1"/>
  <c r="DW8" i="8" s="1"/>
  <c r="DX8" i="8" s="1"/>
  <c r="DY8" i="8" s="1"/>
  <c r="DZ8" i="8" s="1"/>
  <c r="EA8" i="8" s="1"/>
  <c r="EB8" i="8" s="1"/>
  <c r="EC8" i="8" s="1"/>
  <c r="ED8" i="8" s="1"/>
  <c r="EE8" i="8" s="1"/>
  <c r="EF8" i="8" s="1"/>
  <c r="EG8" i="8" s="1"/>
  <c r="EH8" i="8" s="1"/>
  <c r="EI8" i="8" s="1"/>
  <c r="EJ8" i="8" s="1"/>
  <c r="EK8" i="8" s="1"/>
  <c r="EL8" i="8" s="1"/>
  <c r="EM8" i="8" s="1"/>
  <c r="EN8" i="8" s="1"/>
  <c r="EO8" i="8" s="1"/>
  <c r="EP8" i="8" s="1"/>
  <c r="EQ8" i="8" s="1"/>
  <c r="ER8" i="8" s="1"/>
  <c r="ES8" i="8" s="1"/>
  <c r="BZ11" i="8"/>
  <c r="CA11" i="8"/>
  <c r="CB11" i="8"/>
  <c r="CF11" i="8"/>
  <c r="CG11" i="8"/>
  <c r="CH11" i="8"/>
  <c r="CI11" i="8"/>
  <c r="CJ11" i="8"/>
  <c r="CK11" i="8"/>
  <c r="CL11" i="8"/>
  <c r="CM11" i="8"/>
  <c r="CN11" i="8"/>
  <c r="CO11" i="8"/>
  <c r="CP11" i="8"/>
  <c r="CQ11" i="8"/>
  <c r="CR11" i="8"/>
  <c r="CS11" i="8"/>
  <c r="CT11" i="8"/>
  <c r="CU11" i="8"/>
  <c r="CV11" i="8"/>
  <c r="CW11" i="8"/>
  <c r="CX11" i="8"/>
  <c r="CY11" i="8"/>
  <c r="CZ11" i="8"/>
  <c r="DA11" i="8"/>
  <c r="DB11" i="8"/>
  <c r="DC11" i="8"/>
  <c r="DD11" i="8"/>
  <c r="DE11" i="8"/>
  <c r="DF11" i="8"/>
  <c r="DG11" i="8"/>
  <c r="DH11" i="8"/>
  <c r="DI11" i="8"/>
  <c r="DJ11" i="8"/>
  <c r="DK11" i="8"/>
  <c r="DL11" i="8"/>
  <c r="DM11" i="8"/>
  <c r="DN11" i="8"/>
  <c r="DO11" i="8"/>
  <c r="DP11" i="8"/>
  <c r="DQ11" i="8"/>
  <c r="DR11" i="8"/>
  <c r="DS11" i="8"/>
  <c r="DT11" i="8"/>
  <c r="DU11" i="8"/>
  <c r="DV11" i="8"/>
  <c r="DW11" i="8"/>
  <c r="DX11" i="8"/>
  <c r="DY11" i="8"/>
  <c r="DZ11" i="8"/>
  <c r="EA11" i="8"/>
  <c r="EB11" i="8"/>
  <c r="EC11" i="8"/>
  <c r="ED11" i="8"/>
  <c r="P144" i="64"/>
  <c r="EU21" i="8"/>
  <c r="BZ22" i="8"/>
  <c r="CA22" i="8"/>
  <c r="CA24" i="8" s="1"/>
  <c r="CB22" i="8"/>
  <c r="CB24" i="8" s="1"/>
  <c r="CF22" i="8"/>
  <c r="CG22" i="8"/>
  <c r="CH22" i="8"/>
  <c r="CI22" i="8"/>
  <c r="CJ22" i="8"/>
  <c r="CK22" i="8"/>
  <c r="CL22" i="8"/>
  <c r="CL24" i="8" s="1"/>
  <c r="CM22" i="8"/>
  <c r="CM24" i="8" s="1"/>
  <c r="CN22" i="8"/>
  <c r="CN24" i="8" s="1"/>
  <c r="CO22" i="8"/>
  <c r="CO24" i="8" s="1"/>
  <c r="CP22" i="8"/>
  <c r="CP24" i="8" s="1"/>
  <c r="CQ22" i="8"/>
  <c r="CQ24" i="8" s="1"/>
  <c r="CR22" i="8"/>
  <c r="CR24" i="8" s="1"/>
  <c r="CS22" i="8"/>
  <c r="CT22" i="8"/>
  <c r="CT24" i="8" s="1"/>
  <c r="DD22" i="8"/>
  <c r="DE22" i="8"/>
  <c r="DF22" i="8"/>
  <c r="DG22" i="8"/>
  <c r="DH22" i="8"/>
  <c r="DI22" i="8"/>
  <c r="DJ22" i="8"/>
  <c r="DK22" i="8"/>
  <c r="DK24" i="8" s="1"/>
  <c r="DK58" i="8" s="1"/>
  <c r="DL22" i="8"/>
  <c r="DM22" i="8"/>
  <c r="DN22" i="8"/>
  <c r="DO22" i="8"/>
  <c r="DP22" i="8"/>
  <c r="DQ22" i="8"/>
  <c r="DR22" i="8"/>
  <c r="DS22" i="8"/>
  <c r="DS24" i="8" s="1"/>
  <c r="DS58" i="8" s="1"/>
  <c r="DT22" i="8"/>
  <c r="DU22" i="8"/>
  <c r="DV22" i="8"/>
  <c r="DW22" i="8"/>
  <c r="DX22" i="8"/>
  <c r="DX24" i="8" s="1"/>
  <c r="DY22" i="8"/>
  <c r="DZ22" i="8"/>
  <c r="EA22" i="8"/>
  <c r="EA24" i="8" s="1"/>
  <c r="EA58" i="8" s="1"/>
  <c r="EB22" i="8"/>
  <c r="EC22" i="8"/>
  <c r="ED22" i="8"/>
  <c r="BZ34" i="8"/>
  <c r="CA34" i="8"/>
  <c r="CB34" i="8"/>
  <c r="CF34" i="8"/>
  <c r="CG34" i="8"/>
  <c r="CH34" i="8"/>
  <c r="CI34" i="8"/>
  <c r="CJ34" i="8"/>
  <c r="CK34" i="8"/>
  <c r="CL34" i="8"/>
  <c r="CM34" i="8"/>
  <c r="CN34" i="8"/>
  <c r="CO34" i="8"/>
  <c r="CP34" i="8"/>
  <c r="CQ34" i="8"/>
  <c r="CR34" i="8"/>
  <c r="CS34" i="8"/>
  <c r="CT34" i="8"/>
  <c r="DD34" i="8"/>
  <c r="DE34" i="8"/>
  <c r="DG34" i="8"/>
  <c r="DH34" i="8"/>
  <c r="DI34" i="8"/>
  <c r="DJ34" i="8"/>
  <c r="DK34" i="8"/>
  <c r="DL34" i="8"/>
  <c r="DM34" i="8"/>
  <c r="DN34" i="8"/>
  <c r="DO34" i="8"/>
  <c r="DP34" i="8"/>
  <c r="DQ34" i="8"/>
  <c r="DR34" i="8"/>
  <c r="DS34" i="8"/>
  <c r="DT34" i="8"/>
  <c r="DU34" i="8"/>
  <c r="DV34" i="8"/>
  <c r="DW34" i="8"/>
  <c r="DX34" i="8"/>
  <c r="DY34" i="8"/>
  <c r="DZ34" i="8"/>
  <c r="EA34" i="8"/>
  <c r="EB34" i="8"/>
  <c r="EC34" i="8"/>
  <c r="ED34" i="8"/>
  <c r="BZ43" i="8"/>
  <c r="CA43" i="8"/>
  <c r="CB43" i="8"/>
  <c r="CF43" i="8"/>
  <c r="CG43" i="8"/>
  <c r="CH43" i="8"/>
  <c r="CI43" i="8"/>
  <c r="CJ43" i="8"/>
  <c r="CK43" i="8"/>
  <c r="CL43" i="8"/>
  <c r="CM43" i="8"/>
  <c r="CN43" i="8"/>
  <c r="CO43" i="8"/>
  <c r="CP43" i="8"/>
  <c r="CQ43" i="8"/>
  <c r="CR43" i="8"/>
  <c r="CS43" i="8"/>
  <c r="CT43" i="8"/>
  <c r="CU43" i="8"/>
  <c r="CV43" i="8"/>
  <c r="CW43" i="8"/>
  <c r="DG43" i="8"/>
  <c r="DH43" i="8"/>
  <c r="DI43" i="8"/>
  <c r="DJ43" i="8"/>
  <c r="DK43" i="8"/>
  <c r="DL43" i="8"/>
  <c r="DM43" i="8"/>
  <c r="DN43" i="8"/>
  <c r="DO43" i="8"/>
  <c r="DP43" i="8"/>
  <c r="DQ43" i="8"/>
  <c r="DR43" i="8"/>
  <c r="DS43" i="8"/>
  <c r="DT43" i="8"/>
  <c r="DU43" i="8"/>
  <c r="DV43" i="8"/>
  <c r="DW43" i="8"/>
  <c r="DX43" i="8"/>
  <c r="DY43" i="8"/>
  <c r="DZ43" i="8"/>
  <c r="EA43" i="8"/>
  <c r="EB43" i="8"/>
  <c r="EC43" i="8"/>
  <c r="ED43" i="8"/>
  <c r="CA51" i="8"/>
  <c r="CG51" i="8"/>
  <c r="CJ51" i="8"/>
  <c r="CM51" i="8"/>
  <c r="CP51" i="8"/>
  <c r="CS51" i="8"/>
  <c r="CV51" i="8"/>
  <c r="CY51" i="8"/>
  <c r="DB51" i="8"/>
  <c r="DE51" i="8"/>
  <c r="DH51" i="8"/>
  <c r="DK51" i="8"/>
  <c r="DN51" i="8"/>
  <c r="DQ51" i="8"/>
  <c r="DT51" i="8"/>
  <c r="DW51" i="8"/>
  <c r="DY51" i="8"/>
  <c r="EC51" i="8"/>
  <c r="EF51" i="8"/>
  <c r="FF4" i="15"/>
  <c r="BB6" i="15"/>
  <c r="BC6" i="15" s="1"/>
  <c r="BD6" i="15" s="1"/>
  <c r="BE6" i="15" s="1"/>
  <c r="BF6" i="15" s="1"/>
  <c r="BG6" i="15" s="1"/>
  <c r="BH6" i="15" s="1"/>
  <c r="BI6" i="15" s="1"/>
  <c r="BJ6" i="15" s="1"/>
  <c r="BK6" i="15" s="1"/>
  <c r="BL6" i="15" s="1"/>
  <c r="BM6" i="15" s="1"/>
  <c r="CF6" i="15"/>
  <c r="CG6" i="15" s="1"/>
  <c r="CH6" i="15" s="1"/>
  <c r="CL6" i="15"/>
  <c r="CM6" i="15" s="1"/>
  <c r="FQ6" i="15" s="1"/>
  <c r="CR6" i="15"/>
  <c r="CS6" i="15" s="1"/>
  <c r="FS6" i="15"/>
  <c r="FT6" i="15"/>
  <c r="FU6" i="15"/>
  <c r="FP10" i="15"/>
  <c r="FQ10" i="15"/>
  <c r="FR10" i="15"/>
  <c r="FS10" i="15"/>
  <c r="FT10" i="15"/>
  <c r="FU10" i="15"/>
  <c r="FV10" i="15"/>
  <c r="FW10" i="15"/>
  <c r="FX10" i="15"/>
  <c r="FY10" i="15"/>
  <c r="FZ10" i="15"/>
  <c r="GA10" i="15"/>
  <c r="GB10" i="15"/>
  <c r="GC10" i="15"/>
  <c r="GD10" i="15"/>
  <c r="GE10" i="15"/>
  <c r="GF10" i="15"/>
  <c r="GG10" i="15"/>
  <c r="GH10" i="15"/>
  <c r="GI10" i="15"/>
  <c r="GJ10" i="15"/>
  <c r="GK10" i="15"/>
  <c r="GL10" i="15"/>
  <c r="GM10" i="15"/>
  <c r="GN10" i="15"/>
  <c r="GO10" i="15"/>
  <c r="GP10" i="15"/>
  <c r="GQ10" i="15"/>
  <c r="GR10" i="15"/>
  <c r="GS10" i="15"/>
  <c r="GT10" i="15"/>
  <c r="GU10" i="15"/>
  <c r="GV10" i="15"/>
  <c r="GW10" i="15"/>
  <c r="GX10" i="15"/>
  <c r="GY10" i="15"/>
  <c r="GZ10" i="15"/>
  <c r="HA10" i="15"/>
  <c r="HB10" i="15"/>
  <c r="HC10" i="15"/>
  <c r="HD10" i="15"/>
  <c r="HE10" i="15"/>
  <c r="HF10" i="15"/>
  <c r="HG10" i="15"/>
  <c r="HH10" i="15"/>
  <c r="HI10" i="15"/>
  <c r="HJ10" i="15"/>
  <c r="HK10" i="15"/>
  <c r="HL10" i="15"/>
  <c r="HM10" i="15"/>
  <c r="HN10" i="15"/>
  <c r="HO10" i="15"/>
  <c r="HP10" i="15"/>
  <c r="HQ10" i="15"/>
  <c r="HR10" i="15"/>
  <c r="HS10" i="15"/>
  <c r="HT10" i="15"/>
  <c r="CL14" i="15"/>
  <c r="CL16" i="15" s="1"/>
  <c r="CM14" i="15"/>
  <c r="CM16" i="15" s="1"/>
  <c r="CN14" i="15"/>
  <c r="CO14" i="15"/>
  <c r="CP14" i="15"/>
  <c r="CQ14" i="15"/>
  <c r="CR14" i="15"/>
  <c r="CS14" i="15"/>
  <c r="CT14" i="15"/>
  <c r="CT16" i="15" s="1"/>
  <c r="CU14" i="15"/>
  <c r="CU16" i="15" s="1"/>
  <c r="CV14" i="15"/>
  <c r="CV16" i="15" s="1"/>
  <c r="CW14" i="15"/>
  <c r="CW16" i="15" s="1"/>
  <c r="CX14" i="15"/>
  <c r="CX16" i="15" s="1"/>
  <c r="CY14" i="15"/>
  <c r="CZ14" i="15"/>
  <c r="CZ16" i="15" s="1"/>
  <c r="DA14" i="15"/>
  <c r="DA16" i="15" s="1"/>
  <c r="DB14" i="15"/>
  <c r="DB16" i="15" s="1"/>
  <c r="DC14" i="15"/>
  <c r="DC16" i="15" s="1"/>
  <c r="DD14" i="15"/>
  <c r="DD16" i="15" s="1"/>
  <c r="DE14" i="15"/>
  <c r="DE16" i="15" s="1"/>
  <c r="DF14" i="15"/>
  <c r="DF16" i="15" s="1"/>
  <c r="DG14" i="15"/>
  <c r="DH14" i="15"/>
  <c r="DH16" i="15" s="1"/>
  <c r="DI14" i="15"/>
  <c r="DI16" i="15" s="1"/>
  <c r="DJ14" i="15"/>
  <c r="DJ16" i="15" s="1"/>
  <c r="DK14" i="15"/>
  <c r="DK16" i="15" s="1"/>
  <c r="DL14" i="15"/>
  <c r="DL16" i="15" s="1"/>
  <c r="DM14" i="15"/>
  <c r="DM16" i="15" s="1"/>
  <c r="DN14" i="15"/>
  <c r="DN16" i="15" s="1"/>
  <c r="DO14" i="15"/>
  <c r="DP14" i="15"/>
  <c r="DQ14" i="15"/>
  <c r="DQ16" i="15" s="1"/>
  <c r="DR14" i="15"/>
  <c r="DR16" i="15" s="1"/>
  <c r="DS14" i="15"/>
  <c r="DS16" i="15" s="1"/>
  <c r="DT14" i="15"/>
  <c r="DT16" i="15" s="1"/>
  <c r="DU14" i="15"/>
  <c r="DU16" i="15" s="1"/>
  <c r="DV14" i="15"/>
  <c r="DV16" i="15" s="1"/>
  <c r="DW14" i="15"/>
  <c r="DW16" i="15" s="1"/>
  <c r="DX14" i="15"/>
  <c r="DY14" i="15"/>
  <c r="DY16" i="15" s="1"/>
  <c r="DZ14" i="15"/>
  <c r="DZ16" i="15" s="1"/>
  <c r="EA14" i="15"/>
  <c r="EA16" i="15" s="1"/>
  <c r="EB14" i="15"/>
  <c r="EB16" i="15" s="1"/>
  <c r="EC14" i="15"/>
  <c r="EC16" i="15" s="1"/>
  <c r="ED14" i="15"/>
  <c r="ED16" i="15" s="1"/>
  <c r="EE14" i="15"/>
  <c r="EF14" i="15"/>
  <c r="EF16" i="15" s="1"/>
  <c r="EG14" i="15"/>
  <c r="EG16" i="15" s="1"/>
  <c r="EH14" i="15"/>
  <c r="EH16" i="15" s="1"/>
  <c r="EI14" i="15"/>
  <c r="EI16" i="15" s="1"/>
  <c r="EJ14" i="15"/>
  <c r="EJ16" i="15" s="1"/>
  <c r="EK14" i="15"/>
  <c r="EK16" i="15" s="1"/>
  <c r="EL14" i="15"/>
  <c r="EL16" i="15" s="1"/>
  <c r="EM14" i="15"/>
  <c r="EN14" i="15"/>
  <c r="EN16" i="15" s="1"/>
  <c r="EO14" i="15"/>
  <c r="EO16" i="15" s="1"/>
  <c r="EP14" i="15"/>
  <c r="EP16" i="15" s="1"/>
  <c r="FP15" i="15"/>
  <c r="FQ15" i="15"/>
  <c r="FR15" i="15"/>
  <c r="FS15" i="15"/>
  <c r="FT15" i="15"/>
  <c r="FU15" i="15"/>
  <c r="FV15" i="15"/>
  <c r="FW15" i="15"/>
  <c r="FX15" i="15"/>
  <c r="FY15" i="15"/>
  <c r="FZ15" i="15"/>
  <c r="GA15" i="15"/>
  <c r="GB15" i="15"/>
  <c r="GC15" i="15"/>
  <c r="GD15" i="15"/>
  <c r="GE15" i="15"/>
  <c r="GF15" i="15"/>
  <c r="GG15" i="15"/>
  <c r="GH15" i="15"/>
  <c r="GI15" i="15"/>
  <c r="GJ15" i="15"/>
  <c r="GK15" i="15"/>
  <c r="GL15" i="15"/>
  <c r="GM15" i="15"/>
  <c r="GN15" i="15"/>
  <c r="GO15" i="15"/>
  <c r="GP15" i="15"/>
  <c r="GQ15" i="15"/>
  <c r="GR15" i="15"/>
  <c r="GS15" i="15"/>
  <c r="GT15" i="15"/>
  <c r="GU15" i="15"/>
  <c r="GV15" i="15"/>
  <c r="GW15" i="15"/>
  <c r="GX15" i="15"/>
  <c r="GY15" i="15"/>
  <c r="GZ15" i="15"/>
  <c r="HA15" i="15"/>
  <c r="HB15" i="15"/>
  <c r="HC15" i="15"/>
  <c r="HD15" i="15"/>
  <c r="HE15" i="15"/>
  <c r="HF15" i="15"/>
  <c r="HG15" i="15"/>
  <c r="HH15" i="15"/>
  <c r="HI15" i="15"/>
  <c r="HJ15" i="15"/>
  <c r="HK15" i="15"/>
  <c r="HL15" i="15"/>
  <c r="HM15" i="15"/>
  <c r="HN15" i="15"/>
  <c r="HO15" i="15"/>
  <c r="HP15" i="15"/>
  <c r="HQ15" i="15"/>
  <c r="HR15" i="15"/>
  <c r="HS15" i="15"/>
  <c r="HT15" i="15"/>
  <c r="CN16" i="15"/>
  <c r="CO16" i="15"/>
  <c r="CP16" i="15"/>
  <c r="CQ16" i="15"/>
  <c r="CR16" i="15"/>
  <c r="CS16" i="15"/>
  <c r="CY16" i="15"/>
  <c r="DG16" i="15"/>
  <c r="DO16" i="15"/>
  <c r="DP16" i="15"/>
  <c r="DX16" i="15"/>
  <c r="EE16" i="15"/>
  <c r="EM16" i="15"/>
  <c r="C68" i="2"/>
  <c r="C69" i="2"/>
  <c r="B178" i="2" s="1"/>
  <c r="B13" i="77" s="1"/>
  <c r="F13" i="77" s="1"/>
  <c r="CL21" i="15"/>
  <c r="CM21" i="15"/>
  <c r="CN21" i="15"/>
  <c r="CO21" i="15"/>
  <c r="CP21" i="15"/>
  <c r="CQ21" i="15"/>
  <c r="CR21" i="15"/>
  <c r="CS21" i="15"/>
  <c r="CT21" i="15"/>
  <c r="CU21" i="15"/>
  <c r="CV21" i="15"/>
  <c r="CW21" i="15"/>
  <c r="CX21" i="15"/>
  <c r="CY21" i="15"/>
  <c r="CZ21" i="15"/>
  <c r="DA21" i="15"/>
  <c r="DB21" i="15"/>
  <c r="DC21" i="15"/>
  <c r="DD21" i="15"/>
  <c r="DE21" i="15"/>
  <c r="DF21" i="15"/>
  <c r="DG21" i="15"/>
  <c r="DH21" i="15"/>
  <c r="DI21" i="15"/>
  <c r="DJ21" i="15"/>
  <c r="DK21" i="15"/>
  <c r="DL21" i="15"/>
  <c r="DM21" i="15"/>
  <c r="DN21" i="15"/>
  <c r="DO21" i="15"/>
  <c r="DP21" i="15"/>
  <c r="DQ21" i="15"/>
  <c r="DR21" i="15"/>
  <c r="DS21" i="15"/>
  <c r="DT21" i="15"/>
  <c r="DU21" i="15"/>
  <c r="DV21" i="15"/>
  <c r="DW21" i="15"/>
  <c r="DX21" i="15"/>
  <c r="DY21" i="15"/>
  <c r="DZ21" i="15"/>
  <c r="EA21" i="15"/>
  <c r="EB21" i="15"/>
  <c r="EC21" i="15"/>
  <c r="ED21" i="15"/>
  <c r="EE21" i="15"/>
  <c r="EF21" i="15"/>
  <c r="EG21" i="15"/>
  <c r="EH21" i="15"/>
  <c r="EI21" i="15"/>
  <c r="EJ21" i="15"/>
  <c r="EK21" i="15"/>
  <c r="EL21" i="15"/>
  <c r="EM21" i="15"/>
  <c r="EN21" i="15"/>
  <c r="EO21" i="15"/>
  <c r="EP21" i="15"/>
  <c r="C77" i="2"/>
  <c r="R60" i="1" s="1"/>
  <c r="T60" i="1" s="1"/>
  <c r="FP30" i="15"/>
  <c r="FQ30" i="15"/>
  <c r="FR30" i="15"/>
  <c r="FS30" i="15"/>
  <c r="FT30" i="15"/>
  <c r="FU30" i="15"/>
  <c r="FV30" i="15"/>
  <c r="FW30" i="15"/>
  <c r="FX30" i="15"/>
  <c r="FY30" i="15"/>
  <c r="FZ30" i="15"/>
  <c r="GA30" i="15"/>
  <c r="GB30" i="15"/>
  <c r="GC30" i="15"/>
  <c r="GD30" i="15"/>
  <c r="GE30" i="15"/>
  <c r="GF30" i="15"/>
  <c r="GG30" i="15"/>
  <c r="GH30" i="15"/>
  <c r="GI30" i="15"/>
  <c r="GJ30" i="15"/>
  <c r="GK30" i="15"/>
  <c r="GL30" i="15"/>
  <c r="GM30" i="15"/>
  <c r="GN30" i="15"/>
  <c r="GO30" i="15"/>
  <c r="GP30" i="15"/>
  <c r="GQ30" i="15"/>
  <c r="GR30" i="15"/>
  <c r="GS30" i="15"/>
  <c r="GT30" i="15"/>
  <c r="GU30" i="15"/>
  <c r="GV30" i="15"/>
  <c r="GW30" i="15"/>
  <c r="GX30" i="15"/>
  <c r="GY30" i="15"/>
  <c r="GZ30" i="15"/>
  <c r="HA30" i="15"/>
  <c r="HB30" i="15"/>
  <c r="HC30" i="15"/>
  <c r="HD30" i="15"/>
  <c r="HE30" i="15"/>
  <c r="HF30" i="15"/>
  <c r="HG30" i="15"/>
  <c r="HH30" i="15"/>
  <c r="HI30" i="15"/>
  <c r="HJ30" i="15"/>
  <c r="HK30" i="15"/>
  <c r="HL30" i="15"/>
  <c r="HM30" i="15"/>
  <c r="HN30" i="15"/>
  <c r="HO30" i="15"/>
  <c r="HP30" i="15"/>
  <c r="HQ30" i="15"/>
  <c r="HR30" i="15"/>
  <c r="HS30" i="15"/>
  <c r="HT30" i="15"/>
  <c r="CL41" i="15"/>
  <c r="CM41" i="15"/>
  <c r="CN41" i="15"/>
  <c r="CO41" i="15"/>
  <c r="CP41" i="15"/>
  <c r="CQ41" i="15"/>
  <c r="CR41" i="15"/>
  <c r="CS41" i="15"/>
  <c r="CT41" i="15"/>
  <c r="CU41" i="15"/>
  <c r="CV41" i="15"/>
  <c r="CW41" i="15"/>
  <c r="CX41" i="15"/>
  <c r="CY41" i="15"/>
  <c r="CZ41" i="15"/>
  <c r="DA41" i="15"/>
  <c r="DB41" i="15"/>
  <c r="DC41" i="15"/>
  <c r="DD41" i="15"/>
  <c r="DE41" i="15"/>
  <c r="DF41" i="15"/>
  <c r="DG41" i="15"/>
  <c r="DH41" i="15"/>
  <c r="DI41" i="15"/>
  <c r="DJ41" i="15"/>
  <c r="DK41" i="15"/>
  <c r="DL41" i="15"/>
  <c r="DM41" i="15"/>
  <c r="DN41" i="15"/>
  <c r="DO41" i="15"/>
  <c r="DP41" i="15"/>
  <c r="DQ41" i="15"/>
  <c r="DR41" i="15"/>
  <c r="DS41" i="15"/>
  <c r="DT41" i="15"/>
  <c r="DU41" i="15"/>
  <c r="DV41" i="15"/>
  <c r="DW41" i="15"/>
  <c r="DX41" i="15"/>
  <c r="DY41" i="15"/>
  <c r="DZ41" i="15"/>
  <c r="EA41" i="15"/>
  <c r="EB41" i="15"/>
  <c r="EC41" i="15"/>
  <c r="ED41" i="15"/>
  <c r="EE41" i="15"/>
  <c r="EF41" i="15"/>
  <c r="EG41" i="15"/>
  <c r="EH41" i="15"/>
  <c r="EI41" i="15"/>
  <c r="EJ41" i="15"/>
  <c r="EK41" i="15"/>
  <c r="EL41" i="15"/>
  <c r="EM41" i="15"/>
  <c r="EN41" i="15"/>
  <c r="EO41" i="15"/>
  <c r="EP41" i="15"/>
  <c r="FP47" i="15"/>
  <c r="FQ47" i="15"/>
  <c r="FR47" i="15"/>
  <c r="FS47" i="15"/>
  <c r="FT47" i="15"/>
  <c r="FU47" i="15"/>
  <c r="FV47" i="15"/>
  <c r="FW47" i="15"/>
  <c r="FX47" i="15"/>
  <c r="FY47" i="15"/>
  <c r="FZ47" i="15"/>
  <c r="GA47" i="15"/>
  <c r="GB47" i="15"/>
  <c r="GC47" i="15"/>
  <c r="GD47" i="15"/>
  <c r="GE47" i="15"/>
  <c r="GF47" i="15"/>
  <c r="GG47" i="15"/>
  <c r="GH47" i="15"/>
  <c r="GI47" i="15"/>
  <c r="GJ47" i="15"/>
  <c r="GK47" i="15"/>
  <c r="GL47" i="15"/>
  <c r="GM47" i="15"/>
  <c r="GN47" i="15"/>
  <c r="GO47" i="15"/>
  <c r="GP47" i="15"/>
  <c r="GQ47" i="15"/>
  <c r="GR47" i="15"/>
  <c r="GS47" i="15"/>
  <c r="GT47" i="15"/>
  <c r="GU47" i="15"/>
  <c r="GV47" i="15"/>
  <c r="GW47" i="15"/>
  <c r="GX47" i="15"/>
  <c r="GY47" i="15"/>
  <c r="GZ47" i="15"/>
  <c r="HA47" i="15"/>
  <c r="HB47" i="15"/>
  <c r="HC47" i="15"/>
  <c r="HD47" i="15"/>
  <c r="HE47" i="15"/>
  <c r="HF47" i="15"/>
  <c r="HG47" i="15"/>
  <c r="HH47" i="15"/>
  <c r="HI47" i="15"/>
  <c r="HJ47" i="15"/>
  <c r="HK47" i="15"/>
  <c r="HL47" i="15"/>
  <c r="HM47" i="15"/>
  <c r="HN47" i="15"/>
  <c r="HO47" i="15"/>
  <c r="HP47" i="15"/>
  <c r="HQ47" i="15"/>
  <c r="HR47" i="15"/>
  <c r="HS47" i="15"/>
  <c r="HT47" i="15"/>
  <c r="C98" i="2"/>
  <c r="B201" i="2" s="1"/>
  <c r="B36" i="77" s="1"/>
  <c r="F36" i="77" s="1"/>
  <c r="CL54" i="15"/>
  <c r="CM54" i="15"/>
  <c r="CN54" i="15"/>
  <c r="CO54" i="15"/>
  <c r="CP54" i="15"/>
  <c r="CQ54" i="15"/>
  <c r="CR54" i="15"/>
  <c r="CS54" i="15"/>
  <c r="CT54" i="15"/>
  <c r="CU54" i="15"/>
  <c r="CV54" i="15"/>
  <c r="CW54" i="15"/>
  <c r="CX54" i="15"/>
  <c r="CY54" i="15"/>
  <c r="CZ54" i="15"/>
  <c r="DA54" i="15"/>
  <c r="DB54" i="15"/>
  <c r="DC54" i="15"/>
  <c r="DD54" i="15"/>
  <c r="DE54" i="15"/>
  <c r="DF54" i="15"/>
  <c r="DG54" i="15"/>
  <c r="DH54" i="15"/>
  <c r="DI54" i="15"/>
  <c r="DJ54" i="15"/>
  <c r="DK54" i="15"/>
  <c r="DL54" i="15"/>
  <c r="DM54" i="15"/>
  <c r="DN54" i="15"/>
  <c r="DO54" i="15"/>
  <c r="DP54" i="15"/>
  <c r="DQ54" i="15"/>
  <c r="DR54" i="15"/>
  <c r="DS54" i="15"/>
  <c r="DT54" i="15"/>
  <c r="DU54" i="15"/>
  <c r="DV54" i="15"/>
  <c r="DW54" i="15"/>
  <c r="DX54" i="15"/>
  <c r="DY54" i="15"/>
  <c r="DZ54" i="15"/>
  <c r="EA54" i="15"/>
  <c r="EB54" i="15"/>
  <c r="EC54" i="15"/>
  <c r="ED54" i="15"/>
  <c r="EE54" i="15"/>
  <c r="EF54" i="15"/>
  <c r="EG54" i="15"/>
  <c r="EH54" i="15"/>
  <c r="EI54" i="15"/>
  <c r="EJ54" i="15"/>
  <c r="EK54" i="15"/>
  <c r="EL54" i="15"/>
  <c r="EM54" i="15"/>
  <c r="EN54" i="15"/>
  <c r="EO54" i="15"/>
  <c r="EP54" i="15"/>
  <c r="CL64" i="15"/>
  <c r="CM64" i="15"/>
  <c r="CN64" i="15"/>
  <c r="CO64" i="15"/>
  <c r="CP64" i="15"/>
  <c r="CQ64" i="15"/>
  <c r="CR64" i="15"/>
  <c r="CS64" i="15"/>
  <c r="CT64" i="15"/>
  <c r="CU64" i="15"/>
  <c r="CV64" i="15"/>
  <c r="CW64" i="15"/>
  <c r="CX64" i="15"/>
  <c r="CY64" i="15"/>
  <c r="CZ64" i="15"/>
  <c r="DA64" i="15"/>
  <c r="DB64" i="15"/>
  <c r="DC64" i="15"/>
  <c r="DD64" i="15"/>
  <c r="DE64" i="15"/>
  <c r="DF64" i="15"/>
  <c r="DG64" i="15"/>
  <c r="DH64" i="15"/>
  <c r="DI64" i="15"/>
  <c r="DJ64" i="15"/>
  <c r="DK64" i="15"/>
  <c r="DL64" i="15"/>
  <c r="DM64" i="15"/>
  <c r="DN64" i="15"/>
  <c r="DO64" i="15"/>
  <c r="DP64" i="15"/>
  <c r="DQ64" i="15"/>
  <c r="DR64" i="15"/>
  <c r="DS64" i="15"/>
  <c r="DT64" i="15"/>
  <c r="DU64" i="15"/>
  <c r="DV64" i="15"/>
  <c r="DW64" i="15"/>
  <c r="DX64" i="15"/>
  <c r="DY64" i="15"/>
  <c r="DZ64" i="15"/>
  <c r="EA64" i="15"/>
  <c r="EB64" i="15"/>
  <c r="EC64" i="15"/>
  <c r="ED64" i="15"/>
  <c r="EE64" i="15"/>
  <c r="EF64" i="15"/>
  <c r="EG64" i="15"/>
  <c r="EH64" i="15"/>
  <c r="EI64" i="15"/>
  <c r="EJ64" i="15"/>
  <c r="EK64" i="15"/>
  <c r="EL64" i="15"/>
  <c r="EM64" i="15"/>
  <c r="EN64" i="15"/>
  <c r="EO64" i="15"/>
  <c r="EP64" i="15"/>
  <c r="C119" i="2"/>
  <c r="CL69" i="15"/>
  <c r="CM69" i="15"/>
  <c r="CN69" i="15"/>
  <c r="CO69" i="15"/>
  <c r="CP69" i="15"/>
  <c r="CQ69" i="15"/>
  <c r="CR69" i="15"/>
  <c r="CS69" i="15"/>
  <c r="CT69" i="15"/>
  <c r="CU69" i="15"/>
  <c r="CV69" i="15"/>
  <c r="CW69" i="15"/>
  <c r="CX69" i="15"/>
  <c r="CY69" i="15"/>
  <c r="CZ69" i="15"/>
  <c r="DA69" i="15"/>
  <c r="DB69" i="15"/>
  <c r="DC69" i="15"/>
  <c r="DD69" i="15"/>
  <c r="DE69" i="15"/>
  <c r="DF69" i="15"/>
  <c r="DG69" i="15"/>
  <c r="DH69" i="15"/>
  <c r="DI69" i="15"/>
  <c r="DJ69" i="15"/>
  <c r="DK69" i="15"/>
  <c r="DL69" i="15"/>
  <c r="DM69" i="15"/>
  <c r="DN69" i="15"/>
  <c r="DO69" i="15"/>
  <c r="DP69" i="15"/>
  <c r="DQ69" i="15"/>
  <c r="DR69" i="15"/>
  <c r="DS69" i="15"/>
  <c r="DT69" i="15"/>
  <c r="DU69" i="15"/>
  <c r="DV69" i="15"/>
  <c r="DW69" i="15"/>
  <c r="DX69" i="15"/>
  <c r="DY69" i="15"/>
  <c r="DZ69" i="15"/>
  <c r="EA69" i="15"/>
  <c r="EB69" i="15"/>
  <c r="EC69" i="15"/>
  <c r="ED69" i="15"/>
  <c r="EE69" i="15"/>
  <c r="EF69" i="15"/>
  <c r="EG69" i="15"/>
  <c r="EH69" i="15"/>
  <c r="EI69" i="15"/>
  <c r="EJ69" i="15"/>
  <c r="EK69" i="15"/>
  <c r="EL69" i="15"/>
  <c r="EM69" i="15"/>
  <c r="EN69" i="15"/>
  <c r="EO69" i="15"/>
  <c r="EP69" i="15"/>
  <c r="C140" i="2"/>
  <c r="G187" i="2" s="1"/>
  <c r="J21" i="77" s="1"/>
  <c r="N21" i="77" s="1"/>
  <c r="CL90" i="15"/>
  <c r="CM90" i="15"/>
  <c r="CN90" i="15"/>
  <c r="CO90" i="15"/>
  <c r="CP90" i="15"/>
  <c r="CQ90" i="15"/>
  <c r="CR90" i="15"/>
  <c r="CS90" i="15"/>
  <c r="CT90" i="15"/>
  <c r="CU90" i="15"/>
  <c r="CV90" i="15"/>
  <c r="CW90" i="15"/>
  <c r="CX90" i="15"/>
  <c r="CY90" i="15"/>
  <c r="CZ90" i="15"/>
  <c r="DA90" i="15"/>
  <c r="DB90" i="15"/>
  <c r="DC90" i="15"/>
  <c r="DD90" i="15"/>
  <c r="DE90" i="15"/>
  <c r="DF90" i="15"/>
  <c r="DG90" i="15"/>
  <c r="DH90" i="15"/>
  <c r="DI90" i="15"/>
  <c r="DJ90" i="15"/>
  <c r="DK90" i="15"/>
  <c r="DL90" i="15"/>
  <c r="DM90" i="15"/>
  <c r="DN90" i="15"/>
  <c r="DO90" i="15"/>
  <c r="DP90" i="15"/>
  <c r="DQ90" i="15"/>
  <c r="EB90" i="15"/>
  <c r="EC90" i="15"/>
  <c r="ED90" i="15"/>
  <c r="EE90" i="15"/>
  <c r="EF90" i="15"/>
  <c r="EG90" i="15"/>
  <c r="EH90" i="15"/>
  <c r="EI90" i="15"/>
  <c r="EJ90" i="15"/>
  <c r="EK90" i="15"/>
  <c r="EL90" i="15"/>
  <c r="EM90" i="15"/>
  <c r="EN90" i="15"/>
  <c r="EO90" i="15"/>
  <c r="EP90" i="15"/>
  <c r="FP95" i="15"/>
  <c r="FQ95" i="15"/>
  <c r="FR95" i="15"/>
  <c r="FS95" i="15"/>
  <c r="FT95" i="15"/>
  <c r="FU95" i="15"/>
  <c r="FV95" i="15"/>
  <c r="FW95" i="15"/>
  <c r="FX95" i="15"/>
  <c r="FY95" i="15"/>
  <c r="FZ95" i="15"/>
  <c r="GA95" i="15"/>
  <c r="GB95" i="15"/>
  <c r="GC95" i="15"/>
  <c r="GD95" i="15"/>
  <c r="GE95" i="15"/>
  <c r="GF95" i="15"/>
  <c r="GG95" i="15"/>
  <c r="GH95" i="15"/>
  <c r="GI95" i="15"/>
  <c r="GJ95" i="15"/>
  <c r="GK95" i="15"/>
  <c r="GL95" i="15"/>
  <c r="GM95" i="15"/>
  <c r="GN95" i="15"/>
  <c r="GO95" i="15"/>
  <c r="GP95" i="15"/>
  <c r="GQ95" i="15"/>
  <c r="GR95" i="15"/>
  <c r="GS95" i="15"/>
  <c r="GT95" i="15"/>
  <c r="GU95" i="15"/>
  <c r="GV95" i="15"/>
  <c r="GW95" i="15"/>
  <c r="GX95" i="15"/>
  <c r="GY95" i="15"/>
  <c r="GZ95" i="15"/>
  <c r="HA95" i="15"/>
  <c r="HB95" i="15"/>
  <c r="HC95" i="15"/>
  <c r="HD95" i="15"/>
  <c r="HE95" i="15"/>
  <c r="HF95" i="15"/>
  <c r="HG95" i="15"/>
  <c r="HH95" i="15"/>
  <c r="HI95" i="15"/>
  <c r="HJ95" i="15"/>
  <c r="HK95" i="15"/>
  <c r="HL95" i="15"/>
  <c r="HM95" i="15"/>
  <c r="HN95" i="15"/>
  <c r="HO95" i="15"/>
  <c r="HP95" i="15"/>
  <c r="HQ95" i="15"/>
  <c r="HR95" i="15"/>
  <c r="HS95" i="15"/>
  <c r="HT95" i="15"/>
  <c r="C148" i="2"/>
  <c r="CL99" i="15"/>
  <c r="CM99" i="15"/>
  <c r="CN99" i="15"/>
  <c r="CO99" i="15"/>
  <c r="CP99" i="15"/>
  <c r="CQ99" i="15"/>
  <c r="CR99" i="15"/>
  <c r="CS99" i="15"/>
  <c r="CT99" i="15"/>
  <c r="CU99" i="15"/>
  <c r="CV99" i="15"/>
  <c r="CW99" i="15"/>
  <c r="CX99" i="15"/>
  <c r="CY99" i="15"/>
  <c r="CZ99" i="15"/>
  <c r="DA99" i="15"/>
  <c r="DB99" i="15"/>
  <c r="DC99" i="15"/>
  <c r="DD99" i="15"/>
  <c r="DE99" i="15"/>
  <c r="DF99" i="15"/>
  <c r="DG99" i="15"/>
  <c r="DH99" i="15"/>
  <c r="DI99" i="15"/>
  <c r="DJ99" i="15"/>
  <c r="DK99" i="15"/>
  <c r="DL99" i="15"/>
  <c r="DM99" i="15"/>
  <c r="DN99" i="15"/>
  <c r="DO99" i="15"/>
  <c r="DP99" i="15"/>
  <c r="DQ99" i="15"/>
  <c r="DR99" i="15"/>
  <c r="DS99" i="15"/>
  <c r="DT99" i="15"/>
  <c r="DU99" i="15"/>
  <c r="DV99" i="15"/>
  <c r="DW99" i="15"/>
  <c r="DX99" i="15"/>
  <c r="DY99" i="15"/>
  <c r="DZ99" i="15"/>
  <c r="EA99" i="15"/>
  <c r="EB99" i="15"/>
  <c r="EC99" i="15"/>
  <c r="ED99" i="15"/>
  <c r="EE99" i="15"/>
  <c r="EF99" i="15"/>
  <c r="EG99" i="15"/>
  <c r="EH99" i="15"/>
  <c r="EI99" i="15"/>
  <c r="EJ99" i="15"/>
  <c r="EK99" i="15"/>
  <c r="EL99" i="15"/>
  <c r="EM99" i="15"/>
  <c r="EN99" i="15"/>
  <c r="EO99" i="15"/>
  <c r="EP99" i="15"/>
  <c r="C156" i="2"/>
  <c r="CL103" i="15"/>
  <c r="CM103" i="15"/>
  <c r="CN103" i="15"/>
  <c r="CO103" i="15"/>
  <c r="CP103" i="15"/>
  <c r="CQ103" i="15"/>
  <c r="CR103" i="15"/>
  <c r="CS103" i="15"/>
  <c r="CT103" i="15"/>
  <c r="CU103" i="15"/>
  <c r="CV103" i="15"/>
  <c r="CW103" i="15"/>
  <c r="CX103" i="15"/>
  <c r="CY103" i="15"/>
  <c r="CZ103" i="15"/>
  <c r="DA103" i="15"/>
  <c r="DB103" i="15"/>
  <c r="DC103" i="15"/>
  <c r="DD103" i="15"/>
  <c r="DE103" i="15"/>
  <c r="DF103" i="15"/>
  <c r="DG103" i="15"/>
  <c r="DH103" i="15"/>
  <c r="DI103" i="15"/>
  <c r="DJ103" i="15"/>
  <c r="DK103" i="15"/>
  <c r="DL103" i="15"/>
  <c r="DM103" i="15"/>
  <c r="DN103" i="15"/>
  <c r="DO103" i="15"/>
  <c r="DP103" i="15"/>
  <c r="DQ103" i="15"/>
  <c r="DR103" i="15"/>
  <c r="DS103" i="15"/>
  <c r="DT103" i="15"/>
  <c r="DU103" i="15"/>
  <c r="DV103" i="15"/>
  <c r="DW103" i="15"/>
  <c r="DX103" i="15"/>
  <c r="DY103" i="15"/>
  <c r="DZ103" i="15"/>
  <c r="EA103" i="15"/>
  <c r="EB103" i="15"/>
  <c r="EC103" i="15"/>
  <c r="ED103" i="15"/>
  <c r="EE103" i="15"/>
  <c r="EF103" i="15"/>
  <c r="EG103" i="15"/>
  <c r="EH103" i="15"/>
  <c r="EI103" i="15"/>
  <c r="EJ103" i="15"/>
  <c r="EK103" i="15"/>
  <c r="EL103" i="15"/>
  <c r="EM103" i="15"/>
  <c r="EN103" i="15"/>
  <c r="EO103" i="15"/>
  <c r="EP103" i="15"/>
  <c r="A5" i="40"/>
  <c r="A6" i="40"/>
  <c r="A7" i="40"/>
  <c r="HU10" i="15"/>
  <c r="HV10" i="15"/>
  <c r="HW10" i="15"/>
  <c r="A8" i="40"/>
  <c r="A9" i="40"/>
  <c r="A10" i="40"/>
  <c r="A11" i="40"/>
  <c r="A12" i="40"/>
  <c r="A13" i="40"/>
  <c r="DK50" i="38" s="1"/>
  <c r="A14" i="40"/>
  <c r="A15" i="40"/>
  <c r="A16" i="40"/>
  <c r="A17" i="40"/>
  <c r="HU15" i="15"/>
  <c r="HV15" i="15"/>
  <c r="HW15" i="15"/>
  <c r="A18" i="40"/>
  <c r="A19" i="40"/>
  <c r="A20" i="40"/>
  <c r="A21" i="40"/>
  <c r="A22" i="40"/>
  <c r="A23" i="40"/>
  <c r="A24" i="40"/>
  <c r="A25" i="40"/>
  <c r="A26" i="40"/>
  <c r="A27" i="40"/>
  <c r="A28" i="40"/>
  <c r="A29" i="40"/>
  <c r="A30" i="40"/>
  <c r="A31" i="40"/>
  <c r="A32" i="40"/>
  <c r="A33" i="40"/>
  <c r="A34" i="40"/>
  <c r="A35" i="40"/>
  <c r="A36" i="40"/>
  <c r="A37" i="40"/>
  <c r="A38" i="40"/>
  <c r="A39" i="40"/>
  <c r="A40" i="40"/>
  <c r="A41" i="40"/>
  <c r="A42" i="40"/>
  <c r="A43" i="40"/>
  <c r="A44" i="40"/>
  <c r="A45" i="40"/>
  <c r="A46" i="40"/>
  <c r="A47" i="40"/>
  <c r="A48" i="40"/>
  <c r="A49" i="40"/>
  <c r="A50" i="40"/>
  <c r="A51" i="40"/>
  <c r="A52" i="40"/>
  <c r="A53" i="40"/>
  <c r="A54" i="40"/>
  <c r="A55" i="40"/>
  <c r="A56" i="40"/>
  <c r="A57" i="40"/>
  <c r="A58" i="40"/>
  <c r="A59" i="40"/>
  <c r="A60" i="40"/>
  <c r="A61" i="40"/>
  <c r="A62" i="40"/>
  <c r="A63" i="40"/>
  <c r="A64" i="40"/>
  <c r="A66" i="40"/>
  <c r="A67" i="40"/>
  <c r="A68" i="40"/>
  <c r="A69" i="40"/>
  <c r="A70" i="40"/>
  <c r="A71" i="40"/>
  <c r="A72" i="40"/>
  <c r="A73" i="40"/>
  <c r="A74" i="40"/>
  <c r="A75" i="40"/>
  <c r="A76" i="40"/>
  <c r="A77" i="40"/>
  <c r="A78" i="40"/>
  <c r="A79" i="40"/>
  <c r="A80" i="40"/>
  <c r="A81" i="40"/>
  <c r="A82" i="40"/>
  <c r="A83" i="40"/>
  <c r="A84" i="40"/>
  <c r="A85" i="40"/>
  <c r="A86" i="40"/>
  <c r="A87" i="40"/>
  <c r="A88" i="40"/>
  <c r="A89" i="40"/>
  <c r="A90" i="40"/>
  <c r="A91" i="40"/>
  <c r="A92" i="40"/>
  <c r="A93" i="40"/>
  <c r="A94" i="40"/>
  <c r="A95" i="40"/>
  <c r="A96" i="40"/>
  <c r="A97" i="40"/>
  <c r="A98" i="40"/>
  <c r="A99" i="40"/>
  <c r="A100" i="40"/>
  <c r="A101" i="40"/>
  <c r="A102" i="40"/>
  <c r="A103" i="40"/>
  <c r="A104" i="40"/>
  <c r="A105" i="40"/>
  <c r="A106" i="40"/>
  <c r="A107" i="40"/>
  <c r="A108" i="40"/>
  <c r="A109" i="40"/>
  <c r="A110" i="40"/>
  <c r="A111" i="40"/>
  <c r="A112" i="40"/>
  <c r="A113" i="40"/>
  <c r="A114" i="40"/>
  <c r="HU30" i="15"/>
  <c r="HV30" i="15"/>
  <c r="HW30" i="15"/>
  <c r="A115" i="40"/>
  <c r="HW47" i="15"/>
  <c r="A116" i="40"/>
  <c r="A117" i="40"/>
  <c r="A118" i="40"/>
  <c r="A119" i="40"/>
  <c r="A120" i="40"/>
  <c r="A121" i="40"/>
  <c r="A122" i="40"/>
  <c r="A123" i="40"/>
  <c r="A124" i="40"/>
  <c r="A125" i="40"/>
  <c r="A126" i="40"/>
  <c r="A127" i="40"/>
  <c r="A129" i="40"/>
  <c r="A130" i="40"/>
  <c r="A131" i="40"/>
  <c r="A132" i="40"/>
  <c r="A133" i="40"/>
  <c r="A134" i="40"/>
  <c r="A135" i="40"/>
  <c r="A137" i="40"/>
  <c r="A138" i="40"/>
  <c r="A139" i="40"/>
  <c r="A140" i="40"/>
  <c r="A141" i="40"/>
  <c r="A142" i="40"/>
  <c r="A143" i="40"/>
  <c r="A144" i="40"/>
  <c r="A145" i="40"/>
  <c r="A146" i="40"/>
  <c r="A147" i="40"/>
  <c r="A148" i="40"/>
  <c r="A149" i="40"/>
  <c r="A150" i="40"/>
  <c r="A151" i="40"/>
  <c r="A152" i="40"/>
  <c r="A153" i="40"/>
  <c r="A154" i="40"/>
  <c r="A155" i="40"/>
  <c r="A156" i="40"/>
  <c r="A157" i="40"/>
  <c r="A158" i="40"/>
  <c r="A159" i="40"/>
  <c r="A160" i="40"/>
  <c r="A161" i="40"/>
  <c r="A162" i="40"/>
  <c r="A163" i="40"/>
  <c r="A164" i="40"/>
  <c r="A165" i="40"/>
  <c r="A166" i="40"/>
  <c r="A167" i="40"/>
  <c r="A168" i="40"/>
  <c r="A169" i="40"/>
  <c r="A170" i="40"/>
  <c r="A171" i="40"/>
  <c r="A172" i="40"/>
  <c r="A173" i="40"/>
  <c r="A174" i="40"/>
  <c r="A175" i="40"/>
  <c r="A176" i="40"/>
  <c r="A177" i="40"/>
  <c r="A178" i="40"/>
  <c r="A179" i="40"/>
  <c r="A180" i="40"/>
  <c r="A181" i="40"/>
  <c r="A182" i="40"/>
  <c r="A183" i="40"/>
  <c r="A184" i="40"/>
  <c r="A185" i="40"/>
  <c r="A186" i="40"/>
  <c r="A187" i="40"/>
  <c r="A188" i="40"/>
  <c r="A189" i="40"/>
  <c r="A190" i="40"/>
  <c r="A191" i="40"/>
  <c r="A192" i="40"/>
  <c r="A193" i="40"/>
  <c r="A194" i="40"/>
  <c r="A195" i="40"/>
  <c r="A196" i="40"/>
  <c r="A197" i="40"/>
  <c r="A200" i="40"/>
  <c r="A201" i="40"/>
  <c r="A202" i="40"/>
  <c r="A203" i="40"/>
  <c r="A204" i="40"/>
  <c r="A205" i="40"/>
  <c r="A206" i="40"/>
  <c r="A207" i="40"/>
  <c r="A208" i="40"/>
  <c r="A209" i="40"/>
  <c r="A210" i="40"/>
  <c r="A211" i="40"/>
  <c r="A212" i="40"/>
  <c r="A213" i="40"/>
  <c r="A214" i="40"/>
  <c r="A215" i="40"/>
  <c r="A216" i="40"/>
  <c r="A217" i="40"/>
  <c r="A218" i="40"/>
  <c r="A219" i="40"/>
  <c r="A220" i="40"/>
  <c r="A221" i="40"/>
  <c r="A222" i="40"/>
  <c r="A223" i="40"/>
  <c r="A224" i="40"/>
  <c r="A225" i="40"/>
  <c r="A226" i="40"/>
  <c r="A227" i="40"/>
  <c r="A228" i="40"/>
  <c r="A229" i="40"/>
  <c r="A230" i="40"/>
  <c r="A231" i="40"/>
  <c r="A232" i="40"/>
  <c r="A233" i="40"/>
  <c r="A234" i="40"/>
  <c r="A235" i="40"/>
  <c r="A236" i="40"/>
  <c r="A237" i="40"/>
  <c r="A238" i="40"/>
  <c r="A239" i="40"/>
  <c r="A240" i="40"/>
  <c r="A241" i="40"/>
  <c r="A242" i="40"/>
  <c r="A243" i="40"/>
  <c r="A244" i="40"/>
  <c r="A245" i="40"/>
  <c r="A246" i="40"/>
  <c r="A247" i="40"/>
  <c r="A248" i="40"/>
  <c r="A249" i="40"/>
  <c r="A250" i="40"/>
  <c r="A251" i="40"/>
  <c r="A252" i="40"/>
  <c r="A253" i="40"/>
  <c r="A254" i="40"/>
  <c r="A255" i="40"/>
  <c r="A256" i="40"/>
  <c r="A257" i="40"/>
  <c r="A258" i="40"/>
  <c r="A259" i="40"/>
  <c r="A260" i="40"/>
  <c r="A261" i="40"/>
  <c r="A262" i="40"/>
  <c r="A263" i="40"/>
  <c r="A264" i="40"/>
  <c r="A265" i="40"/>
  <c r="A266" i="40"/>
  <c r="A267" i="40"/>
  <c r="A268" i="40"/>
  <c r="A269" i="40"/>
  <c r="A270" i="40"/>
  <c r="A271" i="40"/>
  <c r="A272" i="40"/>
  <c r="A273" i="40"/>
  <c r="A274" i="40"/>
  <c r="A275" i="40"/>
  <c r="B94" i="2" s="1"/>
  <c r="C197" i="2" s="1"/>
  <c r="A276" i="40"/>
  <c r="A277" i="40"/>
  <c r="A278" i="40"/>
  <c r="A279" i="40"/>
  <c r="A280" i="40"/>
  <c r="A281" i="40"/>
  <c r="A282" i="40"/>
  <c r="A283" i="40"/>
  <c r="A284" i="40"/>
  <c r="A285" i="40"/>
  <c r="A286" i="40"/>
  <c r="A287" i="40"/>
  <c r="A288" i="40"/>
  <c r="A289" i="40"/>
  <c r="A290" i="40"/>
  <c r="A291" i="40"/>
  <c r="A292" i="40"/>
  <c r="A293" i="40"/>
  <c r="A294" i="40"/>
  <c r="A295" i="40"/>
  <c r="A296" i="40"/>
  <c r="A297" i="40"/>
  <c r="A298" i="40"/>
  <c r="A299" i="40"/>
  <c r="A300" i="40"/>
  <c r="A301" i="40"/>
  <c r="A302" i="40"/>
  <c r="A303" i="40"/>
  <c r="A304" i="40"/>
  <c r="HU95" i="15"/>
  <c r="HV95" i="15"/>
  <c r="HW95" i="15"/>
  <c r="A305" i="40"/>
  <c r="A306" i="40"/>
  <c r="A307" i="40"/>
  <c r="A308" i="40"/>
  <c r="A309" i="40"/>
  <c r="A310" i="40"/>
  <c r="A311" i="40"/>
  <c r="A312" i="40"/>
  <c r="A314" i="40"/>
  <c r="A315" i="40"/>
  <c r="A316" i="40"/>
  <c r="A317" i="40"/>
  <c r="A318" i="40"/>
  <c r="A319" i="40"/>
  <c r="A320" i="40"/>
  <c r="A321" i="40"/>
  <c r="A322" i="40"/>
  <c r="A323" i="40"/>
  <c r="A324" i="40"/>
  <c r="A325" i="40"/>
  <c r="A326" i="40"/>
  <c r="A327" i="40"/>
  <c r="A328" i="40"/>
  <c r="A329" i="40"/>
  <c r="AH331" i="40"/>
  <c r="AI331" i="40"/>
  <c r="AJ331" i="40"/>
  <c r="AK331" i="40"/>
  <c r="AL331" i="40"/>
  <c r="AM331" i="40"/>
  <c r="AN331" i="40"/>
  <c r="AO331" i="40"/>
  <c r="AP331" i="40"/>
  <c r="AQ331" i="40"/>
  <c r="AU331" i="40"/>
  <c r="AV331" i="40"/>
  <c r="AW331" i="40"/>
  <c r="AX331" i="40"/>
  <c r="AY331" i="40"/>
  <c r="AZ331" i="40"/>
  <c r="BA331" i="40"/>
  <c r="BB331" i="40"/>
  <c r="BC331" i="40"/>
  <c r="BD331" i="40"/>
  <c r="BE331" i="40"/>
  <c r="BF331" i="40"/>
  <c r="BG331" i="40"/>
  <c r="BH331" i="40"/>
  <c r="BI331" i="40"/>
  <c r="BJ331" i="40"/>
  <c r="BK331" i="40"/>
  <c r="BL331" i="40"/>
  <c r="BM331" i="40"/>
  <c r="BN331" i="40"/>
  <c r="BO331" i="40"/>
  <c r="BP331" i="40"/>
  <c r="BQ331" i="40"/>
  <c r="BR331" i="40"/>
  <c r="BS331" i="40"/>
  <c r="BT331" i="40"/>
  <c r="BU331" i="40"/>
  <c r="BV331" i="40"/>
  <c r="BW331" i="40"/>
  <c r="BX331" i="40"/>
  <c r="BY331" i="40"/>
  <c r="BZ331" i="40"/>
  <c r="CA331" i="40"/>
  <c r="CB331" i="40"/>
  <c r="CC331" i="40"/>
  <c r="CD331" i="40"/>
  <c r="CE331" i="40"/>
  <c r="CF331" i="40"/>
  <c r="CG331" i="40"/>
  <c r="CH331" i="40"/>
  <c r="CI331" i="40"/>
  <c r="CJ331" i="40"/>
  <c r="CK331" i="40"/>
  <c r="CL331" i="40"/>
  <c r="CM331" i="40"/>
  <c r="CN331" i="40"/>
  <c r="CO331" i="40"/>
  <c r="CP331" i="40"/>
  <c r="AH332" i="40"/>
  <c r="AI332" i="40"/>
  <c r="AI333" i="40" s="1"/>
  <c r="AJ332" i="40"/>
  <c r="AK332" i="40"/>
  <c r="AL332" i="40"/>
  <c r="AM332" i="40"/>
  <c r="AN332" i="40"/>
  <c r="AO332" i="40"/>
  <c r="AP332" i="40"/>
  <c r="AQ332" i="40"/>
  <c r="AQ333" i="40" s="1"/>
  <c r="AU332" i="40"/>
  <c r="AV332" i="40"/>
  <c r="AW332" i="40"/>
  <c r="AX332" i="40"/>
  <c r="AY332" i="40"/>
  <c r="AZ332" i="40"/>
  <c r="BA332" i="40"/>
  <c r="BB332" i="40"/>
  <c r="BC332" i="40"/>
  <c r="BD332" i="40"/>
  <c r="BE332" i="40"/>
  <c r="BF332" i="40"/>
  <c r="BG332" i="40"/>
  <c r="BH332" i="40"/>
  <c r="BI332" i="40"/>
  <c r="BJ332" i="40"/>
  <c r="BK332" i="40"/>
  <c r="BL332" i="40"/>
  <c r="BM332" i="40"/>
  <c r="BN332" i="40"/>
  <c r="BO332" i="40"/>
  <c r="BP332" i="40"/>
  <c r="BQ332" i="40"/>
  <c r="BR332" i="40"/>
  <c r="BR333" i="40" s="1"/>
  <c r="BS332" i="40"/>
  <c r="BT332" i="40"/>
  <c r="BU332" i="40"/>
  <c r="BV332" i="40"/>
  <c r="BW332" i="40"/>
  <c r="BX332" i="40"/>
  <c r="BY332" i="40"/>
  <c r="BZ332" i="40"/>
  <c r="CA332" i="40"/>
  <c r="CB332" i="40"/>
  <c r="CC332" i="40"/>
  <c r="CD332" i="40"/>
  <c r="CE332" i="40"/>
  <c r="CF332" i="40"/>
  <c r="CG332" i="40"/>
  <c r="CH332" i="40"/>
  <c r="CH333" i="40" s="1"/>
  <c r="CI332" i="40"/>
  <c r="CJ332" i="40"/>
  <c r="CK332" i="40"/>
  <c r="CL332" i="40"/>
  <c r="CM332" i="40"/>
  <c r="CN332" i="40"/>
  <c r="CO332" i="40"/>
  <c r="CP332" i="40"/>
  <c r="BB333" i="40"/>
  <c r="D334" i="40"/>
  <c r="E334" i="40"/>
  <c r="F334" i="40"/>
  <c r="G334" i="40"/>
  <c r="H334" i="40"/>
  <c r="I334" i="40"/>
  <c r="J334" i="40"/>
  <c r="K334" i="40"/>
  <c r="L334" i="40"/>
  <c r="M334" i="40"/>
  <c r="N334" i="40"/>
  <c r="O334" i="40"/>
  <c r="P334" i="40"/>
  <c r="Q334" i="40"/>
  <c r="R334" i="40"/>
  <c r="S334" i="40"/>
  <c r="AF334" i="40"/>
  <c r="AG334" i="40"/>
  <c r="AH334" i="40"/>
  <c r="AI334" i="40"/>
  <c r="AJ334" i="40"/>
  <c r="AK334" i="40"/>
  <c r="AO334" i="40"/>
  <c r="AP334" i="40"/>
  <c r="AQ334" i="40"/>
  <c r="AU334" i="40"/>
  <c r="AV334" i="40"/>
  <c r="AW334" i="40"/>
  <c r="AX334" i="40"/>
  <c r="AY334" i="40"/>
  <c r="AZ334" i="40"/>
  <c r="BA334" i="40"/>
  <c r="BB334" i="40"/>
  <c r="BC334" i="40"/>
  <c r="BD334" i="40"/>
  <c r="BE334" i="40"/>
  <c r="BF334" i="40"/>
  <c r="BG334" i="40"/>
  <c r="BH334" i="40"/>
  <c r="BI334" i="40"/>
  <c r="BJ334" i="40"/>
  <c r="BK334" i="40"/>
  <c r="BL334" i="40"/>
  <c r="BM334" i="40"/>
  <c r="BN334" i="40"/>
  <c r="BO334" i="40"/>
  <c r="BP334" i="40"/>
  <c r="BQ334" i="40"/>
  <c r="BR334" i="40"/>
  <c r="BS334" i="40"/>
  <c r="BT334" i="40"/>
  <c r="BU334" i="40"/>
  <c r="BV334" i="40"/>
  <c r="BW334" i="40"/>
  <c r="BX334" i="40"/>
  <c r="BY334" i="40"/>
  <c r="BZ334" i="40"/>
  <c r="CA334" i="40"/>
  <c r="CB334" i="40"/>
  <c r="CC334" i="40"/>
  <c r="CD334" i="40"/>
  <c r="CE334" i="40"/>
  <c r="CF334" i="40"/>
  <c r="CG334" i="40"/>
  <c r="CH334" i="40"/>
  <c r="CI334" i="40"/>
  <c r="CJ334" i="40"/>
  <c r="CK334" i="40"/>
  <c r="CL334" i="40"/>
  <c r="CM334" i="40"/>
  <c r="CN334" i="40"/>
  <c r="CO334" i="40"/>
  <c r="CP334" i="40"/>
  <c r="CT334" i="40"/>
  <c r="CU334" i="40"/>
  <c r="CV334" i="40"/>
  <c r="P392" i="40"/>
  <c r="AF392" i="40"/>
  <c r="AG392" i="40"/>
  <c r="AH392" i="40"/>
  <c r="AI392" i="40"/>
  <c r="AJ392" i="40"/>
  <c r="AK392" i="40"/>
  <c r="AL392" i="40"/>
  <c r="AM392" i="40"/>
  <c r="AN392" i="40"/>
  <c r="AO392" i="40"/>
  <c r="AP392" i="40"/>
  <c r="AQ392" i="40"/>
  <c r="AR392" i="40"/>
  <c r="AS392" i="40"/>
  <c r="AT392" i="40"/>
  <c r="AU392" i="40"/>
  <c r="AV392" i="40"/>
  <c r="AW392" i="40"/>
  <c r="AX392" i="40"/>
  <c r="AY392" i="40"/>
  <c r="AZ392" i="40"/>
  <c r="BA392" i="40"/>
  <c r="BB392" i="40"/>
  <c r="BC392" i="40"/>
  <c r="BD392" i="40"/>
  <c r="BE392" i="40"/>
  <c r="BF392" i="40"/>
  <c r="BG392" i="40"/>
  <c r="BH392" i="40"/>
  <c r="BI392" i="40"/>
  <c r="BM392" i="40"/>
  <c r="BN392" i="40"/>
  <c r="BO392" i="40"/>
  <c r="BS392" i="40"/>
  <c r="BT392" i="40"/>
  <c r="BU392" i="40"/>
  <c r="BV392" i="40"/>
  <c r="BW392" i="40"/>
  <c r="BX392" i="40"/>
  <c r="BY392" i="40"/>
  <c r="BZ392" i="40"/>
  <c r="CA392" i="40"/>
  <c r="CB392" i="40"/>
  <c r="CC392" i="40"/>
  <c r="CD392" i="40"/>
  <c r="CE392" i="40"/>
  <c r="CF392" i="40"/>
  <c r="CG392" i="40"/>
  <c r="CH392" i="40"/>
  <c r="CI392" i="40"/>
  <c r="CJ392" i="40"/>
  <c r="CK392" i="40"/>
  <c r="CL392" i="40"/>
  <c r="CM392" i="40"/>
  <c r="P393" i="40"/>
  <c r="AF393" i="40"/>
  <c r="AG393" i="40"/>
  <c r="AH393" i="40"/>
  <c r="AI393" i="40"/>
  <c r="AJ393" i="40"/>
  <c r="AK393" i="40"/>
  <c r="AL393" i="40"/>
  <c r="AM393" i="40"/>
  <c r="AN393" i="40"/>
  <c r="AO393" i="40"/>
  <c r="AP393" i="40"/>
  <c r="AQ393" i="40"/>
  <c r="AR393" i="40"/>
  <c r="AS393" i="40"/>
  <c r="AT393" i="40"/>
  <c r="AU393" i="40"/>
  <c r="AV393" i="40"/>
  <c r="AW393" i="40"/>
  <c r="AX393" i="40"/>
  <c r="AY393" i="40"/>
  <c r="AZ393" i="40"/>
  <c r="BA393" i="40"/>
  <c r="BB393" i="40"/>
  <c r="BC393" i="40"/>
  <c r="BD393" i="40"/>
  <c r="BE393" i="40"/>
  <c r="BF393" i="40"/>
  <c r="BG393" i="40"/>
  <c r="BH393" i="40"/>
  <c r="BI393" i="40"/>
  <c r="BM393" i="40"/>
  <c r="BN393" i="40"/>
  <c r="BO393" i="40"/>
  <c r="BS393" i="40"/>
  <c r="BT393" i="40"/>
  <c r="BU393" i="40"/>
  <c r="BV393" i="40"/>
  <c r="BW393" i="40"/>
  <c r="BX393" i="40"/>
  <c r="BY393" i="40"/>
  <c r="BZ393" i="40"/>
  <c r="CA393" i="40"/>
  <c r="CB393" i="40"/>
  <c r="CC393" i="40"/>
  <c r="CD393" i="40"/>
  <c r="CE393" i="40"/>
  <c r="CF393" i="40"/>
  <c r="CG393" i="40"/>
  <c r="CH393" i="40"/>
  <c r="CI393" i="40"/>
  <c r="CJ393" i="40"/>
  <c r="CK393" i="40"/>
  <c r="CL393" i="40"/>
  <c r="CM393" i="40"/>
  <c r="AB395" i="40"/>
  <c r="AF395" i="40"/>
  <c r="AG395" i="40"/>
  <c r="AH395" i="40"/>
  <c r="AI395" i="40"/>
  <c r="AJ395" i="40"/>
  <c r="AK395" i="40"/>
  <c r="AL395" i="40"/>
  <c r="AM395" i="40"/>
  <c r="AN395" i="40"/>
  <c r="AO395" i="40"/>
  <c r="AP395" i="40"/>
  <c r="AQ395" i="40"/>
  <c r="AR395" i="40"/>
  <c r="AS395" i="40"/>
  <c r="AT395" i="40"/>
  <c r="AU395" i="40"/>
  <c r="AV395" i="40"/>
  <c r="AW395" i="40"/>
  <c r="AX395" i="40"/>
  <c r="AY395" i="40"/>
  <c r="AZ395" i="40"/>
  <c r="BA395" i="40"/>
  <c r="BB395" i="40"/>
  <c r="BC395" i="40"/>
  <c r="BD395" i="40"/>
  <c r="BE395" i="40"/>
  <c r="BF395" i="40"/>
  <c r="BG395" i="40"/>
  <c r="BH395" i="40"/>
  <c r="BI395" i="40"/>
  <c r="BJ395" i="40"/>
  <c r="BK395" i="40"/>
  <c r="BL395" i="40"/>
  <c r="BM395" i="40"/>
  <c r="BN395" i="40"/>
  <c r="BO395" i="40"/>
  <c r="BP395" i="40"/>
  <c r="BQ395" i="40"/>
  <c r="BR395" i="40"/>
  <c r="BS395" i="40"/>
  <c r="BT395" i="40"/>
  <c r="BU395" i="40"/>
  <c r="BV395" i="40"/>
  <c r="BW395" i="40"/>
  <c r="BX395" i="40"/>
  <c r="BY395" i="40"/>
  <c r="BZ395" i="40"/>
  <c r="CA395" i="40"/>
  <c r="CB395" i="40"/>
  <c r="CC395" i="40"/>
  <c r="CD395" i="40"/>
  <c r="CE395" i="40"/>
  <c r="CF395" i="40"/>
  <c r="CG395" i="40"/>
  <c r="CH395" i="40"/>
  <c r="CI395" i="40"/>
  <c r="CJ395" i="40"/>
  <c r="CK395" i="40"/>
  <c r="CL395" i="40"/>
  <c r="CM395" i="40"/>
  <c r="CN395" i="40"/>
  <c r="CO395" i="40"/>
  <c r="CP395" i="40"/>
  <c r="CQ395" i="40"/>
  <c r="CR395" i="40"/>
  <c r="CS395" i="40"/>
  <c r="CT395" i="40"/>
  <c r="AF397" i="40"/>
  <c r="AG397" i="40"/>
  <c r="AH397" i="40"/>
  <c r="AI397" i="40"/>
  <c r="AJ397" i="40"/>
  <c r="AJ398" i="40" s="1"/>
  <c r="AK397" i="40"/>
  <c r="AK398" i="40" s="1"/>
  <c r="AL397" i="40"/>
  <c r="AL398" i="40" s="1"/>
  <c r="AM397" i="40"/>
  <c r="AM398" i="40" s="1"/>
  <c r="AN397" i="40"/>
  <c r="AN398" i="40" s="1"/>
  <c r="AO397" i="40"/>
  <c r="AO398" i="40" s="1"/>
  <c r="AP397" i="40"/>
  <c r="AQ397" i="40"/>
  <c r="AQ398" i="40" s="1"/>
  <c r="AR397" i="40"/>
  <c r="AS397" i="40"/>
  <c r="AT397" i="40"/>
  <c r="AU397" i="40"/>
  <c r="AV397" i="40"/>
  <c r="AW397" i="40"/>
  <c r="AW398" i="40" s="1"/>
  <c r="AX397" i="40"/>
  <c r="AX398" i="40" s="1"/>
  <c r="AY397" i="40"/>
  <c r="AY398" i="40" s="1"/>
  <c r="AZ397" i="40"/>
  <c r="BA397" i="40"/>
  <c r="BB397" i="40"/>
  <c r="BC397" i="40"/>
  <c r="BD397" i="40"/>
  <c r="BE397" i="40"/>
  <c r="BE398" i="40" s="1"/>
  <c r="BF397" i="40"/>
  <c r="BF398" i="40" s="1"/>
  <c r="BG397" i="40"/>
  <c r="BG398" i="40" s="1"/>
  <c r="BH397" i="40"/>
  <c r="BI397" i="40"/>
  <c r="BJ397" i="40"/>
  <c r="BK397" i="40"/>
  <c r="BL397" i="40"/>
  <c r="BM397" i="40"/>
  <c r="BM398" i="40" s="1"/>
  <c r="BN397" i="40"/>
  <c r="BO397" i="40"/>
  <c r="BO398" i="40" s="1"/>
  <c r="BP397" i="40"/>
  <c r="BQ397" i="40"/>
  <c r="BR397" i="40"/>
  <c r="BS397" i="40"/>
  <c r="BT397" i="40"/>
  <c r="BU397" i="40"/>
  <c r="BU398" i="40" s="1"/>
  <c r="BV397" i="40"/>
  <c r="BV398" i="40" s="1"/>
  <c r="BW397" i="40"/>
  <c r="BW398" i="40" s="1"/>
  <c r="BX397" i="40"/>
  <c r="BY397" i="40"/>
  <c r="BZ397" i="40"/>
  <c r="CA397" i="40"/>
  <c r="CB397" i="40"/>
  <c r="CC397" i="40"/>
  <c r="CC398" i="40" s="1"/>
  <c r="CD397" i="40"/>
  <c r="CD398" i="40" s="1"/>
  <c r="CE397" i="40"/>
  <c r="CE398" i="40" s="1"/>
  <c r="CF397" i="40"/>
  <c r="CG397" i="40"/>
  <c r="CH397" i="40"/>
  <c r="CI397" i="40"/>
  <c r="CJ397" i="40"/>
  <c r="CK397" i="40"/>
  <c r="CK398" i="40" s="1"/>
  <c r="CL397" i="40"/>
  <c r="CM397" i="40"/>
  <c r="CM398" i="40" s="1"/>
  <c r="CN397" i="40"/>
  <c r="CO397" i="40"/>
  <c r="CP397" i="40"/>
  <c r="CQ397" i="40"/>
  <c r="CR397" i="40"/>
  <c r="CS397" i="40"/>
  <c r="CS398" i="40" s="1"/>
  <c r="AH398" i="40"/>
  <c r="AI398" i="40"/>
  <c r="AP398" i="40"/>
  <c r="BN398" i="40"/>
  <c r="CL398" i="40"/>
  <c r="AH399" i="40"/>
  <c r="AH400" i="40" s="1"/>
  <c r="AI399" i="40"/>
  <c r="AI400" i="40" s="1"/>
  <c r="AJ399" i="40"/>
  <c r="AJ400" i="40" s="1"/>
  <c r="AK399" i="40"/>
  <c r="AK400" i="40" s="1"/>
  <c r="AL399" i="40"/>
  <c r="AL400" i="40" s="1"/>
  <c r="AM399" i="40"/>
  <c r="AM400" i="40" s="1"/>
  <c r="AN399" i="40"/>
  <c r="AN400" i="40" s="1"/>
  <c r="AO399" i="40"/>
  <c r="AO400" i="40" s="1"/>
  <c r="AP399" i="40"/>
  <c r="AP400" i="40" s="1"/>
  <c r="AQ399" i="40"/>
  <c r="AR399" i="40"/>
  <c r="AR400" i="40" s="1"/>
  <c r="AS399" i="40"/>
  <c r="AS400" i="40" s="1"/>
  <c r="AT399" i="40"/>
  <c r="AT400" i="40" s="1"/>
  <c r="AU399" i="40"/>
  <c r="AU400" i="40" s="1"/>
  <c r="AV399" i="40"/>
  <c r="AV400" i="40" s="1"/>
  <c r="AW399" i="40"/>
  <c r="AW400" i="40" s="1"/>
  <c r="AX399" i="40"/>
  <c r="AX400" i="40" s="1"/>
  <c r="AY399" i="40"/>
  <c r="AY400" i="40" s="1"/>
  <c r="AZ399" i="40"/>
  <c r="AZ400" i="40" s="1"/>
  <c r="BA399" i="40"/>
  <c r="BA400" i="40" s="1"/>
  <c r="BB399" i="40"/>
  <c r="BB400" i="40" s="1"/>
  <c r="BC399" i="40"/>
  <c r="BC400" i="40" s="1"/>
  <c r="BD399" i="40"/>
  <c r="BD400" i="40" s="1"/>
  <c r="BE399" i="40"/>
  <c r="BE400" i="40" s="1"/>
  <c r="BF399" i="40"/>
  <c r="BF400" i="40" s="1"/>
  <c r="BG399" i="40"/>
  <c r="BG400" i="40" s="1"/>
  <c r="BH399" i="40"/>
  <c r="BH400" i="40" s="1"/>
  <c r="BI399" i="40"/>
  <c r="BJ399" i="40"/>
  <c r="BJ400" i="40" s="1"/>
  <c r="BK399" i="40"/>
  <c r="BK400" i="40" s="1"/>
  <c r="BL399" i="40"/>
  <c r="BL400" i="40" s="1"/>
  <c r="BM399" i="40"/>
  <c r="BM400" i="40" s="1"/>
  <c r="BN399" i="40"/>
  <c r="BN400" i="40" s="1"/>
  <c r="BO399" i="40"/>
  <c r="BO400" i="40" s="1"/>
  <c r="BP399" i="40"/>
  <c r="BP400" i="40" s="1"/>
  <c r="BQ399" i="40"/>
  <c r="BQ400" i="40" s="1"/>
  <c r="BR399" i="40"/>
  <c r="BR400" i="40" s="1"/>
  <c r="BS399" i="40"/>
  <c r="BS400" i="40" s="1"/>
  <c r="BT399" i="40"/>
  <c r="BT400" i="40" s="1"/>
  <c r="BU399" i="40"/>
  <c r="BU400" i="40" s="1"/>
  <c r="BV399" i="40"/>
  <c r="BV400" i="40" s="1"/>
  <c r="BW399" i="40"/>
  <c r="BW400" i="40" s="1"/>
  <c r="BX399" i="40"/>
  <c r="BX400" i="40" s="1"/>
  <c r="BY399" i="40"/>
  <c r="BY400" i="40" s="1"/>
  <c r="BZ399" i="40"/>
  <c r="BZ400" i="40" s="1"/>
  <c r="CA399" i="40"/>
  <c r="CA400" i="40" s="1"/>
  <c r="CB399" i="40"/>
  <c r="CB400" i="40" s="1"/>
  <c r="CC399" i="40"/>
  <c r="CC400" i="40" s="1"/>
  <c r="CD399" i="40"/>
  <c r="CD400" i="40" s="1"/>
  <c r="CE399" i="40"/>
  <c r="CE400" i="40" s="1"/>
  <c r="CF399" i="40"/>
  <c r="CF400" i="40" s="1"/>
  <c r="CG399" i="40"/>
  <c r="CG400" i="40" s="1"/>
  <c r="CH399" i="40"/>
  <c r="CH400" i="40" s="1"/>
  <c r="CI399" i="40"/>
  <c r="CI400" i="40" s="1"/>
  <c r="CJ399" i="40"/>
  <c r="CJ400" i="40" s="1"/>
  <c r="CK399" i="40"/>
  <c r="CK400" i="40" s="1"/>
  <c r="CL399" i="40"/>
  <c r="CL400" i="40" s="1"/>
  <c r="CM399" i="40"/>
  <c r="CM400" i="40" s="1"/>
  <c r="CN399" i="40"/>
  <c r="CN400" i="40" s="1"/>
  <c r="CO399" i="40"/>
  <c r="CO400" i="40" s="1"/>
  <c r="CP399" i="40"/>
  <c r="CP400" i="40" s="1"/>
  <c r="CQ399" i="40"/>
  <c r="CQ400" i="40" s="1"/>
  <c r="CR399" i="40"/>
  <c r="CR400" i="40" s="1"/>
  <c r="CS399" i="40"/>
  <c r="CS400" i="40" s="1"/>
  <c r="AQ400" i="40"/>
  <c r="BI400" i="40"/>
  <c r="BL402" i="40"/>
  <c r="BM402" i="40"/>
  <c r="BN402" i="40"/>
  <c r="BO402" i="40"/>
  <c r="BP402" i="40"/>
  <c r="BQ402" i="40"/>
  <c r="BR402" i="40"/>
  <c r="BS402" i="40"/>
  <c r="BT402" i="40"/>
  <c r="BU402" i="40"/>
  <c r="BV402" i="40"/>
  <c r="BW402" i="40"/>
  <c r="BX402" i="40"/>
  <c r="BY402" i="40"/>
  <c r="BZ402" i="40"/>
  <c r="CA402" i="40"/>
  <c r="CB402" i="40"/>
  <c r="CC402" i="40"/>
  <c r="CD402" i="40"/>
  <c r="CE402" i="40"/>
  <c r="CF402" i="40"/>
  <c r="CG402" i="40"/>
  <c r="CH402" i="40"/>
  <c r="CI402" i="40"/>
  <c r="CJ402" i="40"/>
  <c r="CK402" i="40"/>
  <c r="CL402" i="40"/>
  <c r="CM402" i="40"/>
  <c r="CN402" i="40"/>
  <c r="CO402" i="40"/>
  <c r="CP402" i="40"/>
  <c r="CQ402" i="40"/>
  <c r="CR402" i="40"/>
  <c r="CS402" i="40"/>
  <c r="DH2" i="41"/>
  <c r="A5" i="41"/>
  <c r="A6" i="41"/>
  <c r="A7" i="41"/>
  <c r="A8" i="41"/>
  <c r="A9" i="41"/>
  <c r="A10" i="41"/>
  <c r="A11" i="41"/>
  <c r="A12" i="41"/>
  <c r="A13" i="41"/>
  <c r="A14" i="41"/>
  <c r="A15" i="41"/>
  <c r="A16" i="41"/>
  <c r="A17" i="41"/>
  <c r="A18" i="41"/>
  <c r="A20" i="41"/>
  <c r="A21" i="41"/>
  <c r="A22" i="41"/>
  <c r="A23" i="41"/>
  <c r="A24" i="41"/>
  <c r="A25" i="41"/>
  <c r="A26" i="41"/>
  <c r="A27" i="41"/>
  <c r="A28" i="41"/>
  <c r="A29" i="41"/>
  <c r="A30" i="41"/>
  <c r="A31" i="41"/>
  <c r="A32" i="41"/>
  <c r="A33" i="41"/>
  <c r="A34" i="41"/>
  <c r="A35" i="41"/>
  <c r="A36" i="41"/>
  <c r="A37" i="41"/>
  <c r="A38" i="41"/>
  <c r="A39" i="41"/>
  <c r="A40" i="41"/>
  <c r="A41" i="41"/>
  <c r="A42" i="41"/>
  <c r="A43" i="41"/>
  <c r="A44" i="41"/>
  <c r="A45" i="41"/>
  <c r="A46" i="41"/>
  <c r="A47" i="41"/>
  <c r="A48" i="41"/>
  <c r="A49" i="41"/>
  <c r="A50" i="41"/>
  <c r="A51" i="41"/>
  <c r="A52" i="41"/>
  <c r="A53" i="41"/>
  <c r="A54" i="41"/>
  <c r="A55" i="41"/>
  <c r="A56" i="41"/>
  <c r="A57" i="41"/>
  <c r="A58" i="41"/>
  <c r="A59" i="41"/>
  <c r="A60" i="41"/>
  <c r="A61" i="41"/>
  <c r="A62" i="41"/>
  <c r="A63" i="41"/>
  <c r="A64" i="41"/>
  <c r="A65" i="41"/>
  <c r="A66" i="41"/>
  <c r="A67" i="41"/>
  <c r="A68" i="41"/>
  <c r="A69" i="41"/>
  <c r="A70" i="41"/>
  <c r="A71" i="41"/>
  <c r="A72" i="41"/>
  <c r="A73" i="41"/>
  <c r="A74" i="41"/>
  <c r="A75" i="41"/>
  <c r="A76" i="41"/>
  <c r="A77" i="41"/>
  <c r="A78" i="41"/>
  <c r="A79" i="41"/>
  <c r="A80" i="41"/>
  <c r="A81" i="41"/>
  <c r="A82" i="41"/>
  <c r="A83" i="41"/>
  <c r="A84" i="41"/>
  <c r="A85" i="41"/>
  <c r="A86" i="41"/>
  <c r="A87" i="41"/>
  <c r="A88" i="41"/>
  <c r="A89" i="41"/>
  <c r="A90" i="41"/>
  <c r="A91" i="41"/>
  <c r="A92" i="41"/>
  <c r="A93" i="41"/>
  <c r="A94" i="41"/>
  <c r="A95" i="41"/>
  <c r="A96" i="41"/>
  <c r="A97" i="41"/>
  <c r="A98" i="41"/>
  <c r="A99" i="41"/>
  <c r="A100" i="41"/>
  <c r="A101" i="41"/>
  <c r="A102" i="41"/>
  <c r="A103" i="41"/>
  <c r="A104" i="41"/>
  <c r="A105" i="41"/>
  <c r="A106" i="41"/>
  <c r="A107" i="41"/>
  <c r="A108" i="41"/>
  <c r="A109" i="41"/>
  <c r="A110" i="41"/>
  <c r="A111" i="41"/>
  <c r="A112" i="41"/>
  <c r="A113" i="41"/>
  <c r="A114" i="41"/>
  <c r="A115" i="41"/>
  <c r="A116" i="41"/>
  <c r="A117" i="41"/>
  <c r="A118" i="41"/>
  <c r="A119" i="41"/>
  <c r="A120" i="41"/>
  <c r="A121" i="41"/>
  <c r="A122" i="41"/>
  <c r="A123" i="41"/>
  <c r="A124" i="41"/>
  <c r="A125" i="41"/>
  <c r="A126" i="41"/>
  <c r="A127" i="41"/>
  <c r="A128" i="41"/>
  <c r="A129" i="41"/>
  <c r="A130" i="41"/>
  <c r="A131" i="41"/>
  <c r="A132" i="41"/>
  <c r="A133" i="41"/>
  <c r="A134" i="41"/>
  <c r="A135" i="41"/>
  <c r="A136" i="41"/>
  <c r="A137" i="41"/>
  <c r="A138" i="41"/>
  <c r="A139" i="41"/>
  <c r="A140" i="41"/>
  <c r="A141" i="41"/>
  <c r="A142" i="41"/>
  <c r="A143" i="41"/>
  <c r="A144" i="41"/>
  <c r="A145" i="41"/>
  <c r="A146" i="41"/>
  <c r="A147" i="41"/>
  <c r="A148" i="41"/>
  <c r="A149" i="41"/>
  <c r="A150" i="41"/>
  <c r="A151" i="41"/>
  <c r="A152" i="41"/>
  <c r="A153" i="41"/>
  <c r="A154" i="41"/>
  <c r="A155" i="41"/>
  <c r="A156" i="41"/>
  <c r="A157" i="41"/>
  <c r="A158" i="41"/>
  <c r="A159" i="41"/>
  <c r="A160" i="41"/>
  <c r="A161" i="41"/>
  <c r="A162" i="41"/>
  <c r="A163" i="41"/>
  <c r="A164" i="41"/>
  <c r="A165" i="41"/>
  <c r="A166" i="41"/>
  <c r="A167" i="41"/>
  <c r="A168" i="41"/>
  <c r="A169" i="41"/>
  <c r="A170" i="41"/>
  <c r="A171" i="41"/>
  <c r="A172" i="41"/>
  <c r="A173" i="41"/>
  <c r="A174" i="41"/>
  <c r="A175" i="41"/>
  <c r="A176" i="41"/>
  <c r="A178" i="41"/>
  <c r="A179" i="41"/>
  <c r="A180" i="41"/>
  <c r="A181" i="41"/>
  <c r="A182" i="41"/>
  <c r="A183" i="41"/>
  <c r="A184" i="41"/>
  <c r="A185" i="41"/>
  <c r="A186" i="41"/>
  <c r="A187" i="41"/>
  <c r="A188" i="41"/>
  <c r="A189" i="41"/>
  <c r="A190" i="41"/>
  <c r="A191" i="41"/>
  <c r="A192" i="41"/>
  <c r="A193" i="41"/>
  <c r="A194" i="41"/>
  <c r="A195" i="41"/>
  <c r="A196" i="41"/>
  <c r="A197" i="41"/>
  <c r="A198" i="41"/>
  <c r="A199" i="41"/>
  <c r="A200" i="41"/>
  <c r="A201" i="41"/>
  <c r="A202" i="41"/>
  <c r="A203" i="41"/>
  <c r="A204" i="41"/>
  <c r="A205" i="41"/>
  <c r="A206" i="41"/>
  <c r="A207" i="41"/>
  <c r="A208" i="41"/>
  <c r="A209" i="41"/>
  <c r="A210" i="41"/>
  <c r="A211" i="41"/>
  <c r="A212" i="41"/>
  <c r="A213" i="41"/>
  <c r="A214" i="41"/>
  <c r="A215" i="41"/>
  <c r="A216" i="41"/>
  <c r="A217" i="41"/>
  <c r="A218" i="41"/>
  <c r="A219" i="41"/>
  <c r="A220" i="41"/>
  <c r="A221" i="41"/>
  <c r="A222" i="41"/>
  <c r="A223" i="41"/>
  <c r="A224" i="41"/>
  <c r="A225" i="41"/>
  <c r="A226" i="41"/>
  <c r="A227" i="41"/>
  <c r="A228" i="41"/>
  <c r="A229" i="41"/>
  <c r="A230" i="41"/>
  <c r="A231" i="41"/>
  <c r="A232" i="41"/>
  <c r="A233" i="41"/>
  <c r="A234" i="41"/>
  <c r="A235" i="41"/>
  <c r="A236" i="41"/>
  <c r="A237" i="41"/>
  <c r="A238" i="41"/>
  <c r="A239" i="41"/>
  <c r="A240" i="41"/>
  <c r="A241" i="41"/>
  <c r="A242" i="41"/>
  <c r="A243" i="41"/>
  <c r="A244" i="41"/>
  <c r="A245" i="41"/>
  <c r="A246" i="41"/>
  <c r="A247" i="41"/>
  <c r="A248" i="41"/>
  <c r="A249" i="41"/>
  <c r="A250" i="41"/>
  <c r="A251" i="41"/>
  <c r="A252" i="41"/>
  <c r="A253" i="41"/>
  <c r="A254" i="41"/>
  <c r="A255" i="41"/>
  <c r="A256" i="41"/>
  <c r="A257" i="41"/>
  <c r="A258" i="41"/>
  <c r="A259" i="41"/>
  <c r="A260" i="41"/>
  <c r="A261" i="41"/>
  <c r="A263" i="41"/>
  <c r="A264" i="41"/>
  <c r="A265" i="41"/>
  <c r="A266" i="41"/>
  <c r="A267" i="41"/>
  <c r="A268" i="41"/>
  <c r="A269" i="41"/>
  <c r="A270" i="41"/>
  <c r="A271" i="41"/>
  <c r="A272" i="41"/>
  <c r="A273" i="41"/>
  <c r="A274" i="41"/>
  <c r="A275" i="41"/>
  <c r="A276" i="41"/>
  <c r="A277" i="41"/>
  <c r="A278" i="41"/>
  <c r="A279" i="41"/>
  <c r="A280" i="41"/>
  <c r="A281" i="41"/>
  <c r="A282" i="41"/>
  <c r="A283" i="41"/>
  <c r="A284" i="41"/>
  <c r="A285" i="41"/>
  <c r="A286" i="41"/>
  <c r="A287" i="41"/>
  <c r="A288" i="41"/>
  <c r="A289" i="41"/>
  <c r="A290" i="41"/>
  <c r="A291" i="41"/>
  <c r="A292" i="41"/>
  <c r="A293" i="41"/>
  <c r="A294" i="41"/>
  <c r="A295" i="41"/>
  <c r="A296" i="41"/>
  <c r="A297" i="41"/>
  <c r="A298" i="41"/>
  <c r="A299" i="41"/>
  <c r="A300" i="41"/>
  <c r="A301" i="41"/>
  <c r="A302" i="41"/>
  <c r="A303" i="41"/>
  <c r="A304" i="41"/>
  <c r="A305" i="41"/>
  <c r="A306" i="41"/>
  <c r="A307" i="41"/>
  <c r="A308" i="41"/>
  <c r="A309" i="41"/>
  <c r="A310" i="41"/>
  <c r="A311" i="41"/>
  <c r="A312" i="41"/>
  <c r="A313" i="41"/>
  <c r="A314" i="41"/>
  <c r="A315" i="41"/>
  <c r="A316" i="41"/>
  <c r="A317" i="41"/>
  <c r="A318" i="41"/>
  <c r="A319" i="41"/>
  <c r="A320" i="41"/>
  <c r="A321" i="41"/>
  <c r="A322" i="41"/>
  <c r="A323" i="41"/>
  <c r="A324" i="41"/>
  <c r="A325" i="41"/>
  <c r="A326" i="41"/>
  <c r="A328" i="41"/>
  <c r="A329" i="41"/>
  <c r="A330" i="41"/>
  <c r="A331" i="41"/>
  <c r="A332" i="41"/>
  <c r="A333" i="41"/>
  <c r="A334" i="41"/>
  <c r="A335" i="41"/>
  <c r="A336" i="41"/>
  <c r="A337" i="41"/>
  <c r="A338" i="41"/>
  <c r="A339" i="41"/>
  <c r="A340" i="41"/>
  <c r="A341" i="41"/>
  <c r="A342" i="41"/>
  <c r="A343" i="41"/>
  <c r="A344" i="41"/>
  <c r="A345" i="41"/>
  <c r="A346" i="41"/>
  <c r="A347" i="41"/>
  <c r="A349" i="41"/>
  <c r="A350" i="41"/>
  <c r="A351" i="41"/>
  <c r="A352" i="41"/>
  <c r="A353" i="41"/>
  <c r="A354" i="41"/>
  <c r="A355" i="41"/>
  <c r="A356" i="41"/>
  <c r="A357" i="41"/>
  <c r="A358" i="41"/>
  <c r="A359" i="41"/>
  <c r="A360" i="41"/>
  <c r="A361" i="41"/>
  <c r="A362" i="41"/>
  <c r="A363" i="41"/>
  <c r="A364" i="41"/>
  <c r="A365" i="41"/>
  <c r="A366" i="41"/>
  <c r="A367" i="41"/>
  <c r="A368" i="41"/>
  <c r="A369" i="41"/>
  <c r="A370" i="41"/>
  <c r="A371" i="41"/>
  <c r="A372" i="41"/>
  <c r="A373" i="41"/>
  <c r="A374" i="41"/>
  <c r="A375" i="41"/>
  <c r="A376" i="41"/>
  <c r="A377" i="41"/>
  <c r="A378" i="41"/>
  <c r="A379" i="41"/>
  <c r="A380" i="41"/>
  <c r="A381" i="41"/>
  <c r="A382" i="41"/>
  <c r="A383" i="41"/>
  <c r="A384" i="41"/>
  <c r="A385" i="41"/>
  <c r="A386" i="41"/>
  <c r="A387" i="41"/>
  <c r="A388" i="41"/>
  <c r="A389" i="41"/>
  <c r="A390" i="41"/>
  <c r="A391" i="41"/>
  <c r="A392" i="41"/>
  <c r="A393" i="41"/>
  <c r="A394" i="41"/>
  <c r="A395" i="41"/>
  <c r="A396" i="41"/>
  <c r="A397" i="41"/>
  <c r="A398" i="41"/>
  <c r="A399" i="41"/>
  <c r="A400" i="41"/>
  <c r="A401" i="41"/>
  <c r="A402" i="41"/>
  <c r="A403" i="41"/>
  <c r="A405" i="41"/>
  <c r="A406" i="41"/>
  <c r="A407" i="41"/>
  <c r="A408" i="41"/>
  <c r="A409" i="41"/>
  <c r="A410" i="41"/>
  <c r="A411" i="41"/>
  <c r="A412" i="41"/>
  <c r="A413" i="41"/>
  <c r="A414" i="41"/>
  <c r="A415" i="41"/>
  <c r="A416" i="41"/>
  <c r="A417" i="41"/>
  <c r="A418" i="41"/>
  <c r="A419" i="41"/>
  <c r="A420" i="41"/>
  <c r="A421" i="41"/>
  <c r="A422" i="41"/>
  <c r="A423" i="41"/>
  <c r="AN424" i="41"/>
  <c r="AO424" i="41"/>
  <c r="AP424" i="41"/>
  <c r="AQ424" i="41"/>
  <c r="AR424" i="41"/>
  <c r="AS424" i="41"/>
  <c r="AT424" i="41"/>
  <c r="AU424" i="41"/>
  <c r="AV424" i="41"/>
  <c r="AW424" i="41"/>
  <c r="AX424" i="41"/>
  <c r="AY424" i="41"/>
  <c r="AZ424" i="41"/>
  <c r="BA424" i="41"/>
  <c r="BB424" i="41"/>
  <c r="BC424" i="41"/>
  <c r="BD424" i="41"/>
  <c r="BE424" i="41"/>
  <c r="BF424" i="41"/>
  <c r="BG424" i="41"/>
  <c r="BH424" i="41"/>
  <c r="BI424" i="41"/>
  <c r="BJ424" i="41"/>
  <c r="BK424" i="41"/>
  <c r="BL424" i="41"/>
  <c r="BM424" i="41"/>
  <c r="BN424" i="41"/>
  <c r="BO424" i="41"/>
  <c r="BP424" i="41"/>
  <c r="BQ424" i="41"/>
  <c r="BR424" i="41"/>
  <c r="BS424" i="41"/>
  <c r="BT424" i="41"/>
  <c r="BU424" i="41"/>
  <c r="BV424" i="41"/>
  <c r="BW424" i="41"/>
  <c r="BX424" i="41"/>
  <c r="BY424" i="41"/>
  <c r="BZ424" i="41"/>
  <c r="CA424" i="41"/>
  <c r="CB424" i="41"/>
  <c r="CC424" i="41"/>
  <c r="CD424" i="41"/>
  <c r="CE424" i="41"/>
  <c r="CF424" i="41"/>
  <c r="CG424" i="41"/>
  <c r="CH424" i="41"/>
  <c r="CI424" i="41"/>
  <c r="CJ424" i="41"/>
  <c r="CK424" i="41"/>
  <c r="CL424" i="41"/>
  <c r="CM424" i="41"/>
  <c r="CN424" i="41"/>
  <c r="CO424" i="41"/>
  <c r="D425" i="41"/>
  <c r="E425" i="41"/>
  <c r="F425" i="41"/>
  <c r="G425" i="41"/>
  <c r="H425" i="41"/>
  <c r="I425" i="41"/>
  <c r="J425" i="41"/>
  <c r="K425" i="41"/>
  <c r="L425" i="41"/>
  <c r="M425" i="41"/>
  <c r="N425" i="41"/>
  <c r="O425" i="41"/>
  <c r="P425" i="41"/>
  <c r="Q425" i="41"/>
  <c r="R425" i="41"/>
  <c r="S425" i="41"/>
  <c r="AE425" i="41"/>
  <c r="AF425" i="41"/>
  <c r="AG425" i="41"/>
  <c r="AH425" i="41"/>
  <c r="AI425" i="41"/>
  <c r="AJ425" i="41"/>
  <c r="AN425" i="41"/>
  <c r="AO425" i="41"/>
  <c r="AP425" i="41"/>
  <c r="AT425" i="41"/>
  <c r="AU425" i="41"/>
  <c r="AV425" i="41"/>
  <c r="AW425" i="41"/>
  <c r="AX425" i="41"/>
  <c r="AY425" i="41"/>
  <c r="AZ425" i="41"/>
  <c r="BA425" i="41"/>
  <c r="BB425" i="41"/>
  <c r="BC425" i="41"/>
  <c r="BD425" i="41"/>
  <c r="BE425" i="41"/>
  <c r="BF425" i="41"/>
  <c r="BG425" i="41"/>
  <c r="BH425" i="41"/>
  <c r="BI425" i="41"/>
  <c r="BJ425" i="41"/>
  <c r="BK425" i="41"/>
  <c r="BL425" i="41"/>
  <c r="BM425" i="41"/>
  <c r="BN425" i="41"/>
  <c r="BO425" i="41"/>
  <c r="BP425" i="41"/>
  <c r="BQ425" i="41"/>
  <c r="BR425" i="41"/>
  <c r="BS425" i="41"/>
  <c r="BT425" i="41"/>
  <c r="BU425" i="41"/>
  <c r="BV425" i="41"/>
  <c r="BW425" i="41"/>
  <c r="BX425" i="41"/>
  <c r="BY425" i="41"/>
  <c r="BZ425" i="41"/>
  <c r="CA425" i="41"/>
  <c r="CB425" i="41"/>
  <c r="CC425" i="41"/>
  <c r="CD425" i="41"/>
  <c r="CE425" i="41"/>
  <c r="CF425" i="41"/>
  <c r="CG425" i="41"/>
  <c r="CH425" i="41"/>
  <c r="CI425" i="41"/>
  <c r="CJ425" i="41"/>
  <c r="CK425" i="41"/>
  <c r="CL425" i="41"/>
  <c r="CM425" i="41"/>
  <c r="CN425" i="41"/>
  <c r="CO425" i="41"/>
  <c r="O515" i="41"/>
  <c r="P515" i="41"/>
  <c r="Q515" i="41"/>
  <c r="R515" i="41"/>
  <c r="S515" i="41"/>
  <c r="AE515" i="41"/>
  <c r="AF515" i="41"/>
  <c r="AG515" i="41"/>
  <c r="AH515" i="41"/>
  <c r="AI515" i="41"/>
  <c r="AJ515" i="41"/>
  <c r="AN515" i="41"/>
  <c r="AO515" i="41"/>
  <c r="AP515" i="41"/>
  <c r="AQ515" i="41"/>
  <c r="AR515" i="41"/>
  <c r="AS515" i="41"/>
  <c r="AT515" i="41"/>
  <c r="AU515" i="41"/>
  <c r="AV515" i="41"/>
  <c r="AW515" i="41"/>
  <c r="AX515" i="41"/>
  <c r="AY515" i="41"/>
  <c r="AZ515" i="41"/>
  <c r="BA515" i="41"/>
  <c r="BB515" i="41"/>
  <c r="BC515" i="41"/>
  <c r="BD515" i="41"/>
  <c r="BE515" i="41"/>
  <c r="BF515" i="41"/>
  <c r="BG515" i="41"/>
  <c r="BH515" i="41"/>
  <c r="BI515" i="41"/>
  <c r="BJ515" i="41"/>
  <c r="BK515" i="41"/>
  <c r="BL515" i="41"/>
  <c r="BM515" i="41"/>
  <c r="BN515" i="41"/>
  <c r="BO515" i="41"/>
  <c r="BP515" i="41"/>
  <c r="BQ515" i="41"/>
  <c r="BR515" i="41"/>
  <c r="BS515" i="41"/>
  <c r="BT515" i="41"/>
  <c r="BU515" i="41"/>
  <c r="BV515" i="41"/>
  <c r="BW515" i="41"/>
  <c r="BX515" i="41"/>
  <c r="BY515" i="41"/>
  <c r="BZ515" i="41"/>
  <c r="CA515" i="41"/>
  <c r="CB515" i="41"/>
  <c r="CC515" i="41"/>
  <c r="CD515" i="41"/>
  <c r="CE515" i="41"/>
  <c r="CF515" i="41"/>
  <c r="CG515" i="41"/>
  <c r="CH515" i="41"/>
  <c r="CI515" i="41"/>
  <c r="CJ515" i="41"/>
  <c r="CK515" i="41"/>
  <c r="CL515" i="41"/>
  <c r="CM515" i="41"/>
  <c r="CN515" i="41"/>
  <c r="CO515" i="41"/>
  <c r="CP515" i="41"/>
  <c r="CQ515" i="41"/>
  <c r="CR515" i="41"/>
  <c r="D517" i="41"/>
  <c r="E517" i="41"/>
  <c r="F517" i="41"/>
  <c r="G517" i="41"/>
  <c r="H517" i="41"/>
  <c r="I517" i="41"/>
  <c r="J517" i="41"/>
  <c r="K517" i="41"/>
  <c r="L517" i="41"/>
  <c r="M517" i="41"/>
  <c r="N517" i="41"/>
  <c r="O517" i="41"/>
  <c r="P517" i="41"/>
  <c r="Q517" i="41"/>
  <c r="R517" i="41"/>
  <c r="S517" i="41"/>
  <c r="AE517" i="41"/>
  <c r="AF517" i="41"/>
  <c r="AG517" i="41"/>
  <c r="AH517" i="41"/>
  <c r="AI517" i="41"/>
  <c r="AJ517" i="41"/>
  <c r="AN517" i="41"/>
  <c r="AO517" i="41"/>
  <c r="AP517" i="41"/>
  <c r="AQ517" i="41"/>
  <c r="AR517" i="41"/>
  <c r="AS517" i="41"/>
  <c r="AT517" i="41"/>
  <c r="AU517" i="41"/>
  <c r="AV517" i="41"/>
  <c r="AW517" i="41"/>
  <c r="AX517" i="41"/>
  <c r="AY517" i="41"/>
  <c r="AZ517" i="41"/>
  <c r="BA517" i="41"/>
  <c r="BB517" i="41"/>
  <c r="BC517" i="41"/>
  <c r="BD517" i="41"/>
  <c r="BE517" i="41"/>
  <c r="BF517" i="41"/>
  <c r="BG517" i="41"/>
  <c r="BH517" i="41"/>
  <c r="BI517" i="41"/>
  <c r="BJ517" i="41"/>
  <c r="BK517" i="41"/>
  <c r="BL517" i="41"/>
  <c r="BM517" i="41"/>
  <c r="BN517" i="41"/>
  <c r="BO517" i="41"/>
  <c r="BP517" i="41"/>
  <c r="BQ517" i="41"/>
  <c r="BR517" i="41"/>
  <c r="BS517" i="41"/>
  <c r="BT517" i="41"/>
  <c r="BU517" i="41"/>
  <c r="BV517" i="41"/>
  <c r="BW517" i="41"/>
  <c r="BX517" i="41"/>
  <c r="BY517" i="41"/>
  <c r="BZ517" i="41"/>
  <c r="CA517" i="41"/>
  <c r="CB517" i="41"/>
  <c r="CC517" i="41"/>
  <c r="CD517" i="41"/>
  <c r="CE517" i="41"/>
  <c r="CF517" i="41"/>
  <c r="CG517" i="41"/>
  <c r="CH517" i="41"/>
  <c r="CI517" i="41"/>
  <c r="CJ517" i="41"/>
  <c r="CK517" i="41"/>
  <c r="CL517" i="41"/>
  <c r="CM517" i="41"/>
  <c r="CN517" i="41"/>
  <c r="CO517" i="41"/>
  <c r="CP517" i="41"/>
  <c r="CQ517" i="41"/>
  <c r="CR517" i="41"/>
  <c r="CC519" i="41"/>
  <c r="CD519" i="41"/>
  <c r="CE519" i="41"/>
  <c r="CF519" i="41"/>
  <c r="CG519" i="41"/>
  <c r="CH519" i="41"/>
  <c r="CI519" i="41"/>
  <c r="CJ519" i="41"/>
  <c r="CK519" i="41"/>
  <c r="CL519" i="41"/>
  <c r="CM519" i="41"/>
  <c r="CN519" i="41"/>
  <c r="CO519" i="41"/>
  <c r="CP519" i="41"/>
  <c r="CQ519" i="41"/>
  <c r="CR519" i="41"/>
  <c r="CT519" i="41"/>
  <c r="CU519" i="41"/>
  <c r="BS522" i="41"/>
  <c r="BT522" i="41"/>
  <c r="BU522" i="41"/>
  <c r="BV522" i="41"/>
  <c r="BW522" i="41"/>
  <c r="BX522" i="41"/>
  <c r="BY522" i="41"/>
  <c r="BZ522" i="41"/>
  <c r="CA522" i="41"/>
  <c r="CB522" i="41"/>
  <c r="CC522" i="41"/>
  <c r="CD522" i="41"/>
  <c r="CE522" i="41"/>
  <c r="CF522" i="41"/>
  <c r="CG522" i="41"/>
  <c r="CH522" i="41"/>
  <c r="CI522" i="41"/>
  <c r="CJ522" i="41"/>
  <c r="CK522" i="41"/>
  <c r="CL522" i="41"/>
  <c r="CM522" i="41"/>
  <c r="CN522" i="41"/>
  <c r="CO522" i="41"/>
  <c r="CP522" i="41"/>
  <c r="CQ522" i="41"/>
  <c r="CR522" i="41"/>
  <c r="B8" i="16"/>
  <c r="D14" i="16"/>
  <c r="F15" i="16"/>
  <c r="D15" i="16" s="1"/>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L225" i="16"/>
  <c r="C226" i="16"/>
  <c r="L226" i="16"/>
  <c r="L227" i="16" s="1"/>
  <c r="C227" i="16"/>
  <c r="C228" i="16"/>
  <c r="C229" i="16"/>
  <c r="C230" i="16"/>
  <c r="C231" i="16"/>
  <c r="C232" i="16"/>
  <c r="C233" i="16"/>
  <c r="C234" i="16"/>
  <c r="C235" i="16"/>
  <c r="C236" i="16"/>
  <c r="C237" i="16"/>
  <c r="C238" i="16"/>
  <c r="C239" i="16"/>
  <c r="C240" i="16"/>
  <c r="C241" i="16"/>
  <c r="C242" i="16"/>
  <c r="D242" i="16"/>
  <c r="F242" i="16"/>
  <c r="F243" i="16" s="1"/>
  <c r="D243" i="16" s="1"/>
  <c r="C243" i="16"/>
  <c r="C244" i="16"/>
  <c r="C245" i="16"/>
  <c r="C246" i="16"/>
  <c r="C247" i="16"/>
  <c r="C248" i="16"/>
  <c r="C249" i="16"/>
  <c r="C250" i="16"/>
  <c r="C251" i="16"/>
  <c r="C252" i="16"/>
  <c r="C253" i="16"/>
  <c r="C254" i="16"/>
  <c r="C255" i="16"/>
  <c r="C256" i="16"/>
  <c r="C257" i="16"/>
  <c r="C258" i="16"/>
  <c r="C259" i="16"/>
  <c r="C260" i="16"/>
  <c r="C261" i="16"/>
  <c r="B29" i="52"/>
  <c r="C29" i="52"/>
  <c r="C30" i="52" s="1"/>
  <c r="D29" i="52"/>
  <c r="D30" i="52" s="1"/>
  <c r="E29" i="52"/>
  <c r="E30" i="52" s="1"/>
  <c r="F29" i="52"/>
  <c r="G29" i="52"/>
  <c r="G30" i="52" s="1"/>
  <c r="H29" i="52"/>
  <c r="I29" i="52"/>
  <c r="I30" i="52" s="1"/>
  <c r="J29" i="52"/>
  <c r="K29" i="52"/>
  <c r="L29" i="52"/>
  <c r="M29" i="52"/>
  <c r="M30" i="52" s="1"/>
  <c r="N29" i="52"/>
  <c r="B30" i="52"/>
  <c r="F30" i="52"/>
  <c r="H30" i="52"/>
  <c r="J30" i="52"/>
  <c r="K30" i="52"/>
  <c r="L30" i="52"/>
  <c r="N30" i="52"/>
  <c r="AB3" i="49"/>
  <c r="AC3" i="49" s="1"/>
  <c r="AN3" i="49"/>
  <c r="AN26" i="49" s="1"/>
  <c r="AZ3" i="49"/>
  <c r="BC3" i="49" s="1"/>
  <c r="BB3" i="49"/>
  <c r="BE3" i="49" s="1"/>
  <c r="BL3" i="49"/>
  <c r="BM3" i="49" s="1"/>
  <c r="BN3" i="49" s="1"/>
  <c r="BN26" i="49" s="1"/>
  <c r="BN37" i="49" s="1"/>
  <c r="BX3" i="49"/>
  <c r="BY3" i="49" s="1"/>
  <c r="CW6" i="49"/>
  <c r="CW7" i="49"/>
  <c r="CW8" i="49"/>
  <c r="CW9" i="49"/>
  <c r="CW10" i="49"/>
  <c r="C11" i="49"/>
  <c r="D11" i="49"/>
  <c r="E11" i="49"/>
  <c r="F11" i="49"/>
  <c r="G11" i="49"/>
  <c r="H11" i="49"/>
  <c r="I11" i="49"/>
  <c r="J11" i="49"/>
  <c r="K11" i="49"/>
  <c r="L11" i="49"/>
  <c r="M11" i="49"/>
  <c r="N11" i="49"/>
  <c r="O11" i="49"/>
  <c r="P11" i="49"/>
  <c r="Q11" i="49"/>
  <c r="R11" i="49"/>
  <c r="S11" i="49"/>
  <c r="T11" i="49"/>
  <c r="U11" i="49"/>
  <c r="V11" i="49"/>
  <c r="W11" i="49"/>
  <c r="X11" i="49"/>
  <c r="Y11" i="49"/>
  <c r="Z11" i="49"/>
  <c r="AA11" i="49"/>
  <c r="AB11" i="49"/>
  <c r="AC11" i="49"/>
  <c r="AD11" i="49"/>
  <c r="AE11" i="49"/>
  <c r="AF11" i="49"/>
  <c r="AG11" i="49"/>
  <c r="AH11" i="49"/>
  <c r="AI11" i="49"/>
  <c r="AJ11" i="49"/>
  <c r="AK11" i="49"/>
  <c r="AL11" i="49"/>
  <c r="AM11" i="49"/>
  <c r="AN11" i="49"/>
  <c r="AO11" i="49"/>
  <c r="AP11" i="49"/>
  <c r="AQ11" i="49"/>
  <c r="AR11" i="49"/>
  <c r="AS11" i="49"/>
  <c r="AT11" i="49"/>
  <c r="AU11" i="49"/>
  <c r="AV11" i="49"/>
  <c r="AW11" i="49"/>
  <c r="AX11" i="49"/>
  <c r="AY11" i="49"/>
  <c r="AZ11" i="49"/>
  <c r="BA11" i="49"/>
  <c r="BB11" i="49"/>
  <c r="BC11" i="49"/>
  <c r="BD11" i="49"/>
  <c r="BE11" i="49"/>
  <c r="BF11" i="49"/>
  <c r="BG11" i="49"/>
  <c r="BH11" i="49"/>
  <c r="BI11" i="49"/>
  <c r="BJ11" i="49"/>
  <c r="BK11" i="49"/>
  <c r="BL11" i="49"/>
  <c r="BM11" i="49"/>
  <c r="BN11" i="49"/>
  <c r="BO11" i="49"/>
  <c r="BP11" i="49"/>
  <c r="BQ11" i="49"/>
  <c r="BR11" i="49"/>
  <c r="BS11" i="49"/>
  <c r="BT11" i="49"/>
  <c r="BU11" i="49"/>
  <c r="BV11" i="49"/>
  <c r="BW11" i="49"/>
  <c r="BX11" i="49"/>
  <c r="BY11" i="49"/>
  <c r="BZ11" i="49"/>
  <c r="CA11" i="49"/>
  <c r="CB11" i="49"/>
  <c r="CC11" i="49"/>
  <c r="CD11" i="49"/>
  <c r="CE11" i="49"/>
  <c r="CF11" i="49"/>
  <c r="CG11" i="49"/>
  <c r="CH11" i="49"/>
  <c r="AA15" i="49"/>
  <c r="AB15" i="49"/>
  <c r="AM15" i="49"/>
  <c r="AY15" i="49"/>
  <c r="BB15" i="49"/>
  <c r="BK15" i="49"/>
  <c r="BW15" i="49"/>
  <c r="CX15" i="49"/>
  <c r="AD16" i="49"/>
  <c r="AE16" i="49"/>
  <c r="AF16" i="49"/>
  <c r="AG16" i="49"/>
  <c r="AH16" i="49"/>
  <c r="AI16" i="49"/>
  <c r="AJ16" i="49"/>
  <c r="AK16" i="49"/>
  <c r="AL16" i="49"/>
  <c r="AM16" i="49"/>
  <c r="AN16" i="49"/>
  <c r="AO16" i="49"/>
  <c r="AP16" i="49"/>
  <c r="AQ16" i="49"/>
  <c r="AR16" i="49"/>
  <c r="AS16" i="49"/>
  <c r="AT16" i="49"/>
  <c r="AU16" i="49"/>
  <c r="AV16" i="49"/>
  <c r="AW16" i="49"/>
  <c r="AX16" i="49"/>
  <c r="AY16" i="49"/>
  <c r="AZ16" i="49"/>
  <c r="BA16" i="49"/>
  <c r="BB16" i="49"/>
  <c r="BC16" i="49"/>
  <c r="BD16" i="49"/>
  <c r="BE16" i="49"/>
  <c r="BF16" i="49"/>
  <c r="BG16" i="49"/>
  <c r="BH16" i="49"/>
  <c r="BI16" i="49"/>
  <c r="BJ16" i="49"/>
  <c r="BK16" i="49"/>
  <c r="BL16" i="49"/>
  <c r="BM16" i="49"/>
  <c r="BN16" i="49"/>
  <c r="BO16" i="49"/>
  <c r="BP16" i="49"/>
  <c r="BQ16" i="49"/>
  <c r="BR16" i="49"/>
  <c r="BS16" i="49"/>
  <c r="BT16" i="49"/>
  <c r="BU16" i="49"/>
  <c r="BV16" i="49"/>
  <c r="BW16" i="49"/>
  <c r="BX16" i="49"/>
  <c r="BY16" i="49"/>
  <c r="BZ16" i="49"/>
  <c r="CA16" i="49"/>
  <c r="CB16" i="49"/>
  <c r="CC16" i="49"/>
  <c r="CD16" i="49"/>
  <c r="CE16" i="49"/>
  <c r="CF16" i="49"/>
  <c r="CG16" i="49"/>
  <c r="CH16" i="49"/>
  <c r="B17" i="49"/>
  <c r="CW18" i="49"/>
  <c r="CW20" i="49"/>
  <c r="CW21" i="49"/>
  <c r="CW22" i="49"/>
  <c r="C23" i="49"/>
  <c r="D23" i="49"/>
  <c r="E23" i="49"/>
  <c r="F23" i="49"/>
  <c r="G23" i="49"/>
  <c r="H23" i="49"/>
  <c r="I23" i="49"/>
  <c r="J23" i="49"/>
  <c r="K23" i="49"/>
  <c r="L23" i="49"/>
  <c r="M23" i="49"/>
  <c r="N23" i="49"/>
  <c r="O23" i="49"/>
  <c r="P23" i="49"/>
  <c r="Q23" i="49"/>
  <c r="R23" i="49"/>
  <c r="S23" i="49"/>
  <c r="T23" i="49"/>
  <c r="U23" i="49"/>
  <c r="V23" i="49"/>
  <c r="W23" i="49"/>
  <c r="X23" i="49"/>
  <c r="Y23" i="49"/>
  <c r="Z23" i="49"/>
  <c r="AA23" i="49"/>
  <c r="AB23" i="49"/>
  <c r="AC23" i="49"/>
  <c r="AD23" i="49"/>
  <c r="AE23" i="49"/>
  <c r="AF23" i="49"/>
  <c r="AG23" i="49"/>
  <c r="AH23" i="49"/>
  <c r="AI23" i="49"/>
  <c r="AJ23" i="49"/>
  <c r="AK23" i="49"/>
  <c r="AL23" i="49"/>
  <c r="AM23" i="49"/>
  <c r="AN23" i="49"/>
  <c r="AO23" i="49"/>
  <c r="AP23" i="49"/>
  <c r="AQ23" i="49"/>
  <c r="AR23" i="49"/>
  <c r="AS23" i="49"/>
  <c r="AT23" i="49"/>
  <c r="AU23" i="49"/>
  <c r="AV23" i="49"/>
  <c r="AW23" i="49"/>
  <c r="AX23" i="49"/>
  <c r="AY23" i="49"/>
  <c r="AZ23" i="49"/>
  <c r="BA23" i="49"/>
  <c r="BB23" i="49"/>
  <c r="BC23" i="49"/>
  <c r="BD23" i="49"/>
  <c r="BE23" i="49"/>
  <c r="BF23" i="49"/>
  <c r="BG23" i="49"/>
  <c r="BH23" i="49"/>
  <c r="BI23" i="49"/>
  <c r="BJ23" i="49"/>
  <c r="BK23" i="49"/>
  <c r="BL23" i="49"/>
  <c r="BM23" i="49"/>
  <c r="BN23" i="49"/>
  <c r="BO23" i="49"/>
  <c r="BP23" i="49"/>
  <c r="BQ23" i="49"/>
  <c r="BR23" i="49"/>
  <c r="BS23" i="49"/>
  <c r="BT23" i="49"/>
  <c r="BU23" i="49"/>
  <c r="BV23" i="49"/>
  <c r="BW23" i="49"/>
  <c r="BX23" i="49"/>
  <c r="BY23" i="49"/>
  <c r="BZ23" i="49"/>
  <c r="CA23" i="49"/>
  <c r="CB23" i="49"/>
  <c r="CC23" i="49"/>
  <c r="CD23" i="49"/>
  <c r="CE23" i="49"/>
  <c r="CF23" i="49"/>
  <c r="CG23" i="49"/>
  <c r="CH23" i="49"/>
  <c r="AA26" i="49"/>
  <c r="AM26" i="49"/>
  <c r="AY26" i="49"/>
  <c r="BB26" i="49"/>
  <c r="BK26" i="49"/>
  <c r="BK37" i="49" s="1"/>
  <c r="BL26" i="49"/>
  <c r="BL37" i="49" s="1"/>
  <c r="BW26" i="49"/>
  <c r="BW37" i="49" s="1"/>
  <c r="AD27" i="49"/>
  <c r="AE27" i="49"/>
  <c r="AF27" i="49"/>
  <c r="AG27" i="49"/>
  <c r="AH27" i="49"/>
  <c r="AI27" i="49"/>
  <c r="AJ27" i="49"/>
  <c r="AK27" i="49"/>
  <c r="AL27" i="49"/>
  <c r="AM27" i="49"/>
  <c r="AN27" i="49"/>
  <c r="AO27" i="49"/>
  <c r="AP27" i="49"/>
  <c r="AQ27" i="49"/>
  <c r="AR27" i="49"/>
  <c r="AS27" i="49"/>
  <c r="AT27" i="49"/>
  <c r="AU27" i="49"/>
  <c r="AV27" i="49"/>
  <c r="AW27" i="49"/>
  <c r="AX27" i="49"/>
  <c r="AY27" i="49"/>
  <c r="AZ27" i="49"/>
  <c r="BA27" i="49"/>
  <c r="BB27" i="49"/>
  <c r="BC27" i="49"/>
  <c r="BD27" i="49"/>
  <c r="BE27" i="49"/>
  <c r="BF27" i="49"/>
  <c r="BG27" i="49"/>
  <c r="BH27" i="49"/>
  <c r="BI27" i="49"/>
  <c r="BJ27" i="49"/>
  <c r="BK27" i="49"/>
  <c r="BK38" i="49" s="1"/>
  <c r="BL27" i="49"/>
  <c r="BM27" i="49"/>
  <c r="BM38" i="49" s="1"/>
  <c r="BN27" i="49"/>
  <c r="BN38" i="49" s="1"/>
  <c r="BO27" i="49"/>
  <c r="BO38" i="49" s="1"/>
  <c r="BP27" i="49"/>
  <c r="BP38" i="49" s="1"/>
  <c r="BQ27" i="49"/>
  <c r="BQ38" i="49" s="1"/>
  <c r="BR27" i="49"/>
  <c r="BR38" i="49" s="1"/>
  <c r="BS27" i="49"/>
  <c r="BS38" i="49" s="1"/>
  <c r="BT27" i="49"/>
  <c r="BT38" i="49" s="1"/>
  <c r="BU27" i="49"/>
  <c r="BU38" i="49" s="1"/>
  <c r="BV27" i="49"/>
  <c r="BV38" i="49" s="1"/>
  <c r="BW27" i="49"/>
  <c r="BW38" i="49" s="1"/>
  <c r="BX27" i="49"/>
  <c r="BX38" i="49" s="1"/>
  <c r="BY27" i="49"/>
  <c r="BY38" i="49" s="1"/>
  <c r="BZ27" i="49"/>
  <c r="BZ38" i="49" s="1"/>
  <c r="CA27" i="49"/>
  <c r="CA38" i="49" s="1"/>
  <c r="CB27" i="49"/>
  <c r="CC27" i="49"/>
  <c r="CC38" i="49" s="1"/>
  <c r="CD27" i="49"/>
  <c r="CD38" i="49" s="1"/>
  <c r="CE27" i="49"/>
  <c r="CE38" i="49" s="1"/>
  <c r="CF27" i="49"/>
  <c r="CF38" i="49" s="1"/>
  <c r="CG27" i="49"/>
  <c r="CG38" i="49" s="1"/>
  <c r="CH27" i="49"/>
  <c r="CH38" i="49" s="1"/>
  <c r="B28" i="49"/>
  <c r="B39" i="49" s="1"/>
  <c r="CW29" i="49"/>
  <c r="CW30" i="49"/>
  <c r="CW31" i="49"/>
  <c r="CW33" i="49"/>
  <c r="C34" i="49"/>
  <c r="D34" i="49"/>
  <c r="E34" i="49"/>
  <c r="F34" i="49"/>
  <c r="G34" i="49"/>
  <c r="H34" i="49"/>
  <c r="I34" i="49"/>
  <c r="J34" i="49"/>
  <c r="K34" i="49"/>
  <c r="L34" i="49"/>
  <c r="M34" i="49"/>
  <c r="N34" i="49"/>
  <c r="O34" i="49"/>
  <c r="P34" i="49"/>
  <c r="Q34" i="49"/>
  <c r="R34" i="49"/>
  <c r="S34" i="49"/>
  <c r="T34" i="49"/>
  <c r="U34" i="49"/>
  <c r="V34" i="49"/>
  <c r="W34" i="49"/>
  <c r="X34" i="49"/>
  <c r="Y34" i="49"/>
  <c r="Z34" i="49"/>
  <c r="AA34" i="49"/>
  <c r="AB34" i="49"/>
  <c r="AC34" i="49"/>
  <c r="AD34" i="49"/>
  <c r="AE34" i="49"/>
  <c r="AF34" i="49"/>
  <c r="AG34" i="49"/>
  <c r="AH34" i="49"/>
  <c r="AI34" i="49"/>
  <c r="AJ34" i="49"/>
  <c r="AK34" i="49"/>
  <c r="AL34" i="49"/>
  <c r="AM34" i="49"/>
  <c r="AN34" i="49"/>
  <c r="AO34" i="49"/>
  <c r="AP34" i="49"/>
  <c r="AQ34" i="49"/>
  <c r="AR34" i="49"/>
  <c r="AS34" i="49"/>
  <c r="AT34" i="49"/>
  <c r="AU34" i="49"/>
  <c r="AV34" i="49"/>
  <c r="AW34" i="49"/>
  <c r="AX34" i="49"/>
  <c r="AY34" i="49"/>
  <c r="AZ34" i="49"/>
  <c r="BA34" i="49"/>
  <c r="BB34" i="49"/>
  <c r="BC34" i="49"/>
  <c r="BD34" i="49"/>
  <c r="BE34" i="49"/>
  <c r="BF34" i="49"/>
  <c r="BG34" i="49"/>
  <c r="BH34" i="49"/>
  <c r="BI34" i="49"/>
  <c r="BJ34" i="49"/>
  <c r="BK34" i="49"/>
  <c r="BL34" i="49"/>
  <c r="BM34" i="49"/>
  <c r="BN34" i="49"/>
  <c r="BO34" i="49"/>
  <c r="BP34" i="49"/>
  <c r="BQ34" i="49"/>
  <c r="BR34" i="49"/>
  <c r="BS34" i="49"/>
  <c r="BT34" i="49"/>
  <c r="BU34" i="49"/>
  <c r="BV34" i="49"/>
  <c r="BW34" i="49"/>
  <c r="BX34" i="49"/>
  <c r="BY34" i="49"/>
  <c r="BZ34" i="49"/>
  <c r="CA34" i="49"/>
  <c r="CB34" i="49"/>
  <c r="CC34" i="49"/>
  <c r="CD34" i="49"/>
  <c r="CE34" i="49"/>
  <c r="CF34" i="49"/>
  <c r="CG34" i="49"/>
  <c r="CH34" i="49"/>
  <c r="CV37" i="49"/>
  <c r="BL38" i="49"/>
  <c r="CB38" i="49"/>
  <c r="CV38" i="49"/>
  <c r="BK40" i="49"/>
  <c r="BL40" i="49"/>
  <c r="BM40" i="49"/>
  <c r="BN40" i="49"/>
  <c r="BO40" i="49"/>
  <c r="BP40" i="49"/>
  <c r="BQ40" i="49"/>
  <c r="BR40" i="49"/>
  <c r="BS40" i="49"/>
  <c r="BT40" i="49"/>
  <c r="BU40" i="49"/>
  <c r="BV40" i="49"/>
  <c r="BW40" i="49"/>
  <c r="BX40" i="49"/>
  <c r="BY40" i="49"/>
  <c r="BZ40" i="49"/>
  <c r="CA40" i="49"/>
  <c r="CB40" i="49"/>
  <c r="CC40" i="49"/>
  <c r="CD40" i="49"/>
  <c r="CE40" i="49"/>
  <c r="CF40" i="49"/>
  <c r="CG40" i="49"/>
  <c r="CH40" i="49"/>
  <c r="CU40" i="49" s="1"/>
  <c r="AA12" i="38"/>
  <c r="AB12" i="38" s="1"/>
  <c r="DM14" i="38"/>
  <c r="DN14" i="38"/>
  <c r="DO14" i="38"/>
  <c r="DM15" i="38"/>
  <c r="DN15" i="38"/>
  <c r="DO15" i="38"/>
  <c r="DM16" i="38"/>
  <c r="DN16" i="38"/>
  <c r="DO16" i="38"/>
  <c r="C18" i="38"/>
  <c r="D18" i="38"/>
  <c r="E18" i="38"/>
  <c r="F18" i="38"/>
  <c r="G18" i="38"/>
  <c r="H18" i="38"/>
  <c r="I18" i="38"/>
  <c r="J18" i="38"/>
  <c r="K18" i="38"/>
  <c r="L18" i="38"/>
  <c r="M18" i="38"/>
  <c r="N18" i="38"/>
  <c r="O18" i="38"/>
  <c r="P18" i="38"/>
  <c r="Q18" i="38"/>
  <c r="R18" i="38"/>
  <c r="S18" i="38"/>
  <c r="T18" i="38"/>
  <c r="U18" i="38"/>
  <c r="V18" i="38"/>
  <c r="W18" i="38"/>
  <c r="X18" i="38"/>
  <c r="Y18" i="38"/>
  <c r="Z18" i="38"/>
  <c r="AA18" i="38"/>
  <c r="AB18" i="38"/>
  <c r="AC18" i="38"/>
  <c r="AD18" i="38"/>
  <c r="AE18" i="38"/>
  <c r="AF18" i="38"/>
  <c r="AG18" i="38"/>
  <c r="AH18" i="38"/>
  <c r="AI18" i="38"/>
  <c r="AJ18" i="38"/>
  <c r="AK18" i="38"/>
  <c r="AL18" i="38"/>
  <c r="AM18" i="38"/>
  <c r="AN18" i="38"/>
  <c r="AO18" i="38"/>
  <c r="AP18" i="38"/>
  <c r="AQ18" i="38"/>
  <c r="AR18" i="38"/>
  <c r="AS18" i="38"/>
  <c r="AT18" i="38"/>
  <c r="AU18" i="38"/>
  <c r="AV18" i="38"/>
  <c r="AW18" i="38"/>
  <c r="AX18" i="38"/>
  <c r="AY18" i="38"/>
  <c r="AZ18" i="38"/>
  <c r="BA18" i="38"/>
  <c r="BB18" i="38"/>
  <c r="BC18" i="38"/>
  <c r="BD18" i="38"/>
  <c r="BE18" i="38"/>
  <c r="BF18" i="38"/>
  <c r="BG18" i="38"/>
  <c r="BH18" i="38"/>
  <c r="BI18" i="38"/>
  <c r="BJ18" i="38"/>
  <c r="BK18" i="38"/>
  <c r="BL18" i="38"/>
  <c r="BM18" i="38"/>
  <c r="BN18" i="38"/>
  <c r="BO18" i="38"/>
  <c r="BP18" i="38"/>
  <c r="BQ18" i="38"/>
  <c r="BR18" i="38"/>
  <c r="BS18" i="38"/>
  <c r="BT18" i="38"/>
  <c r="BU18" i="38"/>
  <c r="BV18" i="38"/>
  <c r="BW18" i="38"/>
  <c r="BX18" i="38"/>
  <c r="BY18" i="38"/>
  <c r="BZ18" i="38"/>
  <c r="CA18" i="38"/>
  <c r="CB18" i="38"/>
  <c r="CC18" i="38"/>
  <c r="CD18" i="38"/>
  <c r="CE18" i="38"/>
  <c r="CF18" i="38"/>
  <c r="CG18" i="38"/>
  <c r="CH18" i="38"/>
  <c r="CI18" i="38"/>
  <c r="CJ18" i="38"/>
  <c r="CK18" i="38"/>
  <c r="CL18" i="38"/>
  <c r="CM18" i="38"/>
  <c r="CN18" i="38"/>
  <c r="CO18" i="38"/>
  <c r="CP18" i="38"/>
  <c r="CQ18" i="38"/>
  <c r="CR18" i="38"/>
  <c r="CS18" i="38"/>
  <c r="CT18" i="38"/>
  <c r="CU18" i="38"/>
  <c r="CV18" i="38"/>
  <c r="CW18" i="38"/>
  <c r="CX18" i="38"/>
  <c r="CY18" i="38"/>
  <c r="CZ18" i="38"/>
  <c r="DA18" i="38"/>
  <c r="DB18" i="38"/>
  <c r="DC18" i="38"/>
  <c r="DD18" i="38"/>
  <c r="DE18" i="38"/>
  <c r="DF18" i="38"/>
  <c r="DG18" i="38"/>
  <c r="DH18" i="38"/>
  <c r="DI18" i="38"/>
  <c r="DJ18" i="38"/>
  <c r="DK18" i="38"/>
  <c r="DL18" i="38"/>
  <c r="C24" i="38"/>
  <c r="D24" i="38"/>
  <c r="E24" i="38"/>
  <c r="F24" i="38"/>
  <c r="G24" i="38"/>
  <c r="H24" i="38"/>
  <c r="I24" i="38"/>
  <c r="J24" i="38"/>
  <c r="K24" i="38"/>
  <c r="L24" i="38"/>
  <c r="M24" i="38"/>
  <c r="N24" i="38"/>
  <c r="O24" i="38"/>
  <c r="P24" i="38"/>
  <c r="Q24" i="38"/>
  <c r="R24" i="38"/>
  <c r="S24" i="38"/>
  <c r="T24" i="38"/>
  <c r="U24" i="38"/>
  <c r="V24" i="38"/>
  <c r="W24" i="38"/>
  <c r="X24" i="38"/>
  <c r="Y24" i="38"/>
  <c r="Z24" i="38"/>
  <c r="EH25" i="38"/>
  <c r="DM26" i="38"/>
  <c r="DN26" i="38"/>
  <c r="DO26" i="38"/>
  <c r="EF26" i="38"/>
  <c r="EF27" i="38" s="1"/>
  <c r="EG26" i="38"/>
  <c r="C29" i="38"/>
  <c r="D29" i="38"/>
  <c r="E29" i="38"/>
  <c r="F29" i="38"/>
  <c r="G29" i="38"/>
  <c r="H29" i="38"/>
  <c r="I29" i="38"/>
  <c r="J29" i="38"/>
  <c r="K29" i="38"/>
  <c r="L29" i="38"/>
  <c r="M29" i="38"/>
  <c r="N29" i="38"/>
  <c r="O29" i="38"/>
  <c r="P29" i="38"/>
  <c r="Q29" i="38"/>
  <c r="R29" i="38"/>
  <c r="S29" i="38"/>
  <c r="T29" i="38"/>
  <c r="U29" i="38"/>
  <c r="V29" i="38"/>
  <c r="W29" i="38"/>
  <c r="X29" i="38"/>
  <c r="Y29" i="38"/>
  <c r="Z29" i="38"/>
  <c r="AA29" i="38"/>
  <c r="AB29" i="38"/>
  <c r="AC29" i="38"/>
  <c r="AD29" i="38"/>
  <c r="AE29" i="38"/>
  <c r="AF29" i="38"/>
  <c r="AG29" i="38"/>
  <c r="AH29" i="38"/>
  <c r="AI29" i="38"/>
  <c r="AJ29" i="38"/>
  <c r="AK29" i="38"/>
  <c r="AL29" i="38"/>
  <c r="AM29" i="38"/>
  <c r="AN29" i="38"/>
  <c r="AO29" i="38"/>
  <c r="AP29" i="38"/>
  <c r="AQ29" i="38"/>
  <c r="AR29" i="38"/>
  <c r="AS29" i="38"/>
  <c r="AT29" i="38"/>
  <c r="AU29" i="38"/>
  <c r="AV29" i="38"/>
  <c r="AW29" i="38"/>
  <c r="AX29" i="38"/>
  <c r="AY29" i="38"/>
  <c r="AZ29" i="38"/>
  <c r="BA29" i="38"/>
  <c r="BB29" i="38"/>
  <c r="BC29" i="38"/>
  <c r="BD29" i="38"/>
  <c r="BE29" i="38"/>
  <c r="BF29" i="38"/>
  <c r="BG29" i="38"/>
  <c r="BH29" i="38"/>
  <c r="BI29" i="38"/>
  <c r="BJ29" i="38"/>
  <c r="BK29" i="38"/>
  <c r="BL29" i="38"/>
  <c r="BM29" i="38"/>
  <c r="BN29" i="38"/>
  <c r="BO29" i="38"/>
  <c r="BP29" i="38"/>
  <c r="BQ29" i="38"/>
  <c r="BR29" i="38"/>
  <c r="BS29" i="38"/>
  <c r="BT29" i="38"/>
  <c r="BU29" i="38"/>
  <c r="BV29" i="38"/>
  <c r="BW29" i="38"/>
  <c r="BX29" i="38"/>
  <c r="BY29" i="38"/>
  <c r="BZ29" i="38"/>
  <c r="CA29" i="38"/>
  <c r="CB29" i="38"/>
  <c r="CC29" i="38"/>
  <c r="CD29" i="38"/>
  <c r="CE29" i="38"/>
  <c r="CF29" i="38"/>
  <c r="CG29" i="38"/>
  <c r="CH29" i="38"/>
  <c r="CI29" i="38"/>
  <c r="CJ29" i="38"/>
  <c r="CK29" i="38"/>
  <c r="CL29" i="38"/>
  <c r="CM29" i="38"/>
  <c r="CN29" i="38"/>
  <c r="CO29" i="38"/>
  <c r="CP29" i="38"/>
  <c r="CQ29" i="38"/>
  <c r="CR29" i="38"/>
  <c r="CS29" i="38"/>
  <c r="CT29" i="38"/>
  <c r="CU29" i="38"/>
  <c r="CV29" i="38"/>
  <c r="CW29" i="38"/>
  <c r="CX29" i="38"/>
  <c r="CY29" i="38"/>
  <c r="CZ29" i="38"/>
  <c r="DA29" i="38"/>
  <c r="DB29" i="38"/>
  <c r="DC29" i="38"/>
  <c r="DD29" i="38"/>
  <c r="DE29" i="38"/>
  <c r="DF29" i="38"/>
  <c r="DG29" i="38"/>
  <c r="DH29" i="38"/>
  <c r="DI29" i="38"/>
  <c r="DJ29" i="38"/>
  <c r="DK29" i="38"/>
  <c r="DL29" i="38"/>
  <c r="C40" i="38"/>
  <c r="D40" i="38"/>
  <c r="E40" i="38"/>
  <c r="F40" i="38"/>
  <c r="G40" i="38"/>
  <c r="H40" i="38"/>
  <c r="I40" i="38"/>
  <c r="J40" i="38"/>
  <c r="K40" i="38"/>
  <c r="L40" i="38"/>
  <c r="M40" i="38"/>
  <c r="N40" i="38"/>
  <c r="O40" i="38"/>
  <c r="P40" i="38"/>
  <c r="Q40" i="38"/>
  <c r="R40" i="38"/>
  <c r="S40" i="38"/>
  <c r="T40" i="38"/>
  <c r="U40" i="38"/>
  <c r="V40" i="38"/>
  <c r="W40" i="38"/>
  <c r="X40" i="38"/>
  <c r="Y40" i="38"/>
  <c r="Z40" i="38"/>
  <c r="BW61" i="38"/>
  <c r="BX61" i="38"/>
  <c r="BY61" i="38"/>
  <c r="BZ61" i="38"/>
  <c r="CA61" i="38"/>
  <c r="CB61" i="38"/>
  <c r="CC61" i="38"/>
  <c r="CD61" i="38"/>
  <c r="CE61" i="38"/>
  <c r="CF61" i="38"/>
  <c r="CG61" i="38"/>
  <c r="CH61" i="38"/>
  <c r="CI61" i="38"/>
  <c r="CJ61" i="38"/>
  <c r="CK61" i="38"/>
  <c r="CL61" i="38"/>
  <c r="CM61" i="38"/>
  <c r="CN61" i="38"/>
  <c r="CO61" i="38"/>
  <c r="CP61" i="38"/>
  <c r="CQ61" i="38"/>
  <c r="CR61" i="38"/>
  <c r="CS61" i="38"/>
  <c r="CT61" i="38"/>
  <c r="CU61" i="38"/>
  <c r="CV61" i="38"/>
  <c r="CW61" i="38"/>
  <c r="CX61" i="38"/>
  <c r="CY61" i="38"/>
  <c r="CZ61" i="38"/>
  <c r="DA61" i="38"/>
  <c r="DB61" i="38"/>
  <c r="DC61" i="38"/>
  <c r="DD61" i="38"/>
  <c r="DE61" i="38"/>
  <c r="DF61" i="38"/>
  <c r="DG61" i="38"/>
  <c r="DH61" i="38"/>
  <c r="DI61" i="38"/>
  <c r="DJ61" i="38"/>
  <c r="DK61" i="38"/>
  <c r="DL61" i="38"/>
  <c r="DM61" i="38"/>
  <c r="DN61" i="38"/>
  <c r="DO61" i="38"/>
  <c r="DP61" i="38"/>
  <c r="DQ61" i="38"/>
  <c r="DR61" i="38"/>
  <c r="DM74" i="38"/>
  <c r="DN74" i="38"/>
  <c r="DO74" i="38"/>
  <c r="DM75" i="38"/>
  <c r="DN75" i="38"/>
  <c r="DO75" i="38"/>
  <c r="DM76" i="38"/>
  <c r="DN76" i="38"/>
  <c r="DO76" i="38"/>
  <c r="BW77" i="38"/>
  <c r="BX77" i="38"/>
  <c r="BY77" i="38"/>
  <c r="BZ77" i="38"/>
  <c r="CA77" i="38"/>
  <c r="CB77" i="38"/>
  <c r="CC77" i="38"/>
  <c r="CD77" i="38"/>
  <c r="CE77" i="38"/>
  <c r="CF77" i="38"/>
  <c r="CG77" i="38"/>
  <c r="CH77" i="38"/>
  <c r="CI77" i="38"/>
  <c r="CJ77" i="38"/>
  <c r="CK77" i="38"/>
  <c r="CL77" i="38"/>
  <c r="CM77" i="38"/>
  <c r="CN77" i="38"/>
  <c r="CO77" i="38"/>
  <c r="CP77" i="38"/>
  <c r="CQ77" i="38"/>
  <c r="CR77" i="38"/>
  <c r="CS77" i="38"/>
  <c r="CT77" i="38"/>
  <c r="CU77" i="38"/>
  <c r="CV77" i="38"/>
  <c r="CW77" i="38"/>
  <c r="CX77" i="38"/>
  <c r="CY77" i="38"/>
  <c r="CZ77" i="38"/>
  <c r="DA77" i="38"/>
  <c r="DB77" i="38"/>
  <c r="DC77" i="38"/>
  <c r="DD77" i="38"/>
  <c r="DE77" i="38"/>
  <c r="DF77" i="38"/>
  <c r="DG77" i="38"/>
  <c r="DH77" i="38"/>
  <c r="DI77" i="38"/>
  <c r="DJ77" i="38"/>
  <c r="DK77" i="38"/>
  <c r="DL77" i="38"/>
  <c r="BW86" i="38"/>
  <c r="BX86" i="38"/>
  <c r="BY86" i="38"/>
  <c r="BZ86" i="38"/>
  <c r="CA86" i="38"/>
  <c r="CB86" i="38"/>
  <c r="CC86" i="38"/>
  <c r="CD86" i="38"/>
  <c r="CE86" i="38"/>
  <c r="CF86" i="38"/>
  <c r="CG86" i="38"/>
  <c r="CH86" i="38"/>
  <c r="CI86" i="38"/>
  <c r="CJ86" i="38"/>
  <c r="CK86" i="38"/>
  <c r="CL86" i="38"/>
  <c r="CM86" i="38"/>
  <c r="CN86" i="38"/>
  <c r="CO86" i="38"/>
  <c r="CP86" i="38"/>
  <c r="CQ86" i="38"/>
  <c r="CR86" i="38"/>
  <c r="CS86" i="38"/>
  <c r="CT86" i="38"/>
  <c r="CU86" i="38"/>
  <c r="CV86" i="38"/>
  <c r="CW86" i="38"/>
  <c r="CX86" i="38"/>
  <c r="CY86" i="38"/>
  <c r="CZ86" i="38"/>
  <c r="DA86" i="38"/>
  <c r="DB86" i="38"/>
  <c r="DC86" i="38"/>
  <c r="DD86" i="38"/>
  <c r="DE86" i="38"/>
  <c r="DF86" i="38"/>
  <c r="DG86" i="38"/>
  <c r="DH86" i="38"/>
  <c r="DI86" i="38"/>
  <c r="DJ86" i="38"/>
  <c r="DK86" i="38"/>
  <c r="DL86" i="38"/>
  <c r="EO11" i="29"/>
  <c r="R69" i="64"/>
  <c r="T69" i="64" s="1"/>
  <c r="BK11" i="29"/>
  <c r="BL11" i="29"/>
  <c r="BM11" i="29"/>
  <c r="BN11" i="29"/>
  <c r="BO11" i="29"/>
  <c r="BP11" i="29"/>
  <c r="BQ11" i="29"/>
  <c r="BR11" i="29"/>
  <c r="BS11" i="29"/>
  <c r="BT11" i="29"/>
  <c r="BU11" i="29"/>
  <c r="BV11" i="29"/>
  <c r="BW11" i="29"/>
  <c r="BX11" i="29"/>
  <c r="BY11" i="29"/>
  <c r="BZ11" i="29"/>
  <c r="CA11" i="29"/>
  <c r="CB11" i="29"/>
  <c r="CC11" i="29"/>
  <c r="CD11" i="29"/>
  <c r="CE11" i="29"/>
  <c r="CF11" i="29"/>
  <c r="CG11" i="29"/>
  <c r="CH11" i="29"/>
  <c r="CI11" i="29"/>
  <c r="CJ11" i="29"/>
  <c r="CK11" i="29"/>
  <c r="CL11" i="29"/>
  <c r="CM11" i="29"/>
  <c r="CN11" i="29"/>
  <c r="CO11" i="29"/>
  <c r="CP11" i="29"/>
  <c r="CQ11" i="29"/>
  <c r="CR11" i="29"/>
  <c r="CS11" i="29"/>
  <c r="CT11" i="29"/>
  <c r="CU11" i="29"/>
  <c r="CV11" i="29"/>
  <c r="CW11" i="29"/>
  <c r="CX11" i="29"/>
  <c r="CY11" i="29"/>
  <c r="CZ11" i="29"/>
  <c r="DA11" i="29"/>
  <c r="DB11" i="29"/>
  <c r="DC11" i="29"/>
  <c r="DD11" i="29"/>
  <c r="DE11" i="29"/>
  <c r="DF11" i="29"/>
  <c r="DG11" i="29"/>
  <c r="DH11" i="29"/>
  <c r="DI11" i="29"/>
  <c r="DJ11" i="29"/>
  <c r="DK11" i="29"/>
  <c r="DL11" i="29"/>
  <c r="DM11" i="29"/>
  <c r="DN11" i="29"/>
  <c r="DO11" i="29"/>
  <c r="DP11" i="29"/>
  <c r="DQ11" i="29"/>
  <c r="DR11" i="29"/>
  <c r="DS11" i="29"/>
  <c r="DT11" i="29"/>
  <c r="DU11" i="29"/>
  <c r="DV11" i="29"/>
  <c r="DW11" i="29"/>
  <c r="DX11" i="29"/>
  <c r="DY11" i="29"/>
  <c r="DZ11" i="29"/>
  <c r="EA11" i="29"/>
  <c r="EB11" i="29"/>
  <c r="EC11" i="29"/>
  <c r="ED11" i="29"/>
  <c r="EE11" i="29"/>
  <c r="EF11" i="29"/>
  <c r="EG11" i="29"/>
  <c r="EH11" i="29"/>
  <c r="EI11" i="29"/>
  <c r="EJ11" i="29"/>
  <c r="EK11" i="29"/>
  <c r="EL11" i="29"/>
  <c r="EM11" i="29"/>
  <c r="BK15" i="29"/>
  <c r="BL15" i="29"/>
  <c r="BM15" i="29"/>
  <c r="BN15" i="29"/>
  <c r="BO15" i="29"/>
  <c r="BP15" i="29"/>
  <c r="BQ15" i="29"/>
  <c r="BR15" i="29"/>
  <c r="BS15" i="29"/>
  <c r="BT15" i="29"/>
  <c r="BU15" i="29"/>
  <c r="BV15" i="29"/>
  <c r="BW15" i="29"/>
  <c r="BX15" i="29"/>
  <c r="BY15" i="29"/>
  <c r="BZ15" i="29"/>
  <c r="CA15" i="29"/>
  <c r="CB15" i="29"/>
  <c r="CC15" i="29"/>
  <c r="CD15" i="29"/>
  <c r="CE15" i="29"/>
  <c r="CF15" i="29"/>
  <c r="CG15" i="29"/>
  <c r="CH15" i="29"/>
  <c r="CI15" i="29"/>
  <c r="CJ15" i="29"/>
  <c r="CK15" i="29"/>
  <c r="CL15" i="29"/>
  <c r="CM15" i="29"/>
  <c r="CN15" i="29"/>
  <c r="CO15" i="29"/>
  <c r="CP15" i="29"/>
  <c r="CQ15" i="29"/>
  <c r="CR15" i="29"/>
  <c r="CS15" i="29"/>
  <c r="CT15" i="29"/>
  <c r="CU15" i="29"/>
  <c r="CV15" i="29"/>
  <c r="CW15" i="29"/>
  <c r="CX15" i="29"/>
  <c r="CY15" i="29"/>
  <c r="CZ15" i="29"/>
  <c r="DA15" i="29"/>
  <c r="DA20" i="29" s="1"/>
  <c r="DB15" i="29"/>
  <c r="DC15" i="29"/>
  <c r="DD15" i="29"/>
  <c r="DE15" i="29"/>
  <c r="DF15" i="29"/>
  <c r="DG15" i="29"/>
  <c r="DH15" i="29"/>
  <c r="DI15" i="29"/>
  <c r="DJ15" i="29"/>
  <c r="DK15" i="29"/>
  <c r="DL15" i="29"/>
  <c r="DM15" i="29"/>
  <c r="DN15" i="29"/>
  <c r="DO15" i="29"/>
  <c r="DP15" i="29"/>
  <c r="DQ15" i="29"/>
  <c r="DR15" i="29"/>
  <c r="DS15" i="29"/>
  <c r="DT15" i="29"/>
  <c r="DU15" i="29"/>
  <c r="DV15" i="29"/>
  <c r="DW15" i="29"/>
  <c r="DX15" i="29"/>
  <c r="DY15" i="29"/>
  <c r="DZ15" i="29"/>
  <c r="EA15" i="29"/>
  <c r="EB15" i="29"/>
  <c r="EC15" i="29"/>
  <c r="ED15" i="29"/>
  <c r="EE15" i="29"/>
  <c r="EF15" i="29"/>
  <c r="EG15" i="29"/>
  <c r="EH15" i="29"/>
  <c r="EI15" i="29"/>
  <c r="EJ15" i="29"/>
  <c r="EK15" i="29"/>
  <c r="EL15" i="29"/>
  <c r="EM15" i="29"/>
  <c r="BK19" i="29"/>
  <c r="BL19" i="29"/>
  <c r="BM19" i="29"/>
  <c r="BN19" i="29"/>
  <c r="BO19" i="29"/>
  <c r="BP19" i="29"/>
  <c r="BQ19" i="29"/>
  <c r="BR19" i="29"/>
  <c r="BS19" i="29"/>
  <c r="BT19" i="29"/>
  <c r="BU19" i="29"/>
  <c r="BV19" i="29"/>
  <c r="BW19" i="29"/>
  <c r="BX19" i="29"/>
  <c r="BY19" i="29"/>
  <c r="BZ19" i="29"/>
  <c r="CA19" i="29"/>
  <c r="CB19" i="29"/>
  <c r="CC19" i="29"/>
  <c r="CD19" i="29"/>
  <c r="CE19" i="29"/>
  <c r="CF19" i="29"/>
  <c r="CG19" i="29"/>
  <c r="CH19" i="29"/>
  <c r="CI19" i="29"/>
  <c r="CJ19" i="29"/>
  <c r="CK19" i="29"/>
  <c r="CL19" i="29"/>
  <c r="CM19" i="29"/>
  <c r="CN19" i="29"/>
  <c r="CO19" i="29"/>
  <c r="CP19" i="29"/>
  <c r="CQ19" i="29"/>
  <c r="CR19" i="29"/>
  <c r="CS19" i="29"/>
  <c r="CT19" i="29"/>
  <c r="CU19" i="29"/>
  <c r="CV19" i="29"/>
  <c r="CW19" i="29"/>
  <c r="CX19" i="29"/>
  <c r="CY19" i="29"/>
  <c r="CZ19" i="29"/>
  <c r="DA19" i="29"/>
  <c r="DB19" i="29"/>
  <c r="DC19" i="29"/>
  <c r="DC20" i="29" s="1"/>
  <c r="DD19" i="29"/>
  <c r="DE19" i="29"/>
  <c r="DF19" i="29"/>
  <c r="DF20" i="29" s="1"/>
  <c r="DG19" i="29"/>
  <c r="DH19" i="29"/>
  <c r="DI19" i="29"/>
  <c r="DJ19" i="29"/>
  <c r="DJ20" i="29" s="1"/>
  <c r="DK19" i="29"/>
  <c r="DL19" i="29"/>
  <c r="DM19" i="29"/>
  <c r="DN19" i="29"/>
  <c r="DN20" i="29" s="1"/>
  <c r="DO19" i="29"/>
  <c r="DP19" i="29"/>
  <c r="DQ19" i="29"/>
  <c r="DR19" i="29"/>
  <c r="DR20" i="29" s="1"/>
  <c r="DS19" i="29"/>
  <c r="DS20" i="29" s="1"/>
  <c r="DT19" i="29"/>
  <c r="DU19" i="29"/>
  <c r="DV19" i="29"/>
  <c r="DV20" i="29" s="1"/>
  <c r="DW19" i="29"/>
  <c r="DX19" i="29"/>
  <c r="DY19" i="29"/>
  <c r="DZ19" i="29"/>
  <c r="DZ20" i="29" s="1"/>
  <c r="EA19" i="29"/>
  <c r="EA20" i="29" s="1"/>
  <c r="EB19" i="29"/>
  <c r="EC19" i="29"/>
  <c r="ED19" i="29"/>
  <c r="ED20" i="29" s="1"/>
  <c r="EE19" i="29"/>
  <c r="EF19" i="29"/>
  <c r="EG19" i="29"/>
  <c r="EH19" i="29"/>
  <c r="EH20" i="29" s="1"/>
  <c r="EI19" i="29"/>
  <c r="EI20" i="29" s="1"/>
  <c r="EJ19" i="29"/>
  <c r="EK19" i="29"/>
  <c r="EL19" i="29"/>
  <c r="EL20" i="29" s="1"/>
  <c r="EM19" i="29"/>
  <c r="DB20" i="29"/>
  <c r="DK20" i="29"/>
  <c r="BK23" i="29"/>
  <c r="BK24" i="29" s="1"/>
  <c r="BL23" i="29"/>
  <c r="BM23" i="29"/>
  <c r="BN23" i="29"/>
  <c r="BN24" i="29" s="1"/>
  <c r="BO23" i="29"/>
  <c r="BO24" i="29" s="1"/>
  <c r="BP23" i="29"/>
  <c r="BP24" i="29" s="1"/>
  <c r="BQ23" i="29"/>
  <c r="BQ24" i="29" s="1"/>
  <c r="BR23" i="29"/>
  <c r="BR24" i="29" s="1"/>
  <c r="BS23" i="29"/>
  <c r="BS24" i="29" s="1"/>
  <c r="BT23" i="29"/>
  <c r="BU23" i="29"/>
  <c r="BU24" i="29" s="1"/>
  <c r="BV23" i="29"/>
  <c r="BV24" i="29" s="1"/>
  <c r="BW23" i="29"/>
  <c r="BW24" i="29" s="1"/>
  <c r="BX23" i="29"/>
  <c r="BX24" i="29" s="1"/>
  <c r="BY23" i="29"/>
  <c r="BY24" i="29" s="1"/>
  <c r="BZ23" i="29"/>
  <c r="BZ24" i="29" s="1"/>
  <c r="CA23" i="29"/>
  <c r="CA24" i="29" s="1"/>
  <c r="CB23" i="29"/>
  <c r="CB24" i="29" s="1"/>
  <c r="CC23" i="29"/>
  <c r="CC24" i="29" s="1"/>
  <c r="CD23" i="29"/>
  <c r="CD24" i="29" s="1"/>
  <c r="CE23" i="29"/>
  <c r="CF23" i="29"/>
  <c r="CF24" i="29" s="1"/>
  <c r="CG23" i="29"/>
  <c r="CG24" i="29" s="1"/>
  <c r="CH23" i="29"/>
  <c r="CH24" i="29" s="1"/>
  <c r="CI23" i="29"/>
  <c r="CI24" i="29" s="1"/>
  <c r="CJ23" i="29"/>
  <c r="CK23" i="29"/>
  <c r="CL23" i="29"/>
  <c r="CL24" i="29" s="1"/>
  <c r="CM23" i="29"/>
  <c r="CM24" i="29" s="1"/>
  <c r="CN23" i="29"/>
  <c r="CN24" i="29" s="1"/>
  <c r="CO23" i="29"/>
  <c r="CO24" i="29" s="1"/>
  <c r="CP23" i="29"/>
  <c r="CP24" i="29" s="1"/>
  <c r="CQ23" i="29"/>
  <c r="CQ24" i="29" s="1"/>
  <c r="CR23" i="29"/>
  <c r="CS23" i="29"/>
  <c r="CS24" i="29" s="1"/>
  <c r="CT23" i="29"/>
  <c r="CT24" i="29" s="1"/>
  <c r="CU23" i="29"/>
  <c r="CU24" i="29" s="1"/>
  <c r="CV23" i="29"/>
  <c r="CV24" i="29" s="1"/>
  <c r="CW23" i="29"/>
  <c r="CW24" i="29" s="1"/>
  <c r="CX23" i="29"/>
  <c r="CX24" i="29" s="1"/>
  <c r="CY23" i="29"/>
  <c r="CY24" i="29" s="1"/>
  <c r="CZ23" i="29"/>
  <c r="DA23" i="29"/>
  <c r="DA24" i="29" s="1"/>
  <c r="DB23" i="29"/>
  <c r="DB24" i="29" s="1"/>
  <c r="DC23" i="29"/>
  <c r="DC24" i="29" s="1"/>
  <c r="DD23" i="29"/>
  <c r="DD24" i="29" s="1"/>
  <c r="DE23" i="29"/>
  <c r="DE24" i="29" s="1"/>
  <c r="DF23" i="29"/>
  <c r="DF24" i="29" s="1"/>
  <c r="DG23" i="29"/>
  <c r="DG24" i="29" s="1"/>
  <c r="DH23" i="29"/>
  <c r="DH24" i="29" s="1"/>
  <c r="DI23" i="29"/>
  <c r="DI24" i="29" s="1"/>
  <c r="DJ23" i="29"/>
  <c r="DJ24" i="29" s="1"/>
  <c r="DK23" i="29"/>
  <c r="DK24" i="29" s="1"/>
  <c r="DL23" i="29"/>
  <c r="DL24" i="29" s="1"/>
  <c r="DM23" i="29"/>
  <c r="DM24" i="29" s="1"/>
  <c r="DN23" i="29"/>
  <c r="DN24" i="29" s="1"/>
  <c r="DO23" i="29"/>
  <c r="DO24" i="29" s="1"/>
  <c r="DP23" i="29"/>
  <c r="DQ23" i="29"/>
  <c r="DR23" i="29"/>
  <c r="DR24" i="29" s="1"/>
  <c r="DS23" i="29"/>
  <c r="DS24" i="29" s="1"/>
  <c r="DT23" i="29"/>
  <c r="DT24" i="29" s="1"/>
  <c r="DU23" i="29"/>
  <c r="DU24" i="29" s="1"/>
  <c r="DV23" i="29"/>
  <c r="DV24" i="29" s="1"/>
  <c r="DW23" i="29"/>
  <c r="DW24" i="29" s="1"/>
  <c r="DX23" i="29"/>
  <c r="DY23" i="29"/>
  <c r="DY24" i="29" s="1"/>
  <c r="DZ23" i="29"/>
  <c r="DZ24" i="29" s="1"/>
  <c r="EA23" i="29"/>
  <c r="EA24" i="29" s="1"/>
  <c r="EB23" i="29"/>
  <c r="EB24" i="29" s="1"/>
  <c r="EC23" i="29"/>
  <c r="EC24" i="29" s="1"/>
  <c r="ED23" i="29"/>
  <c r="ED24" i="29" s="1"/>
  <c r="EE23" i="29"/>
  <c r="EF23" i="29"/>
  <c r="EF24" i="29" s="1"/>
  <c r="EG23" i="29"/>
  <c r="EG24" i="29" s="1"/>
  <c r="EH23" i="29"/>
  <c r="EH24" i="29" s="1"/>
  <c r="EI23" i="29"/>
  <c r="EI24" i="29" s="1"/>
  <c r="EJ23" i="29"/>
  <c r="EJ24" i="29" s="1"/>
  <c r="EK23" i="29"/>
  <c r="EK24" i="29" s="1"/>
  <c r="EL23" i="29"/>
  <c r="EL24" i="29" s="1"/>
  <c r="EM23" i="29"/>
  <c r="EM24" i="29" s="1"/>
  <c r="BL24" i="29"/>
  <c r="BM24" i="29"/>
  <c r="BT24" i="29"/>
  <c r="CE24" i="29"/>
  <c r="CJ24" i="29"/>
  <c r="CK24" i="29"/>
  <c r="CR24" i="29"/>
  <c r="CZ24" i="29"/>
  <c r="DP24" i="29"/>
  <c r="DQ24" i="29"/>
  <c r="DX24" i="29"/>
  <c r="EE24" i="29"/>
  <c r="DG28" i="29"/>
  <c r="DH28" i="29"/>
  <c r="DI28" i="29"/>
  <c r="DJ28" i="29"/>
  <c r="DK28" i="29"/>
  <c r="DL28" i="29"/>
  <c r="DM28" i="29"/>
  <c r="DN28" i="29"/>
  <c r="DO28" i="29"/>
  <c r="DP28" i="29"/>
  <c r="DQ28" i="29"/>
  <c r="DR28" i="29"/>
  <c r="DS28" i="29"/>
  <c r="DT28" i="29"/>
  <c r="DU28" i="29"/>
  <c r="DV28" i="29"/>
  <c r="DW28" i="29"/>
  <c r="DX28" i="29"/>
  <c r="DY28" i="29"/>
  <c r="DZ28" i="29"/>
  <c r="EA28" i="29"/>
  <c r="EB28" i="29"/>
  <c r="EC28" i="29"/>
  <c r="ED28" i="29"/>
  <c r="EE28" i="29"/>
  <c r="EF28" i="29"/>
  <c r="EG28" i="29"/>
  <c r="EH28" i="29"/>
  <c r="EI28" i="29"/>
  <c r="EJ28" i="29"/>
  <c r="EK28" i="29"/>
  <c r="EL28" i="29"/>
  <c r="EM28" i="29"/>
  <c r="DG33" i="29"/>
  <c r="DH33" i="29"/>
  <c r="DI33" i="29"/>
  <c r="DJ33" i="29"/>
  <c r="DK33" i="29"/>
  <c r="DL33" i="29"/>
  <c r="DM33" i="29"/>
  <c r="DN33" i="29"/>
  <c r="DO33" i="29"/>
  <c r="DP33" i="29"/>
  <c r="DQ33" i="29"/>
  <c r="DR33" i="29"/>
  <c r="DS33" i="29"/>
  <c r="DT33" i="29"/>
  <c r="DU33" i="29"/>
  <c r="DV33" i="29"/>
  <c r="DW33" i="29"/>
  <c r="DX33" i="29"/>
  <c r="DY33" i="29"/>
  <c r="DZ33" i="29"/>
  <c r="EA33" i="29"/>
  <c r="EB33" i="29"/>
  <c r="EC33" i="29"/>
  <c r="ED33" i="29"/>
  <c r="EE33" i="29"/>
  <c r="EF33" i="29"/>
  <c r="EG33" i="29"/>
  <c r="EH33" i="29"/>
  <c r="EI33" i="29"/>
  <c r="EJ33" i="29"/>
  <c r="EK33" i="29"/>
  <c r="EL33" i="29"/>
  <c r="EM33" i="29"/>
  <c r="G40" i="65"/>
  <c r="BK40" i="29"/>
  <c r="BK41" i="29" s="1"/>
  <c r="BL40" i="29"/>
  <c r="BM40" i="29"/>
  <c r="BM41" i="29" s="1"/>
  <c r="BN40" i="29"/>
  <c r="BO40" i="29"/>
  <c r="BO41" i="29" s="1"/>
  <c r="BP40" i="29"/>
  <c r="BP41" i="29" s="1"/>
  <c r="BQ40" i="29"/>
  <c r="BQ41" i="29" s="1"/>
  <c r="BR40" i="29"/>
  <c r="BR41" i="29" s="1"/>
  <c r="BS40" i="29"/>
  <c r="BS41" i="29" s="1"/>
  <c r="BT40" i="29"/>
  <c r="BT41" i="29" s="1"/>
  <c r="BU40" i="29"/>
  <c r="BU41" i="29" s="1"/>
  <c r="BV40" i="29"/>
  <c r="BV41" i="29" s="1"/>
  <c r="BW40" i="29"/>
  <c r="BX40" i="29"/>
  <c r="BX41" i="29" s="1"/>
  <c r="BY40" i="29"/>
  <c r="BY41" i="29" s="1"/>
  <c r="BZ40" i="29"/>
  <c r="BZ41" i="29" s="1"/>
  <c r="CA40" i="29"/>
  <c r="CA41" i="29" s="1"/>
  <c r="CB40" i="29"/>
  <c r="CB41" i="29" s="1"/>
  <c r="CC40" i="29"/>
  <c r="CC41" i="29" s="1"/>
  <c r="CD40" i="29"/>
  <c r="CD41" i="29" s="1"/>
  <c r="CE40" i="29"/>
  <c r="CF40" i="29"/>
  <c r="CF41" i="29" s="1"/>
  <c r="CG40" i="29"/>
  <c r="CG41" i="29" s="1"/>
  <c r="CH40" i="29"/>
  <c r="CH41" i="29" s="1"/>
  <c r="CI40" i="29"/>
  <c r="CI41" i="29" s="1"/>
  <c r="CJ40" i="29"/>
  <c r="CJ41" i="29" s="1"/>
  <c r="CK40" i="29"/>
  <c r="CK41" i="29" s="1"/>
  <c r="CL40" i="29"/>
  <c r="CL41" i="29" s="1"/>
  <c r="CM40" i="29"/>
  <c r="CN40" i="29"/>
  <c r="CN41" i="29" s="1"/>
  <c r="CO40" i="29"/>
  <c r="CO41" i="29" s="1"/>
  <c r="CP40" i="29"/>
  <c r="CP41" i="29" s="1"/>
  <c r="CQ40" i="29"/>
  <c r="CQ41" i="29" s="1"/>
  <c r="CR40" i="29"/>
  <c r="CR41" i="29" s="1"/>
  <c r="CS40" i="29"/>
  <c r="CS41" i="29" s="1"/>
  <c r="CT40" i="29"/>
  <c r="CT41" i="29" s="1"/>
  <c r="CU40" i="29"/>
  <c r="CV40" i="29"/>
  <c r="CV41" i="29" s="1"/>
  <c r="CW40" i="29"/>
  <c r="CW41" i="29" s="1"/>
  <c r="CX40" i="29"/>
  <c r="CX41" i="29" s="1"/>
  <c r="CY40" i="29"/>
  <c r="CY41" i="29" s="1"/>
  <c r="CZ40" i="29"/>
  <c r="CZ41" i="29" s="1"/>
  <c r="DA40" i="29"/>
  <c r="DA41" i="29" s="1"/>
  <c r="DB40" i="29"/>
  <c r="DB41" i="29" s="1"/>
  <c r="DC40" i="29"/>
  <c r="DD40" i="29"/>
  <c r="DD41" i="29" s="1"/>
  <c r="DE40" i="29"/>
  <c r="DE41" i="29" s="1"/>
  <c r="DF40" i="29"/>
  <c r="DF41" i="29" s="1"/>
  <c r="DG40" i="29"/>
  <c r="DG41" i="29" s="1"/>
  <c r="DH40" i="29"/>
  <c r="DH41" i="29" s="1"/>
  <c r="DI40" i="29"/>
  <c r="DI41" i="29" s="1"/>
  <c r="DJ40" i="29"/>
  <c r="DJ41" i="29" s="1"/>
  <c r="DK40" i="29"/>
  <c r="DL40" i="29"/>
  <c r="DL41" i="29" s="1"/>
  <c r="DM40" i="29"/>
  <c r="DM41" i="29" s="1"/>
  <c r="DN40" i="29"/>
  <c r="DN41" i="29" s="1"/>
  <c r="DO40" i="29"/>
  <c r="DO41" i="29" s="1"/>
  <c r="DP40" i="29"/>
  <c r="DP41" i="29" s="1"/>
  <c r="DQ40" i="29"/>
  <c r="DQ41" i="29" s="1"/>
  <c r="DR40" i="29"/>
  <c r="DR41" i="29" s="1"/>
  <c r="DS40" i="29"/>
  <c r="DT40" i="29"/>
  <c r="DT41" i="29" s="1"/>
  <c r="DU40" i="29"/>
  <c r="DU41" i="29" s="1"/>
  <c r="DV40" i="29"/>
  <c r="DV41" i="29" s="1"/>
  <c r="DW40" i="29"/>
  <c r="DW41" i="29" s="1"/>
  <c r="DX40" i="29"/>
  <c r="DX41" i="29" s="1"/>
  <c r="DY40" i="29"/>
  <c r="DY41" i="29" s="1"/>
  <c r="DZ40" i="29"/>
  <c r="DZ41" i="29" s="1"/>
  <c r="EA40" i="29"/>
  <c r="EA41" i="29" s="1"/>
  <c r="EB40" i="29"/>
  <c r="EB41" i="29" s="1"/>
  <c r="EC40" i="29"/>
  <c r="EC41" i="29" s="1"/>
  <c r="ED40" i="29"/>
  <c r="ED41" i="29" s="1"/>
  <c r="EE40" i="29"/>
  <c r="EE41" i="29" s="1"/>
  <c r="EF40" i="29"/>
  <c r="EF41" i="29" s="1"/>
  <c r="EG40" i="29"/>
  <c r="EG41" i="29" s="1"/>
  <c r="EH40" i="29"/>
  <c r="EH41" i="29" s="1"/>
  <c r="EI40" i="29"/>
  <c r="EI41" i="29" s="1"/>
  <c r="EJ40" i="29"/>
  <c r="EJ41" i="29" s="1"/>
  <c r="EK40" i="29"/>
  <c r="EK41" i="29" s="1"/>
  <c r="EL40" i="29"/>
  <c r="EL41" i="29" s="1"/>
  <c r="EM40" i="29"/>
  <c r="BL41" i="29"/>
  <c r="BN41" i="29"/>
  <c r="BW41" i="29"/>
  <c r="CE41" i="29"/>
  <c r="CM41" i="29"/>
  <c r="CU41" i="29"/>
  <c r="DC41" i="29"/>
  <c r="DK41" i="29"/>
  <c r="DS41" i="29"/>
  <c r="DX44" i="29"/>
  <c r="DY44" i="29"/>
  <c r="DZ44" i="29"/>
  <c r="EA44" i="29"/>
  <c r="EB44" i="29"/>
  <c r="EC44" i="29"/>
  <c r="ED44" i="29"/>
  <c r="EE44" i="29"/>
  <c r="EF44" i="29"/>
  <c r="EG44" i="29"/>
  <c r="EH44" i="29"/>
  <c r="EI44" i="29"/>
  <c r="EJ44" i="29"/>
  <c r="EK44" i="29"/>
  <c r="EL44" i="29"/>
  <c r="EM44" i="29"/>
  <c r="EN44" i="29"/>
  <c r="EO44" i="29"/>
  <c r="EP44" i="29"/>
  <c r="EN46" i="29"/>
  <c r="DR46" i="29"/>
  <c r="DS46" i="29"/>
  <c r="DT46" i="29"/>
  <c r="DU46" i="29"/>
  <c r="DV46" i="29"/>
  <c r="DW46" i="29"/>
  <c r="DX46" i="29"/>
  <c r="DY46" i="29"/>
  <c r="DZ46" i="29"/>
  <c r="EA46" i="29"/>
  <c r="EB46" i="29"/>
  <c r="EC46" i="29"/>
  <c r="ED46" i="29"/>
  <c r="EE46" i="29"/>
  <c r="EF46" i="29"/>
  <c r="EG46" i="29"/>
  <c r="EH46" i="29"/>
  <c r="EI46" i="29"/>
  <c r="EJ46" i="29"/>
  <c r="EK46" i="29"/>
  <c r="EL46" i="29"/>
  <c r="EM46" i="29"/>
  <c r="DX49" i="29"/>
  <c r="DY49" i="29"/>
  <c r="DZ49" i="29"/>
  <c r="EA49" i="29"/>
  <c r="EB49" i="29"/>
  <c r="EC49" i="29"/>
  <c r="ED49" i="29"/>
  <c r="EE49" i="29"/>
  <c r="EF49" i="29"/>
  <c r="EG49" i="29"/>
  <c r="EH49" i="29"/>
  <c r="EI49" i="29"/>
  <c r="EJ49" i="29"/>
  <c r="EK49" i="29"/>
  <c r="EL49" i="29"/>
  <c r="EM49" i="29"/>
  <c r="EN49" i="29"/>
  <c r="EO49" i="29"/>
  <c r="EP49" i="29"/>
  <c r="DX51" i="29"/>
  <c r="DY51" i="29"/>
  <c r="DZ51" i="29"/>
  <c r="EA51" i="29"/>
  <c r="EB51" i="29"/>
  <c r="EC51" i="29"/>
  <c r="ED51" i="29"/>
  <c r="EE51" i="29"/>
  <c r="EF51" i="29"/>
  <c r="EG51" i="29"/>
  <c r="EH51" i="29"/>
  <c r="DM57" i="29"/>
  <c r="DN57" i="29"/>
  <c r="DO57" i="29"/>
  <c r="DP57" i="29"/>
  <c r="DQ57" i="29"/>
  <c r="DR57" i="29"/>
  <c r="DS57" i="29"/>
  <c r="DT57" i="29"/>
  <c r="DU57" i="29"/>
  <c r="DV57" i="29"/>
  <c r="DW57" i="29"/>
  <c r="DX57" i="29"/>
  <c r="DY57" i="29"/>
  <c r="DZ57" i="29"/>
  <c r="EA57" i="29"/>
  <c r="EB57" i="29"/>
  <c r="EC57" i="29"/>
  <c r="ED57" i="29"/>
  <c r="EE57" i="29"/>
  <c r="EF57" i="29"/>
  <c r="EG57" i="29"/>
  <c r="EH57" i="29"/>
  <c r="EI57" i="29"/>
  <c r="EJ57" i="29"/>
  <c r="EK57" i="29"/>
  <c r="EL57" i="29"/>
  <c r="EM57" i="29"/>
  <c r="EN57" i="29"/>
  <c r="EO57" i="29"/>
  <c r="EP57" i="29"/>
  <c r="F115" i="64" s="1"/>
  <c r="DJ60" i="29"/>
  <c r="DJ61" i="29" s="1"/>
  <c r="DK60" i="29"/>
  <c r="DS60" i="29"/>
  <c r="DT60" i="29"/>
  <c r="DU60" i="29"/>
  <c r="DV60" i="29"/>
  <c r="DZ60" i="29"/>
  <c r="EA60" i="29"/>
  <c r="EB60" i="29"/>
  <c r="EE60" i="29"/>
  <c r="EF60" i="29"/>
  <c r="EG60" i="29"/>
  <c r="EH60" i="29"/>
  <c r="EI60" i="29"/>
  <c r="EJ60" i="29"/>
  <c r="EK60" i="29"/>
  <c r="EL60" i="29"/>
  <c r="EM60" i="29"/>
  <c r="EN60" i="29"/>
  <c r="N61" i="29"/>
  <c r="O61" i="29"/>
  <c r="P61" i="29"/>
  <c r="Q61" i="29"/>
  <c r="R61" i="29"/>
  <c r="S61" i="29"/>
  <c r="T61" i="29"/>
  <c r="U61" i="29"/>
  <c r="V61" i="29"/>
  <c r="W61" i="29"/>
  <c r="X61" i="29"/>
  <c r="Y61" i="29"/>
  <c r="Z61" i="29"/>
  <c r="AA61" i="29"/>
  <c r="AB61" i="29"/>
  <c r="AC61" i="29"/>
  <c r="AD61" i="29"/>
  <c r="AE61" i="29"/>
  <c r="AF61" i="29"/>
  <c r="AG61" i="29"/>
  <c r="AH61" i="29"/>
  <c r="AI61" i="29"/>
  <c r="AJ61" i="29"/>
  <c r="AK61" i="29"/>
  <c r="AL61" i="29"/>
  <c r="AM61" i="29"/>
  <c r="AN61" i="29"/>
  <c r="AO61" i="29"/>
  <c r="AP61" i="29"/>
  <c r="AQ61" i="29"/>
  <c r="AR61" i="29"/>
  <c r="AS61" i="29"/>
  <c r="AT61" i="29"/>
  <c r="AU61" i="29"/>
  <c r="AV61" i="29"/>
  <c r="AW61" i="29"/>
  <c r="AX61" i="29"/>
  <c r="BK61" i="29"/>
  <c r="BL61" i="29"/>
  <c r="BM61" i="29"/>
  <c r="BN61" i="29"/>
  <c r="BO61" i="29"/>
  <c r="BP61" i="29"/>
  <c r="BQ61" i="29"/>
  <c r="BR61" i="29"/>
  <c r="BS61" i="29"/>
  <c r="BT61" i="29"/>
  <c r="BU61" i="29"/>
  <c r="BV61" i="29"/>
  <c r="BW61" i="29"/>
  <c r="BX61" i="29"/>
  <c r="BY61" i="29"/>
  <c r="BZ61" i="29"/>
  <c r="CA61" i="29"/>
  <c r="CB61" i="29"/>
  <c r="CC61" i="29"/>
  <c r="CD61" i="29"/>
  <c r="CE61" i="29"/>
  <c r="CF61" i="29"/>
  <c r="CG61" i="29"/>
  <c r="CH61" i="29"/>
  <c r="CI61" i="29"/>
  <c r="CJ61" i="29"/>
  <c r="CK61" i="29"/>
  <c r="CL61" i="29"/>
  <c r="CM61" i="29"/>
  <c r="CN61" i="29"/>
  <c r="CO61" i="29"/>
  <c r="CP61" i="29"/>
  <c r="CQ61" i="29"/>
  <c r="CR61" i="29"/>
  <c r="CS61" i="29"/>
  <c r="CT61" i="29"/>
  <c r="CU61" i="29"/>
  <c r="CV61" i="29"/>
  <c r="CW61" i="29"/>
  <c r="CX61" i="29"/>
  <c r="CY61" i="29"/>
  <c r="CZ61" i="29"/>
  <c r="DA61" i="29"/>
  <c r="DB61" i="29"/>
  <c r="DC61" i="29"/>
  <c r="DD61" i="29"/>
  <c r="DE61" i="29"/>
  <c r="DF61" i="29"/>
  <c r="DG61" i="29"/>
  <c r="DH61" i="29"/>
  <c r="DI61" i="29"/>
  <c r="EN70" i="29"/>
  <c r="EN71" i="29"/>
  <c r="DO70" i="29"/>
  <c r="DP70" i="29"/>
  <c r="DQ70" i="29"/>
  <c r="DR70" i="29"/>
  <c r="DS70" i="29"/>
  <c r="DT70" i="29"/>
  <c r="DU70" i="29"/>
  <c r="DV70" i="29"/>
  <c r="DW70" i="29"/>
  <c r="DX70" i="29"/>
  <c r="DY70" i="29"/>
  <c r="DZ70" i="29"/>
  <c r="EA70" i="29"/>
  <c r="EB70" i="29"/>
  <c r="EC70" i="29"/>
  <c r="ED70" i="29"/>
  <c r="EE70" i="29"/>
  <c r="EF70" i="29"/>
  <c r="EG70" i="29"/>
  <c r="EH70" i="29"/>
  <c r="EI70" i="29"/>
  <c r="EJ70" i="29"/>
  <c r="EK70" i="29"/>
  <c r="EL70" i="29"/>
  <c r="EM70" i="29"/>
  <c r="DO71" i="29"/>
  <c r="DP71" i="29"/>
  <c r="DQ71" i="29"/>
  <c r="DR71" i="29"/>
  <c r="DS71" i="29"/>
  <c r="DT71" i="29"/>
  <c r="DU71" i="29"/>
  <c r="DV71" i="29"/>
  <c r="DW71" i="29"/>
  <c r="DX71" i="29"/>
  <c r="DY71" i="29"/>
  <c r="DZ71" i="29"/>
  <c r="EA71" i="29"/>
  <c r="EB71" i="29"/>
  <c r="EC71" i="29"/>
  <c r="ED71" i="29"/>
  <c r="EE71" i="29"/>
  <c r="EF71" i="29"/>
  <c r="EG71" i="29"/>
  <c r="EH71" i="29"/>
  <c r="EI71" i="29"/>
  <c r="EJ71" i="29"/>
  <c r="EK71" i="29"/>
  <c r="EL71" i="29"/>
  <c r="EM71" i="29"/>
  <c r="EN77" i="29"/>
  <c r="EN78" i="29"/>
  <c r="DO77" i="29"/>
  <c r="DP77" i="29"/>
  <c r="DQ77" i="29"/>
  <c r="DR77" i="29"/>
  <c r="DS77" i="29"/>
  <c r="DT77" i="29"/>
  <c r="DU77" i="29"/>
  <c r="DV77" i="29"/>
  <c r="DW77" i="29"/>
  <c r="DX77" i="29"/>
  <c r="DY77" i="29"/>
  <c r="DZ77" i="29"/>
  <c r="EA77" i="29"/>
  <c r="EB77" i="29"/>
  <c r="EC77" i="29"/>
  <c r="ED77" i="29"/>
  <c r="EE77" i="29"/>
  <c r="EF77" i="29"/>
  <c r="EG77" i="29"/>
  <c r="EH77" i="29"/>
  <c r="EI77" i="29"/>
  <c r="EJ77" i="29"/>
  <c r="EK77" i="29"/>
  <c r="EL77" i="29"/>
  <c r="EM77" i="29"/>
  <c r="DO78" i="29"/>
  <c r="DP78" i="29"/>
  <c r="DQ78" i="29"/>
  <c r="DR78" i="29"/>
  <c r="DS78" i="29"/>
  <c r="DT78" i="29"/>
  <c r="DU78" i="29"/>
  <c r="DV78" i="29"/>
  <c r="DW78" i="29"/>
  <c r="DX78" i="29"/>
  <c r="DY78" i="29"/>
  <c r="DZ78" i="29"/>
  <c r="EA78" i="29"/>
  <c r="EB78" i="29"/>
  <c r="EC78" i="29"/>
  <c r="ED78" i="29"/>
  <c r="EE78" i="29"/>
  <c r="EF78" i="29"/>
  <c r="EG78" i="29"/>
  <c r="EH78" i="29"/>
  <c r="EI78" i="29"/>
  <c r="EJ78" i="29"/>
  <c r="EK78" i="29"/>
  <c r="EL78" i="29"/>
  <c r="EM78" i="29"/>
  <c r="EN84" i="29"/>
  <c r="DU83" i="29"/>
  <c r="DV83" i="29"/>
  <c r="DW83" i="29"/>
  <c r="DX83" i="29"/>
  <c r="DY83" i="29"/>
  <c r="DZ83" i="29"/>
  <c r="EA83" i="29"/>
  <c r="EB83" i="29"/>
  <c r="EC83" i="29"/>
  <c r="ED83" i="29"/>
  <c r="EE83" i="29"/>
  <c r="EF83" i="29"/>
  <c r="EG83" i="29"/>
  <c r="EH83" i="29"/>
  <c r="EI83" i="29"/>
  <c r="EJ83" i="29"/>
  <c r="EK83" i="29"/>
  <c r="EL83" i="29"/>
  <c r="EM83" i="29"/>
  <c r="DU84" i="29"/>
  <c r="DV84" i="29"/>
  <c r="DW84" i="29"/>
  <c r="DX84" i="29"/>
  <c r="DY84" i="29"/>
  <c r="DZ84" i="29"/>
  <c r="EA84" i="29"/>
  <c r="EB84" i="29"/>
  <c r="EC84" i="29"/>
  <c r="ED84" i="29"/>
  <c r="EE84" i="29"/>
  <c r="EF84" i="29"/>
  <c r="EG84" i="29"/>
  <c r="EH84" i="29"/>
  <c r="EI84" i="29"/>
  <c r="EJ84" i="29"/>
  <c r="EJ85" i="29" s="1"/>
  <c r="EK84" i="29"/>
  <c r="EL84" i="29"/>
  <c r="EM84" i="29"/>
  <c r="A3" i="1"/>
  <c r="A241" i="1" s="1"/>
  <c r="A48" i="1"/>
  <c r="A48" i="64" s="1"/>
  <c r="T71" i="1"/>
  <c r="D77" i="1"/>
  <c r="H77" i="1"/>
  <c r="T88" i="1"/>
  <c r="B90" i="1"/>
  <c r="D90" i="1"/>
  <c r="F90" i="1"/>
  <c r="H90" i="1"/>
  <c r="J90" i="1"/>
  <c r="L90" i="1"/>
  <c r="N90" i="1"/>
  <c r="P90" i="1"/>
  <c r="R90" i="1"/>
  <c r="T90" i="1"/>
  <c r="L14" i="1" s="1"/>
  <c r="A98" i="1"/>
  <c r="A98" i="64" s="1"/>
  <c r="R128" i="1"/>
  <c r="R132" i="1" s="1"/>
  <c r="L112" i="1"/>
  <c r="L112" i="64" s="1"/>
  <c r="T112" i="64" s="1"/>
  <c r="V112" i="64" s="1"/>
  <c r="L115" i="1"/>
  <c r="L120" i="1"/>
  <c r="T120" i="1"/>
  <c r="V120" i="1" s="1"/>
  <c r="D52" i="44" s="1"/>
  <c r="L121" i="1"/>
  <c r="T121" i="1" s="1"/>
  <c r="L122" i="1"/>
  <c r="L124" i="1"/>
  <c r="T124" i="1" s="1"/>
  <c r="V124" i="1" s="1"/>
  <c r="L125" i="1"/>
  <c r="T125" i="1" s="1"/>
  <c r="V125" i="1" s="1"/>
  <c r="D57" i="44" s="1"/>
  <c r="N126" i="1"/>
  <c r="R126" i="1"/>
  <c r="T137" i="1"/>
  <c r="V137" i="1"/>
  <c r="B139" i="1"/>
  <c r="F139" i="1"/>
  <c r="L139" i="1"/>
  <c r="R139" i="1"/>
  <c r="T139" i="1"/>
  <c r="V139" i="1"/>
  <c r="D35" i="44" s="1"/>
  <c r="A152" i="1"/>
  <c r="A152" i="64" s="1"/>
  <c r="L162" i="1"/>
  <c r="L166" i="1"/>
  <c r="T166" i="1"/>
  <c r="A180" i="1"/>
  <c r="H221" i="1"/>
  <c r="H223" i="1"/>
  <c r="H282" i="1"/>
  <c r="H284" i="1"/>
  <c r="J2" i="78"/>
  <c r="B3" i="78"/>
  <c r="S4" i="78"/>
  <c r="S5" i="78" s="1"/>
  <c r="J5" i="78"/>
  <c r="K4" i="78" s="1"/>
  <c r="K5" i="78" s="1"/>
  <c r="L4" i="78" s="1"/>
  <c r="L5" i="78" s="1"/>
  <c r="K12" i="78"/>
  <c r="L12" i="78" s="1"/>
  <c r="M12" i="78" s="1"/>
  <c r="N12" i="78" s="1"/>
  <c r="O12" i="78" s="1"/>
  <c r="P12" i="78" s="1"/>
  <c r="Q12" i="78" s="1"/>
  <c r="S12" i="78"/>
  <c r="S3" i="78" s="1" a="1"/>
  <c r="S3" i="78" s="1"/>
  <c r="K13" i="78"/>
  <c r="L13" i="78" s="1"/>
  <c r="M13" i="78" s="1"/>
  <c r="N13" i="78" s="1"/>
  <c r="O13" i="78" s="1"/>
  <c r="P13" i="78" s="1"/>
  <c r="Q13" i="78" s="1"/>
  <c r="S13" i="78"/>
  <c r="K14" i="78"/>
  <c r="L14" i="78" s="1"/>
  <c r="M14" i="78" s="1"/>
  <c r="N14" i="78" s="1"/>
  <c r="O14" i="78" s="1"/>
  <c r="P14" i="78" s="1"/>
  <c r="Q14" i="78" s="1"/>
  <c r="S14" i="78"/>
  <c r="J17" i="78"/>
  <c r="K17" i="78"/>
  <c r="L17" i="78"/>
  <c r="M17" i="78"/>
  <c r="N17" i="78"/>
  <c r="O17" i="78"/>
  <c r="P17" i="78"/>
  <c r="Q17" i="78"/>
  <c r="J18" i="78"/>
  <c r="K18" i="78"/>
  <c r="L18" i="78"/>
  <c r="M18" i="78"/>
  <c r="N18" i="78"/>
  <c r="O18" i="78"/>
  <c r="P18" i="78"/>
  <c r="Q18" i="78"/>
  <c r="J19" i="78"/>
  <c r="K19" i="78"/>
  <c r="L19" i="78"/>
  <c r="M19" i="78"/>
  <c r="N19" i="78"/>
  <c r="O19" i="78"/>
  <c r="P19" i="78"/>
  <c r="Q19" i="78"/>
  <c r="J26" i="78"/>
  <c r="K26" i="78" s="1"/>
  <c r="J124" i="78" a="1"/>
  <c r="J124" i="78" s="1"/>
  <c r="J137" i="78" a="1"/>
  <c r="J137" i="78" s="1"/>
  <c r="T112" i="1" l="1"/>
  <c r="V112" i="1" s="1"/>
  <c r="F30" i="60"/>
  <c r="H30" i="66"/>
  <c r="BZ333" i="40"/>
  <c r="BJ333" i="40"/>
  <c r="CM333" i="40"/>
  <c r="CE333" i="40"/>
  <c r="BW333" i="40"/>
  <c r="BO333" i="40"/>
  <c r="BG333" i="40"/>
  <c r="AY333" i="40"/>
  <c r="AN333" i="40"/>
  <c r="CU49" i="38"/>
  <c r="FD101" i="15"/>
  <c r="FD103" i="15" s="1"/>
  <c r="FC101" i="15"/>
  <c r="DW50" i="38"/>
  <c r="DX49" i="38"/>
  <c r="DV50" i="38"/>
  <c r="DW49" i="38"/>
  <c r="DX50" i="38"/>
  <c r="DU50" i="38"/>
  <c r="DV49" i="38"/>
  <c r="DY49" i="38"/>
  <c r="DT50" i="38"/>
  <c r="DU49" i="38"/>
  <c r="DZ49" i="38"/>
  <c r="EA50" i="38"/>
  <c r="DS50" i="38"/>
  <c r="DT49" i="38"/>
  <c r="DZ50" i="38"/>
  <c r="EA49" i="38"/>
  <c r="DS49" i="38"/>
  <c r="DY50" i="38"/>
  <c r="FE37" i="15"/>
  <c r="FC37" i="15"/>
  <c r="FE36" i="15"/>
  <c r="FC36" i="15"/>
  <c r="FD37" i="15"/>
  <c r="FD36" i="15"/>
  <c r="FD81" i="15"/>
  <c r="FD97" i="15"/>
  <c r="EB49" i="38"/>
  <c r="FE49" i="15"/>
  <c r="EB50" i="38"/>
  <c r="FD88" i="15"/>
  <c r="FD80" i="15"/>
  <c r="FC81" i="15"/>
  <c r="FD78" i="15"/>
  <c r="EC75" i="38" s="1"/>
  <c r="ED17" i="38"/>
  <c r="FE78" i="15"/>
  <c r="ED75" i="38" s="1"/>
  <c r="FE76" i="15"/>
  <c r="FE53" i="15"/>
  <c r="FE80" i="15"/>
  <c r="FD79" i="15"/>
  <c r="FC86" i="15"/>
  <c r="FE88" i="15"/>
  <c r="FE86" i="15"/>
  <c r="FC48" i="15"/>
  <c r="ED50" i="38"/>
  <c r="FE89" i="15"/>
  <c r="FD84" i="15"/>
  <c r="EC76" i="38" s="1"/>
  <c r="FD49" i="15"/>
  <c r="FE101" i="15"/>
  <c r="FE103" i="15" s="1"/>
  <c r="FD85" i="15"/>
  <c r="FE48" i="15"/>
  <c r="FC97" i="15"/>
  <c r="FE85" i="15"/>
  <c r="FE97" i="15"/>
  <c r="FC85" i="15"/>
  <c r="FD76" i="15"/>
  <c r="FC88" i="15"/>
  <c r="FC80" i="15"/>
  <c r="FD86" i="15"/>
  <c r="FC53" i="15"/>
  <c r="FD53" i="15"/>
  <c r="EB17" i="38"/>
  <c r="FD51" i="15"/>
  <c r="FC78" i="15"/>
  <c r="FC84" i="15"/>
  <c r="FE84" i="15"/>
  <c r="ED76" i="38" s="1"/>
  <c r="EC50" i="38"/>
  <c r="FE51" i="15"/>
  <c r="FE79" i="15"/>
  <c r="EC17" i="38"/>
  <c r="FC51" i="15"/>
  <c r="FD89" i="15"/>
  <c r="ED49" i="38"/>
  <c r="FE81" i="15"/>
  <c r="FC79" i="15"/>
  <c r="FC76" i="15"/>
  <c r="EC49" i="38"/>
  <c r="FC49" i="15"/>
  <c r="FD48" i="15"/>
  <c r="FC89" i="15"/>
  <c r="FC24" i="15"/>
  <c r="FE18" i="15"/>
  <c r="FE21" i="15" s="1"/>
  <c r="FC31" i="15"/>
  <c r="FD77" i="15"/>
  <c r="FD52" i="15"/>
  <c r="FC25" i="15"/>
  <c r="FE26" i="15"/>
  <c r="FE30" i="15"/>
  <c r="FE25" i="15"/>
  <c r="FD32" i="15"/>
  <c r="FD83" i="15"/>
  <c r="FC66" i="15"/>
  <c r="FD10" i="15"/>
  <c r="FC15" i="15"/>
  <c r="FD25" i="15"/>
  <c r="FE10" i="15"/>
  <c r="FD31" i="15"/>
  <c r="FE29" i="15"/>
  <c r="FE12" i="15"/>
  <c r="FD82" i="15"/>
  <c r="FC13" i="15"/>
  <c r="FD33" i="15"/>
  <c r="FE44" i="15"/>
  <c r="FE52" i="15"/>
  <c r="FC68" i="15"/>
  <c r="FD63" i="15"/>
  <c r="FC96" i="15"/>
  <c r="FC61" i="15"/>
  <c r="FE11" i="15"/>
  <c r="FE61" i="15"/>
  <c r="FE39" i="15"/>
  <c r="FC62" i="15"/>
  <c r="FC38" i="15"/>
  <c r="FE38" i="15"/>
  <c r="FD96" i="15"/>
  <c r="FE66" i="15"/>
  <c r="FE15" i="15"/>
  <c r="FE46" i="15"/>
  <c r="FC11" i="15"/>
  <c r="FE74" i="15"/>
  <c r="FC27" i="15"/>
  <c r="FE45" i="15"/>
  <c r="FD30" i="15"/>
  <c r="FD75" i="15"/>
  <c r="FC45" i="15"/>
  <c r="FC12" i="15"/>
  <c r="FC52" i="15"/>
  <c r="FD15" i="15"/>
  <c r="FC44" i="15"/>
  <c r="FC10" i="15"/>
  <c r="FD35" i="15"/>
  <c r="FD62" i="15"/>
  <c r="FC83" i="15"/>
  <c r="FD40" i="15"/>
  <c r="FD66" i="15"/>
  <c r="FD74" i="15"/>
  <c r="FC33" i="15"/>
  <c r="FE94" i="15"/>
  <c r="FC26" i="15"/>
  <c r="FC39" i="15"/>
  <c r="FD34" i="15"/>
  <c r="FC40" i="15"/>
  <c r="FD27" i="15"/>
  <c r="FD61" i="15"/>
  <c r="FD47" i="15"/>
  <c r="FD13" i="15"/>
  <c r="FC18" i="15"/>
  <c r="FD94" i="15"/>
  <c r="FC47" i="15"/>
  <c r="FD44" i="15"/>
  <c r="FD39" i="15"/>
  <c r="FE95" i="15"/>
  <c r="FE35" i="15"/>
  <c r="FE13" i="15"/>
  <c r="FE96" i="15"/>
  <c r="FC82" i="15"/>
  <c r="FD95" i="15"/>
  <c r="FC75" i="15"/>
  <c r="FE62" i="15"/>
  <c r="FD68" i="15"/>
  <c r="EC15" i="38" s="1"/>
  <c r="FD29" i="15"/>
  <c r="FD18" i="15"/>
  <c r="FD21" i="15" s="1"/>
  <c r="FC30" i="15"/>
  <c r="FE82" i="15"/>
  <c r="FD12" i="15"/>
  <c r="FE83" i="15"/>
  <c r="FC32" i="15"/>
  <c r="FD45" i="15"/>
  <c r="FE47" i="15"/>
  <c r="FE32" i="15"/>
  <c r="FD24" i="15"/>
  <c r="FC46" i="15"/>
  <c r="FE31" i="15"/>
  <c r="FC29" i="15"/>
  <c r="FD46" i="15"/>
  <c r="FC35" i="15"/>
  <c r="FE40" i="15"/>
  <c r="FC63" i="15"/>
  <c r="FD38" i="15"/>
  <c r="FD11" i="15"/>
  <c r="FE75" i="15"/>
  <c r="FC74" i="15"/>
  <c r="FE63" i="15"/>
  <c r="FE34" i="15"/>
  <c r="FC34" i="15"/>
  <c r="FE77" i="15"/>
  <c r="FD26" i="15"/>
  <c r="FE68" i="15"/>
  <c r="ED15" i="38" s="1"/>
  <c r="FC77" i="15"/>
  <c r="FE24" i="15"/>
  <c r="FE33" i="15"/>
  <c r="FE27" i="15"/>
  <c r="FC94" i="15"/>
  <c r="EQ20" i="8"/>
  <c r="EQ32" i="8"/>
  <c r="ER20" i="8"/>
  <c r="EQ42" i="8"/>
  <c r="ER17" i="8"/>
  <c r="EQ33" i="8"/>
  <c r="ER27" i="8"/>
  <c r="EQ18" i="8"/>
  <c r="ES28" i="8"/>
  <c r="D28" i="8" s="1"/>
  <c r="ER18" i="8"/>
  <c r="EQ15" i="8"/>
  <c r="EQ16" i="8"/>
  <c r="ER39" i="8"/>
  <c r="ES17" i="8"/>
  <c r="D17" i="8" s="1"/>
  <c r="EQ10" i="8"/>
  <c r="ES31" i="8"/>
  <c r="D31" i="8" s="1"/>
  <c r="ES42" i="8"/>
  <c r="D42" i="8" s="1"/>
  <c r="EQ37" i="8"/>
  <c r="EQ39" i="8"/>
  <c r="ER32" i="8"/>
  <c r="EQ40" i="8"/>
  <c r="ES9" i="8"/>
  <c r="EQ31" i="8"/>
  <c r="EQ17" i="8"/>
  <c r="ER31" i="8"/>
  <c r="ES27" i="8"/>
  <c r="ER42" i="8"/>
  <c r="EQ30" i="8"/>
  <c r="ER28" i="8"/>
  <c r="ER37" i="8"/>
  <c r="EC26" i="38" s="1"/>
  <c r="ER16" i="8"/>
  <c r="ER9" i="8"/>
  <c r="ER29" i="8"/>
  <c r="ER14" i="8"/>
  <c r="EQ28" i="8"/>
  <c r="ES20" i="8"/>
  <c r="D20" i="8" s="1"/>
  <c r="ES15" i="8"/>
  <c r="D15" i="8" s="1"/>
  <c r="EQ14" i="8"/>
  <c r="EQ27" i="8"/>
  <c r="EQ19" i="8"/>
  <c r="ES19" i="8"/>
  <c r="D19" i="8" s="1"/>
  <c r="ES32" i="8"/>
  <c r="D32" i="8" s="1"/>
  <c r="ES39" i="8"/>
  <c r="D39" i="8" s="1"/>
  <c r="ES14" i="8"/>
  <c r="D14" i="8" s="1"/>
  <c r="ES33" i="8"/>
  <c r="D33" i="8" s="1"/>
  <c r="ES16" i="8"/>
  <c r="D16" i="8" s="1"/>
  <c r="ES10" i="8"/>
  <c r="D10" i="8" s="1"/>
  <c r="ES18" i="8"/>
  <c r="D18" i="8" s="1"/>
  <c r="ES30" i="8"/>
  <c r="D30" i="8" s="1"/>
  <c r="ES37" i="8"/>
  <c r="ER15" i="8"/>
  <c r="ES29" i="8"/>
  <c r="D29" i="8" s="1"/>
  <c r="EQ38" i="8"/>
  <c r="EQ29" i="8"/>
  <c r="ER40" i="8"/>
  <c r="ER19" i="8"/>
  <c r="ES40" i="8"/>
  <c r="D40" i="8" s="1"/>
  <c r="ER30" i="8"/>
  <c r="EQ9" i="8"/>
  <c r="ES38" i="8"/>
  <c r="ER33" i="8"/>
  <c r="ER10" i="8"/>
  <c r="ER38" i="8"/>
  <c r="EQ13" i="8"/>
  <c r="DU24" i="8"/>
  <c r="DM24" i="8"/>
  <c r="DE24" i="8"/>
  <c r="DE58" i="8" s="1"/>
  <c r="EK71" i="15"/>
  <c r="DU71" i="15"/>
  <c r="DE71" i="15"/>
  <c r="CO71" i="15"/>
  <c r="CI333" i="40"/>
  <c r="CA333" i="40"/>
  <c r="BS333" i="40"/>
  <c r="BK333" i="40"/>
  <c r="BC333" i="40"/>
  <c r="AU333" i="40"/>
  <c r="AJ333" i="40"/>
  <c r="DC49" i="38"/>
  <c r="FB39" i="29"/>
  <c r="FA39" i="29"/>
  <c r="EZ39" i="29"/>
  <c r="EZ10" i="29"/>
  <c r="FB10" i="29"/>
  <c r="FA10" i="29"/>
  <c r="EA15" i="38"/>
  <c r="DZ76" i="38"/>
  <c r="DZ15" i="38"/>
  <c r="EA76" i="38"/>
  <c r="FB21" i="15"/>
  <c r="DY17" i="38"/>
  <c r="FA21" i="15"/>
  <c r="DZ17" i="38"/>
  <c r="EA17" i="38"/>
  <c r="FA64" i="15"/>
  <c r="FA14" i="15"/>
  <c r="FA103" i="15"/>
  <c r="EA16" i="38"/>
  <c r="FB103" i="15"/>
  <c r="ED85" i="38"/>
  <c r="ED86" i="38" s="1"/>
  <c r="EC85" i="38"/>
  <c r="EC86" i="38" s="1"/>
  <c r="EC27" i="38"/>
  <c r="ED28" i="38"/>
  <c r="EC28" i="38"/>
  <c r="ED27" i="38"/>
  <c r="FB74" i="29"/>
  <c r="FB18" i="29"/>
  <c r="FA32" i="29"/>
  <c r="FA13" i="29"/>
  <c r="FB68" i="29"/>
  <c r="FB17" i="29"/>
  <c r="FA31" i="29"/>
  <c r="FB67" i="29"/>
  <c r="FA27" i="29"/>
  <c r="FB32" i="29"/>
  <c r="FB13" i="29"/>
  <c r="FA26" i="29"/>
  <c r="FB31" i="29"/>
  <c r="FA75" i="29"/>
  <c r="FA22" i="29"/>
  <c r="FA67" i="29"/>
  <c r="FB27" i="29"/>
  <c r="FA74" i="29"/>
  <c r="FA18" i="29"/>
  <c r="FB22" i="29"/>
  <c r="FB26" i="29"/>
  <c r="FA68" i="29"/>
  <c r="FA17" i="29"/>
  <c r="FB75" i="29"/>
  <c r="EZ74" i="29"/>
  <c r="EZ31" i="29"/>
  <c r="EZ22" i="29"/>
  <c r="EZ68" i="29"/>
  <c r="EZ17" i="29"/>
  <c r="EB28" i="38"/>
  <c r="EZ13" i="29"/>
  <c r="FD13" i="29" s="1"/>
  <c r="EZ75" i="29"/>
  <c r="EZ32" i="29"/>
  <c r="EB27" i="38"/>
  <c r="EB85" i="38"/>
  <c r="EB86" i="38" s="1"/>
  <c r="EZ18" i="29"/>
  <c r="EZ27" i="29"/>
  <c r="EZ67" i="29"/>
  <c r="EZ26" i="29"/>
  <c r="EA28" i="38"/>
  <c r="DZ26" i="38"/>
  <c r="DZ28" i="38"/>
  <c r="DZ27" i="38"/>
  <c r="DY28" i="38"/>
  <c r="DZ85" i="38"/>
  <c r="DZ86" i="38" s="1"/>
  <c r="DY85" i="38"/>
  <c r="DY86" i="38" s="1"/>
  <c r="EA27" i="38"/>
  <c r="EA85" i="38"/>
  <c r="EA86" i="38" s="1"/>
  <c r="DY27" i="38"/>
  <c r="ED24" i="8"/>
  <c r="ED58" i="8" s="1"/>
  <c r="DV24" i="8"/>
  <c r="DV58" i="8" s="1"/>
  <c r="DT24" i="8"/>
  <c r="DT58" i="8" s="1"/>
  <c r="DL24" i="8"/>
  <c r="ED45" i="8"/>
  <c r="ED46" i="8" s="1"/>
  <c r="DC50" i="38"/>
  <c r="CM49" i="38"/>
  <c r="CU50" i="38"/>
  <c r="CU51" i="38" s="1"/>
  <c r="CE49" i="38"/>
  <c r="CM50" i="38"/>
  <c r="BW49" i="38"/>
  <c r="CE50" i="38"/>
  <c r="BW50" i="38"/>
  <c r="DK49" i="38"/>
  <c r="DK51" i="38" s="1"/>
  <c r="DP17" i="38"/>
  <c r="DV17" i="38"/>
  <c r="DW17" i="38"/>
  <c r="DX17" i="38"/>
  <c r="EY28" i="29"/>
  <c r="DX27" i="38"/>
  <c r="DX28" i="38"/>
  <c r="DX85" i="38"/>
  <c r="DX86" i="38" s="1"/>
  <c r="DV28" i="38"/>
  <c r="DW85" i="38"/>
  <c r="DW86" i="38" s="1"/>
  <c r="DV85" i="38"/>
  <c r="DV86" i="38" s="1"/>
  <c r="DW27" i="38"/>
  <c r="DW28" i="38"/>
  <c r="DV27" i="38"/>
  <c r="BL15" i="49"/>
  <c r="AB26" i="49"/>
  <c r="CL26" i="49"/>
  <c r="CL37" i="49" s="1"/>
  <c r="CM3" i="49"/>
  <c r="CL15" i="49"/>
  <c r="EF36" i="29"/>
  <c r="EV61" i="29"/>
  <c r="DX36" i="29"/>
  <c r="DP36" i="29"/>
  <c r="EG72" i="29"/>
  <c r="EA85" i="29"/>
  <c r="EU61" i="29"/>
  <c r="ET61" i="29"/>
  <c r="EG20" i="29"/>
  <c r="DY20" i="29"/>
  <c r="DQ20" i="29"/>
  <c r="DI20" i="29"/>
  <c r="DS71" i="15"/>
  <c r="DC71" i="15"/>
  <c r="CP333" i="40"/>
  <c r="DX76" i="38"/>
  <c r="DX16" i="38"/>
  <c r="EX103" i="15"/>
  <c r="EY21" i="15"/>
  <c r="DW76" i="38"/>
  <c r="DW16" i="38"/>
  <c r="DV76" i="38"/>
  <c r="DV16" i="38"/>
  <c r="DV15" i="38"/>
  <c r="EX21" i="15"/>
  <c r="EW21" i="15"/>
  <c r="DW15" i="38"/>
  <c r="DX15" i="38"/>
  <c r="DX14" i="38"/>
  <c r="DW14" i="38"/>
  <c r="EY103" i="15"/>
  <c r="CL333" i="40"/>
  <c r="CD333" i="40"/>
  <c r="BV333" i="40"/>
  <c r="BN333" i="40"/>
  <c r="BF333" i="40"/>
  <c r="AX333" i="40"/>
  <c r="AM333" i="40"/>
  <c r="DQ17" i="38"/>
  <c r="DX26" i="38"/>
  <c r="EL11" i="8"/>
  <c r="DV26" i="38"/>
  <c r="DW26" i="38"/>
  <c r="CF24" i="8"/>
  <c r="CF45" i="8" s="1"/>
  <c r="CF52" i="8" s="1"/>
  <c r="EB24" i="8"/>
  <c r="EB58" i="8" s="1"/>
  <c r="DD24" i="8"/>
  <c r="DD58" i="8" s="1"/>
  <c r="CR45" i="8"/>
  <c r="CR52" i="8" s="1"/>
  <c r="DW24" i="8"/>
  <c r="DW45" i="8" s="1"/>
  <c r="DW46" i="8" s="1"/>
  <c r="DO24" i="8"/>
  <c r="DO58" i="8" s="1"/>
  <c r="CM71" i="15"/>
  <c r="CM105" i="15" s="1"/>
  <c r="EI71" i="15"/>
  <c r="EI105" i="15" s="1"/>
  <c r="EA71" i="15"/>
  <c r="DK71" i="15"/>
  <c r="DK105" i="15" s="1"/>
  <c r="BN403" i="40" s="1"/>
  <c r="BN404" i="40" s="1"/>
  <c r="CU71" i="15"/>
  <c r="CU105" i="15" s="1"/>
  <c r="EI56" i="15"/>
  <c r="EI57" i="15" s="1"/>
  <c r="EA56" i="15"/>
  <c r="EA57" i="15" s="1"/>
  <c r="DS56" i="15"/>
  <c r="DK56" i="15"/>
  <c r="DC56" i="15"/>
  <c r="CU56" i="15"/>
  <c r="CM56" i="15"/>
  <c r="CZ20" i="38"/>
  <c r="AA40" i="38"/>
  <c r="AA24" i="38"/>
  <c r="DH88" i="38"/>
  <c r="DP60" i="38"/>
  <c r="EV28" i="29"/>
  <c r="BX26" i="49"/>
  <c r="BX37" i="49" s="1"/>
  <c r="BX15" i="49"/>
  <c r="CK26" i="49"/>
  <c r="CK37" i="49" s="1"/>
  <c r="CK15" i="49"/>
  <c r="DH36" i="29"/>
  <c r="ES61" i="29"/>
  <c r="DG36" i="29"/>
  <c r="ER61" i="29"/>
  <c r="EQ61" i="29"/>
  <c r="DL61" i="29"/>
  <c r="EB85" i="29"/>
  <c r="EM72" i="29"/>
  <c r="EE72" i="29"/>
  <c r="DZ61" i="29"/>
  <c r="EH85" i="29"/>
  <c r="DZ85" i="29"/>
  <c r="EL85" i="29"/>
  <c r="ED85" i="29"/>
  <c r="DV85" i="29"/>
  <c r="EG85" i="29"/>
  <c r="DY85" i="29"/>
  <c r="EL36" i="29"/>
  <c r="DN36" i="29"/>
  <c r="F244" i="16"/>
  <c r="D244" i="16" s="1"/>
  <c r="F16" i="16"/>
  <c r="CJ58" i="38"/>
  <c r="DS27" i="38"/>
  <c r="DU28" i="38"/>
  <c r="DU27" i="38"/>
  <c r="DT28" i="38"/>
  <c r="DU85" i="38"/>
  <c r="DU86" i="38" s="1"/>
  <c r="DT27" i="38"/>
  <c r="DS85" i="38"/>
  <c r="DS86" i="38" s="1"/>
  <c r="DT85" i="38"/>
  <c r="DT86" i="38" s="1"/>
  <c r="DS28" i="38"/>
  <c r="EI11" i="8"/>
  <c r="DR50" i="38"/>
  <c r="DJ50" i="38"/>
  <c r="DB50" i="38"/>
  <c r="CT50" i="38"/>
  <c r="CL50" i="38"/>
  <c r="CD50" i="38"/>
  <c r="DR49" i="38"/>
  <c r="DJ49" i="38"/>
  <c r="DB49" i="38"/>
  <c r="CT49" i="38"/>
  <c r="CL49" i="38"/>
  <c r="CD49" i="38"/>
  <c r="DO17" i="38"/>
  <c r="DO18" i="38" s="1"/>
  <c r="DQ50" i="38"/>
  <c r="DI50" i="38"/>
  <c r="DA50" i="38"/>
  <c r="CS50" i="38"/>
  <c r="CK50" i="38"/>
  <c r="CC50" i="38"/>
  <c r="DQ49" i="38"/>
  <c r="DI49" i="38"/>
  <c r="DA49" i="38"/>
  <c r="CS49" i="38"/>
  <c r="CK49" i="38"/>
  <c r="CC49" i="38"/>
  <c r="DN17" i="38"/>
  <c r="DN18" i="38" s="1"/>
  <c r="DP50" i="38"/>
  <c r="DH50" i="38"/>
  <c r="CZ50" i="38"/>
  <c r="CR50" i="38"/>
  <c r="CJ50" i="38"/>
  <c r="CB50" i="38"/>
  <c r="DP49" i="38"/>
  <c r="DH49" i="38"/>
  <c r="CZ49" i="38"/>
  <c r="CR49" i="38"/>
  <c r="CJ49" i="38"/>
  <c r="CB49" i="38"/>
  <c r="DM17" i="38"/>
  <c r="DM18" i="38" s="1"/>
  <c r="DO50" i="38"/>
  <c r="DG50" i="38"/>
  <c r="CY50" i="38"/>
  <c r="CQ50" i="38"/>
  <c r="CI50" i="38"/>
  <c r="CA50" i="38"/>
  <c r="DO49" i="38"/>
  <c r="DG49" i="38"/>
  <c r="CY49" i="38"/>
  <c r="CQ49" i="38"/>
  <c r="CI49" i="38"/>
  <c r="CA49" i="38"/>
  <c r="DN50" i="38"/>
  <c r="DF50" i="38"/>
  <c r="CX50" i="38"/>
  <c r="CP50" i="38"/>
  <c r="CH50" i="38"/>
  <c r="BZ50" i="38"/>
  <c r="DN49" i="38"/>
  <c r="DF49" i="38"/>
  <c r="CX49" i="38"/>
  <c r="CP49" i="38"/>
  <c r="CH49" i="38"/>
  <c r="BZ49" i="38"/>
  <c r="DM50" i="38"/>
  <c r="DE50" i="38"/>
  <c r="CW50" i="38"/>
  <c r="CO50" i="38"/>
  <c r="CG50" i="38"/>
  <c r="BY50" i="38"/>
  <c r="DM49" i="38"/>
  <c r="DE49" i="38"/>
  <c r="CW49" i="38"/>
  <c r="CO49" i="38"/>
  <c r="CG49" i="38"/>
  <c r="BY49" i="38"/>
  <c r="DR17" i="38"/>
  <c r="DL50" i="38"/>
  <c r="DD50" i="38"/>
  <c r="CV50" i="38"/>
  <c r="CN50" i="38"/>
  <c r="CF50" i="38"/>
  <c r="BX50" i="38"/>
  <c r="DL49" i="38"/>
  <c r="DD49" i="38"/>
  <c r="CV49" i="38"/>
  <c r="CN49" i="38"/>
  <c r="CF49" i="38"/>
  <c r="BX49" i="38"/>
  <c r="CK333" i="40"/>
  <c r="CC333" i="40"/>
  <c r="BU333" i="40"/>
  <c r="BM333" i="40"/>
  <c r="BE333" i="40"/>
  <c r="AW333" i="40"/>
  <c r="AL333" i="40"/>
  <c r="EV103" i="15"/>
  <c r="DU76" i="38"/>
  <c r="DU17" i="38"/>
  <c r="EU103" i="15"/>
  <c r="DT15" i="38"/>
  <c r="DT76" i="38"/>
  <c r="DT17" i="38"/>
  <c r="DS17" i="38"/>
  <c r="DU15" i="38"/>
  <c r="EQ40" i="29"/>
  <c r="EQ41" i="29" s="1"/>
  <c r="CJ333" i="40"/>
  <c r="CB333" i="40"/>
  <c r="BT333" i="40"/>
  <c r="BL333" i="40"/>
  <c r="BD333" i="40"/>
  <c r="AV333" i="40"/>
  <c r="AK333" i="40"/>
  <c r="CE86" i="15"/>
  <c r="DR83" i="15"/>
  <c r="CO333" i="40"/>
  <c r="CG333" i="40"/>
  <c r="BY333" i="40"/>
  <c r="BQ333" i="40"/>
  <c r="BI333" i="40"/>
  <c r="BA333" i="40"/>
  <c r="AP333" i="40"/>
  <c r="AH333" i="40"/>
  <c r="CN333" i="40"/>
  <c r="CF333" i="40"/>
  <c r="BX333" i="40"/>
  <c r="BP333" i="40"/>
  <c r="BH333" i="40"/>
  <c r="AZ333" i="40"/>
  <c r="AO333" i="40"/>
  <c r="BX86" i="15"/>
  <c r="CY56" i="15"/>
  <c r="HO107" i="15"/>
  <c r="HO108" i="15" s="1"/>
  <c r="HO109" i="15" s="1"/>
  <c r="HG107" i="15"/>
  <c r="HG108" i="15" s="1"/>
  <c r="HG109" i="15" s="1"/>
  <c r="GQ107" i="15"/>
  <c r="GQ108" i="15" s="1"/>
  <c r="GQ109" i="15" s="1"/>
  <c r="HI107" i="15"/>
  <c r="HI108" i="15" s="1"/>
  <c r="HI109" i="15" s="1"/>
  <c r="GS107" i="15"/>
  <c r="GS108" i="15" s="1"/>
  <c r="GS109" i="15" s="1"/>
  <c r="FU107" i="15"/>
  <c r="FU108" i="15" s="1"/>
  <c r="FU109" i="15" s="1"/>
  <c r="DX56" i="15"/>
  <c r="DX57" i="15" s="1"/>
  <c r="ES85" i="29"/>
  <c r="BI20" i="38"/>
  <c r="BG20" i="38"/>
  <c r="Y20" i="38"/>
  <c r="AY31" i="38"/>
  <c r="DL79" i="38"/>
  <c r="CV79" i="38"/>
  <c r="CT79" i="38"/>
  <c r="CK79" i="38"/>
  <c r="CL79" i="38"/>
  <c r="AC31" i="38"/>
  <c r="AC35" i="38" s="1"/>
  <c r="DC20" i="38"/>
  <c r="CY20" i="38"/>
  <c r="CK20" i="38"/>
  <c r="BW20" i="38"/>
  <c r="BE20" i="38"/>
  <c r="AQ20" i="38"/>
  <c r="AA20" i="38"/>
  <c r="CZ31" i="38"/>
  <c r="CO31" i="38"/>
  <c r="CO35" i="38" s="1"/>
  <c r="CD31" i="38"/>
  <c r="CD35" i="38" s="1"/>
  <c r="BT31" i="38"/>
  <c r="BT35" i="38" s="1"/>
  <c r="S31" i="38"/>
  <c r="CZ88" i="38"/>
  <c r="CZ92" i="38" s="1"/>
  <c r="AN31" i="38"/>
  <c r="AN35" i="38" s="1"/>
  <c r="CI88" i="38"/>
  <c r="CI92" i="38" s="1"/>
  <c r="CM20" i="38"/>
  <c r="AB40" i="38"/>
  <c r="AB24" i="38"/>
  <c r="DB31" i="38"/>
  <c r="BV31" i="38"/>
  <c r="BF31" i="38"/>
  <c r="BF35" i="38" s="1"/>
  <c r="AP31" i="38"/>
  <c r="AP35" i="38" s="1"/>
  <c r="DH20" i="38"/>
  <c r="CW20" i="38"/>
  <c r="CR20" i="38"/>
  <c r="CB20" i="38"/>
  <c r="BL20" i="38"/>
  <c r="BD20" i="38"/>
  <c r="AF20" i="38"/>
  <c r="CR31" i="38"/>
  <c r="CR35" i="38" s="1"/>
  <c r="CJ31" i="38"/>
  <c r="CJ35" i="38" s="1"/>
  <c r="CA31" i="38"/>
  <c r="BL31" i="38"/>
  <c r="BD31" i="38"/>
  <c r="BD35" i="38" s="1"/>
  <c r="AU31" i="38"/>
  <c r="AU35" i="38" s="1"/>
  <c r="AE31" i="38"/>
  <c r="W31" i="38"/>
  <c r="W35" i="38" s="1"/>
  <c r="CN20" i="38"/>
  <c r="CC20" i="38"/>
  <c r="O20" i="38"/>
  <c r="O31" i="38"/>
  <c r="O35" i="38" s="1"/>
  <c r="AS20" i="38"/>
  <c r="DE79" i="38"/>
  <c r="CW79" i="38"/>
  <c r="CO79" i="38"/>
  <c r="AR20" i="38"/>
  <c r="DB79" i="38"/>
  <c r="DJ31" i="38"/>
  <c r="DJ35" i="38" s="1"/>
  <c r="BJ31" i="38"/>
  <c r="BJ35" i="38" s="1"/>
  <c r="CA20" i="38"/>
  <c r="DI20" i="38"/>
  <c r="DD20" i="38"/>
  <c r="CS20" i="38"/>
  <c r="CE20" i="38"/>
  <c r="BP20" i="38"/>
  <c r="AY20" i="38"/>
  <c r="AI20" i="38"/>
  <c r="S20" i="38"/>
  <c r="DA79" i="38"/>
  <c r="DK79" i="38"/>
  <c r="DD79" i="38"/>
  <c r="CU79" i="38"/>
  <c r="CU90" i="38" s="1"/>
  <c r="CN79" i="38"/>
  <c r="BX20" i="38"/>
  <c r="AC20" i="38"/>
  <c r="DK88" i="38"/>
  <c r="DC88" i="38"/>
  <c r="DC92" i="38" s="1"/>
  <c r="CU88" i="38"/>
  <c r="CM88" i="38"/>
  <c r="EO71" i="15"/>
  <c r="EO105" i="15" s="1"/>
  <c r="EG71" i="15"/>
  <c r="EG105" i="15" s="1"/>
  <c r="DY71" i="15"/>
  <c r="DQ71" i="15"/>
  <c r="DQ105" i="15" s="1"/>
  <c r="DI71" i="15"/>
  <c r="DI105" i="15" s="1"/>
  <c r="DA71" i="15"/>
  <c r="DA105" i="15" s="1"/>
  <c r="CS71" i="15"/>
  <c r="CS105" i="15" s="1"/>
  <c r="GY107" i="15"/>
  <c r="GY108" i="15" s="1"/>
  <c r="GY109" i="15" s="1"/>
  <c r="GI107" i="15"/>
  <c r="GI108" i="15" s="1"/>
  <c r="GI109" i="15" s="1"/>
  <c r="GJ107" i="15"/>
  <c r="GJ108" i="15" s="1"/>
  <c r="GJ109" i="15" s="1"/>
  <c r="GU107" i="15"/>
  <c r="GU108" i="15" s="1"/>
  <c r="GU109" i="15" s="1"/>
  <c r="GE107" i="15"/>
  <c r="GE108" i="15" s="1"/>
  <c r="GE109" i="15" s="1"/>
  <c r="DJ56" i="15"/>
  <c r="HM107" i="15"/>
  <c r="HM108" i="15" s="1"/>
  <c r="HM109" i="15" s="1"/>
  <c r="HE107" i="15"/>
  <c r="HE108" i="15" s="1"/>
  <c r="HE109" i="15" s="1"/>
  <c r="GW107" i="15"/>
  <c r="GW108" i="15" s="1"/>
  <c r="GW109" i="15" s="1"/>
  <c r="GO107" i="15"/>
  <c r="GO108" i="15" s="1"/>
  <c r="GO109" i="15" s="1"/>
  <c r="GG107" i="15"/>
  <c r="GG108" i="15" s="1"/>
  <c r="GG109" i="15" s="1"/>
  <c r="FY107" i="15"/>
  <c r="FY108" i="15" s="1"/>
  <c r="FY109" i="15" s="1"/>
  <c r="FQ107" i="15"/>
  <c r="FQ108" i="15" s="1"/>
  <c r="FQ109" i="15" s="1"/>
  <c r="HN107" i="15"/>
  <c r="HN108" i="15" s="1"/>
  <c r="HN109" i="15" s="1"/>
  <c r="HF107" i="15"/>
  <c r="HF108" i="15" s="1"/>
  <c r="HF109" i="15" s="1"/>
  <c r="GX107" i="15"/>
  <c r="GX108" i="15" s="1"/>
  <c r="GX109" i="15" s="1"/>
  <c r="GP107" i="15"/>
  <c r="GP108" i="15" s="1"/>
  <c r="GP109" i="15" s="1"/>
  <c r="GH107" i="15"/>
  <c r="GH108" i="15" s="1"/>
  <c r="GH109" i="15" s="1"/>
  <c r="EM71" i="15"/>
  <c r="EM105" i="15" s="1"/>
  <c r="CP403" i="40" s="1"/>
  <c r="CP404" i="40" s="1"/>
  <c r="EE71" i="15"/>
  <c r="EE105" i="15" s="1"/>
  <c r="EE113" i="15" s="1"/>
  <c r="DW71" i="15"/>
  <c r="DO71" i="15"/>
  <c r="DO105" i="15" s="1"/>
  <c r="DO113" i="15" s="1"/>
  <c r="EL71" i="15"/>
  <c r="EL105" i="15" s="1"/>
  <c r="ED71" i="15"/>
  <c r="ED105" i="15" s="1"/>
  <c r="DV71" i="15"/>
  <c r="DN71" i="15"/>
  <c r="DN105" i="15" s="1"/>
  <c r="DF71" i="15"/>
  <c r="DF105" i="15" s="1"/>
  <c r="CX71" i="15"/>
  <c r="CX105" i="15" s="1"/>
  <c r="CP71" i="15"/>
  <c r="CP105" i="15" s="1"/>
  <c r="DN77" i="38"/>
  <c r="DV56" i="15"/>
  <c r="DV57" i="15" s="1"/>
  <c r="EC71" i="15"/>
  <c r="EC105" i="15" s="1"/>
  <c r="EC113" i="15" s="1"/>
  <c r="DM71" i="15"/>
  <c r="DM105" i="15" s="1"/>
  <c r="BP403" i="40" s="1"/>
  <c r="BP404" i="40" s="1"/>
  <c r="CW71" i="15"/>
  <c r="CW105" i="15" s="1"/>
  <c r="DF56" i="15"/>
  <c r="DR56" i="15"/>
  <c r="EP71" i="15"/>
  <c r="EP105" i="15" s="1"/>
  <c r="EH71" i="15"/>
  <c r="EH105" i="15" s="1"/>
  <c r="DZ71" i="15"/>
  <c r="DR71" i="15"/>
  <c r="DJ71" i="15"/>
  <c r="DJ105" i="15" s="1"/>
  <c r="DB71" i="15"/>
  <c r="DB105" i="15" s="1"/>
  <c r="CT71" i="15"/>
  <c r="CT105" i="15" s="1"/>
  <c r="CL71" i="15"/>
  <c r="CL105" i="15" s="1"/>
  <c r="EJ71" i="15"/>
  <c r="EJ105" i="15" s="1"/>
  <c r="EB71" i="15"/>
  <c r="EB105" i="15" s="1"/>
  <c r="DT71" i="15"/>
  <c r="DL71" i="15"/>
  <c r="DD71" i="15"/>
  <c r="DD105" i="15" s="1"/>
  <c r="CV71" i="15"/>
  <c r="CV105" i="15" s="1"/>
  <c r="CN71" i="15"/>
  <c r="CN105" i="15" s="1"/>
  <c r="DP56" i="15"/>
  <c r="CR56" i="15"/>
  <c r="HQ107" i="15"/>
  <c r="HQ108" i="15" s="1"/>
  <c r="HQ109" i="15" s="1"/>
  <c r="HA107" i="15"/>
  <c r="HA108" i="15" s="1"/>
  <c r="HA109" i="15" s="1"/>
  <c r="GK107" i="15"/>
  <c r="GK108" i="15" s="1"/>
  <c r="GK109" i="15" s="1"/>
  <c r="GC107" i="15"/>
  <c r="GC108" i="15" s="1"/>
  <c r="GC109" i="15" s="1"/>
  <c r="EN56" i="15"/>
  <c r="EN57" i="15" s="1"/>
  <c r="EF56" i="15"/>
  <c r="EF57" i="15" s="1"/>
  <c r="DH56" i="15"/>
  <c r="CZ56" i="15"/>
  <c r="HS107" i="15"/>
  <c r="HS108" i="15" s="1"/>
  <c r="HS109" i="15" s="1"/>
  <c r="HK107" i="15"/>
  <c r="HK108" i="15" s="1"/>
  <c r="HK109" i="15" s="1"/>
  <c r="HC107" i="15"/>
  <c r="HC108" i="15" s="1"/>
  <c r="HC109" i="15" s="1"/>
  <c r="GM107" i="15"/>
  <c r="GM108" i="15" s="1"/>
  <c r="GM109" i="15" s="1"/>
  <c r="FW107" i="15"/>
  <c r="FW108" i="15" s="1"/>
  <c r="FW109" i="15" s="1"/>
  <c r="DB56" i="15"/>
  <c r="EL56" i="15"/>
  <c r="EL57" i="15" s="1"/>
  <c r="CT56" i="15"/>
  <c r="HR107" i="15"/>
  <c r="HR108" i="15" s="1"/>
  <c r="HR109" i="15" s="1"/>
  <c r="EO56" i="15"/>
  <c r="EO57" i="15" s="1"/>
  <c r="EG56" i="15"/>
  <c r="EG57" i="15" s="1"/>
  <c r="DY56" i="15"/>
  <c r="DY57" i="15" s="1"/>
  <c r="DQ56" i="15"/>
  <c r="DI56" i="15"/>
  <c r="DA56" i="15"/>
  <c r="CS56" i="15"/>
  <c r="DN56" i="15"/>
  <c r="EP56" i="15"/>
  <c r="EP57" i="15" s="1"/>
  <c r="DC105" i="15"/>
  <c r="EK56" i="15"/>
  <c r="EK57" i="15" s="1"/>
  <c r="EC56" i="15"/>
  <c r="EC57" i="15" s="1"/>
  <c r="DM56" i="15"/>
  <c r="DE56" i="15"/>
  <c r="CW56" i="15"/>
  <c r="FP6" i="15"/>
  <c r="DZ56" i="15"/>
  <c r="DZ57" i="15" s="1"/>
  <c r="HP107" i="15"/>
  <c r="HP108" i="15" s="1"/>
  <c r="HP109" i="15" s="1"/>
  <c r="HH107" i="15"/>
  <c r="HH108" i="15" s="1"/>
  <c r="HH109" i="15" s="1"/>
  <c r="GZ107" i="15"/>
  <c r="GZ108" i="15" s="1"/>
  <c r="GZ109" i="15" s="1"/>
  <c r="GR107" i="15"/>
  <c r="GR108" i="15" s="1"/>
  <c r="GR109" i="15" s="1"/>
  <c r="GB107" i="15"/>
  <c r="GB108" i="15" s="1"/>
  <c r="GB109" i="15" s="1"/>
  <c r="FT107" i="15"/>
  <c r="FT108" i="15" s="1"/>
  <c r="FT109" i="15" s="1"/>
  <c r="EM56" i="15"/>
  <c r="EM57" i="15" s="1"/>
  <c r="EE56" i="15"/>
  <c r="EE57" i="15" s="1"/>
  <c r="DW56" i="15"/>
  <c r="DW57" i="15" s="1"/>
  <c r="DO56" i="15"/>
  <c r="DG56" i="15"/>
  <c r="HJ107" i="15"/>
  <c r="HJ108" i="15" s="1"/>
  <c r="HJ109" i="15" s="1"/>
  <c r="HB107" i="15"/>
  <c r="HB108" i="15" s="1"/>
  <c r="HB109" i="15" s="1"/>
  <c r="GT107" i="15"/>
  <c r="GT108" i="15" s="1"/>
  <c r="GT109" i="15" s="1"/>
  <c r="GL107" i="15"/>
  <c r="GL108" i="15" s="1"/>
  <c r="GL109" i="15" s="1"/>
  <c r="GD107" i="15"/>
  <c r="GD108" i="15" s="1"/>
  <c r="GD109" i="15" s="1"/>
  <c r="FV107" i="15"/>
  <c r="FV108" i="15" s="1"/>
  <c r="FV109" i="15" s="1"/>
  <c r="DG71" i="15"/>
  <c r="DG105" i="15" s="1"/>
  <c r="CY71" i="15"/>
  <c r="CY105" i="15" s="1"/>
  <c r="CQ71" i="15"/>
  <c r="CQ105" i="15" s="1"/>
  <c r="HT107" i="15"/>
  <c r="HT108" i="15" s="1"/>
  <c r="HT109" i="15" s="1"/>
  <c r="HL107" i="15"/>
  <c r="HL108" i="15" s="1"/>
  <c r="HL109" i="15" s="1"/>
  <c r="HD107" i="15"/>
  <c r="HD108" i="15" s="1"/>
  <c r="HD109" i="15" s="1"/>
  <c r="GV107" i="15"/>
  <c r="GV108" i="15" s="1"/>
  <c r="GV109" i="15" s="1"/>
  <c r="GN107" i="15"/>
  <c r="GN108" i="15" s="1"/>
  <c r="GN109" i="15" s="1"/>
  <c r="GF107" i="15"/>
  <c r="GF108" i="15" s="1"/>
  <c r="GF109" i="15" s="1"/>
  <c r="FX107" i="15"/>
  <c r="FX108" i="15" s="1"/>
  <c r="FX109" i="15" s="1"/>
  <c r="FP107" i="15"/>
  <c r="FP108" i="15" s="1"/>
  <c r="FP109" i="15" s="1"/>
  <c r="CN6" i="15"/>
  <c r="FR6" i="15" s="1"/>
  <c r="DT56" i="15"/>
  <c r="CV56" i="15"/>
  <c r="FV6" i="15"/>
  <c r="DO77" i="38"/>
  <c r="GA107" i="15"/>
  <c r="GA108" i="15" s="1"/>
  <c r="GA109" i="15" s="1"/>
  <c r="FS107" i="15"/>
  <c r="FS108" i="15" s="1"/>
  <c r="FS109" i="15" s="1"/>
  <c r="C183" i="2"/>
  <c r="EJ56" i="15"/>
  <c r="EJ57" i="15" s="1"/>
  <c r="DL56" i="15"/>
  <c r="CN56" i="15"/>
  <c r="DU56" i="15"/>
  <c r="C177" i="2"/>
  <c r="EB56" i="15"/>
  <c r="EB57" i="15" s="1"/>
  <c r="DD56" i="15"/>
  <c r="DM77" i="38"/>
  <c r="ED56" i="15"/>
  <c r="ED57" i="15" s="1"/>
  <c r="CX56" i="15"/>
  <c r="EN71" i="15"/>
  <c r="EN105" i="15" s="1"/>
  <c r="EF71" i="15"/>
  <c r="EF105" i="15" s="1"/>
  <c r="DX71" i="15"/>
  <c r="DP71" i="15"/>
  <c r="DP105" i="15" s="1"/>
  <c r="DH71" i="15"/>
  <c r="DH105" i="15" s="1"/>
  <c r="CZ71" i="15"/>
  <c r="CZ105" i="15" s="1"/>
  <c r="CR71" i="15"/>
  <c r="CR105" i="15" s="1"/>
  <c r="EH56" i="15"/>
  <c r="EH57" i="15" s="1"/>
  <c r="CL56" i="15"/>
  <c r="DZ24" i="8"/>
  <c r="DZ58" i="8" s="1"/>
  <c r="DR24" i="8"/>
  <c r="DR58" i="8" s="1"/>
  <c r="DJ24" i="8"/>
  <c r="DJ58" i="8" s="1"/>
  <c r="DX45" i="8"/>
  <c r="DX46" i="8" s="1"/>
  <c r="DG24" i="8"/>
  <c r="DG58" i="8" s="1"/>
  <c r="DS45" i="8"/>
  <c r="DS46" i="8" s="1"/>
  <c r="DL45" i="8"/>
  <c r="DL46" i="8" s="1"/>
  <c r="DY24" i="8"/>
  <c r="DY58" i="8" s="1"/>
  <c r="DQ24" i="8"/>
  <c r="DQ58" i="8" s="1"/>
  <c r="DI24" i="8"/>
  <c r="DI45" i="8" s="1"/>
  <c r="BZ24" i="8"/>
  <c r="BZ45" i="8" s="1"/>
  <c r="BZ52" i="8" s="1"/>
  <c r="CI24" i="8"/>
  <c r="CI45" i="8" s="1"/>
  <c r="CI52" i="8" s="1"/>
  <c r="DP24" i="8"/>
  <c r="DP45" i="8" s="1"/>
  <c r="DP46" i="8" s="1"/>
  <c r="DH24" i="8"/>
  <c r="DH45" i="8" s="1"/>
  <c r="CJ24" i="8"/>
  <c r="CJ45" i="8" s="1"/>
  <c r="CJ52" i="8" s="1"/>
  <c r="CP45" i="8"/>
  <c r="CP52" i="8" s="1"/>
  <c r="CH24" i="8"/>
  <c r="CH45" i="8" s="1"/>
  <c r="CH52" i="8" s="1"/>
  <c r="DN24" i="8"/>
  <c r="DF24" i="8"/>
  <c r="DF58" i="8" s="1"/>
  <c r="CQ45" i="8"/>
  <c r="CQ52" i="8" s="1"/>
  <c r="DM45" i="8"/>
  <c r="DM46" i="8" s="1"/>
  <c r="DU45" i="8"/>
  <c r="DU46" i="8" s="1"/>
  <c r="DX58" i="8"/>
  <c r="ED55" i="8"/>
  <c r="CM45" i="8"/>
  <c r="CM52" i="8" s="1"/>
  <c r="CB45" i="8"/>
  <c r="CB52" i="8" s="1"/>
  <c r="EC24" i="8"/>
  <c r="EC45" i="8" s="1"/>
  <c r="EC46" i="8" s="1"/>
  <c r="CG24" i="8"/>
  <c r="CG45" i="8" s="1"/>
  <c r="CG52" i="8" s="1"/>
  <c r="B21" i="8"/>
  <c r="DM58" i="8"/>
  <c r="P144" i="1"/>
  <c r="DU58" i="8"/>
  <c r="CT45" i="8"/>
  <c r="CT52" i="8" s="1"/>
  <c r="CL45" i="8"/>
  <c r="CL52" i="8" s="1"/>
  <c r="CA45" i="8"/>
  <c r="CA52" i="8" s="1"/>
  <c r="CS24" i="8"/>
  <c r="CS45" i="8" s="1"/>
  <c r="CS52" i="8" s="1"/>
  <c r="CK24" i="8"/>
  <c r="CK45" i="8" s="1"/>
  <c r="CK52" i="8" s="1"/>
  <c r="EA45" i="8"/>
  <c r="EA46" i="8" s="1"/>
  <c r="DK45" i="8"/>
  <c r="DK46" i="8" s="1"/>
  <c r="CZ59" i="38"/>
  <c r="DN28" i="38"/>
  <c r="CR59" i="38"/>
  <c r="DP85" i="38"/>
  <c r="DP86" i="38" s="1"/>
  <c r="DP59" i="38"/>
  <c r="CZ58" i="38"/>
  <c r="CJ57" i="38"/>
  <c r="DQ27" i="38"/>
  <c r="DH59" i="38"/>
  <c r="CR58" i="38"/>
  <c r="CB57" i="38"/>
  <c r="CZ60" i="38"/>
  <c r="CJ59" i="38"/>
  <c r="DP57" i="38"/>
  <c r="DH60" i="38"/>
  <c r="CR60" i="38"/>
  <c r="CB59" i="38"/>
  <c r="DH57" i="38"/>
  <c r="CB58" i="38"/>
  <c r="CJ60" i="38"/>
  <c r="DP58" i="38"/>
  <c r="CZ57" i="38"/>
  <c r="CB60" i="38"/>
  <c r="DH58" i="38"/>
  <c r="CR57" i="38"/>
  <c r="DO60" i="38"/>
  <c r="DO59" i="38"/>
  <c r="DO58" i="38"/>
  <c r="CA58" i="38"/>
  <c r="CQ57" i="38"/>
  <c r="DN85" i="38"/>
  <c r="DN86" i="38" s="1"/>
  <c r="DN60" i="38"/>
  <c r="DF60" i="38"/>
  <c r="CX60" i="38"/>
  <c r="CP60" i="38"/>
  <c r="CH60" i="38"/>
  <c r="BZ60" i="38"/>
  <c r="DN59" i="38"/>
  <c r="DF59" i="38"/>
  <c r="CX59" i="38"/>
  <c r="CP59" i="38"/>
  <c r="CH59" i="38"/>
  <c r="BZ59" i="38"/>
  <c r="DN58" i="38"/>
  <c r="DF58" i="38"/>
  <c r="CX58" i="38"/>
  <c r="CP58" i="38"/>
  <c r="CH58" i="38"/>
  <c r="BZ58" i="38"/>
  <c r="DN57" i="38"/>
  <c r="DF57" i="38"/>
  <c r="CX57" i="38"/>
  <c r="CP57" i="38"/>
  <c r="CH57" i="38"/>
  <c r="BZ57" i="38"/>
  <c r="DG60" i="38"/>
  <c r="DG59" i="38"/>
  <c r="DO57" i="38"/>
  <c r="DM28" i="38"/>
  <c r="DM85" i="38"/>
  <c r="DM86" i="38" s="1"/>
  <c r="DM60" i="38"/>
  <c r="DE60" i="38"/>
  <c r="CW60" i="38"/>
  <c r="CO60" i="38"/>
  <c r="CG60" i="38"/>
  <c r="BY60" i="38"/>
  <c r="DM59" i="38"/>
  <c r="DE59" i="38"/>
  <c r="CW59" i="38"/>
  <c r="CO59" i="38"/>
  <c r="CG59" i="38"/>
  <c r="BY59" i="38"/>
  <c r="DM58" i="38"/>
  <c r="DE58" i="38"/>
  <c r="CW58" i="38"/>
  <c r="CO58" i="38"/>
  <c r="CG58" i="38"/>
  <c r="BY58" i="38"/>
  <c r="DM57" i="38"/>
  <c r="DE57" i="38"/>
  <c r="CW57" i="38"/>
  <c r="CO57" i="38"/>
  <c r="CG57" i="38"/>
  <c r="BY57" i="38"/>
  <c r="DR27" i="38"/>
  <c r="DO85" i="38"/>
  <c r="DO86" i="38" s="1"/>
  <c r="CY60" i="38"/>
  <c r="CY59" i="38"/>
  <c r="DG58" i="38"/>
  <c r="DG57" i="38"/>
  <c r="DL60" i="38"/>
  <c r="DD60" i="38"/>
  <c r="CV60" i="38"/>
  <c r="CN60" i="38"/>
  <c r="CF60" i="38"/>
  <c r="BX60" i="38"/>
  <c r="DL59" i="38"/>
  <c r="DD59" i="38"/>
  <c r="CV59" i="38"/>
  <c r="CN59" i="38"/>
  <c r="CF59" i="38"/>
  <c r="BX59" i="38"/>
  <c r="DL58" i="38"/>
  <c r="DD58" i="38"/>
  <c r="CV58" i="38"/>
  <c r="CN58" i="38"/>
  <c r="CF58" i="38"/>
  <c r="BX58" i="38"/>
  <c r="DL57" i="38"/>
  <c r="DD57" i="38"/>
  <c r="CV57" i="38"/>
  <c r="CN57" i="38"/>
  <c r="CF57" i="38"/>
  <c r="BX57" i="38"/>
  <c r="DR28" i="38"/>
  <c r="DP27" i="38"/>
  <c r="CI60" i="38"/>
  <c r="CI59" i="38"/>
  <c r="CI58" i="38"/>
  <c r="CY57" i="38"/>
  <c r="DK60" i="38"/>
  <c r="DC60" i="38"/>
  <c r="CU60" i="38"/>
  <c r="CM60" i="38"/>
  <c r="CE60" i="38"/>
  <c r="BW60" i="38"/>
  <c r="DK59" i="38"/>
  <c r="DC59" i="38"/>
  <c r="CU59" i="38"/>
  <c r="CM59" i="38"/>
  <c r="CE59" i="38"/>
  <c r="BW59" i="38"/>
  <c r="DK58" i="38"/>
  <c r="DC58" i="38"/>
  <c r="CU58" i="38"/>
  <c r="CM58" i="38"/>
  <c r="CE58" i="38"/>
  <c r="BW58" i="38"/>
  <c r="DK57" i="38"/>
  <c r="DC57" i="38"/>
  <c r="CU57" i="38"/>
  <c r="CM57" i="38"/>
  <c r="CE57" i="38"/>
  <c r="BW57" i="38"/>
  <c r="DQ28" i="38"/>
  <c r="DO27" i="38"/>
  <c r="CQ60" i="38"/>
  <c r="CQ59" i="38"/>
  <c r="CY58" i="38"/>
  <c r="CI57" i="38"/>
  <c r="DR85" i="38"/>
  <c r="DR86" i="38" s="1"/>
  <c r="DR60" i="38"/>
  <c r="DJ60" i="38"/>
  <c r="DB60" i="38"/>
  <c r="CT60" i="38"/>
  <c r="CL60" i="38"/>
  <c r="CD60" i="38"/>
  <c r="DR59" i="38"/>
  <c r="DJ59" i="38"/>
  <c r="DB59" i="38"/>
  <c r="CT59" i="38"/>
  <c r="CL59" i="38"/>
  <c r="CD59" i="38"/>
  <c r="DR58" i="38"/>
  <c r="DJ58" i="38"/>
  <c r="DB58" i="38"/>
  <c r="CT58" i="38"/>
  <c r="CL58" i="38"/>
  <c r="CD58" i="38"/>
  <c r="DR57" i="38"/>
  <c r="DJ57" i="38"/>
  <c r="DB57" i="38"/>
  <c r="CT57" i="38"/>
  <c r="CL57" i="38"/>
  <c r="CD57" i="38"/>
  <c r="DP28" i="38"/>
  <c r="DN27" i="38"/>
  <c r="EQ23" i="29"/>
  <c r="EQ24" i="29" s="1"/>
  <c r="CA60" i="38"/>
  <c r="CA59" i="38"/>
  <c r="CQ58" i="38"/>
  <c r="CA57" i="38"/>
  <c r="DQ85" i="38"/>
  <c r="DQ86" i="38" s="1"/>
  <c r="DQ60" i="38"/>
  <c r="DI60" i="38"/>
  <c r="DA60" i="38"/>
  <c r="CS60" i="38"/>
  <c r="CK60" i="38"/>
  <c r="CC60" i="38"/>
  <c r="DQ59" i="38"/>
  <c r="DI59" i="38"/>
  <c r="DA59" i="38"/>
  <c r="CS59" i="38"/>
  <c r="CK59" i="38"/>
  <c r="CC59" i="38"/>
  <c r="DQ58" i="38"/>
  <c r="DI58" i="38"/>
  <c r="DA58" i="38"/>
  <c r="CS58" i="38"/>
  <c r="CK58" i="38"/>
  <c r="CC58" i="38"/>
  <c r="DQ57" i="38"/>
  <c r="DI57" i="38"/>
  <c r="DA57" i="38"/>
  <c r="CS57" i="38"/>
  <c r="CK57" i="38"/>
  <c r="CC57" i="38"/>
  <c r="DO28" i="38"/>
  <c r="DM27" i="38"/>
  <c r="EQ71" i="29"/>
  <c r="N75" i="64"/>
  <c r="BE26" i="49"/>
  <c r="BE15" i="49"/>
  <c r="BH3" i="49"/>
  <c r="CW11" i="49"/>
  <c r="B63" i="1" s="1"/>
  <c r="B77" i="1" s="1"/>
  <c r="CX11" i="49"/>
  <c r="B63" i="64" s="1"/>
  <c r="B77" i="64" s="1"/>
  <c r="CU11" i="49"/>
  <c r="J74" i="1"/>
  <c r="P74" i="1" s="1"/>
  <c r="T74" i="1" s="1"/>
  <c r="H41" i="2" s="1"/>
  <c r="L123" i="1"/>
  <c r="T123" i="1" s="1"/>
  <c r="V123" i="1" s="1"/>
  <c r="D55" i="44" s="1"/>
  <c r="D55" i="47" s="1"/>
  <c r="CU517" i="41"/>
  <c r="CT333" i="40"/>
  <c r="CU333" i="40"/>
  <c r="CV333" i="40"/>
  <c r="CV399" i="40"/>
  <c r="CV400" i="40" s="1"/>
  <c r="HV47" i="15"/>
  <c r="HV107" i="15" s="1"/>
  <c r="CV397" i="40"/>
  <c r="CV398" i="40" s="1"/>
  <c r="CU402" i="40"/>
  <c r="CU399" i="40"/>
  <c r="CU400" i="40" s="1"/>
  <c r="CT402" i="40"/>
  <c r="CV395" i="40"/>
  <c r="CT399" i="40"/>
  <c r="CT400" i="40" s="1"/>
  <c r="B130" i="2"/>
  <c r="H179" i="2" s="1"/>
  <c r="CV402" i="40"/>
  <c r="CT397" i="40"/>
  <c r="CT398" i="40" s="1"/>
  <c r="B115" i="2"/>
  <c r="J74" i="64"/>
  <c r="P74" i="64" s="1"/>
  <c r="T74" i="64" s="1"/>
  <c r="J41" i="65" s="1"/>
  <c r="ER85" i="29"/>
  <c r="EQ85" i="29"/>
  <c r="EM85" i="29"/>
  <c r="EP28" i="29"/>
  <c r="DX72" i="29"/>
  <c r="DS61" i="29"/>
  <c r="EO40" i="29"/>
  <c r="EO41" i="29" s="1"/>
  <c r="EF72" i="29"/>
  <c r="DW72" i="29"/>
  <c r="DR61" i="29"/>
  <c r="EE85" i="29"/>
  <c r="EL72" i="29"/>
  <c r="ED72" i="29"/>
  <c r="DV72" i="29"/>
  <c r="DM61" i="29"/>
  <c r="DW85" i="29"/>
  <c r="A151" i="1"/>
  <c r="A151" i="64" s="1"/>
  <c r="EE36" i="29"/>
  <c r="DW36" i="29"/>
  <c r="DO36" i="29"/>
  <c r="EI85" i="29"/>
  <c r="EI72" i="29"/>
  <c r="EA72" i="29"/>
  <c r="EC61" i="29"/>
  <c r="EO46" i="29"/>
  <c r="EM36" i="29"/>
  <c r="DV36" i="29"/>
  <c r="EM20" i="29"/>
  <c r="EE20" i="29"/>
  <c r="DW20" i="29"/>
  <c r="DO20" i="29"/>
  <c r="DG20" i="29"/>
  <c r="EJ36" i="29"/>
  <c r="DT36" i="29"/>
  <c r="DL36" i="29"/>
  <c r="DZ29" i="29"/>
  <c r="EP77" i="29"/>
  <c r="EO77" i="29"/>
  <c r="EJ72" i="29"/>
  <c r="EB72" i="29"/>
  <c r="EF61" i="29"/>
  <c r="EG36" i="29"/>
  <c r="DY36" i="29"/>
  <c r="EN33" i="29"/>
  <c r="EN34" i="29" s="1"/>
  <c r="EN72" i="29"/>
  <c r="EO71" i="29"/>
  <c r="EH72" i="29"/>
  <c r="DZ72" i="29"/>
  <c r="EO84" i="29"/>
  <c r="EP84" i="29"/>
  <c r="EO33" i="29"/>
  <c r="EN11" i="29"/>
  <c r="EK72" i="29"/>
  <c r="EC72" i="29"/>
  <c r="EP71" i="29"/>
  <c r="EF20" i="29"/>
  <c r="DX20" i="29"/>
  <c r="DP20" i="29"/>
  <c r="DH20" i="29"/>
  <c r="CZ20" i="29"/>
  <c r="EN61" i="29"/>
  <c r="EP70" i="29"/>
  <c r="EC29" i="29"/>
  <c r="EH36" i="29"/>
  <c r="DZ36" i="29"/>
  <c r="DR36" i="29"/>
  <c r="DJ36" i="29"/>
  <c r="EK20" i="29"/>
  <c r="EC20" i="29"/>
  <c r="DU20" i="29"/>
  <c r="DM20" i="29"/>
  <c r="DE20" i="29"/>
  <c r="DY72" i="29"/>
  <c r="DX61" i="29"/>
  <c r="DQ36" i="29"/>
  <c r="EP11" i="29"/>
  <c r="EP46" i="29"/>
  <c r="ED36" i="29"/>
  <c r="J103" i="78" a="1"/>
  <c r="J103" i="78" s="1"/>
  <c r="A179" i="1"/>
  <c r="A179" i="64" s="1"/>
  <c r="A97" i="1"/>
  <c r="A97" i="64" s="1"/>
  <c r="J57" i="78"/>
  <c r="A47" i="1"/>
  <c r="A47" i="64" s="1"/>
  <c r="J128" i="78"/>
  <c r="J122" i="78" a="1"/>
  <c r="J122" i="78" s="1"/>
  <c r="J104" i="78" a="1"/>
  <c r="J104" i="78" s="1"/>
  <c r="J142" i="78" a="1"/>
  <c r="J142" i="78" s="1"/>
  <c r="J76" i="78" a="1"/>
  <c r="J76" i="78" s="1"/>
  <c r="J139" i="78" a="1"/>
  <c r="J139" i="78" s="1"/>
  <c r="J74" i="78" a="1"/>
  <c r="J74" i="78" s="1"/>
  <c r="J138" i="78" a="1"/>
  <c r="J138" i="78" s="1"/>
  <c r="J123" i="78" a="1"/>
  <c r="J123" i="78" s="1"/>
  <c r="J101" i="78"/>
  <c r="J73" i="78" a="1"/>
  <c r="J73" i="78" s="1"/>
  <c r="J151" i="78"/>
  <c r="J152" i="78" s="1"/>
  <c r="J134" i="78" a="1"/>
  <c r="J134" i="78" s="1"/>
  <c r="J116" i="78" a="1"/>
  <c r="J116" i="78" s="1"/>
  <c r="J90" i="78" a="1"/>
  <c r="J90" i="78" s="1"/>
  <c r="J45" i="78"/>
  <c r="J91" i="78" a="1"/>
  <c r="J91" i="78" s="1"/>
  <c r="J52" i="78"/>
  <c r="J53" i="78" s="1"/>
  <c r="J145" i="78" a="1"/>
  <c r="J145" i="78" s="1"/>
  <c r="J133" i="78" a="1"/>
  <c r="J133" i="78" s="1"/>
  <c r="J115" i="78" a="1"/>
  <c r="J115" i="78" s="1"/>
  <c r="J89" i="78" a="1"/>
  <c r="J89" i="78" s="1"/>
  <c r="J41" i="78"/>
  <c r="J144" i="78" a="1"/>
  <c r="J144" i="78" s="1"/>
  <c r="J132" i="78" a="1"/>
  <c r="J132" i="78" s="1"/>
  <c r="J114" i="78"/>
  <c r="J87" i="78" a="1"/>
  <c r="J87" i="78" s="1"/>
  <c r="J36" i="78"/>
  <c r="J143" i="78" a="1"/>
  <c r="J143" i="78" s="1"/>
  <c r="J129" i="78" a="1"/>
  <c r="J129" i="78" s="1"/>
  <c r="J105" i="78" a="1"/>
  <c r="J105" i="78" s="1"/>
  <c r="J77" i="78" a="1"/>
  <c r="J77" i="78" s="1"/>
  <c r="K20" i="78"/>
  <c r="L20" i="78"/>
  <c r="J20" i="78"/>
  <c r="Q20" i="78"/>
  <c r="O20" i="78"/>
  <c r="S2" i="78"/>
  <c r="J147" i="78" a="1"/>
  <c r="J147" i="78" s="1"/>
  <c r="J136" i="78" a="1"/>
  <c r="J136" i="78" s="1"/>
  <c r="J131" i="78" a="1"/>
  <c r="J131" i="78" s="1"/>
  <c r="J121" i="78"/>
  <c r="J109" i="78" a="1"/>
  <c r="J109" i="78" s="1"/>
  <c r="J97" i="78" a="1"/>
  <c r="J97" i="78" s="1"/>
  <c r="J86" i="78"/>
  <c r="J69" i="78" a="1"/>
  <c r="J69" i="78" s="1"/>
  <c r="J34" i="78"/>
  <c r="M20" i="78"/>
  <c r="J146" i="78" a="1"/>
  <c r="J146" i="78" s="1"/>
  <c r="J141" i="78" a="1"/>
  <c r="J141" i="78" s="1"/>
  <c r="J130" i="78" a="1"/>
  <c r="J130" i="78" s="1"/>
  <c r="J108" i="78" a="1"/>
  <c r="J108" i="78" s="1"/>
  <c r="J61" i="78"/>
  <c r="N20" i="78"/>
  <c r="J140" i="78" a="1"/>
  <c r="J140" i="78" s="1"/>
  <c r="J135" i="78" a="1"/>
  <c r="J135" i="78" s="1"/>
  <c r="J117" i="78" a="1"/>
  <c r="J117" i="78" s="1"/>
  <c r="J107" i="78" a="1"/>
  <c r="J107" i="78" s="1"/>
  <c r="J78" i="78" a="1"/>
  <c r="J78" i="78" s="1"/>
  <c r="P20" i="78"/>
  <c r="EI34" i="29"/>
  <c r="EC34" i="29"/>
  <c r="EF34" i="29"/>
  <c r="DS34" i="29"/>
  <c r="DX34" i="29"/>
  <c r="EO83" i="29"/>
  <c r="EP83" i="29"/>
  <c r="EN83" i="29"/>
  <c r="EN85" i="29" s="1"/>
  <c r="DH92" i="38"/>
  <c r="D52" i="48"/>
  <c r="D52" i="47"/>
  <c r="D53" i="45"/>
  <c r="D52" i="46"/>
  <c r="D52" i="66"/>
  <c r="D52" i="42"/>
  <c r="D53" i="59"/>
  <c r="F52" i="44"/>
  <c r="H52" i="44"/>
  <c r="D52" i="60"/>
  <c r="S18" i="78"/>
  <c r="S19" i="78"/>
  <c r="S17" i="78"/>
  <c r="T4" i="78"/>
  <c r="T14" i="78"/>
  <c r="T13" i="78"/>
  <c r="T12" i="78" s="1"/>
  <c r="T3" i="78" s="1" a="1"/>
  <c r="T3" i="78" s="1"/>
  <c r="M4" i="78"/>
  <c r="M5" i="78" s="1"/>
  <c r="D56" i="44"/>
  <c r="C66" i="75"/>
  <c r="C23" i="75"/>
  <c r="EP78" i="29"/>
  <c r="EO78" i="29"/>
  <c r="EJ20" i="29"/>
  <c r="EB20" i="29"/>
  <c r="DT20" i="29"/>
  <c r="DL20" i="29"/>
  <c r="DD20" i="29"/>
  <c r="EN19" i="29"/>
  <c r="EP19" i="29"/>
  <c r="EO19" i="29"/>
  <c r="K2" i="78"/>
  <c r="J35" i="78"/>
  <c r="J68" i="78"/>
  <c r="J96" i="78"/>
  <c r="J102" i="78" a="1"/>
  <c r="J102" i="78" s="1"/>
  <c r="J106" i="78" a="1"/>
  <c r="J106" i="78" s="1"/>
  <c r="J110" i="78" a="1"/>
  <c r="J110" i="78" s="1"/>
  <c r="J46" i="78"/>
  <c r="J62" i="78"/>
  <c r="J70" i="78" a="1"/>
  <c r="J70" i="78" s="1"/>
  <c r="J47" i="78"/>
  <c r="J64" i="78"/>
  <c r="J40" i="78"/>
  <c r="J48" i="78"/>
  <c r="J56" i="78"/>
  <c r="J71" i="78" a="1"/>
  <c r="J71" i="78" s="1"/>
  <c r="J75" i="78" a="1"/>
  <c r="J75" i="78" s="1"/>
  <c r="J79" i="78" a="1"/>
  <c r="J79" i="78" s="1"/>
  <c r="J88" i="78" a="1"/>
  <c r="J88" i="78" s="1"/>
  <c r="J92" i="78" a="1"/>
  <c r="J92" i="78" s="1"/>
  <c r="P162" i="1"/>
  <c r="T162" i="1"/>
  <c r="EH61" i="29"/>
  <c r="EI61" i="29"/>
  <c r="EJ61" i="29"/>
  <c r="EM34" i="29"/>
  <c r="EK34" i="29"/>
  <c r="EE34" i="29"/>
  <c r="DW34" i="29"/>
  <c r="DJ88" i="38"/>
  <c r="DI88" i="38"/>
  <c r="DE88" i="38"/>
  <c r="DF88" i="38"/>
  <c r="DA88" i="38"/>
  <c r="DB88" i="38"/>
  <c r="CY88" i="38"/>
  <c r="CW88" i="38"/>
  <c r="CX88" i="38"/>
  <c r="CT88" i="38"/>
  <c r="CS88" i="38"/>
  <c r="CR88" i="38"/>
  <c r="CO88" i="38"/>
  <c r="CP88" i="38"/>
  <c r="CK88" i="38"/>
  <c r="CL88" i="38"/>
  <c r="CJ88" i="38"/>
  <c r="J72" i="78" a="1"/>
  <c r="J72" i="78" s="1"/>
  <c r="R141" i="1"/>
  <c r="EO70" i="29"/>
  <c r="EG61" i="29"/>
  <c r="EM41" i="29"/>
  <c r="EF85" i="29"/>
  <c r="DX85" i="29"/>
  <c r="EK61" i="29"/>
  <c r="DU34" i="29"/>
  <c r="EH34" i="29"/>
  <c r="DZ34" i="29"/>
  <c r="EA34" i="29"/>
  <c r="EB34" i="29"/>
  <c r="DT34" i="29"/>
  <c r="EK36" i="29"/>
  <c r="EC36" i="29"/>
  <c r="DU36" i="29"/>
  <c r="DX29" i="29"/>
  <c r="DM36" i="29"/>
  <c r="CU92" i="38"/>
  <c r="CM92" i="38"/>
  <c r="D57" i="47"/>
  <c r="D57" i="42"/>
  <c r="D57" i="60"/>
  <c r="D57" i="48"/>
  <c r="D57" i="66"/>
  <c r="D58" i="59"/>
  <c r="H57" i="44"/>
  <c r="D57" i="46"/>
  <c r="D58" i="45"/>
  <c r="F57" i="44"/>
  <c r="T115" i="1"/>
  <c r="V115" i="1" s="1"/>
  <c r="DR34" i="29"/>
  <c r="EI29" i="29"/>
  <c r="EK29" i="29"/>
  <c r="EL29" i="29"/>
  <c r="EB36" i="29"/>
  <c r="EM29" i="29"/>
  <c r="EE29" i="29"/>
  <c r="ED29" i="29"/>
  <c r="DW29" i="29"/>
  <c r="DT29" i="29"/>
  <c r="DU29" i="29"/>
  <c r="DV29" i="29"/>
  <c r="EA61" i="29"/>
  <c r="EL61" i="29"/>
  <c r="EM61" i="29"/>
  <c r="EO61" i="29"/>
  <c r="EP61" i="29"/>
  <c r="DN61" i="29"/>
  <c r="DV61" i="29"/>
  <c r="DO61" i="29"/>
  <c r="DQ61" i="29"/>
  <c r="DP61" i="29"/>
  <c r="DT61" i="29"/>
  <c r="DU61" i="29"/>
  <c r="DK61" i="29"/>
  <c r="EJ34" i="29"/>
  <c r="EF29" i="29"/>
  <c r="EO23" i="29"/>
  <c r="EO24" i="29" s="1"/>
  <c r="EN23" i="29"/>
  <c r="EN24" i="29" s="1"/>
  <c r="EP23" i="29"/>
  <c r="EP24" i="29" s="1"/>
  <c r="EI36" i="29"/>
  <c r="EA36" i="29"/>
  <c r="DS36" i="29"/>
  <c r="DK36" i="29"/>
  <c r="EE61" i="29"/>
  <c r="DY61" i="29"/>
  <c r="EP40" i="29"/>
  <c r="EP41" i="29" s="1"/>
  <c r="H40" i="65" s="1"/>
  <c r="D40" i="65" s="1"/>
  <c r="L40" i="65" s="1"/>
  <c r="EO28" i="29"/>
  <c r="D35" i="60"/>
  <c r="D35" i="46"/>
  <c r="D35" i="48"/>
  <c r="D36" i="59"/>
  <c r="D35" i="42"/>
  <c r="D35" i="66"/>
  <c r="D35" i="47"/>
  <c r="D36" i="45"/>
  <c r="V121" i="1"/>
  <c r="L12" i="1"/>
  <c r="EK85" i="29"/>
  <c r="EC85" i="29"/>
  <c r="DU85" i="29"/>
  <c r="ED61" i="29"/>
  <c r="EG34" i="29"/>
  <c r="DY34" i="29"/>
  <c r="EH29" i="29"/>
  <c r="EJ29" i="29"/>
  <c r="EB29" i="29"/>
  <c r="EA29" i="29"/>
  <c r="DS29" i="29"/>
  <c r="DR29" i="29"/>
  <c r="EN28" i="29"/>
  <c r="H26" i="65"/>
  <c r="K26" i="65"/>
  <c r="DG88" i="38"/>
  <c r="CQ88" i="38"/>
  <c r="DC79" i="38"/>
  <c r="DI79" i="38"/>
  <c r="CM79" i="38"/>
  <c r="CS79" i="38"/>
  <c r="C58" i="75"/>
  <c r="D58" i="75" s="1"/>
  <c r="D44" i="44"/>
  <c r="A3" i="64"/>
  <c r="B3" i="65"/>
  <c r="B3" i="2"/>
  <c r="B51" i="2"/>
  <c r="B109" i="2" s="1"/>
  <c r="C51" i="2"/>
  <c r="C108" i="2" s="1"/>
  <c r="A3" i="8"/>
  <c r="E172" i="2"/>
  <c r="EB61" i="29"/>
  <c r="EN40" i="29"/>
  <c r="EN41" i="29" s="1"/>
  <c r="DI36" i="29"/>
  <c r="EL34" i="29"/>
  <c r="ED34" i="29"/>
  <c r="DV34" i="29"/>
  <c r="EP33" i="29"/>
  <c r="EG29" i="29"/>
  <c r="DY29" i="29"/>
  <c r="DJ79" i="38"/>
  <c r="DL88" i="38"/>
  <c r="DD88" i="38"/>
  <c r="CV88" i="38"/>
  <c r="CN88" i="38"/>
  <c r="CT517" i="41"/>
  <c r="DW61" i="29"/>
  <c r="DG79" i="38"/>
  <c r="DH79" i="38"/>
  <c r="DH90" i="38" s="1"/>
  <c r="CY79" i="38"/>
  <c r="CZ79" i="38"/>
  <c r="CQ79" i="38"/>
  <c r="CR79" i="38"/>
  <c r="CI79" i="38"/>
  <c r="CJ79" i="38"/>
  <c r="DB35" i="38"/>
  <c r="BV35" i="38"/>
  <c r="A180" i="64"/>
  <c r="A5" i="76"/>
  <c r="L115" i="64"/>
  <c r="T115" i="64" s="1"/>
  <c r="V115" i="64" s="1"/>
  <c r="AE35" i="38"/>
  <c r="DF79" i="38"/>
  <c r="CX79" i="38"/>
  <c r="CP79" i="38"/>
  <c r="BY26" i="49"/>
  <c r="BY37" i="49" s="1"/>
  <c r="BY15" i="49"/>
  <c r="BZ3" i="49"/>
  <c r="AY35" i="38"/>
  <c r="DI31" i="38"/>
  <c r="DK31" i="38"/>
  <c r="DF31" i="38"/>
  <c r="DA31" i="38"/>
  <c r="CX31" i="38"/>
  <c r="CQ31" i="38"/>
  <c r="CP31" i="38"/>
  <c r="CM31" i="38"/>
  <c r="CH31" i="38"/>
  <c r="CC31" i="38"/>
  <c r="CE31" i="38"/>
  <c r="BZ31" i="38"/>
  <c r="BS31" i="38"/>
  <c r="BU31" i="38"/>
  <c r="BR31" i="38"/>
  <c r="BK31" i="38"/>
  <c r="BI31" i="38"/>
  <c r="BB31" i="38"/>
  <c r="AX31" i="38"/>
  <c r="BA31" i="38"/>
  <c r="AT31" i="38"/>
  <c r="AM31" i="38"/>
  <c r="AO31" i="38"/>
  <c r="AL31" i="38"/>
  <c r="Z31" i="38"/>
  <c r="AD31" i="38"/>
  <c r="V31" i="38"/>
  <c r="R31" i="38"/>
  <c r="N31" i="38"/>
  <c r="BF3" i="49"/>
  <c r="BC26" i="49"/>
  <c r="BC15" i="49"/>
  <c r="D16" i="16"/>
  <c r="F17" i="16"/>
  <c r="DL31" i="38"/>
  <c r="DD31" i="38"/>
  <c r="CV31" i="38"/>
  <c r="CN31" i="38"/>
  <c r="CF31" i="38"/>
  <c r="CG31" i="38"/>
  <c r="BX31" i="38"/>
  <c r="BP31" i="38"/>
  <c r="BH31" i="38"/>
  <c r="AZ31" i="38"/>
  <c r="AR31" i="38"/>
  <c r="AJ31" i="38"/>
  <c r="AB31" i="38"/>
  <c r="T31" i="38"/>
  <c r="CJ20" i="38"/>
  <c r="BT20" i="38"/>
  <c r="AV20" i="38"/>
  <c r="AN20" i="38"/>
  <c r="X20" i="38"/>
  <c r="P20" i="38"/>
  <c r="BA3" i="49"/>
  <c r="AZ15" i="49"/>
  <c r="CS515" i="41"/>
  <c r="DG31" i="38"/>
  <c r="CW31" i="38"/>
  <c r="CL31" i="38"/>
  <c r="CB31" i="38"/>
  <c r="BG31" i="38"/>
  <c r="AW31" i="38"/>
  <c r="AK31" i="38"/>
  <c r="X31" i="38"/>
  <c r="DK20" i="38"/>
  <c r="CI20" i="38"/>
  <c r="BS20" i="38"/>
  <c r="AM20" i="38"/>
  <c r="W20" i="38"/>
  <c r="W33" i="38" s="1"/>
  <c r="DG20" i="38"/>
  <c r="DE20" i="38"/>
  <c r="CX20" i="38"/>
  <c r="CQ20" i="38"/>
  <c r="BZ20" i="38"/>
  <c r="BY20" i="38"/>
  <c r="BR20" i="38"/>
  <c r="BJ20" i="38"/>
  <c r="BK20" i="38"/>
  <c r="BB20" i="38"/>
  <c r="BA20" i="38"/>
  <c r="AT20" i="38"/>
  <c r="AL20" i="38"/>
  <c r="AD20" i="38"/>
  <c r="AE20" i="38"/>
  <c r="AE33" i="38" s="1"/>
  <c r="V20" i="38"/>
  <c r="N75" i="1"/>
  <c r="CX23" i="49"/>
  <c r="F63" i="64" s="1"/>
  <c r="BO3" i="49"/>
  <c r="BN15" i="49"/>
  <c r="CU31" i="38"/>
  <c r="CK31" i="38"/>
  <c r="BQ31" i="38"/>
  <c r="AI31" i="38"/>
  <c r="BW31" i="38"/>
  <c r="AQ31" i="38"/>
  <c r="AA31" i="38"/>
  <c r="CV20" i="38"/>
  <c r="CH20" i="38"/>
  <c r="BQ20" i="38"/>
  <c r="BC20" i="38"/>
  <c r="AK20" i="38"/>
  <c r="U20" i="38"/>
  <c r="CW19" i="49"/>
  <c r="CW23" i="49" s="1"/>
  <c r="F63" i="1" s="1"/>
  <c r="CU23" i="49"/>
  <c r="BM26" i="49"/>
  <c r="BM37" i="49" s="1"/>
  <c r="BM15" i="49"/>
  <c r="AO3" i="49"/>
  <c r="AN15" i="49"/>
  <c r="DE31" i="38"/>
  <c r="CT31" i="38"/>
  <c r="BO31" i="38"/>
  <c r="AG31" i="38"/>
  <c r="BN31" i="38"/>
  <c r="AH31" i="38"/>
  <c r="CG20" i="38"/>
  <c r="DC31" i="38"/>
  <c r="CS31" i="38"/>
  <c r="CI31" i="38"/>
  <c r="BY31" i="38"/>
  <c r="BM31" i="38"/>
  <c r="BC31" i="38"/>
  <c r="AS31" i="38"/>
  <c r="AF31" i="38"/>
  <c r="U31" i="38"/>
  <c r="BE31" i="38"/>
  <c r="Y31" i="38"/>
  <c r="Q31" i="38"/>
  <c r="DF20" i="38"/>
  <c r="BO20" i="38"/>
  <c r="AW20" i="38"/>
  <c r="AG20" i="38"/>
  <c r="Q20" i="38"/>
  <c r="DL20" i="38"/>
  <c r="CF20" i="38"/>
  <c r="BH20" i="38"/>
  <c r="AZ20" i="38"/>
  <c r="AJ20" i="38"/>
  <c r="AB20" i="38"/>
  <c r="T20" i="38"/>
  <c r="CW32" i="49"/>
  <c r="CW34" i="49" s="1"/>
  <c r="CU34" i="49"/>
  <c r="AC26" i="49"/>
  <c r="AD3" i="49"/>
  <c r="AC15" i="49"/>
  <c r="DH31" i="38"/>
  <c r="CY31" i="38"/>
  <c r="AV31" i="38"/>
  <c r="P31" i="38"/>
  <c r="EH26" i="38"/>
  <c r="EH27" i="38" s="1"/>
  <c r="EG27" i="38"/>
  <c r="CP20" i="38"/>
  <c r="AU20" i="38"/>
  <c r="AU33" i="38" s="1"/>
  <c r="DJ20" i="38"/>
  <c r="DB20" i="38"/>
  <c r="DB33" i="38" s="1"/>
  <c r="DA20" i="38"/>
  <c r="CT20" i="38"/>
  <c r="CU20" i="38"/>
  <c r="CL20" i="38"/>
  <c r="CD20" i="38"/>
  <c r="BV20" i="38"/>
  <c r="BV33" i="38" s="1"/>
  <c r="BU20" i="38"/>
  <c r="BN20" i="38"/>
  <c r="BM20" i="38"/>
  <c r="BF20" i="38"/>
  <c r="AX20" i="38"/>
  <c r="AP20" i="38"/>
  <c r="AO20" i="38"/>
  <c r="AH20" i="38"/>
  <c r="Z20" i="38"/>
  <c r="R20" i="38"/>
  <c r="AZ26" i="49"/>
  <c r="CU515" i="41"/>
  <c r="CO20" i="38"/>
  <c r="AC12" i="38"/>
  <c r="CS517" i="41"/>
  <c r="F245" i="16"/>
  <c r="CT515" i="41"/>
  <c r="HW107" i="15"/>
  <c r="CS519" i="41"/>
  <c r="EQ78" i="29"/>
  <c r="CU395" i="40"/>
  <c r="B59" i="2"/>
  <c r="N55" i="64" s="1"/>
  <c r="ER21" i="15"/>
  <c r="B74" i="2"/>
  <c r="C180" i="2" s="1"/>
  <c r="B76" i="2"/>
  <c r="B79" i="2"/>
  <c r="B80" i="2"/>
  <c r="C186" i="2" s="1"/>
  <c r="EQ15" i="15"/>
  <c r="B58" i="2"/>
  <c r="B60" i="2"/>
  <c r="D55" i="64" s="1"/>
  <c r="D79" i="64" s="1"/>
  <c r="D83" i="64" s="1"/>
  <c r="D92" i="64" s="1"/>
  <c r="ER15" i="15"/>
  <c r="ES15" i="15"/>
  <c r="B75" i="2"/>
  <c r="C181" i="2" s="1"/>
  <c r="B85" i="2"/>
  <c r="C191" i="2" s="1"/>
  <c r="B87" i="2"/>
  <c r="C193" i="2" s="1"/>
  <c r="EQ93" i="15"/>
  <c r="DV79" i="15"/>
  <c r="B132" i="2"/>
  <c r="H180" i="2" s="1"/>
  <c r="B134" i="2"/>
  <c r="H182" i="2" s="1"/>
  <c r="DT83" i="15"/>
  <c r="BR86" i="15"/>
  <c r="BZ86" i="15"/>
  <c r="B139" i="2"/>
  <c r="B93" i="2"/>
  <c r="C196" i="2" s="1"/>
  <c r="B95" i="2"/>
  <c r="C198" i="2" s="1"/>
  <c r="B96" i="2"/>
  <c r="C199" i="2" s="1"/>
  <c r="DQ75" i="38"/>
  <c r="DW79" i="15"/>
  <c r="DU83" i="15"/>
  <c r="BS86" i="15"/>
  <c r="CA86" i="15"/>
  <c r="B142" i="2"/>
  <c r="H188" i="2" s="1"/>
  <c r="ER93" i="15"/>
  <c r="B78" i="2"/>
  <c r="C184" i="2" s="1"/>
  <c r="B82" i="2"/>
  <c r="C188" i="2" s="1"/>
  <c r="B99" i="2"/>
  <c r="B101" i="2"/>
  <c r="C204" i="2" s="1"/>
  <c r="B114" i="2"/>
  <c r="B129" i="2"/>
  <c r="ES93" i="15"/>
  <c r="DX79" i="15"/>
  <c r="DV83" i="15"/>
  <c r="B136" i="2"/>
  <c r="H184" i="2" s="1"/>
  <c r="B138" i="2"/>
  <c r="BT86" i="15"/>
  <c r="CB86" i="15"/>
  <c r="B151" i="2"/>
  <c r="H189" i="2" s="1"/>
  <c r="B146" i="2"/>
  <c r="DQ15" i="38"/>
  <c r="DY79" i="15"/>
  <c r="DW83" i="15"/>
  <c r="BU86" i="15"/>
  <c r="CC86" i="15"/>
  <c r="B84" i="2"/>
  <c r="C190" i="2" s="1"/>
  <c r="B86" i="2"/>
  <c r="C192" i="2" s="1"/>
  <c r="B88" i="2"/>
  <c r="DR79" i="15"/>
  <c r="DZ79" i="15"/>
  <c r="B133" i="2"/>
  <c r="H181" i="2" s="1"/>
  <c r="B135" i="2"/>
  <c r="DX83" i="15"/>
  <c r="BN86" i="15"/>
  <c r="BV86" i="15"/>
  <c r="CD86" i="15"/>
  <c r="B81" i="2"/>
  <c r="DU79" i="15"/>
  <c r="DS83" i="15"/>
  <c r="EA83" i="15"/>
  <c r="BQ86" i="15"/>
  <c r="BY86" i="15"/>
  <c r="ER103" i="15"/>
  <c r="B147" i="2"/>
  <c r="BW86" i="15"/>
  <c r="B100" i="2"/>
  <c r="BP86" i="15"/>
  <c r="B128" i="2"/>
  <c r="H177" i="2" s="1"/>
  <c r="DF38" i="8"/>
  <c r="BO86" i="15"/>
  <c r="DE38" i="8"/>
  <c r="DB20" i="8"/>
  <c r="DB22" i="8" s="1"/>
  <c r="DB24" i="8" s="1"/>
  <c r="CU20" i="8"/>
  <c r="CU22" i="8" s="1"/>
  <c r="CU24" i="8" s="1"/>
  <c r="DC20" i="8"/>
  <c r="DC22" i="8" s="1"/>
  <c r="DC24" i="8" s="1"/>
  <c r="CV20" i="8"/>
  <c r="CV22" i="8" s="1"/>
  <c r="CV24" i="8" s="1"/>
  <c r="CW20" i="8"/>
  <c r="CW22" i="8" s="1"/>
  <c r="CW24" i="8" s="1"/>
  <c r="CX20" i="8"/>
  <c r="CX22" i="8" s="1"/>
  <c r="CX24" i="8" s="1"/>
  <c r="CY20" i="8"/>
  <c r="CY22" i="8" s="1"/>
  <c r="CY24" i="8" s="1"/>
  <c r="CZ33" i="8"/>
  <c r="CZ34" i="8" s="1"/>
  <c r="CY38" i="8"/>
  <c r="CY41" i="8" s="1"/>
  <c r="DA33" i="8"/>
  <c r="DA34" i="8" s="1"/>
  <c r="CZ38" i="8"/>
  <c r="CZ41" i="8" s="1"/>
  <c r="DB33" i="8"/>
  <c r="DB34" i="8" s="1"/>
  <c r="DA38" i="8"/>
  <c r="DA41" i="8" s="1"/>
  <c r="DF32" i="8"/>
  <c r="DF34" i="8" s="1"/>
  <c r="CU33" i="8"/>
  <c r="CU34" i="8" s="1"/>
  <c r="DC33" i="8"/>
  <c r="DC34" i="8" s="1"/>
  <c r="DB38" i="8"/>
  <c r="DB41" i="8" s="1"/>
  <c r="CV33" i="8"/>
  <c r="CV34" i="8" s="1"/>
  <c r="DC38" i="8"/>
  <c r="DC41" i="8" s="1"/>
  <c r="CW33" i="8"/>
  <c r="CW34" i="8" s="1"/>
  <c r="DD38" i="8"/>
  <c r="DD41" i="8" s="1"/>
  <c r="CY33" i="8"/>
  <c r="CY34" i="8" s="1"/>
  <c r="CX38" i="8"/>
  <c r="CX33" i="8"/>
  <c r="CX34" i="8" s="1"/>
  <c r="CR398" i="40"/>
  <c r="CJ398" i="40"/>
  <c r="CB398" i="40"/>
  <c r="BT398" i="40"/>
  <c r="BL398" i="40"/>
  <c r="BD398" i="40"/>
  <c r="AV398" i="40"/>
  <c r="CU397" i="40"/>
  <c r="HU47" i="15"/>
  <c r="HU107" i="15" s="1"/>
  <c r="B141" i="2"/>
  <c r="H191" i="2" s="1"/>
  <c r="DL105" i="15"/>
  <c r="CQ398" i="40"/>
  <c r="CI398" i="40"/>
  <c r="CA398" i="40"/>
  <c r="BS398" i="40"/>
  <c r="BK398" i="40"/>
  <c r="BC398" i="40"/>
  <c r="AU398" i="40"/>
  <c r="DQ76" i="38"/>
  <c r="EA79" i="15"/>
  <c r="B97" i="2"/>
  <c r="C200" i="2" s="1"/>
  <c r="FZ107" i="15"/>
  <c r="FZ108" i="15" s="1"/>
  <c r="FZ109" i="15" s="1"/>
  <c r="FR107" i="15"/>
  <c r="FR108" i="15" s="1"/>
  <c r="FR109" i="15" s="1"/>
  <c r="DL58" i="8"/>
  <c r="CP398" i="40"/>
  <c r="CH398" i="40"/>
  <c r="BZ398" i="40"/>
  <c r="BR398" i="40"/>
  <c r="BJ398" i="40"/>
  <c r="BB398" i="40"/>
  <c r="AT398" i="40"/>
  <c r="B149" i="2"/>
  <c r="H55" i="64" s="1"/>
  <c r="H79" i="64" s="1"/>
  <c r="H83" i="64" s="1"/>
  <c r="H92" i="64" s="1"/>
  <c r="DZ83" i="15"/>
  <c r="DT79" i="15"/>
  <c r="R106" i="64"/>
  <c r="R128" i="64" s="1"/>
  <c r="CO398" i="40"/>
  <c r="CG398" i="40"/>
  <c r="BY398" i="40"/>
  <c r="BQ398" i="40"/>
  <c r="BI398" i="40"/>
  <c r="BA398" i="40"/>
  <c r="AS398" i="40"/>
  <c r="DY83" i="15"/>
  <c r="DS79" i="15"/>
  <c r="EK105" i="15"/>
  <c r="DE105" i="15"/>
  <c r="CO105" i="15"/>
  <c r="DA20" i="8"/>
  <c r="DA22" i="8" s="1"/>
  <c r="DA24" i="8" s="1"/>
  <c r="CN398" i="40"/>
  <c r="CF398" i="40"/>
  <c r="BX398" i="40"/>
  <c r="BP398" i="40"/>
  <c r="BH398" i="40"/>
  <c r="AZ398" i="40"/>
  <c r="AR398" i="40"/>
  <c r="CZ20" i="8"/>
  <c r="CZ22" i="8" s="1"/>
  <c r="CZ24" i="8" s="1"/>
  <c r="CT6" i="15"/>
  <c r="FW6" i="15"/>
  <c r="DR45" i="8"/>
  <c r="DR46" i="8" s="1"/>
  <c r="DJ45" i="8"/>
  <c r="DJ46" i="8" s="1"/>
  <c r="DT45" i="8"/>
  <c r="DT46" i="8" s="1"/>
  <c r="D14" i="2"/>
  <c r="B177" i="2"/>
  <c r="B12" i="77" s="1"/>
  <c r="F12" i="77" s="1"/>
  <c r="ED52" i="8"/>
  <c r="CO45" i="8"/>
  <c r="CO52" i="8" s="1"/>
  <c r="CN45" i="8"/>
  <c r="CN52" i="8" s="1"/>
  <c r="G18" i="2"/>
  <c r="L18" i="2" s="1"/>
  <c r="B183" i="2"/>
  <c r="B18" i="77" s="1"/>
  <c r="F18" i="77" s="1"/>
  <c r="L123" i="64"/>
  <c r="T123" i="64" s="1"/>
  <c r="V123" i="64" s="1"/>
  <c r="V137" i="64"/>
  <c r="V139" i="64" s="1"/>
  <c r="L12" i="64" s="1"/>
  <c r="T139" i="64"/>
  <c r="T162" i="64"/>
  <c r="F30" i="42"/>
  <c r="H30" i="42"/>
  <c r="L124" i="64"/>
  <c r="T124" i="64" s="1"/>
  <c r="V124" i="64" s="1"/>
  <c r="R60" i="64"/>
  <c r="T60" i="64" s="1"/>
  <c r="L14" i="65"/>
  <c r="T166" i="64"/>
  <c r="I43" i="2"/>
  <c r="D7" i="48"/>
  <c r="D7" i="42"/>
  <c r="D6" i="46"/>
  <c r="D6" i="47"/>
  <c r="F30" i="46"/>
  <c r="H30" i="46"/>
  <c r="H31" i="45"/>
  <c r="D7" i="45"/>
  <c r="D6" i="66"/>
  <c r="H30" i="47"/>
  <c r="H30" i="48"/>
  <c r="FE93" i="15" l="1"/>
  <c r="P75" i="1"/>
  <c r="T75" i="1" s="1"/>
  <c r="FD32" i="29"/>
  <c r="FD39" i="29"/>
  <c r="FD17" i="29"/>
  <c r="FD26" i="29"/>
  <c r="FD27" i="29"/>
  <c r="FD22" i="29"/>
  <c r="FD31" i="29"/>
  <c r="FD10" i="29"/>
  <c r="CM51" i="38"/>
  <c r="FF77" i="15"/>
  <c r="FF86" i="15"/>
  <c r="EQ41" i="8"/>
  <c r="EQ43" i="8" s="1"/>
  <c r="FF13" i="15"/>
  <c r="FF39" i="15"/>
  <c r="C87" i="2" s="1"/>
  <c r="B193" i="2" s="1"/>
  <c r="B28" i="77" s="1"/>
  <c r="F28" i="77" s="1"/>
  <c r="ER41" i="8"/>
  <c r="ER43" i="8" s="1"/>
  <c r="ET17" i="8"/>
  <c r="FD93" i="15"/>
  <c r="EC74" i="38" s="1"/>
  <c r="EC77" i="38" s="1"/>
  <c r="ET29" i="8"/>
  <c r="ET14" i="8"/>
  <c r="FF51" i="15"/>
  <c r="C99" i="2" s="1"/>
  <c r="K24" i="2" s="1"/>
  <c r="FF94" i="15"/>
  <c r="C149" i="2" s="1"/>
  <c r="H55" i="1" s="1"/>
  <c r="H79" i="1" s="1"/>
  <c r="H83" i="1" s="1"/>
  <c r="H92" i="1" s="1"/>
  <c r="FF37" i="15"/>
  <c r="C85" i="2" s="1"/>
  <c r="B191" i="2" s="1"/>
  <c r="B26" i="77" s="1"/>
  <c r="F26" i="77" s="1"/>
  <c r="FD64" i="15"/>
  <c r="FF46" i="15"/>
  <c r="C94" i="2" s="1"/>
  <c r="B197" i="2" s="1"/>
  <c r="B32" i="77" s="1"/>
  <c r="F32" i="77" s="1"/>
  <c r="FD14" i="15"/>
  <c r="FD16" i="15" s="1"/>
  <c r="FF25" i="15"/>
  <c r="C74" i="2" s="1"/>
  <c r="B180" i="2" s="1"/>
  <c r="B15" i="77" s="1"/>
  <c r="F15" i="77" s="1"/>
  <c r="FF49" i="15"/>
  <c r="C97" i="2" s="1"/>
  <c r="B200" i="2" s="1"/>
  <c r="B35" i="77" s="1"/>
  <c r="F35" i="77" s="1"/>
  <c r="FF36" i="15"/>
  <c r="C84" i="2" s="1"/>
  <c r="B190" i="2" s="1"/>
  <c r="B25" i="77" s="1"/>
  <c r="F25" i="77" s="1"/>
  <c r="FF30" i="15"/>
  <c r="C79" i="2" s="1"/>
  <c r="K19" i="2" s="1"/>
  <c r="L19" i="2" s="1"/>
  <c r="FF34" i="15"/>
  <c r="FF47" i="15"/>
  <c r="FF33" i="15"/>
  <c r="C82" i="2" s="1"/>
  <c r="B188" i="2" s="1"/>
  <c r="B23" i="77" s="1"/>
  <c r="F23" i="77" s="1"/>
  <c r="FF95" i="15"/>
  <c r="C151" i="2" s="1"/>
  <c r="G189" i="2" s="1"/>
  <c r="J23" i="77" s="1"/>
  <c r="N23" i="77" s="1"/>
  <c r="FF81" i="15"/>
  <c r="C134" i="2" s="1"/>
  <c r="G182" i="2" s="1"/>
  <c r="J16" i="77" s="1"/>
  <c r="N16" i="77" s="1"/>
  <c r="FD41" i="15"/>
  <c r="EB75" i="38"/>
  <c r="FF78" i="15"/>
  <c r="FC21" i="15"/>
  <c r="FF18" i="15"/>
  <c r="FF26" i="15"/>
  <c r="C75" i="2" s="1"/>
  <c r="B181" i="2" s="1"/>
  <c r="B16" i="77" s="1"/>
  <c r="F16" i="77" s="1"/>
  <c r="ED14" i="38"/>
  <c r="FE69" i="15"/>
  <c r="FC64" i="15"/>
  <c r="FF61" i="15"/>
  <c r="FF63" i="15"/>
  <c r="C115" i="2" s="1"/>
  <c r="FF10" i="15"/>
  <c r="FC14" i="15"/>
  <c r="FC16" i="15" s="1"/>
  <c r="FF96" i="15"/>
  <c r="C146" i="2" s="1"/>
  <c r="FF66" i="15"/>
  <c r="EB14" i="38"/>
  <c r="FC69" i="15"/>
  <c r="FC103" i="15"/>
  <c r="FF101" i="15"/>
  <c r="FF85" i="15"/>
  <c r="C138" i="2" s="1"/>
  <c r="FE41" i="15"/>
  <c r="FF35" i="15"/>
  <c r="FD90" i="15"/>
  <c r="FF27" i="15"/>
  <c r="C76" i="2" s="1"/>
  <c r="FF38" i="15"/>
  <c r="C86" i="2" s="1"/>
  <c r="B192" i="2" s="1"/>
  <c r="B27" i="77" s="1"/>
  <c r="F27" i="77" s="1"/>
  <c r="FF32" i="15"/>
  <c r="C81" i="2" s="1"/>
  <c r="EC14" i="38"/>
  <c r="FD69" i="15"/>
  <c r="FF52" i="15"/>
  <c r="C100" i="2" s="1"/>
  <c r="FE90" i="15"/>
  <c r="FF62" i="15"/>
  <c r="C114" i="2" s="1"/>
  <c r="FF68" i="15"/>
  <c r="EB15" i="38"/>
  <c r="FF31" i="15"/>
  <c r="C80" i="2" s="1"/>
  <c r="B186" i="2" s="1"/>
  <c r="B21" i="77" s="1"/>
  <c r="F21" i="77" s="1"/>
  <c r="FF76" i="15"/>
  <c r="C129" i="2" s="1"/>
  <c r="FF53" i="15"/>
  <c r="C101" i="2" s="1"/>
  <c r="B204" i="2" s="1"/>
  <c r="B39" i="77" s="1"/>
  <c r="F39" i="77" s="1"/>
  <c r="FF97" i="15"/>
  <c r="C147" i="2" s="1"/>
  <c r="FF48" i="15"/>
  <c r="C96" i="2" s="1"/>
  <c r="B199" i="2" s="1"/>
  <c r="B34" i="77" s="1"/>
  <c r="F34" i="77" s="1"/>
  <c r="FF74" i="15"/>
  <c r="FC90" i="15"/>
  <c r="FF29" i="15"/>
  <c r="C78" i="2" s="1"/>
  <c r="B184" i="2" s="1"/>
  <c r="B19" i="77" s="1"/>
  <c r="F19" i="77" s="1"/>
  <c r="FF75" i="15"/>
  <c r="C128" i="2" s="1"/>
  <c r="G177" i="2" s="1"/>
  <c r="EC16" i="38"/>
  <c r="FD54" i="15"/>
  <c r="FF40" i="15"/>
  <c r="C88" i="2" s="1"/>
  <c r="B194" i="2" s="1"/>
  <c r="B29" i="77" s="1"/>
  <c r="F29" i="77" s="1"/>
  <c r="FF12" i="15"/>
  <c r="C59" i="2" s="1"/>
  <c r="N55" i="1" s="1"/>
  <c r="FF11" i="15"/>
  <c r="C58" i="2" s="1"/>
  <c r="L55" i="1" s="1"/>
  <c r="FC93" i="15"/>
  <c r="FF93" i="15" s="1"/>
  <c r="FF79" i="15"/>
  <c r="C132" i="2" s="1"/>
  <c r="G180" i="2" s="1"/>
  <c r="J14" i="77" s="1"/>
  <c r="N14" i="77" s="1"/>
  <c r="EB16" i="38"/>
  <c r="FF44" i="15"/>
  <c r="FC54" i="15"/>
  <c r="FF83" i="15"/>
  <c r="C136" i="2" s="1"/>
  <c r="G184" i="2" s="1"/>
  <c r="J18" i="77" s="1"/>
  <c r="N18" i="77" s="1"/>
  <c r="FF45" i="15"/>
  <c r="C93" i="2" s="1"/>
  <c r="B196" i="2" s="1"/>
  <c r="B31" i="77" s="1"/>
  <c r="F31" i="77" s="1"/>
  <c r="FE64" i="15"/>
  <c r="C13" i="75" s="1"/>
  <c r="FE54" i="15"/>
  <c r="ED16" i="38"/>
  <c r="FF24" i="15"/>
  <c r="FC41" i="15"/>
  <c r="FF80" i="15"/>
  <c r="C133" i="2" s="1"/>
  <c r="G181" i="2" s="1"/>
  <c r="J15" i="77" s="1"/>
  <c r="N15" i="77" s="1"/>
  <c r="FF82" i="15"/>
  <c r="C135" i="2" s="1"/>
  <c r="ED74" i="38"/>
  <c r="ED77" i="38" s="1"/>
  <c r="FE99" i="15"/>
  <c r="FE14" i="15"/>
  <c r="FE16" i="15" s="1"/>
  <c r="FF89" i="15"/>
  <c r="C142" i="2" s="1"/>
  <c r="G188" i="2" s="1"/>
  <c r="J22" i="77" s="1"/>
  <c r="N22" i="77" s="1"/>
  <c r="FF84" i="15"/>
  <c r="EB76" i="38"/>
  <c r="FF88" i="15"/>
  <c r="C141" i="2" s="1"/>
  <c r="G191" i="2" s="1"/>
  <c r="J25" i="77" s="1"/>
  <c r="N25" i="77" s="1"/>
  <c r="ER22" i="8"/>
  <c r="ET31" i="8"/>
  <c r="ET28" i="8"/>
  <c r="ET19" i="8"/>
  <c r="EU19" i="8" s="1"/>
  <c r="ER11" i="8"/>
  <c r="ET18" i="8"/>
  <c r="EQ34" i="8"/>
  <c r="ET27" i="8"/>
  <c r="ET10" i="8"/>
  <c r="EU10" i="8" s="1"/>
  <c r="ER34" i="8"/>
  <c r="ES11" i="8"/>
  <c r="D9" i="8"/>
  <c r="ET33" i="8"/>
  <c r="ET38" i="8"/>
  <c r="ET40" i="8"/>
  <c r="ES41" i="8"/>
  <c r="D41" i="8" s="1"/>
  <c r="D38" i="8"/>
  <c r="ET30" i="8"/>
  <c r="ET16" i="8"/>
  <c r="ET42" i="8"/>
  <c r="EQ22" i="8"/>
  <c r="ET13" i="8"/>
  <c r="EQ11" i="8"/>
  <c r="ET9" i="8"/>
  <c r="ET39" i="8"/>
  <c r="EU39" i="8" s="1"/>
  <c r="ET15" i="8"/>
  <c r="ES22" i="8"/>
  <c r="D13" i="8"/>
  <c r="ED26" i="38"/>
  <c r="ED29" i="38" s="1"/>
  <c r="D37" i="8"/>
  <c r="ES34" i="8"/>
  <c r="D27" i="8"/>
  <c r="D34" i="8" s="1"/>
  <c r="EB26" i="38"/>
  <c r="EB29" i="38" s="1"/>
  <c r="ET37" i="8"/>
  <c r="ET32" i="8"/>
  <c r="ET20" i="8"/>
  <c r="DQ45" i="8"/>
  <c r="DQ46" i="8" s="1"/>
  <c r="DV45" i="8"/>
  <c r="DV46" i="8" s="1"/>
  <c r="EB45" i="8"/>
  <c r="EB46" i="8" s="1"/>
  <c r="DX55" i="8"/>
  <c r="B63" i="2"/>
  <c r="F55" i="64" s="1"/>
  <c r="FF15" i="15"/>
  <c r="C63" i="2" s="1"/>
  <c r="F55" i="1" s="1"/>
  <c r="EG107" i="15"/>
  <c r="DC107" i="15"/>
  <c r="FB64" i="15"/>
  <c r="EA51" i="38"/>
  <c r="DC51" i="38"/>
  <c r="EC51" i="38"/>
  <c r="FB41" i="15"/>
  <c r="CE51" i="38"/>
  <c r="DY76" i="38"/>
  <c r="DY51" i="38"/>
  <c r="DZ16" i="38"/>
  <c r="FA54" i="15"/>
  <c r="EZ64" i="15"/>
  <c r="EZ14" i="15"/>
  <c r="EZ16" i="15" s="1"/>
  <c r="EZ103" i="15"/>
  <c r="FA41" i="15"/>
  <c r="EZ41" i="15"/>
  <c r="DZ51" i="38"/>
  <c r="FB11" i="29"/>
  <c r="R69" i="1" s="1"/>
  <c r="FA11" i="29"/>
  <c r="EZ11" i="29"/>
  <c r="HU108" i="15"/>
  <c r="HU109" i="15" s="1"/>
  <c r="EZ90" i="15"/>
  <c r="EZ40" i="29"/>
  <c r="FA40" i="29"/>
  <c r="FA41" i="29" s="1"/>
  <c r="FB40" i="29"/>
  <c r="EB51" i="38"/>
  <c r="FA90" i="15"/>
  <c r="DY15" i="38"/>
  <c r="C139" i="2"/>
  <c r="DY75" i="38"/>
  <c r="EZ21" i="15"/>
  <c r="FB54" i="15"/>
  <c r="EZ99" i="15"/>
  <c r="DY74" i="38"/>
  <c r="DY16" i="38"/>
  <c r="EZ54" i="15"/>
  <c r="DY14" i="38"/>
  <c r="EZ69" i="15"/>
  <c r="EA75" i="38"/>
  <c r="FB69" i="15"/>
  <c r="EA14" i="38"/>
  <c r="EA18" i="38" s="1"/>
  <c r="FB14" i="15"/>
  <c r="FB16" i="15" s="1"/>
  <c r="FB90" i="15"/>
  <c r="FA16" i="15"/>
  <c r="DZ74" i="38"/>
  <c r="DZ75" i="38"/>
  <c r="FA69" i="15"/>
  <c r="FA71" i="15" s="1"/>
  <c r="DZ14" i="38"/>
  <c r="ED51" i="38"/>
  <c r="EB88" i="38"/>
  <c r="EC88" i="38"/>
  <c r="FA33" i="29"/>
  <c r="EZ28" i="29"/>
  <c r="FA19" i="29"/>
  <c r="FB19" i="29"/>
  <c r="B109" i="1" s="1"/>
  <c r="EZ19" i="29"/>
  <c r="FB71" i="29"/>
  <c r="FA71" i="29"/>
  <c r="EZ71" i="29"/>
  <c r="FA28" i="29"/>
  <c r="FA23" i="29"/>
  <c r="FA24" i="29" s="1"/>
  <c r="FB23" i="29"/>
  <c r="FB24" i="29" s="1"/>
  <c r="F114" i="1" s="1"/>
  <c r="EZ23" i="29"/>
  <c r="EZ24" i="29" s="1"/>
  <c r="EZ33" i="29"/>
  <c r="EZ77" i="29"/>
  <c r="FA77" i="29"/>
  <c r="FB77" i="29"/>
  <c r="FB88" i="29" s="1"/>
  <c r="FA78" i="29"/>
  <c r="FB78" i="29"/>
  <c r="FB89" i="29" s="1"/>
  <c r="EZ78" i="29"/>
  <c r="EB62" i="38"/>
  <c r="FB70" i="29"/>
  <c r="EZ70" i="29"/>
  <c r="FA70" i="29"/>
  <c r="EC62" i="38"/>
  <c r="EZ15" i="29"/>
  <c r="FB15" i="29"/>
  <c r="F109" i="1" s="1"/>
  <c r="FA15" i="29"/>
  <c r="FA20" i="29" s="1"/>
  <c r="FB28" i="29"/>
  <c r="FB33" i="29"/>
  <c r="ED62" i="38"/>
  <c r="ED88" i="38"/>
  <c r="EO11" i="8"/>
  <c r="EO43" i="8"/>
  <c r="EO22" i="8"/>
  <c r="DY62" i="38"/>
  <c r="EN22" i="8"/>
  <c r="EN11" i="8"/>
  <c r="EP34" i="8"/>
  <c r="EP22" i="8"/>
  <c r="EP11" i="8"/>
  <c r="DZ62" i="38"/>
  <c r="EN34" i="8"/>
  <c r="DZ29" i="38"/>
  <c r="EO34" i="8"/>
  <c r="EA62" i="38"/>
  <c r="EA26" i="38"/>
  <c r="EA29" i="38" s="1"/>
  <c r="DY26" i="38"/>
  <c r="DY29" i="38" s="1"/>
  <c r="DY88" i="38"/>
  <c r="DZ88" i="38"/>
  <c r="EA88" i="38"/>
  <c r="AP33" i="38"/>
  <c r="AN33" i="38"/>
  <c r="AC33" i="38"/>
  <c r="BF33" i="38"/>
  <c r="CM90" i="38"/>
  <c r="BW51" i="38"/>
  <c r="CZ33" i="38"/>
  <c r="CU107" i="15"/>
  <c r="DF107" i="15"/>
  <c r="DK55" i="8"/>
  <c r="EA55" i="8"/>
  <c r="EA52" i="8"/>
  <c r="DG45" i="8"/>
  <c r="DG55" i="8" s="1"/>
  <c r="DW55" i="8"/>
  <c r="DW58" i="8"/>
  <c r="DX52" i="8"/>
  <c r="DX18" i="38"/>
  <c r="EW40" i="29"/>
  <c r="EW41" i="29" s="1"/>
  <c r="EX40" i="29"/>
  <c r="EX41" i="29" s="1"/>
  <c r="EY40" i="29"/>
  <c r="EW11" i="29"/>
  <c r="EY11" i="29"/>
  <c r="EX11" i="29"/>
  <c r="EX33" i="29"/>
  <c r="DW18" i="38"/>
  <c r="EW28" i="29"/>
  <c r="EK22" i="8"/>
  <c r="EW33" i="29"/>
  <c r="EX78" i="29"/>
  <c r="EW78" i="29"/>
  <c r="EY78" i="29"/>
  <c r="EX28" i="29"/>
  <c r="EX36" i="29" s="1"/>
  <c r="EW70" i="29"/>
  <c r="EX70" i="29"/>
  <c r="EY70" i="29"/>
  <c r="EX23" i="29"/>
  <c r="EX24" i="29" s="1"/>
  <c r="EY23" i="29"/>
  <c r="EY24" i="29" s="1"/>
  <c r="EW23" i="29"/>
  <c r="EW24" i="29" s="1"/>
  <c r="EW77" i="29"/>
  <c r="EY77" i="29"/>
  <c r="EX77" i="29"/>
  <c r="EX19" i="29"/>
  <c r="EW19" i="29"/>
  <c r="EY19" i="29"/>
  <c r="EW71" i="29"/>
  <c r="EX71" i="29"/>
  <c r="EY71" i="29"/>
  <c r="EW15" i="29"/>
  <c r="EX15" i="29"/>
  <c r="EY15" i="29"/>
  <c r="EY33" i="29"/>
  <c r="EY36" i="29" s="1"/>
  <c r="CM26" i="49"/>
  <c r="CM37" i="49" s="1"/>
  <c r="CM15" i="49"/>
  <c r="CN3" i="49"/>
  <c r="CO3" i="49" s="1"/>
  <c r="EP36" i="29"/>
  <c r="EO85" i="29"/>
  <c r="A4" i="77"/>
  <c r="DE107" i="15"/>
  <c r="DD107" i="15"/>
  <c r="DJ107" i="15"/>
  <c r="CM107" i="15"/>
  <c r="CS107" i="15"/>
  <c r="DM107" i="15"/>
  <c r="DB107" i="15"/>
  <c r="CL403" i="40"/>
  <c r="CL404" i="40" s="1"/>
  <c r="EI107" i="15"/>
  <c r="EI113" i="15"/>
  <c r="CF403" i="40"/>
  <c r="CF404" i="40" s="1"/>
  <c r="EB107" i="15"/>
  <c r="EO107" i="15"/>
  <c r="CN107" i="15"/>
  <c r="CV107" i="15"/>
  <c r="H41" i="65"/>
  <c r="L41" i="65" s="1"/>
  <c r="EV33" i="29"/>
  <c r="EM22" i="8"/>
  <c r="EM34" i="8"/>
  <c r="DX29" i="38"/>
  <c r="EV36" i="29"/>
  <c r="DV74" i="38"/>
  <c r="DV75" i="38"/>
  <c r="DW74" i="38"/>
  <c r="DW75" i="38"/>
  <c r="EW69" i="15"/>
  <c r="DV14" i="38"/>
  <c r="DX74" i="38"/>
  <c r="DX75" i="38"/>
  <c r="EU28" i="29"/>
  <c r="EL43" i="8"/>
  <c r="EY69" i="15"/>
  <c r="EY64" i="15"/>
  <c r="EX69" i="15"/>
  <c r="EY90" i="15"/>
  <c r="EX54" i="15"/>
  <c r="EW54" i="15"/>
  <c r="EW103" i="15"/>
  <c r="EY41" i="15"/>
  <c r="ET11" i="29"/>
  <c r="EV11" i="29"/>
  <c r="EU11" i="29"/>
  <c r="EY14" i="15"/>
  <c r="EY16" i="15" s="1"/>
  <c r="EX90" i="15"/>
  <c r="EY54" i="15"/>
  <c r="DW51" i="38"/>
  <c r="EW90" i="15"/>
  <c r="ET40" i="29"/>
  <c r="ET41" i="29" s="1"/>
  <c r="EV40" i="29"/>
  <c r="EU40" i="29"/>
  <c r="EU41" i="29" s="1"/>
  <c r="DV51" i="38"/>
  <c r="EW14" i="15"/>
  <c r="EW16" i="15" s="1"/>
  <c r="EX64" i="15"/>
  <c r="EX14" i="15"/>
  <c r="EX16" i="15" s="1"/>
  <c r="EX41" i="15"/>
  <c r="EW64" i="15"/>
  <c r="DX51" i="38"/>
  <c r="EW41" i="15"/>
  <c r="EL22" i="8"/>
  <c r="EL24" i="8" s="1"/>
  <c r="EL58" i="8" s="1"/>
  <c r="EK11" i="8"/>
  <c r="DV29" i="38"/>
  <c r="EK43" i="8"/>
  <c r="EK34" i="8"/>
  <c r="DV62" i="38"/>
  <c r="EL34" i="8"/>
  <c r="DW62" i="38"/>
  <c r="EM11" i="8"/>
  <c r="DX62" i="38"/>
  <c r="C130" i="2"/>
  <c r="G179" i="2" s="1"/>
  <c r="J13" i="77" s="1"/>
  <c r="N13" i="77" s="1"/>
  <c r="C95" i="2"/>
  <c r="B198" i="2" s="1"/>
  <c r="B33" i="77" s="1"/>
  <c r="F33" i="77" s="1"/>
  <c r="DM88" i="38"/>
  <c r="DM92" i="38" s="1"/>
  <c r="DW88" i="38"/>
  <c r="DX88" i="38"/>
  <c r="DV88" i="38"/>
  <c r="CP51" i="38"/>
  <c r="DI51" i="38"/>
  <c r="DM52" i="8"/>
  <c r="DO45" i="8"/>
  <c r="DO46" i="8" s="1"/>
  <c r="EC58" i="8"/>
  <c r="DP58" i="8"/>
  <c r="DS55" i="8"/>
  <c r="DS52" i="8"/>
  <c r="DI58" i="8"/>
  <c r="DY45" i="8"/>
  <c r="DY46" i="8" s="1"/>
  <c r="DZ45" i="8"/>
  <c r="DZ46" i="8" s="1"/>
  <c r="DH58" i="8"/>
  <c r="DK52" i="8"/>
  <c r="DW52" i="8"/>
  <c r="DV55" i="8"/>
  <c r="C60" i="2"/>
  <c r="D55" i="1" s="1"/>
  <c r="D79" i="1" s="1"/>
  <c r="D83" i="1" s="1"/>
  <c r="D92" i="1" s="1"/>
  <c r="DQ107" i="15"/>
  <c r="CZ107" i="15"/>
  <c r="CR107" i="15"/>
  <c r="CY107" i="15"/>
  <c r="BR403" i="40"/>
  <c r="BR404" i="40" s="1"/>
  <c r="DK107" i="15"/>
  <c r="EM113" i="15"/>
  <c r="DK113" i="15"/>
  <c r="AY33" i="38"/>
  <c r="BL33" i="38"/>
  <c r="CZ90" i="38"/>
  <c r="DC90" i="38"/>
  <c r="ET28" i="29"/>
  <c r="ET33" i="29"/>
  <c r="EU19" i="29"/>
  <c r="EV19" i="29"/>
  <c r="ET19" i="29"/>
  <c r="ET23" i="29"/>
  <c r="ET24" i="29" s="1"/>
  <c r="EV23" i="29"/>
  <c r="EV24" i="29" s="1"/>
  <c r="EU23" i="29"/>
  <c r="EU24" i="29" s="1"/>
  <c r="EV15" i="29"/>
  <c r="EU15" i="29"/>
  <c r="ET15" i="29"/>
  <c r="ET70" i="29"/>
  <c r="EU70" i="29"/>
  <c r="EV70" i="29"/>
  <c r="ET71" i="29"/>
  <c r="EV71" i="29"/>
  <c r="EU71" i="29"/>
  <c r="ET77" i="29"/>
  <c r="EV77" i="29"/>
  <c r="EU77" i="29"/>
  <c r="ET78" i="29"/>
  <c r="EU78" i="29"/>
  <c r="EV78" i="29"/>
  <c r="EU33" i="29"/>
  <c r="J63" i="64"/>
  <c r="P63" i="64" s="1"/>
  <c r="T63" i="64" s="1"/>
  <c r="EO72" i="29"/>
  <c r="J42" i="78"/>
  <c r="C24" i="75"/>
  <c r="F24" i="75" s="1"/>
  <c r="D55" i="66"/>
  <c r="F55" i="66" s="1"/>
  <c r="D55" i="48"/>
  <c r="F55" i="48" s="1"/>
  <c r="H55" i="44"/>
  <c r="D55" i="46"/>
  <c r="H55" i="46" s="1"/>
  <c r="D56" i="59"/>
  <c r="H56" i="59" s="1"/>
  <c r="F55" i="44"/>
  <c r="D55" i="60"/>
  <c r="F55" i="60" s="1"/>
  <c r="D56" i="45"/>
  <c r="F56" i="45" s="1"/>
  <c r="D55" i="42"/>
  <c r="F55" i="42" s="1"/>
  <c r="CT51" i="38"/>
  <c r="CF51" i="38"/>
  <c r="CC51" i="38"/>
  <c r="CS51" i="38"/>
  <c r="C49" i="75"/>
  <c r="J41" i="2"/>
  <c r="L41" i="2" s="1"/>
  <c r="DN29" i="38"/>
  <c r="DU62" i="38"/>
  <c r="DM29" i="38"/>
  <c r="CN51" i="38"/>
  <c r="DM51" i="38"/>
  <c r="DT62" i="38"/>
  <c r="EH22" i="8"/>
  <c r="EJ11" i="8"/>
  <c r="DS26" i="38"/>
  <c r="DS29" i="38" s="1"/>
  <c r="DS62" i="38"/>
  <c r="EI34" i="8"/>
  <c r="EJ34" i="8"/>
  <c r="EH34" i="8"/>
  <c r="EH11" i="8"/>
  <c r="EJ22" i="8"/>
  <c r="DU26" i="38"/>
  <c r="DU29" i="38" s="1"/>
  <c r="DT26" i="38"/>
  <c r="DT29" i="38" s="1"/>
  <c r="EI43" i="8"/>
  <c r="EI22" i="8"/>
  <c r="EI24" i="8" s="1"/>
  <c r="DS90" i="15"/>
  <c r="DS105" i="15" s="1"/>
  <c r="DS107" i="15" s="1"/>
  <c r="ER40" i="29"/>
  <c r="ER41" i="29" s="1"/>
  <c r="DQ51" i="38"/>
  <c r="EU64" i="15"/>
  <c r="BY51" i="38"/>
  <c r="CL51" i="38"/>
  <c r="DB51" i="38"/>
  <c r="EV64" i="15"/>
  <c r="CV51" i="38"/>
  <c r="BX51" i="38"/>
  <c r="CK51" i="38"/>
  <c r="DR90" i="15"/>
  <c r="DR105" i="15" s="1"/>
  <c r="DR107" i="15" s="1"/>
  <c r="DE51" i="38"/>
  <c r="DG51" i="38"/>
  <c r="DR51" i="38"/>
  <c r="CH51" i="38"/>
  <c r="DO51" i="38"/>
  <c r="CB51" i="38"/>
  <c r="DA51" i="38"/>
  <c r="BZ51" i="38"/>
  <c r="CJ51" i="38"/>
  <c r="DD51" i="38"/>
  <c r="CX51" i="38"/>
  <c r="CR51" i="38"/>
  <c r="CD51" i="38"/>
  <c r="DL51" i="38"/>
  <c r="DF51" i="38"/>
  <c r="CA51" i="38"/>
  <c r="CZ51" i="38"/>
  <c r="CG51" i="38"/>
  <c r="DN51" i="38"/>
  <c r="CI51" i="38"/>
  <c r="DH51" i="38"/>
  <c r="CO51" i="38"/>
  <c r="CQ51" i="38"/>
  <c r="DP51" i="38"/>
  <c r="CW51" i="38"/>
  <c r="CY51" i="38"/>
  <c r="DJ51" i="38"/>
  <c r="EV90" i="15"/>
  <c r="DT16" i="38"/>
  <c r="EU54" i="15"/>
  <c r="ET41" i="15"/>
  <c r="DU51" i="38"/>
  <c r="ET64" i="15"/>
  <c r="DU16" i="38"/>
  <c r="EV54" i="15"/>
  <c r="DT14" i="38"/>
  <c r="EU69" i="15"/>
  <c r="ET103" i="15"/>
  <c r="EU41" i="15"/>
  <c r="DU14" i="38"/>
  <c r="EV69" i="15"/>
  <c r="ET21" i="15"/>
  <c r="DS75" i="38"/>
  <c r="EV41" i="15"/>
  <c r="DT75" i="38"/>
  <c r="ET90" i="15"/>
  <c r="DU75" i="38"/>
  <c r="DS76" i="38"/>
  <c r="EU90" i="15"/>
  <c r="ET14" i="15"/>
  <c r="ET16" i="15" s="1"/>
  <c r="EU14" i="15"/>
  <c r="EU16" i="15" s="1"/>
  <c r="DS15" i="38"/>
  <c r="DS51" i="38"/>
  <c r="DS16" i="38"/>
  <c r="ET54" i="15"/>
  <c r="EV14" i="15"/>
  <c r="EV16" i="15" s="1"/>
  <c r="ET69" i="15"/>
  <c r="DS14" i="38"/>
  <c r="DT51" i="38"/>
  <c r="BQ403" i="40"/>
  <c r="BQ404" i="40" s="1"/>
  <c r="DN107" i="15"/>
  <c r="DN113" i="15"/>
  <c r="DI107" i="15"/>
  <c r="EC107" i="15"/>
  <c r="DF113" i="15"/>
  <c r="CX107" i="15"/>
  <c r="DA107" i="15"/>
  <c r="EE107" i="15"/>
  <c r="ER28" i="29"/>
  <c r="DT88" i="38"/>
  <c r="DU88" i="38"/>
  <c r="DS88" i="38"/>
  <c r="DN88" i="38"/>
  <c r="BD33" i="38"/>
  <c r="S33" i="38"/>
  <c r="DO79" i="38"/>
  <c r="DN79" i="38"/>
  <c r="DP88" i="38"/>
  <c r="CZ35" i="38"/>
  <c r="BT33" i="38"/>
  <c r="CD33" i="38"/>
  <c r="CR33" i="38"/>
  <c r="BJ33" i="38"/>
  <c r="CI90" i="38"/>
  <c r="S35" i="38"/>
  <c r="BL35" i="38"/>
  <c r="O33" i="38"/>
  <c r="CO33" i="38"/>
  <c r="CA35" i="38"/>
  <c r="CA33" i="38"/>
  <c r="CJ33" i="38"/>
  <c r="DJ33" i="38"/>
  <c r="DK92" i="38"/>
  <c r="DK90" i="38"/>
  <c r="DG113" i="15"/>
  <c r="DG107" i="15"/>
  <c r="EL107" i="15"/>
  <c r="EL113" i="15"/>
  <c r="CO403" i="40"/>
  <c r="CO404" i="40" s="1"/>
  <c r="CT107" i="15"/>
  <c r="EH107" i="15"/>
  <c r="DM113" i="15"/>
  <c r="CW107" i="15"/>
  <c r="DL107" i="15"/>
  <c r="EM107" i="15"/>
  <c r="CH403" i="40"/>
  <c r="CH404" i="40" s="1"/>
  <c r="CG403" i="40"/>
  <c r="CG404" i="40" s="1"/>
  <c r="ED113" i="15"/>
  <c r="EN107" i="15"/>
  <c r="EN113" i="15"/>
  <c r="CQ403" i="40"/>
  <c r="CQ404" i="40" s="1"/>
  <c r="CL107" i="15"/>
  <c r="DM79" i="38"/>
  <c r="DI113" i="15"/>
  <c r="BL403" i="40"/>
  <c r="BL404" i="40" s="1"/>
  <c r="DH107" i="15"/>
  <c r="DH113" i="15"/>
  <c r="DQ113" i="15"/>
  <c r="BT403" i="40"/>
  <c r="BT404" i="40" s="1"/>
  <c r="EP113" i="15"/>
  <c r="CS403" i="40"/>
  <c r="CS404" i="40" s="1"/>
  <c r="DP107" i="15"/>
  <c r="BS403" i="40"/>
  <c r="BS404" i="40" s="1"/>
  <c r="DP113" i="15"/>
  <c r="EO113" i="15"/>
  <c r="CR403" i="40"/>
  <c r="CR404" i="40" s="1"/>
  <c r="DJ113" i="15"/>
  <c r="BM403" i="40"/>
  <c r="BM404" i="40" s="1"/>
  <c r="EF107" i="15"/>
  <c r="EF113" i="15"/>
  <c r="CI403" i="40"/>
  <c r="CI404" i="40" s="1"/>
  <c r="ED107" i="15"/>
  <c r="DO107" i="15"/>
  <c r="EP107" i="15"/>
  <c r="EH113" i="15"/>
  <c r="CK403" i="40"/>
  <c r="CK404" i="40" s="1"/>
  <c r="DL55" i="8"/>
  <c r="DL52" i="8"/>
  <c r="DM55" i="8"/>
  <c r="DH55" i="8"/>
  <c r="DH52" i="8"/>
  <c r="DN58" i="8"/>
  <c r="DN45" i="8"/>
  <c r="DN46" i="8" s="1"/>
  <c r="EC52" i="8"/>
  <c r="DV52" i="8"/>
  <c r="DP55" i="8"/>
  <c r="DP52" i="8"/>
  <c r="DI52" i="8"/>
  <c r="DI55" i="8"/>
  <c r="P106" i="64"/>
  <c r="P122" i="64" s="1"/>
  <c r="P106" i="1"/>
  <c r="P122" i="1" s="1"/>
  <c r="DU52" i="8"/>
  <c r="DU55" i="8"/>
  <c r="DQ55" i="8"/>
  <c r="DQ52" i="8"/>
  <c r="DW90" i="15"/>
  <c r="DW105" i="15" s="1"/>
  <c r="DW107" i="15" s="1"/>
  <c r="HW108" i="15"/>
  <c r="HW109" i="15" s="1"/>
  <c r="DT90" i="15"/>
  <c r="DT105" i="15" s="1"/>
  <c r="DT113" i="15" s="1"/>
  <c r="CF62" i="38"/>
  <c r="DL62" i="38"/>
  <c r="CW62" i="38"/>
  <c r="DP62" i="38"/>
  <c r="EQ28" i="29"/>
  <c r="CH62" i="38"/>
  <c r="CI62" i="38"/>
  <c r="ES33" i="29"/>
  <c r="ES28" i="29"/>
  <c r="CR62" i="38"/>
  <c r="DI62" i="38"/>
  <c r="DJ62" i="38"/>
  <c r="CG62" i="38"/>
  <c r="CB62" i="38"/>
  <c r="DH62" i="38"/>
  <c r="DO29" i="38"/>
  <c r="ER23" i="29"/>
  <c r="ER24" i="29" s="1"/>
  <c r="CX62" i="38"/>
  <c r="CJ62" i="38"/>
  <c r="CZ62" i="38"/>
  <c r="CC62" i="38"/>
  <c r="CD62" i="38"/>
  <c r="CE62" i="38"/>
  <c r="CK62" i="38"/>
  <c r="CA62" i="38"/>
  <c r="CL62" i="38"/>
  <c r="CM62" i="38"/>
  <c r="DN62" i="38"/>
  <c r="CS62" i="38"/>
  <c r="CT62" i="38"/>
  <c r="CU62" i="38"/>
  <c r="CV62" i="38"/>
  <c r="DM62" i="38"/>
  <c r="DR88" i="38"/>
  <c r="DO88" i="38"/>
  <c r="DO92" i="38" s="1"/>
  <c r="DA62" i="38"/>
  <c r="DB62" i="38"/>
  <c r="DC62" i="38"/>
  <c r="DD62" i="38"/>
  <c r="BY62" i="38"/>
  <c r="BZ62" i="38"/>
  <c r="DQ88" i="38"/>
  <c r="CQ62" i="38"/>
  <c r="BX62" i="38"/>
  <c r="CO62" i="38"/>
  <c r="CP62" i="38"/>
  <c r="ER71" i="29"/>
  <c r="DK62" i="38"/>
  <c r="DQ62" i="38"/>
  <c r="DR62" i="38"/>
  <c r="BW62" i="38"/>
  <c r="CY62" i="38"/>
  <c r="CN62" i="38"/>
  <c r="DE62" i="38"/>
  <c r="DG62" i="38"/>
  <c r="ER33" i="29"/>
  <c r="DF62" i="38"/>
  <c r="DO62" i="38"/>
  <c r="EF43" i="8"/>
  <c r="EE43" i="8"/>
  <c r="N77" i="64"/>
  <c r="N79" i="64" s="1"/>
  <c r="N83" i="64" s="1"/>
  <c r="N92" i="64" s="1"/>
  <c r="P75" i="64"/>
  <c r="T75" i="64" s="1"/>
  <c r="J38" i="65" s="1"/>
  <c r="J43" i="65" s="1"/>
  <c r="N77" i="1"/>
  <c r="BH26" i="49"/>
  <c r="BH15" i="49"/>
  <c r="ES71" i="29"/>
  <c r="EQ70" i="29"/>
  <c r="EQ72" i="29" s="1"/>
  <c r="EF11" i="8"/>
  <c r="EQ33" i="29"/>
  <c r="ES11" i="29"/>
  <c r="ER11" i="29"/>
  <c r="EQ11" i="29"/>
  <c r="ES40" i="29"/>
  <c r="ES41" i="29" s="1"/>
  <c r="ES23" i="29"/>
  <c r="ES24" i="29" s="1"/>
  <c r="DY90" i="15"/>
  <c r="DY105" i="15" s="1"/>
  <c r="DY113" i="15" s="1"/>
  <c r="EF22" i="8"/>
  <c r="EQ19" i="29"/>
  <c r="EP85" i="29"/>
  <c r="J58" i="78"/>
  <c r="EA37" i="29"/>
  <c r="DR37" i="29"/>
  <c r="EO34" i="29"/>
  <c r="EI37" i="29"/>
  <c r="EN36" i="29"/>
  <c r="EP34" i="29"/>
  <c r="B116" i="64" s="1"/>
  <c r="EO36" i="29"/>
  <c r="EG37" i="29"/>
  <c r="EH37" i="29"/>
  <c r="DX37" i="29"/>
  <c r="EM37" i="29"/>
  <c r="EP72" i="29"/>
  <c r="J113" i="64"/>
  <c r="J148" i="78"/>
  <c r="J125" i="78"/>
  <c r="J118" i="78"/>
  <c r="J98" i="78"/>
  <c r="J111" i="78"/>
  <c r="J37" i="78"/>
  <c r="J93" i="78"/>
  <c r="J65" i="78"/>
  <c r="J49" i="78"/>
  <c r="J63" i="1"/>
  <c r="EQ99" i="15"/>
  <c r="DP74" i="38"/>
  <c r="BC33" i="38"/>
  <c r="BC35" i="38"/>
  <c r="BN33" i="38"/>
  <c r="BN35" i="38"/>
  <c r="CW35" i="38"/>
  <c r="CW33" i="38"/>
  <c r="AR35" i="38"/>
  <c r="AR33" i="38"/>
  <c r="CV35" i="38"/>
  <c r="CV33" i="38"/>
  <c r="Z35" i="38"/>
  <c r="Z33" i="38"/>
  <c r="BI35" i="38"/>
  <c r="BI33" i="38"/>
  <c r="CH33" i="38"/>
  <c r="CH35" i="38"/>
  <c r="DI33" i="38"/>
  <c r="DI35" i="38"/>
  <c r="DG90" i="38"/>
  <c r="DG92" i="38"/>
  <c r="F57" i="48"/>
  <c r="H57" i="48"/>
  <c r="CL90" i="38"/>
  <c r="CL92" i="38"/>
  <c r="CW92" i="38"/>
  <c r="CW90" i="38"/>
  <c r="F52" i="46"/>
  <c r="H52" i="46"/>
  <c r="EP15" i="29"/>
  <c r="EO15" i="29"/>
  <c r="EN15" i="29"/>
  <c r="EN20" i="29" s="1"/>
  <c r="EQ14" i="15"/>
  <c r="DM20" i="38"/>
  <c r="DN20" i="38"/>
  <c r="P33" i="38"/>
  <c r="P35" i="38"/>
  <c r="Q35" i="38"/>
  <c r="Q33" i="38"/>
  <c r="AA35" i="38"/>
  <c r="AA33" i="38"/>
  <c r="BK33" i="38"/>
  <c r="BK35" i="38"/>
  <c r="D47" i="44"/>
  <c r="C60" i="75"/>
  <c r="D60" i="75" s="1"/>
  <c r="CK90" i="38"/>
  <c r="CK92" i="38"/>
  <c r="CY90" i="38"/>
  <c r="CY92" i="38"/>
  <c r="F53" i="45"/>
  <c r="H53" i="45"/>
  <c r="EQ64" i="15"/>
  <c r="ER41" i="15"/>
  <c r="BM33" i="38"/>
  <c r="BM35" i="38"/>
  <c r="AG35" i="38"/>
  <c r="AG33" i="38"/>
  <c r="BO26" i="49"/>
  <c r="BO37" i="49" s="1"/>
  <c r="BP3" i="49"/>
  <c r="BO15" i="49"/>
  <c r="DG35" i="38"/>
  <c r="DG33" i="38"/>
  <c r="AZ35" i="38"/>
  <c r="AZ33" i="38"/>
  <c r="DD35" i="38"/>
  <c r="DD33" i="38"/>
  <c r="AL35" i="38"/>
  <c r="AL33" i="38"/>
  <c r="CM35" i="38"/>
  <c r="CM33" i="38"/>
  <c r="BZ15" i="49"/>
  <c r="BZ26" i="49"/>
  <c r="BZ37" i="49" s="1"/>
  <c r="CA3" i="49"/>
  <c r="B130" i="64"/>
  <c r="F57" i="60"/>
  <c r="H57" i="60"/>
  <c r="N4" i="78"/>
  <c r="N5" i="78" s="1"/>
  <c r="D6" i="60"/>
  <c r="D6" i="42"/>
  <c r="D6" i="48"/>
  <c r="EA90" i="15"/>
  <c r="EA105" i="15" s="1"/>
  <c r="DL113" i="15"/>
  <c r="BO403" i="40"/>
  <c r="BO404" i="40" s="1"/>
  <c r="DC58" i="8"/>
  <c r="H24" i="65"/>
  <c r="K24" i="65"/>
  <c r="R70" i="64"/>
  <c r="T70" i="64" s="1"/>
  <c r="C202" i="2"/>
  <c r="ER99" i="15"/>
  <c r="DQ74" i="38"/>
  <c r="DQ77" i="38" s="1"/>
  <c r="R68" i="64"/>
  <c r="T68" i="64" s="1"/>
  <c r="K30" i="65"/>
  <c r="L30" i="65" s="1"/>
  <c r="H186" i="2"/>
  <c r="DV90" i="15"/>
  <c r="DV105" i="15" s="1"/>
  <c r="D245" i="16"/>
  <c r="F246" i="16"/>
  <c r="AD12" i="38"/>
  <c r="AC40" i="38"/>
  <c r="AC24" i="38"/>
  <c r="AV33" i="38"/>
  <c r="AV35" i="38"/>
  <c r="Y33" i="38"/>
  <c r="Y35" i="38"/>
  <c r="BY33" i="38"/>
  <c r="BY35" i="38"/>
  <c r="BO35" i="38"/>
  <c r="BO33" i="38"/>
  <c r="AQ33" i="38"/>
  <c r="AQ35" i="38"/>
  <c r="X33" i="38"/>
  <c r="X35" i="38"/>
  <c r="F117" i="64"/>
  <c r="F117" i="1"/>
  <c r="BH35" i="38"/>
  <c r="BH33" i="38"/>
  <c r="DL35" i="38"/>
  <c r="DL33" i="38"/>
  <c r="AO33" i="38"/>
  <c r="AO35" i="38"/>
  <c r="BR35" i="38"/>
  <c r="BR33" i="38"/>
  <c r="CP33" i="38"/>
  <c r="CP35" i="38"/>
  <c r="DT37" i="29"/>
  <c r="L26" i="65"/>
  <c r="EP29" i="29"/>
  <c r="H57" i="42"/>
  <c r="F57" i="42"/>
  <c r="EF37" i="29"/>
  <c r="CP92" i="38"/>
  <c r="CP90" i="38"/>
  <c r="DB90" i="38"/>
  <c r="DB92" i="38"/>
  <c r="K105" i="78" a="1"/>
  <c r="K105" i="78" s="1"/>
  <c r="K109" i="78" a="1"/>
  <c r="K109" i="78" s="1"/>
  <c r="K45" i="78"/>
  <c r="K61" i="78"/>
  <c r="K46" i="78"/>
  <c r="K62" i="78"/>
  <c r="K64" i="78"/>
  <c r="K91" i="78" a="1"/>
  <c r="K91" i="78" s="1"/>
  <c r="K41" i="78"/>
  <c r="K122" i="78" a="1"/>
  <c r="K122" i="78" s="1"/>
  <c r="K77" i="78" a="1"/>
  <c r="K77" i="78" s="1"/>
  <c r="K90" i="78" a="1"/>
  <c r="K90" i="78" s="1"/>
  <c r="K108" i="78" a="1"/>
  <c r="K108" i="78" s="1"/>
  <c r="K132" i="78" a="1"/>
  <c r="K132" i="78" s="1"/>
  <c r="K140" i="78" a="1"/>
  <c r="K140" i="78" s="1"/>
  <c r="K144" i="78" a="1"/>
  <c r="K144" i="78" s="1"/>
  <c r="K151" i="78"/>
  <c r="K36" i="78"/>
  <c r="K52" i="78"/>
  <c r="K53" i="78" s="1"/>
  <c r="K40" i="78"/>
  <c r="K56" i="78"/>
  <c r="K104" i="78" a="1"/>
  <c r="K104" i="78" s="1"/>
  <c r="K117" i="78" a="1"/>
  <c r="K117" i="78" s="1"/>
  <c r="K137" i="78" a="1"/>
  <c r="K137" i="78" s="1"/>
  <c r="K141" i="78" a="1"/>
  <c r="K141" i="78" s="1"/>
  <c r="K145" i="78" a="1"/>
  <c r="K145" i="78" s="1"/>
  <c r="K92" i="78" a="1"/>
  <c r="K92" i="78" s="1"/>
  <c r="K110" i="78" a="1"/>
  <c r="K110" i="78" s="1"/>
  <c r="K124" i="78" a="1"/>
  <c r="K124" i="78" s="1"/>
  <c r="K35" i="78"/>
  <c r="K146" i="78" a="1"/>
  <c r="K146" i="78" s="1"/>
  <c r="K48" i="78"/>
  <c r="K143" i="78" a="1"/>
  <c r="K143" i="78" s="1"/>
  <c r="K135" i="78" a="1"/>
  <c r="K135" i="78" s="1"/>
  <c r="L2" i="78"/>
  <c r="K147" i="78" a="1"/>
  <c r="K147" i="78" s="1"/>
  <c r="H52" i="60"/>
  <c r="F52" i="60"/>
  <c r="F52" i="47"/>
  <c r="H52" i="47"/>
  <c r="EB52" i="8"/>
  <c r="EB55" i="8"/>
  <c r="HV108" i="15"/>
  <c r="HV109" i="15" s="1"/>
  <c r="CU398" i="40"/>
  <c r="EG34" i="8"/>
  <c r="EE34" i="8"/>
  <c r="CU45" i="8"/>
  <c r="CU58" i="8"/>
  <c r="ER14" i="15"/>
  <c r="CY33" i="38"/>
  <c r="CY35" i="38"/>
  <c r="BE35" i="38"/>
  <c r="BE33" i="38"/>
  <c r="CI33" i="38"/>
  <c r="CI35" i="38"/>
  <c r="BW33" i="38"/>
  <c r="BW35" i="38"/>
  <c r="CN92" i="38"/>
  <c r="CN90" i="38"/>
  <c r="DU37" i="29"/>
  <c r="DV37" i="29"/>
  <c r="F57" i="47"/>
  <c r="H57" i="47"/>
  <c r="EN29" i="29"/>
  <c r="CO92" i="38"/>
  <c r="CO90" i="38"/>
  <c r="DA90" i="38"/>
  <c r="DA92" i="38"/>
  <c r="EO20" i="29"/>
  <c r="D56" i="42"/>
  <c r="D56" i="60"/>
  <c r="D56" i="46"/>
  <c r="D56" i="47"/>
  <c r="D57" i="59"/>
  <c r="D57" i="45"/>
  <c r="F56" i="44"/>
  <c r="D56" i="48"/>
  <c r="H56" i="44"/>
  <c r="D56" i="66"/>
  <c r="EJ37" i="29"/>
  <c r="F55" i="47"/>
  <c r="H55" i="47"/>
  <c r="F52" i="48"/>
  <c r="H52" i="48"/>
  <c r="EF34" i="8"/>
  <c r="EG22" i="8"/>
  <c r="B168" i="64"/>
  <c r="R141" i="64"/>
  <c r="R132" i="64"/>
  <c r="EQ103" i="15"/>
  <c r="ER69" i="15"/>
  <c r="DQ14" i="38"/>
  <c r="DR52" i="8"/>
  <c r="DR55" i="8"/>
  <c r="CW45" i="8"/>
  <c r="CW58" i="8"/>
  <c r="DZ90" i="15"/>
  <c r="DZ105" i="15" s="1"/>
  <c r="B150" i="2"/>
  <c r="B153" i="2" s="1"/>
  <c r="ES99" i="15"/>
  <c r="DR74" i="38"/>
  <c r="H110" i="64"/>
  <c r="H110" i="1"/>
  <c r="J38" i="2"/>
  <c r="C50" i="75"/>
  <c r="C20" i="75"/>
  <c r="AK35" i="38"/>
  <c r="AK33" i="38"/>
  <c r="BP35" i="38"/>
  <c r="BP33" i="38"/>
  <c r="AM33" i="38"/>
  <c r="AM35" i="38"/>
  <c r="CQ33" i="38"/>
  <c r="CQ35" i="38"/>
  <c r="F114" i="64"/>
  <c r="F58" i="45"/>
  <c r="H58" i="45"/>
  <c r="EJ113" i="15"/>
  <c r="CM403" i="40"/>
  <c r="CM404" i="40" s="1"/>
  <c r="DA58" i="8"/>
  <c r="EJ107" i="15"/>
  <c r="CZ43" i="8"/>
  <c r="CZ45" i="8" s="1"/>
  <c r="B131" i="2"/>
  <c r="DR75" i="38"/>
  <c r="ER90" i="15"/>
  <c r="B73" i="2"/>
  <c r="ES41" i="15"/>
  <c r="L55" i="64"/>
  <c r="G33" i="65"/>
  <c r="L33" i="65" s="1"/>
  <c r="R59" i="64"/>
  <c r="K17" i="65"/>
  <c r="C182" i="2"/>
  <c r="EQ21" i="15"/>
  <c r="DH33" i="38"/>
  <c r="DH35" i="38"/>
  <c r="CS35" i="38"/>
  <c r="CS33" i="38"/>
  <c r="DE33" i="38"/>
  <c r="DE35" i="38"/>
  <c r="AI33" i="38"/>
  <c r="AI35" i="38"/>
  <c r="DO20" i="38"/>
  <c r="AW35" i="38"/>
  <c r="AW33" i="38"/>
  <c r="BX35" i="38"/>
  <c r="BX33" i="38"/>
  <c r="AT33" i="38"/>
  <c r="AT35" i="38"/>
  <c r="BS33" i="38"/>
  <c r="BS35" i="38"/>
  <c r="CX33" i="38"/>
  <c r="CX35" i="38"/>
  <c r="CV92" i="38"/>
  <c r="CV90" i="38"/>
  <c r="EC37" i="29"/>
  <c r="ED37" i="29"/>
  <c r="H57" i="46"/>
  <c r="F57" i="46"/>
  <c r="EN37" i="29"/>
  <c r="DS37" i="29"/>
  <c r="CR90" i="38"/>
  <c r="CR92" i="38"/>
  <c r="DF92" i="38"/>
  <c r="DF90" i="38"/>
  <c r="B109" i="64"/>
  <c r="EB37" i="29"/>
  <c r="B137" i="2"/>
  <c r="DR76" i="38"/>
  <c r="DF41" i="8"/>
  <c r="DF43" i="8" s="1"/>
  <c r="DF45" i="8" s="1"/>
  <c r="DA43" i="8"/>
  <c r="DA45" i="8" s="1"/>
  <c r="DQ26" i="38"/>
  <c r="DQ29" i="38" s="1"/>
  <c r="D144" i="64"/>
  <c r="D144" i="1"/>
  <c r="CX58" i="8"/>
  <c r="ER64" i="15"/>
  <c r="ER54" i="15"/>
  <c r="DQ16" i="38"/>
  <c r="K27" i="65"/>
  <c r="L27" i="65" s="1"/>
  <c r="H178" i="2"/>
  <c r="B155" i="2"/>
  <c r="B158" i="2" s="1"/>
  <c r="H190" i="2" s="1"/>
  <c r="ES103" i="15"/>
  <c r="EQ90" i="15"/>
  <c r="B57" i="2"/>
  <c r="ES14" i="15"/>
  <c r="K19" i="65"/>
  <c r="L19" i="65" s="1"/>
  <c r="R62" i="64"/>
  <c r="T62" i="64" s="1"/>
  <c r="C185" i="2"/>
  <c r="F118" i="64"/>
  <c r="F118" i="1"/>
  <c r="K107" i="78" s="1" a="1"/>
  <c r="K107" i="78" s="1"/>
  <c r="U33" i="38"/>
  <c r="U35" i="38"/>
  <c r="DC33" i="38"/>
  <c r="DC35" i="38"/>
  <c r="BQ35" i="38"/>
  <c r="BQ33" i="38"/>
  <c r="BG33" i="38"/>
  <c r="BG35" i="38"/>
  <c r="BA26" i="49"/>
  <c r="BD3" i="49"/>
  <c r="BA15" i="49"/>
  <c r="T35" i="38"/>
  <c r="T33" i="38"/>
  <c r="CG33" i="38"/>
  <c r="CG35" i="38"/>
  <c r="R35" i="38"/>
  <c r="R33" i="38"/>
  <c r="BA33" i="38"/>
  <c r="BA35" i="38"/>
  <c r="BZ35" i="38"/>
  <c r="BZ33" i="38"/>
  <c r="DA33" i="38"/>
  <c r="DA35" i="38"/>
  <c r="DD92" i="38"/>
  <c r="DD90" i="38"/>
  <c r="EO29" i="29"/>
  <c r="D44" i="48"/>
  <c r="D44" i="47"/>
  <c r="D45" i="45"/>
  <c r="D44" i="46"/>
  <c r="D44" i="66"/>
  <c r="D44" i="60"/>
  <c r="D45" i="59"/>
  <c r="F44" i="44"/>
  <c r="H44" i="44"/>
  <c r="D44" i="42"/>
  <c r="D53" i="44"/>
  <c r="C65" i="75"/>
  <c r="D65" i="75" s="1"/>
  <c r="EL37" i="29"/>
  <c r="CS90" i="38"/>
  <c r="CS92" i="38"/>
  <c r="DE92" i="38"/>
  <c r="DE90" i="38"/>
  <c r="EE37" i="29"/>
  <c r="DW37" i="29"/>
  <c r="F53" i="59"/>
  <c r="H53" i="59"/>
  <c r="B120" i="2"/>
  <c r="ES69" i="15"/>
  <c r="DR14" i="38"/>
  <c r="DJ52" i="8"/>
  <c r="DJ55" i="8"/>
  <c r="CN403" i="40"/>
  <c r="CN404" i="40" s="1"/>
  <c r="EK113" i="15"/>
  <c r="EK107" i="15"/>
  <c r="G28" i="65"/>
  <c r="L28" i="65" s="1"/>
  <c r="R66" i="64"/>
  <c r="T66" i="64" s="1"/>
  <c r="H183" i="2"/>
  <c r="EE11" i="8"/>
  <c r="B113" i="2"/>
  <c r="B117" i="2" s="1"/>
  <c r="ES64" i="15"/>
  <c r="DX90" i="15"/>
  <c r="DX105" i="15" s="1"/>
  <c r="DP75" i="38"/>
  <c r="CT33" i="38"/>
  <c r="CT35" i="38"/>
  <c r="D17" i="16"/>
  <c r="F18" i="16"/>
  <c r="BU33" i="38"/>
  <c r="BU35" i="38"/>
  <c r="L14" i="2"/>
  <c r="N144" i="64"/>
  <c r="N144" i="1"/>
  <c r="H144" i="64"/>
  <c r="H144" i="1"/>
  <c r="EC55" i="8"/>
  <c r="EQ54" i="15"/>
  <c r="DP16" i="38"/>
  <c r="DT52" i="8"/>
  <c r="DT55" i="8"/>
  <c r="CU6" i="15"/>
  <c r="FX6" i="15"/>
  <c r="B83" i="2"/>
  <c r="C189" i="2" s="1"/>
  <c r="EG11" i="8"/>
  <c r="CX41" i="8"/>
  <c r="CX43" i="8" s="1"/>
  <c r="CX45" i="8" s="1"/>
  <c r="DE41" i="8"/>
  <c r="DE43" i="8" s="1"/>
  <c r="DE45" i="8" s="1"/>
  <c r="DB43" i="8"/>
  <c r="DB45" i="8" s="1"/>
  <c r="DR26" i="38"/>
  <c r="DR29" i="38" s="1"/>
  <c r="CY43" i="8"/>
  <c r="CY45" i="8" s="1"/>
  <c r="CY58" i="8"/>
  <c r="L144" i="64"/>
  <c r="L144" i="1"/>
  <c r="DB58" i="8"/>
  <c r="R73" i="64"/>
  <c r="T73" i="64" s="1"/>
  <c r="C194" i="2"/>
  <c r="K29" i="65"/>
  <c r="L29" i="65" s="1"/>
  <c r="H185" i="2"/>
  <c r="R67" i="64"/>
  <c r="T67" i="64" s="1"/>
  <c r="B127" i="2"/>
  <c r="ES90" i="15"/>
  <c r="B67" i="2"/>
  <c r="ES21" i="15"/>
  <c r="AF33" i="38"/>
  <c r="AF35" i="38"/>
  <c r="AO26" i="49"/>
  <c r="AP3" i="49"/>
  <c r="AO15" i="49"/>
  <c r="CK35" i="38"/>
  <c r="CK33" i="38"/>
  <c r="CB33" i="38"/>
  <c r="CB35" i="38"/>
  <c r="AB35" i="38"/>
  <c r="AB33" i="38"/>
  <c r="CF35" i="38"/>
  <c r="CF33" i="38"/>
  <c r="V33" i="38"/>
  <c r="V35" i="38"/>
  <c r="AX33" i="38"/>
  <c r="AX35" i="38"/>
  <c r="CE33" i="38"/>
  <c r="CE35" i="38"/>
  <c r="DF35" i="38"/>
  <c r="DF33" i="38"/>
  <c r="DL92" i="38"/>
  <c r="DL90" i="38"/>
  <c r="E7" i="3"/>
  <c r="E40" i="3"/>
  <c r="DZ37" i="29"/>
  <c r="F58" i="59"/>
  <c r="H58" i="59"/>
  <c r="CT90" i="38"/>
  <c r="CT92" i="38"/>
  <c r="DI90" i="38"/>
  <c r="DI92" i="38"/>
  <c r="J80" i="78"/>
  <c r="T17" i="78"/>
  <c r="T18" i="78"/>
  <c r="T19" i="78"/>
  <c r="T5" i="78"/>
  <c r="T2" i="78"/>
  <c r="F52" i="42"/>
  <c r="H52" i="42"/>
  <c r="EE22" i="8"/>
  <c r="CZ58" i="8"/>
  <c r="EB113" i="15"/>
  <c r="CE403" i="40"/>
  <c r="CE404" i="40" s="1"/>
  <c r="EQ69" i="15"/>
  <c r="DP14" i="38"/>
  <c r="B92" i="2"/>
  <c r="ES54" i="15"/>
  <c r="DR16" i="38"/>
  <c r="DD43" i="8"/>
  <c r="DD45" i="8" s="1"/>
  <c r="DC43" i="8"/>
  <c r="DC45" i="8" s="1"/>
  <c r="DP26" i="38"/>
  <c r="DP29" i="38" s="1"/>
  <c r="J144" i="64"/>
  <c r="J144" i="1"/>
  <c r="CV45" i="8"/>
  <c r="CV58" i="8"/>
  <c r="EG113" i="15"/>
  <c r="CJ403" i="40"/>
  <c r="CJ404" i="40" s="1"/>
  <c r="R65" i="64"/>
  <c r="T65" i="64" s="1"/>
  <c r="K25" i="65"/>
  <c r="L25" i="65" s="1"/>
  <c r="C203" i="2"/>
  <c r="DU90" i="15"/>
  <c r="DU105" i="15" s="1"/>
  <c r="R61" i="64"/>
  <c r="T61" i="64" s="1"/>
  <c r="K21" i="65"/>
  <c r="L21" i="65" s="1"/>
  <c r="C187" i="2"/>
  <c r="DP76" i="38"/>
  <c r="B121" i="2"/>
  <c r="DR15" i="38"/>
  <c r="DP15" i="38"/>
  <c r="EQ41" i="15"/>
  <c r="AD15" i="49"/>
  <c r="AE3" i="49"/>
  <c r="AD26" i="49"/>
  <c r="AS33" i="38"/>
  <c r="AS35" i="38"/>
  <c r="AH33" i="38"/>
  <c r="AH35" i="38"/>
  <c r="CU35" i="38"/>
  <c r="CU33" i="38"/>
  <c r="CL35" i="38"/>
  <c r="CL33" i="38"/>
  <c r="AJ35" i="38"/>
  <c r="AJ33" i="38"/>
  <c r="CN35" i="38"/>
  <c r="CN33" i="38"/>
  <c r="BF15" i="49"/>
  <c r="BF26" i="49"/>
  <c r="BI3" i="49"/>
  <c r="AD33" i="38"/>
  <c r="AD35" i="38"/>
  <c r="BB33" i="38"/>
  <c r="BB35" i="38"/>
  <c r="CC35" i="38"/>
  <c r="CC33" i="38"/>
  <c r="DK35" i="38"/>
  <c r="DK33" i="38"/>
  <c r="CQ90" i="38"/>
  <c r="CQ92" i="38"/>
  <c r="F57" i="66"/>
  <c r="H57" i="66"/>
  <c r="DY37" i="29"/>
  <c r="CJ90" i="38"/>
  <c r="CJ92" i="38"/>
  <c r="CX92" i="38"/>
  <c r="CX90" i="38"/>
  <c r="DJ90" i="38"/>
  <c r="DJ92" i="38"/>
  <c r="G14" i="57"/>
  <c r="EK37" i="29"/>
  <c r="U13" i="78"/>
  <c r="U14" i="78"/>
  <c r="S20" i="78"/>
  <c r="H52" i="66"/>
  <c r="F52" i="66"/>
  <c r="EZ41" i="29" l="1"/>
  <c r="FD40" i="29"/>
  <c r="FD71" i="15"/>
  <c r="FD99" i="15"/>
  <c r="FC71" i="15"/>
  <c r="EQ24" i="8"/>
  <c r="EQ45" i="8" s="1"/>
  <c r="EC92" i="38"/>
  <c r="ER24" i="8"/>
  <c r="ER45" i="8" s="1"/>
  <c r="FD56" i="15"/>
  <c r="ED18" i="38"/>
  <c r="EC18" i="38"/>
  <c r="FC56" i="15"/>
  <c r="FE56" i="15"/>
  <c r="FC99" i="15"/>
  <c r="EB74" i="38"/>
  <c r="EB77" i="38" s="1"/>
  <c r="EB92" i="38" s="1"/>
  <c r="FF64" i="15"/>
  <c r="D13" i="75" s="1"/>
  <c r="FE71" i="15"/>
  <c r="FE105" i="15" s="1"/>
  <c r="FB41" i="29"/>
  <c r="H40" i="2" s="1"/>
  <c r="G40" i="2"/>
  <c r="ET41" i="8"/>
  <c r="ES43" i="8"/>
  <c r="ES24" i="8"/>
  <c r="EK24" i="8"/>
  <c r="EK58" i="8" s="1"/>
  <c r="EM24" i="8"/>
  <c r="DG52" i="8"/>
  <c r="EW71" i="15"/>
  <c r="FB71" i="15"/>
  <c r="FB56" i="15"/>
  <c r="DY77" i="38"/>
  <c r="DY18" i="38"/>
  <c r="FA56" i="15"/>
  <c r="EA74" i="38"/>
  <c r="EA77" i="38" s="1"/>
  <c r="EA92" i="38" s="1"/>
  <c r="FB99" i="15"/>
  <c r="EZ71" i="15"/>
  <c r="DZ18" i="38"/>
  <c r="FA99" i="15"/>
  <c r="FA105" i="15" s="1"/>
  <c r="DZ77" i="38"/>
  <c r="DZ92" i="38" s="1"/>
  <c r="EB18" i="38"/>
  <c r="EZ56" i="15"/>
  <c r="FA36" i="29"/>
  <c r="FA72" i="29"/>
  <c r="EZ36" i="29"/>
  <c r="FB72" i="29"/>
  <c r="FB87" i="29" s="1"/>
  <c r="EZ20" i="29"/>
  <c r="EZ72" i="29"/>
  <c r="FB36" i="29"/>
  <c r="FB20" i="29"/>
  <c r="ED92" i="38"/>
  <c r="D54" i="3" s="1"/>
  <c r="EC64" i="38"/>
  <c r="CP3" i="49"/>
  <c r="CO15" i="49"/>
  <c r="CO26" i="49"/>
  <c r="CO37" i="49" s="1"/>
  <c r="EB53" i="38"/>
  <c r="EC53" i="38"/>
  <c r="EB64" i="38"/>
  <c r="ED53" i="38"/>
  <c r="ED64" i="38"/>
  <c r="EY41" i="29"/>
  <c r="FA34" i="29"/>
  <c r="EZ34" i="29"/>
  <c r="FB34" i="29"/>
  <c r="B116" i="1" s="1"/>
  <c r="EZ29" i="29"/>
  <c r="FA29" i="29"/>
  <c r="FB29" i="29"/>
  <c r="J116" i="1" s="1"/>
  <c r="EA53" i="38"/>
  <c r="DZ53" i="38"/>
  <c r="DY53" i="38"/>
  <c r="EO24" i="8"/>
  <c r="EO58" i="8" s="1"/>
  <c r="ET43" i="8"/>
  <c r="EN43" i="8"/>
  <c r="EP43" i="8"/>
  <c r="EN24" i="8"/>
  <c r="EP24" i="8"/>
  <c r="DZ64" i="38"/>
  <c r="DY64" i="38"/>
  <c r="EA64" i="38"/>
  <c r="DY92" i="38"/>
  <c r="DO52" i="8"/>
  <c r="DY55" i="8"/>
  <c r="DO55" i="8"/>
  <c r="EW36" i="29"/>
  <c r="EX20" i="29"/>
  <c r="EW72" i="29"/>
  <c r="EY20" i="29"/>
  <c r="EW20" i="29"/>
  <c r="EY72" i="29"/>
  <c r="EX72" i="29"/>
  <c r="L38" i="65"/>
  <c r="CN15" i="49"/>
  <c r="CN26" i="49"/>
  <c r="CN37" i="49" s="1"/>
  <c r="EW34" i="29"/>
  <c r="EX34" i="29"/>
  <c r="EY34" i="29"/>
  <c r="L89" i="78" s="1" a="1"/>
  <c r="L89" i="78" s="1"/>
  <c r="EX29" i="29"/>
  <c r="EY29" i="29"/>
  <c r="EW29" i="29"/>
  <c r="T69" i="1"/>
  <c r="C46" i="75" s="1"/>
  <c r="D46" i="75" s="1"/>
  <c r="EY71" i="15"/>
  <c r="H55" i="42"/>
  <c r="EU36" i="29"/>
  <c r="H34" i="65"/>
  <c r="G34" i="65"/>
  <c r="L34" i="65" s="1"/>
  <c r="EV41" i="29"/>
  <c r="DX77" i="38"/>
  <c r="DX92" i="38" s="1"/>
  <c r="DW77" i="38"/>
  <c r="DW92" i="38" s="1"/>
  <c r="EM43" i="8"/>
  <c r="EM45" i="8" s="1"/>
  <c r="EX71" i="15"/>
  <c r="EW99" i="15"/>
  <c r="EX99" i="15"/>
  <c r="EY99" i="15"/>
  <c r="EL45" i="8"/>
  <c r="H55" i="48"/>
  <c r="EX56" i="15"/>
  <c r="EW56" i="15"/>
  <c r="EY56" i="15"/>
  <c r="EK45" i="8"/>
  <c r="DM90" i="38"/>
  <c r="EM58" i="8"/>
  <c r="DW53" i="38"/>
  <c r="DV53" i="38"/>
  <c r="DW64" i="38"/>
  <c r="EH43" i="8"/>
  <c r="DX64" i="38"/>
  <c r="DV64" i="38"/>
  <c r="DX53" i="38"/>
  <c r="DZ55" i="8"/>
  <c r="DZ52" i="8"/>
  <c r="DM31" i="38"/>
  <c r="DM35" i="38" s="1"/>
  <c r="DV31" i="38"/>
  <c r="DY52" i="8"/>
  <c r="C121" i="2"/>
  <c r="DV18" i="38"/>
  <c r="C137" i="2"/>
  <c r="C131" i="2"/>
  <c r="DN90" i="38"/>
  <c r="EJ43" i="8"/>
  <c r="ET36" i="29"/>
  <c r="EV72" i="29"/>
  <c r="EU72" i="29"/>
  <c r="ET72" i="29"/>
  <c r="ET20" i="29"/>
  <c r="EV20" i="29"/>
  <c r="EU20" i="29"/>
  <c r="EV34" i="29"/>
  <c r="EU34" i="29"/>
  <c r="ET34" i="29"/>
  <c r="ET29" i="29"/>
  <c r="EV29" i="29"/>
  <c r="EU29" i="29"/>
  <c r="EQ36" i="29"/>
  <c r="DN92" i="38"/>
  <c r="F55" i="46"/>
  <c r="H55" i="66"/>
  <c r="F56" i="59"/>
  <c r="DO31" i="38"/>
  <c r="DO35" i="38" s="1"/>
  <c r="ER29" i="29"/>
  <c r="DN31" i="38"/>
  <c r="DN35" i="38" s="1"/>
  <c r="ER36" i="29"/>
  <c r="H55" i="60"/>
  <c r="H56" i="45"/>
  <c r="BV403" i="40"/>
  <c r="BV404" i="40" s="1"/>
  <c r="DS113" i="15"/>
  <c r="EH24" i="8"/>
  <c r="EH58" i="8" s="1"/>
  <c r="EI58" i="8"/>
  <c r="EI45" i="8"/>
  <c r="EJ24" i="8"/>
  <c r="EU71" i="15"/>
  <c r="EV56" i="15"/>
  <c r="CW53" i="38"/>
  <c r="EV71" i="15"/>
  <c r="CX53" i="38"/>
  <c r="CV53" i="38"/>
  <c r="CU53" i="38"/>
  <c r="EU56" i="15"/>
  <c r="DU18" i="38"/>
  <c r="DT18" i="38"/>
  <c r="CK53" i="38"/>
  <c r="DM53" i="38"/>
  <c r="CP53" i="38"/>
  <c r="DN53" i="38"/>
  <c r="DO53" i="38"/>
  <c r="CZ53" i="38"/>
  <c r="CR53" i="38"/>
  <c r="DQ53" i="38"/>
  <c r="DC53" i="38"/>
  <c r="DE53" i="38"/>
  <c r="CL53" i="38"/>
  <c r="DL53" i="38"/>
  <c r="CQ53" i="38"/>
  <c r="DA53" i="38"/>
  <c r="DI53" i="38"/>
  <c r="DP53" i="38"/>
  <c r="DH53" i="38"/>
  <c r="CM53" i="38"/>
  <c r="DK53" i="38"/>
  <c r="DS53" i="38"/>
  <c r="DR53" i="38"/>
  <c r="DD53" i="38"/>
  <c r="CS53" i="38"/>
  <c r="CY53" i="38"/>
  <c r="DB53" i="38"/>
  <c r="DF53" i="38"/>
  <c r="CN53" i="38"/>
  <c r="CO53" i="38"/>
  <c r="DG53" i="38"/>
  <c r="CT53" i="38"/>
  <c r="DJ53" i="38"/>
  <c r="CI53" i="38"/>
  <c r="DT53" i="38"/>
  <c r="CJ53" i="38"/>
  <c r="ET56" i="15"/>
  <c r="DU53" i="38"/>
  <c r="DS18" i="38"/>
  <c r="DS74" i="38"/>
  <c r="DS77" i="38" s="1"/>
  <c r="DS92" i="38" s="1"/>
  <c r="ET99" i="15"/>
  <c r="DT74" i="38"/>
  <c r="DT77" i="38" s="1"/>
  <c r="DT92" i="38" s="1"/>
  <c r="EU99" i="15"/>
  <c r="DU74" i="38"/>
  <c r="DU77" i="38" s="1"/>
  <c r="DU92" i="38" s="1"/>
  <c r="EV99" i="15"/>
  <c r="ET71" i="15"/>
  <c r="EQ29" i="29"/>
  <c r="ES36" i="29"/>
  <c r="BU403" i="40"/>
  <c r="BU404" i="40" s="1"/>
  <c r="DR113" i="15"/>
  <c r="DS64" i="38"/>
  <c r="DS31" i="38"/>
  <c r="DT31" i="38"/>
  <c r="DU31" i="38"/>
  <c r="DU64" i="38"/>
  <c r="DT64" i="38"/>
  <c r="BZ403" i="40"/>
  <c r="BZ404" i="40" s="1"/>
  <c r="DW113" i="15"/>
  <c r="DT107" i="15"/>
  <c r="BW403" i="40"/>
  <c r="BW404" i="40" s="1"/>
  <c r="DN55" i="8"/>
  <c r="DN52" i="8"/>
  <c r="T122" i="1"/>
  <c r="V122" i="1" s="1"/>
  <c r="D54" i="44" s="1"/>
  <c r="P126" i="1"/>
  <c r="P128" i="1" s="1"/>
  <c r="P126" i="64"/>
  <c r="P128" i="64" s="1"/>
  <c r="T122" i="64"/>
  <c r="V122" i="64" s="1"/>
  <c r="N79" i="1"/>
  <c r="N83" i="1" s="1"/>
  <c r="N92" i="1" s="1"/>
  <c r="D10" i="44" s="1"/>
  <c r="D10" i="66" s="1"/>
  <c r="F10" i="66" s="1"/>
  <c r="R70" i="1"/>
  <c r="T70" i="1" s="1"/>
  <c r="C47" i="75" s="1"/>
  <c r="D47" i="75" s="1"/>
  <c r="B202" i="2"/>
  <c r="B37" i="77" s="1"/>
  <c r="F37" i="77" s="1"/>
  <c r="H24" i="2"/>
  <c r="L24" i="2" s="1"/>
  <c r="G33" i="2"/>
  <c r="L33" i="2" s="1"/>
  <c r="C83" i="2"/>
  <c r="B189" i="2" s="1"/>
  <c r="B24" i="77" s="1"/>
  <c r="F24" i="77" s="1"/>
  <c r="DY107" i="15"/>
  <c r="H206" i="2"/>
  <c r="ES29" i="29"/>
  <c r="ES78" i="29"/>
  <c r="DQ92" i="38"/>
  <c r="ES77" i="29"/>
  <c r="ES15" i="29"/>
  <c r="ER19" i="29"/>
  <c r="ER78" i="29"/>
  <c r="DO90" i="38"/>
  <c r="CN64" i="38"/>
  <c r="CN68" i="38" s="1"/>
  <c r="CM64" i="38"/>
  <c r="CM68" i="38" s="1"/>
  <c r="CU64" i="38"/>
  <c r="CU68" i="38" s="1"/>
  <c r="EQ15" i="29"/>
  <c r="EQ20" i="29" s="1"/>
  <c r="DR64" i="38"/>
  <c r="DR68" i="38" s="1"/>
  <c r="B19" i="8"/>
  <c r="L106" i="64" s="1"/>
  <c r="EQ34" i="29"/>
  <c r="ES70" i="29"/>
  <c r="ES72" i="29" s="1"/>
  <c r="ES19" i="29"/>
  <c r="CL64" i="38"/>
  <c r="ER34" i="29"/>
  <c r="CX64" i="38"/>
  <c r="CX68" i="38" s="1"/>
  <c r="ER70" i="29"/>
  <c r="ER72" i="29" s="1"/>
  <c r="CK64" i="38"/>
  <c r="CK68" i="38" s="1"/>
  <c r="CZ64" i="38"/>
  <c r="ER15" i="29"/>
  <c r="CR64" i="38"/>
  <c r="DL64" i="38"/>
  <c r="DK64" i="38"/>
  <c r="CS64" i="38"/>
  <c r="DQ64" i="38"/>
  <c r="CV64" i="38"/>
  <c r="CT64" i="38"/>
  <c r="DA64" i="38"/>
  <c r="CO64" i="38"/>
  <c r="DP64" i="38"/>
  <c r="CJ64" i="38"/>
  <c r="CY64" i="38"/>
  <c r="CP64" i="38"/>
  <c r="CI64" i="38"/>
  <c r="DO64" i="38"/>
  <c r="CQ64" i="38"/>
  <c r="DJ64" i="38"/>
  <c r="DI64" i="38"/>
  <c r="DH64" i="38"/>
  <c r="DB64" i="38"/>
  <c r="DN64" i="38"/>
  <c r="DE64" i="38"/>
  <c r="DF64" i="38"/>
  <c r="DD64" i="38"/>
  <c r="DC64" i="38"/>
  <c r="DG64" i="38"/>
  <c r="CW64" i="38"/>
  <c r="DM64" i="38"/>
  <c r="EF24" i="8"/>
  <c r="EF45" i="8" s="1"/>
  <c r="EF46" i="8" s="1"/>
  <c r="B39" i="8"/>
  <c r="EQ77" i="29"/>
  <c r="ER77" i="29"/>
  <c r="ES34" i="29"/>
  <c r="EG24" i="8"/>
  <c r="EE24" i="8"/>
  <c r="EE58" i="8" s="1"/>
  <c r="DR77" i="38"/>
  <c r="D43" i="8"/>
  <c r="ER71" i="15"/>
  <c r="ER105" i="15" s="1"/>
  <c r="R62" i="1"/>
  <c r="T62" i="1" s="1"/>
  <c r="C39" i="75" s="1"/>
  <c r="D39" i="75" s="1"/>
  <c r="CB403" i="40"/>
  <c r="CB404" i="40" s="1"/>
  <c r="EG43" i="8"/>
  <c r="B10" i="8"/>
  <c r="D106" i="1" s="1"/>
  <c r="L96" i="78" s="1"/>
  <c r="B185" i="2"/>
  <c r="B20" i="77" s="1"/>
  <c r="F20" i="77" s="1"/>
  <c r="DQ18" i="38"/>
  <c r="EP37" i="29"/>
  <c r="EQ37" i="29"/>
  <c r="EO37" i="29"/>
  <c r="K89" i="78" a="1"/>
  <c r="K89" i="78" s="1"/>
  <c r="K152" i="78"/>
  <c r="K42" i="78"/>
  <c r="DB52" i="8"/>
  <c r="DB55" i="8"/>
  <c r="CY55" i="8"/>
  <c r="CY52" i="8"/>
  <c r="DC52" i="8"/>
  <c r="DC55" i="8"/>
  <c r="DF55" i="8"/>
  <c r="DF52" i="8"/>
  <c r="CZ52" i="8"/>
  <c r="CZ55" i="8"/>
  <c r="G28" i="2"/>
  <c r="L28" i="2" s="1"/>
  <c r="G183" i="2"/>
  <c r="J17" i="77" s="1"/>
  <c r="N17" i="77" s="1"/>
  <c r="R66" i="1"/>
  <c r="L74" i="78" s="1" a="1"/>
  <c r="L74" i="78" s="1"/>
  <c r="B187" i="2"/>
  <c r="B22" i="77" s="1"/>
  <c r="F22" i="77" s="1"/>
  <c r="K21" i="2"/>
  <c r="L21" i="2" s="1"/>
  <c r="R61" i="1"/>
  <c r="L70" i="78" s="1" a="1"/>
  <c r="L70" i="78" s="1"/>
  <c r="EU20" i="8"/>
  <c r="B20" i="8"/>
  <c r="ES71" i="15"/>
  <c r="ES105" i="15" s="1"/>
  <c r="L114" i="1"/>
  <c r="K134" i="78" s="1" a="1"/>
  <c r="K134" i="78" s="1"/>
  <c r="L110" i="64"/>
  <c r="T110" i="64" s="1"/>
  <c r="V110" i="64" s="1"/>
  <c r="D22" i="8"/>
  <c r="F144" i="64"/>
  <c r="T144" i="64" s="1"/>
  <c r="F144" i="1"/>
  <c r="T144" i="1" s="1"/>
  <c r="F56" i="48"/>
  <c r="H56" i="48"/>
  <c r="EU14" i="8"/>
  <c r="B14" i="8"/>
  <c r="DQ31" i="38"/>
  <c r="DR31" i="38"/>
  <c r="DP31" i="38"/>
  <c r="AP15" i="49"/>
  <c r="AQ3" i="49"/>
  <c r="AP26" i="49"/>
  <c r="CV6" i="15"/>
  <c r="FY6" i="15"/>
  <c r="E29" i="2"/>
  <c r="L29" i="2" s="1"/>
  <c r="G185" i="2"/>
  <c r="J19" i="77" s="1"/>
  <c r="N19" i="77" s="1"/>
  <c r="R67" i="1"/>
  <c r="L75" i="78" s="1" a="1"/>
  <c r="L75" i="78" s="1"/>
  <c r="L114" i="64"/>
  <c r="T114" i="64" s="1"/>
  <c r="V114" i="64" s="1"/>
  <c r="EU33" i="8"/>
  <c r="B33" i="8"/>
  <c r="F44" i="47"/>
  <c r="H44" i="47"/>
  <c r="ER56" i="15"/>
  <c r="ER57" i="15" s="1"/>
  <c r="K103" i="78" a="1"/>
  <c r="K103" i="78" s="1"/>
  <c r="K71" i="78" a="1"/>
  <c r="K71" i="78" s="1"/>
  <c r="L117" i="64"/>
  <c r="T117" i="64" s="1"/>
  <c r="V117" i="64" s="1"/>
  <c r="EQ71" i="15"/>
  <c r="EU9" i="8"/>
  <c r="EU11" i="8" s="1"/>
  <c r="B9" i="8"/>
  <c r="ET11" i="8"/>
  <c r="F44" i="48"/>
  <c r="H44" i="48"/>
  <c r="B90" i="2"/>
  <c r="C179" i="2"/>
  <c r="EU30" i="8"/>
  <c r="B30" i="8"/>
  <c r="C27" i="75" s="1"/>
  <c r="D27" i="75" s="1"/>
  <c r="EU16" i="8"/>
  <c r="B16" i="8"/>
  <c r="C155" i="2"/>
  <c r="C158" i="2" s="1"/>
  <c r="G190" i="2" s="1"/>
  <c r="J24" i="77" s="1"/>
  <c r="N24" i="77" s="1"/>
  <c r="FF103" i="15"/>
  <c r="F57" i="59"/>
  <c r="H57" i="59"/>
  <c r="R73" i="1"/>
  <c r="T73" i="1" s="1"/>
  <c r="EU29" i="8"/>
  <c r="B29" i="8"/>
  <c r="L130" i="1"/>
  <c r="G34" i="2"/>
  <c r="H34" i="2"/>
  <c r="P63" i="1"/>
  <c r="T63" i="1" s="1"/>
  <c r="C40" i="75" s="1"/>
  <c r="D40" i="75" s="1"/>
  <c r="B162" i="64"/>
  <c r="B144" i="2"/>
  <c r="V14" i="78"/>
  <c r="V13" i="78"/>
  <c r="R64" i="64"/>
  <c r="T64" i="64" s="1"/>
  <c r="D23" i="65"/>
  <c r="B103" i="2"/>
  <c r="C195" i="2"/>
  <c r="U4" i="78"/>
  <c r="F44" i="46"/>
  <c r="H44" i="46"/>
  <c r="C127" i="2"/>
  <c r="FF90" i="15"/>
  <c r="BI26" i="49"/>
  <c r="BI15" i="49"/>
  <c r="AF3" i="49"/>
  <c r="AE15" i="49"/>
  <c r="AE26" i="49"/>
  <c r="DP18" i="38"/>
  <c r="B166" i="64"/>
  <c r="B123" i="2"/>
  <c r="B125" i="2" s="1"/>
  <c r="B160" i="64"/>
  <c r="D53" i="60"/>
  <c r="D53" i="46"/>
  <c r="D53" i="48"/>
  <c r="D54" i="59"/>
  <c r="D53" i="47"/>
  <c r="D53" i="66"/>
  <c r="D54" i="45"/>
  <c r="F53" i="44"/>
  <c r="H53" i="44"/>
  <c r="D53" i="42"/>
  <c r="F45" i="45"/>
  <c r="H45" i="45"/>
  <c r="EU38" i="8"/>
  <c r="B38" i="8"/>
  <c r="L58" i="64"/>
  <c r="DA52" i="8"/>
  <c r="DA55" i="8"/>
  <c r="EU31" i="8"/>
  <c r="B31" i="8"/>
  <c r="L41" i="78"/>
  <c r="L104" i="78" a="1"/>
  <c r="L104" i="78" s="1"/>
  <c r="L108" i="78" a="1"/>
  <c r="L108" i="78" s="1"/>
  <c r="L36" i="78"/>
  <c r="L52" i="78"/>
  <c r="L53" i="78" s="1"/>
  <c r="F53" i="78" s="1" a="1"/>
  <c r="F53" i="78" s="1"/>
  <c r="L45" i="78"/>
  <c r="L61" i="78"/>
  <c r="L46" i="78"/>
  <c r="L62" i="78"/>
  <c r="L77" i="78" a="1"/>
  <c r="L77" i="78" s="1"/>
  <c r="L90" i="78" a="1"/>
  <c r="L90" i="78" s="1"/>
  <c r="L48" i="78"/>
  <c r="L91" i="78" a="1"/>
  <c r="L91" i="78" s="1"/>
  <c r="L106" i="78" a="1"/>
  <c r="L106" i="78" s="1"/>
  <c r="L109" i="78" a="1"/>
  <c r="L109" i="78" s="1"/>
  <c r="L135" i="78" a="1"/>
  <c r="L135" i="78" s="1"/>
  <c r="L143" i="78" a="1"/>
  <c r="L143" i="78" s="1"/>
  <c r="L147" i="78" a="1"/>
  <c r="L147" i="78" s="1"/>
  <c r="L87" i="78" a="1"/>
  <c r="L87" i="78" s="1"/>
  <c r="L105" i="78" a="1"/>
  <c r="L105" i="78" s="1"/>
  <c r="L64" i="78"/>
  <c r="L132" i="78" a="1"/>
  <c r="L132" i="78" s="1"/>
  <c r="L140" i="78" a="1"/>
  <c r="L140" i="78" s="1"/>
  <c r="L144" i="78" a="1"/>
  <c r="L144" i="78" s="1"/>
  <c r="L40" i="78"/>
  <c r="L56" i="78"/>
  <c r="L92" i="78" a="1"/>
  <c r="L92" i="78" s="1"/>
  <c r="L107" i="78" a="1"/>
  <c r="L107" i="78" s="1"/>
  <c r="L115" i="78" a="1"/>
  <c r="L115" i="78" s="1"/>
  <c r="L117" i="78" a="1"/>
  <c r="L117" i="78" s="1"/>
  <c r="L137" i="78" a="1"/>
  <c r="L137" i="78" s="1"/>
  <c r="L141" i="78" a="1"/>
  <c r="L141" i="78" s="1"/>
  <c r="L145" i="78" a="1"/>
  <c r="L145" i="78" s="1"/>
  <c r="L146" i="78" a="1"/>
  <c r="L146" i="78" s="1"/>
  <c r="L103" i="78" a="1"/>
  <c r="L103" i="78" s="1"/>
  <c r="L151" i="78"/>
  <c r="L152" i="78" s="1"/>
  <c r="L124" i="78" a="1"/>
  <c r="L124" i="78" s="1"/>
  <c r="L35" i="78"/>
  <c r="L110" i="78" a="1"/>
  <c r="L110" i="78" s="1"/>
  <c r="M2" i="78"/>
  <c r="L117" i="1"/>
  <c r="K138" i="78" s="1" a="1"/>
  <c r="K138" i="78" s="1"/>
  <c r="EU32" i="8"/>
  <c r="B32" i="8"/>
  <c r="C19" i="75" s="1"/>
  <c r="CB3" i="49"/>
  <c r="CA15" i="49"/>
  <c r="CA26" i="49"/>
  <c r="CA37" i="49" s="1"/>
  <c r="C113" i="2"/>
  <c r="C117" i="2" s="1"/>
  <c r="K17" i="2"/>
  <c r="B182" i="2"/>
  <c r="B17" i="77" s="1"/>
  <c r="F17" i="77" s="1"/>
  <c r="R59" i="1"/>
  <c r="L69" i="78" s="1" a="1"/>
  <c r="L69" i="78" s="1"/>
  <c r="EU37" i="8"/>
  <c r="B37" i="8"/>
  <c r="F44" i="42"/>
  <c r="H44" i="42"/>
  <c r="BD26" i="49"/>
  <c r="BG3" i="49"/>
  <c r="BD15" i="49"/>
  <c r="EU15" i="8"/>
  <c r="B15" i="8"/>
  <c r="F57" i="45"/>
  <c r="H57" i="45"/>
  <c r="J116" i="64"/>
  <c r="L116" i="64" s="1"/>
  <c r="E25" i="2"/>
  <c r="B203" i="2"/>
  <c r="B38" i="77" s="1"/>
  <c r="F38" i="77" s="1"/>
  <c r="R65" i="1"/>
  <c r="L73" i="78" s="1" a="1"/>
  <c r="L73" i="78" s="1"/>
  <c r="C120" i="2"/>
  <c r="FF69" i="15"/>
  <c r="T20" i="78"/>
  <c r="B168" i="1"/>
  <c r="J11" i="77"/>
  <c r="EU13" i="8"/>
  <c r="B13" i="8"/>
  <c r="ET22" i="8"/>
  <c r="B144" i="64"/>
  <c r="D11" i="8"/>
  <c r="B144" i="1"/>
  <c r="ES56" i="15"/>
  <c r="ES57" i="15" s="1"/>
  <c r="B18" i="8"/>
  <c r="EU18" i="8"/>
  <c r="C67" i="2"/>
  <c r="FF21" i="15"/>
  <c r="G178" i="2"/>
  <c r="J12" i="77" s="1"/>
  <c r="N12" i="77" s="1"/>
  <c r="K27" i="2"/>
  <c r="L27" i="2" s="1"/>
  <c r="EU42" i="8"/>
  <c r="B42" i="8"/>
  <c r="DZ113" i="15"/>
  <c r="CC403" i="40"/>
  <c r="CC404" i="40" s="1"/>
  <c r="DZ107" i="15"/>
  <c r="F56" i="47"/>
  <c r="H56" i="47"/>
  <c r="K106" i="78" a="1"/>
  <c r="K106" i="78" s="1"/>
  <c r="L130" i="64"/>
  <c r="T130" i="64" s="1"/>
  <c r="V130" i="64" s="1"/>
  <c r="DD52" i="8"/>
  <c r="DD55" i="8"/>
  <c r="F45" i="59"/>
  <c r="H45" i="59"/>
  <c r="B55" i="64"/>
  <c r="B62" i="2"/>
  <c r="B65" i="2" s="1"/>
  <c r="CX52" i="8"/>
  <c r="CX55" i="8"/>
  <c r="H56" i="46"/>
  <c r="F56" i="46"/>
  <c r="BY403" i="40"/>
  <c r="BY404" i="40" s="1"/>
  <c r="DV107" i="15"/>
  <c r="DV113" i="15"/>
  <c r="DE55" i="8"/>
  <c r="DE52" i="8"/>
  <c r="F28" i="75"/>
  <c r="F30" i="75" s="1"/>
  <c r="EQ56" i="15"/>
  <c r="EQ57" i="15" s="1"/>
  <c r="F109" i="64"/>
  <c r="BX403" i="40"/>
  <c r="BX404" i="40" s="1"/>
  <c r="DU107" i="15"/>
  <c r="DU113" i="15"/>
  <c r="CV52" i="8"/>
  <c r="CV55" i="8"/>
  <c r="EU17" i="8"/>
  <c r="B17" i="8"/>
  <c r="R76" i="64"/>
  <c r="T76" i="64" s="1"/>
  <c r="G15" i="65"/>
  <c r="B71" i="2"/>
  <c r="C176" i="2"/>
  <c r="C92" i="2"/>
  <c r="FF54" i="15"/>
  <c r="DX107" i="15"/>
  <c r="DX113" i="15"/>
  <c r="CA403" i="40"/>
  <c r="CA404" i="40" s="1"/>
  <c r="H44" i="60"/>
  <c r="F44" i="60"/>
  <c r="L118" i="1"/>
  <c r="K139" i="78" s="1" a="1"/>
  <c r="K139" i="78" s="1"/>
  <c r="EU40" i="8"/>
  <c r="B40" i="8"/>
  <c r="L17" i="65"/>
  <c r="EU28" i="8"/>
  <c r="B28" i="8"/>
  <c r="J43" i="2"/>
  <c r="L38" i="2"/>
  <c r="CW52" i="8"/>
  <c r="CW55" i="8"/>
  <c r="H56" i="66"/>
  <c r="F56" i="66"/>
  <c r="F56" i="60"/>
  <c r="H56" i="60"/>
  <c r="CU52" i="8"/>
  <c r="CU55" i="8"/>
  <c r="K87" i="78" a="1"/>
  <c r="K87" i="78" s="1"/>
  <c r="AD24" i="38"/>
  <c r="AE12" i="38"/>
  <c r="AD40" i="38"/>
  <c r="L24" i="65"/>
  <c r="EA113" i="15"/>
  <c r="CD403" i="40"/>
  <c r="CD404" i="40" s="1"/>
  <c r="EA107" i="15"/>
  <c r="O4" i="78"/>
  <c r="O5" i="78" s="1"/>
  <c r="C57" i="2"/>
  <c r="FF14" i="15"/>
  <c r="FF16" i="15" s="1"/>
  <c r="DP77" i="38"/>
  <c r="C73" i="2"/>
  <c r="FF41" i="15"/>
  <c r="F19" i="16"/>
  <c r="D18" i="16"/>
  <c r="DR18" i="38"/>
  <c r="H44" i="66"/>
  <c r="F44" i="66"/>
  <c r="L118" i="64"/>
  <c r="T118" i="64" s="1"/>
  <c r="V118" i="64" s="1"/>
  <c r="EP20" i="29"/>
  <c r="T59" i="64"/>
  <c r="B164" i="64"/>
  <c r="L110" i="1"/>
  <c r="K130" i="78" s="1" a="1"/>
  <c r="K130" i="78" s="1"/>
  <c r="F56" i="42"/>
  <c r="H56" i="42"/>
  <c r="EU27" i="8"/>
  <c r="ET34" i="8"/>
  <c r="B27" i="8"/>
  <c r="K115" i="78" a="1"/>
  <c r="K115" i="78" s="1"/>
  <c r="K78" i="78" a="1"/>
  <c r="K78" i="78" s="1"/>
  <c r="K65" i="78"/>
  <c r="F247" i="16"/>
  <c r="D246" i="16"/>
  <c r="E30" i="2"/>
  <c r="L30" i="2" s="1"/>
  <c r="G186" i="2"/>
  <c r="J20" i="77" s="1"/>
  <c r="N20" i="77" s="1"/>
  <c r="R68" i="1"/>
  <c r="BP26" i="49"/>
  <c r="BP37" i="49" s="1"/>
  <c r="BQ3" i="49"/>
  <c r="BP15" i="49"/>
  <c r="D47" i="46"/>
  <c r="D47" i="48"/>
  <c r="D47" i="47"/>
  <c r="D47" i="42"/>
  <c r="D47" i="60"/>
  <c r="D48" i="45"/>
  <c r="F47" i="44"/>
  <c r="H47" i="44"/>
  <c r="D47" i="66"/>
  <c r="D48" i="59"/>
  <c r="L58" i="1"/>
  <c r="L57" i="78" s="1"/>
  <c r="L76" i="78" l="1" a="1"/>
  <c r="L76" i="78" s="1"/>
  <c r="FD41" i="29"/>
  <c r="FD36" i="29"/>
  <c r="FC105" i="15"/>
  <c r="FC113" i="15" s="1"/>
  <c r="FD105" i="15"/>
  <c r="DG403" i="40" s="1"/>
  <c r="DG404" i="40" s="1"/>
  <c r="ER58" i="8"/>
  <c r="EQ58" i="8"/>
  <c r="FE107" i="15"/>
  <c r="FC107" i="15"/>
  <c r="DH403" i="40"/>
  <c r="DH404" i="40" s="1"/>
  <c r="FE113" i="15"/>
  <c r="FF71" i="15"/>
  <c r="ES45" i="8"/>
  <c r="ES58" i="8"/>
  <c r="ER55" i="8"/>
  <c r="ER52" i="8"/>
  <c r="EQ55" i="8"/>
  <c r="EQ52" i="8"/>
  <c r="DZ66" i="38"/>
  <c r="EW105" i="15"/>
  <c r="FB105" i="15"/>
  <c r="DE403" i="40" s="1"/>
  <c r="DE404" i="40" s="1"/>
  <c r="ED20" i="38"/>
  <c r="FA113" i="15"/>
  <c r="DD403" i="40"/>
  <c r="DD404" i="40" s="1"/>
  <c r="FA107" i="15"/>
  <c r="FB113" i="15"/>
  <c r="EZ105" i="15"/>
  <c r="EZ107" i="15" s="1"/>
  <c r="FB107" i="15"/>
  <c r="EC66" i="38"/>
  <c r="EB20" i="38"/>
  <c r="EC20" i="38"/>
  <c r="EC68" i="38"/>
  <c r="DW29" i="38"/>
  <c r="DZ31" i="38" s="1"/>
  <c r="EC29" i="38"/>
  <c r="CP26" i="49"/>
  <c r="CP37" i="49" s="1"/>
  <c r="CQ3" i="49"/>
  <c r="CP15" i="49"/>
  <c r="EB66" i="38"/>
  <c r="EB68" i="38"/>
  <c r="ED66" i="38"/>
  <c r="ED68" i="38"/>
  <c r="DR92" i="38"/>
  <c r="L164" i="64" s="1"/>
  <c r="T164" i="64" s="1"/>
  <c r="EO45" i="8"/>
  <c r="FA37" i="29"/>
  <c r="FB37" i="29"/>
  <c r="EZ37" i="29"/>
  <c r="EA20" i="38"/>
  <c r="DZ20" i="38"/>
  <c r="DY20" i="38"/>
  <c r="EP45" i="8"/>
  <c r="EP58" i="8"/>
  <c r="EN58" i="8"/>
  <c r="EN45" i="8"/>
  <c r="DZ68" i="38"/>
  <c r="EA68" i="38"/>
  <c r="EA66" i="38"/>
  <c r="DY68" i="38"/>
  <c r="DY66" i="38"/>
  <c r="H26" i="2"/>
  <c r="K26" i="2"/>
  <c r="EX37" i="29"/>
  <c r="EY37" i="29"/>
  <c r="EW37" i="29"/>
  <c r="ER37" i="29"/>
  <c r="L123" i="78" a="1"/>
  <c r="L123" i="78" s="1"/>
  <c r="EY105" i="15"/>
  <c r="EY113" i="15" s="1"/>
  <c r="D40" i="2"/>
  <c r="L40" i="2" s="1"/>
  <c r="EX105" i="15"/>
  <c r="EX113" i="15" s="1"/>
  <c r="EL55" i="8"/>
  <c r="EL52" i="8"/>
  <c r="EW113" i="15"/>
  <c r="CZ403" i="40"/>
  <c r="EW107" i="15"/>
  <c r="EK55" i="8"/>
  <c r="EK52" i="8"/>
  <c r="EM55" i="8"/>
  <c r="EM52" i="8"/>
  <c r="DV68" i="38"/>
  <c r="DV66" i="38"/>
  <c r="DX66" i="38"/>
  <c r="DX68" i="38"/>
  <c r="EU105" i="15"/>
  <c r="EU113" i="15" s="1"/>
  <c r="DW66" i="38"/>
  <c r="DW68" i="38"/>
  <c r="DM33" i="38"/>
  <c r="DV20" i="38"/>
  <c r="DV33" i="38" s="1"/>
  <c r="DV35" i="38"/>
  <c r="DW20" i="38"/>
  <c r="DX20" i="38"/>
  <c r="C150" i="2"/>
  <c r="C153" i="2" s="1"/>
  <c r="DV77" i="38"/>
  <c r="DX79" i="38" s="1"/>
  <c r="DX90" i="38" s="1"/>
  <c r="DO33" i="38"/>
  <c r="ET37" i="29"/>
  <c r="EV37" i="29"/>
  <c r="EU37" i="29"/>
  <c r="L109" i="1"/>
  <c r="L129" i="78" s="1" a="1"/>
  <c r="L129" i="78" s="1"/>
  <c r="L134" i="78" a="1"/>
  <c r="L134" i="78" s="1"/>
  <c r="EV105" i="15"/>
  <c r="CY403" i="40" s="1"/>
  <c r="CY404" i="40" s="1"/>
  <c r="EH45" i="8"/>
  <c r="DN33" i="38"/>
  <c r="ES37" i="29"/>
  <c r="EJ58" i="8"/>
  <c r="EJ45" i="8"/>
  <c r="EI55" i="8"/>
  <c r="EI52" i="8"/>
  <c r="FF99" i="15"/>
  <c r="DT35" i="38"/>
  <c r="ET105" i="15"/>
  <c r="ET107" i="15" s="1"/>
  <c r="F10" i="44"/>
  <c r="DS79" i="38"/>
  <c r="DS90" i="38" s="1"/>
  <c r="DU79" i="38"/>
  <c r="DU90" i="38" s="1"/>
  <c r="DT79" i="38"/>
  <c r="DT90" i="38" s="1"/>
  <c r="DU20" i="38"/>
  <c r="DU33" i="38" s="1"/>
  <c r="DT20" i="38"/>
  <c r="DT33" i="38" s="1"/>
  <c r="DS20" i="38"/>
  <c r="DS33" i="38" s="1"/>
  <c r="DT68" i="38"/>
  <c r="DT66" i="38"/>
  <c r="DU68" i="38"/>
  <c r="DU66" i="38"/>
  <c r="DU35" i="38"/>
  <c r="DS68" i="38"/>
  <c r="DS66" i="38"/>
  <c r="DS35" i="38"/>
  <c r="D10" i="60"/>
  <c r="F10" i="60" s="1"/>
  <c r="D10" i="48"/>
  <c r="F10" i="48" s="1"/>
  <c r="D10" i="42"/>
  <c r="F10" i="42" s="1"/>
  <c r="D11" i="45"/>
  <c r="F11" i="45" s="1"/>
  <c r="D10" i="47"/>
  <c r="F10" i="47" s="1"/>
  <c r="D11" i="59"/>
  <c r="F11" i="59" s="1"/>
  <c r="D10" i="46"/>
  <c r="F10" i="46" s="1"/>
  <c r="P132" i="64"/>
  <c r="P141" i="64"/>
  <c r="P141" i="1"/>
  <c r="P132" i="1"/>
  <c r="F54" i="44"/>
  <c r="D54" i="42"/>
  <c r="D55" i="59"/>
  <c r="D54" i="46"/>
  <c r="H54" i="44"/>
  <c r="D54" i="60"/>
  <c r="D54" i="66"/>
  <c r="D54" i="47"/>
  <c r="D54" i="48"/>
  <c r="D55" i="45"/>
  <c r="L78" i="78" a="1"/>
  <c r="L78" i="78" s="1"/>
  <c r="B160" i="2"/>
  <c r="L71" i="78" a="1"/>
  <c r="L71" i="78" s="1"/>
  <c r="FF56" i="15"/>
  <c r="C206" i="2"/>
  <c r="I211" i="2" s="1"/>
  <c r="R55" i="64" s="1"/>
  <c r="ER20" i="29"/>
  <c r="ES20" i="29"/>
  <c r="CU66" i="38"/>
  <c r="L106" i="1"/>
  <c r="CN66" i="38"/>
  <c r="CM66" i="38"/>
  <c r="D106" i="64"/>
  <c r="B113" i="64" s="1"/>
  <c r="CK66" i="38"/>
  <c r="D24" i="8"/>
  <c r="D45" i="8" s="1"/>
  <c r="EF58" i="8"/>
  <c r="B41" i="8"/>
  <c r="B43" i="8" s="1"/>
  <c r="EU41" i="8"/>
  <c r="EU43" i="8" s="1"/>
  <c r="CX66" i="38"/>
  <c r="CL66" i="38"/>
  <c r="CL68" i="38"/>
  <c r="CZ66" i="38"/>
  <c r="CZ68" i="38"/>
  <c r="DR66" i="38"/>
  <c r="DJ66" i="38"/>
  <c r="DJ68" i="38"/>
  <c r="DD68" i="38"/>
  <c r="DD66" i="38"/>
  <c r="CQ66" i="38"/>
  <c r="CQ68" i="38"/>
  <c r="CS66" i="38"/>
  <c r="CS68" i="38"/>
  <c r="DQ66" i="38"/>
  <c r="DQ68" i="38"/>
  <c r="V144" i="64"/>
  <c r="DF68" i="38"/>
  <c r="DF66" i="38"/>
  <c r="DO66" i="38"/>
  <c r="DO68" i="38"/>
  <c r="CO68" i="38"/>
  <c r="CO66" i="38"/>
  <c r="DK68" i="38"/>
  <c r="DK66" i="38"/>
  <c r="DP66" i="38"/>
  <c r="DP68" i="38"/>
  <c r="DE68" i="38"/>
  <c r="DE66" i="38"/>
  <c r="CI66" i="38"/>
  <c r="CI68" i="38"/>
  <c r="DL68" i="38"/>
  <c r="DL66" i="38"/>
  <c r="DN68" i="38"/>
  <c r="DN66" i="38"/>
  <c r="CP66" i="38"/>
  <c r="CP68" i="38"/>
  <c r="DA68" i="38"/>
  <c r="DA66" i="38"/>
  <c r="CR66" i="38"/>
  <c r="CR68" i="38"/>
  <c r="DC68" i="38"/>
  <c r="DC66" i="38"/>
  <c r="EE45" i="8"/>
  <c r="EE46" i="8" s="1"/>
  <c r="EG45" i="8"/>
  <c r="EG46" i="8" s="1"/>
  <c r="DM68" i="38"/>
  <c r="DM66" i="38"/>
  <c r="DB68" i="38"/>
  <c r="DB66" i="38"/>
  <c r="CY66" i="38"/>
  <c r="CY68" i="38"/>
  <c r="CW66" i="38"/>
  <c r="CW68" i="38"/>
  <c r="DH68" i="38"/>
  <c r="DH66" i="38"/>
  <c r="CT66" i="38"/>
  <c r="CT68" i="38"/>
  <c r="DG66" i="38"/>
  <c r="DG68" i="38"/>
  <c r="DI68" i="38"/>
  <c r="DI66" i="38"/>
  <c r="CJ68" i="38"/>
  <c r="CJ66" i="38"/>
  <c r="CV66" i="38"/>
  <c r="CV68" i="38"/>
  <c r="EG58" i="8"/>
  <c r="B34" i="8"/>
  <c r="L130" i="78" a="1"/>
  <c r="L130" i="78" s="1"/>
  <c r="EU34" i="8"/>
  <c r="R77" i="64"/>
  <c r="L139" i="78" a="1"/>
  <c r="L139" i="78" s="1"/>
  <c r="L138" i="78" a="1"/>
  <c r="L138" i="78" s="1"/>
  <c r="T118" i="1"/>
  <c r="V118" i="1" s="1"/>
  <c r="C63" i="75" s="1"/>
  <c r="D63" i="75" s="1"/>
  <c r="L102" i="78" a="1"/>
  <c r="L102" i="78" s="1"/>
  <c r="T114" i="1"/>
  <c r="V114" i="1" s="1"/>
  <c r="C59" i="75" s="1"/>
  <c r="D59" i="75" s="1"/>
  <c r="F152" i="78" a="1"/>
  <c r="F152" i="78" s="1"/>
  <c r="L58" i="78"/>
  <c r="L42" i="78"/>
  <c r="F42" i="78" s="1" a="1"/>
  <c r="F42" i="78" s="1"/>
  <c r="F48" i="45"/>
  <c r="H48" i="45"/>
  <c r="L77" i="1"/>
  <c r="L79" i="1" s="1"/>
  <c r="L83" i="1" s="1"/>
  <c r="L92" i="1" s="1"/>
  <c r="D11" i="44" s="1"/>
  <c r="P58" i="1"/>
  <c r="K57" i="78"/>
  <c r="K58" i="78" s="1"/>
  <c r="F47" i="47"/>
  <c r="H47" i="47"/>
  <c r="T110" i="1"/>
  <c r="V110" i="1" s="1"/>
  <c r="H48" i="59"/>
  <c r="F48" i="59"/>
  <c r="F47" i="48"/>
  <c r="H47" i="48"/>
  <c r="F126" i="64"/>
  <c r="C29" i="75"/>
  <c r="D29" i="75" s="1"/>
  <c r="J106" i="64"/>
  <c r="J106" i="1"/>
  <c r="L121" i="78" s="1"/>
  <c r="B160" i="1"/>
  <c r="C123" i="2"/>
  <c r="C125" i="2" s="1"/>
  <c r="K123" i="78" a="1"/>
  <c r="K123" i="78" s="1"/>
  <c r="T59" i="1"/>
  <c r="C37" i="75" s="1"/>
  <c r="D37" i="75" s="1"/>
  <c r="K69" i="78" a="1"/>
  <c r="K69" i="78" s="1"/>
  <c r="T117" i="1"/>
  <c r="V117" i="1" s="1"/>
  <c r="F53" i="66"/>
  <c r="H53" i="66"/>
  <c r="B171" i="64"/>
  <c r="AG3" i="49"/>
  <c r="AF26" i="49"/>
  <c r="AF15" i="49"/>
  <c r="L116" i="1"/>
  <c r="T116" i="1" s="1"/>
  <c r="V116" i="1" s="1"/>
  <c r="L23" i="65"/>
  <c r="D43" i="65"/>
  <c r="D160" i="64" s="1"/>
  <c r="X160" i="64" s="1"/>
  <c r="ER107" i="15"/>
  <c r="FZ6" i="15"/>
  <c r="CW6" i="15"/>
  <c r="D12" i="44"/>
  <c r="C90" i="2"/>
  <c r="B179" i="2"/>
  <c r="B14" i="77" s="1"/>
  <c r="F14" i="77" s="1"/>
  <c r="ES107" i="15"/>
  <c r="T116" i="64"/>
  <c r="V116" i="64" s="1"/>
  <c r="J126" i="64"/>
  <c r="F53" i="47"/>
  <c r="H53" i="47"/>
  <c r="EF55" i="8"/>
  <c r="EF52" i="8"/>
  <c r="H106" i="64"/>
  <c r="H106" i="1"/>
  <c r="L114" i="78" s="1"/>
  <c r="CV403" i="40"/>
  <c r="CV404" i="40" s="1"/>
  <c r="ES113" i="15"/>
  <c r="AB164" i="64"/>
  <c r="DR79" i="38"/>
  <c r="DR90" i="38" s="1"/>
  <c r="DQ79" i="38"/>
  <c r="DQ90" i="38" s="1"/>
  <c r="DP79" i="38"/>
  <c r="DP90" i="38" s="1"/>
  <c r="DP92" i="38"/>
  <c r="AE24" i="38"/>
  <c r="AF12" i="38"/>
  <c r="AE40" i="38"/>
  <c r="V144" i="1"/>
  <c r="G206" i="2"/>
  <c r="L17" i="2"/>
  <c r="F54" i="59"/>
  <c r="H54" i="59"/>
  <c r="L109" i="64"/>
  <c r="T109" i="64" s="1"/>
  <c r="L34" i="2"/>
  <c r="ET24" i="8"/>
  <c r="ET45" i="8" s="1"/>
  <c r="AR3" i="49"/>
  <c r="AQ26" i="49"/>
  <c r="AQ15" i="49"/>
  <c r="N106" i="64"/>
  <c r="N128" i="64" s="1"/>
  <c r="N106" i="1"/>
  <c r="D247" i="16"/>
  <c r="F248" i="16"/>
  <c r="BQ26" i="49"/>
  <c r="BQ37" i="49" s="1"/>
  <c r="BR3" i="49"/>
  <c r="BQ15" i="49"/>
  <c r="T68" i="1"/>
  <c r="C45" i="75" s="1"/>
  <c r="D45" i="75" s="1"/>
  <c r="K76" i="78" a="1"/>
  <c r="K76" i="78" s="1"/>
  <c r="C103" i="2"/>
  <c r="D23" i="2"/>
  <c r="B195" i="2"/>
  <c r="B30" i="77" s="1"/>
  <c r="F30" i="77" s="1"/>
  <c r="R64" i="1"/>
  <c r="L72" i="78" s="1" a="1"/>
  <c r="L72" i="78" s="1"/>
  <c r="N11" i="77"/>
  <c r="N41" i="77" s="1"/>
  <c r="J41" i="77"/>
  <c r="H53" i="48"/>
  <c r="F53" i="48"/>
  <c r="W13" i="78"/>
  <c r="W14" i="78"/>
  <c r="ER113" i="15"/>
  <c r="CU403" i="40"/>
  <c r="CU404" i="40" s="1"/>
  <c r="B106" i="64"/>
  <c r="B11" i="8"/>
  <c r="B106" i="1"/>
  <c r="L86" i="78" s="1"/>
  <c r="F47" i="46"/>
  <c r="H47" i="46"/>
  <c r="K129" i="78" a="1"/>
  <c r="K129" i="78" s="1"/>
  <c r="C20" i="56"/>
  <c r="B166" i="1"/>
  <c r="M40" i="78"/>
  <c r="M48" i="78"/>
  <c r="M56" i="78"/>
  <c r="M103" i="78" a="1"/>
  <c r="M103" i="78" s="1"/>
  <c r="M107" i="78" a="1"/>
  <c r="M107" i="78" s="1"/>
  <c r="N2" i="78"/>
  <c r="M35" i="78"/>
  <c r="M68" i="78"/>
  <c r="M71" i="78" a="1"/>
  <c r="M71" i="78" s="1"/>
  <c r="M36" i="78"/>
  <c r="M52" i="78"/>
  <c r="M53" i="78" s="1"/>
  <c r="M45" i="78"/>
  <c r="M61" i="78"/>
  <c r="M72" i="78" a="1"/>
  <c r="M72" i="78" s="1"/>
  <c r="M76" i="78" a="1"/>
  <c r="M76" i="78" s="1"/>
  <c r="M86" i="78"/>
  <c r="M89" i="78" a="1"/>
  <c r="M89" i="78" s="1"/>
  <c r="M97" i="78" a="1"/>
  <c r="M97" i="78" s="1"/>
  <c r="M121" i="78"/>
  <c r="M124" i="78" a="1"/>
  <c r="M124" i="78" s="1"/>
  <c r="M41" i="78"/>
  <c r="M57" i="78"/>
  <c r="M70" i="78" a="1"/>
  <c r="M70" i="78" s="1"/>
  <c r="M75" i="78" a="1"/>
  <c r="M75" i="78" s="1"/>
  <c r="M78" i="78" a="1"/>
  <c r="M78" i="78" s="1"/>
  <c r="M88" i="78" a="1"/>
  <c r="M88" i="78" s="1"/>
  <c r="M91" i="78" a="1"/>
  <c r="M91" i="78" s="1"/>
  <c r="M106" i="78" a="1"/>
  <c r="M106" i="78" s="1"/>
  <c r="M130" i="78" a="1"/>
  <c r="M130" i="78" s="1"/>
  <c r="M134" i="78" a="1"/>
  <c r="M134" i="78" s="1"/>
  <c r="M138" i="78" a="1"/>
  <c r="M138" i="78" s="1"/>
  <c r="M142" i="78" a="1"/>
  <c r="M142" i="78" s="1"/>
  <c r="M146" i="78" a="1"/>
  <c r="M146" i="78" s="1"/>
  <c r="M34" i="78"/>
  <c r="M101" i="78"/>
  <c r="M109" i="78" a="1"/>
  <c r="M109" i="78" s="1"/>
  <c r="M74" i="78" a="1"/>
  <c r="M74" i="78" s="1"/>
  <c r="M87" i="78" a="1"/>
  <c r="M87" i="78" s="1"/>
  <c r="M102" i="78" a="1"/>
  <c r="M102" i="78" s="1"/>
  <c r="M128" i="78"/>
  <c r="M131" i="78" a="1"/>
  <c r="M131" i="78" s="1"/>
  <c r="M135" i="78" a="1"/>
  <c r="M135" i="78" s="1"/>
  <c r="M139" i="78" a="1"/>
  <c r="M139" i="78" s="1"/>
  <c r="M143" i="78" a="1"/>
  <c r="M143" i="78" s="1"/>
  <c r="M147" i="78" a="1"/>
  <c r="M147" i="78" s="1"/>
  <c r="M151" i="78"/>
  <c r="M152" i="78" s="1"/>
  <c r="M47" i="78"/>
  <c r="M64" i="78"/>
  <c r="M77" i="78" a="1"/>
  <c r="M77" i="78" s="1"/>
  <c r="M90" i="78" a="1"/>
  <c r="M90" i="78" s="1"/>
  <c r="M105" i="78" a="1"/>
  <c r="M105" i="78" s="1"/>
  <c r="M108" i="78" a="1"/>
  <c r="M108" i="78" s="1"/>
  <c r="M114" i="78"/>
  <c r="M122" i="78" a="1"/>
  <c r="M122" i="78" s="1"/>
  <c r="M132" i="78" a="1"/>
  <c r="M132" i="78" s="1"/>
  <c r="M136" i="78" a="1"/>
  <c r="M136" i="78" s="1"/>
  <c r="M140" i="78" a="1"/>
  <c r="M140" i="78" s="1"/>
  <c r="M144" i="78" a="1"/>
  <c r="M144" i="78" s="1"/>
  <c r="M79" i="78" a="1"/>
  <c r="M79" i="78" s="1"/>
  <c r="M73" i="78" a="1"/>
  <c r="M73" i="78" s="1"/>
  <c r="M115" i="78" a="1"/>
  <c r="M115" i="78" s="1"/>
  <c r="M133" i="78" a="1"/>
  <c r="M133" i="78" s="1"/>
  <c r="M145" i="78" a="1"/>
  <c r="M145" i="78" s="1"/>
  <c r="M69" i="78" a="1"/>
  <c r="M69" i="78" s="1"/>
  <c r="M92" i="78" a="1"/>
  <c r="M92" i="78" s="1"/>
  <c r="M129" i="78" a="1"/>
  <c r="M129" i="78" s="1"/>
  <c r="M117" i="78" a="1"/>
  <c r="M117" i="78" s="1"/>
  <c r="M62" i="78"/>
  <c r="M104" i="78" a="1"/>
  <c r="M104" i="78" s="1"/>
  <c r="M110" i="78" a="1"/>
  <c r="M110" i="78" s="1"/>
  <c r="M141" i="78" a="1"/>
  <c r="M141" i="78" s="1"/>
  <c r="M46" i="78"/>
  <c r="M96" i="78"/>
  <c r="M116" i="78" a="1"/>
  <c r="M116" i="78" s="1"/>
  <c r="M137" i="78" a="1"/>
  <c r="M137" i="78" s="1"/>
  <c r="M123" i="78" a="1"/>
  <c r="M123" i="78" s="1"/>
  <c r="F53" i="42"/>
  <c r="H53" i="42"/>
  <c r="F53" i="46"/>
  <c r="H53" i="46"/>
  <c r="U2" i="78"/>
  <c r="U5" i="78"/>
  <c r="U12" i="78"/>
  <c r="U3" i="78" s="1" a="1"/>
  <c r="U3" i="78" s="1"/>
  <c r="T130" i="1"/>
  <c r="V130" i="1" s="1"/>
  <c r="T67" i="1"/>
  <c r="C44" i="75" s="1"/>
  <c r="D44" i="75" s="1"/>
  <c r="K75" i="78" a="1"/>
  <c r="K75" i="78" s="1"/>
  <c r="DP35" i="38"/>
  <c r="T61" i="1"/>
  <c r="C38" i="75" s="1"/>
  <c r="D38" i="75" s="1"/>
  <c r="K70" i="78" a="1"/>
  <c r="K70" i="78" s="1"/>
  <c r="B105" i="2"/>
  <c r="C71" i="2"/>
  <c r="G15" i="2"/>
  <c r="B176" i="2"/>
  <c r="R76" i="1"/>
  <c r="L79" i="78" s="1" a="1"/>
  <c r="L79" i="78" s="1"/>
  <c r="T65" i="1"/>
  <c r="C42" i="75" s="1"/>
  <c r="D42" i="75" s="1"/>
  <c r="K73" i="78" a="1"/>
  <c r="K73" i="78" s="1"/>
  <c r="F18" i="75"/>
  <c r="F53" i="60"/>
  <c r="H53" i="60"/>
  <c r="DP20" i="38"/>
  <c r="DP33" i="38" s="1"/>
  <c r="DQ20" i="38"/>
  <c r="DQ33" i="38" s="1"/>
  <c r="DR20" i="38"/>
  <c r="DR33" i="38" s="1"/>
  <c r="EQ105" i="15"/>
  <c r="DR35" i="38"/>
  <c r="F47" i="60"/>
  <c r="H47" i="60"/>
  <c r="H47" i="42"/>
  <c r="F47" i="42"/>
  <c r="P4" i="78"/>
  <c r="P5" i="78" s="1"/>
  <c r="L15" i="65"/>
  <c r="G43" i="65"/>
  <c r="D166" i="64" s="1"/>
  <c r="B79" i="64"/>
  <c r="B83" i="64" s="1"/>
  <c r="B92" i="64" s="1"/>
  <c r="J55" i="64"/>
  <c r="F106" i="64"/>
  <c r="B22" i="8"/>
  <c r="F106" i="1"/>
  <c r="L101" i="78" s="1"/>
  <c r="P58" i="64"/>
  <c r="L77" i="64"/>
  <c r="L79" i="64" s="1"/>
  <c r="L83" i="64" s="1"/>
  <c r="L92" i="64" s="1"/>
  <c r="C144" i="2"/>
  <c r="B162" i="1"/>
  <c r="AB162" i="64"/>
  <c r="X162" i="64"/>
  <c r="D113" i="1"/>
  <c r="L97" i="78" s="1" a="1"/>
  <c r="L97" i="78" s="1"/>
  <c r="L98" i="78" s="1"/>
  <c r="K96" i="78"/>
  <c r="DQ35" i="38"/>
  <c r="F47" i="66"/>
  <c r="H47" i="66"/>
  <c r="C62" i="2"/>
  <c r="C65" i="2" s="1"/>
  <c r="B55" i="1"/>
  <c r="L34" i="78" s="1"/>
  <c r="L37" i="78" s="1"/>
  <c r="F20" i="16"/>
  <c r="D19" i="16"/>
  <c r="F126" i="1"/>
  <c r="K102" i="78" a="1"/>
  <c r="K102" i="78" s="1"/>
  <c r="EU22" i="8"/>
  <c r="EU24" i="8" s="1"/>
  <c r="L25" i="2"/>
  <c r="E43" i="2"/>
  <c r="D162" i="1" s="1"/>
  <c r="BJ3" i="49"/>
  <c r="BG26" i="49"/>
  <c r="BG15" i="49"/>
  <c r="CB26" i="49"/>
  <c r="CB37" i="49" s="1"/>
  <c r="CC3" i="49"/>
  <c r="CB15" i="49"/>
  <c r="L65" i="78"/>
  <c r="F65" i="78" s="1" a="1"/>
  <c r="F65" i="78" s="1"/>
  <c r="F54" i="45"/>
  <c r="H54" i="45"/>
  <c r="T66" i="1"/>
  <c r="C43" i="75" s="1"/>
  <c r="D43" i="75" s="1"/>
  <c r="K74" i="78" a="1"/>
  <c r="K74" i="78" s="1"/>
  <c r="EA79" i="38" l="1"/>
  <c r="EA90" i="38" s="1"/>
  <c r="EC79" i="38"/>
  <c r="EC90" i="38" s="1"/>
  <c r="FD113" i="15"/>
  <c r="FD107" i="15"/>
  <c r="ET58" i="8"/>
  <c r="DF403" i="40"/>
  <c r="FD37" i="29"/>
  <c r="P164" i="64"/>
  <c r="T109" i="1"/>
  <c r="V109" i="1" s="1"/>
  <c r="ES55" i="8"/>
  <c r="ET55" i="8" s="1"/>
  <c r="ES52" i="8"/>
  <c r="ET52" i="8" s="1"/>
  <c r="EA31" i="38"/>
  <c r="EA35" i="38" s="1"/>
  <c r="EO55" i="8"/>
  <c r="ED79" i="38"/>
  <c r="ED90" i="38" s="1"/>
  <c r="D21" i="3" s="1"/>
  <c r="L164" i="1" s="1"/>
  <c r="T164" i="1" s="1"/>
  <c r="EB79" i="38"/>
  <c r="EB90" i="38" s="1"/>
  <c r="EZ113" i="15"/>
  <c r="DC403" i="40"/>
  <c r="DX31" i="38"/>
  <c r="DX35" i="38" s="1"/>
  <c r="DY31" i="38"/>
  <c r="DY33" i="38" s="1"/>
  <c r="DW31" i="38"/>
  <c r="DW35" i="38" s="1"/>
  <c r="EC31" i="38"/>
  <c r="EB31" i="38"/>
  <c r="ED31" i="38"/>
  <c r="CQ26" i="49"/>
  <c r="CQ37" i="49" s="1"/>
  <c r="CQ15" i="49"/>
  <c r="DY79" i="38"/>
  <c r="DY90" i="38" s="1"/>
  <c r="DZ79" i="38"/>
  <c r="DZ90" i="38" s="1"/>
  <c r="EO52" i="8"/>
  <c r="L26" i="2"/>
  <c r="EN52" i="8"/>
  <c r="EN55" i="8"/>
  <c r="EP55" i="8"/>
  <c r="EP52" i="8"/>
  <c r="DZ33" i="38"/>
  <c r="DZ35" i="38"/>
  <c r="EX107" i="15"/>
  <c r="DA403" i="40"/>
  <c r="DA404" i="40" s="1"/>
  <c r="DB403" i="40"/>
  <c r="DB404" i="40" s="1"/>
  <c r="EY107" i="15"/>
  <c r="EU107" i="15"/>
  <c r="CX403" i="40"/>
  <c r="CX404" i="40" s="1"/>
  <c r="DW79" i="38"/>
  <c r="DW90" i="38" s="1"/>
  <c r="B164" i="1"/>
  <c r="C16" i="56" s="1"/>
  <c r="DV79" i="38"/>
  <c r="DV90" i="38" s="1"/>
  <c r="DV92" i="38"/>
  <c r="EV107" i="15"/>
  <c r="EV113" i="15"/>
  <c r="EH52" i="8"/>
  <c r="EH55" i="8"/>
  <c r="D46" i="44"/>
  <c r="D46" i="60" s="1"/>
  <c r="FF105" i="15"/>
  <c r="EJ52" i="8"/>
  <c r="EJ55" i="8"/>
  <c r="ET113" i="15"/>
  <c r="CW403" i="40"/>
  <c r="CW404" i="40" s="1"/>
  <c r="R79" i="64"/>
  <c r="R83" i="64" s="1"/>
  <c r="R92" i="64" s="1"/>
  <c r="B162" i="2"/>
  <c r="F54" i="46"/>
  <c r="H54" i="46"/>
  <c r="F55" i="59"/>
  <c r="H55" i="59"/>
  <c r="H55" i="45"/>
  <c r="F55" i="45"/>
  <c r="F54" i="42"/>
  <c r="H54" i="42"/>
  <c r="H54" i="48"/>
  <c r="F54" i="48"/>
  <c r="F54" i="47"/>
  <c r="H54" i="47"/>
  <c r="F54" i="66"/>
  <c r="H54" i="66"/>
  <c r="F54" i="60"/>
  <c r="H54" i="60"/>
  <c r="D113" i="64"/>
  <c r="L113" i="64" s="1"/>
  <c r="T113" i="64" s="1"/>
  <c r="V113" i="64" s="1"/>
  <c r="EE52" i="8"/>
  <c r="T106" i="64"/>
  <c r="V106" i="64" s="1"/>
  <c r="EG55" i="8"/>
  <c r="EG52" i="8"/>
  <c r="EE55" i="8"/>
  <c r="D50" i="44"/>
  <c r="D50" i="60" s="1"/>
  <c r="C160" i="2"/>
  <c r="L111" i="78"/>
  <c r="N128" i="1"/>
  <c r="N132" i="1" s="1"/>
  <c r="L128" i="78"/>
  <c r="EU45" i="8"/>
  <c r="K136" i="78" a="1"/>
  <c r="K136" i="78" s="1"/>
  <c r="L136" i="78" a="1"/>
  <c r="L136" i="78" s="1"/>
  <c r="M148" i="78"/>
  <c r="M125" i="78"/>
  <c r="M118" i="78"/>
  <c r="M111" i="78"/>
  <c r="M98" i="78"/>
  <c r="M93" i="78"/>
  <c r="M65" i="78"/>
  <c r="V109" i="64"/>
  <c r="V4" i="78"/>
  <c r="F128" i="1"/>
  <c r="K101" i="78"/>
  <c r="K111" i="78" s="1"/>
  <c r="K88" i="78" a="1"/>
  <c r="K88" i="78" s="1"/>
  <c r="C14" i="56"/>
  <c r="B36" i="68"/>
  <c r="B25" i="68"/>
  <c r="C105" i="2"/>
  <c r="T106" i="1"/>
  <c r="V106" i="1" s="1"/>
  <c r="P55" i="64"/>
  <c r="T76" i="1"/>
  <c r="C51" i="75" s="1"/>
  <c r="D51" i="75" s="1"/>
  <c r="K79" i="78" a="1"/>
  <c r="K79" i="78" s="1"/>
  <c r="U19" i="78"/>
  <c r="U18" i="78"/>
  <c r="U17" i="78"/>
  <c r="O2" i="78"/>
  <c r="N47" i="78"/>
  <c r="N64" i="78"/>
  <c r="N102" i="78" a="1"/>
  <c r="N102" i="78" s="1"/>
  <c r="N106" i="78" a="1"/>
  <c r="N106" i="78" s="1"/>
  <c r="N110" i="78" a="1"/>
  <c r="N110" i="78" s="1"/>
  <c r="N34" i="78"/>
  <c r="N70" i="78" a="1"/>
  <c r="N70" i="78" s="1"/>
  <c r="N35" i="78"/>
  <c r="N36" i="78"/>
  <c r="N52" i="78"/>
  <c r="N53" i="78" s="1"/>
  <c r="N71" i="78" a="1"/>
  <c r="N71" i="78" s="1"/>
  <c r="N75" i="78" a="1"/>
  <c r="N75" i="78" s="1"/>
  <c r="N79" i="78" a="1"/>
  <c r="N79" i="78" s="1"/>
  <c r="N88" i="78" a="1"/>
  <c r="N88" i="78" s="1"/>
  <c r="N92" i="78" a="1"/>
  <c r="N92" i="78" s="1"/>
  <c r="N46" i="78"/>
  <c r="N62" i="78"/>
  <c r="N76" i="78" a="1"/>
  <c r="N76" i="78" s="1"/>
  <c r="N89" i="78" a="1"/>
  <c r="N89" i="78" s="1"/>
  <c r="N96" i="78"/>
  <c r="N104" i="78" a="1"/>
  <c r="N104" i="78" s="1"/>
  <c r="N107" i="78" a="1"/>
  <c r="N107" i="78" s="1"/>
  <c r="N116" i="78" a="1"/>
  <c r="N116" i="78" s="1"/>
  <c r="N117" i="78" a="1"/>
  <c r="N117" i="78" s="1"/>
  <c r="N123" i="78" a="1"/>
  <c r="N123" i="78" s="1"/>
  <c r="N48" i="78"/>
  <c r="N97" i="78" a="1"/>
  <c r="N97" i="78" s="1"/>
  <c r="N115" i="78" a="1"/>
  <c r="N115" i="78" s="1"/>
  <c r="N121" i="78"/>
  <c r="N129" i="78" a="1"/>
  <c r="N129" i="78" s="1"/>
  <c r="N133" i="78" a="1"/>
  <c r="N133" i="78" s="1"/>
  <c r="N137" i="78" a="1"/>
  <c r="N137" i="78" s="1"/>
  <c r="N141" i="78" a="1"/>
  <c r="N141" i="78" s="1"/>
  <c r="N145" i="78" a="1"/>
  <c r="N145" i="78" s="1"/>
  <c r="N41" i="78"/>
  <c r="N57" i="78"/>
  <c r="N72" i="78" a="1"/>
  <c r="N72" i="78" s="1"/>
  <c r="N103" i="78" a="1"/>
  <c r="N103" i="78" s="1"/>
  <c r="N124" i="78" a="1"/>
  <c r="N124" i="78" s="1"/>
  <c r="N45" i="78"/>
  <c r="N61" i="78"/>
  <c r="N78" i="78" a="1"/>
  <c r="N78" i="78" s="1"/>
  <c r="N86" i="78"/>
  <c r="N91" i="78" a="1"/>
  <c r="N91" i="78" s="1"/>
  <c r="N101" i="78"/>
  <c r="N109" i="78" a="1"/>
  <c r="N109" i="78" s="1"/>
  <c r="N130" i="78" a="1"/>
  <c r="N130" i="78" s="1"/>
  <c r="N134" i="78" a="1"/>
  <c r="N134" i="78" s="1"/>
  <c r="N138" i="78" a="1"/>
  <c r="N138" i="78" s="1"/>
  <c r="N142" i="78" a="1"/>
  <c r="N142" i="78" s="1"/>
  <c r="N146" i="78" a="1"/>
  <c r="N146" i="78" s="1"/>
  <c r="N128" i="78"/>
  <c r="N151" i="78"/>
  <c r="N152" i="78" s="1"/>
  <c r="N40" i="78"/>
  <c r="N56" i="78"/>
  <c r="N74" i="78" a="1"/>
  <c r="N74" i="78" s="1"/>
  <c r="N77" i="78" a="1"/>
  <c r="N77" i="78" s="1"/>
  <c r="N87" i="78" a="1"/>
  <c r="N87" i="78" s="1"/>
  <c r="N90" i="78" a="1"/>
  <c r="N90" i="78" s="1"/>
  <c r="N105" i="78" a="1"/>
  <c r="N105" i="78" s="1"/>
  <c r="N114" i="78"/>
  <c r="N131" i="78" a="1"/>
  <c r="N131" i="78" s="1"/>
  <c r="N135" i="78" a="1"/>
  <c r="N135" i="78" s="1"/>
  <c r="N139" i="78" a="1"/>
  <c r="N139" i="78" s="1"/>
  <c r="N143" i="78" a="1"/>
  <c r="N143" i="78" s="1"/>
  <c r="N147" i="78" a="1"/>
  <c r="N147" i="78" s="1"/>
  <c r="N68" i="78"/>
  <c r="N122" i="78" a="1"/>
  <c r="N122" i="78" s="1"/>
  <c r="N136" i="78" a="1"/>
  <c r="N136" i="78" s="1"/>
  <c r="N73" i="78" a="1"/>
  <c r="N73" i="78" s="1"/>
  <c r="N144" i="78" a="1"/>
  <c r="N144" i="78" s="1"/>
  <c r="N132" i="78" a="1"/>
  <c r="N132" i="78" s="1"/>
  <c r="N69" i="78" a="1"/>
  <c r="N69" i="78" s="1"/>
  <c r="N108" i="78" a="1"/>
  <c r="N108" i="78" s="1"/>
  <c r="N140" i="78" a="1"/>
  <c r="N140" i="78" s="1"/>
  <c r="L23" i="2"/>
  <c r="D43" i="2"/>
  <c r="D160" i="1" s="1"/>
  <c r="B35" i="68" s="1"/>
  <c r="N132" i="64"/>
  <c r="N141" i="64"/>
  <c r="X13" i="78"/>
  <c r="X14" i="78"/>
  <c r="D49" i="44"/>
  <c r="C62" i="75"/>
  <c r="D62" i="75" s="1"/>
  <c r="C12" i="56"/>
  <c r="G43" i="2"/>
  <c r="D166" i="1" s="1"/>
  <c r="B27" i="68" s="1"/>
  <c r="L15" i="2"/>
  <c r="M37" i="78"/>
  <c r="M49" i="78"/>
  <c r="F249" i="16"/>
  <c r="D248" i="16"/>
  <c r="K128" i="78"/>
  <c r="L10" i="65"/>
  <c r="K121" i="78"/>
  <c r="K125" i="78" s="1"/>
  <c r="F58" i="78" a="1"/>
  <c r="F58" i="78" s="1"/>
  <c r="T58" i="64"/>
  <c r="BJ15" i="49"/>
  <c r="BJ26" i="49"/>
  <c r="EQ113" i="15"/>
  <c r="CT403" i="40"/>
  <c r="CT404" i="40" s="1"/>
  <c r="M58" i="78"/>
  <c r="AS3" i="49"/>
  <c r="AR26" i="49"/>
  <c r="AR15" i="49"/>
  <c r="D12" i="42"/>
  <c r="F12" i="42" s="1"/>
  <c r="D12" i="66"/>
  <c r="F12" i="66" s="1"/>
  <c r="D12" i="60"/>
  <c r="F12" i="60" s="1"/>
  <c r="F12" i="44"/>
  <c r="D12" i="47"/>
  <c r="F12" i="47" s="1"/>
  <c r="D13" i="59"/>
  <c r="F13" i="59" s="1"/>
  <c r="D12" i="46"/>
  <c r="F12" i="46" s="1"/>
  <c r="D13" i="45"/>
  <c r="F13" i="45" s="1"/>
  <c r="D12" i="48"/>
  <c r="F12" i="48" s="1"/>
  <c r="AB160" i="64"/>
  <c r="J128" i="64"/>
  <c r="T58" i="1"/>
  <c r="B11" i="77"/>
  <c r="B206" i="2"/>
  <c r="I209" i="2" s="1"/>
  <c r="D28" i="44"/>
  <c r="K86" i="78"/>
  <c r="AB166" i="64"/>
  <c r="D29" i="44"/>
  <c r="AF24" i="38"/>
  <c r="AG12" i="38"/>
  <c r="AF40" i="38"/>
  <c r="GA6" i="15"/>
  <c r="CX6" i="15"/>
  <c r="R77" i="1"/>
  <c r="D11" i="46"/>
  <c r="F11" i="46" s="1"/>
  <c r="D11" i="60"/>
  <c r="F11" i="60" s="1"/>
  <c r="D11" i="47"/>
  <c r="F11" i="47" s="1"/>
  <c r="D12" i="45"/>
  <c r="F12" i="45" s="1"/>
  <c r="D11" i="48"/>
  <c r="F11" i="48" s="1"/>
  <c r="D11" i="66"/>
  <c r="F11" i="66" s="1"/>
  <c r="F11" i="44"/>
  <c r="D12" i="59"/>
  <c r="F12" i="59" s="1"/>
  <c r="D11" i="42"/>
  <c r="F11" i="42" s="1"/>
  <c r="E25" i="3"/>
  <c r="E58" i="3"/>
  <c r="M42" i="78"/>
  <c r="B24" i="8"/>
  <c r="B45" i="8" s="1"/>
  <c r="C12" i="75" s="1"/>
  <c r="D12" i="75" s="1"/>
  <c r="X166" i="64"/>
  <c r="BS3" i="49"/>
  <c r="BR15" i="49"/>
  <c r="BR26" i="49"/>
  <c r="BR37" i="49" s="1"/>
  <c r="EQ107" i="15"/>
  <c r="FF107" i="15" s="1"/>
  <c r="AG26" i="49"/>
  <c r="AH3" i="49"/>
  <c r="AG15" i="49"/>
  <c r="B126" i="64"/>
  <c r="B128" i="64" s="1"/>
  <c r="CC26" i="49"/>
  <c r="CC37" i="49" s="1"/>
  <c r="CD3" i="49"/>
  <c r="CC15" i="49"/>
  <c r="D126" i="1"/>
  <c r="D128" i="1" s="1"/>
  <c r="K97" i="78" a="1"/>
  <c r="K97" i="78" s="1"/>
  <c r="F128" i="64"/>
  <c r="G12" i="57"/>
  <c r="L160" i="64"/>
  <c r="M80" i="78"/>
  <c r="C18" i="56"/>
  <c r="T64" i="1"/>
  <c r="C41" i="75" s="1"/>
  <c r="D41" i="75" s="1"/>
  <c r="K72" i="78" a="1"/>
  <c r="K72" i="78" s="1"/>
  <c r="K114" i="78"/>
  <c r="D42" i="44"/>
  <c r="C56" i="75"/>
  <c r="D56" i="75" s="1"/>
  <c r="Q4" i="78"/>
  <c r="Q5" i="78" s="1"/>
  <c r="D20" i="16"/>
  <c r="F21" i="16"/>
  <c r="J55" i="1"/>
  <c r="B79" i="1"/>
  <c r="B83" i="1" s="1"/>
  <c r="B92" i="1" s="1"/>
  <c r="K34" i="78"/>
  <c r="K37" i="78" s="1"/>
  <c r="D48" i="44"/>
  <c r="C61" i="75"/>
  <c r="D61" i="75" s="1"/>
  <c r="DY35" i="38" l="1"/>
  <c r="EA33" i="38"/>
  <c r="DX33" i="38"/>
  <c r="DC404" i="40"/>
  <c r="DF404" i="40"/>
  <c r="ED33" i="38"/>
  <c r="D17" i="3" s="1"/>
  <c r="L160" i="1" s="1"/>
  <c r="P160" i="1" s="1"/>
  <c r="ED35" i="38"/>
  <c r="D50" i="3" s="1"/>
  <c r="EB35" i="38"/>
  <c r="EB33" i="38"/>
  <c r="EC35" i="38"/>
  <c r="EC33" i="38"/>
  <c r="DW33" i="38"/>
  <c r="D46" i="47"/>
  <c r="F46" i="47" s="1"/>
  <c r="D46" i="42"/>
  <c r="H46" i="42" s="1"/>
  <c r="B171" i="1"/>
  <c r="L10" i="2" s="1"/>
  <c r="D47" i="59"/>
  <c r="H47" i="59" s="1"/>
  <c r="D47" i="45"/>
  <c r="F47" i="45" s="1"/>
  <c r="D46" i="66"/>
  <c r="F46" i="66" s="1"/>
  <c r="B37" i="68"/>
  <c r="FF113" i="15"/>
  <c r="CZ404" i="40"/>
  <c r="D46" i="48"/>
  <c r="H46" i="48" s="1"/>
  <c r="F46" i="44"/>
  <c r="D46" i="46"/>
  <c r="F46" i="46" s="1"/>
  <c r="H46" i="44"/>
  <c r="P164" i="1"/>
  <c r="G16" i="57" s="1"/>
  <c r="C162" i="2"/>
  <c r="D50" i="66"/>
  <c r="F50" i="66" s="1"/>
  <c r="D126" i="64"/>
  <c r="D128" i="64" s="1"/>
  <c r="D132" i="64" s="1"/>
  <c r="H50" i="44"/>
  <c r="F50" i="44"/>
  <c r="D50" i="47"/>
  <c r="F50" i="47" s="1"/>
  <c r="D50" i="48"/>
  <c r="H50" i="48" s="1"/>
  <c r="D50" i="46"/>
  <c r="F50" i="46" s="1"/>
  <c r="N141" i="1"/>
  <c r="D51" i="45"/>
  <c r="F51" i="45" s="1"/>
  <c r="D50" i="42"/>
  <c r="H50" i="42" s="1"/>
  <c r="D51" i="59"/>
  <c r="F51" i="59" s="1"/>
  <c r="B38" i="68"/>
  <c r="K133" i="78" a="1"/>
  <c r="K133" i="78" s="1"/>
  <c r="N148" i="78"/>
  <c r="N118" i="78"/>
  <c r="N125" i="78"/>
  <c r="N111" i="78"/>
  <c r="N98" i="78"/>
  <c r="K98" i="78"/>
  <c r="F98" i="78" s="1" a="1"/>
  <c r="F98" i="78" s="1"/>
  <c r="K93" i="78"/>
  <c r="N93" i="78"/>
  <c r="N58" i="78"/>
  <c r="U20" i="78"/>
  <c r="N65" i="78"/>
  <c r="B141" i="64"/>
  <c r="B132" i="64"/>
  <c r="D29" i="42"/>
  <c r="D29" i="60"/>
  <c r="D29" i="48"/>
  <c r="D29" i="47"/>
  <c r="D30" i="59"/>
  <c r="D30" i="45"/>
  <c r="F29" i="44"/>
  <c r="H29" i="44"/>
  <c r="D29" i="66"/>
  <c r="D31" i="44"/>
  <c r="D29" i="46"/>
  <c r="P2" i="78"/>
  <c r="O46" i="78"/>
  <c r="O62" i="78"/>
  <c r="O105" i="78" a="1"/>
  <c r="O105" i="78" s="1"/>
  <c r="O109" i="78" a="1"/>
  <c r="O109" i="78" s="1"/>
  <c r="O41" i="78"/>
  <c r="O57" i="78"/>
  <c r="O69" i="78" a="1"/>
  <c r="O69" i="78" s="1"/>
  <c r="O34" i="78"/>
  <c r="O35" i="78"/>
  <c r="O68" i="78"/>
  <c r="O70" i="78" a="1"/>
  <c r="O70" i="78" s="1"/>
  <c r="O74" i="78" a="1"/>
  <c r="O74" i="78" s="1"/>
  <c r="O78" i="78" a="1"/>
  <c r="O78" i="78" s="1"/>
  <c r="O87" i="78" a="1"/>
  <c r="O87" i="78" s="1"/>
  <c r="O91" i="78" a="1"/>
  <c r="O91" i="78" s="1"/>
  <c r="O96" i="78"/>
  <c r="O122" i="78" a="1"/>
  <c r="O122" i="78" s="1"/>
  <c r="O73" i="78" a="1"/>
  <c r="O73" i="78" s="1"/>
  <c r="O76" i="78" a="1"/>
  <c r="O76" i="78" s="1"/>
  <c r="O89" i="78" a="1"/>
  <c r="O89" i="78" s="1"/>
  <c r="O104" i="78" a="1"/>
  <c r="O104" i="78" s="1"/>
  <c r="O132" i="78" a="1"/>
  <c r="O132" i="78" s="1"/>
  <c r="O136" i="78" a="1"/>
  <c r="O136" i="78" s="1"/>
  <c r="O140" i="78" a="1"/>
  <c r="O140" i="78" s="1"/>
  <c r="O144" i="78" a="1"/>
  <c r="O144" i="78" s="1"/>
  <c r="O48" i="78"/>
  <c r="O79" i="78" a="1"/>
  <c r="O79" i="78" s="1"/>
  <c r="O92" i="78" a="1"/>
  <c r="O92" i="78" s="1"/>
  <c r="O107" i="78" a="1"/>
  <c r="O107" i="78" s="1"/>
  <c r="O110" i="78" a="1"/>
  <c r="O110" i="78" s="1"/>
  <c r="O115" i="78" a="1"/>
  <c r="O115" i="78" s="1"/>
  <c r="O116" i="78" a="1"/>
  <c r="O116" i="78" s="1"/>
  <c r="O117" i="78" a="1"/>
  <c r="O117" i="78" s="1"/>
  <c r="O121" i="78"/>
  <c r="O123" i="78" a="1"/>
  <c r="O123" i="78" s="1"/>
  <c r="O36" i="78"/>
  <c r="O52" i="78"/>
  <c r="O53" i="78" s="1"/>
  <c r="O72" i="78" a="1"/>
  <c r="O72" i="78" s="1"/>
  <c r="O97" i="78" a="1"/>
  <c r="O97" i="78" s="1"/>
  <c r="O129" i="78" a="1"/>
  <c r="O129" i="78" s="1"/>
  <c r="O133" i="78" a="1"/>
  <c r="O133" i="78" s="1"/>
  <c r="O137" i="78" a="1"/>
  <c r="O137" i="78" s="1"/>
  <c r="O141" i="78" a="1"/>
  <c r="O141" i="78" s="1"/>
  <c r="O145" i="78" a="1"/>
  <c r="O145" i="78" s="1"/>
  <c r="O45" i="78"/>
  <c r="O61" i="78"/>
  <c r="O75" i="78" a="1"/>
  <c r="O75" i="78" s="1"/>
  <c r="O86" i="78"/>
  <c r="O88" i="78" a="1"/>
  <c r="O88" i="78" s="1"/>
  <c r="O101" i="78"/>
  <c r="O103" i="78" a="1"/>
  <c r="O103" i="78" s="1"/>
  <c r="O106" i="78" a="1"/>
  <c r="O106" i="78" s="1"/>
  <c r="O124" i="78" a="1"/>
  <c r="O124" i="78" s="1"/>
  <c r="O47" i="78"/>
  <c r="O64" i="78"/>
  <c r="O128" i="78"/>
  <c r="O130" i="78" a="1"/>
  <c r="O130" i="78" s="1"/>
  <c r="O134" i="78" a="1"/>
  <c r="O134" i="78" s="1"/>
  <c r="O138" i="78" a="1"/>
  <c r="O138" i="78" s="1"/>
  <c r="O142" i="78" a="1"/>
  <c r="O142" i="78" s="1"/>
  <c r="O146" i="78" a="1"/>
  <c r="O146" i="78" s="1"/>
  <c r="O151" i="78"/>
  <c r="O152" i="78" s="1"/>
  <c r="O40" i="78"/>
  <c r="O77" i="78" a="1"/>
  <c r="O77" i="78" s="1"/>
  <c r="O71" i="78" a="1"/>
  <c r="O71" i="78" s="1"/>
  <c r="O147" i="78" a="1"/>
  <c r="O147" i="78" s="1"/>
  <c r="O139" i="78" a="1"/>
  <c r="O139" i="78" s="1"/>
  <c r="O90" i="78" a="1"/>
  <c r="O90" i="78" s="1"/>
  <c r="O102" i="78" a="1"/>
  <c r="O102" i="78" s="1"/>
  <c r="O143" i="78" a="1"/>
  <c r="O143" i="78" s="1"/>
  <c r="O114" i="78"/>
  <c r="O135" i="78" a="1"/>
  <c r="O135" i="78" s="1"/>
  <c r="O56" i="78"/>
  <c r="O131" i="78" a="1"/>
  <c r="O131" i="78" s="1"/>
  <c r="O108" i="78" a="1"/>
  <c r="O108" i="78" s="1"/>
  <c r="D41" i="44"/>
  <c r="F141" i="1"/>
  <c r="F132" i="1"/>
  <c r="F46" i="60"/>
  <c r="H46" i="60"/>
  <c r="F11" i="77"/>
  <c r="F41" i="77" s="1"/>
  <c r="B41" i="77"/>
  <c r="N37" i="78"/>
  <c r="V12" i="78"/>
  <c r="V3" i="78" s="1" a="1"/>
  <c r="V3" i="78" s="1"/>
  <c r="V5" i="78"/>
  <c r="V2" i="78"/>
  <c r="D48" i="42"/>
  <c r="D48" i="60"/>
  <c r="D48" i="46"/>
  <c r="D48" i="47"/>
  <c r="D49" i="59"/>
  <c r="D49" i="45"/>
  <c r="D48" i="48"/>
  <c r="F48" i="44"/>
  <c r="D48" i="66"/>
  <c r="H48" i="44"/>
  <c r="P55" i="1"/>
  <c r="D42" i="60"/>
  <c r="D42" i="46"/>
  <c r="D42" i="48"/>
  <c r="D42" i="47"/>
  <c r="D42" i="42"/>
  <c r="D43" i="45"/>
  <c r="D42" i="66"/>
  <c r="D43" i="59"/>
  <c r="F42" i="44"/>
  <c r="H42" i="44"/>
  <c r="D141" i="1"/>
  <c r="D132" i="1"/>
  <c r="AH15" i="49"/>
  <c r="AH26" i="49"/>
  <c r="AI3" i="49"/>
  <c r="D14" i="75"/>
  <c r="C14" i="75"/>
  <c r="GB6" i="15"/>
  <c r="CY6" i="15"/>
  <c r="F12" i="1"/>
  <c r="C36" i="75"/>
  <c r="D36" i="75" s="1"/>
  <c r="AS26" i="49"/>
  <c r="AT3" i="49"/>
  <c r="AS15" i="49"/>
  <c r="B24" i="68"/>
  <c r="N42" i="78"/>
  <c r="F37" i="78" a="1"/>
  <c r="F37" i="78" s="1"/>
  <c r="BS26" i="49"/>
  <c r="BS37" i="49" s="1"/>
  <c r="BT3" i="49"/>
  <c r="BS15" i="49"/>
  <c r="X171" i="64"/>
  <c r="Y166" i="64" s="1"/>
  <c r="N80" i="78"/>
  <c r="Y14" i="78"/>
  <c r="Y13" i="78"/>
  <c r="D28" i="60"/>
  <c r="D28" i="46"/>
  <c r="D28" i="48"/>
  <c r="D28" i="47"/>
  <c r="D29" i="45"/>
  <c r="D28" i="66"/>
  <c r="H28" i="44"/>
  <c r="D28" i="42"/>
  <c r="D29" i="59"/>
  <c r="F28" i="44"/>
  <c r="J132" i="64"/>
  <c r="J141" i="64"/>
  <c r="D249" i="16"/>
  <c r="F250" i="16"/>
  <c r="F50" i="60"/>
  <c r="H50" i="60"/>
  <c r="CD15" i="49"/>
  <c r="CD26" i="49"/>
  <c r="CD37" i="49" s="1"/>
  <c r="CE3" i="49"/>
  <c r="AH12" i="38"/>
  <c r="AG24" i="38"/>
  <c r="AG40" i="38"/>
  <c r="N49" i="78"/>
  <c r="P160" i="64"/>
  <c r="T160" i="64"/>
  <c r="F141" i="64"/>
  <c r="F132" i="64"/>
  <c r="P44" i="77"/>
  <c r="P48" i="77" s="1"/>
  <c r="R55" i="1"/>
  <c r="L68" i="78" s="1"/>
  <c r="L80" i="78" s="1"/>
  <c r="F22" i="16"/>
  <c r="D21" i="16"/>
  <c r="F12" i="64"/>
  <c r="H46" i="47"/>
  <c r="C24" i="56"/>
  <c r="T55" i="64"/>
  <c r="D49" i="47"/>
  <c r="D49" i="42"/>
  <c r="D49" i="60"/>
  <c r="D49" i="48"/>
  <c r="D49" i="66"/>
  <c r="D50" i="59"/>
  <c r="H49" i="44"/>
  <c r="D50" i="45"/>
  <c r="F49" i="44"/>
  <c r="D49" i="46"/>
  <c r="F111" i="78" a="1"/>
  <c r="F111" i="78" s="1"/>
  <c r="F46" i="48" l="1"/>
  <c r="F46" i="42"/>
  <c r="F47" i="59"/>
  <c r="T160" i="1"/>
  <c r="H50" i="47"/>
  <c r="F50" i="48"/>
  <c r="H47" i="45"/>
  <c r="H46" i="66"/>
  <c r="H46" i="46"/>
  <c r="H51" i="59"/>
  <c r="D141" i="64"/>
  <c r="H50" i="66"/>
  <c r="H50" i="46"/>
  <c r="H51" i="45"/>
  <c r="F50" i="42"/>
  <c r="D32" i="75"/>
  <c r="O148" i="78"/>
  <c r="O125" i="78"/>
  <c r="O118" i="78"/>
  <c r="O111" i="78"/>
  <c r="O98" i="78"/>
  <c r="O58" i="78"/>
  <c r="O93" i="78"/>
  <c r="O65" i="78"/>
  <c r="O42" i="78"/>
  <c r="O49" i="78"/>
  <c r="F49" i="47"/>
  <c r="H49" i="47"/>
  <c r="AJ3" i="49"/>
  <c r="AI26" i="49"/>
  <c r="AI15" i="49"/>
  <c r="D31" i="60"/>
  <c r="D31" i="46"/>
  <c r="D31" i="48"/>
  <c r="D32" i="59"/>
  <c r="D31" i="42"/>
  <c r="D31" i="47"/>
  <c r="H31" i="44"/>
  <c r="D31" i="66"/>
  <c r="D32" i="45"/>
  <c r="F31" i="44"/>
  <c r="F29" i="42"/>
  <c r="H29" i="42"/>
  <c r="F23" i="16"/>
  <c r="D22" i="16"/>
  <c r="F28" i="48"/>
  <c r="H28" i="48"/>
  <c r="H42" i="42"/>
  <c r="F42" i="42"/>
  <c r="F50" i="59"/>
  <c r="H50" i="59"/>
  <c r="F28" i="46"/>
  <c r="H28" i="46"/>
  <c r="BT15" i="49"/>
  <c r="BT26" i="49"/>
  <c r="BT37" i="49" s="1"/>
  <c r="BU3" i="49"/>
  <c r="H42" i="47"/>
  <c r="F42" i="47"/>
  <c r="O37" i="78"/>
  <c r="R79" i="1"/>
  <c r="R83" i="1" s="1"/>
  <c r="R92" i="1" s="1"/>
  <c r="D13" i="44" s="1"/>
  <c r="K68" i="78"/>
  <c r="K80" i="78" s="1"/>
  <c r="H29" i="45"/>
  <c r="F29" i="45"/>
  <c r="Z13" i="78"/>
  <c r="Z14" i="78"/>
  <c r="T55" i="1"/>
  <c r="H29" i="60"/>
  <c r="F29" i="60"/>
  <c r="F50" i="45"/>
  <c r="H50" i="45"/>
  <c r="H43" i="45"/>
  <c r="F43" i="45"/>
  <c r="O80" i="78"/>
  <c r="F29" i="66"/>
  <c r="H29" i="66"/>
  <c r="D33" i="44"/>
  <c r="H48" i="66"/>
  <c r="F48" i="66"/>
  <c r="F48" i="42"/>
  <c r="H48" i="42"/>
  <c r="F49" i="66"/>
  <c r="H49" i="66"/>
  <c r="F29" i="59"/>
  <c r="H29" i="59"/>
  <c r="F28" i="60"/>
  <c r="H28" i="60"/>
  <c r="AT15" i="49"/>
  <c r="AT26" i="49"/>
  <c r="AU3" i="49"/>
  <c r="CZ6" i="15"/>
  <c r="GC6" i="15"/>
  <c r="F42" i="48"/>
  <c r="H42" i="48"/>
  <c r="F48" i="48"/>
  <c r="H48" i="48"/>
  <c r="W4" i="78"/>
  <c r="P45" i="78"/>
  <c r="P61" i="78"/>
  <c r="P86" i="78"/>
  <c r="P104" i="78" a="1"/>
  <c r="P104" i="78" s="1"/>
  <c r="P108" i="78" a="1"/>
  <c r="P108" i="78" s="1"/>
  <c r="P40" i="78"/>
  <c r="P48" i="78"/>
  <c r="P56" i="78"/>
  <c r="Q2" i="78"/>
  <c r="P41" i="78"/>
  <c r="P57" i="78"/>
  <c r="P34" i="78"/>
  <c r="P69" i="78" a="1"/>
  <c r="P69" i="78" s="1"/>
  <c r="P73" i="78" a="1"/>
  <c r="P73" i="78" s="1"/>
  <c r="P77" i="78" a="1"/>
  <c r="P77" i="78" s="1"/>
  <c r="P90" i="78" a="1"/>
  <c r="P90" i="78" s="1"/>
  <c r="P97" i="78" a="1"/>
  <c r="P97" i="78" s="1"/>
  <c r="P101" i="78"/>
  <c r="P68" i="78"/>
  <c r="P71" i="78" a="1"/>
  <c r="P71" i="78" s="1"/>
  <c r="P74" i="78" a="1"/>
  <c r="P74" i="78" s="1"/>
  <c r="P87" i="78" a="1"/>
  <c r="P87" i="78" s="1"/>
  <c r="P102" i="78" a="1"/>
  <c r="P102" i="78" s="1"/>
  <c r="P105" i="78" a="1"/>
  <c r="P105" i="78" s="1"/>
  <c r="P46" i="78"/>
  <c r="P62" i="78"/>
  <c r="P96" i="78"/>
  <c r="P131" i="78" a="1"/>
  <c r="P131" i="78" s="1"/>
  <c r="P135" i="78" a="1"/>
  <c r="P135" i="78" s="1"/>
  <c r="P139" i="78" a="1"/>
  <c r="P139" i="78" s="1"/>
  <c r="P143" i="78" a="1"/>
  <c r="P143" i="78" s="1"/>
  <c r="P147" i="78" a="1"/>
  <c r="P147" i="78" s="1"/>
  <c r="P122" i="78" a="1"/>
  <c r="P122" i="78" s="1"/>
  <c r="P76" i="78" a="1"/>
  <c r="P76" i="78" s="1"/>
  <c r="P79" i="78" a="1"/>
  <c r="P79" i="78" s="1"/>
  <c r="P89" i="78" a="1"/>
  <c r="P89" i="78" s="1"/>
  <c r="P92" i="78" a="1"/>
  <c r="P92" i="78" s="1"/>
  <c r="P107" i="78" a="1"/>
  <c r="P107" i="78" s="1"/>
  <c r="P121" i="78"/>
  <c r="P132" i="78" a="1"/>
  <c r="P132" i="78" s="1"/>
  <c r="P136" i="78" a="1"/>
  <c r="P136" i="78" s="1"/>
  <c r="P140" i="78" a="1"/>
  <c r="P140" i="78" s="1"/>
  <c r="P144" i="78" a="1"/>
  <c r="P144" i="78" s="1"/>
  <c r="P36" i="78"/>
  <c r="P52" i="78"/>
  <c r="P53" i="78" s="1"/>
  <c r="P110" i="78" a="1"/>
  <c r="P110" i="78" s="1"/>
  <c r="P115" i="78" a="1"/>
  <c r="P115" i="78" s="1"/>
  <c r="P116" i="78" a="1"/>
  <c r="P116" i="78" s="1"/>
  <c r="P117" i="78" a="1"/>
  <c r="P117" i="78" s="1"/>
  <c r="P123" i="78" a="1"/>
  <c r="P123" i="78" s="1"/>
  <c r="P70" i="78" a="1"/>
  <c r="P70" i="78" s="1"/>
  <c r="P72" i="78" a="1"/>
  <c r="P72" i="78" s="1"/>
  <c r="P75" i="78" a="1"/>
  <c r="P75" i="78" s="1"/>
  <c r="P88" i="78" a="1"/>
  <c r="P88" i="78" s="1"/>
  <c r="P103" i="78" a="1"/>
  <c r="P103" i="78" s="1"/>
  <c r="P129" i="78" a="1"/>
  <c r="P129" i="78" s="1"/>
  <c r="P133" i="78" a="1"/>
  <c r="P133" i="78" s="1"/>
  <c r="P137" i="78" a="1"/>
  <c r="P137" i="78" s="1"/>
  <c r="P141" i="78" a="1"/>
  <c r="P141" i="78" s="1"/>
  <c r="P145" i="78" a="1"/>
  <c r="P145" i="78" s="1"/>
  <c r="P47" i="78"/>
  <c r="P91" i="78" a="1"/>
  <c r="P91" i="78" s="1"/>
  <c r="P134" i="78" a="1"/>
  <c r="P134" i="78" s="1"/>
  <c r="P109" i="78" a="1"/>
  <c r="P109" i="78" s="1"/>
  <c r="P130" i="78" a="1"/>
  <c r="P130" i="78" s="1"/>
  <c r="P146" i="78" a="1"/>
  <c r="P146" i="78" s="1"/>
  <c r="P151" i="78"/>
  <c r="P152" i="78" s="1"/>
  <c r="P35" i="78"/>
  <c r="P78" i="78" a="1"/>
  <c r="P78" i="78" s="1"/>
  <c r="P106" i="78" a="1"/>
  <c r="P106" i="78" s="1"/>
  <c r="P124" i="78" a="1"/>
  <c r="P124" i="78" s="1"/>
  <c r="P142" i="78" a="1"/>
  <c r="P142" i="78" s="1"/>
  <c r="P138" i="78" a="1"/>
  <c r="P138" i="78" s="1"/>
  <c r="P64" i="78"/>
  <c r="P114" i="78"/>
  <c r="P128" i="78"/>
  <c r="F30" i="45"/>
  <c r="H30" i="45"/>
  <c r="F49" i="48"/>
  <c r="H49" i="48"/>
  <c r="B30" i="68"/>
  <c r="F42" i="46"/>
  <c r="H42" i="46"/>
  <c r="V19" i="78"/>
  <c r="V18" i="78"/>
  <c r="V17" i="78"/>
  <c r="D41" i="47"/>
  <c r="D41" i="42"/>
  <c r="D41" i="60"/>
  <c r="D41" i="66"/>
  <c r="D42" i="59"/>
  <c r="D41" i="46"/>
  <c r="H41" i="44"/>
  <c r="D42" i="45"/>
  <c r="D41" i="48"/>
  <c r="F41" i="44"/>
  <c r="H49" i="60"/>
  <c r="F49" i="60"/>
  <c r="AH24" i="38"/>
  <c r="AI12" i="38"/>
  <c r="AH40" i="38"/>
  <c r="F251" i="16"/>
  <c r="D250" i="16"/>
  <c r="I33" i="44"/>
  <c r="Y168" i="64"/>
  <c r="Y170" i="64"/>
  <c r="Y164" i="64"/>
  <c r="X173" i="64"/>
  <c r="Y160" i="64"/>
  <c r="Y162" i="64"/>
  <c r="F42" i="60"/>
  <c r="H42" i="60"/>
  <c r="F49" i="59"/>
  <c r="H49" i="59"/>
  <c r="H29" i="47"/>
  <c r="F29" i="47"/>
  <c r="F14" i="64"/>
  <c r="F16" i="64" s="1"/>
  <c r="B173" i="64"/>
  <c r="F42" i="66"/>
  <c r="H42" i="66"/>
  <c r="H48" i="46"/>
  <c r="F48" i="46"/>
  <c r="H28" i="47"/>
  <c r="F28" i="47"/>
  <c r="F48" i="60"/>
  <c r="H48" i="60"/>
  <c r="H28" i="42"/>
  <c r="F28" i="42"/>
  <c r="F49" i="45"/>
  <c r="H49" i="45"/>
  <c r="H30" i="59"/>
  <c r="F30" i="59"/>
  <c r="H49" i="46"/>
  <c r="F49" i="46"/>
  <c r="H49" i="42"/>
  <c r="F49" i="42"/>
  <c r="CF3" i="49"/>
  <c r="CE15" i="49"/>
  <c r="CE26" i="49"/>
  <c r="CE37" i="49" s="1"/>
  <c r="F28" i="66"/>
  <c r="H28" i="66"/>
  <c r="F43" i="59"/>
  <c r="H43" i="59"/>
  <c r="F48" i="47"/>
  <c r="H48" i="47"/>
  <c r="F29" i="46"/>
  <c r="H29" i="46"/>
  <c r="F29" i="48"/>
  <c r="H29" i="48"/>
  <c r="I33" i="42" l="1"/>
  <c r="I33" i="66"/>
  <c r="I33" i="60"/>
  <c r="Y171" i="64"/>
  <c r="P148" i="78"/>
  <c r="P125" i="78"/>
  <c r="P118" i="78"/>
  <c r="P111" i="78"/>
  <c r="P98" i="78"/>
  <c r="P93" i="78"/>
  <c r="P37" i="78"/>
  <c r="D13" i="60"/>
  <c r="F13" i="60" s="1"/>
  <c r="D13" i="47"/>
  <c r="F13" i="47" s="1"/>
  <c r="D13" i="48"/>
  <c r="F13" i="48" s="1"/>
  <c r="D13" i="66"/>
  <c r="F13" i="66" s="1"/>
  <c r="D13" i="42"/>
  <c r="F13" i="42" s="1"/>
  <c r="D14" i="45"/>
  <c r="F14" i="45" s="1"/>
  <c r="D14" i="59"/>
  <c r="F14" i="59" s="1"/>
  <c r="D13" i="46"/>
  <c r="F13" i="46" s="1"/>
  <c r="F13" i="44"/>
  <c r="H31" i="66"/>
  <c r="F31" i="66"/>
  <c r="C30" i="68"/>
  <c r="C27" i="68"/>
  <c r="C25" i="68"/>
  <c r="C5" i="75"/>
  <c r="F14" i="1"/>
  <c r="B173" i="1"/>
  <c r="P80" i="78"/>
  <c r="BU26" i="49"/>
  <c r="BU37" i="49" s="1"/>
  <c r="BV3" i="49"/>
  <c r="BU15" i="49"/>
  <c r="F24" i="16"/>
  <c r="D23" i="16"/>
  <c r="F31" i="47"/>
  <c r="H31" i="47"/>
  <c r="AJ26" i="49"/>
  <c r="AK3" i="49"/>
  <c r="AJ15" i="49"/>
  <c r="F41" i="48"/>
  <c r="H41" i="48"/>
  <c r="P65" i="78"/>
  <c r="DA6" i="15"/>
  <c r="GD6" i="15"/>
  <c r="I34" i="59"/>
  <c r="AA14" i="78"/>
  <c r="AA13" i="78"/>
  <c r="F31" i="42"/>
  <c r="H31" i="42"/>
  <c r="CG3" i="49"/>
  <c r="CF26" i="49"/>
  <c r="CF37" i="49" s="1"/>
  <c r="CF15" i="49"/>
  <c r="F41" i="66"/>
  <c r="H41" i="66"/>
  <c r="D251" i="16"/>
  <c r="F252" i="16"/>
  <c r="H41" i="42"/>
  <c r="F41" i="42"/>
  <c r="C24" i="68"/>
  <c r="F42" i="45"/>
  <c r="H42" i="45"/>
  <c r="F41" i="47"/>
  <c r="H41" i="47"/>
  <c r="AJ12" i="38"/>
  <c r="AI24" i="38"/>
  <c r="AI40" i="38"/>
  <c r="V20" i="78"/>
  <c r="Q36" i="78"/>
  <c r="Q52" i="78"/>
  <c r="Q53" i="78" s="1"/>
  <c r="Q103" i="78" a="1"/>
  <c r="Q103" i="78" s="1"/>
  <c r="Q107" i="78" a="1"/>
  <c r="Q107" i="78" s="1"/>
  <c r="Q47" i="78"/>
  <c r="Q64" i="78"/>
  <c r="Q71" i="78" a="1"/>
  <c r="Q71" i="78" s="1"/>
  <c r="Q40" i="78"/>
  <c r="Q48" i="78"/>
  <c r="Q56" i="78"/>
  <c r="Q41" i="78"/>
  <c r="Q57" i="78"/>
  <c r="Q72" i="78" a="1"/>
  <c r="Q72" i="78" s="1"/>
  <c r="Q76" i="78" a="1"/>
  <c r="Q76" i="78" s="1"/>
  <c r="Q89" i="78" a="1"/>
  <c r="Q89" i="78" s="1"/>
  <c r="Q35" i="78"/>
  <c r="Q109" i="78" a="1"/>
  <c r="Q109" i="78" s="1"/>
  <c r="Q114" i="78"/>
  <c r="Q124" i="78" a="1"/>
  <c r="Q124" i="78" s="1"/>
  <c r="Q68" i="78"/>
  <c r="Q74" i="78" a="1"/>
  <c r="Q74" i="78" s="1"/>
  <c r="Q87" i="78" a="1"/>
  <c r="Q87" i="78" s="1"/>
  <c r="Q102" i="78" a="1"/>
  <c r="Q102" i="78" s="1"/>
  <c r="Q130" i="78" a="1"/>
  <c r="Q130" i="78" s="1"/>
  <c r="Q134" i="78" a="1"/>
  <c r="Q134" i="78" s="1"/>
  <c r="Q138" i="78" a="1"/>
  <c r="Q138" i="78" s="1"/>
  <c r="Q142" i="78" a="1"/>
  <c r="Q142" i="78" s="1"/>
  <c r="Q146" i="78" a="1"/>
  <c r="Q146" i="78" s="1"/>
  <c r="Q46" i="78"/>
  <c r="Q62" i="78"/>
  <c r="Q77" i="78" a="1"/>
  <c r="Q77" i="78" s="1"/>
  <c r="Q90" i="78" a="1"/>
  <c r="Q90" i="78" s="1"/>
  <c r="Q96" i="78"/>
  <c r="Q105" i="78" a="1"/>
  <c r="Q105" i="78" s="1"/>
  <c r="Q108" i="78" a="1"/>
  <c r="Q108" i="78" s="1"/>
  <c r="Q34" i="78"/>
  <c r="Q69" i="78" a="1"/>
  <c r="Q69" i="78" s="1"/>
  <c r="Q131" i="78" a="1"/>
  <c r="Q131" i="78" s="1"/>
  <c r="Q135" i="78" a="1"/>
  <c r="Q135" i="78" s="1"/>
  <c r="Q139" i="78" a="1"/>
  <c r="Q139" i="78" s="1"/>
  <c r="Q143" i="78" a="1"/>
  <c r="Q143" i="78" s="1"/>
  <c r="Q147" i="78" a="1"/>
  <c r="Q147" i="78" s="1"/>
  <c r="Q73" i="78" a="1"/>
  <c r="Q73" i="78" s="1"/>
  <c r="Q104" i="78" a="1"/>
  <c r="Q104" i="78" s="1"/>
  <c r="Q121" i="78"/>
  <c r="Q122" i="78" a="1"/>
  <c r="Q122" i="78" s="1"/>
  <c r="Q45" i="78"/>
  <c r="Q61" i="78"/>
  <c r="Q79" i="78" a="1"/>
  <c r="Q79" i="78" s="1"/>
  <c r="Q86" i="78"/>
  <c r="Q92" i="78" a="1"/>
  <c r="Q92" i="78" s="1"/>
  <c r="Q101" i="78"/>
  <c r="Q110" i="78" a="1"/>
  <c r="Q110" i="78" s="1"/>
  <c r="Q117" i="78" a="1"/>
  <c r="Q117" i="78" s="1"/>
  <c r="Q132" i="78" a="1"/>
  <c r="Q132" i="78" s="1"/>
  <c r="Q136" i="78" a="1"/>
  <c r="Q136" i="78" s="1"/>
  <c r="Q140" i="78" a="1"/>
  <c r="Q140" i="78" s="1"/>
  <c r="Q144" i="78" a="1"/>
  <c r="Q144" i="78" s="1"/>
  <c r="Q116" i="78" a="1"/>
  <c r="Q116" i="78" s="1"/>
  <c r="Q123" i="78" a="1"/>
  <c r="Q123" i="78" s="1"/>
  <c r="Q91" i="78" a="1"/>
  <c r="Q91" i="78" s="1"/>
  <c r="Q137" i="78" a="1"/>
  <c r="Q137" i="78" s="1"/>
  <c r="Q75" i="78" a="1"/>
  <c r="Q75" i="78" s="1"/>
  <c r="Q115" i="78" a="1"/>
  <c r="Q115" i="78" s="1"/>
  <c r="Q97" i="78" a="1"/>
  <c r="Q97" i="78" s="1"/>
  <c r="Q133" i="78" a="1"/>
  <c r="Q133" i="78" s="1"/>
  <c r="Q145" i="78" a="1"/>
  <c r="Q145" i="78" s="1"/>
  <c r="Q151" i="78"/>
  <c r="Q152" i="78" s="1"/>
  <c r="Q88" i="78" a="1"/>
  <c r="Q88" i="78" s="1"/>
  <c r="Q129" i="78" a="1"/>
  <c r="Q129" i="78" s="1"/>
  <c r="Q70" i="78" a="1"/>
  <c r="Q70" i="78" s="1"/>
  <c r="Q128" i="78"/>
  <c r="Q141" i="78" a="1"/>
  <c r="Q141" i="78" s="1"/>
  <c r="Q78" i="78" a="1"/>
  <c r="Q78" i="78" s="1"/>
  <c r="Q106" i="78" a="1"/>
  <c r="Q106" i="78" s="1"/>
  <c r="P49" i="78"/>
  <c r="AU26" i="49"/>
  <c r="AV3" i="49"/>
  <c r="AU15" i="49"/>
  <c r="D33" i="42"/>
  <c r="D33" i="46"/>
  <c r="D33" i="48"/>
  <c r="D33" i="66"/>
  <c r="H33" i="44"/>
  <c r="K33" i="44" s="1"/>
  <c r="D34" i="59"/>
  <c r="D33" i="60"/>
  <c r="D34" i="45"/>
  <c r="F33" i="44"/>
  <c r="D33" i="47"/>
  <c r="F32" i="59"/>
  <c r="H32" i="59"/>
  <c r="F41" i="60"/>
  <c r="H41" i="60"/>
  <c r="P58" i="78"/>
  <c r="W2" i="78"/>
  <c r="W5" i="78"/>
  <c r="W12" i="78"/>
  <c r="W3" i="78" s="1" a="1"/>
  <c r="W3" i="78" s="1"/>
  <c r="I33" i="46"/>
  <c r="H31" i="48"/>
  <c r="F31" i="48"/>
  <c r="I34" i="45"/>
  <c r="F31" i="46"/>
  <c r="H31" i="46"/>
  <c r="H41" i="46"/>
  <c r="F41" i="46"/>
  <c r="I33" i="47"/>
  <c r="F42" i="59"/>
  <c r="H42" i="59"/>
  <c r="P42" i="78"/>
  <c r="F80" i="78" a="1"/>
  <c r="F80" i="78" s="1"/>
  <c r="I33" i="48"/>
  <c r="F32" i="45"/>
  <c r="H32" i="45"/>
  <c r="F31" i="60"/>
  <c r="H31" i="60"/>
  <c r="Q125" i="78" l="1"/>
  <c r="Q148" i="78"/>
  <c r="Q118" i="78"/>
  <c r="Q111" i="78"/>
  <c r="Q98" i="78"/>
  <c r="Q93" i="78"/>
  <c r="Q42" i="78"/>
  <c r="Q58" i="78"/>
  <c r="Q37" i="78"/>
  <c r="Q49" i="78"/>
  <c r="H33" i="48"/>
  <c r="K33" i="48" s="1"/>
  <c r="F33" i="48"/>
  <c r="CG26" i="49"/>
  <c r="CG37" i="49" s="1"/>
  <c r="CH3" i="49"/>
  <c r="CG15" i="49"/>
  <c r="F33" i="66"/>
  <c r="H33" i="66"/>
  <c r="H33" i="46"/>
  <c r="F33" i="46"/>
  <c r="F253" i="16"/>
  <c r="D252" i="16"/>
  <c r="DB6" i="15"/>
  <c r="GE6" i="15"/>
  <c r="AK26" i="49"/>
  <c r="AL3" i="49"/>
  <c r="AK15" i="49"/>
  <c r="BV15" i="49"/>
  <c r="BV26" i="49"/>
  <c r="BV37" i="49" s="1"/>
  <c r="H34" i="45"/>
  <c r="F34" i="45"/>
  <c r="F33" i="42"/>
  <c r="H33" i="42"/>
  <c r="F16" i="1"/>
  <c r="F33" i="60"/>
  <c r="H33" i="60"/>
  <c r="Q65" i="78"/>
  <c r="Q80" i="78"/>
  <c r="AJ40" i="38"/>
  <c r="AK12" i="38"/>
  <c r="AJ24" i="38"/>
  <c r="I26" i="75"/>
  <c r="I22" i="75"/>
  <c r="F33" i="47"/>
  <c r="H33" i="47"/>
  <c r="W18" i="78"/>
  <c r="W17" i="78"/>
  <c r="W19" i="78"/>
  <c r="F34" i="59"/>
  <c r="H34" i="59"/>
  <c r="K34" i="59" s="1"/>
  <c r="AB14" i="78"/>
  <c r="AB13" i="78"/>
  <c r="X4" i="78"/>
  <c r="AW3" i="49"/>
  <c r="AV26" i="49"/>
  <c r="AV15" i="49"/>
  <c r="D24" i="16"/>
  <c r="F25" i="16"/>
  <c r="X2" i="78" l="1"/>
  <c r="X5" i="78"/>
  <c r="X12" i="78"/>
  <c r="X3" i="78" s="1" a="1"/>
  <c r="X3" i="78" s="1"/>
  <c r="DC6" i="15"/>
  <c r="GF6" i="15"/>
  <c r="CH15" i="49"/>
  <c r="CH26" i="49"/>
  <c r="CH37" i="49" s="1"/>
  <c r="AC13" i="78"/>
  <c r="AC14" i="78"/>
  <c r="K33" i="60"/>
  <c r="K33" i="46"/>
  <c r="K34" i="45"/>
  <c r="F254" i="16"/>
  <c r="D253" i="16"/>
  <c r="K33" i="47"/>
  <c r="AW26" i="49"/>
  <c r="AX3" i="49"/>
  <c r="AW15" i="49"/>
  <c r="F26" i="16"/>
  <c r="D25" i="16"/>
  <c r="AL12" i="38"/>
  <c r="AK40" i="38"/>
  <c r="AK24" i="38"/>
  <c r="W20" i="78"/>
  <c r="K33" i="42"/>
  <c r="AL15" i="49"/>
  <c r="AL26" i="49"/>
  <c r="K33" i="66"/>
  <c r="F27" i="16" l="1"/>
  <c r="D26" i="16"/>
  <c r="X17" i="78"/>
  <c r="X19" i="78"/>
  <c r="X18" i="78"/>
  <c r="Y4" i="78"/>
  <c r="AX15" i="49"/>
  <c r="AX26" i="49"/>
  <c r="AD14" i="78"/>
  <c r="AD13" i="78"/>
  <c r="AL40" i="38"/>
  <c r="AM12" i="38"/>
  <c r="AL24" i="38"/>
  <c r="F255" i="16"/>
  <c r="T268" i="16"/>
  <c r="D254" i="16"/>
  <c r="G254" i="16"/>
  <c r="DD6" i="15"/>
  <c r="GG6" i="15"/>
  <c r="X20" i="78" l="1"/>
  <c r="AE13" i="78"/>
  <c r="AE14" i="78"/>
  <c r="H119" i="64"/>
  <c r="D255" i="16"/>
  <c r="E255" i="16" s="1"/>
  <c r="F256" i="16"/>
  <c r="G255" i="16"/>
  <c r="E26" i="16"/>
  <c r="F28" i="16"/>
  <c r="D27" i="16"/>
  <c r="AN12" i="38"/>
  <c r="AM24" i="38"/>
  <c r="AM40" i="38"/>
  <c r="F72" i="64"/>
  <c r="E254" i="16"/>
  <c r="GH6" i="15"/>
  <c r="DE6" i="15"/>
  <c r="Y12" i="78"/>
  <c r="Y3" i="78" s="1" a="1"/>
  <c r="Y3" i="78" s="1"/>
  <c r="Y5" i="78"/>
  <c r="Y2" i="78"/>
  <c r="J72" i="64" l="1"/>
  <c r="F77" i="64"/>
  <c r="F79" i="64" s="1"/>
  <c r="F83" i="64" s="1"/>
  <c r="F92" i="64" s="1"/>
  <c r="AF13" i="78"/>
  <c r="AF14" i="78"/>
  <c r="GI6" i="15"/>
  <c r="DF6" i="15"/>
  <c r="Y17" i="78"/>
  <c r="Y19" i="78"/>
  <c r="Y18" i="78"/>
  <c r="E27" i="16"/>
  <c r="F257" i="16"/>
  <c r="T269" i="16" s="1"/>
  <c r="D256" i="16"/>
  <c r="G256" i="16"/>
  <c r="D28" i="16"/>
  <c r="F29" i="16"/>
  <c r="K116" i="78" a="1"/>
  <c r="K116" i="78" s="1"/>
  <c r="Z4" i="78"/>
  <c r="AN24" i="38"/>
  <c r="AO12" i="38"/>
  <c r="AN40" i="38"/>
  <c r="K47" i="78"/>
  <c r="K49" i="78" s="1"/>
  <c r="L119" i="64"/>
  <c r="T119" i="64" s="1"/>
  <c r="V119" i="64" s="1"/>
  <c r="H126" i="64"/>
  <c r="H128" i="64" s="1"/>
  <c r="K142" i="78" l="1" a="1"/>
  <c r="K142" i="78" s="1"/>
  <c r="K118" i="78"/>
  <c r="Y20" i="78"/>
  <c r="E28" i="16"/>
  <c r="E256" i="16"/>
  <c r="GJ6" i="15"/>
  <c r="DG6" i="15"/>
  <c r="H132" i="64"/>
  <c r="H141" i="64"/>
  <c r="AP12" i="38"/>
  <c r="AO24" i="38"/>
  <c r="AO40" i="38"/>
  <c r="F258" i="16"/>
  <c r="T270" i="16" s="1"/>
  <c r="D257" i="16"/>
  <c r="E257" i="16" s="1"/>
  <c r="G257" i="16"/>
  <c r="Z2" i="78"/>
  <c r="Z5" i="78"/>
  <c r="Z12" i="78"/>
  <c r="Z3" i="78" s="1" a="1"/>
  <c r="Z3" i="78" s="1"/>
  <c r="AG14" i="78"/>
  <c r="AG13" i="78"/>
  <c r="F30" i="16"/>
  <c r="D29" i="16"/>
  <c r="H36" i="65"/>
  <c r="K36" i="65"/>
  <c r="K43" i="65" s="1"/>
  <c r="P72" i="64"/>
  <c r="J77" i="64"/>
  <c r="J79" i="64" s="1"/>
  <c r="J83" i="64" s="1"/>
  <c r="J92" i="64" s="1"/>
  <c r="Z19" i="78" l="1"/>
  <c r="Z18" i="78"/>
  <c r="Z17" i="78"/>
  <c r="F171" i="64"/>
  <c r="F173" i="64" s="1"/>
  <c r="AP24" i="38"/>
  <c r="AQ12" i="38"/>
  <c r="AP40" i="38"/>
  <c r="D30" i="16"/>
  <c r="F31" i="16"/>
  <c r="E29" i="16"/>
  <c r="T72" i="64"/>
  <c r="T77" i="64" s="1"/>
  <c r="P77" i="64"/>
  <c r="P79" i="64" s="1"/>
  <c r="P83" i="64" s="1"/>
  <c r="P92" i="64" s="1"/>
  <c r="AH13" i="78"/>
  <c r="AH14" i="78"/>
  <c r="DH6" i="15"/>
  <c r="GK6" i="15"/>
  <c r="L36" i="65"/>
  <c r="H43" i="65"/>
  <c r="D168" i="64" s="1"/>
  <c r="AA4" i="78"/>
  <c r="F259" i="16"/>
  <c r="T271" i="16" s="1"/>
  <c r="D258" i="16"/>
  <c r="E258" i="16" s="1"/>
  <c r="G258" i="16"/>
  <c r="Z20" i="78" l="1"/>
  <c r="D259" i="16"/>
  <c r="E259" i="16" s="1"/>
  <c r="F260" i="16"/>
  <c r="T272" i="16" s="1"/>
  <c r="G259" i="16"/>
  <c r="AA2" i="78"/>
  <c r="AA5" i="78"/>
  <c r="AB4" i="78" s="1"/>
  <c r="AA12" i="78"/>
  <c r="AA3" i="78" s="1" a="1"/>
  <c r="AA3" i="78" s="1"/>
  <c r="F32" i="16"/>
  <c r="D31" i="16"/>
  <c r="H14" i="64"/>
  <c r="J14" i="64" s="1"/>
  <c r="N14" i="64" s="1"/>
  <c r="T79" i="64"/>
  <c r="T83" i="64" s="1"/>
  <c r="E30" i="16"/>
  <c r="L43" i="65"/>
  <c r="L45" i="65"/>
  <c r="AB168" i="64"/>
  <c r="D171" i="64"/>
  <c r="D173" i="64" s="1"/>
  <c r="AQ24" i="38"/>
  <c r="AR12" i="38"/>
  <c r="AQ40" i="38"/>
  <c r="DI6" i="15"/>
  <c r="GL6" i="15"/>
  <c r="AI13" i="78"/>
  <c r="AI14" i="78"/>
  <c r="L116" i="78" l="1" a="1"/>
  <c r="L116" i="78" s="1"/>
  <c r="L118" i="78" s="1"/>
  <c r="F118" i="78" s="1" a="1"/>
  <c r="F118" i="78" s="1"/>
  <c r="H126" i="1"/>
  <c r="H128" i="1" s="1"/>
  <c r="L119" i="1"/>
  <c r="AR40" i="38"/>
  <c r="AS12" i="38"/>
  <c r="AR24" i="38"/>
  <c r="AB171" i="64"/>
  <c r="AC168" i="64" s="1"/>
  <c r="F168" i="64" s="1"/>
  <c r="H168" i="64" s="1"/>
  <c r="AA18" i="78"/>
  <c r="AA17" i="78"/>
  <c r="AA19" i="78"/>
  <c r="AB12" i="78"/>
  <c r="AB3" i="78" s="1" a="1"/>
  <c r="AB3" i="78" s="1"/>
  <c r="AB2" i="78"/>
  <c r="AB5" i="78"/>
  <c r="AC4" i="78" s="1"/>
  <c r="DJ6" i="15"/>
  <c r="GM6" i="15"/>
  <c r="N45" i="65"/>
  <c r="N46" i="65" s="1"/>
  <c r="T92" i="64"/>
  <c r="H214" i="64"/>
  <c r="AJ14" i="78"/>
  <c r="AJ13" i="78"/>
  <c r="E31" i="16"/>
  <c r="F261" i="16"/>
  <c r="D260" i="16"/>
  <c r="E260" i="16" s="1"/>
  <c r="G260" i="16"/>
  <c r="D32" i="16"/>
  <c r="F33" i="16"/>
  <c r="T119" i="1" l="1"/>
  <c r="V119" i="1" s="1"/>
  <c r="L142" i="78" a="1"/>
  <c r="L142" i="78" s="1"/>
  <c r="H141" i="1"/>
  <c r="H132" i="1"/>
  <c r="AA20" i="78"/>
  <c r="E32" i="16"/>
  <c r="DK6" i="15"/>
  <c r="GN6" i="15"/>
  <c r="AB173" i="64"/>
  <c r="AC170" i="64"/>
  <c r="F170" i="64" s="1"/>
  <c r="H170" i="64" s="1"/>
  <c r="AC162" i="64"/>
  <c r="F162" i="64" s="1"/>
  <c r="AC164" i="64"/>
  <c r="F164" i="64" s="1"/>
  <c r="H164" i="64" s="1"/>
  <c r="AC160" i="64"/>
  <c r="AC166" i="64"/>
  <c r="F166" i="64" s="1"/>
  <c r="AC5" i="78"/>
  <c r="AD4" i="78" s="1"/>
  <c r="AC12" i="78"/>
  <c r="AC3" i="78" s="1" a="1"/>
  <c r="AC3" i="78" s="1"/>
  <c r="AC2" i="78"/>
  <c r="AT12" i="38"/>
  <c r="AS24" i="38"/>
  <c r="AS40" i="38"/>
  <c r="D261" i="16"/>
  <c r="E261" i="16" s="1"/>
  <c r="G261" i="16"/>
  <c r="AK13" i="78"/>
  <c r="AK14" i="78"/>
  <c r="F34" i="16"/>
  <c r="D33" i="16"/>
  <c r="H275" i="64"/>
  <c r="H171" i="64"/>
  <c r="H173" i="64" s="1"/>
  <c r="AB17" i="78"/>
  <c r="AB18" i="78"/>
  <c r="AB19" i="78"/>
  <c r="J164" i="64" l="1"/>
  <c r="D51" i="44"/>
  <c r="C64" i="75"/>
  <c r="D64" i="75" s="1"/>
  <c r="L47" i="78"/>
  <c r="L49" i="78" s="1"/>
  <c r="F77" i="1"/>
  <c r="F79" i="1" s="1"/>
  <c r="F83" i="1" s="1"/>
  <c r="F92" i="1" s="1"/>
  <c r="J72" i="1"/>
  <c r="J170" i="64"/>
  <c r="F35" i="16"/>
  <c r="D34" i="16"/>
  <c r="AU12" i="38"/>
  <c r="AT40" i="38"/>
  <c r="AT24" i="38"/>
  <c r="C54" i="3"/>
  <c r="E54" i="3" s="1"/>
  <c r="DL6" i="15"/>
  <c r="GO6" i="15"/>
  <c r="AD12" i="78"/>
  <c r="AD3" i="78" s="1" a="1"/>
  <c r="AD3" i="78" s="1"/>
  <c r="AD2" i="78"/>
  <c r="AD5" i="78"/>
  <c r="AE4" i="78" s="1"/>
  <c r="C5" i="68"/>
  <c r="AL14" i="78"/>
  <c r="AL13" i="78"/>
  <c r="AB20" i="78"/>
  <c r="AC19" i="78"/>
  <c r="AC18" i="78"/>
  <c r="AC17" i="78"/>
  <c r="E33" i="16"/>
  <c r="AC171" i="64"/>
  <c r="F160" i="64"/>
  <c r="J168" i="64"/>
  <c r="F49" i="78" l="1" a="1"/>
  <c r="F49" i="78" s="1"/>
  <c r="D52" i="59"/>
  <c r="D52" i="45"/>
  <c r="D51" i="66"/>
  <c r="H51" i="44"/>
  <c r="F51" i="44"/>
  <c r="D51" i="47"/>
  <c r="D51" i="42"/>
  <c r="D51" i="48"/>
  <c r="D51" i="60"/>
  <c r="D51" i="46"/>
  <c r="J77" i="1"/>
  <c r="J79" i="1" s="1"/>
  <c r="J83" i="1" s="1"/>
  <c r="J92" i="1" s="1"/>
  <c r="D9" i="44" s="1"/>
  <c r="H36" i="2"/>
  <c r="K36" i="2"/>
  <c r="K43" i="2" s="1"/>
  <c r="F171" i="1" s="1"/>
  <c r="F173" i="1" s="1"/>
  <c r="P72" i="1"/>
  <c r="AC20" i="78"/>
  <c r="AE2" i="78"/>
  <c r="AE12" i="78"/>
  <c r="AE3" i="78" s="1" a="1"/>
  <c r="AE3" i="78" s="1"/>
  <c r="AE5" i="78"/>
  <c r="AF4" i="78" s="1"/>
  <c r="AD19" i="78"/>
  <c r="AD18" i="78"/>
  <c r="AD17" i="78"/>
  <c r="AU40" i="38"/>
  <c r="AV12" i="38"/>
  <c r="AU24" i="38"/>
  <c r="AM14" i="78"/>
  <c r="AM13" i="78"/>
  <c r="E34" i="16"/>
  <c r="N164" i="64"/>
  <c r="V164" i="64"/>
  <c r="R164" i="64"/>
  <c r="GP6" i="15"/>
  <c r="DM6" i="15"/>
  <c r="F36" i="16"/>
  <c r="D35" i="16"/>
  <c r="F174" i="64"/>
  <c r="C4" i="68"/>
  <c r="F51" i="48" l="1"/>
  <c r="H51" i="48"/>
  <c r="F51" i="66"/>
  <c r="H51" i="66"/>
  <c r="H51" i="47"/>
  <c r="F51" i="47"/>
  <c r="F51" i="46"/>
  <c r="H51" i="46"/>
  <c r="F52" i="45"/>
  <c r="H52" i="45"/>
  <c r="F51" i="42"/>
  <c r="H51" i="42"/>
  <c r="H51" i="60"/>
  <c r="F51" i="60"/>
  <c r="H52" i="59"/>
  <c r="F52" i="59"/>
  <c r="T72" i="1"/>
  <c r="P77" i="1"/>
  <c r="P79" i="1" s="1"/>
  <c r="P83" i="1" s="1"/>
  <c r="P92" i="1" s="1"/>
  <c r="H43" i="2"/>
  <c r="D168" i="1" s="1"/>
  <c r="L36" i="2"/>
  <c r="F9" i="44"/>
  <c r="H10" i="44"/>
  <c r="H9" i="44"/>
  <c r="D9" i="42"/>
  <c r="H12" i="44"/>
  <c r="D9" i="66"/>
  <c r="H11" i="44"/>
  <c r="D10" i="45"/>
  <c r="D9" i="48"/>
  <c r="D9" i="46"/>
  <c r="D9" i="60"/>
  <c r="D10" i="59"/>
  <c r="H13" i="44"/>
  <c r="D15" i="44"/>
  <c r="D9" i="47"/>
  <c r="AD20" i="78"/>
  <c r="C6" i="68"/>
  <c r="C8" i="68" s="1"/>
  <c r="C12" i="68"/>
  <c r="AW12" i="38"/>
  <c r="AV40" i="38"/>
  <c r="AV24" i="38"/>
  <c r="E35" i="16"/>
  <c r="AN13" i="78"/>
  <c r="AN14" i="78"/>
  <c r="F37" i="16"/>
  <c r="D36" i="16"/>
  <c r="H195" i="64"/>
  <c r="H222" i="64" s="1"/>
  <c r="H256" i="64"/>
  <c r="H283" i="64" s="1"/>
  <c r="AF2" i="78"/>
  <c r="AF5" i="78"/>
  <c r="AG4" i="78" s="1"/>
  <c r="AF12" i="78"/>
  <c r="AF3" i="78" s="1" a="1"/>
  <c r="AF3" i="78" s="1"/>
  <c r="GQ6" i="15"/>
  <c r="DN6" i="15"/>
  <c r="AE18" i="78"/>
  <c r="AE17" i="78"/>
  <c r="AE19" i="78"/>
  <c r="I15" i="44" l="1"/>
  <c r="H12" i="48"/>
  <c r="H13" i="48"/>
  <c r="H10" i="48"/>
  <c r="H11" i="48"/>
  <c r="F9" i="48"/>
  <c r="H9" i="48"/>
  <c r="H12" i="42"/>
  <c r="H11" i="42"/>
  <c r="H10" i="42"/>
  <c r="F9" i="42"/>
  <c r="H13" i="42"/>
  <c r="H9" i="42"/>
  <c r="H11" i="60"/>
  <c r="H9" i="60"/>
  <c r="H10" i="60"/>
  <c r="H13" i="60"/>
  <c r="F9" i="60"/>
  <c r="H12" i="60"/>
  <c r="H12" i="45"/>
  <c r="F10" i="45"/>
  <c r="H11" i="45"/>
  <c r="H13" i="45"/>
  <c r="H14" i="45"/>
  <c r="H10" i="45"/>
  <c r="L43" i="2"/>
  <c r="L45" i="2"/>
  <c r="H9" i="47"/>
  <c r="H10" i="47"/>
  <c r="F9" i="47"/>
  <c r="H12" i="47"/>
  <c r="H13" i="47"/>
  <c r="H11" i="47"/>
  <c r="B39" i="68"/>
  <c r="D171" i="1"/>
  <c r="F15" i="44"/>
  <c r="D15" i="46"/>
  <c r="H15" i="44"/>
  <c r="D15" i="66"/>
  <c r="D16" i="59"/>
  <c r="D15" i="48"/>
  <c r="D16" i="45"/>
  <c r="D15" i="47"/>
  <c r="D15" i="42"/>
  <c r="D15" i="60"/>
  <c r="F9" i="66"/>
  <c r="H12" i="66"/>
  <c r="H9" i="66"/>
  <c r="H13" i="66"/>
  <c r="H10" i="66"/>
  <c r="H11" i="66"/>
  <c r="H12" i="59"/>
  <c r="H10" i="59"/>
  <c r="F10" i="59"/>
  <c r="H14" i="59"/>
  <c r="H11" i="59"/>
  <c r="H13" i="59"/>
  <c r="H11" i="46"/>
  <c r="H13" i="46"/>
  <c r="H12" i="46"/>
  <c r="H10" i="46"/>
  <c r="H9" i="46"/>
  <c r="F9" i="46"/>
  <c r="C48" i="75"/>
  <c r="D48" i="75" s="1"/>
  <c r="T77" i="1"/>
  <c r="AO14" i="78"/>
  <c r="AO13" i="78"/>
  <c r="AE20" i="78"/>
  <c r="AX12" i="38"/>
  <c r="AW40" i="38"/>
  <c r="AW24" i="38"/>
  <c r="AG2" i="78"/>
  <c r="AG12" i="78"/>
  <c r="AG3" i="78" s="1" a="1"/>
  <c r="AG3" i="78" s="1"/>
  <c r="AG5" i="78"/>
  <c r="AH4" i="78" s="1"/>
  <c r="E36" i="16"/>
  <c r="GR6" i="15"/>
  <c r="DO6" i="15"/>
  <c r="F38" i="16"/>
  <c r="D37" i="16"/>
  <c r="AF17" i="78"/>
  <c r="AF19" i="78"/>
  <c r="AF18" i="78"/>
  <c r="C17" i="68"/>
  <c r="C9" i="68"/>
  <c r="C10" i="68" s="1"/>
  <c r="K15" i="44" l="1"/>
  <c r="I15" i="48"/>
  <c r="I16" i="45"/>
  <c r="I15" i="66"/>
  <c r="F16" i="59"/>
  <c r="H16" i="59"/>
  <c r="H15" i="66"/>
  <c r="F15" i="66"/>
  <c r="I15" i="60"/>
  <c r="T79" i="1"/>
  <c r="T83" i="1" s="1"/>
  <c r="H14" i="1"/>
  <c r="J14" i="1" s="1"/>
  <c r="N14" i="1" s="1"/>
  <c r="F15" i="48"/>
  <c r="H15" i="48"/>
  <c r="I15" i="46"/>
  <c r="I16" i="59"/>
  <c r="F15" i="60"/>
  <c r="H15" i="60"/>
  <c r="H15" i="46"/>
  <c r="F15" i="46"/>
  <c r="I15" i="42"/>
  <c r="C52" i="75"/>
  <c r="F15" i="42"/>
  <c r="H15" i="42"/>
  <c r="I15" i="47"/>
  <c r="F15" i="47"/>
  <c r="H15" i="47"/>
  <c r="D173" i="1"/>
  <c r="B41" i="68"/>
  <c r="C39" i="68" s="1"/>
  <c r="F168" i="1" s="1"/>
  <c r="H16" i="45"/>
  <c r="F16" i="45"/>
  <c r="AF20" i="78"/>
  <c r="DP6" i="15"/>
  <c r="GS6" i="15"/>
  <c r="AX24" i="38"/>
  <c r="AY12" i="38"/>
  <c r="AX40" i="38"/>
  <c r="E37" i="16"/>
  <c r="AG17" i="78"/>
  <c r="AG19" i="78"/>
  <c r="AG18" i="78"/>
  <c r="H162" i="64"/>
  <c r="H166" i="64"/>
  <c r="H160" i="64"/>
  <c r="F39" i="16"/>
  <c r="D38" i="16"/>
  <c r="AH5" i="78"/>
  <c r="AI4" i="78" s="1"/>
  <c r="AH12" i="78"/>
  <c r="AH3" i="78" s="1" a="1"/>
  <c r="AH3" i="78" s="1"/>
  <c r="AH2" i="78"/>
  <c r="AP13" i="78"/>
  <c r="AP14" i="78"/>
  <c r="K15" i="66" l="1"/>
  <c r="K15" i="42"/>
  <c r="K15" i="46"/>
  <c r="K15" i="48"/>
  <c r="K16" i="45"/>
  <c r="O15" i="66"/>
  <c r="K15" i="60"/>
  <c r="O16" i="45"/>
  <c r="K15" i="47"/>
  <c r="O15" i="46"/>
  <c r="N45" i="2"/>
  <c r="N46" i="2" s="1"/>
  <c r="T92" i="1"/>
  <c r="H214" i="1"/>
  <c r="N39" i="76" s="1"/>
  <c r="O15" i="47"/>
  <c r="O15" i="42"/>
  <c r="K16" i="59"/>
  <c r="O16" i="59"/>
  <c r="H168" i="1"/>
  <c r="E20" i="56"/>
  <c r="G20" i="56" s="1"/>
  <c r="C20" i="57" s="1"/>
  <c r="C35" i="68"/>
  <c r="F160" i="1" s="1"/>
  <c r="C36" i="68"/>
  <c r="F162" i="1" s="1"/>
  <c r="C37" i="68"/>
  <c r="F164" i="1" s="1"/>
  <c r="C38" i="68"/>
  <c r="F166" i="1" s="1"/>
  <c r="E18" i="56" s="1"/>
  <c r="C41" i="68"/>
  <c r="C40" i="68"/>
  <c r="F170" i="1" s="1"/>
  <c r="AG20" i="78"/>
  <c r="E38" i="16"/>
  <c r="F40" i="16"/>
  <c r="D39" i="16"/>
  <c r="DQ6" i="15"/>
  <c r="GT6" i="15"/>
  <c r="AQ14" i="78"/>
  <c r="AQ13" i="78"/>
  <c r="J160" i="64"/>
  <c r="AF160" i="64"/>
  <c r="C50" i="3"/>
  <c r="AF166" i="64"/>
  <c r="J166" i="64"/>
  <c r="C15" i="68"/>
  <c r="J162" i="64"/>
  <c r="AF162" i="64"/>
  <c r="C52" i="3"/>
  <c r="E52" i="3" s="1"/>
  <c r="AH19" i="78"/>
  <c r="AH18" i="78"/>
  <c r="AH17" i="78"/>
  <c r="AI12" i="78"/>
  <c r="AI3" i="78" s="1" a="1"/>
  <c r="AI3" i="78" s="1"/>
  <c r="AI2" i="78"/>
  <c r="AI5" i="78"/>
  <c r="AJ4" i="78" s="1"/>
  <c r="AY24" i="38"/>
  <c r="AZ12" i="38"/>
  <c r="AY40" i="38"/>
  <c r="O20" i="45" l="1"/>
  <c r="E16" i="56"/>
  <c r="G16" i="56" s="1"/>
  <c r="C16" i="57" s="1"/>
  <c r="H164" i="1"/>
  <c r="E22" i="56"/>
  <c r="G22" i="56" s="1"/>
  <c r="C22" i="57" s="1"/>
  <c r="H170" i="1"/>
  <c r="B5" i="68"/>
  <c r="E14" i="56"/>
  <c r="B4" i="68"/>
  <c r="E12" i="56"/>
  <c r="H171" i="1"/>
  <c r="H173" i="1" s="1"/>
  <c r="H275" i="1"/>
  <c r="AH20" i="78"/>
  <c r="AR14" i="78"/>
  <c r="AR13" i="78"/>
  <c r="AI18" i="78"/>
  <c r="AI19" i="78"/>
  <c r="AI17" i="78"/>
  <c r="AI20" i="78" s="1"/>
  <c r="DR6" i="15"/>
  <c r="GU6" i="15"/>
  <c r="R162" i="64"/>
  <c r="N162" i="64"/>
  <c r="V162" i="64"/>
  <c r="H201" i="64"/>
  <c r="H228" i="64" s="1"/>
  <c r="H262" i="64"/>
  <c r="H289" i="64" s="1"/>
  <c r="N166" i="64"/>
  <c r="R166" i="64"/>
  <c r="V166" i="64"/>
  <c r="E50" i="3"/>
  <c r="E56" i="3" s="1"/>
  <c r="E61" i="3" s="1"/>
  <c r="E64" i="3" s="1"/>
  <c r="C56" i="3"/>
  <c r="E39" i="16"/>
  <c r="J171" i="64"/>
  <c r="J173" i="64" s="1"/>
  <c r="N160" i="64"/>
  <c r="R160" i="64"/>
  <c r="V160" i="64"/>
  <c r="AJ2" i="78"/>
  <c r="AJ12" i="78"/>
  <c r="AJ3" i="78" s="1" a="1"/>
  <c r="AJ3" i="78" s="1"/>
  <c r="AJ5" i="78"/>
  <c r="AK4" i="78" s="1"/>
  <c r="AF171" i="64"/>
  <c r="AG166" i="64" s="1"/>
  <c r="D40" i="16"/>
  <c r="F41" i="16"/>
  <c r="AZ40" i="38"/>
  <c r="AZ24" i="38"/>
  <c r="BA12" i="38"/>
  <c r="J170" i="1" l="1"/>
  <c r="J164" i="1"/>
  <c r="C21" i="3"/>
  <c r="E21" i="3" s="1"/>
  <c r="E24" i="56"/>
  <c r="B6" i="68"/>
  <c r="B8" i="68" s="1"/>
  <c r="B12" i="68"/>
  <c r="J168" i="1"/>
  <c r="AJ17" i="78"/>
  <c r="AJ18" i="78"/>
  <c r="AJ19" i="78"/>
  <c r="E40" i="16"/>
  <c r="H253" i="64"/>
  <c r="H192" i="64"/>
  <c r="R171" i="64"/>
  <c r="D26" i="64" s="1"/>
  <c r="BB12" i="38"/>
  <c r="BA24" i="38"/>
  <c r="BA40" i="38"/>
  <c r="AS13" i="78"/>
  <c r="AS14" i="78"/>
  <c r="V171" i="64"/>
  <c r="D28" i="64" s="1"/>
  <c r="AG160" i="64"/>
  <c r="H254" i="64"/>
  <c r="H281" i="64" s="1"/>
  <c r="H193" i="64"/>
  <c r="H220" i="64" s="1"/>
  <c r="AK5" i="78"/>
  <c r="AL4" i="78" s="1"/>
  <c r="AK2" i="78"/>
  <c r="AK12" i="78"/>
  <c r="AK3" i="78" s="1" a="1"/>
  <c r="AK3" i="78" s="1"/>
  <c r="DS6" i="15"/>
  <c r="GV6" i="15"/>
  <c r="F42" i="16"/>
  <c r="D41" i="16"/>
  <c r="N171" i="64"/>
  <c r="D24" i="64" s="1"/>
  <c r="AG162" i="64"/>
  <c r="K131" i="78" a="1"/>
  <c r="K131" i="78" s="1"/>
  <c r="K148" i="78" s="1"/>
  <c r="B17" i="68" l="1"/>
  <c r="V164" i="1"/>
  <c r="R164" i="1"/>
  <c r="N164" i="1"/>
  <c r="B9" i="68"/>
  <c r="B10" i="68" s="1"/>
  <c r="AG171" i="64"/>
  <c r="AJ20" i="78"/>
  <c r="AT14" i="78"/>
  <c r="AT13" i="78"/>
  <c r="E41" i="16"/>
  <c r="F43" i="16"/>
  <c r="D42" i="16"/>
  <c r="AL2" i="78"/>
  <c r="AL12" i="78"/>
  <c r="AL3" i="78" s="1" a="1"/>
  <c r="AL3" i="78" s="1"/>
  <c r="AL5" i="78"/>
  <c r="AM4" i="78" s="1"/>
  <c r="AK19" i="78"/>
  <c r="AK18" i="78"/>
  <c r="AK17" i="78"/>
  <c r="BB24" i="38"/>
  <c r="BC12" i="38"/>
  <c r="BB40" i="38"/>
  <c r="DT6" i="15"/>
  <c r="GW6" i="15"/>
  <c r="H197" i="64"/>
  <c r="H219" i="64"/>
  <c r="H224" i="64" s="1"/>
  <c r="H258" i="64"/>
  <c r="H280" i="64"/>
  <c r="H285" i="64" s="1"/>
  <c r="H256" i="1" l="1"/>
  <c r="H283" i="1" s="1"/>
  <c r="H195" i="1"/>
  <c r="H160" i="1"/>
  <c r="H162" i="1"/>
  <c r="J162" i="1" s="1"/>
  <c r="H166" i="1"/>
  <c r="AK20" i="78"/>
  <c r="AU13" i="78"/>
  <c r="AU14" i="78"/>
  <c r="E42" i="16"/>
  <c r="AM2" i="78"/>
  <c r="AM5" i="78"/>
  <c r="AN4" i="78" s="1"/>
  <c r="AM12" i="78"/>
  <c r="AM3" i="78" s="1" a="1"/>
  <c r="AM3" i="78" s="1"/>
  <c r="GX6" i="15"/>
  <c r="DU6" i="15"/>
  <c r="F44" i="16"/>
  <c r="D43" i="16"/>
  <c r="AL19" i="78"/>
  <c r="AL18" i="78"/>
  <c r="AL17" i="78"/>
  <c r="BC24" i="38"/>
  <c r="BC40" i="38"/>
  <c r="BD12" i="38"/>
  <c r="B15" i="68" l="1"/>
  <c r="B48" i="68"/>
  <c r="J166" i="1"/>
  <c r="G18" i="56"/>
  <c r="C18" i="57" s="1"/>
  <c r="G14" i="56"/>
  <c r="C14" i="57" s="1"/>
  <c r="C19" i="3"/>
  <c r="E19" i="3" s="1"/>
  <c r="B47" i="68"/>
  <c r="B46" i="68"/>
  <c r="C17" i="3"/>
  <c r="G12" i="56"/>
  <c r="J160" i="1"/>
  <c r="H222" i="1"/>
  <c r="N20" i="76"/>
  <c r="N47" i="76" s="1"/>
  <c r="AL20" i="78"/>
  <c r="AN2" i="78"/>
  <c r="AN5" i="78"/>
  <c r="AO4" i="78" s="1"/>
  <c r="AN12" i="78"/>
  <c r="AN3" i="78" s="1" a="1"/>
  <c r="AN3" i="78" s="1"/>
  <c r="AM18" i="78"/>
  <c r="AM17" i="78"/>
  <c r="AM19" i="78"/>
  <c r="GY6" i="15"/>
  <c r="DV6" i="15"/>
  <c r="E43" i="16"/>
  <c r="D44" i="16"/>
  <c r="F45" i="16"/>
  <c r="AV13" i="78"/>
  <c r="AV14" i="78"/>
  <c r="BE12" i="38"/>
  <c r="BD40" i="38"/>
  <c r="BD24" i="38"/>
  <c r="R162" i="1" l="1"/>
  <c r="V162" i="1"/>
  <c r="N162" i="1"/>
  <c r="N160" i="1"/>
  <c r="R160" i="1"/>
  <c r="J173" i="1"/>
  <c r="V160" i="1"/>
  <c r="J171" i="1"/>
  <c r="G24" i="56"/>
  <c r="C12" i="57"/>
  <c r="R166" i="1"/>
  <c r="N166" i="1"/>
  <c r="H201" i="1"/>
  <c r="V166" i="1"/>
  <c r="D23" i="44"/>
  <c r="H262" i="1"/>
  <c r="H289" i="1" s="1"/>
  <c r="C23" i="3"/>
  <c r="E17" i="3"/>
  <c r="E23" i="3" s="1"/>
  <c r="E28" i="3" s="1"/>
  <c r="E31" i="3" s="1"/>
  <c r="L111" i="1" s="1"/>
  <c r="B49" i="68"/>
  <c r="C49" i="68" s="1"/>
  <c r="AM20" i="78"/>
  <c r="AN17" i="78"/>
  <c r="AN19" i="78"/>
  <c r="AN18" i="78"/>
  <c r="BF12" i="38"/>
  <c r="BE40" i="38"/>
  <c r="BE24" i="38"/>
  <c r="AW14" i="78"/>
  <c r="AW13" i="78"/>
  <c r="E44" i="16"/>
  <c r="AO12" i="78"/>
  <c r="AO3" i="78" s="1" a="1"/>
  <c r="AO3" i="78" s="1"/>
  <c r="AO5" i="78"/>
  <c r="AP4" i="78" s="1"/>
  <c r="AO2" i="78"/>
  <c r="F46" i="16"/>
  <c r="D45" i="16"/>
  <c r="GZ6" i="15"/>
  <c r="DW6" i="15"/>
  <c r="C46" i="68" l="1"/>
  <c r="V171" i="1"/>
  <c r="D28" i="1" s="1"/>
  <c r="H228" i="1"/>
  <c r="N26" i="76"/>
  <c r="N53" i="76" s="1"/>
  <c r="C8" i="75"/>
  <c r="R171" i="1"/>
  <c r="D26" i="1" s="1"/>
  <c r="H192" i="1"/>
  <c r="H253" i="1"/>
  <c r="N171" i="1"/>
  <c r="D24" i="1" s="1"/>
  <c r="L111" i="64"/>
  <c r="C24" i="57"/>
  <c r="E12" i="57" s="1"/>
  <c r="H193" i="1"/>
  <c r="H254" i="1"/>
  <c r="H281" i="1" s="1"/>
  <c r="C48" i="68"/>
  <c r="D24" i="59"/>
  <c r="D23" i="42"/>
  <c r="D23" i="48"/>
  <c r="H23" i="44"/>
  <c r="D23" i="66"/>
  <c r="D23" i="47"/>
  <c r="D23" i="60"/>
  <c r="D23" i="46"/>
  <c r="D24" i="45"/>
  <c r="F23" i="44"/>
  <c r="C47" i="68"/>
  <c r="DX6" i="15"/>
  <c r="HA6" i="15"/>
  <c r="AX13" i="78"/>
  <c r="AX14" i="78"/>
  <c r="AP5" i="78"/>
  <c r="AQ4" i="78" s="1"/>
  <c r="AP2" i="78"/>
  <c r="AP12" i="78"/>
  <c r="AP3" i="78" s="1" a="1"/>
  <c r="AP3" i="78" s="1"/>
  <c r="AN20" i="78"/>
  <c r="E45" i="16"/>
  <c r="BF24" i="38"/>
  <c r="BF40" i="38"/>
  <c r="BG12" i="38"/>
  <c r="AO17" i="78"/>
  <c r="AO19" i="78"/>
  <c r="AO18" i="78"/>
  <c r="D46" i="16"/>
  <c r="F47" i="16"/>
  <c r="I12" i="57" l="1"/>
  <c r="H24" i="45"/>
  <c r="F24" i="45"/>
  <c r="H24" i="59"/>
  <c r="F24" i="59"/>
  <c r="H23" i="46"/>
  <c r="F23" i="46"/>
  <c r="H258" i="1"/>
  <c r="H280" i="1"/>
  <c r="H285" i="1" s="1"/>
  <c r="F23" i="60"/>
  <c r="H23" i="60"/>
  <c r="N17" i="76"/>
  <c r="H197" i="1"/>
  <c r="C7" i="75" s="1"/>
  <c r="H219" i="1"/>
  <c r="F23" i="47"/>
  <c r="H23" i="47"/>
  <c r="H220" i="1"/>
  <c r="N18" i="76"/>
  <c r="N45" i="76" s="1"/>
  <c r="H23" i="66"/>
  <c r="F23" i="66"/>
  <c r="G22" i="75"/>
  <c r="G26" i="75"/>
  <c r="G30" i="75"/>
  <c r="E14" i="57"/>
  <c r="I14" i="57" s="1"/>
  <c r="E16" i="57"/>
  <c r="I16" i="57" s="1"/>
  <c r="E20" i="57"/>
  <c r="I20" i="57" s="1"/>
  <c r="E22" i="57"/>
  <c r="I22" i="57" s="1"/>
  <c r="E18" i="57"/>
  <c r="I18" i="57" s="1"/>
  <c r="H23" i="48"/>
  <c r="F23" i="48"/>
  <c r="T111" i="64"/>
  <c r="L126" i="64"/>
  <c r="L128" i="64" s="1"/>
  <c r="H23" i="42"/>
  <c r="F23" i="42"/>
  <c r="T111" i="1"/>
  <c r="L131" i="78" a="1"/>
  <c r="L131" i="78" s="1"/>
  <c r="BG24" i="38"/>
  <c r="BG40" i="38"/>
  <c r="BH12" i="38"/>
  <c r="F48" i="16"/>
  <c r="D47" i="16"/>
  <c r="E46" i="16"/>
  <c r="DY6" i="15"/>
  <c r="HB6" i="15"/>
  <c r="AO20" i="78"/>
  <c r="AP19" i="78"/>
  <c r="AP18" i="78"/>
  <c r="AP17" i="78"/>
  <c r="AY13" i="78"/>
  <c r="AY14" i="78"/>
  <c r="AQ2" i="78"/>
  <c r="AQ5" i="78"/>
  <c r="AR4" i="78" s="1"/>
  <c r="AQ12" i="78"/>
  <c r="AQ3" i="78" s="1" a="1"/>
  <c r="AQ3" i="78" s="1"/>
  <c r="H224" i="1" l="1"/>
  <c r="D20" i="44" s="1"/>
  <c r="D21" i="45" s="1"/>
  <c r="F21" i="45" s="1"/>
  <c r="H21" i="45" s="1"/>
  <c r="V111" i="64"/>
  <c r="V126" i="64" s="1"/>
  <c r="T126" i="64"/>
  <c r="T128" i="64" s="1"/>
  <c r="F21" i="75"/>
  <c r="C25" i="75"/>
  <c r="N22" i="76"/>
  <c r="N44" i="76"/>
  <c r="N49" i="76" s="1"/>
  <c r="V111" i="1"/>
  <c r="I24" i="57"/>
  <c r="E11" i="58" s="1"/>
  <c r="L141" i="64"/>
  <c r="L132" i="64"/>
  <c r="E24" i="57"/>
  <c r="AP20" i="78"/>
  <c r="AZ14" i="78"/>
  <c r="AZ13" i="78"/>
  <c r="E47" i="16"/>
  <c r="D48" i="16"/>
  <c r="F49" i="16"/>
  <c r="BH40" i="38"/>
  <c r="BI12" i="38"/>
  <c r="BH24" i="38"/>
  <c r="AQ18" i="78"/>
  <c r="AQ17" i="78"/>
  <c r="AQ19" i="78"/>
  <c r="AR12" i="78"/>
  <c r="AR3" i="78" s="1" a="1"/>
  <c r="AR3" i="78" s="1"/>
  <c r="AR2" i="78"/>
  <c r="AR5" i="78"/>
  <c r="AS4" i="78" s="1"/>
  <c r="DZ6" i="15"/>
  <c r="HC6" i="15"/>
  <c r="D20" i="66" l="1"/>
  <c r="F20" i="66" s="1"/>
  <c r="H20" i="66" s="1"/>
  <c r="D20" i="46"/>
  <c r="F20" i="46" s="1"/>
  <c r="H20" i="46" s="1"/>
  <c r="F20" i="44"/>
  <c r="H20" i="44" s="1"/>
  <c r="D20" i="48"/>
  <c r="F20" i="48" s="1"/>
  <c r="H20" i="48" s="1"/>
  <c r="D20" i="60"/>
  <c r="F20" i="60" s="1"/>
  <c r="H20" i="60" s="1"/>
  <c r="D20" i="47"/>
  <c r="F20" i="47" s="1"/>
  <c r="H20" i="47" s="1"/>
  <c r="D21" i="59"/>
  <c r="F21" i="59" s="1"/>
  <c r="H21" i="59" s="1"/>
  <c r="D20" i="42"/>
  <c r="F20" i="42" s="1"/>
  <c r="H20" i="42" s="1"/>
  <c r="I36" i="57"/>
  <c r="I35" i="57" s="1"/>
  <c r="G11" i="58"/>
  <c r="E12" i="58"/>
  <c r="E13" i="58" s="1"/>
  <c r="E14" i="58" s="1"/>
  <c r="E15" i="58" s="1"/>
  <c r="E16" i="58" s="1"/>
  <c r="E17" i="58" s="1"/>
  <c r="E18" i="58" s="1"/>
  <c r="E19" i="58" s="1"/>
  <c r="E20" i="58" s="1"/>
  <c r="E21" i="58" s="1"/>
  <c r="E22" i="58" s="1"/>
  <c r="D43" i="44"/>
  <c r="C57" i="75"/>
  <c r="D57" i="75" s="1"/>
  <c r="T141" i="64"/>
  <c r="T132" i="64"/>
  <c r="H12" i="64"/>
  <c r="J12" i="64" s="1"/>
  <c r="V128" i="64"/>
  <c r="AQ20" i="78"/>
  <c r="BJ12" i="38"/>
  <c r="BI24" i="38"/>
  <c r="BI40" i="38"/>
  <c r="F50" i="16"/>
  <c r="D49" i="16"/>
  <c r="BA13" i="78"/>
  <c r="BA14" i="78"/>
  <c r="AR17" i="78"/>
  <c r="AR18" i="78"/>
  <c r="AR19" i="78"/>
  <c r="E48" i="16"/>
  <c r="AS5" i="78"/>
  <c r="AT4" i="78" s="1"/>
  <c r="AS12" i="78"/>
  <c r="AS3" i="78" s="1" a="1"/>
  <c r="AS3" i="78" s="1"/>
  <c r="AS2" i="78"/>
  <c r="EA6" i="15"/>
  <c r="HD6" i="15"/>
  <c r="C67" i="75" l="1"/>
  <c r="D44" i="45"/>
  <c r="F43" i="44"/>
  <c r="D43" i="46"/>
  <c r="D43" i="47"/>
  <c r="D43" i="66"/>
  <c r="D43" i="48"/>
  <c r="D43" i="60"/>
  <c r="D44" i="59"/>
  <c r="H43" i="44"/>
  <c r="D43" i="42"/>
  <c r="V132" i="64"/>
  <c r="H212" i="64" s="1"/>
  <c r="H216" i="64" s="1"/>
  <c r="H226" i="64" s="1"/>
  <c r="H230" i="64" s="1"/>
  <c r="L29" i="64" s="1"/>
  <c r="V141" i="64"/>
  <c r="H273" i="64" s="1"/>
  <c r="H277" i="64" s="1"/>
  <c r="H287" i="64" s="1"/>
  <c r="H291" i="64" s="1"/>
  <c r="N29" i="64" s="1"/>
  <c r="N12" i="64"/>
  <c r="N16" i="64" s="1"/>
  <c r="H250" i="64" s="1"/>
  <c r="H260" i="64" s="1"/>
  <c r="H264" i="64" s="1"/>
  <c r="N26" i="64" s="1"/>
  <c r="J16" i="64"/>
  <c r="H189" i="64" s="1"/>
  <c r="H199" i="64" s="1"/>
  <c r="H203" i="64" s="1"/>
  <c r="L26" i="64" s="1"/>
  <c r="C12" i="58"/>
  <c r="G12" i="58"/>
  <c r="AR20" i="78"/>
  <c r="BJ24" i="38"/>
  <c r="BK12" i="38"/>
  <c r="BJ40" i="38"/>
  <c r="EB6" i="15"/>
  <c r="HE6" i="15"/>
  <c r="E49" i="16"/>
  <c r="AS19" i="78"/>
  <c r="AS18" i="78"/>
  <c r="AS17" i="78"/>
  <c r="BB14" i="78"/>
  <c r="BB13" i="78"/>
  <c r="F51" i="16"/>
  <c r="D50" i="16"/>
  <c r="AT2" i="78"/>
  <c r="AT12" i="78"/>
  <c r="AT3" i="78" s="1" a="1"/>
  <c r="AT3" i="78" s="1"/>
  <c r="AT5" i="78"/>
  <c r="AU4" i="78" s="1"/>
  <c r="H43" i="48" l="1"/>
  <c r="F43" i="48"/>
  <c r="H43" i="66"/>
  <c r="F43" i="66"/>
  <c r="F43" i="47"/>
  <c r="H43" i="47"/>
  <c r="C13" i="58"/>
  <c r="G13" i="58"/>
  <c r="F43" i="42"/>
  <c r="H43" i="42"/>
  <c r="F43" i="46"/>
  <c r="H43" i="46"/>
  <c r="F44" i="45"/>
  <c r="H44" i="45"/>
  <c r="H44" i="59"/>
  <c r="F44" i="59"/>
  <c r="F43" i="60"/>
  <c r="H43" i="60"/>
  <c r="AS20" i="78"/>
  <c r="AU2" i="78"/>
  <c r="AU5" i="78"/>
  <c r="AV4" i="78" s="1"/>
  <c r="AU12" i="78"/>
  <c r="AU3" i="78" s="1" a="1"/>
  <c r="AU3" i="78" s="1"/>
  <c r="BC13" i="78"/>
  <c r="BC14" i="78"/>
  <c r="HF6" i="15"/>
  <c r="EC6" i="15"/>
  <c r="BL12" i="38"/>
  <c r="BK24" i="38"/>
  <c r="BK40" i="38"/>
  <c r="F52" i="16"/>
  <c r="D51" i="16"/>
  <c r="AT19" i="78"/>
  <c r="AT18" i="78"/>
  <c r="AT17" i="78"/>
  <c r="E50" i="16"/>
  <c r="C14" i="58" l="1"/>
  <c r="G14" i="58"/>
  <c r="BM12" i="38"/>
  <c r="BL40" i="38"/>
  <c r="BL24" i="38"/>
  <c r="F53" i="16"/>
  <c r="D52" i="16"/>
  <c r="BD13" i="78"/>
  <c r="BD14" i="78"/>
  <c r="AU18" i="78"/>
  <c r="AU17" i="78"/>
  <c r="AU19" i="78"/>
  <c r="AV2" i="78"/>
  <c r="AV5" i="78"/>
  <c r="AW4" i="78" s="1"/>
  <c r="AV12" i="78"/>
  <c r="AV3" i="78" s="1" a="1"/>
  <c r="AV3" i="78" s="1"/>
  <c r="E51" i="16"/>
  <c r="HG6" i="15"/>
  <c r="ED6" i="15"/>
  <c r="AT20" i="78"/>
  <c r="G15" i="58" l="1"/>
  <c r="C15" i="58"/>
  <c r="BE14" i="78"/>
  <c r="BE13" i="78"/>
  <c r="E52" i="16"/>
  <c r="HH6" i="15"/>
  <c r="EE6" i="15"/>
  <c r="F54" i="16"/>
  <c r="D53" i="16"/>
  <c r="AV17" i="78"/>
  <c r="AV19" i="78"/>
  <c r="AV18" i="78"/>
  <c r="AW12" i="78"/>
  <c r="AW3" i="78" s="1" a="1"/>
  <c r="AW3" i="78" s="1"/>
  <c r="AW2" i="78"/>
  <c r="AW5" i="78"/>
  <c r="AX4" i="78" s="1"/>
  <c r="AU20" i="78"/>
  <c r="BN12" i="38"/>
  <c r="BM40" i="38"/>
  <c r="BM24" i="38"/>
  <c r="C16" i="58" l="1"/>
  <c r="G16" i="58"/>
  <c r="AX2" i="78"/>
  <c r="AX5" i="78"/>
  <c r="AY4" i="78" s="1"/>
  <c r="AX12" i="78"/>
  <c r="AX3" i="78" s="1" a="1"/>
  <c r="AX3" i="78" s="1"/>
  <c r="E53" i="16"/>
  <c r="AW17" i="78"/>
  <c r="AW19" i="78"/>
  <c r="AW18" i="78"/>
  <c r="EF6" i="15"/>
  <c r="HI6" i="15"/>
  <c r="BN24" i="38"/>
  <c r="BN40" i="38"/>
  <c r="BO12" i="38"/>
  <c r="F55" i="16"/>
  <c r="D54" i="16"/>
  <c r="AV20" i="78"/>
  <c r="BF13" i="78"/>
  <c r="BF14" i="78"/>
  <c r="G17" i="58" l="1"/>
  <c r="C17" i="58"/>
  <c r="AW20" i="78"/>
  <c r="BP12" i="38"/>
  <c r="BO40" i="38"/>
  <c r="BO24" i="38"/>
  <c r="BG14" i="78"/>
  <c r="BG13" i="78"/>
  <c r="E54" i="16"/>
  <c r="AX19" i="78"/>
  <c r="AX18" i="78"/>
  <c r="AX17" i="78"/>
  <c r="F56" i="16"/>
  <c r="D55" i="16"/>
  <c r="EG6" i="15"/>
  <c r="HJ6" i="15"/>
  <c r="AY12" i="78"/>
  <c r="AY3" i="78" s="1" a="1"/>
  <c r="AY3" i="78" s="1"/>
  <c r="AY2" i="78"/>
  <c r="AY5" i="78"/>
  <c r="AZ4" i="78" s="1"/>
  <c r="C18" i="58" l="1"/>
  <c r="G18" i="58"/>
  <c r="AX20" i="78"/>
  <c r="AY18" i="78"/>
  <c r="AY19" i="78"/>
  <c r="AY17" i="78"/>
  <c r="BP40" i="38"/>
  <c r="BP24" i="38"/>
  <c r="BQ12" i="38"/>
  <c r="AZ12" i="78"/>
  <c r="AZ3" i="78" s="1" a="1"/>
  <c r="AZ3" i="78" s="1"/>
  <c r="AZ5" i="78"/>
  <c r="BA4" i="78" s="1"/>
  <c r="AZ2" i="78"/>
  <c r="BH14" i="78"/>
  <c r="BH13" i="78"/>
  <c r="EH6" i="15"/>
  <c r="HK6" i="15"/>
  <c r="E55" i="16"/>
  <c r="D56" i="16"/>
  <c r="F57" i="16"/>
  <c r="G19" i="58" l="1"/>
  <c r="C19" i="58"/>
  <c r="AZ17" i="78"/>
  <c r="AZ18" i="78"/>
  <c r="AZ19" i="78"/>
  <c r="EI6" i="15"/>
  <c r="HL6" i="15"/>
  <c r="BR12" i="38"/>
  <c r="BQ24" i="38"/>
  <c r="BQ40" i="38"/>
  <c r="F58" i="16"/>
  <c r="D57" i="16"/>
  <c r="AY20" i="78"/>
  <c r="E56" i="16"/>
  <c r="BI13" i="78"/>
  <c r="BI14" i="78"/>
  <c r="BA2" i="78"/>
  <c r="BA5" i="78"/>
  <c r="BB4" i="78" s="1"/>
  <c r="BA12" i="78"/>
  <c r="BA3" i="78" s="1" a="1"/>
  <c r="BA3" i="78" s="1"/>
  <c r="C20" i="58" l="1"/>
  <c r="G20" i="58"/>
  <c r="AZ20" i="78"/>
  <c r="BR24" i="38"/>
  <c r="BS12" i="38"/>
  <c r="BR40" i="38"/>
  <c r="BB12" i="78"/>
  <c r="BB3" i="78" s="1" a="1"/>
  <c r="BB3" i="78" s="1"/>
  <c r="BB5" i="78"/>
  <c r="BC4" i="78" s="1"/>
  <c r="BB2" i="78"/>
  <c r="E57" i="16"/>
  <c r="F59" i="16"/>
  <c r="D58" i="16"/>
  <c r="BA19" i="78"/>
  <c r="BA18" i="78"/>
  <c r="BA17" i="78"/>
  <c r="EJ6" i="15"/>
  <c r="HM6" i="15"/>
  <c r="BJ14" i="78"/>
  <c r="BJ13" i="78"/>
  <c r="C21" i="58" l="1"/>
  <c r="G21" i="58"/>
  <c r="BA20" i="78"/>
  <c r="BC2" i="78"/>
  <c r="BC5" i="78"/>
  <c r="BD4" i="78" s="1"/>
  <c r="BC12" i="78"/>
  <c r="BC3" i="78" s="1" a="1"/>
  <c r="BC3" i="78" s="1"/>
  <c r="BB19" i="78"/>
  <c r="BB18" i="78"/>
  <c r="BB17" i="78"/>
  <c r="E58" i="16"/>
  <c r="F60" i="16"/>
  <c r="D59" i="16"/>
  <c r="BT12" i="38"/>
  <c r="BS24" i="38"/>
  <c r="BS40" i="38"/>
  <c r="HN6" i="15"/>
  <c r="EK6" i="15"/>
  <c r="BK13" i="78"/>
  <c r="BK14" i="78"/>
  <c r="C22" i="58" l="1"/>
  <c r="G22" i="58"/>
  <c r="C31" i="58" s="1"/>
  <c r="A31" i="58" s="1"/>
  <c r="BB20" i="78"/>
  <c r="BU12" i="38"/>
  <c r="BT24" i="38"/>
  <c r="BT40" i="38"/>
  <c r="E59" i="16"/>
  <c r="F61" i="16"/>
  <c r="D60" i="16"/>
  <c r="BC18" i="78"/>
  <c r="BC17" i="78"/>
  <c r="BC19" i="78"/>
  <c r="BL13" i="78"/>
  <c r="BL14" i="78"/>
  <c r="BD2" i="78"/>
  <c r="BD5" i="78"/>
  <c r="BE4" i="78" s="1"/>
  <c r="BD12" i="78"/>
  <c r="BD3" i="78" s="1" a="1"/>
  <c r="BD3" i="78" s="1"/>
  <c r="HO6" i="15"/>
  <c r="EL6" i="15"/>
  <c r="BC20" i="78" l="1"/>
  <c r="BE12" i="78"/>
  <c r="BE3" i="78" s="1" a="1"/>
  <c r="BE3" i="78" s="1"/>
  <c r="BE5" i="78"/>
  <c r="BF4" i="78" s="1"/>
  <c r="BE2" i="78"/>
  <c r="E60" i="16"/>
  <c r="BM14" i="78"/>
  <c r="BM13" i="78"/>
  <c r="F62" i="16"/>
  <c r="D61" i="16"/>
  <c r="HP6" i="15"/>
  <c r="EM6" i="15"/>
  <c r="BD17" i="78"/>
  <c r="BD19" i="78"/>
  <c r="BD18" i="78"/>
  <c r="BV12" i="38"/>
  <c r="BU24" i="38"/>
  <c r="BU40" i="38"/>
  <c r="BD20" i="78" l="1"/>
  <c r="EN6" i="15"/>
  <c r="HQ6" i="15"/>
  <c r="E61" i="16"/>
  <c r="D62" i="16"/>
  <c r="F63" i="16"/>
  <c r="BV24" i="38"/>
  <c r="BV40" i="38"/>
  <c r="BW12" i="38"/>
  <c r="BF2" i="78"/>
  <c r="BF5" i="78"/>
  <c r="BG4" i="78" s="1"/>
  <c r="BF12" i="78"/>
  <c r="BF3" i="78" s="1" a="1"/>
  <c r="BF3" i="78" s="1"/>
  <c r="BN13" i="78"/>
  <c r="BN14" i="78"/>
  <c r="BE17" i="78"/>
  <c r="BE19" i="78"/>
  <c r="BE18" i="78"/>
  <c r="BF19" i="78" l="1"/>
  <c r="BF18" i="78"/>
  <c r="BF17" i="78"/>
  <c r="E62" i="16"/>
  <c r="BX12" i="38"/>
  <c r="BW72" i="38"/>
  <c r="BW83" i="38" s="1"/>
  <c r="BW24" i="38"/>
  <c r="BW55" i="38"/>
  <c r="BW40" i="38"/>
  <c r="BW47" i="38"/>
  <c r="BG2" i="78"/>
  <c r="BG5" i="78"/>
  <c r="BH4" i="78" s="1"/>
  <c r="BG12" i="78"/>
  <c r="BG3" i="78" s="1" a="1"/>
  <c r="BG3" i="78" s="1"/>
  <c r="BE20" i="78"/>
  <c r="EO6" i="15"/>
  <c r="HR6" i="15"/>
  <c r="BO13" i="78"/>
  <c r="BO14" i="78"/>
  <c r="F64" i="16"/>
  <c r="D63" i="16"/>
  <c r="BF20" i="78" l="1"/>
  <c r="BG18" i="78"/>
  <c r="BG17" i="78"/>
  <c r="BG19" i="78"/>
  <c r="BP14" i="78"/>
  <c r="BP13" i="78"/>
  <c r="BX40" i="38"/>
  <c r="BX47" i="38"/>
  <c r="BY12" i="38"/>
  <c r="BX24" i="38"/>
  <c r="BX72" i="38"/>
  <c r="BX83" i="38" s="1"/>
  <c r="BX55" i="38"/>
  <c r="BH12" i="78"/>
  <c r="BH3" i="78" s="1" a="1"/>
  <c r="BH3" i="78" s="1"/>
  <c r="BH2" i="78"/>
  <c r="BH5" i="78"/>
  <c r="BI4" i="78" s="1"/>
  <c r="EP6" i="15"/>
  <c r="HS6" i="15"/>
  <c r="D64" i="16"/>
  <c r="F65" i="16"/>
  <c r="E63" i="16"/>
  <c r="BG20" i="78" l="1"/>
  <c r="EQ6" i="15"/>
  <c r="HT6" i="15"/>
  <c r="BH17" i="78"/>
  <c r="BH18" i="78"/>
  <c r="BH19" i="78"/>
  <c r="BQ13" i="78"/>
  <c r="BQ14" i="78"/>
  <c r="F66" i="16"/>
  <c r="D65" i="16"/>
  <c r="BI5" i="78"/>
  <c r="BJ4" i="78" s="1"/>
  <c r="BI12" i="78"/>
  <c r="BI3" i="78" s="1" a="1"/>
  <c r="BI3" i="78" s="1"/>
  <c r="BI2" i="78"/>
  <c r="E64" i="16"/>
  <c r="BZ12" i="38"/>
  <c r="BY40" i="38"/>
  <c r="BY72" i="38"/>
  <c r="BY83" i="38" s="1"/>
  <c r="BY24" i="38"/>
  <c r="BY47" i="38"/>
  <c r="BY55" i="38"/>
  <c r="BR14" i="78" l="1"/>
  <c r="BR13" i="78"/>
  <c r="BI19" i="78"/>
  <c r="BI18" i="78"/>
  <c r="BI17" i="78"/>
  <c r="BH20" i="78"/>
  <c r="BJ12" i="78"/>
  <c r="BJ3" i="78" s="1" a="1"/>
  <c r="BJ3" i="78" s="1"/>
  <c r="BJ2" i="78"/>
  <c r="BJ5" i="78"/>
  <c r="BK4" i="78" s="1"/>
  <c r="F67" i="16"/>
  <c r="D66" i="16"/>
  <c r="CA12" i="38"/>
  <c r="BZ47" i="38"/>
  <c r="BZ40" i="38"/>
  <c r="BZ72" i="38"/>
  <c r="BZ83" i="38" s="1"/>
  <c r="BZ55" i="38"/>
  <c r="BZ24" i="38"/>
  <c r="E65" i="16"/>
  <c r="ER6" i="15"/>
  <c r="HU6" i="15"/>
  <c r="BI20" i="78" l="1"/>
  <c r="HV6" i="15"/>
  <c r="ES6" i="15"/>
  <c r="BJ19" i="78"/>
  <c r="BJ18" i="78"/>
  <c r="BJ17" i="78"/>
  <c r="CA24" i="38"/>
  <c r="CA55" i="38"/>
  <c r="CA47" i="38"/>
  <c r="CB12" i="38"/>
  <c r="CA40" i="38"/>
  <c r="CA72" i="38"/>
  <c r="CA83" i="38" s="1"/>
  <c r="E66" i="16"/>
  <c r="F68" i="16"/>
  <c r="D67" i="16"/>
  <c r="BK2" i="78"/>
  <c r="BK5" i="78"/>
  <c r="BL4" i="78" s="1"/>
  <c r="BK12" i="78"/>
  <c r="BK3" i="78" s="1" a="1"/>
  <c r="BK3" i="78" s="1"/>
  <c r="BS13" i="78"/>
  <c r="BS14" i="78"/>
  <c r="HW6" i="15" l="1"/>
  <c r="ET6" i="15"/>
  <c r="BJ20" i="78"/>
  <c r="BK18" i="78"/>
  <c r="BK17" i="78"/>
  <c r="BK19" i="78"/>
  <c r="BL2" i="78"/>
  <c r="BL5" i="78"/>
  <c r="BM4" i="78" s="1"/>
  <c r="BL12" i="78"/>
  <c r="BL3" i="78" s="1" a="1"/>
  <c r="BL3" i="78" s="1"/>
  <c r="E67" i="16"/>
  <c r="F69" i="16"/>
  <c r="D68" i="16"/>
  <c r="BT13" i="78"/>
  <c r="BT14" i="78"/>
  <c r="CB55" i="38"/>
  <c r="CB47" i="38"/>
  <c r="CC12" i="38"/>
  <c r="CB40" i="38"/>
  <c r="CB24" i="38"/>
  <c r="CB72" i="38"/>
  <c r="CB83" i="38" s="1"/>
  <c r="EU6" i="15" l="1"/>
  <c r="HX6" i="15"/>
  <c r="BK20" i="78"/>
  <c r="BL17" i="78"/>
  <c r="BL19" i="78"/>
  <c r="BL18" i="78"/>
  <c r="BM2" i="78"/>
  <c r="BM12" i="78"/>
  <c r="BM3" i="78" s="1" a="1"/>
  <c r="BM3" i="78" s="1"/>
  <c r="BM5" i="78"/>
  <c r="BN4" i="78" s="1"/>
  <c r="CD12" i="38"/>
  <c r="CC24" i="38"/>
  <c r="CC55" i="38"/>
  <c r="CC47" i="38"/>
  <c r="CC40" i="38"/>
  <c r="CC72" i="38"/>
  <c r="CC83" i="38" s="1"/>
  <c r="E68" i="16"/>
  <c r="BU14" i="78"/>
  <c r="BU13" i="78"/>
  <c r="F70" i="16"/>
  <c r="D69" i="16"/>
  <c r="EV6" i="15" l="1"/>
  <c r="HY6" i="15"/>
  <c r="BN5" i="78"/>
  <c r="BO4" i="78" s="1"/>
  <c r="BN12" i="78"/>
  <c r="BN3" i="78" s="1" a="1"/>
  <c r="BN3" i="78" s="1"/>
  <c r="BN2" i="78"/>
  <c r="BM17" i="78"/>
  <c r="BM19" i="78"/>
  <c r="BM18" i="78"/>
  <c r="BV13" i="78"/>
  <c r="BV14" i="78"/>
  <c r="E69" i="16"/>
  <c r="CD24" i="38"/>
  <c r="CD55" i="38"/>
  <c r="CE12" i="38"/>
  <c r="CD47" i="38"/>
  <c r="CD40" i="38"/>
  <c r="CD72" i="38"/>
  <c r="CD83" i="38" s="1"/>
  <c r="D70" i="16"/>
  <c r="F71" i="16"/>
  <c r="BL20" i="78"/>
  <c r="HZ6" i="15" l="1"/>
  <c r="EW6" i="15"/>
  <c r="E70" i="16"/>
  <c r="BM20" i="78"/>
  <c r="BN19" i="78"/>
  <c r="BN18" i="78"/>
  <c r="BN17" i="78"/>
  <c r="BO12" i="78"/>
  <c r="BO3" i="78" s="1" a="1"/>
  <c r="BO3" i="78" s="1"/>
  <c r="BO2" i="78"/>
  <c r="BO5" i="78"/>
  <c r="BP4" i="78" s="1"/>
  <c r="F72" i="16"/>
  <c r="D71" i="16"/>
  <c r="CE24" i="38"/>
  <c r="CE40" i="38"/>
  <c r="CE72" i="38"/>
  <c r="CE83" i="38" s="1"/>
  <c r="CE55" i="38"/>
  <c r="CF12" i="38"/>
  <c r="CE47" i="38"/>
  <c r="BW14" i="78"/>
  <c r="BW13" i="78"/>
  <c r="EX6" i="15" l="1"/>
  <c r="IA6" i="15"/>
  <c r="BN20" i="78"/>
  <c r="BX14" i="78"/>
  <c r="BX13" i="78"/>
  <c r="E71" i="16"/>
  <c r="CF40" i="38"/>
  <c r="CF47" i="38"/>
  <c r="CG12" i="38"/>
  <c r="CF24" i="38"/>
  <c r="CF72" i="38"/>
  <c r="CF83" i="38" s="1"/>
  <c r="CF55" i="38"/>
  <c r="D72" i="16"/>
  <c r="F73" i="16"/>
  <c r="BP2" i="78"/>
  <c r="BP12" i="78"/>
  <c r="BP3" i="78" s="1" a="1"/>
  <c r="BP3" i="78" s="1"/>
  <c r="BP5" i="78"/>
  <c r="BQ4" i="78" s="1"/>
  <c r="BO18" i="78"/>
  <c r="BO19" i="78"/>
  <c r="BO17" i="78"/>
  <c r="EY6" i="15" l="1"/>
  <c r="IB6" i="15"/>
  <c r="BO20" i="78"/>
  <c r="BP17" i="78"/>
  <c r="BP18" i="78"/>
  <c r="BP19" i="78"/>
  <c r="E72" i="16"/>
  <c r="BY13" i="78"/>
  <c r="BY14" i="78"/>
  <c r="F74" i="16"/>
  <c r="D73" i="16"/>
  <c r="BQ5" i="78"/>
  <c r="BR4" i="78" s="1"/>
  <c r="BQ2" i="78"/>
  <c r="BQ12" i="78"/>
  <c r="BQ3" i="78" s="1" a="1"/>
  <c r="BQ3" i="78" s="1"/>
  <c r="CH12" i="38"/>
  <c r="CG24" i="38"/>
  <c r="CG72" i="38"/>
  <c r="CG83" i="38" s="1"/>
  <c r="CG47" i="38"/>
  <c r="CG55" i="38"/>
  <c r="CG40" i="38"/>
  <c r="IC6" i="15" l="1"/>
  <c r="EZ6" i="15"/>
  <c r="BR2" i="78"/>
  <c r="BR12" i="78"/>
  <c r="BR3" i="78" s="1" a="1"/>
  <c r="BR3" i="78" s="1"/>
  <c r="BR5" i="78"/>
  <c r="BS4" i="78" s="1"/>
  <c r="BZ14" i="78"/>
  <c r="BZ13" i="78"/>
  <c r="E73" i="16"/>
  <c r="D74" i="16"/>
  <c r="F75" i="16"/>
  <c r="CI12" i="38"/>
  <c r="CH24" i="38"/>
  <c r="CH72" i="38"/>
  <c r="CH83" i="38" s="1"/>
  <c r="CH40" i="38"/>
  <c r="CH47" i="38"/>
  <c r="CH55" i="38"/>
  <c r="BQ19" i="78"/>
  <c r="BQ18" i="78"/>
  <c r="BQ17" i="78"/>
  <c r="BP20" i="78"/>
  <c r="FA6" i="15" l="1"/>
  <c r="ID6" i="15"/>
  <c r="BQ20" i="78"/>
  <c r="CA13" i="78"/>
  <c r="CA14" i="78"/>
  <c r="CJ12" i="38"/>
  <c r="CI40" i="38"/>
  <c r="CI47" i="38"/>
  <c r="CI55" i="38"/>
  <c r="CI24" i="38"/>
  <c r="CI72" i="38"/>
  <c r="CI83" i="38" s="1"/>
  <c r="F76" i="16"/>
  <c r="D75" i="16"/>
  <c r="BS2" i="78"/>
  <c r="BS5" i="78"/>
  <c r="BT4" i="78" s="1"/>
  <c r="BS12" i="78"/>
  <c r="BS3" i="78" s="1" a="1"/>
  <c r="BS3" i="78" s="1"/>
  <c r="BR19" i="78"/>
  <c r="BR18" i="78"/>
  <c r="BR17" i="78"/>
  <c r="E74" i="16"/>
  <c r="FB6" i="15" l="1"/>
  <c r="IE6" i="15"/>
  <c r="BR20" i="78"/>
  <c r="BS18" i="78"/>
  <c r="BS17" i="78"/>
  <c r="BS19" i="78"/>
  <c r="E75" i="16"/>
  <c r="CK12" i="38"/>
  <c r="CJ24" i="38"/>
  <c r="CJ40" i="38"/>
  <c r="CJ47" i="38"/>
  <c r="CJ55" i="38"/>
  <c r="CJ72" i="38"/>
  <c r="CJ83" i="38" s="1"/>
  <c r="D76" i="16"/>
  <c r="F77" i="16"/>
  <c r="CB13" i="78"/>
  <c r="CB14" i="78"/>
  <c r="BT2" i="78"/>
  <c r="BT5" i="78"/>
  <c r="BU4" i="78" s="1"/>
  <c r="BT12" i="78"/>
  <c r="BT3" i="78" s="1" a="1"/>
  <c r="BT3" i="78" s="1"/>
  <c r="IF6" i="15" l="1"/>
  <c r="FC6" i="15"/>
  <c r="FD6" i="15" s="1"/>
  <c r="FE6" i="15" s="1"/>
  <c r="BS20" i="78"/>
  <c r="D77" i="16"/>
  <c r="F78" i="16"/>
  <c r="BT17" i="78"/>
  <c r="BT19" i="78"/>
  <c r="BT18" i="78"/>
  <c r="E76" i="16"/>
  <c r="CC14" i="78"/>
  <c r="CC13" i="78"/>
  <c r="CL12" i="38"/>
  <c r="CK40" i="38"/>
  <c r="CK47" i="38"/>
  <c r="CK55" i="38"/>
  <c r="CK24" i="38"/>
  <c r="CK72" i="38"/>
  <c r="CK83" i="38" s="1"/>
  <c r="BU12" i="78"/>
  <c r="BU3" i="78" s="1" a="1"/>
  <c r="BU3" i="78" s="1"/>
  <c r="BU5" i="78"/>
  <c r="BV4" i="78" s="1"/>
  <c r="BU2" i="78"/>
  <c r="BT20" i="78" l="1"/>
  <c r="CL24" i="38"/>
  <c r="CM12" i="38"/>
  <c r="CL40" i="38"/>
  <c r="CL47" i="38"/>
  <c r="CL55" i="38"/>
  <c r="CL72" i="38"/>
  <c r="CL83" i="38" s="1"/>
  <c r="BV5" i="78"/>
  <c r="BW4" i="78" s="1"/>
  <c r="BV2" i="78"/>
  <c r="BV12" i="78"/>
  <c r="BV3" i="78" s="1" a="1"/>
  <c r="BV3" i="78" s="1"/>
  <c r="D78" i="16"/>
  <c r="F79" i="16"/>
  <c r="BU17" i="78"/>
  <c r="BU18" i="78"/>
  <c r="BU19" i="78"/>
  <c r="E77" i="16"/>
  <c r="CD13" i="78"/>
  <c r="CD14" i="78"/>
  <c r="BU20" i="78" l="1"/>
  <c r="BW2" i="78"/>
  <c r="BW5" i="78"/>
  <c r="BX4" i="78" s="1"/>
  <c r="BW12" i="78"/>
  <c r="BW3" i="78" s="1" a="1"/>
  <c r="BW3" i="78" s="1"/>
  <c r="CE13" i="78"/>
  <c r="CE14" i="78"/>
  <c r="D79" i="16"/>
  <c r="F80" i="16"/>
  <c r="E78" i="16"/>
  <c r="CM72" i="38"/>
  <c r="CM83" i="38" s="1"/>
  <c r="CM40" i="38"/>
  <c r="CM47" i="38"/>
  <c r="CM55" i="38"/>
  <c r="CM24" i="38"/>
  <c r="CN12" i="38"/>
  <c r="BV19" i="78"/>
  <c r="BV18" i="78"/>
  <c r="BV17" i="78"/>
  <c r="BV20" i="78" s="1"/>
  <c r="CN40" i="38" l="1"/>
  <c r="CN47" i="38"/>
  <c r="CN72" i="38"/>
  <c r="CN83" i="38" s="1"/>
  <c r="CN55" i="38"/>
  <c r="CO12" i="38"/>
  <c r="CN24" i="38"/>
  <c r="D80" i="16"/>
  <c r="F81" i="16"/>
  <c r="CF14" i="78"/>
  <c r="CF13" i="78"/>
  <c r="E79" i="16"/>
  <c r="BW18" i="78"/>
  <c r="BW17" i="78"/>
  <c r="BW19" i="78"/>
  <c r="BX12" i="78"/>
  <c r="BX3" i="78" s="1" a="1"/>
  <c r="BX3" i="78" s="1"/>
  <c r="BX5" i="78"/>
  <c r="BY4" i="78" s="1"/>
  <c r="BX2" i="78"/>
  <c r="E80" i="16" l="1"/>
  <c r="BW20" i="78"/>
  <c r="CG13" i="78"/>
  <c r="CG14" i="78"/>
  <c r="CP12" i="38"/>
  <c r="CO24" i="38"/>
  <c r="CO40" i="38"/>
  <c r="CO72" i="38"/>
  <c r="CO83" i="38" s="1"/>
  <c r="CO47" i="38"/>
  <c r="CO55" i="38"/>
  <c r="BX17" i="78"/>
  <c r="BX18" i="78"/>
  <c r="BX19" i="78"/>
  <c r="BY5" i="78"/>
  <c r="BZ4" i="78" s="1"/>
  <c r="BY12" i="78"/>
  <c r="BY3" i="78" s="1" a="1"/>
  <c r="BY3" i="78" s="1"/>
  <c r="BY2" i="78"/>
  <c r="D81" i="16"/>
  <c r="F82" i="16"/>
  <c r="BX20" i="78" l="1"/>
  <c r="E81" i="16"/>
  <c r="CQ12" i="38"/>
  <c r="CP72" i="38"/>
  <c r="CP83" i="38" s="1"/>
  <c r="CP40" i="38"/>
  <c r="CP24" i="38"/>
  <c r="CP55" i="38"/>
  <c r="CP47" i="38"/>
  <c r="BY19" i="78"/>
  <c r="BY18" i="78"/>
  <c r="BY17" i="78"/>
  <c r="BZ2" i="78"/>
  <c r="BZ12" i="78"/>
  <c r="BZ3" i="78" s="1" a="1"/>
  <c r="BZ3" i="78" s="1"/>
  <c r="BZ5" i="78"/>
  <c r="CA4" i="78" s="1"/>
  <c r="CH14" i="78"/>
  <c r="CH13" i="78"/>
  <c r="D82" i="16"/>
  <c r="F83" i="16"/>
  <c r="BY20" i="78" l="1"/>
  <c r="CA2" i="78"/>
  <c r="CA5" i="78"/>
  <c r="CB4" i="78" s="1"/>
  <c r="CA12" i="78"/>
  <c r="CA3" i="78" s="1" a="1"/>
  <c r="CA3" i="78" s="1"/>
  <c r="BZ19" i="78"/>
  <c r="BZ18" i="78"/>
  <c r="BZ17" i="78"/>
  <c r="CQ24" i="38"/>
  <c r="CQ55" i="38"/>
  <c r="CR12" i="38"/>
  <c r="CQ47" i="38"/>
  <c r="CQ40" i="38"/>
  <c r="CQ72" i="38"/>
  <c r="CQ83" i="38" s="1"/>
  <c r="E82" i="16"/>
  <c r="F84" i="16"/>
  <c r="D83" i="16"/>
  <c r="CI13" i="78"/>
  <c r="CI14" i="78"/>
  <c r="BZ20" i="78" l="1"/>
  <c r="CJ13" i="78"/>
  <c r="CJ14" i="78"/>
  <c r="E83" i="16"/>
  <c r="D84" i="16"/>
  <c r="F85" i="16"/>
  <c r="CA18" i="78"/>
  <c r="CA17" i="78"/>
  <c r="CA19" i="78"/>
  <c r="CB2" i="78"/>
  <c r="CB5" i="78"/>
  <c r="CC4" i="78" s="1"/>
  <c r="CB12" i="78"/>
  <c r="CB3" i="78" s="1" a="1"/>
  <c r="CB3" i="78" s="1"/>
  <c r="CS12" i="38"/>
  <c r="CR24" i="38"/>
  <c r="CR47" i="38"/>
  <c r="CR55" i="38"/>
  <c r="CR40" i="38"/>
  <c r="CR72" i="38"/>
  <c r="CR83" i="38" s="1"/>
  <c r="CA20" i="78" l="1"/>
  <c r="CB17" i="78"/>
  <c r="CB19" i="78"/>
  <c r="CB18" i="78"/>
  <c r="F86" i="16"/>
  <c r="D85" i="16"/>
  <c r="CC12" i="78"/>
  <c r="CC3" i="78" s="1" a="1"/>
  <c r="CC3" i="78" s="1"/>
  <c r="CC2" i="78"/>
  <c r="CC5" i="78"/>
  <c r="CD4" i="78" s="1"/>
  <c r="CK14" i="78"/>
  <c r="CK13" i="78"/>
  <c r="E84" i="16"/>
  <c r="CT12" i="38"/>
  <c r="CS24" i="38"/>
  <c r="CS40" i="38"/>
  <c r="CS47" i="38"/>
  <c r="CS55" i="38"/>
  <c r="CS72" i="38"/>
  <c r="CS83" i="38" s="1"/>
  <c r="CB20" i="78" l="1"/>
  <c r="CT24" i="38"/>
  <c r="CU12" i="38"/>
  <c r="CT40" i="38"/>
  <c r="CT47" i="38"/>
  <c r="CT55" i="38"/>
  <c r="CT72" i="38"/>
  <c r="CT83" i="38" s="1"/>
  <c r="E85" i="16"/>
  <c r="CL13" i="78"/>
  <c r="CL14" i="78"/>
  <c r="D86" i="16"/>
  <c r="F87" i="16"/>
  <c r="CD2" i="78"/>
  <c r="CD5" i="78"/>
  <c r="CE4" i="78" s="1"/>
  <c r="CD12" i="78"/>
  <c r="CD3" i="78" s="1" a="1"/>
  <c r="CD3" i="78" s="1"/>
  <c r="CC17" i="78"/>
  <c r="CC19" i="78"/>
  <c r="CC18" i="78"/>
  <c r="F88" i="16" l="1"/>
  <c r="D87" i="16"/>
  <c r="G87" i="16"/>
  <c r="E86" i="16"/>
  <c r="CC20" i="78"/>
  <c r="CM14" i="78"/>
  <c r="CM13" i="78"/>
  <c r="CV12" i="38"/>
  <c r="CU72" i="38"/>
  <c r="CU83" i="38" s="1"/>
  <c r="CU24" i="38"/>
  <c r="CU40" i="38"/>
  <c r="CU47" i="38"/>
  <c r="CU55" i="38"/>
  <c r="CD19" i="78"/>
  <c r="CD18" i="78"/>
  <c r="CD17" i="78"/>
  <c r="CE2" i="78"/>
  <c r="CE12" i="78"/>
  <c r="CE3" i="78" s="1" a="1"/>
  <c r="CE3" i="78" s="1"/>
  <c r="CE5" i="78"/>
  <c r="CF4" i="78" s="1"/>
  <c r="CD20" i="78" l="1"/>
  <c r="CV40" i="38"/>
  <c r="CV47" i="38"/>
  <c r="CW12" i="38"/>
  <c r="CV72" i="38"/>
  <c r="CV83" i="38" s="1"/>
  <c r="CV24" i="38"/>
  <c r="CV55" i="38"/>
  <c r="CN14" i="78"/>
  <c r="CN13" i="78"/>
  <c r="CE18" i="78"/>
  <c r="CE19" i="78"/>
  <c r="CE17" i="78"/>
  <c r="E87" i="16"/>
  <c r="CF12" i="78"/>
  <c r="CF3" i="78" s="1" a="1"/>
  <c r="CF3" i="78" s="1"/>
  <c r="CF5" i="78"/>
  <c r="CG4" i="78" s="1"/>
  <c r="CF2" i="78"/>
  <c r="D88" i="16"/>
  <c r="F89" i="16"/>
  <c r="G88" i="16"/>
  <c r="CE20" i="78" l="1"/>
  <c r="CG2" i="78"/>
  <c r="CG5" i="78"/>
  <c r="CH4" i="78" s="1"/>
  <c r="CG12" i="78"/>
  <c r="CG3" i="78" s="1" a="1"/>
  <c r="CG3" i="78" s="1"/>
  <c r="CO13" i="78"/>
  <c r="CO14" i="78"/>
  <c r="CF17" i="78"/>
  <c r="CF18" i="78"/>
  <c r="CF19" i="78"/>
  <c r="F90" i="16"/>
  <c r="D89" i="16"/>
  <c r="G89" i="16"/>
  <c r="CX12" i="38"/>
  <c r="CW72" i="38"/>
  <c r="CW83" i="38" s="1"/>
  <c r="CW24" i="38"/>
  <c r="CW40" i="38"/>
  <c r="CW47" i="38"/>
  <c r="CW55" i="38"/>
  <c r="E88" i="16"/>
  <c r="CF20" i="78" l="1"/>
  <c r="CX40" i="38"/>
  <c r="CY12" i="38"/>
  <c r="CX72" i="38"/>
  <c r="CX83" i="38" s="1"/>
  <c r="CX24" i="38"/>
  <c r="CX47" i="38"/>
  <c r="CX55" i="38"/>
  <c r="D90" i="16"/>
  <c r="F91" i="16"/>
  <c r="G90" i="16"/>
  <c r="CP14" i="78"/>
  <c r="CP13" i="78"/>
  <c r="E89" i="16"/>
  <c r="CG19" i="78"/>
  <c r="CG18" i="78"/>
  <c r="CG17" i="78"/>
  <c r="CH12" i="78"/>
  <c r="CH3" i="78" s="1" a="1"/>
  <c r="CH3" i="78" s="1"/>
  <c r="CH5" i="78"/>
  <c r="CI4" i="78" s="1"/>
  <c r="CH2" i="78"/>
  <c r="CY24" i="38" l="1"/>
  <c r="CY55" i="38"/>
  <c r="CZ12" i="38"/>
  <c r="CY40" i="38"/>
  <c r="CY47" i="38"/>
  <c r="CY72" i="38"/>
  <c r="CY83" i="38" s="1"/>
  <c r="CI2" i="78"/>
  <c r="CI5" i="78"/>
  <c r="CJ4" i="78" s="1"/>
  <c r="CI12" i="78"/>
  <c r="CI3" i="78" s="1" a="1"/>
  <c r="CI3" i="78" s="1"/>
  <c r="F92" i="16"/>
  <c r="D91" i="16"/>
  <c r="G91" i="16"/>
  <c r="CH19" i="78"/>
  <c r="CH18" i="78"/>
  <c r="CH17" i="78"/>
  <c r="CQ13" i="78"/>
  <c r="CQ14" i="78"/>
  <c r="CG20" i="78"/>
  <c r="E90" i="16"/>
  <c r="CH20" i="78" l="1"/>
  <c r="CJ2" i="78"/>
  <c r="CJ5" i="78"/>
  <c r="CK4" i="78" s="1"/>
  <c r="CJ12" i="78"/>
  <c r="CJ3" i="78" s="1" a="1"/>
  <c r="CJ3" i="78" s="1"/>
  <c r="E91" i="16"/>
  <c r="CR13" i="78"/>
  <c r="CR14" i="78"/>
  <c r="CZ55" i="38"/>
  <c r="DA12" i="38"/>
  <c r="CZ24" i="38"/>
  <c r="CZ40" i="38"/>
  <c r="CZ47" i="38"/>
  <c r="CZ72" i="38"/>
  <c r="CZ83" i="38" s="1"/>
  <c r="D92" i="16"/>
  <c r="F93" i="16"/>
  <c r="G92" i="16"/>
  <c r="CI18" i="78"/>
  <c r="CI17" i="78"/>
  <c r="CI20" i="78" s="1"/>
  <c r="CI19" i="78"/>
  <c r="DB12" i="38" l="1"/>
  <c r="DA47" i="38"/>
  <c r="DA55" i="38"/>
  <c r="DA24" i="38"/>
  <c r="DA40" i="38"/>
  <c r="DA72" i="38"/>
  <c r="DA83" i="38" s="1"/>
  <c r="CJ17" i="78"/>
  <c r="CJ19" i="78"/>
  <c r="CJ18" i="78"/>
  <c r="CS14" i="78"/>
  <c r="CS13" i="78"/>
  <c r="CK12" i="78"/>
  <c r="CK3" i="78" s="1" a="1"/>
  <c r="CK3" i="78" s="1"/>
  <c r="CK5" i="78"/>
  <c r="CL4" i="78" s="1"/>
  <c r="CK2" i="78"/>
  <c r="D93" i="16"/>
  <c r="F94" i="16"/>
  <c r="G93" i="16"/>
  <c r="E92" i="16"/>
  <c r="CT13" i="78" l="1"/>
  <c r="CT14" i="78"/>
  <c r="D94" i="16"/>
  <c r="F95" i="16"/>
  <c r="G94" i="16"/>
  <c r="DB24" i="38"/>
  <c r="DB47" i="38"/>
  <c r="DB55" i="38"/>
  <c r="DC12" i="38"/>
  <c r="DB40" i="38"/>
  <c r="DB72" i="38"/>
  <c r="DB83" i="38" s="1"/>
  <c r="E93" i="16"/>
  <c r="CJ20" i="78"/>
  <c r="CL2" i="78"/>
  <c r="CL5" i="78"/>
  <c r="CM4" i="78" s="1"/>
  <c r="CL12" i="78"/>
  <c r="CL3" i="78" s="1" a="1"/>
  <c r="CL3" i="78" s="1"/>
  <c r="CK17" i="78"/>
  <c r="CK19" i="78"/>
  <c r="CK18" i="78"/>
  <c r="CK20" i="78" l="1"/>
  <c r="CL19" i="78"/>
  <c r="CL18" i="78"/>
  <c r="CL17" i="78"/>
  <c r="F96" i="16"/>
  <c r="D95" i="16"/>
  <c r="G95" i="16"/>
  <c r="CM2" i="78"/>
  <c r="CM5" i="78"/>
  <c r="CN4" i="78" s="1"/>
  <c r="CM12" i="78"/>
  <c r="CM3" i="78" s="1" a="1"/>
  <c r="CM3" i="78" s="1"/>
  <c r="E94" i="16"/>
  <c r="CU13" i="78"/>
  <c r="CU14" i="78"/>
  <c r="DC24" i="38"/>
  <c r="DC40" i="38"/>
  <c r="DC72" i="38"/>
  <c r="DC83" i="38" s="1"/>
  <c r="DC47" i="38"/>
  <c r="DC55" i="38"/>
  <c r="DD12" i="38"/>
  <c r="E95" i="16" l="1"/>
  <c r="DD40" i="38"/>
  <c r="DD47" i="38"/>
  <c r="DE12" i="38"/>
  <c r="DD24" i="38"/>
  <c r="DD72" i="38"/>
  <c r="DD83" i="38" s="1"/>
  <c r="DD55" i="38"/>
  <c r="CM18" i="78"/>
  <c r="CM17" i="78"/>
  <c r="CM19" i="78"/>
  <c r="D96" i="16"/>
  <c r="F97" i="16"/>
  <c r="G96" i="16"/>
  <c r="CV14" i="78"/>
  <c r="CV13" i="78"/>
  <c r="CN12" i="78"/>
  <c r="CN3" i="78" s="1" a="1"/>
  <c r="CN3" i="78" s="1"/>
  <c r="CN2" i="78"/>
  <c r="CN5" i="78"/>
  <c r="CO4" i="78" s="1"/>
  <c r="CL20" i="78"/>
  <c r="CM20" i="78" l="1"/>
  <c r="D97" i="16"/>
  <c r="F98" i="16"/>
  <c r="G97" i="16"/>
  <c r="DF12" i="38"/>
  <c r="DE40" i="38"/>
  <c r="DE72" i="38"/>
  <c r="DE83" i="38" s="1"/>
  <c r="DE47" i="38"/>
  <c r="DE24" i="38"/>
  <c r="DE55" i="38"/>
  <c r="E96" i="16"/>
  <c r="CW13" i="78"/>
  <c r="CW14" i="78"/>
  <c r="CO5" i="78"/>
  <c r="CP4" i="78" s="1"/>
  <c r="CO12" i="78"/>
  <c r="CO3" i="78" s="1" a="1"/>
  <c r="CO3" i="78" s="1"/>
  <c r="CO2" i="78"/>
  <c r="CN17" i="78"/>
  <c r="CN18" i="78"/>
  <c r="CN19" i="78"/>
  <c r="DG12" i="38" l="1"/>
  <c r="DF24" i="38"/>
  <c r="DF40" i="38"/>
  <c r="DF72" i="38"/>
  <c r="DF83" i="38" s="1"/>
  <c r="DF47" i="38"/>
  <c r="DF55" i="38"/>
  <c r="CO19" i="78"/>
  <c r="CO18" i="78"/>
  <c r="CO17" i="78"/>
  <c r="CP12" i="78"/>
  <c r="CP3" i="78" s="1" a="1"/>
  <c r="CP3" i="78" s="1"/>
  <c r="CP2" i="78"/>
  <c r="CP5" i="78"/>
  <c r="CQ4" i="78" s="1"/>
  <c r="CX14" i="78"/>
  <c r="CX13" i="78"/>
  <c r="D98" i="16"/>
  <c r="F99" i="16"/>
  <c r="G98" i="16"/>
  <c r="CN20" i="78"/>
  <c r="E97" i="16"/>
  <c r="F100" i="16" l="1"/>
  <c r="D99" i="16"/>
  <c r="G99" i="16"/>
  <c r="E98" i="16"/>
  <c r="CY14" i="78"/>
  <c r="CY13" i="78"/>
  <c r="CQ2" i="78"/>
  <c r="CQ12" i="78"/>
  <c r="CQ3" i="78" s="1" a="1"/>
  <c r="CQ3" i="78" s="1"/>
  <c r="CQ5" i="78"/>
  <c r="CR4" i="78" s="1"/>
  <c r="CP19" i="78"/>
  <c r="CP18" i="78"/>
  <c r="CP17" i="78"/>
  <c r="CO20" i="78"/>
  <c r="DH12" i="38"/>
  <c r="DG55" i="38"/>
  <c r="DG24" i="38"/>
  <c r="DG40" i="38"/>
  <c r="DG47" i="38"/>
  <c r="DG72" i="38"/>
  <c r="DG83" i="38" s="1"/>
  <c r="CZ13" i="78" l="1"/>
  <c r="CZ14" i="78"/>
  <c r="CP20" i="78"/>
  <c r="CR2" i="78"/>
  <c r="CR5" i="78"/>
  <c r="CS4" i="78" s="1"/>
  <c r="CR12" i="78"/>
  <c r="CR3" i="78" s="1" a="1"/>
  <c r="CR3" i="78" s="1"/>
  <c r="CQ18" i="78"/>
  <c r="CQ17" i="78"/>
  <c r="CQ20" i="78" s="1"/>
  <c r="CQ19" i="78"/>
  <c r="E99" i="16"/>
  <c r="DI12" i="38"/>
  <c r="DH55" i="38"/>
  <c r="DH24" i="38"/>
  <c r="DH40" i="38"/>
  <c r="DH72" i="38"/>
  <c r="DH83" i="38" s="1"/>
  <c r="DH47" i="38"/>
  <c r="D100" i="16"/>
  <c r="F101" i="16"/>
  <c r="G100" i="16"/>
  <c r="CR17" i="78" l="1"/>
  <c r="CR19" i="78"/>
  <c r="CR18" i="78"/>
  <c r="CS2" i="78"/>
  <c r="CS12" i="78"/>
  <c r="CS3" i="78" s="1" a="1"/>
  <c r="CS3" i="78" s="1"/>
  <c r="CS5" i="78"/>
  <c r="CT4" i="78" s="1"/>
  <c r="DJ12" i="38"/>
  <c r="DI24" i="38"/>
  <c r="DI55" i="38"/>
  <c r="DI40" i="38"/>
  <c r="DI47" i="38"/>
  <c r="DI72" i="38"/>
  <c r="DI83" i="38" s="1"/>
  <c r="DA14" i="78"/>
  <c r="DA13" i="78"/>
  <c r="F102" i="16"/>
  <c r="D101" i="16"/>
  <c r="G101" i="16"/>
  <c r="E100" i="16"/>
  <c r="DB13" i="78" l="1"/>
  <c r="DB14" i="78"/>
  <c r="CT5" i="78"/>
  <c r="CU4" i="78" s="1"/>
  <c r="CT12" i="78"/>
  <c r="CT3" i="78" s="1" a="1"/>
  <c r="CT3" i="78" s="1"/>
  <c r="CT2" i="78"/>
  <c r="CS17" i="78"/>
  <c r="CS19" i="78"/>
  <c r="CS18" i="78"/>
  <c r="E101" i="16"/>
  <c r="CR20" i="78"/>
  <c r="D102" i="16"/>
  <c r="F103" i="16"/>
  <c r="G102" i="16"/>
  <c r="DJ24" i="38"/>
  <c r="DK12" i="38"/>
  <c r="DJ47" i="38"/>
  <c r="DJ55" i="38"/>
  <c r="DJ72" i="38"/>
  <c r="DJ83" i="38" s="1"/>
  <c r="DJ40" i="38"/>
  <c r="CS20" i="78" l="1"/>
  <c r="F104" i="16"/>
  <c r="D103" i="16"/>
  <c r="G103" i="16"/>
  <c r="E102" i="16"/>
  <c r="DK72" i="38"/>
  <c r="DK83" i="38" s="1"/>
  <c r="DK47" i="38"/>
  <c r="DK24" i="38"/>
  <c r="DK55" i="38"/>
  <c r="DK40" i="38"/>
  <c r="DL12" i="38"/>
  <c r="CT19" i="78"/>
  <c r="CT18" i="78"/>
  <c r="CT17" i="78"/>
  <c r="CU12" i="78"/>
  <c r="CU3" i="78" s="1" a="1"/>
  <c r="CU3" i="78" s="1"/>
  <c r="CU5" i="78"/>
  <c r="CV4" i="78" s="1"/>
  <c r="CU2" i="78"/>
  <c r="DC14" i="78"/>
  <c r="DC13" i="78"/>
  <c r="CT20" i="78" l="1"/>
  <c r="DD14" i="78"/>
  <c r="DD13" i="78"/>
  <c r="DL40" i="38"/>
  <c r="DL47" i="38"/>
  <c r="DL24" i="38"/>
  <c r="DL72" i="38"/>
  <c r="DL83" i="38" s="1"/>
  <c r="DL55" i="38"/>
  <c r="DM12" i="38"/>
  <c r="E103" i="16"/>
  <c r="CV2" i="78"/>
  <c r="CV12" i="78"/>
  <c r="CV3" i="78" s="1" a="1"/>
  <c r="CV3" i="78" s="1"/>
  <c r="CV5" i="78"/>
  <c r="CW4" i="78" s="1"/>
  <c r="CU18" i="78"/>
  <c r="CU19" i="78"/>
  <c r="CU17" i="78"/>
  <c r="D104" i="16"/>
  <c r="F105" i="16"/>
  <c r="G104" i="16"/>
  <c r="CU20" i="78" l="1"/>
  <c r="DN12" i="38"/>
  <c r="DM40" i="38"/>
  <c r="DM47" i="38"/>
  <c r="DM72" i="38"/>
  <c r="DM83" i="38" s="1"/>
  <c r="DM24" i="38"/>
  <c r="DM55" i="38"/>
  <c r="CW5" i="78"/>
  <c r="CX4" i="78" s="1"/>
  <c r="CW2" i="78"/>
  <c r="CW12" i="78"/>
  <c r="CW3" i="78" s="1" a="1"/>
  <c r="CW3" i="78" s="1"/>
  <c r="CV17" i="78"/>
  <c r="CV18" i="78"/>
  <c r="CV19" i="78"/>
  <c r="F106" i="16"/>
  <c r="D105" i="16"/>
  <c r="G105" i="16"/>
  <c r="E104" i="16"/>
  <c r="DE13" i="78"/>
  <c r="DE14" i="78"/>
  <c r="D106" i="16" l="1"/>
  <c r="F107" i="16"/>
  <c r="G106" i="16"/>
  <c r="DF14" i="78"/>
  <c r="DF13" i="78"/>
  <c r="CV20" i="78"/>
  <c r="CW19" i="78"/>
  <c r="CW18" i="78"/>
  <c r="CW17" i="78"/>
  <c r="DN24" i="38"/>
  <c r="DO12" i="38"/>
  <c r="DN40" i="38"/>
  <c r="DN47" i="38"/>
  <c r="DN72" i="38"/>
  <c r="DN83" i="38" s="1"/>
  <c r="DN55" i="38"/>
  <c r="E105" i="16"/>
  <c r="CX2" i="78"/>
  <c r="CX12" i="78"/>
  <c r="CX3" i="78" s="1" a="1"/>
  <c r="CX3" i="78" s="1"/>
  <c r="CX5" i="78"/>
  <c r="CY4" i="78" s="1"/>
  <c r="CY2" i="78" l="1"/>
  <c r="CY5" i="78"/>
  <c r="CZ4" i="78" s="1"/>
  <c r="CY12" i="78"/>
  <c r="CY3" i="78" s="1" a="1"/>
  <c r="CY3" i="78" s="1"/>
  <c r="DG13" i="78"/>
  <c r="DG14" i="78"/>
  <c r="CX19" i="78"/>
  <c r="CX18" i="78"/>
  <c r="CX17" i="78"/>
  <c r="DO55" i="38"/>
  <c r="DP12" i="38"/>
  <c r="DO40" i="38"/>
  <c r="DO47" i="38"/>
  <c r="DO24" i="38"/>
  <c r="DO72" i="38"/>
  <c r="DO83" i="38" s="1"/>
  <c r="F108" i="16"/>
  <c r="D107" i="16"/>
  <c r="G107" i="16"/>
  <c r="CW20" i="78"/>
  <c r="E106" i="16"/>
  <c r="CX20" i="78" l="1"/>
  <c r="D108" i="16"/>
  <c r="F109" i="16"/>
  <c r="G108" i="16"/>
  <c r="DH13" i="78"/>
  <c r="DH14" i="78"/>
  <c r="CY18" i="78"/>
  <c r="CY17" i="78"/>
  <c r="CY20" i="78" s="1"/>
  <c r="CY19" i="78"/>
  <c r="DQ12" i="38"/>
  <c r="DP55" i="38"/>
  <c r="DP40" i="38"/>
  <c r="DP47" i="38"/>
  <c r="DP72" i="38"/>
  <c r="DP83" i="38" s="1"/>
  <c r="DP24" i="38"/>
  <c r="CZ2" i="78"/>
  <c r="CZ5" i="78"/>
  <c r="DA4" i="78" s="1"/>
  <c r="CZ12" i="78"/>
  <c r="CZ3" i="78" s="1" a="1"/>
  <c r="CZ3" i="78" s="1"/>
  <c r="E107" i="16"/>
  <c r="DA12" i="78" l="1"/>
  <c r="DA3" i="78" s="1" a="1"/>
  <c r="DA3" i="78" s="1"/>
  <c r="DA5" i="78"/>
  <c r="DB4" i="78" s="1"/>
  <c r="DA2" i="78"/>
  <c r="D109" i="16"/>
  <c r="F110" i="16"/>
  <c r="G109" i="16"/>
  <c r="DI14" i="78"/>
  <c r="DI13" i="78"/>
  <c r="E108" i="16"/>
  <c r="CZ17" i="78"/>
  <c r="CZ19" i="78"/>
  <c r="CZ18" i="78"/>
  <c r="DR12" i="38"/>
  <c r="DS12" i="38" s="1"/>
  <c r="DQ55" i="38"/>
  <c r="DQ40" i="38"/>
  <c r="DQ24" i="38"/>
  <c r="DQ47" i="38"/>
  <c r="DQ72" i="38"/>
  <c r="DQ83" i="38" s="1"/>
  <c r="DS47" i="38" l="1"/>
  <c r="DT12" i="38"/>
  <c r="DS24" i="38"/>
  <c r="DS55" i="38"/>
  <c r="DS72" i="38"/>
  <c r="DS83" i="38" s="1"/>
  <c r="DS40" i="38"/>
  <c r="CZ20" i="78"/>
  <c r="DR24" i="38"/>
  <c r="DR55" i="38"/>
  <c r="DR40" i="38"/>
  <c r="DR47" i="38"/>
  <c r="DR72" i="38"/>
  <c r="DR83" i="38" s="1"/>
  <c r="D110" i="16"/>
  <c r="F111" i="16"/>
  <c r="G110" i="16"/>
  <c r="DJ13" i="78"/>
  <c r="DJ14" i="78"/>
  <c r="E109" i="16"/>
  <c r="DB5" i="78"/>
  <c r="DC4" i="78" s="1"/>
  <c r="DB2" i="78"/>
  <c r="DB12" i="78"/>
  <c r="DB3" i="78" s="1" a="1"/>
  <c r="DB3" i="78" s="1"/>
  <c r="DA17" i="78"/>
  <c r="DA19" i="78"/>
  <c r="DA18" i="78"/>
  <c r="DT47" i="38" l="1"/>
  <c r="DU12" i="38"/>
  <c r="DV12" i="38" s="1"/>
  <c r="DT24" i="38"/>
  <c r="DT55" i="38"/>
  <c r="DT40" i="38"/>
  <c r="DT72" i="38"/>
  <c r="DT83" i="38" s="1"/>
  <c r="DB19" i="78"/>
  <c r="DB18" i="78"/>
  <c r="DB17" i="78"/>
  <c r="DC2" i="78"/>
  <c r="DC5" i="78"/>
  <c r="DD4" i="78" s="1"/>
  <c r="DC12" i="78"/>
  <c r="DC3" i="78" s="1" a="1"/>
  <c r="DC3" i="78" s="1"/>
  <c r="F112" i="16"/>
  <c r="D111" i="16"/>
  <c r="G111" i="16"/>
  <c r="DA20" i="78"/>
  <c r="E110" i="16"/>
  <c r="DW12" i="38" l="1"/>
  <c r="DV72" i="38"/>
  <c r="DV83" i="38" s="1"/>
  <c r="DV55" i="38"/>
  <c r="DV24" i="38"/>
  <c r="DV47" i="38"/>
  <c r="DV40" i="38"/>
  <c r="DU47" i="38"/>
  <c r="DU55" i="38"/>
  <c r="DU24" i="38"/>
  <c r="DU40" i="38"/>
  <c r="DU72" i="38"/>
  <c r="DU83" i="38" s="1"/>
  <c r="DB20" i="78"/>
  <c r="E111" i="16"/>
  <c r="D112" i="16"/>
  <c r="F113" i="16"/>
  <c r="G112" i="16"/>
  <c r="DC18" i="78"/>
  <c r="DC17" i="78"/>
  <c r="DC19" i="78"/>
  <c r="DD12" i="78"/>
  <c r="DD3" i="78" s="1" a="1"/>
  <c r="DD3" i="78" s="1"/>
  <c r="DD2" i="78"/>
  <c r="DD5" i="78"/>
  <c r="DE4" i="78" s="1"/>
  <c r="DX12" i="38" l="1"/>
  <c r="DY12" i="38" s="1"/>
  <c r="DW55" i="38"/>
  <c r="DW47" i="38"/>
  <c r="DW24" i="38"/>
  <c r="DW72" i="38"/>
  <c r="DW83" i="38" s="1"/>
  <c r="DW40" i="38"/>
  <c r="DC20" i="78"/>
  <c r="DE5" i="78"/>
  <c r="DF4" i="78" s="1"/>
  <c r="DE12" i="78"/>
  <c r="DE3" i="78" s="1" a="1"/>
  <c r="DE3" i="78" s="1"/>
  <c r="DE2" i="78"/>
  <c r="D113" i="16"/>
  <c r="F114" i="16"/>
  <c r="G113" i="16"/>
  <c r="DD17" i="78"/>
  <c r="DD18" i="78"/>
  <c r="DD19" i="78"/>
  <c r="E112" i="16"/>
  <c r="DY47" i="38" l="1"/>
  <c r="DZ12" i="38"/>
  <c r="DY55" i="38"/>
  <c r="DY40" i="38"/>
  <c r="DY72" i="38"/>
  <c r="DY83" i="38" s="1"/>
  <c r="DY24" i="38"/>
  <c r="DX47" i="38"/>
  <c r="DX24" i="38"/>
  <c r="DX40" i="38"/>
  <c r="DX55" i="38"/>
  <c r="DX72" i="38"/>
  <c r="DX83" i="38" s="1"/>
  <c r="D114" i="16"/>
  <c r="F115" i="16"/>
  <c r="G114" i="16"/>
  <c r="E113" i="16"/>
  <c r="DE19" i="78"/>
  <c r="DE18" i="78"/>
  <c r="DE17" i="78"/>
  <c r="DD20" i="78"/>
  <c r="DF2" i="78"/>
  <c r="DF12" i="78"/>
  <c r="DF3" i="78" s="1" a="1"/>
  <c r="DF3" i="78" s="1"/>
  <c r="DF5" i="78"/>
  <c r="DG4" i="78" s="1"/>
  <c r="DZ72" i="38" l="1"/>
  <c r="DZ83" i="38" s="1"/>
  <c r="EA12" i="38"/>
  <c r="DZ24" i="38"/>
  <c r="DZ40" i="38"/>
  <c r="DZ47" i="38"/>
  <c r="DZ55" i="38"/>
  <c r="DG2" i="78"/>
  <c r="DG5" i="78"/>
  <c r="DH4" i="78" s="1"/>
  <c r="DG12" i="78"/>
  <c r="DG3" i="78" s="1" a="1"/>
  <c r="DG3" i="78" s="1"/>
  <c r="DF19" i="78"/>
  <c r="DF18" i="78"/>
  <c r="DF17" i="78"/>
  <c r="F116" i="16"/>
  <c r="D115" i="16"/>
  <c r="G115" i="16"/>
  <c r="DE20" i="78"/>
  <c r="E114" i="16"/>
  <c r="EA47" i="38" l="1"/>
  <c r="EB12" i="38"/>
  <c r="EA72" i="38"/>
  <c r="EA83" i="38" s="1"/>
  <c r="EA40" i="38"/>
  <c r="EA24" i="38"/>
  <c r="EA55" i="38"/>
  <c r="DF20" i="78"/>
  <c r="E115" i="16"/>
  <c r="DG18" i="78"/>
  <c r="DG17" i="78"/>
  <c r="DG19" i="78"/>
  <c r="DH2" i="78"/>
  <c r="DH5" i="78"/>
  <c r="DI4" i="78" s="1"/>
  <c r="DH12" i="78"/>
  <c r="DH3" i="78" s="1" a="1"/>
  <c r="DH3" i="78" s="1"/>
  <c r="D116" i="16"/>
  <c r="F117" i="16"/>
  <c r="G116" i="16"/>
  <c r="EB47" i="38" l="1"/>
  <c r="EB55" i="38"/>
  <c r="EB24" i="38"/>
  <c r="EC12" i="38"/>
  <c r="EB72" i="38"/>
  <c r="EB83" i="38" s="1"/>
  <c r="EB40" i="38"/>
  <c r="DG20" i="78"/>
  <c r="F118" i="16"/>
  <c r="D117" i="16"/>
  <c r="G117" i="16"/>
  <c r="E116" i="16"/>
  <c r="DH17" i="78"/>
  <c r="DH19" i="78"/>
  <c r="DH18" i="78"/>
  <c r="DI12" i="78"/>
  <c r="DI3" i="78" s="1" a="1"/>
  <c r="DI3" i="78" s="1"/>
  <c r="DI2" i="78"/>
  <c r="DI5" i="78"/>
  <c r="DJ4" i="78" s="1"/>
  <c r="EC55" i="38" l="1"/>
  <c r="EC47" i="38"/>
  <c r="EC72" i="38"/>
  <c r="EC83" i="38" s="1"/>
  <c r="EC40" i="38"/>
  <c r="EC24" i="38"/>
  <c r="ED12" i="38"/>
  <c r="DJ2" i="78"/>
  <c r="DJ5" i="78"/>
  <c r="DJ12" i="78"/>
  <c r="DJ3" i="78" s="1" a="1"/>
  <c r="DJ3" i="78" s="1"/>
  <c r="DI17" i="78"/>
  <c r="DI19" i="78"/>
  <c r="DI18" i="78"/>
  <c r="E117" i="16"/>
  <c r="DH20" i="78"/>
  <c r="D118" i="16"/>
  <c r="F119" i="16"/>
  <c r="G118" i="16"/>
  <c r="ED72" i="38" l="1"/>
  <c r="ED83" i="38" s="1"/>
  <c r="ED40" i="38"/>
  <c r="ED24" i="38"/>
  <c r="ED55" i="38"/>
  <c r="ED47" i="38"/>
  <c r="DI20" i="78"/>
  <c r="DJ19" i="78"/>
  <c r="DJ18" i="78"/>
  <c r="DJ17" i="78"/>
  <c r="F120" i="16"/>
  <c r="D119" i="16"/>
  <c r="G119" i="16"/>
  <c r="E118" i="16"/>
  <c r="E119" i="16" l="1"/>
  <c r="DJ20" i="78"/>
  <c r="D120" i="16"/>
  <c r="F121" i="16"/>
  <c r="G120" i="16"/>
  <c r="F122" i="16" l="1"/>
  <c r="D121" i="16"/>
  <c r="G121" i="16"/>
  <c r="E120" i="16"/>
  <c r="D122" i="16" l="1"/>
  <c r="F123" i="16"/>
  <c r="G122" i="16"/>
  <c r="E121" i="16"/>
  <c r="F124" i="16" l="1"/>
  <c r="D123" i="16"/>
  <c r="G123" i="16"/>
  <c r="E122" i="16"/>
  <c r="E123" i="16" l="1"/>
  <c r="D124" i="16"/>
  <c r="F125" i="16"/>
  <c r="G124" i="16"/>
  <c r="E124" i="16" l="1"/>
  <c r="D125" i="16"/>
  <c r="F126" i="16"/>
  <c r="G125" i="16"/>
  <c r="D126" i="16" l="1"/>
  <c r="F127" i="16"/>
  <c r="G126" i="16"/>
  <c r="E125" i="16"/>
  <c r="F128" i="16" l="1"/>
  <c r="D127" i="16"/>
  <c r="G127" i="16"/>
  <c r="E126" i="16"/>
  <c r="E127" i="16" l="1"/>
  <c r="D128" i="16"/>
  <c r="F129" i="16"/>
  <c r="G128" i="16"/>
  <c r="E128" i="16" l="1"/>
  <c r="D129" i="16"/>
  <c r="F130" i="16"/>
  <c r="G129" i="16"/>
  <c r="D130" i="16" l="1"/>
  <c r="F131" i="16"/>
  <c r="G130" i="16"/>
  <c r="E129" i="16"/>
  <c r="F132" i="16" l="1"/>
  <c r="D131" i="16"/>
  <c r="G131" i="16"/>
  <c r="E130" i="16"/>
  <c r="E131" i="16" l="1"/>
  <c r="D132" i="16"/>
  <c r="F133" i="16"/>
  <c r="G132" i="16"/>
  <c r="F134" i="16" l="1"/>
  <c r="D133" i="16"/>
  <c r="G133" i="16"/>
  <c r="E132" i="16"/>
  <c r="E133" i="16" l="1"/>
  <c r="D134" i="16"/>
  <c r="F135" i="16"/>
  <c r="G134" i="16"/>
  <c r="F136" i="16" l="1"/>
  <c r="D135" i="16"/>
  <c r="G135" i="16"/>
  <c r="E134" i="16"/>
  <c r="E135" i="16" l="1"/>
  <c r="D136" i="16"/>
  <c r="F137" i="16"/>
  <c r="G136" i="16"/>
  <c r="F138" i="16" l="1"/>
  <c r="D137" i="16"/>
  <c r="G137" i="16"/>
  <c r="E136" i="16"/>
  <c r="E137" i="16" l="1"/>
  <c r="D138" i="16"/>
  <c r="F139" i="16"/>
  <c r="G138" i="16"/>
  <c r="E138" i="16" l="1"/>
  <c r="F140" i="16"/>
  <c r="D139" i="16"/>
  <c r="G139" i="16"/>
  <c r="E139" i="16" l="1"/>
  <c r="D140" i="16"/>
  <c r="F141" i="16"/>
  <c r="G140" i="16"/>
  <c r="D141" i="16" l="1"/>
  <c r="F142" i="16"/>
  <c r="G141" i="16"/>
  <c r="E140" i="16"/>
  <c r="D142" i="16" l="1"/>
  <c r="F143" i="16"/>
  <c r="G142" i="16"/>
  <c r="E141" i="16"/>
  <c r="F144" i="16" l="1"/>
  <c r="D143" i="16"/>
  <c r="G143" i="16"/>
  <c r="E142" i="16"/>
  <c r="E143" i="16" l="1"/>
  <c r="D144" i="16"/>
  <c r="F145" i="16"/>
  <c r="G144" i="16"/>
  <c r="D145" i="16" l="1"/>
  <c r="F146" i="16"/>
  <c r="G145" i="16"/>
  <c r="E144" i="16"/>
  <c r="D146" i="16" l="1"/>
  <c r="F147" i="16"/>
  <c r="G146" i="16"/>
  <c r="E145" i="16"/>
  <c r="F148" i="16" l="1"/>
  <c r="D147" i="16"/>
  <c r="G147" i="16"/>
  <c r="E146" i="16"/>
  <c r="E147" i="16" l="1"/>
  <c r="D148" i="16"/>
  <c r="F149" i="16"/>
  <c r="G148" i="16"/>
  <c r="E148" i="16" l="1"/>
  <c r="F150" i="16"/>
  <c r="D149" i="16"/>
  <c r="G149" i="16"/>
  <c r="E149" i="16" l="1"/>
  <c r="D150" i="16"/>
  <c r="F151" i="16"/>
  <c r="G150" i="16"/>
  <c r="F152" i="16" l="1"/>
  <c r="D151" i="16"/>
  <c r="G151" i="16"/>
  <c r="E150" i="16"/>
  <c r="E151" i="16" l="1"/>
  <c r="D152" i="16"/>
  <c r="F153" i="16"/>
  <c r="G152" i="16"/>
  <c r="F154" i="16" l="1"/>
  <c r="D153" i="16"/>
  <c r="G153" i="16"/>
  <c r="E152" i="16"/>
  <c r="E153" i="16" l="1"/>
  <c r="D154" i="16"/>
  <c r="F155" i="16"/>
  <c r="G154" i="16"/>
  <c r="E154" i="16" l="1"/>
  <c r="F156" i="16"/>
  <c r="D155" i="16"/>
  <c r="G155" i="16"/>
  <c r="D156" i="16" l="1"/>
  <c r="F157" i="16"/>
  <c r="G156" i="16"/>
  <c r="E155" i="16"/>
  <c r="D157" i="16" l="1"/>
  <c r="F158" i="16"/>
  <c r="G157" i="16"/>
  <c r="E156" i="16"/>
  <c r="D158" i="16" l="1"/>
  <c r="F159" i="16"/>
  <c r="G158" i="16"/>
  <c r="E157" i="16"/>
  <c r="F160" i="16" l="1"/>
  <c r="D159" i="16"/>
  <c r="G159" i="16"/>
  <c r="E158" i="16"/>
  <c r="E159" i="16" l="1"/>
  <c r="D160" i="16"/>
  <c r="F161" i="16"/>
  <c r="G160" i="16"/>
  <c r="E160" i="16" l="1"/>
  <c r="D161" i="16"/>
  <c r="F162" i="16"/>
  <c r="G161" i="16"/>
  <c r="D162" i="16" l="1"/>
  <c r="F163" i="16"/>
  <c r="G162" i="16"/>
  <c r="E161" i="16"/>
  <c r="F164" i="16" l="1"/>
  <c r="D163" i="16"/>
  <c r="G163" i="16"/>
  <c r="E162" i="16"/>
  <c r="E163" i="16" l="1"/>
  <c r="D164" i="16"/>
  <c r="F165" i="16"/>
  <c r="G164" i="16"/>
  <c r="E164" i="16" l="1"/>
  <c r="F166" i="16"/>
  <c r="D165" i="16"/>
  <c r="G165" i="16"/>
  <c r="E165" i="16" l="1"/>
  <c r="D166" i="16"/>
  <c r="F167" i="16"/>
  <c r="G166" i="16"/>
  <c r="F168" i="16" l="1"/>
  <c r="D167" i="16"/>
  <c r="G167" i="16"/>
  <c r="E166" i="16"/>
  <c r="E167" i="16" l="1"/>
  <c r="D168" i="16"/>
  <c r="F169" i="16"/>
  <c r="G168" i="16"/>
  <c r="F170" i="16" l="1"/>
  <c r="D169" i="16"/>
  <c r="G169" i="16"/>
  <c r="E168" i="16"/>
  <c r="E169" i="16" l="1"/>
  <c r="D170" i="16"/>
  <c r="F171" i="16"/>
  <c r="G170" i="16"/>
  <c r="F172" i="16" l="1"/>
  <c r="D171" i="16"/>
  <c r="G171" i="16"/>
  <c r="E170" i="16"/>
  <c r="E171" i="16" l="1"/>
  <c r="D172" i="16"/>
  <c r="F173" i="16"/>
  <c r="G172" i="16"/>
  <c r="D173" i="16" l="1"/>
  <c r="F174" i="16"/>
  <c r="G173" i="16"/>
  <c r="E172" i="16"/>
  <c r="D174" i="16" l="1"/>
  <c r="F175" i="16"/>
  <c r="G174" i="16"/>
  <c r="E173" i="16"/>
  <c r="F176" i="16" l="1"/>
  <c r="D175" i="16"/>
  <c r="G175" i="16"/>
  <c r="E174" i="16"/>
  <c r="E175" i="16" l="1"/>
  <c r="D176" i="16"/>
  <c r="F177" i="16"/>
  <c r="G176" i="16"/>
  <c r="D177" i="16" l="1"/>
  <c r="F178" i="16"/>
  <c r="G177" i="16"/>
  <c r="E176" i="16"/>
  <c r="D178" i="16" l="1"/>
  <c r="F179" i="16"/>
  <c r="G178" i="16"/>
  <c r="E177" i="16"/>
  <c r="F180" i="16" l="1"/>
  <c r="D179" i="16"/>
  <c r="G179" i="16"/>
  <c r="E178" i="16"/>
  <c r="E179" i="16" l="1"/>
  <c r="D180" i="16"/>
  <c r="F181" i="16"/>
  <c r="G180" i="16"/>
  <c r="E180" i="16" l="1"/>
  <c r="F182" i="16"/>
  <c r="D181" i="16"/>
  <c r="G181" i="16"/>
  <c r="E181" i="16" l="1"/>
  <c r="D182" i="16"/>
  <c r="F183" i="16"/>
  <c r="G182" i="16"/>
  <c r="F184" i="16" l="1"/>
  <c r="D183" i="16"/>
  <c r="G183" i="16"/>
  <c r="E182" i="16"/>
  <c r="E183" i="16" l="1"/>
  <c r="D184" i="16"/>
  <c r="F185" i="16"/>
  <c r="G184" i="16"/>
  <c r="F186" i="16" l="1"/>
  <c r="D185" i="16"/>
  <c r="G185" i="16"/>
  <c r="E184" i="16"/>
  <c r="E185" i="16" l="1"/>
  <c r="D186" i="16"/>
  <c r="F187" i="16"/>
  <c r="G186" i="16"/>
  <c r="E186" i="16" l="1"/>
  <c r="F188" i="16"/>
  <c r="D187" i="16"/>
  <c r="G187" i="16"/>
  <c r="E187" i="16" l="1"/>
  <c r="D188" i="16"/>
  <c r="F189" i="16"/>
  <c r="G188" i="16"/>
  <c r="D189" i="16" l="1"/>
  <c r="F190" i="16"/>
  <c r="G189" i="16"/>
  <c r="E188" i="16"/>
  <c r="D190" i="16" l="1"/>
  <c r="F191" i="16"/>
  <c r="G190" i="16"/>
  <c r="E189" i="16"/>
  <c r="F192" i="16" l="1"/>
  <c r="D191" i="16"/>
  <c r="G191" i="16"/>
  <c r="E190" i="16"/>
  <c r="E191" i="16" l="1"/>
  <c r="D192" i="16"/>
  <c r="F193" i="16"/>
  <c r="G192" i="16"/>
  <c r="D193" i="16" l="1"/>
  <c r="F194" i="16"/>
  <c r="G193" i="16"/>
  <c r="E192" i="16"/>
  <c r="D194" i="16" l="1"/>
  <c r="F195" i="16"/>
  <c r="G194" i="16"/>
  <c r="E193" i="16"/>
  <c r="F196" i="16" l="1"/>
  <c r="D195" i="16"/>
  <c r="G195" i="16"/>
  <c r="E194" i="16"/>
  <c r="E195" i="16" l="1"/>
  <c r="D196" i="16"/>
  <c r="F197" i="16"/>
  <c r="G196" i="16"/>
  <c r="F198" i="16" l="1"/>
  <c r="D197" i="16"/>
  <c r="G197" i="16"/>
  <c r="E196" i="16"/>
  <c r="E197" i="16" l="1"/>
  <c r="D198" i="16"/>
  <c r="F199" i="16"/>
  <c r="G198" i="16"/>
  <c r="E198" i="16" l="1"/>
  <c r="F200" i="16"/>
  <c r="D199" i="16"/>
  <c r="G199" i="16"/>
  <c r="D200" i="16" l="1"/>
  <c r="F201" i="16"/>
  <c r="G200" i="16"/>
  <c r="E199" i="16"/>
  <c r="F202" i="16" l="1"/>
  <c r="D201" i="16"/>
  <c r="G201" i="16"/>
  <c r="E200" i="16"/>
  <c r="E201" i="16" l="1"/>
  <c r="D202" i="16"/>
  <c r="F203" i="16"/>
  <c r="G202" i="16"/>
  <c r="F204" i="16" l="1"/>
  <c r="D203" i="16"/>
  <c r="G203" i="16"/>
  <c r="E202" i="16"/>
  <c r="E203" i="16" l="1"/>
  <c r="D204" i="16"/>
  <c r="F205" i="16"/>
  <c r="G204" i="16"/>
  <c r="D205" i="16" l="1"/>
  <c r="F206" i="16"/>
  <c r="G205" i="16"/>
  <c r="E204" i="16"/>
  <c r="D206" i="16" l="1"/>
  <c r="F207" i="16"/>
  <c r="G206" i="16"/>
  <c r="E205" i="16"/>
  <c r="F208" i="16" l="1"/>
  <c r="D207" i="16"/>
  <c r="G207" i="16"/>
  <c r="E206" i="16"/>
  <c r="E207" i="16" l="1"/>
  <c r="D208" i="16"/>
  <c r="F209" i="16"/>
  <c r="G208" i="16"/>
  <c r="D209" i="16" l="1"/>
  <c r="F210" i="16"/>
  <c r="G209" i="16"/>
  <c r="E208" i="16"/>
  <c r="D210" i="16" l="1"/>
  <c r="F211" i="16"/>
  <c r="G210" i="16"/>
  <c r="E209" i="16"/>
  <c r="F212" i="16" l="1"/>
  <c r="D211" i="16"/>
  <c r="G211" i="16"/>
  <c r="E210" i="16"/>
  <c r="E211" i="16" l="1"/>
  <c r="D212" i="16"/>
  <c r="F213" i="16"/>
  <c r="G212" i="16"/>
  <c r="F214" i="16" l="1"/>
  <c r="D213" i="16"/>
  <c r="G213" i="16"/>
  <c r="E212" i="16"/>
  <c r="E213" i="16" l="1"/>
  <c r="D214" i="16"/>
  <c r="F215" i="16"/>
  <c r="G214" i="16"/>
  <c r="F216" i="16" l="1"/>
  <c r="D215" i="16"/>
  <c r="G215" i="16"/>
  <c r="E214" i="16"/>
  <c r="E215" i="16" l="1"/>
  <c r="D216" i="16"/>
  <c r="F217" i="16"/>
  <c r="G216" i="16"/>
  <c r="F218" i="16" l="1"/>
  <c r="D217" i="16"/>
  <c r="G217" i="16"/>
  <c r="E216" i="16"/>
  <c r="E217" i="16" l="1"/>
  <c r="D218" i="16"/>
  <c r="F219" i="16"/>
  <c r="G218" i="16"/>
  <c r="F220" i="16" l="1"/>
  <c r="D219" i="16"/>
  <c r="G219" i="16"/>
  <c r="E218" i="16"/>
  <c r="E219" i="16" l="1"/>
  <c r="D220" i="16"/>
  <c r="F221" i="16"/>
  <c r="G220" i="16"/>
  <c r="D221" i="16" l="1"/>
  <c r="F222" i="16"/>
  <c r="G221" i="16"/>
  <c r="E220" i="16"/>
  <c r="D222" i="16" l="1"/>
  <c r="F223" i="16"/>
  <c r="G222" i="16"/>
  <c r="E221" i="16"/>
  <c r="F224" i="16" l="1"/>
  <c r="D223" i="16"/>
  <c r="G223" i="16"/>
  <c r="E222" i="16"/>
  <c r="E223" i="16" l="1"/>
  <c r="D224" i="16"/>
  <c r="F225" i="16"/>
  <c r="G224" i="16"/>
  <c r="D225" i="16" l="1"/>
  <c r="F226" i="16"/>
  <c r="G225" i="16"/>
  <c r="E224" i="16"/>
  <c r="F227" i="16" l="1"/>
  <c r="D226" i="16"/>
  <c r="G226" i="16"/>
  <c r="E225" i="16"/>
  <c r="E226" i="16" l="1"/>
  <c r="F228" i="16"/>
  <c r="D227" i="16"/>
  <c r="G227" i="16"/>
  <c r="E227" i="16" l="1"/>
  <c r="F229" i="16"/>
  <c r="D228" i="16"/>
  <c r="G228" i="16"/>
  <c r="E228" i="16" l="1"/>
  <c r="D229" i="16"/>
  <c r="F230" i="16"/>
  <c r="G229" i="16"/>
  <c r="E229" i="16" l="1"/>
  <c r="F231" i="16"/>
  <c r="D230" i="16"/>
  <c r="G230" i="16"/>
  <c r="D231" i="16" l="1"/>
  <c r="F232" i="16"/>
  <c r="G231" i="16"/>
  <c r="E230" i="16"/>
  <c r="F233" i="16" l="1"/>
  <c r="D232" i="16"/>
  <c r="G232" i="16"/>
  <c r="E231" i="16"/>
  <c r="E232" i="16" l="1"/>
  <c r="D233" i="16"/>
  <c r="F234" i="16"/>
  <c r="T259" i="16"/>
  <c r="G233" i="16"/>
  <c r="E233" i="16" l="1"/>
  <c r="F235" i="16"/>
  <c r="D234" i="16"/>
  <c r="T260" i="16"/>
  <c r="G234" i="16"/>
  <c r="E234" i="16" l="1"/>
  <c r="D235" i="16"/>
  <c r="F236" i="16"/>
  <c r="T261" i="16"/>
  <c r="G235" i="16"/>
  <c r="F237" i="16" l="1"/>
  <c r="D236" i="16"/>
  <c r="T262" i="16"/>
  <c r="G236" i="16"/>
  <c r="E235" i="16"/>
  <c r="E236" i="16" l="1"/>
  <c r="F238" i="16"/>
  <c r="D237" i="16"/>
  <c r="T263" i="16"/>
  <c r="G237" i="16"/>
  <c r="E237" i="16" l="1"/>
  <c r="F239" i="16"/>
  <c r="D238" i="16"/>
  <c r="T264" i="16"/>
  <c r="G238" i="16"/>
  <c r="E238" i="16" l="1"/>
  <c r="D239" i="16"/>
  <c r="F240" i="16"/>
  <c r="T265" i="16"/>
  <c r="G239" i="16"/>
  <c r="F241" i="16" l="1"/>
  <c r="G252" i="16"/>
  <c r="D240" i="16"/>
  <c r="T266" i="16"/>
  <c r="G240" i="16"/>
  <c r="G245" i="16"/>
  <c r="G249" i="16"/>
  <c r="G251" i="16"/>
  <c r="E239" i="16"/>
  <c r="G248" i="16"/>
  <c r="E240" i="16" l="1"/>
  <c r="D241" i="16"/>
  <c r="G253" i="16"/>
  <c r="T267" i="16"/>
  <c r="G243" i="16"/>
  <c r="G241" i="16"/>
  <c r="G242" i="16"/>
  <c r="G244" i="16"/>
  <c r="G246" i="16"/>
  <c r="G250" i="16"/>
  <c r="G247" i="16"/>
  <c r="E253" i="16" l="1"/>
  <c r="E241" i="16"/>
  <c r="E242" i="16"/>
  <c r="E243" i="16"/>
  <c r="E244" i="16"/>
  <c r="E245" i="16"/>
  <c r="E246" i="16"/>
  <c r="E250" i="16"/>
  <c r="E251" i="16"/>
  <c r="E249" i="16"/>
  <c r="E247" i="16"/>
  <c r="E248" i="16"/>
  <c r="E252" i="16"/>
  <c r="FB45" i="29" l="1"/>
  <c r="FB80" i="29"/>
  <c r="EZ45" i="29" l="1"/>
  <c r="FA45" i="29"/>
  <c r="EZ80" i="29"/>
  <c r="FA80" i="29"/>
  <c r="FD45" i="29" l="1"/>
  <c r="FB46" i="29"/>
  <c r="J113" i="1" s="1"/>
  <c r="EZ46" i="29"/>
  <c r="FA46" i="29"/>
  <c r="FB83" i="29"/>
  <c r="EZ83" i="29"/>
  <c r="FA83" i="29"/>
  <c r="FA84" i="29" l="1"/>
  <c r="FA85" i="29" s="1"/>
  <c r="FB84" i="29"/>
  <c r="FB85" i="29" s="1"/>
  <c r="FB90" i="29" s="1"/>
  <c r="EZ84" i="29"/>
  <c r="EZ85" i="29" s="1"/>
  <c r="L122" i="78" a="1"/>
  <c r="L122" i="78" s="1"/>
  <c r="L125" i="78" s="1"/>
  <c r="F125" i="78" s="1" a="1"/>
  <c r="F125" i="78" s="1"/>
  <c r="J126" i="1"/>
  <c r="J128" i="1" s="1"/>
  <c r="B113" i="1"/>
  <c r="L88" i="78" l="1" a="1"/>
  <c r="L88" i="78" s="1"/>
  <c r="L93" i="78" s="1"/>
  <c r="F93" i="78" s="1" a="1"/>
  <c r="F93" i="78" s="1"/>
  <c r="L113" i="1"/>
  <c r="B126" i="1"/>
  <c r="B128" i="1" s="1"/>
  <c r="J141" i="1"/>
  <c r="J132" i="1"/>
  <c r="B141" i="1" l="1"/>
  <c r="B132" i="1"/>
  <c r="L133" i="78" a="1"/>
  <c r="L133" i="78" s="1"/>
  <c r="L148" i="78" s="1"/>
  <c r="L126" i="1"/>
  <c r="T113" i="1"/>
  <c r="L128" i="1" l="1"/>
  <c r="F148" i="78" a="1"/>
  <c r="F148" i="78" s="1"/>
  <c r="D2" i="78" s="1"/>
  <c r="V113" i="1"/>
  <c r="T126" i="1"/>
  <c r="T128" i="1" s="1"/>
  <c r="L132" i="1"/>
  <c r="L141" i="1"/>
  <c r="T141" i="1" l="1"/>
  <c r="T132" i="1"/>
  <c r="D45" i="44"/>
  <c r="V126" i="1"/>
  <c r="V128" i="1" l="1"/>
  <c r="H12" i="1"/>
  <c r="J12" i="1" s="1"/>
  <c r="D46" i="59"/>
  <c r="D45" i="42"/>
  <c r="D45" i="66"/>
  <c r="F45" i="44"/>
  <c r="D45" i="60"/>
  <c r="H45" i="44"/>
  <c r="D45" i="46"/>
  <c r="D46" i="45"/>
  <c r="D45" i="48"/>
  <c r="D45" i="47"/>
  <c r="D58" i="44"/>
  <c r="F45" i="60" l="1"/>
  <c r="H45" i="60"/>
  <c r="D59" i="45"/>
  <c r="D58" i="42"/>
  <c r="D58" i="60"/>
  <c r="D58" i="47"/>
  <c r="F58" i="44"/>
  <c r="D58" i="66"/>
  <c r="D58" i="46"/>
  <c r="D59" i="59"/>
  <c r="H58" i="44"/>
  <c r="D36" i="44"/>
  <c r="D58" i="48"/>
  <c r="H45" i="66"/>
  <c r="F45" i="66"/>
  <c r="F45" i="47"/>
  <c r="H45" i="47"/>
  <c r="F45" i="42"/>
  <c r="H45" i="42"/>
  <c r="H45" i="48"/>
  <c r="F45" i="48"/>
  <c r="F46" i="59"/>
  <c r="H46" i="59"/>
  <c r="H46" i="45"/>
  <c r="F46" i="45"/>
  <c r="N12" i="1"/>
  <c r="N16" i="1" s="1"/>
  <c r="H250" i="1" s="1"/>
  <c r="H260" i="1" s="1"/>
  <c r="H264" i="1" s="1"/>
  <c r="N26" i="1" s="1"/>
  <c r="J16" i="1"/>
  <c r="H189" i="1" s="1"/>
  <c r="F45" i="46"/>
  <c r="H45" i="46"/>
  <c r="V141" i="1"/>
  <c r="V132" i="1"/>
  <c r="H212" i="1" s="1"/>
  <c r="F58" i="66" l="1"/>
  <c r="H58" i="66"/>
  <c r="N37" i="76"/>
  <c r="N41" i="76" s="1"/>
  <c r="N51" i="76" s="1"/>
  <c r="N55" i="76" s="1"/>
  <c r="H216" i="1"/>
  <c r="H226" i="1" s="1"/>
  <c r="H230" i="1" s="1"/>
  <c r="L29" i="1" s="1"/>
  <c r="H273" i="1"/>
  <c r="H277" i="1" s="1"/>
  <c r="H287" i="1" s="1"/>
  <c r="H291" i="1" s="1"/>
  <c r="N29" i="1" s="1"/>
  <c r="D17" i="44"/>
  <c r="F58" i="47"/>
  <c r="H58" i="47"/>
  <c r="H58" i="48"/>
  <c r="F58" i="48"/>
  <c r="H58" i="60"/>
  <c r="F58" i="60"/>
  <c r="D37" i="59"/>
  <c r="F36" i="44"/>
  <c r="D36" i="66"/>
  <c r="D36" i="48"/>
  <c r="D36" i="46"/>
  <c r="D36" i="47"/>
  <c r="D36" i="60"/>
  <c r="D37" i="45"/>
  <c r="D37" i="44"/>
  <c r="H36" i="44"/>
  <c r="D36" i="42"/>
  <c r="F58" i="42"/>
  <c r="H58" i="42"/>
  <c r="N14" i="76"/>
  <c r="N24" i="76" s="1"/>
  <c r="N28" i="76" s="1"/>
  <c r="C6" i="75"/>
  <c r="H199" i="1"/>
  <c r="H203" i="1" s="1"/>
  <c r="L26" i="1" s="1"/>
  <c r="F59" i="45"/>
  <c r="H59" i="45"/>
  <c r="F59" i="59"/>
  <c r="H59" i="59"/>
  <c r="F58" i="46"/>
  <c r="H58" i="46"/>
  <c r="H36" i="48" l="1"/>
  <c r="F36" i="48"/>
  <c r="D17" i="60"/>
  <c r="H17" i="44"/>
  <c r="I19" i="44" s="1"/>
  <c r="D19" i="44"/>
  <c r="D17" i="48"/>
  <c r="D17" i="46"/>
  <c r="D17" i="42"/>
  <c r="D18" i="45"/>
  <c r="D17" i="47"/>
  <c r="D18" i="59"/>
  <c r="F17" i="44"/>
  <c r="D17" i="66"/>
  <c r="F36" i="42"/>
  <c r="H36" i="42"/>
  <c r="I36" i="44"/>
  <c r="K36" i="44" s="1"/>
  <c r="I37" i="44"/>
  <c r="D37" i="66"/>
  <c r="D37" i="47"/>
  <c r="D37" i="60"/>
  <c r="D38" i="59"/>
  <c r="D37" i="42"/>
  <c r="D37" i="46"/>
  <c r="D38" i="45"/>
  <c r="F37" i="44"/>
  <c r="D37" i="48"/>
  <c r="H37" i="44"/>
  <c r="H38" i="44"/>
  <c r="H37" i="59"/>
  <c r="F37" i="59"/>
  <c r="F36" i="66"/>
  <c r="H36" i="66"/>
  <c r="H37" i="45"/>
  <c r="F37" i="45"/>
  <c r="F19" i="75"/>
  <c r="F20" i="75" s="1"/>
  <c r="F22" i="75" s="1"/>
  <c r="H22" i="75" s="1"/>
  <c r="J22" i="75" s="1"/>
  <c r="D22" i="75"/>
  <c r="D18" i="75"/>
  <c r="F25" i="75"/>
  <c r="F26" i="75" s="1"/>
  <c r="H26" i="75" s="1"/>
  <c r="J26" i="75" s="1"/>
  <c r="F36" i="60"/>
  <c r="H36" i="60"/>
  <c r="F36" i="47"/>
  <c r="H36" i="47"/>
  <c r="H36" i="46"/>
  <c r="F36" i="46"/>
  <c r="K37" i="44" l="1"/>
  <c r="I36" i="60"/>
  <c r="K36" i="60" s="1"/>
  <c r="I37" i="60"/>
  <c r="I36" i="66"/>
  <c r="K36" i="66" s="1"/>
  <c r="I37" i="66"/>
  <c r="H38" i="45"/>
  <c r="F38" i="45"/>
  <c r="H39" i="45"/>
  <c r="F17" i="42"/>
  <c r="H17" i="42"/>
  <c r="I19" i="42" s="1"/>
  <c r="H37" i="46"/>
  <c r="H38" i="46"/>
  <c r="F37" i="46"/>
  <c r="I36" i="42"/>
  <c r="K36" i="42" s="1"/>
  <c r="I37" i="42"/>
  <c r="F17" i="46"/>
  <c r="H17" i="46"/>
  <c r="I19" i="46" s="1"/>
  <c r="F37" i="42"/>
  <c r="H37" i="42"/>
  <c r="H38" i="42"/>
  <c r="F17" i="48"/>
  <c r="H17" i="48"/>
  <c r="I19" i="48" s="1"/>
  <c r="I37" i="59"/>
  <c r="K37" i="59" s="1"/>
  <c r="I38" i="59"/>
  <c r="H38" i="59"/>
  <c r="F38" i="59"/>
  <c r="H39" i="59"/>
  <c r="H17" i="66"/>
  <c r="I19" i="66" s="1"/>
  <c r="F17" i="66"/>
  <c r="D19" i="66"/>
  <c r="F19" i="66" s="1"/>
  <c r="H19" i="66" s="1"/>
  <c r="F19" i="44"/>
  <c r="H19" i="44" s="1"/>
  <c r="D20" i="45"/>
  <c r="F20" i="45" s="1"/>
  <c r="H20" i="45" s="1"/>
  <c r="D19" i="46"/>
  <c r="F19" i="46" s="1"/>
  <c r="H19" i="46" s="1"/>
  <c r="D19" i="60"/>
  <c r="F19" i="60" s="1"/>
  <c r="H19" i="60" s="1"/>
  <c r="D19" i="48"/>
  <c r="F19" i="48" s="1"/>
  <c r="H19" i="48" s="1"/>
  <c r="D22" i="44"/>
  <c r="D25" i="44" s="1"/>
  <c r="D20" i="59"/>
  <c r="F20" i="59" s="1"/>
  <c r="H20" i="59" s="1"/>
  <c r="D19" i="47"/>
  <c r="F19" i="47" s="1"/>
  <c r="H19" i="47" s="1"/>
  <c r="D19" i="42"/>
  <c r="F19" i="42" s="1"/>
  <c r="H19" i="42" s="1"/>
  <c r="F37" i="60"/>
  <c r="H38" i="60"/>
  <c r="H37" i="60"/>
  <c r="I37" i="46"/>
  <c r="I36" i="46"/>
  <c r="K36" i="46" s="1"/>
  <c r="F37" i="47"/>
  <c r="H38" i="47"/>
  <c r="H37" i="47"/>
  <c r="F18" i="59"/>
  <c r="H18" i="59"/>
  <c r="I20" i="59" s="1"/>
  <c r="F17" i="60"/>
  <c r="H17" i="60"/>
  <c r="I19" i="60" s="1"/>
  <c r="I37" i="47"/>
  <c r="I36" i="47"/>
  <c r="K36" i="47" s="1"/>
  <c r="H37" i="48"/>
  <c r="F37" i="48"/>
  <c r="H38" i="48"/>
  <c r="F37" i="66"/>
  <c r="H38" i="66"/>
  <c r="H37" i="66"/>
  <c r="F17" i="47"/>
  <c r="H17" i="47"/>
  <c r="I19" i="47" s="1"/>
  <c r="I37" i="45"/>
  <c r="K37" i="45" s="1"/>
  <c r="I38" i="45"/>
  <c r="H18" i="45"/>
  <c r="I20" i="45" s="1"/>
  <c r="F18" i="45"/>
  <c r="I37" i="48"/>
  <c r="I36" i="48"/>
  <c r="K36" i="48" s="1"/>
  <c r="K37" i="60" l="1"/>
  <c r="K37" i="66"/>
  <c r="K37" i="48"/>
  <c r="K37" i="42"/>
  <c r="O18" i="45"/>
  <c r="K38" i="59"/>
  <c r="O17" i="42"/>
  <c r="K19" i="46"/>
  <c r="I22" i="46"/>
  <c r="K20" i="45"/>
  <c r="I23" i="45"/>
  <c r="O17" i="46"/>
  <c r="K37" i="47"/>
  <c r="I22" i="42"/>
  <c r="K19" i="42"/>
  <c r="K19" i="44"/>
  <c r="I22" i="44"/>
  <c r="O18" i="59"/>
  <c r="K19" i="66"/>
  <c r="I22" i="66"/>
  <c r="K38" i="45"/>
  <c r="K20" i="59"/>
  <c r="I23" i="59"/>
  <c r="O17" i="66"/>
  <c r="K19" i="47"/>
  <c r="I22" i="47"/>
  <c r="O17" i="47"/>
  <c r="D22" i="48"/>
  <c r="F22" i="48" s="1"/>
  <c r="H22" i="48" s="1"/>
  <c r="D22" i="60"/>
  <c r="F22" i="60" s="1"/>
  <c r="H22" i="60" s="1"/>
  <c r="D23" i="59"/>
  <c r="F23" i="59" s="1"/>
  <c r="H23" i="59" s="1"/>
  <c r="D22" i="42"/>
  <c r="F22" i="42" s="1"/>
  <c r="H22" i="42" s="1"/>
  <c r="D22" i="47"/>
  <c r="F22" i="47" s="1"/>
  <c r="H22" i="47" s="1"/>
  <c r="D23" i="45"/>
  <c r="F23" i="45" s="1"/>
  <c r="H23" i="45" s="1"/>
  <c r="F22" i="44"/>
  <c r="H22" i="44" s="1"/>
  <c r="D22" i="46"/>
  <c r="F22" i="46" s="1"/>
  <c r="H22" i="46" s="1"/>
  <c r="D22" i="66"/>
  <c r="F22" i="66" s="1"/>
  <c r="H22" i="66" s="1"/>
  <c r="I22" i="48"/>
  <c r="K19" i="48"/>
  <c r="K37" i="46"/>
  <c r="K19" i="60"/>
  <c r="I22" i="60"/>
  <c r="O22" i="45" l="1"/>
  <c r="I26" i="59"/>
  <c r="K23" i="59"/>
  <c r="I25" i="60"/>
  <c r="K22" i="60"/>
  <c r="K22" i="46"/>
  <c r="I25" i="46"/>
  <c r="F25" i="44"/>
  <c r="H25" i="44"/>
  <c r="D76" i="75"/>
  <c r="D72" i="75" s="1"/>
  <c r="D70" i="75" s="1"/>
  <c r="D26" i="45"/>
  <c r="D25" i="60"/>
  <c r="D25" i="46"/>
  <c r="D25" i="47"/>
  <c r="D25" i="48"/>
  <c r="D25" i="66"/>
  <c r="D26" i="59"/>
  <c r="D25" i="42"/>
  <c r="I25" i="44"/>
  <c r="K22" i="44"/>
  <c r="K22" i="48"/>
  <c r="I25" i="48"/>
  <c r="I26" i="45"/>
  <c r="K23" i="45"/>
  <c r="K22" i="47"/>
  <c r="I25" i="47"/>
  <c r="I25" i="66"/>
  <c r="K22" i="66"/>
  <c r="I25" i="42"/>
  <c r="K22" i="42"/>
  <c r="K25" i="44" l="1"/>
  <c r="F26" i="59"/>
  <c r="H26" i="59"/>
  <c r="K26" i="59" s="1"/>
  <c r="F25" i="66"/>
  <c r="H25" i="66"/>
  <c r="K25" i="66" s="1"/>
  <c r="F25" i="48"/>
  <c r="H25" i="48"/>
  <c r="K25" i="48" s="1"/>
  <c r="H25" i="47"/>
  <c r="K25" i="47" s="1"/>
  <c r="F25" i="47"/>
  <c r="H25" i="46"/>
  <c r="K25" i="46" s="1"/>
  <c r="F25" i="46"/>
  <c r="H25" i="60"/>
  <c r="K25" i="60" s="1"/>
  <c r="F25" i="60"/>
  <c r="H26" i="45"/>
  <c r="K26" i="45" s="1"/>
  <c r="F26" i="45"/>
  <c r="H25" i="42"/>
  <c r="K25" i="42" s="1"/>
  <c r="F25" i="42"/>
  <c r="EI46" i="8" l="1"/>
  <c r="ER46" i="8"/>
  <c r="EO46" i="8"/>
  <c r="EP46" i="8"/>
  <c r="EQ46" i="8"/>
  <c r="EH46" i="8"/>
  <c r="ES46" i="8"/>
  <c r="EM46" i="8"/>
  <c r="EN46" i="8"/>
  <c r="EJ46" i="8" l="1"/>
  <c r="EK46" i="8"/>
  <c r="EL46" i="8"/>
  <c r="ET46" i="8" l="1"/>
  <c r="ET57" i="15" l="1"/>
  <c r="EU57" i="15" l="1"/>
  <c r="EV57" i="15" l="1"/>
  <c r="EW57" i="15" l="1"/>
  <c r="EX57" i="15" l="1"/>
  <c r="EY57" i="15" l="1"/>
  <c r="FF57" i="15" s="1"/>
  <c r="FC57" i="15" l="1"/>
  <c r="FD57" i="15" l="1"/>
  <c r="FE57" i="15" l="1"/>
</calcChain>
</file>

<file path=xl/comments1.xml><?xml version="1.0" encoding="utf-8"?>
<comments xmlns="http://schemas.openxmlformats.org/spreadsheetml/2006/main">
  <authors>
    <author>Valdes, Amnerys</author>
    <author>Ascroft, Sean M.</author>
    <author>Coe, Connie</author>
    <author>Amnerys Valdes</author>
  </authors>
  <commentList>
    <comment ref="O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P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Q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R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S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T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U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V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W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X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Y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Z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AA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AB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AC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AD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AE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AF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EZ14" authorId="1" shapeId="0">
      <text>
        <r>
          <rPr>
            <b/>
            <sz val="9"/>
            <color indexed="81"/>
            <rFont val="Tahoma"/>
            <family val="2"/>
          </rPr>
          <t>Ascroft, Sean M.:</t>
        </r>
        <r>
          <rPr>
            <sz val="9"/>
            <color indexed="81"/>
            <rFont val="Tahoma"/>
            <family val="2"/>
          </rPr>
          <t xml:space="preserve">
Had to adjust to have Consevation net to zero. Clause team will fix in system in April the $4,528 that isn't tying to FERC.</t>
        </r>
      </text>
    </comment>
    <comment ref="X22" authorId="2" shapeId="0">
      <text>
        <r>
          <rPr>
            <b/>
            <sz val="9"/>
            <color indexed="81"/>
            <rFont val="Tahoma"/>
            <family val="2"/>
          </rPr>
          <t>Coe, Connie:</t>
        </r>
        <r>
          <rPr>
            <sz val="9"/>
            <color indexed="81"/>
            <rFont val="Tahoma"/>
            <family val="2"/>
          </rPr>
          <t xml:space="preserve">
from trial balance 930.05</t>
        </r>
      </text>
    </comment>
    <comment ref="Y22" authorId="2" shapeId="0">
      <text>
        <r>
          <rPr>
            <b/>
            <sz val="9"/>
            <color indexed="81"/>
            <rFont val="Tahoma"/>
            <family val="2"/>
          </rPr>
          <t>Coe, Connie:</t>
        </r>
        <r>
          <rPr>
            <sz val="9"/>
            <color indexed="81"/>
            <rFont val="Tahoma"/>
            <family val="2"/>
          </rPr>
          <t xml:space="preserve">
from trial balance 930.05</t>
        </r>
      </text>
    </comment>
    <comment ref="N39" authorId="3" shapeId="0">
      <text>
        <r>
          <rPr>
            <b/>
            <sz val="10"/>
            <color indexed="81"/>
            <rFont val="Tahoma"/>
            <family val="2"/>
          </rPr>
          <t>Amnerys Valdes:</t>
        </r>
        <r>
          <rPr>
            <sz val="10"/>
            <color indexed="81"/>
            <rFont val="Tahoma"/>
            <family val="2"/>
          </rPr>
          <t xml:space="preserve">
reverse sign from trial balance</t>
        </r>
      </text>
    </comment>
    <comment ref="O39" authorId="3" shapeId="0">
      <text>
        <r>
          <rPr>
            <b/>
            <sz val="10"/>
            <color indexed="81"/>
            <rFont val="Tahoma"/>
            <family val="2"/>
          </rPr>
          <t>Amnerys Valdes:</t>
        </r>
        <r>
          <rPr>
            <sz val="10"/>
            <color indexed="81"/>
            <rFont val="Tahoma"/>
            <family val="2"/>
          </rPr>
          <t xml:space="preserve">
reverse sign from trial balance</t>
        </r>
      </text>
    </comment>
    <comment ref="Q39" authorId="3" shapeId="0">
      <text>
        <r>
          <rPr>
            <b/>
            <sz val="10"/>
            <color indexed="81"/>
            <rFont val="Tahoma"/>
            <family val="2"/>
          </rPr>
          <t>Amnerys Valdes:</t>
        </r>
        <r>
          <rPr>
            <sz val="10"/>
            <color indexed="81"/>
            <rFont val="Tahoma"/>
            <family val="2"/>
          </rPr>
          <t xml:space="preserve">
reverse sign from trial balance</t>
        </r>
      </text>
    </comment>
    <comment ref="R39" authorId="3" shapeId="0">
      <text>
        <r>
          <rPr>
            <b/>
            <sz val="10"/>
            <color indexed="81"/>
            <rFont val="Tahoma"/>
            <family val="2"/>
          </rPr>
          <t>Amnerys Valdes:</t>
        </r>
        <r>
          <rPr>
            <sz val="10"/>
            <color indexed="81"/>
            <rFont val="Tahoma"/>
            <family val="2"/>
          </rPr>
          <t xml:space="preserve">
reverse sign from trial balance</t>
        </r>
      </text>
    </comment>
    <comment ref="S39" authorId="3" shapeId="0">
      <text>
        <r>
          <rPr>
            <b/>
            <sz val="10"/>
            <color indexed="81"/>
            <rFont val="Tahoma"/>
            <family val="2"/>
          </rPr>
          <t>Amnerys Valdes:</t>
        </r>
        <r>
          <rPr>
            <sz val="10"/>
            <color indexed="81"/>
            <rFont val="Tahoma"/>
            <family val="2"/>
          </rPr>
          <t xml:space="preserve">
reverse sign from trial balance</t>
        </r>
      </text>
    </comment>
    <comment ref="T39" authorId="3" shapeId="0">
      <text>
        <r>
          <rPr>
            <b/>
            <sz val="10"/>
            <color indexed="81"/>
            <rFont val="Tahoma"/>
            <family val="2"/>
          </rPr>
          <t>Amnerys Valdes:</t>
        </r>
        <r>
          <rPr>
            <sz val="10"/>
            <color indexed="81"/>
            <rFont val="Tahoma"/>
            <family val="2"/>
          </rPr>
          <t xml:space="preserve">
reverse sign from trial balance</t>
        </r>
      </text>
    </comment>
    <comment ref="AE39" authorId="2" shapeId="0">
      <text>
        <r>
          <rPr>
            <b/>
            <sz val="9"/>
            <color indexed="81"/>
            <rFont val="Tahoma"/>
            <family val="2"/>
          </rPr>
          <t>Coe, Connie:</t>
        </r>
        <r>
          <rPr>
            <sz val="9"/>
            <color indexed="81"/>
            <rFont val="Tahoma"/>
            <family val="2"/>
          </rPr>
          <t xml:space="preserve">
INCLUDE NEW ACCT 219.39</t>
        </r>
      </text>
    </comment>
  </commentList>
</comments>
</file>

<file path=xl/comments10.xml><?xml version="1.0" encoding="utf-8"?>
<comments xmlns="http://schemas.openxmlformats.org/spreadsheetml/2006/main">
  <authors>
    <author>Anthony Trask x34282</author>
    <author>Nancy Grove X31766</author>
  </authors>
  <commentList>
    <comment ref="H10" authorId="0" shapeId="0">
      <text>
        <r>
          <rPr>
            <b/>
            <sz val="12"/>
            <color indexed="81"/>
            <rFont val="Tahoma"/>
            <family val="2"/>
          </rPr>
          <t xml:space="preserve">Anthony Trask x34282:
</t>
        </r>
        <r>
          <rPr>
            <sz val="12"/>
            <color indexed="81"/>
            <rFont val="Tahoma"/>
            <family val="2"/>
          </rPr>
          <t>Plug to eliminate variance</t>
        </r>
      </text>
    </comment>
    <comment ref="H16"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8"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20"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eliminate variance</t>
        </r>
      </text>
    </comment>
    <comment ref="H24" authorId="0" shapeId="0">
      <text>
        <r>
          <rPr>
            <b/>
            <sz val="12"/>
            <color indexed="81"/>
            <rFont val="Tahoma"/>
            <family val="2"/>
          </rPr>
          <t xml:space="preserve">Anthony Trask x34282:
</t>
        </r>
        <r>
          <rPr>
            <sz val="12"/>
            <color indexed="81"/>
            <rFont val="Tahoma"/>
            <family val="2"/>
          </rPr>
          <t>Plug to come back to the ROE difference.</t>
        </r>
      </text>
    </comment>
    <comment ref="H26"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8"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8" authorId="1" shapeId="0">
      <text>
        <r>
          <rPr>
            <sz val="8"/>
            <color indexed="81"/>
            <rFont val="Tahoma"/>
            <family val="2"/>
          </rPr>
          <t xml:space="preserve">=difference between reg base system and reg base retail of NOI (column 11)
</t>
        </r>
      </text>
    </comment>
    <comment ref="A58"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11.xml><?xml version="1.0" encoding="utf-8"?>
<comments xmlns="http://schemas.openxmlformats.org/spreadsheetml/2006/main">
  <authors>
    <author>Anthony Trask x34282</author>
    <author>Nancy Grove X31766</author>
  </authors>
  <commentList>
    <comment ref="H9" authorId="0" shapeId="0">
      <text>
        <r>
          <rPr>
            <b/>
            <sz val="12"/>
            <color indexed="81"/>
            <rFont val="Tahoma"/>
            <family val="2"/>
          </rPr>
          <t xml:space="preserve">Anthony Trask x34282:
</t>
        </r>
        <r>
          <rPr>
            <sz val="12"/>
            <color indexed="81"/>
            <rFont val="Tahoma"/>
            <family val="2"/>
          </rPr>
          <t>Plug to eliminate variance</t>
        </r>
      </text>
    </comment>
    <comment ref="H1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9" authorId="0" shapeId="0">
      <text>
        <r>
          <rPr>
            <b/>
            <sz val="12"/>
            <color indexed="81"/>
            <rFont val="Tahoma"/>
            <family val="2"/>
          </rPr>
          <t xml:space="preserve">Anthony Trask x34282:
</t>
        </r>
        <r>
          <rPr>
            <sz val="12"/>
            <color indexed="81"/>
            <rFont val="Tahoma"/>
            <family val="2"/>
          </rPr>
          <t>Plug to eliminate variance</t>
        </r>
      </text>
    </comment>
    <comment ref="H22"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come back to the ROE difference.</t>
        </r>
      </text>
    </comment>
    <comment ref="H2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7" authorId="1" shapeId="0">
      <text>
        <r>
          <rPr>
            <sz val="8"/>
            <color indexed="81"/>
            <rFont val="Tahoma"/>
            <family val="2"/>
          </rPr>
          <t xml:space="preserve">=difference between reg base system and reg base retail of NOI (column 11)
</t>
        </r>
      </text>
    </comment>
    <comment ref="A57"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12.xml><?xml version="1.0" encoding="utf-8"?>
<comments xmlns="http://schemas.openxmlformats.org/spreadsheetml/2006/main">
  <authors>
    <author>Anthony Trask x34282</author>
    <author>Nancy Grove X31766</author>
  </authors>
  <commentList>
    <comment ref="H9" authorId="0" shapeId="0">
      <text>
        <r>
          <rPr>
            <b/>
            <sz val="12"/>
            <color indexed="81"/>
            <rFont val="Tahoma"/>
            <family val="2"/>
          </rPr>
          <t xml:space="preserve">Anthony Trask x34282:
</t>
        </r>
        <r>
          <rPr>
            <sz val="12"/>
            <color indexed="81"/>
            <rFont val="Tahoma"/>
            <family val="2"/>
          </rPr>
          <t>Plug to eliminate variance</t>
        </r>
      </text>
    </comment>
    <comment ref="H1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9" authorId="0" shapeId="0">
      <text>
        <r>
          <rPr>
            <b/>
            <sz val="12"/>
            <color indexed="81"/>
            <rFont val="Tahoma"/>
            <family val="2"/>
          </rPr>
          <t xml:space="preserve">Anthony Trask x34282:
</t>
        </r>
        <r>
          <rPr>
            <sz val="12"/>
            <color indexed="81"/>
            <rFont val="Tahoma"/>
            <family val="2"/>
          </rPr>
          <t>Plug to eliminate variance</t>
        </r>
      </text>
    </comment>
    <comment ref="H22"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come back to the ROE difference.</t>
        </r>
      </text>
    </comment>
    <comment ref="H2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7" authorId="1" shapeId="0">
      <text>
        <r>
          <rPr>
            <sz val="8"/>
            <color indexed="81"/>
            <rFont val="Tahoma"/>
            <family val="2"/>
          </rPr>
          <t xml:space="preserve">=difference between reg base system and reg base retail of NOI (column 11)
</t>
        </r>
      </text>
    </comment>
    <comment ref="A57"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13.xml><?xml version="1.0" encoding="utf-8"?>
<comments xmlns="http://schemas.openxmlformats.org/spreadsheetml/2006/main">
  <authors>
    <author>Anthony Trask x34282</author>
    <author>Nancy Grove X31766</author>
  </authors>
  <commentList>
    <comment ref="H9" authorId="0" shapeId="0">
      <text>
        <r>
          <rPr>
            <b/>
            <sz val="12"/>
            <color indexed="81"/>
            <rFont val="Tahoma"/>
            <family val="2"/>
          </rPr>
          <t xml:space="preserve">Anthony Trask x34282:
</t>
        </r>
        <r>
          <rPr>
            <sz val="12"/>
            <color indexed="81"/>
            <rFont val="Tahoma"/>
            <family val="2"/>
          </rPr>
          <t>Plug to eliminate variance</t>
        </r>
      </text>
    </comment>
    <comment ref="H1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9" authorId="0" shapeId="0">
      <text>
        <r>
          <rPr>
            <b/>
            <sz val="12"/>
            <color indexed="81"/>
            <rFont val="Tahoma"/>
            <family val="2"/>
          </rPr>
          <t xml:space="preserve">Anthony Trask x34282:
</t>
        </r>
        <r>
          <rPr>
            <sz val="12"/>
            <color indexed="81"/>
            <rFont val="Tahoma"/>
            <family val="2"/>
          </rPr>
          <t>Plug to eliminate variance</t>
        </r>
      </text>
    </comment>
    <comment ref="H22"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come back to the ROE difference.</t>
        </r>
      </text>
    </comment>
    <comment ref="H2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7" authorId="1" shapeId="0">
      <text>
        <r>
          <rPr>
            <sz val="8"/>
            <color indexed="81"/>
            <rFont val="Tahoma"/>
            <family val="2"/>
          </rPr>
          <t xml:space="preserve">=difference between reg base system and reg base retail of NOI (column 11)
</t>
        </r>
      </text>
    </comment>
    <comment ref="A57"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14.xml><?xml version="1.0" encoding="utf-8"?>
<comments xmlns="http://schemas.openxmlformats.org/spreadsheetml/2006/main">
  <authors>
    <author>A satisfied Microsoft Office User</author>
    <author>Paul Higgins</author>
    <author>Ascroft, Sean M.</author>
  </authors>
  <commentList>
    <comment ref="D72" authorId="0" shapeId="0">
      <text>
        <r>
          <rPr>
            <sz val="8"/>
            <color indexed="81"/>
            <rFont val="Tahoma"/>
            <family val="2"/>
          </rPr>
          <t xml:space="preserve">Change reference each month to one row lower; 
</t>
        </r>
      </text>
    </comment>
    <comment ref="F72" authorId="0" shapeId="0">
      <text>
        <r>
          <rPr>
            <sz val="8"/>
            <color indexed="81"/>
            <rFont val="Tahoma"/>
            <family val="2"/>
          </rPr>
          <t xml:space="preserve">Change reference each month to one row lower; 
</t>
        </r>
      </text>
    </comment>
    <comment ref="F114" authorId="1" shapeId="0">
      <text>
        <r>
          <rPr>
            <b/>
            <sz val="8"/>
            <color indexed="81"/>
            <rFont val="Tahoma"/>
            <family val="2"/>
          </rPr>
          <t>Amnerys Valdes:</t>
        </r>
        <r>
          <rPr>
            <sz val="8"/>
            <color indexed="81"/>
            <rFont val="Tahoma"/>
            <family val="2"/>
          </rPr>
          <t xml:space="preserve">
Per Rate Order (2002), item no. S; Acc 930.05 x 5% disallowance per FAC 25-7.042
</t>
        </r>
        <r>
          <rPr>
            <b/>
            <sz val="8"/>
            <color indexed="10"/>
            <rFont val="Tahoma"/>
            <family val="2"/>
          </rPr>
          <t>Amnerys Valdes:</t>
        </r>
        <r>
          <rPr>
            <sz val="8"/>
            <color indexed="10"/>
            <rFont val="Tahoma"/>
            <family val="2"/>
          </rPr>
          <t xml:space="preserve">
UPDATED FOR DEC 2013</t>
        </r>
      </text>
    </comment>
    <comment ref="F115" authorId="1" shapeId="0">
      <text>
        <r>
          <rPr>
            <b/>
            <sz val="8"/>
            <color indexed="81"/>
            <rFont val="Tahoma"/>
            <family val="2"/>
          </rPr>
          <t>Amnerys Valdes:</t>
        </r>
        <r>
          <rPr>
            <sz val="8"/>
            <color indexed="81"/>
            <rFont val="Tahoma"/>
            <family val="2"/>
          </rPr>
          <t xml:space="preserve">
Based on Rate Case Order (item no. V.R); 
Amount comes from Maria Quiñones  Acc 926.01 Analysis report
</t>
        </r>
        <r>
          <rPr>
            <b/>
            <sz val="8"/>
            <color indexed="10"/>
            <rFont val="Tahoma"/>
            <family val="2"/>
          </rPr>
          <t xml:space="preserve">Connie Coe:
</t>
        </r>
        <r>
          <rPr>
            <sz val="8"/>
            <color indexed="10"/>
            <rFont val="Tahoma"/>
            <family val="2"/>
          </rPr>
          <t xml:space="preserve">Updated for DEC 2013
</t>
        </r>
      </text>
    </comment>
    <comment ref="F117" authorId="1" shapeId="0">
      <text>
        <r>
          <rPr>
            <b/>
            <sz val="8"/>
            <color indexed="81"/>
            <rFont val="Tahoma"/>
            <family val="2"/>
          </rPr>
          <t>Amnerys Valdes:</t>
        </r>
        <r>
          <rPr>
            <sz val="8"/>
            <color indexed="81"/>
            <rFont val="Tahoma"/>
            <family val="2"/>
          </rPr>
          <t xml:space="preserve">
Per Rate Order, item no. V.K; updated for 2011 with 2011 Actuals  (acct 932 x 13.28%).  Sue used 13.28% in 2009 &amp; 2010. 
</t>
        </r>
        <r>
          <rPr>
            <b/>
            <sz val="8"/>
            <color indexed="10"/>
            <rFont val="Tahoma"/>
            <family val="2"/>
          </rPr>
          <t>Updated DEC 2013</t>
        </r>
      </text>
    </comment>
    <comment ref="F118" authorId="1" shapeId="0">
      <text>
        <r>
          <rPr>
            <b/>
            <sz val="8"/>
            <color indexed="81"/>
            <rFont val="Tahoma"/>
            <family val="2"/>
          </rPr>
          <t>Sue Richards:</t>
        </r>
        <r>
          <rPr>
            <sz val="8"/>
            <color indexed="81"/>
            <rFont val="Tahoma"/>
            <family val="2"/>
          </rPr>
          <t xml:space="preserve">
Per Rate Order, item no. V.K; updated for 2010 with 2010 actuals (acct 886) updated 01/05/11
Use 3.1% of 886 per last rate case</t>
        </r>
      </text>
    </comment>
    <comment ref="H119" authorId="0" shapeId="0">
      <text>
        <r>
          <rPr>
            <sz val="8"/>
            <color indexed="81"/>
            <rFont val="Tahoma"/>
            <family val="2"/>
          </rPr>
          <t>This is related to the WFNG non-regulated asset adjustment and needs to stay in. Amount Stays</t>
        </r>
      </text>
    </comment>
    <comment ref="B121" authorId="2" shapeId="0">
      <text>
        <r>
          <rPr>
            <b/>
            <sz val="9"/>
            <color indexed="81"/>
            <rFont val="Tahoma"/>
            <family val="2"/>
          </rPr>
          <t>Ascroft, Sean M.:</t>
        </r>
        <r>
          <rPr>
            <sz val="9"/>
            <color indexed="81"/>
            <rFont val="Tahoma"/>
            <family val="2"/>
          </rPr>
          <t xml:space="preserve">
Lease payment typically received annually in May</t>
        </r>
      </text>
    </comment>
  </commentList>
</comments>
</file>

<file path=xl/comments15.xml><?xml version="1.0" encoding="utf-8"?>
<comments xmlns="http://schemas.openxmlformats.org/spreadsheetml/2006/main">
  <authors>
    <author>Valdes, Amnerys</author>
    <author>Sue Richards</author>
  </authors>
  <commentList>
    <comment ref="K32" authorId="0" shapeId="0">
      <text>
        <r>
          <rPr>
            <b/>
            <sz val="9"/>
            <color indexed="81"/>
            <rFont val="Tahoma"/>
            <family val="2"/>
          </rPr>
          <t>Valdes, Amnerys:</t>
        </r>
        <r>
          <rPr>
            <sz val="9"/>
            <color indexed="81"/>
            <rFont val="Tahoma"/>
            <family val="2"/>
          </rPr>
          <t xml:space="preserve">
No need to make reclass going forward per Jeff.
01/20/15</t>
        </r>
      </text>
    </comment>
    <comment ref="A40" authorId="1" shapeId="0">
      <text>
        <r>
          <rPr>
            <b/>
            <sz val="8"/>
            <color indexed="81"/>
            <rFont val="Tahoma"/>
            <family val="2"/>
          </rPr>
          <t>Sue Richards:</t>
        </r>
        <r>
          <rPr>
            <sz val="8"/>
            <color indexed="81"/>
            <rFont val="Tahoma"/>
            <family val="2"/>
          </rPr>
          <t xml:space="preserve">
OCI related to Int Rate Swaps</t>
        </r>
      </text>
    </comment>
  </commentList>
</comments>
</file>

<file path=xl/comments16.xml><?xml version="1.0" encoding="utf-8"?>
<comments xmlns="http://schemas.openxmlformats.org/spreadsheetml/2006/main">
  <authors>
    <author>Anthony Trask x34282</author>
    <author>Nancy Grove X31766</author>
  </authors>
  <commentList>
    <comment ref="H9" authorId="0" shapeId="0">
      <text>
        <r>
          <rPr>
            <b/>
            <sz val="12"/>
            <color indexed="81"/>
            <rFont val="Tahoma"/>
            <family val="2"/>
          </rPr>
          <t xml:space="preserve">Anthony Trask x34282:
</t>
        </r>
        <r>
          <rPr>
            <sz val="12"/>
            <color indexed="81"/>
            <rFont val="Tahoma"/>
            <family val="2"/>
          </rPr>
          <t>Plug to eliminate variance</t>
        </r>
      </text>
    </comment>
    <comment ref="H1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9" authorId="0" shapeId="0">
      <text>
        <r>
          <rPr>
            <b/>
            <sz val="12"/>
            <color indexed="81"/>
            <rFont val="Tahoma"/>
            <family val="2"/>
          </rPr>
          <t xml:space="preserve">Anthony Trask x34282:
</t>
        </r>
        <r>
          <rPr>
            <sz val="12"/>
            <color indexed="81"/>
            <rFont val="Tahoma"/>
            <family val="2"/>
          </rPr>
          <t>Plug to eliminate variance</t>
        </r>
      </text>
    </comment>
    <comment ref="H22"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come back to the ROE difference.</t>
        </r>
      </text>
    </comment>
    <comment ref="H2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7" authorId="1" shapeId="0">
      <text>
        <r>
          <rPr>
            <sz val="8"/>
            <color indexed="81"/>
            <rFont val="Tahoma"/>
            <family val="2"/>
          </rPr>
          <t xml:space="preserve">=difference between reg base system and reg base retail of NOI (column 11)
</t>
        </r>
      </text>
    </comment>
    <comment ref="A57"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17.xml><?xml version="1.0" encoding="utf-8"?>
<comments xmlns="http://schemas.openxmlformats.org/spreadsheetml/2006/main">
  <authors>
    <author>Anthony Trask x34282</author>
    <author>Nancy Grove X31766</author>
  </authors>
  <commentList>
    <comment ref="H10" authorId="0" shapeId="0">
      <text>
        <r>
          <rPr>
            <b/>
            <sz val="12"/>
            <color indexed="81"/>
            <rFont val="Tahoma"/>
            <family val="2"/>
          </rPr>
          <t xml:space="preserve">Anthony Trask x34282:
</t>
        </r>
        <r>
          <rPr>
            <sz val="12"/>
            <color indexed="81"/>
            <rFont val="Tahoma"/>
            <family val="2"/>
          </rPr>
          <t>Plug to eliminate variance</t>
        </r>
      </text>
    </comment>
    <comment ref="H16"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8"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20"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eliminate variance</t>
        </r>
      </text>
    </comment>
    <comment ref="H24" authorId="0" shapeId="0">
      <text>
        <r>
          <rPr>
            <b/>
            <sz val="12"/>
            <color indexed="81"/>
            <rFont val="Tahoma"/>
            <family val="2"/>
          </rPr>
          <t xml:space="preserve">Anthony Trask x34282:
</t>
        </r>
        <r>
          <rPr>
            <sz val="12"/>
            <color indexed="81"/>
            <rFont val="Tahoma"/>
            <family val="2"/>
          </rPr>
          <t>Plug to come back to the ROE difference.</t>
        </r>
      </text>
    </comment>
    <comment ref="H26"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8"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8" authorId="1" shapeId="0">
      <text>
        <r>
          <rPr>
            <sz val="8"/>
            <color indexed="81"/>
            <rFont val="Tahoma"/>
            <family val="2"/>
          </rPr>
          <t xml:space="preserve">=difference between reg base system and reg base retail of NOI (column 11)
</t>
        </r>
      </text>
    </comment>
    <comment ref="A58"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18.xml><?xml version="1.0" encoding="utf-8"?>
<comments xmlns="http://schemas.openxmlformats.org/spreadsheetml/2006/main">
  <authors>
    <author>Anthony Trask x34282</author>
    <author>Nancy Grove X31766</author>
  </authors>
  <commentList>
    <comment ref="H9" authorId="0" shapeId="0">
      <text>
        <r>
          <rPr>
            <b/>
            <sz val="12"/>
            <color indexed="81"/>
            <rFont val="Tahoma"/>
            <family val="2"/>
          </rPr>
          <t xml:space="preserve">Anthony Trask x34282:
</t>
        </r>
        <r>
          <rPr>
            <sz val="12"/>
            <color indexed="81"/>
            <rFont val="Tahoma"/>
            <family val="2"/>
          </rPr>
          <t>Plug to eliminate variance</t>
        </r>
      </text>
    </comment>
    <comment ref="H1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9" authorId="0" shapeId="0">
      <text>
        <r>
          <rPr>
            <b/>
            <sz val="12"/>
            <color indexed="81"/>
            <rFont val="Tahoma"/>
            <family val="2"/>
          </rPr>
          <t xml:space="preserve">Anthony Trask x34282:
</t>
        </r>
        <r>
          <rPr>
            <sz val="12"/>
            <color indexed="81"/>
            <rFont val="Tahoma"/>
            <family val="2"/>
          </rPr>
          <t>Plug to eliminate variance</t>
        </r>
      </text>
    </comment>
    <comment ref="H22"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come back to the ROE difference.</t>
        </r>
      </text>
    </comment>
    <comment ref="H2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7" authorId="1" shapeId="0">
      <text>
        <r>
          <rPr>
            <sz val="8"/>
            <color indexed="81"/>
            <rFont val="Tahoma"/>
            <family val="2"/>
          </rPr>
          <t xml:space="preserve">=difference between reg base system and reg base retail of NOI (column 11)
</t>
        </r>
      </text>
    </comment>
    <comment ref="A57"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19.xml><?xml version="1.0" encoding="utf-8"?>
<comments xmlns="http://schemas.openxmlformats.org/spreadsheetml/2006/main">
  <authors>
    <author>Anthony Trask x34282</author>
    <author>Nancy Grove X31766</author>
  </authors>
  <commentList>
    <comment ref="H9" authorId="0" shapeId="0">
      <text>
        <r>
          <rPr>
            <b/>
            <sz val="12"/>
            <color indexed="81"/>
            <rFont val="Tahoma"/>
            <family val="2"/>
          </rPr>
          <t xml:space="preserve">Anthony Trask x34282:
</t>
        </r>
        <r>
          <rPr>
            <sz val="12"/>
            <color indexed="81"/>
            <rFont val="Tahoma"/>
            <family val="2"/>
          </rPr>
          <t>Plug to eliminate variance</t>
        </r>
      </text>
    </comment>
    <comment ref="H1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9" authorId="0" shapeId="0">
      <text>
        <r>
          <rPr>
            <b/>
            <sz val="12"/>
            <color indexed="81"/>
            <rFont val="Tahoma"/>
            <family val="2"/>
          </rPr>
          <t xml:space="preserve">Anthony Trask x34282:
</t>
        </r>
        <r>
          <rPr>
            <sz val="12"/>
            <color indexed="81"/>
            <rFont val="Tahoma"/>
            <family val="2"/>
          </rPr>
          <t>Plug to eliminate variance</t>
        </r>
      </text>
    </comment>
    <comment ref="H22"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come back to the ROE difference.</t>
        </r>
      </text>
    </comment>
    <comment ref="H2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7" authorId="1" shapeId="0">
      <text>
        <r>
          <rPr>
            <sz val="8"/>
            <color indexed="81"/>
            <rFont val="Tahoma"/>
            <family val="2"/>
          </rPr>
          <t xml:space="preserve">=difference between reg base system and reg base retail of NOI (column 11)
</t>
        </r>
      </text>
    </comment>
    <comment ref="A57"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2.xml><?xml version="1.0" encoding="utf-8"?>
<comments xmlns="http://schemas.openxmlformats.org/spreadsheetml/2006/main">
  <authors>
    <author>Ascroft, Sean M.</author>
    <author>Valdes, Amnerys</author>
  </authors>
  <commentList>
    <comment ref="B11" authorId="0" shapeId="0">
      <text>
        <r>
          <rPr>
            <b/>
            <sz val="9"/>
            <color indexed="81"/>
            <rFont val="Tahoma"/>
            <family val="2"/>
          </rPr>
          <t>Ascroft, Sean M.:</t>
        </r>
        <r>
          <rPr>
            <sz val="9"/>
            <color indexed="81"/>
            <rFont val="Tahoma"/>
            <family val="2"/>
          </rPr>
          <t xml:space="preserve">
2,947 taken out of the 5,032 (account 114000)</t>
        </r>
      </text>
    </comment>
    <comment ref="D13" authorId="0" shapeId="0">
      <text>
        <r>
          <rPr>
            <b/>
            <sz val="9"/>
            <color indexed="81"/>
            <rFont val="Tahoma"/>
            <family val="2"/>
          </rPr>
          <t>Ascroft, Sean M.:</t>
        </r>
        <r>
          <rPr>
            <sz val="9"/>
            <color indexed="81"/>
            <rFont val="Tahoma"/>
            <family val="2"/>
          </rPr>
          <t xml:space="preserve">
6,637 amort a month out of the 12,429 a month (account 115000) </t>
        </r>
      </text>
    </comment>
    <comment ref="B125" authorId="1" shapeId="0">
      <text>
        <r>
          <rPr>
            <b/>
            <sz val="9"/>
            <color indexed="81"/>
            <rFont val="Tahoma"/>
            <family val="2"/>
          </rPr>
          <t>Valdes, Amnerys:</t>
        </r>
        <r>
          <rPr>
            <sz val="9"/>
            <color indexed="81"/>
            <rFont val="Tahoma"/>
            <family val="2"/>
          </rPr>
          <t xml:space="preserve">
Copy formula down</t>
        </r>
      </text>
    </comment>
    <comment ref="B126" authorId="1" shapeId="0">
      <text>
        <r>
          <rPr>
            <b/>
            <sz val="9"/>
            <color indexed="81"/>
            <rFont val="Tahoma"/>
            <family val="2"/>
          </rPr>
          <t>Valdes, Amnerys:</t>
        </r>
        <r>
          <rPr>
            <sz val="9"/>
            <color indexed="81"/>
            <rFont val="Tahoma"/>
            <family val="2"/>
          </rPr>
          <t xml:space="preserve">
Copy formula down</t>
        </r>
      </text>
    </comment>
    <comment ref="B127" authorId="1" shapeId="0">
      <text>
        <r>
          <rPr>
            <b/>
            <sz val="9"/>
            <color indexed="81"/>
            <rFont val="Tahoma"/>
            <family val="2"/>
          </rPr>
          <t>Valdes, Amnerys:</t>
        </r>
        <r>
          <rPr>
            <sz val="9"/>
            <color indexed="81"/>
            <rFont val="Tahoma"/>
            <family val="2"/>
          </rPr>
          <t xml:space="preserve">
Copy formula down</t>
        </r>
      </text>
    </comment>
    <comment ref="B128" authorId="1" shapeId="0">
      <text>
        <r>
          <rPr>
            <b/>
            <sz val="9"/>
            <color indexed="81"/>
            <rFont val="Tahoma"/>
            <family val="2"/>
          </rPr>
          <t>Valdes, Amnerys:</t>
        </r>
        <r>
          <rPr>
            <sz val="9"/>
            <color indexed="81"/>
            <rFont val="Tahoma"/>
            <family val="2"/>
          </rPr>
          <t xml:space="preserve">
Copy formula down</t>
        </r>
      </text>
    </comment>
    <comment ref="B129" authorId="1" shapeId="0">
      <text>
        <r>
          <rPr>
            <b/>
            <sz val="9"/>
            <color indexed="81"/>
            <rFont val="Tahoma"/>
            <family val="2"/>
          </rPr>
          <t>Valdes, Amnerys:</t>
        </r>
        <r>
          <rPr>
            <sz val="9"/>
            <color indexed="81"/>
            <rFont val="Tahoma"/>
            <family val="2"/>
          </rPr>
          <t xml:space="preserve">
Copy formula down</t>
        </r>
      </text>
    </comment>
    <comment ref="B130" authorId="1" shapeId="0">
      <text>
        <r>
          <rPr>
            <b/>
            <sz val="9"/>
            <color indexed="81"/>
            <rFont val="Tahoma"/>
            <family val="2"/>
          </rPr>
          <t>Valdes, Amnerys:</t>
        </r>
        <r>
          <rPr>
            <sz val="9"/>
            <color indexed="81"/>
            <rFont val="Tahoma"/>
            <family val="2"/>
          </rPr>
          <t xml:space="preserve">
Copy formula down</t>
        </r>
      </text>
    </comment>
    <comment ref="B131" authorId="1" shapeId="0">
      <text>
        <r>
          <rPr>
            <b/>
            <sz val="9"/>
            <color indexed="81"/>
            <rFont val="Tahoma"/>
            <family val="2"/>
          </rPr>
          <t>Valdes, Amnerys:</t>
        </r>
        <r>
          <rPr>
            <sz val="9"/>
            <color indexed="81"/>
            <rFont val="Tahoma"/>
            <family val="2"/>
          </rPr>
          <t xml:space="preserve">
Copy formula down</t>
        </r>
      </text>
    </comment>
    <comment ref="B132" authorId="1" shapeId="0">
      <text>
        <r>
          <rPr>
            <b/>
            <sz val="9"/>
            <color indexed="81"/>
            <rFont val="Tahoma"/>
            <family val="2"/>
          </rPr>
          <t>Valdes, Amnerys:</t>
        </r>
        <r>
          <rPr>
            <sz val="9"/>
            <color indexed="81"/>
            <rFont val="Tahoma"/>
            <family val="2"/>
          </rPr>
          <t xml:space="preserve">
Copy formula down</t>
        </r>
      </text>
    </comment>
    <comment ref="B133" authorId="1" shapeId="0">
      <text>
        <r>
          <rPr>
            <b/>
            <sz val="9"/>
            <color indexed="81"/>
            <rFont val="Tahoma"/>
            <family val="2"/>
          </rPr>
          <t>Valdes, Amnerys:</t>
        </r>
        <r>
          <rPr>
            <sz val="9"/>
            <color indexed="81"/>
            <rFont val="Tahoma"/>
            <family val="2"/>
          </rPr>
          <t xml:space="preserve">
Copy formula down</t>
        </r>
      </text>
    </comment>
    <comment ref="B134" authorId="1" shapeId="0">
      <text>
        <r>
          <rPr>
            <b/>
            <sz val="9"/>
            <color indexed="81"/>
            <rFont val="Tahoma"/>
            <family val="2"/>
          </rPr>
          <t>Valdes, Amnerys:</t>
        </r>
        <r>
          <rPr>
            <sz val="9"/>
            <color indexed="81"/>
            <rFont val="Tahoma"/>
            <family val="2"/>
          </rPr>
          <t xml:space="preserve">
Copy formula down</t>
        </r>
      </text>
    </comment>
    <comment ref="B135" authorId="1" shapeId="0">
      <text>
        <r>
          <rPr>
            <b/>
            <sz val="9"/>
            <color indexed="81"/>
            <rFont val="Tahoma"/>
            <family val="2"/>
          </rPr>
          <t>Valdes, Amnerys:</t>
        </r>
        <r>
          <rPr>
            <sz val="9"/>
            <color indexed="81"/>
            <rFont val="Tahoma"/>
            <family val="2"/>
          </rPr>
          <t xml:space="preserve">
Copy formula down</t>
        </r>
      </text>
    </comment>
    <comment ref="B136" authorId="1" shapeId="0">
      <text>
        <r>
          <rPr>
            <b/>
            <sz val="9"/>
            <color indexed="81"/>
            <rFont val="Tahoma"/>
            <family val="2"/>
          </rPr>
          <t>Valdes, Amnerys:</t>
        </r>
        <r>
          <rPr>
            <sz val="9"/>
            <color indexed="81"/>
            <rFont val="Tahoma"/>
            <family val="2"/>
          </rPr>
          <t xml:space="preserve">
Copy formula down</t>
        </r>
      </text>
    </comment>
    <comment ref="B137" authorId="1" shapeId="0">
      <text>
        <r>
          <rPr>
            <b/>
            <sz val="9"/>
            <color indexed="81"/>
            <rFont val="Tahoma"/>
            <family val="2"/>
          </rPr>
          <t>Valdes, Amnerys:</t>
        </r>
        <r>
          <rPr>
            <sz val="9"/>
            <color indexed="81"/>
            <rFont val="Tahoma"/>
            <family val="2"/>
          </rPr>
          <t xml:space="preserve">
Copy formula down</t>
        </r>
      </text>
    </comment>
  </commentList>
</comments>
</file>

<file path=xl/comments3.xml><?xml version="1.0" encoding="utf-8"?>
<comments xmlns="http://schemas.openxmlformats.org/spreadsheetml/2006/main">
  <authors>
    <author>Valdes, Amnerys</author>
  </authors>
  <commentList>
    <comment ref="C10" authorId="0" shapeId="0">
      <text>
        <r>
          <rPr>
            <b/>
            <sz val="9"/>
            <color indexed="81"/>
            <rFont val="Tahoma"/>
            <family val="2"/>
          </rPr>
          <t>Valdes, Amnerys:</t>
        </r>
        <r>
          <rPr>
            <sz val="9"/>
            <color indexed="81"/>
            <rFont val="Tahoma"/>
            <family val="2"/>
          </rPr>
          <t xml:space="preserve">
Def expenses
</t>
        </r>
      </text>
    </comment>
    <comment ref="C16" authorId="0" shapeId="0">
      <text>
        <r>
          <rPr>
            <b/>
            <sz val="9"/>
            <color indexed="81"/>
            <rFont val="Tahoma"/>
            <family val="2"/>
          </rPr>
          <t>Valdes, Amnerys:</t>
        </r>
        <r>
          <rPr>
            <sz val="9"/>
            <color indexed="81"/>
            <rFont val="Tahoma"/>
            <family val="2"/>
          </rPr>
          <t xml:space="preserve">
Def revenues</t>
        </r>
      </text>
    </comment>
  </commentList>
</comments>
</file>

<file path=xl/comments4.xml><?xml version="1.0" encoding="utf-8"?>
<comments xmlns="http://schemas.openxmlformats.org/spreadsheetml/2006/main">
  <authors>
    <author>Coe, Connie</author>
    <author>Amnerys Valdes</author>
    <author>Valdes, Amnerys</author>
    <author>Coe, Connie P.</author>
    <author>Hoyos, Nichole</author>
    <author>Dowley, Thomas J.</author>
  </authors>
  <commentList>
    <comment ref="AC10" authorId="0" shapeId="0">
      <text>
        <r>
          <rPr>
            <b/>
            <sz val="9"/>
            <color indexed="81"/>
            <rFont val="Tahoma"/>
            <family val="2"/>
          </rPr>
          <t>Coe, Connie:</t>
        </r>
        <r>
          <rPr>
            <sz val="9"/>
            <color indexed="81"/>
            <rFont val="Tahoma"/>
            <family val="2"/>
          </rPr>
          <t xml:space="preserve">
Accts 101 + 106</t>
        </r>
      </text>
    </comment>
    <comment ref="AD10" authorId="0" shapeId="0">
      <text>
        <r>
          <rPr>
            <b/>
            <sz val="9"/>
            <color indexed="81"/>
            <rFont val="Tahoma"/>
            <family val="2"/>
          </rPr>
          <t>Coe, Connie:</t>
        </r>
        <r>
          <rPr>
            <sz val="9"/>
            <color indexed="81"/>
            <rFont val="Tahoma"/>
            <family val="2"/>
          </rPr>
          <t xml:space="preserve">
Accts 101 + 106</t>
        </r>
      </text>
    </comment>
    <comment ref="AE10" authorId="0" shapeId="0">
      <text>
        <r>
          <rPr>
            <b/>
            <sz val="9"/>
            <color indexed="81"/>
            <rFont val="Tahoma"/>
            <family val="2"/>
          </rPr>
          <t>Coe, Connie:</t>
        </r>
        <r>
          <rPr>
            <sz val="9"/>
            <color indexed="81"/>
            <rFont val="Tahoma"/>
            <family val="2"/>
          </rPr>
          <t xml:space="preserve">
Accts 101 + 106</t>
        </r>
      </text>
    </comment>
    <comment ref="AF10" authorId="0" shapeId="0">
      <text>
        <r>
          <rPr>
            <b/>
            <sz val="9"/>
            <color indexed="81"/>
            <rFont val="Tahoma"/>
            <family val="2"/>
          </rPr>
          <t>Coe, Connie:</t>
        </r>
        <r>
          <rPr>
            <sz val="9"/>
            <color indexed="81"/>
            <rFont val="Tahoma"/>
            <family val="2"/>
          </rPr>
          <t xml:space="preserve">
Accts 101 + 106</t>
        </r>
      </text>
    </comment>
    <comment ref="AG10" authorId="0" shapeId="0">
      <text>
        <r>
          <rPr>
            <b/>
            <sz val="9"/>
            <color indexed="81"/>
            <rFont val="Tahoma"/>
            <family val="2"/>
          </rPr>
          <t>Coe, Connie:</t>
        </r>
        <r>
          <rPr>
            <sz val="9"/>
            <color indexed="81"/>
            <rFont val="Tahoma"/>
            <family val="2"/>
          </rPr>
          <t xml:space="preserve">
Accts 101 + 106</t>
        </r>
      </text>
    </comment>
    <comment ref="AH10" authorId="0" shapeId="0">
      <text>
        <r>
          <rPr>
            <b/>
            <sz val="9"/>
            <color indexed="81"/>
            <rFont val="Tahoma"/>
            <family val="2"/>
          </rPr>
          <t>Coe, Connie:</t>
        </r>
        <r>
          <rPr>
            <sz val="9"/>
            <color indexed="81"/>
            <rFont val="Tahoma"/>
            <family val="2"/>
          </rPr>
          <t xml:space="preserve">
Accts 101 + 106</t>
        </r>
      </text>
    </comment>
    <comment ref="AI10" authorId="0" shapeId="0">
      <text>
        <r>
          <rPr>
            <b/>
            <sz val="9"/>
            <color indexed="81"/>
            <rFont val="Tahoma"/>
            <family val="2"/>
          </rPr>
          <t>Coe, Connie:</t>
        </r>
        <r>
          <rPr>
            <sz val="9"/>
            <color indexed="81"/>
            <rFont val="Tahoma"/>
            <family val="2"/>
          </rPr>
          <t xml:space="preserve">
Accts 101 + 106</t>
        </r>
      </text>
    </comment>
    <comment ref="AC11" authorId="0" shapeId="0">
      <text>
        <r>
          <rPr>
            <b/>
            <sz val="9"/>
            <color indexed="81"/>
            <rFont val="Tahoma"/>
            <family val="2"/>
          </rPr>
          <t>Coe, Connie:</t>
        </r>
        <r>
          <rPr>
            <sz val="9"/>
            <color indexed="81"/>
            <rFont val="Tahoma"/>
            <family val="2"/>
          </rPr>
          <t xml:space="preserve">
Acct 105
</t>
        </r>
      </text>
    </comment>
    <comment ref="AD11" authorId="0" shapeId="0">
      <text>
        <r>
          <rPr>
            <b/>
            <sz val="9"/>
            <color indexed="81"/>
            <rFont val="Tahoma"/>
            <family val="2"/>
          </rPr>
          <t>Coe, Connie:</t>
        </r>
        <r>
          <rPr>
            <sz val="9"/>
            <color indexed="81"/>
            <rFont val="Tahoma"/>
            <family val="2"/>
          </rPr>
          <t xml:space="preserve">
Acct 105
</t>
        </r>
      </text>
    </comment>
    <comment ref="AE11" authorId="0" shapeId="0">
      <text>
        <r>
          <rPr>
            <b/>
            <sz val="9"/>
            <color indexed="81"/>
            <rFont val="Tahoma"/>
            <family val="2"/>
          </rPr>
          <t>Coe, Connie:</t>
        </r>
        <r>
          <rPr>
            <sz val="9"/>
            <color indexed="81"/>
            <rFont val="Tahoma"/>
            <family val="2"/>
          </rPr>
          <t xml:space="preserve">
Acct 105
</t>
        </r>
      </text>
    </comment>
    <comment ref="AF11" authorId="0" shapeId="0">
      <text>
        <r>
          <rPr>
            <b/>
            <sz val="9"/>
            <color indexed="81"/>
            <rFont val="Tahoma"/>
            <family val="2"/>
          </rPr>
          <t>Coe, Connie:</t>
        </r>
        <r>
          <rPr>
            <sz val="9"/>
            <color indexed="81"/>
            <rFont val="Tahoma"/>
            <family val="2"/>
          </rPr>
          <t xml:space="preserve">
Acct 105
</t>
        </r>
      </text>
    </comment>
    <comment ref="AG11" authorId="0" shapeId="0">
      <text>
        <r>
          <rPr>
            <b/>
            <sz val="9"/>
            <color indexed="81"/>
            <rFont val="Tahoma"/>
            <family val="2"/>
          </rPr>
          <t>Coe, Connie:</t>
        </r>
        <r>
          <rPr>
            <sz val="9"/>
            <color indexed="81"/>
            <rFont val="Tahoma"/>
            <family val="2"/>
          </rPr>
          <t xml:space="preserve">
Acct 105
</t>
        </r>
      </text>
    </comment>
    <comment ref="AH11" authorId="0" shapeId="0">
      <text>
        <r>
          <rPr>
            <b/>
            <sz val="9"/>
            <color indexed="81"/>
            <rFont val="Tahoma"/>
            <family val="2"/>
          </rPr>
          <t>Coe, Connie:</t>
        </r>
        <r>
          <rPr>
            <sz val="9"/>
            <color indexed="81"/>
            <rFont val="Tahoma"/>
            <family val="2"/>
          </rPr>
          <t xml:space="preserve">
Acct 105
</t>
        </r>
      </text>
    </comment>
    <comment ref="AI11" authorId="0" shapeId="0">
      <text>
        <r>
          <rPr>
            <b/>
            <sz val="9"/>
            <color indexed="81"/>
            <rFont val="Tahoma"/>
            <family val="2"/>
          </rPr>
          <t>Coe, Connie:</t>
        </r>
        <r>
          <rPr>
            <sz val="9"/>
            <color indexed="81"/>
            <rFont val="Tahoma"/>
            <family val="2"/>
          </rPr>
          <t xml:space="preserve">
Acct 105
</t>
        </r>
      </text>
    </comment>
    <comment ref="AC12" authorId="0" shapeId="0">
      <text>
        <r>
          <rPr>
            <b/>
            <sz val="9"/>
            <color indexed="81"/>
            <rFont val="Tahoma"/>
            <family val="2"/>
          </rPr>
          <t>Coe, Connie:</t>
        </r>
        <r>
          <rPr>
            <sz val="9"/>
            <color indexed="81"/>
            <rFont val="Tahoma"/>
            <family val="2"/>
          </rPr>
          <t xml:space="preserve">
Acct 107  partial adj to Acct 115  by Cognos to the BS FRS203</t>
        </r>
      </text>
    </comment>
    <comment ref="AD12" authorId="0" shapeId="0">
      <text>
        <r>
          <rPr>
            <b/>
            <sz val="9"/>
            <color indexed="81"/>
            <rFont val="Tahoma"/>
            <family val="2"/>
          </rPr>
          <t>Coe, Connie:</t>
        </r>
        <r>
          <rPr>
            <sz val="9"/>
            <color indexed="81"/>
            <rFont val="Tahoma"/>
            <family val="2"/>
          </rPr>
          <t xml:space="preserve">
Acct 107  partial adj to Acct 115  by Cognos to the BS FRS203</t>
        </r>
      </text>
    </comment>
    <comment ref="AE12" authorId="0" shapeId="0">
      <text>
        <r>
          <rPr>
            <b/>
            <sz val="9"/>
            <color indexed="81"/>
            <rFont val="Tahoma"/>
            <family val="2"/>
          </rPr>
          <t>Coe, Connie:</t>
        </r>
        <r>
          <rPr>
            <sz val="9"/>
            <color indexed="81"/>
            <rFont val="Tahoma"/>
            <family val="2"/>
          </rPr>
          <t xml:space="preserve">
Acct 107  partial adj to Acct 115  by Cognos to the BS FRS203</t>
        </r>
      </text>
    </comment>
    <comment ref="AF12" authorId="0" shapeId="0">
      <text>
        <r>
          <rPr>
            <b/>
            <sz val="9"/>
            <color indexed="81"/>
            <rFont val="Tahoma"/>
            <family val="2"/>
          </rPr>
          <t>Coe, Connie:</t>
        </r>
        <r>
          <rPr>
            <sz val="9"/>
            <color indexed="81"/>
            <rFont val="Tahoma"/>
            <family val="2"/>
          </rPr>
          <t xml:space="preserve">
Acct 107  partial adj to Acct 115  by Cognos to the BS FRS203</t>
        </r>
      </text>
    </comment>
    <comment ref="AG12" authorId="0" shapeId="0">
      <text>
        <r>
          <rPr>
            <b/>
            <sz val="9"/>
            <color indexed="81"/>
            <rFont val="Tahoma"/>
            <family val="2"/>
          </rPr>
          <t>Coe, Connie:</t>
        </r>
        <r>
          <rPr>
            <sz val="9"/>
            <color indexed="81"/>
            <rFont val="Tahoma"/>
            <family val="2"/>
          </rPr>
          <t xml:space="preserve">
Acct 107  partial adj to Acct 115  by Cognos to the BS FRS203</t>
        </r>
      </text>
    </comment>
    <comment ref="AH12" authorId="0" shapeId="0">
      <text>
        <r>
          <rPr>
            <b/>
            <sz val="9"/>
            <color indexed="81"/>
            <rFont val="Tahoma"/>
            <family val="2"/>
          </rPr>
          <t>Coe, Connie:</t>
        </r>
        <r>
          <rPr>
            <sz val="9"/>
            <color indexed="81"/>
            <rFont val="Tahoma"/>
            <family val="2"/>
          </rPr>
          <t xml:space="preserve">
Acct 107  partial adj to Acct 115  by Cognos to the BS FRS203</t>
        </r>
      </text>
    </comment>
    <comment ref="AI12" authorId="0" shapeId="0">
      <text>
        <r>
          <rPr>
            <b/>
            <sz val="9"/>
            <color indexed="81"/>
            <rFont val="Tahoma"/>
            <family val="2"/>
          </rPr>
          <t>Coe, Connie:</t>
        </r>
        <r>
          <rPr>
            <sz val="9"/>
            <color indexed="81"/>
            <rFont val="Tahoma"/>
            <family val="2"/>
          </rPr>
          <t xml:space="preserve">
Acct 107  partial adj to Acct 115  by Cognos to the BS FRS203</t>
        </r>
      </text>
    </comment>
    <comment ref="AC13" authorId="0" shapeId="0">
      <text>
        <r>
          <rPr>
            <b/>
            <sz val="9"/>
            <color indexed="81"/>
            <rFont val="Tahoma"/>
            <family val="2"/>
          </rPr>
          <t>Coe, Connie:</t>
        </r>
        <r>
          <rPr>
            <sz val="9"/>
            <color indexed="81"/>
            <rFont val="Tahoma"/>
            <family val="2"/>
          </rPr>
          <t xml:space="preserve">
Acct 114</t>
        </r>
      </text>
    </comment>
    <comment ref="AD13" authorId="0" shapeId="0">
      <text>
        <r>
          <rPr>
            <b/>
            <sz val="9"/>
            <color indexed="81"/>
            <rFont val="Tahoma"/>
            <family val="2"/>
          </rPr>
          <t>Coe, Connie:</t>
        </r>
        <r>
          <rPr>
            <sz val="9"/>
            <color indexed="81"/>
            <rFont val="Tahoma"/>
            <family val="2"/>
          </rPr>
          <t xml:space="preserve">
Acct 114</t>
        </r>
      </text>
    </comment>
    <comment ref="AE13" authorId="0" shapeId="0">
      <text>
        <r>
          <rPr>
            <b/>
            <sz val="9"/>
            <color indexed="81"/>
            <rFont val="Tahoma"/>
            <family val="2"/>
          </rPr>
          <t>Coe, Connie:</t>
        </r>
        <r>
          <rPr>
            <sz val="9"/>
            <color indexed="81"/>
            <rFont val="Tahoma"/>
            <family val="2"/>
          </rPr>
          <t xml:space="preserve">
Acct 114</t>
        </r>
      </text>
    </comment>
    <comment ref="AF13" authorId="0" shapeId="0">
      <text>
        <r>
          <rPr>
            <b/>
            <sz val="9"/>
            <color indexed="81"/>
            <rFont val="Tahoma"/>
            <family val="2"/>
          </rPr>
          <t>Coe, Connie:</t>
        </r>
        <r>
          <rPr>
            <sz val="9"/>
            <color indexed="81"/>
            <rFont val="Tahoma"/>
            <family val="2"/>
          </rPr>
          <t xml:space="preserve">
Acct 114</t>
        </r>
      </text>
    </comment>
    <comment ref="AG13" authorId="0" shapeId="0">
      <text>
        <r>
          <rPr>
            <b/>
            <sz val="9"/>
            <color indexed="81"/>
            <rFont val="Tahoma"/>
            <family val="2"/>
          </rPr>
          <t>Coe, Connie:</t>
        </r>
        <r>
          <rPr>
            <sz val="9"/>
            <color indexed="81"/>
            <rFont val="Tahoma"/>
            <family val="2"/>
          </rPr>
          <t xml:space="preserve">
Acct 114</t>
        </r>
      </text>
    </comment>
    <comment ref="AH13" authorId="0" shapeId="0">
      <text>
        <r>
          <rPr>
            <b/>
            <sz val="9"/>
            <color indexed="81"/>
            <rFont val="Tahoma"/>
            <family val="2"/>
          </rPr>
          <t>Coe, Connie:</t>
        </r>
        <r>
          <rPr>
            <sz val="9"/>
            <color indexed="81"/>
            <rFont val="Tahoma"/>
            <family val="2"/>
          </rPr>
          <t xml:space="preserve">
Acct 114</t>
        </r>
      </text>
    </comment>
    <comment ref="AI13" authorId="0" shapeId="0">
      <text>
        <r>
          <rPr>
            <b/>
            <sz val="9"/>
            <color indexed="81"/>
            <rFont val="Tahoma"/>
            <family val="2"/>
          </rPr>
          <t>Coe, Connie:</t>
        </r>
        <r>
          <rPr>
            <sz val="9"/>
            <color indexed="81"/>
            <rFont val="Tahoma"/>
            <family val="2"/>
          </rPr>
          <t xml:space="preserve">
Acct 114</t>
        </r>
      </text>
    </comment>
    <comment ref="AC15" authorId="0" shapeId="0">
      <text>
        <r>
          <rPr>
            <b/>
            <sz val="9"/>
            <color indexed="81"/>
            <rFont val="Tahoma"/>
            <family val="2"/>
          </rPr>
          <t>Coe, Connie:</t>
        </r>
        <r>
          <rPr>
            <sz val="9"/>
            <color indexed="81"/>
            <rFont val="Tahoma"/>
            <family val="2"/>
          </rPr>
          <t xml:space="preserve">
Acct 108  partial adjust to Acct 115 by Cognos to the BS FRS203</t>
        </r>
      </text>
    </comment>
    <comment ref="AD15" authorId="0" shapeId="0">
      <text>
        <r>
          <rPr>
            <b/>
            <sz val="9"/>
            <color indexed="81"/>
            <rFont val="Tahoma"/>
            <family val="2"/>
          </rPr>
          <t>Coe, Connie:</t>
        </r>
        <r>
          <rPr>
            <sz val="9"/>
            <color indexed="81"/>
            <rFont val="Tahoma"/>
            <family val="2"/>
          </rPr>
          <t xml:space="preserve">
Acct 108  partial adjust to Acct 115 by Cognos to the BS FRS203</t>
        </r>
      </text>
    </comment>
    <comment ref="AE15" authorId="0" shapeId="0">
      <text>
        <r>
          <rPr>
            <b/>
            <sz val="9"/>
            <color indexed="81"/>
            <rFont val="Tahoma"/>
            <family val="2"/>
          </rPr>
          <t>Coe, Connie:</t>
        </r>
        <r>
          <rPr>
            <sz val="9"/>
            <color indexed="81"/>
            <rFont val="Tahoma"/>
            <family val="2"/>
          </rPr>
          <t xml:space="preserve">
Acct 108  partial adjust to Acct 115 by Cognos to the BS FRS203</t>
        </r>
      </text>
    </comment>
    <comment ref="AF15" authorId="0" shapeId="0">
      <text>
        <r>
          <rPr>
            <b/>
            <sz val="9"/>
            <color indexed="81"/>
            <rFont val="Tahoma"/>
            <family val="2"/>
          </rPr>
          <t>Coe, Connie:</t>
        </r>
        <r>
          <rPr>
            <sz val="9"/>
            <color indexed="81"/>
            <rFont val="Tahoma"/>
            <family val="2"/>
          </rPr>
          <t xml:space="preserve">
Acct 108  partial adjust to Acct 115 by Cognos to the BS FRS203</t>
        </r>
      </text>
    </comment>
    <comment ref="AG15" authorId="0" shapeId="0">
      <text>
        <r>
          <rPr>
            <b/>
            <sz val="9"/>
            <color indexed="81"/>
            <rFont val="Tahoma"/>
            <family val="2"/>
          </rPr>
          <t>Coe, Connie:</t>
        </r>
        <r>
          <rPr>
            <sz val="9"/>
            <color indexed="81"/>
            <rFont val="Tahoma"/>
            <family val="2"/>
          </rPr>
          <t xml:space="preserve">
Acct 108  partial adjust to Acct 115 by Cognos to the BS FRS203</t>
        </r>
      </text>
    </comment>
    <comment ref="AH15" authorId="0" shapeId="0">
      <text>
        <r>
          <rPr>
            <b/>
            <sz val="9"/>
            <color indexed="81"/>
            <rFont val="Tahoma"/>
            <family val="2"/>
          </rPr>
          <t>Coe, Connie:</t>
        </r>
        <r>
          <rPr>
            <sz val="9"/>
            <color indexed="81"/>
            <rFont val="Tahoma"/>
            <family val="2"/>
          </rPr>
          <t xml:space="preserve">
Acct 108  partial adjust to Acct 115 by Cognos to the BS FRS203</t>
        </r>
      </text>
    </comment>
    <comment ref="AI15" authorId="0" shapeId="0">
      <text>
        <r>
          <rPr>
            <b/>
            <sz val="9"/>
            <color indexed="81"/>
            <rFont val="Tahoma"/>
            <family val="2"/>
          </rPr>
          <t>Coe, Connie:</t>
        </r>
        <r>
          <rPr>
            <sz val="9"/>
            <color indexed="81"/>
            <rFont val="Tahoma"/>
            <family val="2"/>
          </rPr>
          <t xml:space="preserve">
Acct 108  partial adjust to Acct 115 by Cognos to the BS FRS203</t>
        </r>
      </text>
    </comment>
    <comment ref="AC18" authorId="0" shapeId="0">
      <text>
        <r>
          <rPr>
            <b/>
            <sz val="9"/>
            <color indexed="81"/>
            <rFont val="Tahoma"/>
            <family val="2"/>
          </rPr>
          <t>Coe, Connie:</t>
        </r>
        <r>
          <rPr>
            <sz val="9"/>
            <color indexed="81"/>
            <rFont val="Tahoma"/>
            <family val="2"/>
          </rPr>
          <t xml:space="preserve">
Acct 123
</t>
        </r>
      </text>
    </comment>
    <comment ref="AD18" authorId="0" shapeId="0">
      <text>
        <r>
          <rPr>
            <b/>
            <sz val="9"/>
            <color indexed="81"/>
            <rFont val="Tahoma"/>
            <family val="2"/>
          </rPr>
          <t>Coe, Connie:</t>
        </r>
        <r>
          <rPr>
            <sz val="9"/>
            <color indexed="81"/>
            <rFont val="Tahoma"/>
            <family val="2"/>
          </rPr>
          <t xml:space="preserve">
Acct 123
</t>
        </r>
      </text>
    </comment>
    <comment ref="AE18" authorId="0" shapeId="0">
      <text>
        <r>
          <rPr>
            <b/>
            <sz val="9"/>
            <color indexed="81"/>
            <rFont val="Tahoma"/>
            <family val="2"/>
          </rPr>
          <t>Coe, Connie:</t>
        </r>
        <r>
          <rPr>
            <sz val="9"/>
            <color indexed="81"/>
            <rFont val="Tahoma"/>
            <family val="2"/>
          </rPr>
          <t xml:space="preserve">
Acct 123
</t>
        </r>
      </text>
    </comment>
    <comment ref="AF18" authorId="0" shapeId="0">
      <text>
        <r>
          <rPr>
            <b/>
            <sz val="9"/>
            <color indexed="81"/>
            <rFont val="Tahoma"/>
            <family val="2"/>
          </rPr>
          <t>Coe, Connie:</t>
        </r>
        <r>
          <rPr>
            <sz val="9"/>
            <color indexed="81"/>
            <rFont val="Tahoma"/>
            <family val="2"/>
          </rPr>
          <t xml:space="preserve">
Acct 123
</t>
        </r>
      </text>
    </comment>
    <comment ref="AG18" authorId="0" shapeId="0">
      <text>
        <r>
          <rPr>
            <b/>
            <sz val="9"/>
            <color indexed="81"/>
            <rFont val="Tahoma"/>
            <family val="2"/>
          </rPr>
          <t>Coe, Connie:</t>
        </r>
        <r>
          <rPr>
            <sz val="9"/>
            <color indexed="81"/>
            <rFont val="Tahoma"/>
            <family val="2"/>
          </rPr>
          <t xml:space="preserve">
Acct 123
</t>
        </r>
      </text>
    </comment>
    <comment ref="AH18" authorId="0" shapeId="0">
      <text>
        <r>
          <rPr>
            <b/>
            <sz val="9"/>
            <color indexed="81"/>
            <rFont val="Tahoma"/>
            <family val="2"/>
          </rPr>
          <t>Coe, Connie:</t>
        </r>
        <r>
          <rPr>
            <sz val="9"/>
            <color indexed="81"/>
            <rFont val="Tahoma"/>
            <family val="2"/>
          </rPr>
          <t xml:space="preserve">
Acct 123
</t>
        </r>
      </text>
    </comment>
    <comment ref="AI18" authorId="0" shapeId="0">
      <text>
        <r>
          <rPr>
            <b/>
            <sz val="9"/>
            <color indexed="81"/>
            <rFont val="Tahoma"/>
            <family val="2"/>
          </rPr>
          <t>Coe, Connie:</t>
        </r>
        <r>
          <rPr>
            <sz val="9"/>
            <color indexed="81"/>
            <rFont val="Tahoma"/>
            <family val="2"/>
          </rPr>
          <t xml:space="preserve">
Acct 123
</t>
        </r>
      </text>
    </comment>
    <comment ref="AC24" authorId="0" shapeId="0">
      <text>
        <r>
          <rPr>
            <b/>
            <sz val="9"/>
            <color indexed="81"/>
            <rFont val="Tahoma"/>
            <family val="2"/>
          </rPr>
          <t>Coe, Connie:</t>
        </r>
        <r>
          <rPr>
            <sz val="9"/>
            <color indexed="81"/>
            <rFont val="Tahoma"/>
            <family val="2"/>
          </rPr>
          <t xml:space="preserve">
Acct 131
</t>
        </r>
      </text>
    </comment>
    <comment ref="AD24" authorId="0" shapeId="0">
      <text>
        <r>
          <rPr>
            <b/>
            <sz val="9"/>
            <color indexed="81"/>
            <rFont val="Tahoma"/>
            <family val="2"/>
          </rPr>
          <t>Coe, Connie:</t>
        </r>
        <r>
          <rPr>
            <sz val="9"/>
            <color indexed="81"/>
            <rFont val="Tahoma"/>
            <family val="2"/>
          </rPr>
          <t xml:space="preserve">
Acct 131
</t>
        </r>
      </text>
    </comment>
    <comment ref="AE24" authorId="0" shapeId="0">
      <text>
        <r>
          <rPr>
            <b/>
            <sz val="9"/>
            <color indexed="81"/>
            <rFont val="Tahoma"/>
            <family val="2"/>
          </rPr>
          <t>Coe, Connie:</t>
        </r>
        <r>
          <rPr>
            <sz val="9"/>
            <color indexed="81"/>
            <rFont val="Tahoma"/>
            <family val="2"/>
          </rPr>
          <t xml:space="preserve">
Acct 131
</t>
        </r>
      </text>
    </comment>
    <comment ref="AF24" authorId="0" shapeId="0">
      <text>
        <r>
          <rPr>
            <b/>
            <sz val="9"/>
            <color indexed="81"/>
            <rFont val="Tahoma"/>
            <family val="2"/>
          </rPr>
          <t>Coe, Connie:</t>
        </r>
        <r>
          <rPr>
            <sz val="9"/>
            <color indexed="81"/>
            <rFont val="Tahoma"/>
            <family val="2"/>
          </rPr>
          <t xml:space="preserve">
Acct 131
</t>
        </r>
      </text>
    </comment>
    <comment ref="AG24" authorId="0" shapeId="0">
      <text>
        <r>
          <rPr>
            <b/>
            <sz val="9"/>
            <color indexed="81"/>
            <rFont val="Tahoma"/>
            <family val="2"/>
          </rPr>
          <t>Coe, Connie:</t>
        </r>
        <r>
          <rPr>
            <sz val="9"/>
            <color indexed="81"/>
            <rFont val="Tahoma"/>
            <family val="2"/>
          </rPr>
          <t xml:space="preserve">
Acct 131
</t>
        </r>
      </text>
    </comment>
    <comment ref="AH24" authorId="0" shapeId="0">
      <text>
        <r>
          <rPr>
            <b/>
            <sz val="9"/>
            <color indexed="81"/>
            <rFont val="Tahoma"/>
            <family val="2"/>
          </rPr>
          <t>Coe, Connie:</t>
        </r>
        <r>
          <rPr>
            <sz val="9"/>
            <color indexed="81"/>
            <rFont val="Tahoma"/>
            <family val="2"/>
          </rPr>
          <t xml:space="preserve">
Acct 131
</t>
        </r>
      </text>
    </comment>
    <comment ref="AI24" authorId="0" shapeId="0">
      <text>
        <r>
          <rPr>
            <b/>
            <sz val="9"/>
            <color indexed="81"/>
            <rFont val="Tahoma"/>
            <family val="2"/>
          </rPr>
          <t>Coe, Connie:</t>
        </r>
        <r>
          <rPr>
            <sz val="9"/>
            <color indexed="81"/>
            <rFont val="Tahoma"/>
            <family val="2"/>
          </rPr>
          <t xml:space="preserve">
Acct 131
</t>
        </r>
      </text>
    </comment>
    <comment ref="AC25" authorId="0" shapeId="0">
      <text>
        <r>
          <rPr>
            <b/>
            <sz val="9"/>
            <color indexed="81"/>
            <rFont val="Tahoma"/>
            <family val="2"/>
          </rPr>
          <t>Coe, Connie:</t>
        </r>
        <r>
          <rPr>
            <sz val="9"/>
            <color indexed="81"/>
            <rFont val="Tahoma"/>
            <family val="2"/>
          </rPr>
          <t xml:space="preserve">
Acct 134
</t>
        </r>
      </text>
    </comment>
    <comment ref="AD25" authorId="0" shapeId="0">
      <text>
        <r>
          <rPr>
            <b/>
            <sz val="9"/>
            <color indexed="81"/>
            <rFont val="Tahoma"/>
            <family val="2"/>
          </rPr>
          <t>Coe, Connie:</t>
        </r>
        <r>
          <rPr>
            <sz val="9"/>
            <color indexed="81"/>
            <rFont val="Tahoma"/>
            <family val="2"/>
          </rPr>
          <t xml:space="preserve">
Acct 134
</t>
        </r>
      </text>
    </comment>
    <comment ref="AE25" authorId="0" shapeId="0">
      <text>
        <r>
          <rPr>
            <b/>
            <sz val="9"/>
            <color indexed="81"/>
            <rFont val="Tahoma"/>
            <family val="2"/>
          </rPr>
          <t>Coe, Connie:</t>
        </r>
        <r>
          <rPr>
            <sz val="9"/>
            <color indexed="81"/>
            <rFont val="Tahoma"/>
            <family val="2"/>
          </rPr>
          <t xml:space="preserve">
Acct 134
</t>
        </r>
      </text>
    </comment>
    <comment ref="AF25" authorId="0" shapeId="0">
      <text>
        <r>
          <rPr>
            <b/>
            <sz val="9"/>
            <color indexed="81"/>
            <rFont val="Tahoma"/>
            <family val="2"/>
          </rPr>
          <t>Coe, Connie:</t>
        </r>
        <r>
          <rPr>
            <sz val="9"/>
            <color indexed="81"/>
            <rFont val="Tahoma"/>
            <family val="2"/>
          </rPr>
          <t xml:space="preserve">
Acct 134
</t>
        </r>
      </text>
    </comment>
    <comment ref="AG25" authorId="0" shapeId="0">
      <text>
        <r>
          <rPr>
            <b/>
            <sz val="9"/>
            <color indexed="81"/>
            <rFont val="Tahoma"/>
            <family val="2"/>
          </rPr>
          <t>Coe, Connie:</t>
        </r>
        <r>
          <rPr>
            <sz val="9"/>
            <color indexed="81"/>
            <rFont val="Tahoma"/>
            <family val="2"/>
          </rPr>
          <t xml:space="preserve">
Acct 134
</t>
        </r>
      </text>
    </comment>
    <comment ref="AH25" authorId="0" shapeId="0">
      <text>
        <r>
          <rPr>
            <b/>
            <sz val="9"/>
            <color indexed="81"/>
            <rFont val="Tahoma"/>
            <family val="2"/>
          </rPr>
          <t>Coe, Connie:</t>
        </r>
        <r>
          <rPr>
            <sz val="9"/>
            <color indexed="81"/>
            <rFont val="Tahoma"/>
            <family val="2"/>
          </rPr>
          <t xml:space="preserve">
Acct 134
</t>
        </r>
      </text>
    </comment>
    <comment ref="AI25" authorId="0" shapeId="0">
      <text>
        <r>
          <rPr>
            <b/>
            <sz val="9"/>
            <color indexed="81"/>
            <rFont val="Tahoma"/>
            <family val="2"/>
          </rPr>
          <t>Coe, Connie:</t>
        </r>
        <r>
          <rPr>
            <sz val="9"/>
            <color indexed="81"/>
            <rFont val="Tahoma"/>
            <family val="2"/>
          </rPr>
          <t xml:space="preserve">
Acct 134
</t>
        </r>
      </text>
    </comment>
    <comment ref="AC26" authorId="0" shapeId="0">
      <text>
        <r>
          <rPr>
            <b/>
            <sz val="9"/>
            <color indexed="81"/>
            <rFont val="Tahoma"/>
            <family val="2"/>
          </rPr>
          <t>Coe, Connie:</t>
        </r>
        <r>
          <rPr>
            <sz val="9"/>
            <color indexed="81"/>
            <rFont val="Tahoma"/>
            <family val="2"/>
          </rPr>
          <t xml:space="preserve">
Acct 135
</t>
        </r>
      </text>
    </comment>
    <comment ref="AD26" authorId="0" shapeId="0">
      <text>
        <r>
          <rPr>
            <b/>
            <sz val="9"/>
            <color indexed="81"/>
            <rFont val="Tahoma"/>
            <family val="2"/>
          </rPr>
          <t>Coe, Connie:</t>
        </r>
        <r>
          <rPr>
            <sz val="9"/>
            <color indexed="81"/>
            <rFont val="Tahoma"/>
            <family val="2"/>
          </rPr>
          <t xml:space="preserve">
Acct 135
</t>
        </r>
      </text>
    </comment>
    <comment ref="AE26" authorId="0" shapeId="0">
      <text>
        <r>
          <rPr>
            <b/>
            <sz val="9"/>
            <color indexed="81"/>
            <rFont val="Tahoma"/>
            <family val="2"/>
          </rPr>
          <t>Coe, Connie:</t>
        </r>
        <r>
          <rPr>
            <sz val="9"/>
            <color indexed="81"/>
            <rFont val="Tahoma"/>
            <family val="2"/>
          </rPr>
          <t xml:space="preserve">
Acct 135
</t>
        </r>
      </text>
    </comment>
    <comment ref="AF26" authorId="0" shapeId="0">
      <text>
        <r>
          <rPr>
            <b/>
            <sz val="9"/>
            <color indexed="81"/>
            <rFont val="Tahoma"/>
            <family val="2"/>
          </rPr>
          <t>Coe, Connie:</t>
        </r>
        <r>
          <rPr>
            <sz val="9"/>
            <color indexed="81"/>
            <rFont val="Tahoma"/>
            <family val="2"/>
          </rPr>
          <t xml:space="preserve">
Acct 135
</t>
        </r>
      </text>
    </comment>
    <comment ref="AG26" authorId="0" shapeId="0">
      <text>
        <r>
          <rPr>
            <b/>
            <sz val="9"/>
            <color indexed="81"/>
            <rFont val="Tahoma"/>
            <family val="2"/>
          </rPr>
          <t>Coe, Connie:</t>
        </r>
        <r>
          <rPr>
            <sz val="9"/>
            <color indexed="81"/>
            <rFont val="Tahoma"/>
            <family val="2"/>
          </rPr>
          <t xml:space="preserve">
Acct 135
</t>
        </r>
      </text>
    </comment>
    <comment ref="AH26" authorId="0" shapeId="0">
      <text>
        <r>
          <rPr>
            <b/>
            <sz val="9"/>
            <color indexed="81"/>
            <rFont val="Tahoma"/>
            <family val="2"/>
          </rPr>
          <t>Coe, Connie:</t>
        </r>
        <r>
          <rPr>
            <sz val="9"/>
            <color indexed="81"/>
            <rFont val="Tahoma"/>
            <family val="2"/>
          </rPr>
          <t xml:space="preserve">
Acct 135
</t>
        </r>
      </text>
    </comment>
    <comment ref="AI26" authorId="0" shapeId="0">
      <text>
        <r>
          <rPr>
            <b/>
            <sz val="9"/>
            <color indexed="81"/>
            <rFont val="Tahoma"/>
            <family val="2"/>
          </rPr>
          <t>Coe, Connie:</t>
        </r>
        <r>
          <rPr>
            <sz val="9"/>
            <color indexed="81"/>
            <rFont val="Tahoma"/>
            <family val="2"/>
          </rPr>
          <t xml:space="preserve">
Acct 135
</t>
        </r>
      </text>
    </comment>
    <comment ref="A29" authorId="1" shapeId="0">
      <text>
        <r>
          <rPr>
            <b/>
            <sz val="10"/>
            <color indexed="81"/>
            <rFont val="Tahoma"/>
            <family val="2"/>
          </rPr>
          <t>Amnerys Valdes:</t>
        </r>
        <r>
          <rPr>
            <sz val="10"/>
            <color indexed="81"/>
            <rFont val="Tahoma"/>
            <family val="2"/>
          </rPr>
          <t xml:space="preserve">
Gas</t>
        </r>
      </text>
    </comment>
    <comment ref="X29" authorId="1" shapeId="0">
      <text>
        <r>
          <rPr>
            <b/>
            <sz val="10"/>
            <color indexed="81"/>
            <rFont val="Tahoma"/>
            <family val="2"/>
          </rPr>
          <t>Amnerys Valdes:</t>
        </r>
        <r>
          <rPr>
            <sz val="10"/>
            <color indexed="81"/>
            <rFont val="Tahoma"/>
            <family val="2"/>
          </rPr>
          <t xml:space="preserve">
Gas</t>
        </r>
      </text>
    </comment>
    <comment ref="AC29" authorId="0" shapeId="0">
      <text>
        <r>
          <rPr>
            <b/>
            <sz val="9"/>
            <color indexed="81"/>
            <rFont val="Tahoma"/>
            <family val="2"/>
          </rPr>
          <t>Coe, Connie:</t>
        </r>
        <r>
          <rPr>
            <sz val="9"/>
            <color indexed="81"/>
            <rFont val="Tahoma"/>
            <family val="2"/>
          </rPr>
          <t xml:space="preserve">
Acct 142
</t>
        </r>
      </text>
    </comment>
    <comment ref="AD29" authorId="0" shapeId="0">
      <text>
        <r>
          <rPr>
            <b/>
            <sz val="9"/>
            <color indexed="81"/>
            <rFont val="Tahoma"/>
            <family val="2"/>
          </rPr>
          <t>Coe, Connie:</t>
        </r>
        <r>
          <rPr>
            <sz val="9"/>
            <color indexed="81"/>
            <rFont val="Tahoma"/>
            <family val="2"/>
          </rPr>
          <t xml:space="preserve">
Acct 142
</t>
        </r>
      </text>
    </comment>
    <comment ref="AE29" authorId="0" shapeId="0">
      <text>
        <r>
          <rPr>
            <b/>
            <sz val="9"/>
            <color indexed="81"/>
            <rFont val="Tahoma"/>
            <family val="2"/>
          </rPr>
          <t>Coe, Connie:</t>
        </r>
        <r>
          <rPr>
            <sz val="9"/>
            <color indexed="81"/>
            <rFont val="Tahoma"/>
            <family val="2"/>
          </rPr>
          <t xml:space="preserve">
Acct 142
</t>
        </r>
      </text>
    </comment>
    <comment ref="AF29" authorId="0" shapeId="0">
      <text>
        <r>
          <rPr>
            <b/>
            <sz val="9"/>
            <color indexed="81"/>
            <rFont val="Tahoma"/>
            <family val="2"/>
          </rPr>
          <t>Coe, Connie:</t>
        </r>
        <r>
          <rPr>
            <sz val="9"/>
            <color indexed="81"/>
            <rFont val="Tahoma"/>
            <family val="2"/>
          </rPr>
          <t xml:space="preserve">
Acct 142
</t>
        </r>
      </text>
    </comment>
    <comment ref="AG29" authorId="0" shapeId="0">
      <text>
        <r>
          <rPr>
            <b/>
            <sz val="9"/>
            <color indexed="81"/>
            <rFont val="Tahoma"/>
            <family val="2"/>
          </rPr>
          <t>Coe, Connie:</t>
        </r>
        <r>
          <rPr>
            <sz val="9"/>
            <color indexed="81"/>
            <rFont val="Tahoma"/>
            <family val="2"/>
          </rPr>
          <t xml:space="preserve">
Acct 142
</t>
        </r>
      </text>
    </comment>
    <comment ref="AH29" authorId="0" shapeId="0">
      <text>
        <r>
          <rPr>
            <b/>
            <sz val="9"/>
            <color indexed="81"/>
            <rFont val="Tahoma"/>
            <family val="2"/>
          </rPr>
          <t>Coe, Connie:</t>
        </r>
        <r>
          <rPr>
            <sz val="9"/>
            <color indexed="81"/>
            <rFont val="Tahoma"/>
            <family val="2"/>
          </rPr>
          <t xml:space="preserve">
Acct 142
</t>
        </r>
      </text>
    </comment>
    <comment ref="AI29" authorId="0" shapeId="0">
      <text>
        <r>
          <rPr>
            <b/>
            <sz val="9"/>
            <color indexed="81"/>
            <rFont val="Tahoma"/>
            <family val="2"/>
          </rPr>
          <t>Coe, Connie:</t>
        </r>
        <r>
          <rPr>
            <sz val="9"/>
            <color indexed="81"/>
            <rFont val="Tahoma"/>
            <family val="2"/>
          </rPr>
          <t xml:space="preserve">
Acct 142
</t>
        </r>
      </text>
    </comment>
    <comment ref="A30" authorId="1" shapeId="0">
      <text>
        <r>
          <rPr>
            <b/>
            <sz val="10"/>
            <color indexed="81"/>
            <rFont val="Tahoma"/>
            <family val="2"/>
          </rPr>
          <t>Amnerys Valdes:</t>
        </r>
        <r>
          <rPr>
            <sz val="10"/>
            <color indexed="81"/>
            <rFont val="Tahoma"/>
            <family val="2"/>
          </rPr>
          <t xml:space="preserve">
Merchandise Jobbing &amp; Other</t>
        </r>
      </text>
    </comment>
    <comment ref="Q30" authorId="2" shapeId="0">
      <text>
        <r>
          <rPr>
            <b/>
            <sz val="9"/>
            <color indexed="81"/>
            <rFont val="Tahoma"/>
            <family val="2"/>
          </rPr>
          <t>Valdes, Amnerys:</t>
        </r>
        <r>
          <rPr>
            <sz val="9"/>
            <color indexed="81"/>
            <rFont val="Tahoma"/>
            <family val="2"/>
          </rPr>
          <t xml:space="preserve">
Per Sue's file</t>
        </r>
      </text>
    </comment>
    <comment ref="X30" authorId="1" shapeId="0">
      <text>
        <r>
          <rPr>
            <b/>
            <sz val="10"/>
            <color indexed="81"/>
            <rFont val="Tahoma"/>
            <family val="2"/>
          </rPr>
          <t>Amnerys Valdes:</t>
        </r>
        <r>
          <rPr>
            <sz val="10"/>
            <color indexed="81"/>
            <rFont val="Tahoma"/>
            <family val="2"/>
          </rPr>
          <t xml:space="preserve">
Merchandise Jobbing &amp; Other</t>
        </r>
      </text>
    </comment>
    <comment ref="AC30" authorId="0" shapeId="0">
      <text>
        <r>
          <rPr>
            <b/>
            <sz val="9"/>
            <color indexed="81"/>
            <rFont val="Tahoma"/>
            <family val="2"/>
          </rPr>
          <t>Coe, Connie:</t>
        </r>
        <r>
          <rPr>
            <sz val="9"/>
            <color indexed="81"/>
            <rFont val="Tahoma"/>
            <family val="2"/>
          </rPr>
          <t xml:space="preserve">
Acct 143
</t>
        </r>
        <r>
          <rPr>
            <b/>
            <sz val="9"/>
            <color indexed="10"/>
            <rFont val="Tahoma"/>
            <family val="2"/>
          </rPr>
          <t xml:space="preserve">--Includes Year end reclass of Acc 143.10 &amp; 143.11 to taxes accrued. </t>
        </r>
      </text>
    </comment>
    <comment ref="AD30" authorId="0" shapeId="0">
      <text>
        <r>
          <rPr>
            <b/>
            <sz val="9"/>
            <color indexed="81"/>
            <rFont val="Tahoma"/>
            <family val="2"/>
          </rPr>
          <t>Coe, Connie:</t>
        </r>
        <r>
          <rPr>
            <sz val="9"/>
            <color indexed="81"/>
            <rFont val="Tahoma"/>
            <family val="2"/>
          </rPr>
          <t xml:space="preserve">
Acct 143
</t>
        </r>
        <r>
          <rPr>
            <b/>
            <sz val="9"/>
            <color indexed="10"/>
            <rFont val="Tahoma"/>
            <family val="2"/>
          </rPr>
          <t xml:space="preserve">--Includes Year end reclass of Acc 143.10 &amp; 143.11 to taxes accrued. </t>
        </r>
      </text>
    </comment>
    <comment ref="AE30" authorId="0" shapeId="0">
      <text>
        <r>
          <rPr>
            <b/>
            <sz val="9"/>
            <color indexed="81"/>
            <rFont val="Tahoma"/>
            <family val="2"/>
          </rPr>
          <t>Coe, Connie:</t>
        </r>
        <r>
          <rPr>
            <sz val="9"/>
            <color indexed="81"/>
            <rFont val="Tahoma"/>
            <family val="2"/>
          </rPr>
          <t xml:space="preserve">
Acct 143
</t>
        </r>
        <r>
          <rPr>
            <b/>
            <sz val="9"/>
            <color indexed="10"/>
            <rFont val="Tahoma"/>
            <family val="2"/>
          </rPr>
          <t xml:space="preserve">--Includes Year end reclass of Acc 143.10 &amp; 143.11 to taxes accrued. </t>
        </r>
      </text>
    </comment>
    <comment ref="AF30" authorId="0" shapeId="0">
      <text>
        <r>
          <rPr>
            <b/>
            <sz val="9"/>
            <color indexed="81"/>
            <rFont val="Tahoma"/>
            <family val="2"/>
          </rPr>
          <t>Coe, Connie:</t>
        </r>
        <r>
          <rPr>
            <sz val="9"/>
            <color indexed="81"/>
            <rFont val="Tahoma"/>
            <family val="2"/>
          </rPr>
          <t xml:space="preserve">
Acct 143
</t>
        </r>
        <r>
          <rPr>
            <b/>
            <sz val="9"/>
            <color indexed="10"/>
            <rFont val="Tahoma"/>
            <family val="2"/>
          </rPr>
          <t xml:space="preserve">--Includes Year end reclass of Acc 143.10 &amp; 143.11 to taxes accrued. </t>
        </r>
      </text>
    </comment>
    <comment ref="AG30" authorId="0" shapeId="0">
      <text>
        <r>
          <rPr>
            <b/>
            <sz val="9"/>
            <color indexed="81"/>
            <rFont val="Tahoma"/>
            <family val="2"/>
          </rPr>
          <t>Coe, Connie:</t>
        </r>
        <r>
          <rPr>
            <sz val="9"/>
            <color indexed="81"/>
            <rFont val="Tahoma"/>
            <family val="2"/>
          </rPr>
          <t xml:space="preserve">
Acct 143
</t>
        </r>
        <r>
          <rPr>
            <b/>
            <sz val="9"/>
            <color indexed="10"/>
            <rFont val="Tahoma"/>
            <family val="2"/>
          </rPr>
          <t xml:space="preserve">--Includes Year end reclass of Acc 143.10 &amp; 143.11 to taxes accrued. </t>
        </r>
      </text>
    </comment>
    <comment ref="AH30" authorId="0" shapeId="0">
      <text>
        <r>
          <rPr>
            <b/>
            <sz val="9"/>
            <color indexed="81"/>
            <rFont val="Tahoma"/>
            <family val="2"/>
          </rPr>
          <t>Coe, Connie:</t>
        </r>
        <r>
          <rPr>
            <sz val="9"/>
            <color indexed="81"/>
            <rFont val="Tahoma"/>
            <family val="2"/>
          </rPr>
          <t xml:space="preserve">
Acct 143
</t>
        </r>
        <r>
          <rPr>
            <b/>
            <sz val="9"/>
            <color indexed="10"/>
            <rFont val="Tahoma"/>
            <family val="2"/>
          </rPr>
          <t xml:space="preserve">--Includes Year end reclass of Acc 143.10 &amp; 143.11 to taxes accrued. </t>
        </r>
      </text>
    </comment>
    <comment ref="AI30" authorId="0" shapeId="0">
      <text>
        <r>
          <rPr>
            <b/>
            <sz val="9"/>
            <color indexed="81"/>
            <rFont val="Tahoma"/>
            <family val="2"/>
          </rPr>
          <t>Coe, Connie:</t>
        </r>
        <r>
          <rPr>
            <sz val="9"/>
            <color indexed="81"/>
            <rFont val="Tahoma"/>
            <family val="2"/>
          </rPr>
          <t xml:space="preserve">
Acct 143
</t>
        </r>
        <r>
          <rPr>
            <b/>
            <sz val="9"/>
            <color indexed="10"/>
            <rFont val="Tahoma"/>
            <family val="2"/>
          </rPr>
          <t xml:space="preserve">--Includes Year end reclass of Acc 143.10 &amp; 143.11 to taxes accrued. </t>
        </r>
      </text>
    </comment>
    <comment ref="AC31" authorId="0" shapeId="0">
      <text>
        <r>
          <rPr>
            <b/>
            <sz val="9"/>
            <color indexed="81"/>
            <rFont val="Tahoma"/>
            <family val="2"/>
          </rPr>
          <t>Coe, Connie:</t>
        </r>
        <r>
          <rPr>
            <sz val="9"/>
            <color indexed="81"/>
            <rFont val="Tahoma"/>
            <family val="2"/>
          </rPr>
          <t xml:space="preserve">
Acct 144
</t>
        </r>
      </text>
    </comment>
    <comment ref="AD31" authorId="0" shapeId="0">
      <text>
        <r>
          <rPr>
            <b/>
            <sz val="9"/>
            <color indexed="81"/>
            <rFont val="Tahoma"/>
            <family val="2"/>
          </rPr>
          <t>Coe, Connie:</t>
        </r>
        <r>
          <rPr>
            <sz val="9"/>
            <color indexed="81"/>
            <rFont val="Tahoma"/>
            <family val="2"/>
          </rPr>
          <t xml:space="preserve">
Acct 144
</t>
        </r>
      </text>
    </comment>
    <comment ref="AE31" authorId="0" shapeId="0">
      <text>
        <r>
          <rPr>
            <b/>
            <sz val="9"/>
            <color indexed="81"/>
            <rFont val="Tahoma"/>
            <family val="2"/>
          </rPr>
          <t>Coe, Connie:</t>
        </r>
        <r>
          <rPr>
            <sz val="9"/>
            <color indexed="81"/>
            <rFont val="Tahoma"/>
            <family val="2"/>
          </rPr>
          <t xml:space="preserve">
Acct 144
</t>
        </r>
      </text>
    </comment>
    <comment ref="AF31" authorId="0" shapeId="0">
      <text>
        <r>
          <rPr>
            <b/>
            <sz val="9"/>
            <color indexed="81"/>
            <rFont val="Tahoma"/>
            <family val="2"/>
          </rPr>
          <t>Coe, Connie:</t>
        </r>
        <r>
          <rPr>
            <sz val="9"/>
            <color indexed="81"/>
            <rFont val="Tahoma"/>
            <family val="2"/>
          </rPr>
          <t xml:space="preserve">
Acct 144
</t>
        </r>
      </text>
    </comment>
    <comment ref="AG31" authorId="0" shapeId="0">
      <text>
        <r>
          <rPr>
            <b/>
            <sz val="9"/>
            <color indexed="81"/>
            <rFont val="Tahoma"/>
            <family val="2"/>
          </rPr>
          <t>Coe, Connie:</t>
        </r>
        <r>
          <rPr>
            <sz val="9"/>
            <color indexed="81"/>
            <rFont val="Tahoma"/>
            <family val="2"/>
          </rPr>
          <t xml:space="preserve">
Acct 144
</t>
        </r>
      </text>
    </comment>
    <comment ref="AH31" authorId="0" shapeId="0">
      <text>
        <r>
          <rPr>
            <b/>
            <sz val="9"/>
            <color indexed="81"/>
            <rFont val="Tahoma"/>
            <family val="2"/>
          </rPr>
          <t>Coe, Connie:</t>
        </r>
        <r>
          <rPr>
            <sz val="9"/>
            <color indexed="81"/>
            <rFont val="Tahoma"/>
            <family val="2"/>
          </rPr>
          <t xml:space="preserve">
Acct 144
</t>
        </r>
      </text>
    </comment>
    <comment ref="AI31" authorId="0" shapeId="0">
      <text>
        <r>
          <rPr>
            <b/>
            <sz val="9"/>
            <color indexed="81"/>
            <rFont val="Tahoma"/>
            <family val="2"/>
          </rPr>
          <t>Coe, Connie:</t>
        </r>
        <r>
          <rPr>
            <sz val="9"/>
            <color indexed="81"/>
            <rFont val="Tahoma"/>
            <family val="2"/>
          </rPr>
          <t xml:space="preserve">
Acct 144
</t>
        </r>
      </text>
    </comment>
    <comment ref="A32" authorId="2" shapeId="0">
      <text>
        <r>
          <rPr>
            <b/>
            <sz val="9"/>
            <color indexed="81"/>
            <rFont val="Tahoma"/>
            <family val="2"/>
          </rPr>
          <t>Valdes, Amnerys:</t>
        </r>
        <r>
          <rPr>
            <sz val="9"/>
            <color indexed="81"/>
            <rFont val="Tahoma"/>
            <family val="2"/>
          </rPr>
          <t xml:space="preserve">
Acc 146.07 + 146.53 + 146.52</t>
        </r>
      </text>
    </comment>
    <comment ref="V32" authorId="2" shapeId="0">
      <text>
        <r>
          <rPr>
            <b/>
            <sz val="9"/>
            <color indexed="81"/>
            <rFont val="Tahoma"/>
            <family val="2"/>
          </rPr>
          <t>Valdes, Amnerys:</t>
        </r>
        <r>
          <rPr>
            <sz val="9"/>
            <color indexed="81"/>
            <rFont val="Tahoma"/>
            <family val="2"/>
          </rPr>
          <t xml:space="preserve">
Acc 146.07 + 146.53 + 146.52</t>
        </r>
      </text>
    </comment>
    <comment ref="W32" authorId="2" shapeId="0">
      <text>
        <r>
          <rPr>
            <b/>
            <sz val="9"/>
            <color indexed="81"/>
            <rFont val="Tahoma"/>
            <family val="2"/>
          </rPr>
          <t>Valdes, Amnerys:</t>
        </r>
        <r>
          <rPr>
            <sz val="9"/>
            <color indexed="81"/>
            <rFont val="Tahoma"/>
            <family val="2"/>
          </rPr>
          <t xml:space="preserve">
Acc 146.07 + 146.53 + 146.52</t>
        </r>
      </text>
    </comment>
    <comment ref="X32" authorId="2" shapeId="0">
      <text>
        <r>
          <rPr>
            <b/>
            <sz val="9"/>
            <color indexed="81"/>
            <rFont val="Tahoma"/>
            <family val="2"/>
          </rPr>
          <t>Valdes, Amnerys:</t>
        </r>
        <r>
          <rPr>
            <sz val="9"/>
            <color indexed="81"/>
            <rFont val="Tahoma"/>
            <family val="2"/>
          </rPr>
          <t xml:space="preserve">
Acc 146.07 + 146.53 + 146.52</t>
        </r>
      </text>
    </comment>
    <comment ref="Y32" authorId="2" shapeId="0">
      <text>
        <r>
          <rPr>
            <b/>
            <sz val="9"/>
            <color indexed="81"/>
            <rFont val="Tahoma"/>
            <family val="2"/>
          </rPr>
          <t>Valdes, Amnerys:</t>
        </r>
        <r>
          <rPr>
            <sz val="9"/>
            <color indexed="81"/>
            <rFont val="Tahoma"/>
            <family val="2"/>
          </rPr>
          <t xml:space="preserve">
Acc 146.07 + 146.53 + 146.52</t>
        </r>
      </text>
    </comment>
    <comment ref="Z32" authorId="2" shapeId="0">
      <text>
        <r>
          <rPr>
            <b/>
            <sz val="9"/>
            <color indexed="81"/>
            <rFont val="Tahoma"/>
            <family val="2"/>
          </rPr>
          <t>Valdes, Amnerys:</t>
        </r>
        <r>
          <rPr>
            <sz val="9"/>
            <color indexed="81"/>
            <rFont val="Tahoma"/>
            <family val="2"/>
          </rPr>
          <t xml:space="preserve">
Acc 146.07 + 146.53 + 146.52</t>
        </r>
      </text>
    </comment>
    <comment ref="AA32" authorId="2" shapeId="0">
      <text>
        <r>
          <rPr>
            <b/>
            <sz val="9"/>
            <color indexed="81"/>
            <rFont val="Tahoma"/>
            <family val="2"/>
          </rPr>
          <t>Valdes, Amnerys:</t>
        </r>
        <r>
          <rPr>
            <sz val="9"/>
            <color indexed="81"/>
            <rFont val="Tahoma"/>
            <family val="2"/>
          </rPr>
          <t xml:space="preserve">
Acc 146.07 + 146.53 + 146.52</t>
        </r>
      </text>
    </comment>
    <comment ref="AB32" authorId="2" shapeId="0">
      <text>
        <r>
          <rPr>
            <b/>
            <sz val="9"/>
            <color indexed="81"/>
            <rFont val="Tahoma"/>
            <family val="2"/>
          </rPr>
          <t>Valdes, Amnerys:</t>
        </r>
        <r>
          <rPr>
            <sz val="9"/>
            <color indexed="81"/>
            <rFont val="Tahoma"/>
            <family val="2"/>
          </rPr>
          <t xml:space="preserve">
Acc 146.07 + 146.53 + 146.52</t>
        </r>
      </text>
    </comment>
    <comment ref="AC32" authorId="2" shapeId="0">
      <text>
        <r>
          <rPr>
            <b/>
            <sz val="9"/>
            <color indexed="81"/>
            <rFont val="Tahoma"/>
            <family val="2"/>
          </rPr>
          <t>Valdes, Amnerys:</t>
        </r>
        <r>
          <rPr>
            <sz val="9"/>
            <color indexed="81"/>
            <rFont val="Tahoma"/>
            <family val="2"/>
          </rPr>
          <t xml:space="preserve">
Acc 146.07 + 146.53 + 146.52</t>
        </r>
      </text>
    </comment>
    <comment ref="AD32" authorId="2" shapeId="0">
      <text>
        <r>
          <rPr>
            <b/>
            <sz val="9"/>
            <color indexed="81"/>
            <rFont val="Tahoma"/>
            <family val="2"/>
          </rPr>
          <t>Valdes, Amnerys:</t>
        </r>
        <r>
          <rPr>
            <sz val="9"/>
            <color indexed="81"/>
            <rFont val="Tahoma"/>
            <family val="2"/>
          </rPr>
          <t xml:space="preserve">
Acc 146.07 + 146.53 + 146.52</t>
        </r>
      </text>
    </comment>
    <comment ref="AE32" authorId="2" shapeId="0">
      <text>
        <r>
          <rPr>
            <b/>
            <sz val="9"/>
            <color indexed="81"/>
            <rFont val="Tahoma"/>
            <family val="2"/>
          </rPr>
          <t>Valdes, Amnerys:</t>
        </r>
        <r>
          <rPr>
            <sz val="9"/>
            <color indexed="81"/>
            <rFont val="Tahoma"/>
            <family val="2"/>
          </rPr>
          <t xml:space="preserve">
Acc 146.07 + 146.53 + 146.52</t>
        </r>
      </text>
    </comment>
    <comment ref="AF32" authorId="2" shapeId="0">
      <text>
        <r>
          <rPr>
            <b/>
            <sz val="9"/>
            <color indexed="81"/>
            <rFont val="Tahoma"/>
            <family val="2"/>
          </rPr>
          <t>Valdes, Amnerys:</t>
        </r>
        <r>
          <rPr>
            <sz val="9"/>
            <color indexed="81"/>
            <rFont val="Tahoma"/>
            <family val="2"/>
          </rPr>
          <t xml:space="preserve">
Acc 146.07 + 146.53 + 146.52</t>
        </r>
      </text>
    </comment>
    <comment ref="AG32" authorId="2" shapeId="0">
      <text>
        <r>
          <rPr>
            <b/>
            <sz val="9"/>
            <color indexed="81"/>
            <rFont val="Tahoma"/>
            <family val="2"/>
          </rPr>
          <t>Valdes, Amnerys:</t>
        </r>
        <r>
          <rPr>
            <sz val="9"/>
            <color indexed="81"/>
            <rFont val="Tahoma"/>
            <family val="2"/>
          </rPr>
          <t xml:space="preserve">
Acc 146.07 + 146.53 + 146.52</t>
        </r>
      </text>
    </comment>
    <comment ref="AH32" authorId="2" shapeId="0">
      <text>
        <r>
          <rPr>
            <b/>
            <sz val="9"/>
            <color indexed="81"/>
            <rFont val="Tahoma"/>
            <family val="2"/>
          </rPr>
          <t>Valdes, Amnerys:</t>
        </r>
        <r>
          <rPr>
            <sz val="9"/>
            <color indexed="81"/>
            <rFont val="Tahoma"/>
            <family val="2"/>
          </rPr>
          <t xml:space="preserve">
Acc 146.07 + 146.53 + 146.52</t>
        </r>
      </text>
    </comment>
    <comment ref="AI32" authorId="2" shapeId="0">
      <text>
        <r>
          <rPr>
            <b/>
            <sz val="9"/>
            <color indexed="81"/>
            <rFont val="Tahoma"/>
            <family val="2"/>
          </rPr>
          <t>Valdes, Amnerys:</t>
        </r>
        <r>
          <rPr>
            <sz val="9"/>
            <color indexed="81"/>
            <rFont val="Tahoma"/>
            <family val="2"/>
          </rPr>
          <t xml:space="preserve">
Acc 146.07 + 146.53 + 146.52</t>
        </r>
      </text>
    </comment>
    <comment ref="A33" authorId="2" shapeId="0">
      <text>
        <r>
          <rPr>
            <b/>
            <sz val="9"/>
            <color indexed="81"/>
            <rFont val="Tahoma"/>
            <family val="2"/>
          </rPr>
          <t>Valdes, Amnerys:</t>
        </r>
        <r>
          <rPr>
            <sz val="9"/>
            <color indexed="81"/>
            <rFont val="Tahoma"/>
            <family val="2"/>
          </rPr>
          <t xml:space="preserve">
Acc 146 - (Acc 146.07 + 146.53 + 146.52)</t>
        </r>
      </text>
    </comment>
    <comment ref="V33" authorId="2" shapeId="0">
      <text>
        <r>
          <rPr>
            <b/>
            <sz val="9"/>
            <color indexed="81"/>
            <rFont val="Tahoma"/>
            <family val="2"/>
          </rPr>
          <t>Valdes, Amnerys:</t>
        </r>
        <r>
          <rPr>
            <sz val="9"/>
            <color indexed="81"/>
            <rFont val="Tahoma"/>
            <family val="2"/>
          </rPr>
          <t xml:space="preserve">
Acc 146 -(Acc 146.07 + 146.53 + 146.52)</t>
        </r>
      </text>
    </comment>
    <comment ref="W33" authorId="2" shapeId="0">
      <text>
        <r>
          <rPr>
            <b/>
            <sz val="9"/>
            <color indexed="81"/>
            <rFont val="Tahoma"/>
            <family val="2"/>
          </rPr>
          <t>Valdes, Amnerys:</t>
        </r>
        <r>
          <rPr>
            <sz val="9"/>
            <color indexed="81"/>
            <rFont val="Tahoma"/>
            <family val="2"/>
          </rPr>
          <t xml:space="preserve">
Acc 146 -(Acc 146.07 + 146.53 + 146.52)</t>
        </r>
      </text>
    </comment>
    <comment ref="X33" authorId="2" shapeId="0">
      <text>
        <r>
          <rPr>
            <b/>
            <sz val="9"/>
            <color indexed="81"/>
            <rFont val="Tahoma"/>
            <family val="2"/>
          </rPr>
          <t>Valdes, Amnerys:</t>
        </r>
        <r>
          <rPr>
            <sz val="9"/>
            <color indexed="81"/>
            <rFont val="Tahoma"/>
            <family val="2"/>
          </rPr>
          <t xml:space="preserve">
Acc 146 - (Acc 146.07 + 146.53 + 146.52)</t>
        </r>
      </text>
    </comment>
    <comment ref="Y33" authorId="2" shapeId="0">
      <text>
        <r>
          <rPr>
            <b/>
            <sz val="9"/>
            <color indexed="81"/>
            <rFont val="Tahoma"/>
            <family val="2"/>
          </rPr>
          <t>Valdes, Amnerys:</t>
        </r>
        <r>
          <rPr>
            <sz val="9"/>
            <color indexed="81"/>
            <rFont val="Tahoma"/>
            <family val="2"/>
          </rPr>
          <t xml:space="preserve">
Acc 146 - (Acc 146.07 + 146.53 + 146.52)</t>
        </r>
      </text>
    </comment>
    <comment ref="Z33" authorId="2" shapeId="0">
      <text>
        <r>
          <rPr>
            <b/>
            <sz val="9"/>
            <color indexed="81"/>
            <rFont val="Tahoma"/>
            <family val="2"/>
          </rPr>
          <t>Valdes, Amnerys:</t>
        </r>
        <r>
          <rPr>
            <sz val="9"/>
            <color indexed="81"/>
            <rFont val="Tahoma"/>
            <family val="2"/>
          </rPr>
          <t xml:space="preserve">
Acc 146 - (Acc 146.07 + 146.53 + 146.52)</t>
        </r>
      </text>
    </comment>
    <comment ref="AA33" authorId="2" shapeId="0">
      <text>
        <r>
          <rPr>
            <b/>
            <sz val="9"/>
            <color indexed="81"/>
            <rFont val="Tahoma"/>
            <family val="2"/>
          </rPr>
          <t>Valdes, Amnerys:</t>
        </r>
        <r>
          <rPr>
            <sz val="9"/>
            <color indexed="81"/>
            <rFont val="Tahoma"/>
            <family val="2"/>
          </rPr>
          <t xml:space="preserve">
Acc 146 - (Acc 146.07 + 146.53 + 146.52)</t>
        </r>
      </text>
    </comment>
    <comment ref="AB33" authorId="2" shapeId="0">
      <text>
        <r>
          <rPr>
            <b/>
            <sz val="9"/>
            <color indexed="81"/>
            <rFont val="Tahoma"/>
            <family val="2"/>
          </rPr>
          <t>Valdes, Amnerys:</t>
        </r>
        <r>
          <rPr>
            <sz val="9"/>
            <color indexed="81"/>
            <rFont val="Tahoma"/>
            <family val="2"/>
          </rPr>
          <t xml:space="preserve">
Acc 146 - (Acc 146.07 + 146.53 + 146.52)</t>
        </r>
      </text>
    </comment>
    <comment ref="AC33" authorId="2" shapeId="0">
      <text>
        <r>
          <rPr>
            <b/>
            <sz val="9"/>
            <color indexed="81"/>
            <rFont val="Tahoma"/>
            <family val="2"/>
          </rPr>
          <t>Valdes, Amnerys:</t>
        </r>
        <r>
          <rPr>
            <sz val="9"/>
            <color indexed="81"/>
            <rFont val="Tahoma"/>
            <family val="2"/>
          </rPr>
          <t xml:space="preserve">
Acc 146 - (Acc 146.07 + 146.53 + 146.52)</t>
        </r>
      </text>
    </comment>
    <comment ref="AD33" authorId="2" shapeId="0">
      <text>
        <r>
          <rPr>
            <b/>
            <sz val="9"/>
            <color indexed="81"/>
            <rFont val="Tahoma"/>
            <family val="2"/>
          </rPr>
          <t>Valdes, Amnerys:</t>
        </r>
        <r>
          <rPr>
            <sz val="9"/>
            <color indexed="81"/>
            <rFont val="Tahoma"/>
            <family val="2"/>
          </rPr>
          <t xml:space="preserve">
Acc 146 - (Acc 146.07 + 146.53 + 146.52)</t>
        </r>
      </text>
    </comment>
    <comment ref="AE33" authorId="2" shapeId="0">
      <text>
        <r>
          <rPr>
            <b/>
            <sz val="9"/>
            <color indexed="81"/>
            <rFont val="Tahoma"/>
            <family val="2"/>
          </rPr>
          <t>Valdes, Amnerys:</t>
        </r>
        <r>
          <rPr>
            <sz val="9"/>
            <color indexed="81"/>
            <rFont val="Tahoma"/>
            <family val="2"/>
          </rPr>
          <t xml:space="preserve">
Acc 146 - (Acc 146.07 + 146.53 + 146.52)</t>
        </r>
      </text>
    </comment>
    <comment ref="AF33" authorId="2" shapeId="0">
      <text>
        <r>
          <rPr>
            <b/>
            <sz val="9"/>
            <color indexed="81"/>
            <rFont val="Tahoma"/>
            <family val="2"/>
          </rPr>
          <t>Valdes, Amnerys:</t>
        </r>
        <r>
          <rPr>
            <sz val="9"/>
            <color indexed="81"/>
            <rFont val="Tahoma"/>
            <family val="2"/>
          </rPr>
          <t xml:space="preserve">
Acc 146 - (Acc 146.07 + 146.53 + 146.52)</t>
        </r>
      </text>
    </comment>
    <comment ref="AG33" authorId="2" shapeId="0">
      <text>
        <r>
          <rPr>
            <b/>
            <sz val="9"/>
            <color indexed="81"/>
            <rFont val="Tahoma"/>
            <family val="2"/>
          </rPr>
          <t>Valdes, Amnerys:</t>
        </r>
        <r>
          <rPr>
            <sz val="9"/>
            <color indexed="81"/>
            <rFont val="Tahoma"/>
            <family val="2"/>
          </rPr>
          <t xml:space="preserve">
Acc 146 - (Acc 146.07 + 146.53 + 146.52)</t>
        </r>
      </text>
    </comment>
    <comment ref="AH33" authorId="2" shapeId="0">
      <text>
        <r>
          <rPr>
            <b/>
            <sz val="9"/>
            <color indexed="81"/>
            <rFont val="Tahoma"/>
            <family val="2"/>
          </rPr>
          <t>Valdes, Amnerys:</t>
        </r>
        <r>
          <rPr>
            <sz val="9"/>
            <color indexed="81"/>
            <rFont val="Tahoma"/>
            <family val="2"/>
          </rPr>
          <t xml:space="preserve">
Acc 146 - (Acc 146.07 + 146.53 + 146.52)</t>
        </r>
      </text>
    </comment>
    <comment ref="AI33" authorId="2" shapeId="0">
      <text>
        <r>
          <rPr>
            <b/>
            <sz val="9"/>
            <color indexed="81"/>
            <rFont val="Tahoma"/>
            <family val="2"/>
          </rPr>
          <t>Valdes, Amnerys:</t>
        </r>
        <r>
          <rPr>
            <sz val="9"/>
            <color indexed="81"/>
            <rFont val="Tahoma"/>
            <family val="2"/>
          </rPr>
          <t xml:space="preserve">
Acc 146 - (Acc 146.07 + 146.53 + 146.52)</t>
        </r>
      </text>
    </comment>
    <comment ref="AP33" authorId="3" shapeId="0">
      <text>
        <r>
          <rPr>
            <b/>
            <sz val="9"/>
            <color indexed="81"/>
            <rFont val="Tahoma"/>
            <family val="2"/>
          </rPr>
          <t>Coe, Connie P.:</t>
        </r>
        <r>
          <rPr>
            <sz val="9"/>
            <color indexed="81"/>
            <rFont val="Tahoma"/>
            <family val="2"/>
          </rPr>
          <t xml:space="preserve">
146</t>
        </r>
      </text>
    </comment>
    <comment ref="A39"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O39"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P39"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Q39"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R39"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S39"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T39"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O47" authorId="3" shapeId="0">
      <text>
        <r>
          <rPr>
            <b/>
            <sz val="9"/>
            <color indexed="81"/>
            <rFont val="Tahoma"/>
            <family val="2"/>
          </rPr>
          <t>Coe, Connie P.:</t>
        </r>
        <r>
          <rPr>
            <sz val="9"/>
            <color indexed="81"/>
            <rFont val="Tahoma"/>
            <family val="2"/>
          </rPr>
          <t xml:space="preserve">
1860800 Def Db Oth
182 Oth Reg Asst
(1823070) Comp Rate Adj (see unbilled Rev)
-(1823102) Rate Case Exp Curr
-(1823105) Curr Deriv Reg Asst
-(1823205) LT Deriv Reg Asst</t>
        </r>
      </text>
    </comment>
    <comment ref="AP47"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O50" authorId="3" shapeId="0">
      <text>
        <r>
          <rPr>
            <b/>
            <sz val="9"/>
            <color indexed="81"/>
            <rFont val="Tahoma"/>
            <family val="2"/>
          </rPr>
          <t>Coe, Connie P.:</t>
        </r>
        <r>
          <rPr>
            <sz val="9"/>
            <color indexed="81"/>
            <rFont val="Tahoma"/>
            <family val="2"/>
          </rPr>
          <t xml:space="preserve">
Legacy account 18672
</t>
        </r>
      </text>
    </comment>
    <comment ref="A52" authorId="1" shapeId="0">
      <text>
        <r>
          <rPr>
            <b/>
            <sz val="10"/>
            <color indexed="81"/>
            <rFont val="Tahoma"/>
            <family val="2"/>
          </rPr>
          <t>Amnerys Valdes:</t>
        </r>
        <r>
          <rPr>
            <sz val="10"/>
            <color indexed="81"/>
            <rFont val="Tahoma"/>
            <family val="2"/>
          </rPr>
          <t xml:space="preserve">
Unrecovered Gas Costs (Acc 191.05 + 191.06) + Reg Derivative (Acc 191.07) 
= Unrecov Gas Costs in B/S Statement</t>
        </r>
      </text>
    </comment>
    <comment ref="O52" authorId="1" shapeId="0">
      <text>
        <r>
          <rPr>
            <b/>
            <sz val="10"/>
            <color indexed="81"/>
            <rFont val="Tahoma"/>
            <family val="2"/>
          </rPr>
          <t>Amnerys Valdes:</t>
        </r>
        <r>
          <rPr>
            <sz val="10"/>
            <color indexed="81"/>
            <rFont val="Tahoma"/>
            <family val="2"/>
          </rPr>
          <t xml:space="preserve">
Acc 191.05 + 191.06</t>
        </r>
      </text>
    </comment>
    <comment ref="P52" authorId="1" shapeId="0">
      <text>
        <r>
          <rPr>
            <b/>
            <sz val="10"/>
            <color indexed="81"/>
            <rFont val="Tahoma"/>
            <family val="2"/>
          </rPr>
          <t>Amnerys Valdes:</t>
        </r>
        <r>
          <rPr>
            <sz val="10"/>
            <color indexed="81"/>
            <rFont val="Tahoma"/>
            <family val="2"/>
          </rPr>
          <t xml:space="preserve">
Acc 191.05 + 191.06</t>
        </r>
      </text>
    </comment>
    <comment ref="Q52" authorId="1" shapeId="0">
      <text>
        <r>
          <rPr>
            <b/>
            <sz val="10"/>
            <color indexed="81"/>
            <rFont val="Tahoma"/>
            <family val="2"/>
          </rPr>
          <t>Amnerys Valdes:</t>
        </r>
        <r>
          <rPr>
            <sz val="10"/>
            <color indexed="81"/>
            <rFont val="Tahoma"/>
            <family val="2"/>
          </rPr>
          <t xml:space="preserve">
Acc 191.05 + 191.06</t>
        </r>
      </text>
    </comment>
    <comment ref="R52" authorId="1" shapeId="0">
      <text>
        <r>
          <rPr>
            <b/>
            <sz val="10"/>
            <color indexed="81"/>
            <rFont val="Tahoma"/>
            <family val="2"/>
          </rPr>
          <t>Amnerys Valdes:</t>
        </r>
        <r>
          <rPr>
            <sz val="10"/>
            <color indexed="81"/>
            <rFont val="Tahoma"/>
            <family val="2"/>
          </rPr>
          <t xml:space="preserve">
Acc 191.05 + 191.06</t>
        </r>
      </text>
    </comment>
    <comment ref="S52" authorId="1" shapeId="0">
      <text>
        <r>
          <rPr>
            <b/>
            <sz val="10"/>
            <color indexed="81"/>
            <rFont val="Tahoma"/>
            <family val="2"/>
          </rPr>
          <t>Amnerys Valdes:</t>
        </r>
        <r>
          <rPr>
            <sz val="10"/>
            <color indexed="81"/>
            <rFont val="Tahoma"/>
            <family val="2"/>
          </rPr>
          <t xml:space="preserve">
Acc 191.05 + 191.06</t>
        </r>
      </text>
    </comment>
    <comment ref="T52" authorId="1" shapeId="0">
      <text>
        <r>
          <rPr>
            <b/>
            <sz val="10"/>
            <color indexed="81"/>
            <rFont val="Tahoma"/>
            <family val="2"/>
          </rPr>
          <t>Amnerys Valdes:</t>
        </r>
        <r>
          <rPr>
            <sz val="10"/>
            <color indexed="81"/>
            <rFont val="Tahoma"/>
            <family val="2"/>
          </rPr>
          <t xml:space="preserve">
Acc 191.05 + 191.06</t>
        </r>
      </text>
    </comment>
    <comment ref="U52" authorId="1" shapeId="0">
      <text>
        <r>
          <rPr>
            <b/>
            <sz val="10"/>
            <color indexed="81"/>
            <rFont val="Tahoma"/>
            <family val="2"/>
          </rPr>
          <t>Amnerys Valdes:</t>
        </r>
        <r>
          <rPr>
            <sz val="10"/>
            <color indexed="81"/>
            <rFont val="Tahoma"/>
            <family val="2"/>
          </rPr>
          <t xml:space="preserve">
Acc 191.05 + 191.06</t>
        </r>
      </text>
    </comment>
    <comment ref="V52" authorId="1" shapeId="0">
      <text>
        <r>
          <rPr>
            <b/>
            <sz val="10"/>
            <color indexed="81"/>
            <rFont val="Tahoma"/>
            <family val="2"/>
          </rPr>
          <t>Amnerys Valdes:</t>
        </r>
        <r>
          <rPr>
            <sz val="10"/>
            <color indexed="81"/>
            <rFont val="Tahoma"/>
            <family val="2"/>
          </rPr>
          <t xml:space="preserve">
Acc 191.05 + 191.06</t>
        </r>
      </text>
    </comment>
    <comment ref="W52" authorId="1" shapeId="0">
      <text>
        <r>
          <rPr>
            <b/>
            <sz val="10"/>
            <color indexed="81"/>
            <rFont val="Tahoma"/>
            <family val="2"/>
          </rPr>
          <t>Amnerys Valdes:</t>
        </r>
        <r>
          <rPr>
            <sz val="10"/>
            <color indexed="81"/>
            <rFont val="Tahoma"/>
            <family val="2"/>
          </rPr>
          <t xml:space="preserve">
Acc 191.05 + 191.06</t>
        </r>
      </text>
    </comment>
    <comment ref="X52" authorId="1" shapeId="0">
      <text>
        <r>
          <rPr>
            <b/>
            <sz val="10"/>
            <color indexed="81"/>
            <rFont val="Tahoma"/>
            <family val="2"/>
          </rPr>
          <t>Amnerys Valdes:</t>
        </r>
        <r>
          <rPr>
            <sz val="10"/>
            <color indexed="81"/>
            <rFont val="Tahoma"/>
            <family val="2"/>
          </rPr>
          <t xml:space="preserve">
Acc 191.05 + 191.06</t>
        </r>
      </text>
    </comment>
    <comment ref="Y52" authorId="1" shapeId="0">
      <text>
        <r>
          <rPr>
            <b/>
            <sz val="10"/>
            <color indexed="81"/>
            <rFont val="Tahoma"/>
            <family val="2"/>
          </rPr>
          <t>Amnerys Valdes:</t>
        </r>
        <r>
          <rPr>
            <sz val="10"/>
            <color indexed="81"/>
            <rFont val="Tahoma"/>
            <family val="2"/>
          </rPr>
          <t xml:space="preserve">
Acc 191.05 + 191.06</t>
        </r>
      </text>
    </comment>
    <comment ref="Z52" authorId="1" shapeId="0">
      <text>
        <r>
          <rPr>
            <b/>
            <sz val="10"/>
            <color indexed="81"/>
            <rFont val="Tahoma"/>
            <family val="2"/>
          </rPr>
          <t>Amnerys Valdes:</t>
        </r>
        <r>
          <rPr>
            <sz val="10"/>
            <color indexed="81"/>
            <rFont val="Tahoma"/>
            <family val="2"/>
          </rPr>
          <t xml:space="preserve">
Acc 191.05 + 191.06</t>
        </r>
      </text>
    </comment>
    <comment ref="AA52" authorId="1" shapeId="0">
      <text>
        <r>
          <rPr>
            <b/>
            <sz val="10"/>
            <color indexed="81"/>
            <rFont val="Tahoma"/>
            <family val="2"/>
          </rPr>
          <t>Amnerys Valdes:</t>
        </r>
        <r>
          <rPr>
            <sz val="10"/>
            <color indexed="81"/>
            <rFont val="Tahoma"/>
            <family val="2"/>
          </rPr>
          <t xml:space="preserve">
Acc 191.05 + 191.06</t>
        </r>
      </text>
    </comment>
    <comment ref="AB52" authorId="1" shapeId="0">
      <text>
        <r>
          <rPr>
            <b/>
            <sz val="10"/>
            <color indexed="81"/>
            <rFont val="Tahoma"/>
            <family val="2"/>
          </rPr>
          <t>Amnerys Valdes:</t>
        </r>
        <r>
          <rPr>
            <sz val="10"/>
            <color indexed="81"/>
            <rFont val="Tahoma"/>
            <family val="2"/>
          </rPr>
          <t xml:space="preserve">
Acc 191.05 + 191.06</t>
        </r>
      </text>
    </comment>
    <comment ref="AC52" authorId="1" shapeId="0">
      <text>
        <r>
          <rPr>
            <b/>
            <sz val="10"/>
            <color indexed="81"/>
            <rFont val="Tahoma"/>
            <family val="2"/>
          </rPr>
          <t>Amnerys Valdes:</t>
        </r>
        <r>
          <rPr>
            <sz val="10"/>
            <color indexed="81"/>
            <rFont val="Tahoma"/>
            <family val="2"/>
          </rPr>
          <t xml:space="preserve">
Acc 191.05 + 191.06</t>
        </r>
      </text>
    </comment>
    <comment ref="AD52" authorId="1" shapeId="0">
      <text>
        <r>
          <rPr>
            <b/>
            <sz val="10"/>
            <color indexed="81"/>
            <rFont val="Tahoma"/>
            <family val="2"/>
          </rPr>
          <t>Amnerys Valdes:</t>
        </r>
        <r>
          <rPr>
            <sz val="10"/>
            <color indexed="81"/>
            <rFont val="Tahoma"/>
            <family val="2"/>
          </rPr>
          <t xml:space="preserve">
Acc 191.05 + 191.06</t>
        </r>
      </text>
    </comment>
    <comment ref="AE52" authorId="1" shapeId="0">
      <text>
        <r>
          <rPr>
            <b/>
            <sz val="10"/>
            <color indexed="81"/>
            <rFont val="Tahoma"/>
            <family val="2"/>
          </rPr>
          <t>Amnerys Valdes:</t>
        </r>
        <r>
          <rPr>
            <sz val="10"/>
            <color indexed="81"/>
            <rFont val="Tahoma"/>
            <family val="2"/>
          </rPr>
          <t xml:space="preserve">
Acc 191.05 + 191.06</t>
        </r>
      </text>
    </comment>
    <comment ref="AF52" authorId="1" shapeId="0">
      <text>
        <r>
          <rPr>
            <b/>
            <sz val="10"/>
            <color indexed="81"/>
            <rFont val="Tahoma"/>
            <family val="2"/>
          </rPr>
          <t>Amnerys Valdes:</t>
        </r>
        <r>
          <rPr>
            <sz val="10"/>
            <color indexed="81"/>
            <rFont val="Tahoma"/>
            <family val="2"/>
          </rPr>
          <t xml:space="preserve">
Acc 191.05 + 191.06</t>
        </r>
      </text>
    </comment>
    <comment ref="AG52" authorId="1" shapeId="0">
      <text>
        <r>
          <rPr>
            <b/>
            <sz val="10"/>
            <color indexed="81"/>
            <rFont val="Tahoma"/>
            <family val="2"/>
          </rPr>
          <t>Amnerys Valdes:</t>
        </r>
        <r>
          <rPr>
            <sz val="10"/>
            <color indexed="81"/>
            <rFont val="Tahoma"/>
            <family val="2"/>
          </rPr>
          <t xml:space="preserve">
Acc 191.05 + 191.06</t>
        </r>
      </text>
    </comment>
    <comment ref="AH52" authorId="1" shapeId="0">
      <text>
        <r>
          <rPr>
            <b/>
            <sz val="10"/>
            <color indexed="81"/>
            <rFont val="Tahoma"/>
            <family val="2"/>
          </rPr>
          <t>Amnerys Valdes:</t>
        </r>
        <r>
          <rPr>
            <sz val="10"/>
            <color indexed="81"/>
            <rFont val="Tahoma"/>
            <family val="2"/>
          </rPr>
          <t xml:space="preserve">
Acc 191.05 + 191.06</t>
        </r>
      </text>
    </comment>
    <comment ref="AI52" authorId="1" shapeId="0">
      <text>
        <r>
          <rPr>
            <b/>
            <sz val="10"/>
            <color indexed="81"/>
            <rFont val="Tahoma"/>
            <family val="2"/>
          </rPr>
          <t>Amnerys Valdes:</t>
        </r>
        <r>
          <rPr>
            <sz val="10"/>
            <color indexed="81"/>
            <rFont val="Tahoma"/>
            <family val="2"/>
          </rPr>
          <t xml:space="preserve">
Acc 191.05 + 191.06</t>
        </r>
      </text>
    </comment>
    <comment ref="AJ52" authorId="3" shapeId="0">
      <text>
        <r>
          <rPr>
            <b/>
            <sz val="9"/>
            <color indexed="81"/>
            <rFont val="Tahoma"/>
            <family val="2"/>
          </rPr>
          <t>Coe, Connie P.:</t>
        </r>
        <r>
          <rPr>
            <sz val="9"/>
            <color indexed="81"/>
            <rFont val="Tahoma"/>
            <family val="2"/>
          </rPr>
          <t xml:space="preserve">
</t>
        </r>
      </text>
    </comment>
    <comment ref="A53" authorId="1" shapeId="0">
      <text>
        <r>
          <rPr>
            <b/>
            <sz val="10"/>
            <color indexed="81"/>
            <rFont val="Tahoma"/>
            <family val="2"/>
          </rPr>
          <t>Amnerys Valdes:</t>
        </r>
        <r>
          <rPr>
            <sz val="10"/>
            <color indexed="81"/>
            <rFont val="Tahoma"/>
            <family val="2"/>
          </rPr>
          <t xml:space="preserve">
Acc 191.07 (Mark to Market Derivative)</t>
        </r>
      </text>
    </comment>
    <comment ref="O53" authorId="1" shapeId="0">
      <text>
        <r>
          <rPr>
            <b/>
            <sz val="10"/>
            <color indexed="81"/>
            <rFont val="Tahoma"/>
            <family val="2"/>
          </rPr>
          <t>Amnerys Valdes:</t>
        </r>
        <r>
          <rPr>
            <sz val="10"/>
            <color indexed="81"/>
            <rFont val="Tahoma"/>
            <family val="2"/>
          </rPr>
          <t xml:space="preserve">
Acc 191.07</t>
        </r>
      </text>
    </comment>
    <comment ref="P53" authorId="1" shapeId="0">
      <text>
        <r>
          <rPr>
            <b/>
            <sz val="10"/>
            <color indexed="81"/>
            <rFont val="Tahoma"/>
            <family val="2"/>
          </rPr>
          <t>Amnerys Valdes:</t>
        </r>
        <r>
          <rPr>
            <sz val="10"/>
            <color indexed="81"/>
            <rFont val="Tahoma"/>
            <family val="2"/>
          </rPr>
          <t xml:space="preserve">
Acc 191.07</t>
        </r>
      </text>
    </comment>
    <comment ref="Q53" authorId="1" shapeId="0">
      <text>
        <r>
          <rPr>
            <b/>
            <sz val="10"/>
            <color indexed="81"/>
            <rFont val="Tahoma"/>
            <family val="2"/>
          </rPr>
          <t>Amnerys Valdes:</t>
        </r>
        <r>
          <rPr>
            <sz val="10"/>
            <color indexed="81"/>
            <rFont val="Tahoma"/>
            <family val="2"/>
          </rPr>
          <t xml:space="preserve">
Acc 191.07</t>
        </r>
      </text>
    </comment>
    <comment ref="R53" authorId="1" shapeId="0">
      <text>
        <r>
          <rPr>
            <b/>
            <sz val="10"/>
            <color indexed="81"/>
            <rFont val="Tahoma"/>
            <family val="2"/>
          </rPr>
          <t>Amnerys Valdes:</t>
        </r>
        <r>
          <rPr>
            <sz val="10"/>
            <color indexed="81"/>
            <rFont val="Tahoma"/>
            <family val="2"/>
          </rPr>
          <t xml:space="preserve">
Acc 191.07</t>
        </r>
      </text>
    </comment>
    <comment ref="S53" authorId="1" shapeId="0">
      <text>
        <r>
          <rPr>
            <b/>
            <sz val="10"/>
            <color indexed="81"/>
            <rFont val="Tahoma"/>
            <family val="2"/>
          </rPr>
          <t>Amnerys Valdes:</t>
        </r>
        <r>
          <rPr>
            <sz val="10"/>
            <color indexed="81"/>
            <rFont val="Tahoma"/>
            <family val="2"/>
          </rPr>
          <t xml:space="preserve">
Acc 191.07</t>
        </r>
      </text>
    </comment>
    <comment ref="T53" authorId="1" shapeId="0">
      <text>
        <r>
          <rPr>
            <b/>
            <sz val="10"/>
            <color indexed="81"/>
            <rFont val="Tahoma"/>
            <family val="2"/>
          </rPr>
          <t>Amnerys Valdes:</t>
        </r>
        <r>
          <rPr>
            <sz val="10"/>
            <color indexed="81"/>
            <rFont val="Tahoma"/>
            <family val="2"/>
          </rPr>
          <t xml:space="preserve">
Acc 191.07</t>
        </r>
      </text>
    </comment>
    <comment ref="U53" authorId="1" shapeId="0">
      <text>
        <r>
          <rPr>
            <b/>
            <sz val="10"/>
            <color indexed="81"/>
            <rFont val="Tahoma"/>
            <family val="2"/>
          </rPr>
          <t>Amnerys Valdes:</t>
        </r>
        <r>
          <rPr>
            <sz val="10"/>
            <color indexed="81"/>
            <rFont val="Tahoma"/>
            <family val="2"/>
          </rPr>
          <t xml:space="preserve">
Acc 191.07</t>
        </r>
      </text>
    </comment>
    <comment ref="V53" authorId="1" shapeId="0">
      <text>
        <r>
          <rPr>
            <b/>
            <sz val="10"/>
            <color indexed="81"/>
            <rFont val="Tahoma"/>
            <family val="2"/>
          </rPr>
          <t>Amnerys Valdes:</t>
        </r>
        <r>
          <rPr>
            <sz val="10"/>
            <color indexed="81"/>
            <rFont val="Tahoma"/>
            <family val="2"/>
          </rPr>
          <t xml:space="preserve">
Acc 191.07</t>
        </r>
      </text>
    </comment>
    <comment ref="W53" authorId="1" shapeId="0">
      <text>
        <r>
          <rPr>
            <b/>
            <sz val="10"/>
            <color indexed="81"/>
            <rFont val="Tahoma"/>
            <family val="2"/>
          </rPr>
          <t>Amnerys Valdes:</t>
        </r>
        <r>
          <rPr>
            <sz val="10"/>
            <color indexed="81"/>
            <rFont val="Tahoma"/>
            <family val="2"/>
          </rPr>
          <t xml:space="preserve">
Acc 191.07</t>
        </r>
      </text>
    </comment>
    <comment ref="X53" authorId="1" shapeId="0">
      <text>
        <r>
          <rPr>
            <b/>
            <sz val="10"/>
            <color indexed="81"/>
            <rFont val="Tahoma"/>
            <family val="2"/>
          </rPr>
          <t>Amnerys Valdes:</t>
        </r>
        <r>
          <rPr>
            <sz val="10"/>
            <color indexed="81"/>
            <rFont val="Tahoma"/>
            <family val="2"/>
          </rPr>
          <t xml:space="preserve">
Acc 191.07</t>
        </r>
      </text>
    </comment>
    <comment ref="Y53" authorId="1" shapeId="0">
      <text>
        <r>
          <rPr>
            <b/>
            <sz val="10"/>
            <color indexed="81"/>
            <rFont val="Tahoma"/>
            <family val="2"/>
          </rPr>
          <t>Amnerys Valdes:</t>
        </r>
        <r>
          <rPr>
            <sz val="10"/>
            <color indexed="81"/>
            <rFont val="Tahoma"/>
            <family val="2"/>
          </rPr>
          <t xml:space="preserve">
Acc 191.07</t>
        </r>
      </text>
    </comment>
    <comment ref="Z53" authorId="1" shapeId="0">
      <text>
        <r>
          <rPr>
            <b/>
            <sz val="10"/>
            <color indexed="81"/>
            <rFont val="Tahoma"/>
            <family val="2"/>
          </rPr>
          <t>Amnerys Valdes:</t>
        </r>
        <r>
          <rPr>
            <sz val="10"/>
            <color indexed="81"/>
            <rFont val="Tahoma"/>
            <family val="2"/>
          </rPr>
          <t xml:space="preserve">
Acc 191.07</t>
        </r>
      </text>
    </comment>
    <comment ref="AA53" authorId="1" shapeId="0">
      <text>
        <r>
          <rPr>
            <b/>
            <sz val="10"/>
            <color indexed="81"/>
            <rFont val="Tahoma"/>
            <family val="2"/>
          </rPr>
          <t>Amnerys Valdes:</t>
        </r>
        <r>
          <rPr>
            <sz val="10"/>
            <color indexed="81"/>
            <rFont val="Tahoma"/>
            <family val="2"/>
          </rPr>
          <t xml:space="preserve">
Acc 191.07</t>
        </r>
      </text>
    </comment>
    <comment ref="AB53" authorId="1" shapeId="0">
      <text>
        <r>
          <rPr>
            <b/>
            <sz val="10"/>
            <color indexed="81"/>
            <rFont val="Tahoma"/>
            <family val="2"/>
          </rPr>
          <t>Amnerys Valdes:</t>
        </r>
        <r>
          <rPr>
            <sz val="10"/>
            <color indexed="81"/>
            <rFont val="Tahoma"/>
            <family val="2"/>
          </rPr>
          <t xml:space="preserve">
Acc 191.07</t>
        </r>
      </text>
    </comment>
    <comment ref="AC53" authorId="1" shapeId="0">
      <text>
        <r>
          <rPr>
            <b/>
            <sz val="10"/>
            <color indexed="81"/>
            <rFont val="Tahoma"/>
            <family val="2"/>
          </rPr>
          <t>Amnerys Valdes:</t>
        </r>
        <r>
          <rPr>
            <sz val="10"/>
            <color indexed="81"/>
            <rFont val="Tahoma"/>
            <family val="2"/>
          </rPr>
          <t xml:space="preserve">
Acc 191.07</t>
        </r>
      </text>
    </comment>
    <comment ref="AD53" authorId="1" shapeId="0">
      <text>
        <r>
          <rPr>
            <b/>
            <sz val="10"/>
            <color indexed="81"/>
            <rFont val="Tahoma"/>
            <family val="2"/>
          </rPr>
          <t>Amnerys Valdes:</t>
        </r>
        <r>
          <rPr>
            <sz val="10"/>
            <color indexed="81"/>
            <rFont val="Tahoma"/>
            <family val="2"/>
          </rPr>
          <t xml:space="preserve">
Acc 191.07</t>
        </r>
      </text>
    </comment>
    <comment ref="AE53" authorId="1" shapeId="0">
      <text>
        <r>
          <rPr>
            <b/>
            <sz val="10"/>
            <color indexed="81"/>
            <rFont val="Tahoma"/>
            <family val="2"/>
          </rPr>
          <t>Amnerys Valdes:</t>
        </r>
        <r>
          <rPr>
            <sz val="10"/>
            <color indexed="81"/>
            <rFont val="Tahoma"/>
            <family val="2"/>
          </rPr>
          <t xml:space="preserve">
Acc 191.07</t>
        </r>
      </text>
    </comment>
    <comment ref="AF53" authorId="1" shapeId="0">
      <text>
        <r>
          <rPr>
            <b/>
            <sz val="10"/>
            <color indexed="81"/>
            <rFont val="Tahoma"/>
            <family val="2"/>
          </rPr>
          <t>Amnerys Valdes:</t>
        </r>
        <r>
          <rPr>
            <sz val="10"/>
            <color indexed="81"/>
            <rFont val="Tahoma"/>
            <family val="2"/>
          </rPr>
          <t xml:space="preserve">
Acc 191.07</t>
        </r>
      </text>
    </comment>
    <comment ref="AG53" authorId="1" shapeId="0">
      <text>
        <r>
          <rPr>
            <b/>
            <sz val="10"/>
            <color indexed="81"/>
            <rFont val="Tahoma"/>
            <family val="2"/>
          </rPr>
          <t>Amnerys Valdes:</t>
        </r>
        <r>
          <rPr>
            <sz val="10"/>
            <color indexed="81"/>
            <rFont val="Tahoma"/>
            <family val="2"/>
          </rPr>
          <t xml:space="preserve">
Acc 191.07</t>
        </r>
      </text>
    </comment>
    <comment ref="AH53" authorId="1" shapeId="0">
      <text>
        <r>
          <rPr>
            <b/>
            <sz val="10"/>
            <color indexed="81"/>
            <rFont val="Tahoma"/>
            <family val="2"/>
          </rPr>
          <t>Amnerys Valdes:</t>
        </r>
        <r>
          <rPr>
            <sz val="10"/>
            <color indexed="81"/>
            <rFont val="Tahoma"/>
            <family val="2"/>
          </rPr>
          <t xml:space="preserve">
Acc 191.07</t>
        </r>
      </text>
    </comment>
    <comment ref="AI53" authorId="1" shapeId="0">
      <text>
        <r>
          <rPr>
            <b/>
            <sz val="10"/>
            <color indexed="81"/>
            <rFont val="Tahoma"/>
            <family val="2"/>
          </rPr>
          <t>Amnerys Valdes:</t>
        </r>
        <r>
          <rPr>
            <sz val="10"/>
            <color indexed="81"/>
            <rFont val="Tahoma"/>
            <family val="2"/>
          </rPr>
          <t xml:space="preserve">
Acc 191.07</t>
        </r>
      </text>
    </comment>
    <comment ref="AJ53" authorId="3" shapeId="0">
      <text>
        <r>
          <rPr>
            <b/>
            <sz val="9"/>
            <color indexed="81"/>
            <rFont val="Tahoma"/>
            <family val="2"/>
          </rPr>
          <t>Coe, Connie P.:</t>
        </r>
        <r>
          <rPr>
            <sz val="9"/>
            <color indexed="81"/>
            <rFont val="Tahoma"/>
            <family val="2"/>
          </rPr>
          <t xml:space="preserve">
1823105 and 1823205</t>
        </r>
      </text>
    </comment>
    <comment ref="AO53" authorId="3" shapeId="0">
      <text>
        <r>
          <rPr>
            <b/>
            <sz val="9"/>
            <color indexed="81"/>
            <rFont val="Tahoma"/>
            <family val="2"/>
          </rPr>
          <t>Coe, Connie P.:</t>
        </r>
        <r>
          <rPr>
            <sz val="9"/>
            <color indexed="81"/>
            <rFont val="Tahoma"/>
            <family val="2"/>
          </rPr>
          <t xml:space="preserve">
1823105 Curr Deriv Reg Asst
1823205 LT Deriv Reg Asst</t>
        </r>
      </text>
    </comment>
    <comment ref="AP53"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EG57" authorId="4" shapeId="0">
      <text>
        <r>
          <rPr>
            <b/>
            <sz val="9"/>
            <color indexed="81"/>
            <rFont val="Tahoma"/>
            <family val="2"/>
          </rPr>
          <t>Hoyos, Nichole:</t>
        </r>
        <r>
          <rPr>
            <sz val="9"/>
            <color indexed="81"/>
            <rFont val="Tahoma"/>
            <family val="2"/>
          </rPr>
          <t xml:space="preserve">
Variance due to FERC cash adjustment directly to FERC accounts to deal with the negative cash.</t>
        </r>
      </text>
    </comment>
    <comment ref="AC61" authorId="0" shapeId="0">
      <text>
        <r>
          <rPr>
            <b/>
            <sz val="9"/>
            <color indexed="81"/>
            <rFont val="Tahoma"/>
            <family val="2"/>
          </rPr>
          <t>Coe, Connie:</t>
        </r>
        <r>
          <rPr>
            <sz val="9"/>
            <color indexed="81"/>
            <rFont val="Tahoma"/>
            <family val="2"/>
          </rPr>
          <t xml:space="preserve">
Acct 207 + Acct 211</t>
        </r>
      </text>
    </comment>
    <comment ref="AD61" authorId="0" shapeId="0">
      <text>
        <r>
          <rPr>
            <b/>
            <sz val="9"/>
            <color indexed="81"/>
            <rFont val="Tahoma"/>
            <family val="2"/>
          </rPr>
          <t>Coe, Connie:</t>
        </r>
        <r>
          <rPr>
            <sz val="9"/>
            <color indexed="81"/>
            <rFont val="Tahoma"/>
            <family val="2"/>
          </rPr>
          <t xml:space="preserve">
Acct 207 + Acct 211</t>
        </r>
      </text>
    </comment>
    <comment ref="AE61" authorId="0" shapeId="0">
      <text>
        <r>
          <rPr>
            <b/>
            <sz val="9"/>
            <color indexed="81"/>
            <rFont val="Tahoma"/>
            <family val="2"/>
          </rPr>
          <t>Coe, Connie:</t>
        </r>
        <r>
          <rPr>
            <sz val="9"/>
            <color indexed="81"/>
            <rFont val="Tahoma"/>
            <family val="2"/>
          </rPr>
          <t xml:space="preserve">
Acct 207 + Acct 211</t>
        </r>
      </text>
    </comment>
    <comment ref="AF61" authorId="0" shapeId="0">
      <text>
        <r>
          <rPr>
            <b/>
            <sz val="9"/>
            <color indexed="81"/>
            <rFont val="Tahoma"/>
            <family val="2"/>
          </rPr>
          <t>Coe, Connie:</t>
        </r>
        <r>
          <rPr>
            <sz val="9"/>
            <color indexed="81"/>
            <rFont val="Tahoma"/>
            <family val="2"/>
          </rPr>
          <t xml:space="preserve">
Acct 207 + Acct 211</t>
        </r>
      </text>
    </comment>
    <comment ref="AG61" authorId="0" shapeId="0">
      <text>
        <r>
          <rPr>
            <b/>
            <sz val="9"/>
            <color indexed="81"/>
            <rFont val="Tahoma"/>
            <family val="2"/>
          </rPr>
          <t>Coe, Connie:</t>
        </r>
        <r>
          <rPr>
            <sz val="9"/>
            <color indexed="81"/>
            <rFont val="Tahoma"/>
            <family val="2"/>
          </rPr>
          <t xml:space="preserve">
Acct 207 + Acct 211</t>
        </r>
      </text>
    </comment>
    <comment ref="AH61" authorId="0" shapeId="0">
      <text>
        <r>
          <rPr>
            <b/>
            <sz val="9"/>
            <color indexed="81"/>
            <rFont val="Tahoma"/>
            <family val="2"/>
          </rPr>
          <t>Coe, Connie:</t>
        </r>
        <r>
          <rPr>
            <sz val="9"/>
            <color indexed="81"/>
            <rFont val="Tahoma"/>
            <family val="2"/>
          </rPr>
          <t xml:space="preserve">
Acct 207 + Acct 211</t>
        </r>
      </text>
    </comment>
    <comment ref="AI61" authorId="0" shapeId="0">
      <text>
        <r>
          <rPr>
            <b/>
            <sz val="9"/>
            <color indexed="81"/>
            <rFont val="Tahoma"/>
            <family val="2"/>
          </rPr>
          <t>Coe, Connie:</t>
        </r>
        <r>
          <rPr>
            <sz val="9"/>
            <color indexed="81"/>
            <rFont val="Tahoma"/>
            <family val="2"/>
          </rPr>
          <t xml:space="preserve">
Acct 207 + Acct 211</t>
        </r>
      </text>
    </comment>
    <comment ref="A62" authorId="1" shapeId="0">
      <text>
        <r>
          <rPr>
            <b/>
            <sz val="10"/>
            <color indexed="81"/>
            <rFont val="Tahoma"/>
            <family val="2"/>
          </rPr>
          <t>Amnerys Valdes:</t>
        </r>
        <r>
          <rPr>
            <sz val="10"/>
            <color indexed="81"/>
            <rFont val="Tahoma"/>
            <family val="2"/>
          </rPr>
          <t xml:space="preserve">
Unappr R/E (216.01 + 216.07 + 216.13) + Other (219.37) = Unappr R/E in B/S statment</t>
        </r>
      </text>
    </comment>
    <comment ref="O62" authorId="1" shapeId="0">
      <text>
        <r>
          <rPr>
            <b/>
            <sz val="10"/>
            <color indexed="81"/>
            <rFont val="Tahoma"/>
            <family val="2"/>
          </rPr>
          <t>Amnerys Valdes:</t>
        </r>
        <r>
          <rPr>
            <sz val="10"/>
            <color indexed="81"/>
            <rFont val="Tahoma"/>
            <family val="2"/>
          </rPr>
          <t xml:space="preserve">
From detailed B/S (FRS-F506)</t>
        </r>
      </text>
    </comment>
    <comment ref="P62" authorId="1" shapeId="0">
      <text>
        <r>
          <rPr>
            <b/>
            <sz val="10"/>
            <color indexed="81"/>
            <rFont val="Tahoma"/>
            <family val="2"/>
          </rPr>
          <t>Amnerys Valdes:</t>
        </r>
        <r>
          <rPr>
            <sz val="10"/>
            <color indexed="81"/>
            <rFont val="Tahoma"/>
            <family val="2"/>
          </rPr>
          <t xml:space="preserve">
From detailed B/S (FRS-F506)</t>
        </r>
      </text>
    </comment>
    <comment ref="Q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R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S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T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U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V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W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X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Y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Z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A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B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C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D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E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F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G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H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I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63" authorId="1" shapeId="0">
      <text>
        <r>
          <rPr>
            <b/>
            <sz val="10"/>
            <color indexed="81"/>
            <rFont val="Tahoma"/>
            <family val="2"/>
          </rPr>
          <t>Amnerys Valdes:</t>
        </r>
        <r>
          <rPr>
            <sz val="10"/>
            <color indexed="81"/>
            <rFont val="Tahoma"/>
            <family val="2"/>
          </rPr>
          <t xml:space="preserve">
Acc 219.37 - OCI-INT RATE SWAP 08</t>
        </r>
      </text>
    </comment>
    <comment ref="O63" authorId="1" shapeId="0">
      <text>
        <r>
          <rPr>
            <b/>
            <sz val="10"/>
            <color indexed="81"/>
            <rFont val="Tahoma"/>
            <family val="2"/>
          </rPr>
          <t>Amnerys Valdes:</t>
        </r>
        <r>
          <rPr>
            <sz val="10"/>
            <color indexed="81"/>
            <rFont val="Tahoma"/>
            <family val="2"/>
          </rPr>
          <t xml:space="preserve">
From detailed B/S (FRS-F506)</t>
        </r>
      </text>
    </comment>
    <comment ref="P63" authorId="1" shapeId="0">
      <text>
        <r>
          <rPr>
            <b/>
            <sz val="10"/>
            <color indexed="81"/>
            <rFont val="Tahoma"/>
            <family val="2"/>
          </rPr>
          <t>Amnerys Valdes:</t>
        </r>
        <r>
          <rPr>
            <sz val="10"/>
            <color indexed="81"/>
            <rFont val="Tahoma"/>
            <family val="2"/>
          </rPr>
          <t xml:space="preserve">
From detailed B/S (FRS-F506)</t>
        </r>
      </text>
    </comment>
    <comment ref="Q63" authorId="1" shapeId="0">
      <text>
        <r>
          <rPr>
            <b/>
            <sz val="10"/>
            <color indexed="81"/>
            <rFont val="Tahoma"/>
            <family val="2"/>
          </rPr>
          <t>Amnerys Valdes:</t>
        </r>
        <r>
          <rPr>
            <sz val="10"/>
            <color indexed="81"/>
            <rFont val="Tahoma"/>
            <family val="2"/>
          </rPr>
          <t xml:space="preserve">
From detailed B/S (FRS-F506) or Trial Balance Acc 219.37</t>
        </r>
      </text>
    </comment>
    <comment ref="R63" authorId="1" shapeId="0">
      <text>
        <r>
          <rPr>
            <b/>
            <sz val="10"/>
            <color indexed="81"/>
            <rFont val="Tahoma"/>
            <family val="2"/>
          </rPr>
          <t>Amnerys Valdes:</t>
        </r>
        <r>
          <rPr>
            <sz val="10"/>
            <color indexed="81"/>
            <rFont val="Tahoma"/>
            <family val="2"/>
          </rPr>
          <t xml:space="preserve">
From detailed B/S (FRS-F506) or Trial Balance Acc 219.37</t>
        </r>
      </text>
    </comment>
    <comment ref="S63" authorId="1" shapeId="0">
      <text>
        <r>
          <rPr>
            <b/>
            <sz val="10"/>
            <color indexed="81"/>
            <rFont val="Tahoma"/>
            <family val="2"/>
          </rPr>
          <t>Amnerys Valdes:</t>
        </r>
        <r>
          <rPr>
            <sz val="10"/>
            <color indexed="81"/>
            <rFont val="Tahoma"/>
            <family val="2"/>
          </rPr>
          <t xml:space="preserve">
From detailed B/S (FRS-F506) or Trial Balance Acc 219.37</t>
        </r>
      </text>
    </comment>
    <comment ref="T63" authorId="1" shapeId="0">
      <text>
        <r>
          <rPr>
            <b/>
            <sz val="10"/>
            <color indexed="81"/>
            <rFont val="Tahoma"/>
            <family val="2"/>
          </rPr>
          <t>Amnerys Valdes:</t>
        </r>
        <r>
          <rPr>
            <sz val="10"/>
            <color indexed="81"/>
            <rFont val="Tahoma"/>
            <family val="2"/>
          </rPr>
          <t xml:space="preserve">
From detailed B/S (FRS-F506) or Trial Balance Acc 219.37</t>
        </r>
      </text>
    </comment>
    <comment ref="U63" authorId="1" shapeId="0">
      <text>
        <r>
          <rPr>
            <b/>
            <sz val="10"/>
            <color indexed="81"/>
            <rFont val="Tahoma"/>
            <family val="2"/>
          </rPr>
          <t>Amnerys Valdes:</t>
        </r>
        <r>
          <rPr>
            <sz val="10"/>
            <color indexed="81"/>
            <rFont val="Tahoma"/>
            <family val="2"/>
          </rPr>
          <t xml:space="preserve">
From detailed B/S (FRS-F506) or Trial Balance Acc 219.37</t>
        </r>
      </text>
    </comment>
    <comment ref="V63" authorId="1" shapeId="0">
      <text>
        <r>
          <rPr>
            <b/>
            <sz val="10"/>
            <color indexed="81"/>
            <rFont val="Tahoma"/>
            <family val="2"/>
          </rPr>
          <t>Amnerys Valdes:</t>
        </r>
        <r>
          <rPr>
            <sz val="10"/>
            <color indexed="81"/>
            <rFont val="Tahoma"/>
            <family val="2"/>
          </rPr>
          <t xml:space="preserve">
From detailed B/S (FRS-F506) or Trial Balance Acc 219.37</t>
        </r>
      </text>
    </comment>
    <comment ref="W63" authorId="1" shapeId="0">
      <text>
        <r>
          <rPr>
            <b/>
            <sz val="10"/>
            <color indexed="81"/>
            <rFont val="Tahoma"/>
            <family val="2"/>
          </rPr>
          <t>Amnerys Valdes:</t>
        </r>
        <r>
          <rPr>
            <sz val="10"/>
            <color indexed="81"/>
            <rFont val="Tahoma"/>
            <family val="2"/>
          </rPr>
          <t xml:space="preserve">
From detailed B/S (FRS-F506) or Trial Balance Acc 219.37</t>
        </r>
      </text>
    </comment>
    <comment ref="X63" authorId="1" shapeId="0">
      <text>
        <r>
          <rPr>
            <b/>
            <sz val="10"/>
            <color indexed="81"/>
            <rFont val="Tahoma"/>
            <family val="2"/>
          </rPr>
          <t>Amnerys Valdes:</t>
        </r>
        <r>
          <rPr>
            <sz val="10"/>
            <color indexed="81"/>
            <rFont val="Tahoma"/>
            <family val="2"/>
          </rPr>
          <t xml:space="preserve">
From detailed B/S (FRS-F506) or Trial Balance Acc 219.37</t>
        </r>
      </text>
    </comment>
    <comment ref="Y63" authorId="1" shapeId="0">
      <text>
        <r>
          <rPr>
            <b/>
            <sz val="10"/>
            <color indexed="81"/>
            <rFont val="Tahoma"/>
            <family val="2"/>
          </rPr>
          <t>Amnerys Valdes:</t>
        </r>
        <r>
          <rPr>
            <sz val="10"/>
            <color indexed="81"/>
            <rFont val="Tahoma"/>
            <family val="2"/>
          </rPr>
          <t xml:space="preserve">
From detailed B/S (FRS-F506) or Trial Balance Acc 219.37</t>
        </r>
      </text>
    </comment>
    <comment ref="Z63" authorId="1" shapeId="0">
      <text>
        <r>
          <rPr>
            <b/>
            <sz val="10"/>
            <color indexed="81"/>
            <rFont val="Tahoma"/>
            <family val="2"/>
          </rPr>
          <t>Amnerys Valdes:</t>
        </r>
        <r>
          <rPr>
            <sz val="10"/>
            <color indexed="81"/>
            <rFont val="Tahoma"/>
            <family val="2"/>
          </rPr>
          <t xml:space="preserve">
From detailed B/S (FRS-F506) or Trial Balance Acc 219.37</t>
        </r>
      </text>
    </comment>
    <comment ref="AA63" authorId="1" shapeId="0">
      <text>
        <r>
          <rPr>
            <b/>
            <sz val="10"/>
            <color indexed="81"/>
            <rFont val="Tahoma"/>
            <family val="2"/>
          </rPr>
          <t>Amnerys Valdes:</t>
        </r>
        <r>
          <rPr>
            <sz val="10"/>
            <color indexed="81"/>
            <rFont val="Tahoma"/>
            <family val="2"/>
          </rPr>
          <t xml:space="preserve">
From detailed B/S (FRS-F506) or Trial Balance Acc 219.37</t>
        </r>
      </text>
    </comment>
    <comment ref="AB63" authorId="1" shapeId="0">
      <text>
        <r>
          <rPr>
            <b/>
            <sz val="10"/>
            <color indexed="81"/>
            <rFont val="Tahoma"/>
            <family val="2"/>
          </rPr>
          <t>Amnerys Valdes:</t>
        </r>
        <r>
          <rPr>
            <sz val="10"/>
            <color indexed="81"/>
            <rFont val="Tahoma"/>
            <family val="2"/>
          </rPr>
          <t xml:space="preserve">
From detailed B/S (FRS-F506) or Trial Balance Acc 219.37</t>
        </r>
      </text>
    </comment>
    <comment ref="AC63" authorId="1" shapeId="0">
      <text>
        <r>
          <rPr>
            <b/>
            <sz val="10"/>
            <color indexed="81"/>
            <rFont val="Tahoma"/>
            <family val="2"/>
          </rPr>
          <t>Amnerys Valdes:</t>
        </r>
        <r>
          <rPr>
            <sz val="10"/>
            <color indexed="81"/>
            <rFont val="Tahoma"/>
            <family val="2"/>
          </rPr>
          <t xml:space="preserve">
From detailed B/S (FRS-F506) or Trial Balance Acc 219.37</t>
        </r>
      </text>
    </comment>
    <comment ref="AD63" authorId="1" shapeId="0">
      <text>
        <r>
          <rPr>
            <b/>
            <sz val="10"/>
            <color indexed="81"/>
            <rFont val="Tahoma"/>
            <family val="2"/>
          </rPr>
          <t>Amnerys Valdes:</t>
        </r>
        <r>
          <rPr>
            <sz val="10"/>
            <color indexed="81"/>
            <rFont val="Tahoma"/>
            <family val="2"/>
          </rPr>
          <t xml:space="preserve">
From detailed B/S (FRS-F506) or Trial Balance Acc 219.37</t>
        </r>
      </text>
    </comment>
    <comment ref="AE63" authorId="1" shapeId="0">
      <text>
        <r>
          <rPr>
            <b/>
            <sz val="10"/>
            <color indexed="81"/>
            <rFont val="Tahoma"/>
            <family val="2"/>
          </rPr>
          <t>Amnerys Valdes:</t>
        </r>
        <r>
          <rPr>
            <sz val="10"/>
            <color indexed="81"/>
            <rFont val="Tahoma"/>
            <family val="2"/>
          </rPr>
          <t xml:space="preserve">
From detailed B/S (FRS-F506) or Trial Balance Acc 219.37</t>
        </r>
      </text>
    </comment>
    <comment ref="AF63" authorId="1" shapeId="0">
      <text>
        <r>
          <rPr>
            <b/>
            <sz val="10"/>
            <color indexed="81"/>
            <rFont val="Tahoma"/>
            <family val="2"/>
          </rPr>
          <t>Amnerys Valdes:</t>
        </r>
        <r>
          <rPr>
            <sz val="10"/>
            <color indexed="81"/>
            <rFont val="Tahoma"/>
            <family val="2"/>
          </rPr>
          <t xml:space="preserve">
From detailed B/S (FRS-F506) or Trial Balance Acc 219.37</t>
        </r>
      </text>
    </comment>
    <comment ref="AG63" authorId="1" shapeId="0">
      <text>
        <r>
          <rPr>
            <b/>
            <sz val="10"/>
            <color indexed="81"/>
            <rFont val="Tahoma"/>
            <family val="2"/>
          </rPr>
          <t>Amnerys Valdes:</t>
        </r>
        <r>
          <rPr>
            <sz val="10"/>
            <color indexed="81"/>
            <rFont val="Tahoma"/>
            <family val="2"/>
          </rPr>
          <t xml:space="preserve">
From detailed B/S (FRS-F506) or Trial Balance Acc 219.37</t>
        </r>
      </text>
    </comment>
    <comment ref="AH63" authorId="1" shapeId="0">
      <text>
        <r>
          <rPr>
            <b/>
            <sz val="10"/>
            <color indexed="81"/>
            <rFont val="Tahoma"/>
            <family val="2"/>
          </rPr>
          <t>Amnerys Valdes:</t>
        </r>
        <r>
          <rPr>
            <sz val="10"/>
            <color indexed="81"/>
            <rFont val="Tahoma"/>
            <family val="2"/>
          </rPr>
          <t xml:space="preserve">
From detailed B/S (FRS-F506) or Trial Balance Acc 219.37 + Acc 219.39
</t>
        </r>
      </text>
    </comment>
    <comment ref="AI63" authorId="1" shapeId="0">
      <text>
        <r>
          <rPr>
            <b/>
            <sz val="10"/>
            <color indexed="81"/>
            <rFont val="Tahoma"/>
            <family val="2"/>
          </rPr>
          <t>Amnerys Valdes:</t>
        </r>
        <r>
          <rPr>
            <sz val="10"/>
            <color indexed="81"/>
            <rFont val="Tahoma"/>
            <family val="2"/>
          </rPr>
          <t xml:space="preserve">
From detailed B/S (FRS-F506) or Trial Balance Acc 219</t>
        </r>
      </text>
    </comment>
    <comment ref="AC66" authorId="0" shapeId="0">
      <text>
        <r>
          <rPr>
            <b/>
            <sz val="9"/>
            <color indexed="81"/>
            <rFont val="Tahoma"/>
            <family val="2"/>
          </rPr>
          <t>Coe, Connie:</t>
        </r>
        <r>
          <rPr>
            <sz val="9"/>
            <color indexed="81"/>
            <rFont val="Tahoma"/>
            <family val="2"/>
          </rPr>
          <t xml:space="preserve">
Acct 224</t>
        </r>
      </text>
    </comment>
    <comment ref="AD66" authorId="0" shapeId="0">
      <text>
        <r>
          <rPr>
            <b/>
            <sz val="9"/>
            <color indexed="81"/>
            <rFont val="Tahoma"/>
            <family val="2"/>
          </rPr>
          <t>Coe, Connie:</t>
        </r>
        <r>
          <rPr>
            <sz val="9"/>
            <color indexed="81"/>
            <rFont val="Tahoma"/>
            <family val="2"/>
          </rPr>
          <t xml:space="preserve">
Acct 224</t>
        </r>
      </text>
    </comment>
    <comment ref="AE66" authorId="0" shapeId="0">
      <text>
        <r>
          <rPr>
            <b/>
            <sz val="9"/>
            <color indexed="81"/>
            <rFont val="Tahoma"/>
            <family val="2"/>
          </rPr>
          <t>Coe, Connie:</t>
        </r>
        <r>
          <rPr>
            <sz val="9"/>
            <color indexed="81"/>
            <rFont val="Tahoma"/>
            <family val="2"/>
          </rPr>
          <t xml:space="preserve">
Acct 224</t>
        </r>
      </text>
    </comment>
    <comment ref="AF66" authorId="0" shapeId="0">
      <text>
        <r>
          <rPr>
            <b/>
            <sz val="9"/>
            <color indexed="81"/>
            <rFont val="Tahoma"/>
            <family val="2"/>
          </rPr>
          <t>Coe, Connie:</t>
        </r>
        <r>
          <rPr>
            <sz val="9"/>
            <color indexed="81"/>
            <rFont val="Tahoma"/>
            <family val="2"/>
          </rPr>
          <t xml:space="preserve">
Acct 224</t>
        </r>
      </text>
    </comment>
    <comment ref="AG66" authorId="0" shapeId="0">
      <text>
        <r>
          <rPr>
            <b/>
            <sz val="9"/>
            <color indexed="81"/>
            <rFont val="Tahoma"/>
            <family val="2"/>
          </rPr>
          <t>Coe, Connie:</t>
        </r>
        <r>
          <rPr>
            <sz val="9"/>
            <color indexed="81"/>
            <rFont val="Tahoma"/>
            <family val="2"/>
          </rPr>
          <t xml:space="preserve">
Acct 224</t>
        </r>
      </text>
    </comment>
    <comment ref="AH66" authorId="0" shapeId="0">
      <text>
        <r>
          <rPr>
            <b/>
            <sz val="9"/>
            <color indexed="81"/>
            <rFont val="Tahoma"/>
            <family val="2"/>
          </rPr>
          <t>Coe, Connie:</t>
        </r>
        <r>
          <rPr>
            <sz val="9"/>
            <color indexed="81"/>
            <rFont val="Tahoma"/>
            <family val="2"/>
          </rPr>
          <t xml:space="preserve">
Acct 224</t>
        </r>
      </text>
    </comment>
    <comment ref="AI66" authorId="0" shapeId="0">
      <text>
        <r>
          <rPr>
            <b/>
            <sz val="9"/>
            <color indexed="81"/>
            <rFont val="Tahoma"/>
            <family val="2"/>
          </rPr>
          <t>Coe, Connie:</t>
        </r>
        <r>
          <rPr>
            <sz val="9"/>
            <color indexed="81"/>
            <rFont val="Tahoma"/>
            <family val="2"/>
          </rPr>
          <t xml:space="preserve">
Acct 224</t>
        </r>
      </text>
    </comment>
    <comment ref="AC68" authorId="0" shapeId="0">
      <text>
        <r>
          <rPr>
            <b/>
            <sz val="9"/>
            <color indexed="81"/>
            <rFont val="Tahoma"/>
            <family val="2"/>
          </rPr>
          <t>Coe, Connie:</t>
        </r>
        <r>
          <rPr>
            <sz val="9"/>
            <color indexed="81"/>
            <rFont val="Tahoma"/>
            <family val="2"/>
          </rPr>
          <t xml:space="preserve">
Acct 226</t>
        </r>
      </text>
    </comment>
    <comment ref="AD68" authorId="0" shapeId="0">
      <text>
        <r>
          <rPr>
            <b/>
            <sz val="9"/>
            <color indexed="81"/>
            <rFont val="Tahoma"/>
            <family val="2"/>
          </rPr>
          <t>Coe, Connie:</t>
        </r>
        <r>
          <rPr>
            <sz val="9"/>
            <color indexed="81"/>
            <rFont val="Tahoma"/>
            <family val="2"/>
          </rPr>
          <t xml:space="preserve">
Acct 226</t>
        </r>
      </text>
    </comment>
    <comment ref="AE68" authorId="0" shapeId="0">
      <text>
        <r>
          <rPr>
            <b/>
            <sz val="9"/>
            <color indexed="81"/>
            <rFont val="Tahoma"/>
            <family val="2"/>
          </rPr>
          <t>Coe, Connie:</t>
        </r>
        <r>
          <rPr>
            <sz val="9"/>
            <color indexed="81"/>
            <rFont val="Tahoma"/>
            <family val="2"/>
          </rPr>
          <t xml:space="preserve">
Acct 226</t>
        </r>
      </text>
    </comment>
    <comment ref="AF68" authorId="0" shapeId="0">
      <text>
        <r>
          <rPr>
            <b/>
            <sz val="9"/>
            <color indexed="81"/>
            <rFont val="Tahoma"/>
            <family val="2"/>
          </rPr>
          <t>Coe, Connie:</t>
        </r>
        <r>
          <rPr>
            <sz val="9"/>
            <color indexed="81"/>
            <rFont val="Tahoma"/>
            <family val="2"/>
          </rPr>
          <t xml:space="preserve">
Acct 226</t>
        </r>
      </text>
    </comment>
    <comment ref="AG68" authorId="0" shapeId="0">
      <text>
        <r>
          <rPr>
            <b/>
            <sz val="9"/>
            <color indexed="81"/>
            <rFont val="Tahoma"/>
            <family val="2"/>
          </rPr>
          <t>Coe, Connie:</t>
        </r>
        <r>
          <rPr>
            <sz val="9"/>
            <color indexed="81"/>
            <rFont val="Tahoma"/>
            <family val="2"/>
          </rPr>
          <t xml:space="preserve">
Acct 226</t>
        </r>
      </text>
    </comment>
    <comment ref="AH68" authorId="0" shapeId="0">
      <text>
        <r>
          <rPr>
            <b/>
            <sz val="9"/>
            <color indexed="81"/>
            <rFont val="Tahoma"/>
            <family val="2"/>
          </rPr>
          <t>Coe, Connie:</t>
        </r>
        <r>
          <rPr>
            <sz val="9"/>
            <color indexed="81"/>
            <rFont val="Tahoma"/>
            <family val="2"/>
          </rPr>
          <t xml:space="preserve">
Acct 226</t>
        </r>
      </text>
    </comment>
    <comment ref="AI68" authorId="0" shapeId="0">
      <text>
        <r>
          <rPr>
            <b/>
            <sz val="9"/>
            <color indexed="81"/>
            <rFont val="Tahoma"/>
            <family val="2"/>
          </rPr>
          <t>Coe, Connie:</t>
        </r>
        <r>
          <rPr>
            <sz val="9"/>
            <color indexed="81"/>
            <rFont val="Tahoma"/>
            <family val="2"/>
          </rPr>
          <t xml:space="preserve">
Acct 226</t>
        </r>
      </text>
    </comment>
    <comment ref="A74" authorId="2" shapeId="0">
      <text>
        <r>
          <rPr>
            <b/>
            <sz val="9"/>
            <color indexed="81"/>
            <rFont val="Tahoma"/>
            <family val="2"/>
          </rPr>
          <t>Valdes, Amnerys:</t>
        </r>
        <r>
          <rPr>
            <sz val="9"/>
            <color indexed="81"/>
            <rFont val="Tahoma"/>
            <family val="2"/>
          </rPr>
          <t xml:space="preserve">
Reclass balance in Acc 2330711 - N/P Intercompany (PGS advance from TEC) to Notes Payable.
Considered S/T debt in cap structure</t>
        </r>
      </text>
    </comment>
    <comment ref="L74" authorId="2" shapeId="0">
      <text>
        <r>
          <rPr>
            <b/>
            <sz val="9"/>
            <color indexed="81"/>
            <rFont val="Tahoma"/>
            <family val="2"/>
          </rPr>
          <t>Valdes, Amnerys:</t>
        </r>
        <r>
          <rPr>
            <sz val="9"/>
            <color indexed="81"/>
            <rFont val="Tahoma"/>
            <family val="2"/>
          </rPr>
          <t xml:space="preserve">
Receivable amount from PGS to TEC</t>
        </r>
      </text>
    </comment>
    <comment ref="Q74" authorId="2" shapeId="0">
      <text>
        <r>
          <rPr>
            <b/>
            <sz val="9"/>
            <color indexed="81"/>
            <rFont val="Tahoma"/>
            <family val="2"/>
          </rPr>
          <t>Valdes, Amnerys:</t>
        </r>
        <r>
          <rPr>
            <sz val="9"/>
            <color indexed="81"/>
            <rFont val="Tahoma"/>
            <family val="2"/>
          </rPr>
          <t xml:space="preserve">
Per Sue's file</t>
        </r>
      </text>
    </comment>
    <comment ref="R74" authorId="2" shapeId="0">
      <text>
        <r>
          <rPr>
            <b/>
            <sz val="9"/>
            <color indexed="81"/>
            <rFont val="Tahoma"/>
            <family val="2"/>
          </rPr>
          <t>Valdes, Amnerys:</t>
        </r>
        <r>
          <rPr>
            <sz val="9"/>
            <color indexed="81"/>
            <rFont val="Tahoma"/>
            <family val="2"/>
          </rPr>
          <t xml:space="preserve">
PGS payable to TEC in Jan 11. Reclassed from A/P Assoc Co.</t>
        </r>
      </text>
    </comment>
    <comment ref="S74" authorId="2" shapeId="0">
      <text>
        <r>
          <rPr>
            <b/>
            <sz val="9"/>
            <color indexed="81"/>
            <rFont val="Tahoma"/>
            <family val="2"/>
          </rPr>
          <t>Valdes, Amnerys:</t>
        </r>
        <r>
          <rPr>
            <sz val="9"/>
            <color indexed="81"/>
            <rFont val="Tahoma"/>
            <family val="2"/>
          </rPr>
          <t xml:space="preserve">
PGS payable to TEC in Feb 11. Reclassed from A/P Assoc Co.</t>
        </r>
      </text>
    </comment>
    <comment ref="V74" authorId="2" shapeId="0">
      <text>
        <r>
          <rPr>
            <b/>
            <sz val="9"/>
            <color indexed="81"/>
            <rFont val="Tahoma"/>
            <family val="2"/>
          </rPr>
          <t>Valdes, Amnerys:</t>
        </r>
        <r>
          <rPr>
            <sz val="9"/>
            <color indexed="81"/>
            <rFont val="Tahoma"/>
            <family val="2"/>
          </rPr>
          <t xml:space="preserve">
No PGS payable to TEC in May 11</t>
        </r>
      </text>
    </comment>
    <comment ref="W74" authorId="2" shapeId="0">
      <text>
        <r>
          <rPr>
            <b/>
            <sz val="9"/>
            <color indexed="81"/>
            <rFont val="Tahoma"/>
            <family val="2"/>
          </rPr>
          <t>Valdes, Amnerys:</t>
        </r>
        <r>
          <rPr>
            <sz val="9"/>
            <color indexed="81"/>
            <rFont val="Tahoma"/>
            <family val="2"/>
          </rPr>
          <t xml:space="preserve">
No PGS payable to TEC in June 11</t>
        </r>
      </text>
    </comment>
    <comment ref="Y74" authorId="2" shapeId="0">
      <text>
        <r>
          <rPr>
            <sz val="9"/>
            <color indexed="81"/>
            <rFont val="Tahoma"/>
            <family val="2"/>
          </rPr>
          <t xml:space="preserve">PGS payable to TEC August 2011.  Acct. 234.53
</t>
        </r>
      </text>
    </comment>
    <comment ref="Z74" authorId="2" shapeId="0">
      <text>
        <r>
          <rPr>
            <b/>
            <sz val="9"/>
            <color indexed="81"/>
            <rFont val="Tahoma"/>
            <family val="2"/>
          </rPr>
          <t>Valdes, Amnerys:</t>
        </r>
        <r>
          <rPr>
            <sz val="9"/>
            <color indexed="81"/>
            <rFont val="Tahoma"/>
            <family val="2"/>
          </rPr>
          <t xml:space="preserve">
No PGS payable to TEC in June 11</t>
        </r>
      </text>
    </comment>
    <comment ref="AA74" authorId="2" shapeId="0">
      <text>
        <r>
          <rPr>
            <sz val="9"/>
            <color indexed="81"/>
            <rFont val="Tahoma"/>
            <family val="2"/>
          </rPr>
          <t xml:space="preserve">PGS payable to TEC August 2011.  Acct. 234.53
</t>
        </r>
      </text>
    </comment>
    <comment ref="AB74" authorId="2" shapeId="0">
      <text>
        <r>
          <rPr>
            <sz val="9"/>
            <color indexed="81"/>
            <rFont val="Tahoma"/>
            <family val="2"/>
          </rPr>
          <t xml:space="preserve">PGS payable to TEC August 2011.  Acct. 234.53
</t>
        </r>
      </text>
    </comment>
    <comment ref="AC74" authorId="2" shapeId="0">
      <text>
        <r>
          <rPr>
            <sz val="9"/>
            <color indexed="81"/>
            <rFont val="Tahoma"/>
            <family val="2"/>
          </rPr>
          <t xml:space="preserve">PGS payable to TEC August 2011.  Acct. 234.53
</t>
        </r>
      </text>
    </comment>
    <comment ref="AD74" authorId="2" shapeId="0">
      <text>
        <r>
          <rPr>
            <sz val="9"/>
            <color indexed="81"/>
            <rFont val="Tahoma"/>
            <family val="2"/>
          </rPr>
          <t xml:space="preserve">PGS payable to TEC August 2011.  Acct. 234.53
</t>
        </r>
      </text>
    </comment>
    <comment ref="AE74" authorId="2" shapeId="0">
      <text>
        <r>
          <rPr>
            <sz val="9"/>
            <color indexed="81"/>
            <rFont val="Tahoma"/>
            <family val="2"/>
          </rPr>
          <t xml:space="preserve">PGS payable to TEC August 2011.  Acct. 234.53
</t>
        </r>
      </text>
    </comment>
    <comment ref="AF74" authorId="2" shapeId="0">
      <text>
        <r>
          <rPr>
            <sz val="9"/>
            <color indexed="81"/>
            <rFont val="Tahoma"/>
            <family val="2"/>
          </rPr>
          <t xml:space="preserve">PGS payable to TEC August 2011.  Acct. 234.53
</t>
        </r>
      </text>
    </comment>
    <comment ref="AG74" authorId="2" shapeId="0">
      <text>
        <r>
          <rPr>
            <sz val="9"/>
            <color indexed="81"/>
            <rFont val="Tahoma"/>
            <family val="2"/>
          </rPr>
          <t xml:space="preserve">PGS payable to TEC August 2011.  Acct. 234.53
</t>
        </r>
      </text>
    </comment>
    <comment ref="AH74" authorId="2" shapeId="0">
      <text>
        <r>
          <rPr>
            <sz val="9"/>
            <color indexed="81"/>
            <rFont val="Tahoma"/>
            <family val="2"/>
          </rPr>
          <t xml:space="preserve">PGS payable to TEC August 2011.  Acct. 234.53
</t>
        </r>
      </text>
    </comment>
    <comment ref="AI74" authorId="2" shapeId="0">
      <text>
        <r>
          <rPr>
            <sz val="9"/>
            <color indexed="81"/>
            <rFont val="Tahoma"/>
            <family val="2"/>
          </rPr>
          <t xml:space="preserve">PGS payable to TEC August 2011.  Acct. 234.53
</t>
        </r>
      </text>
    </comment>
    <comment ref="BA74" authorId="2" shapeId="0">
      <text>
        <r>
          <rPr>
            <b/>
            <sz val="9"/>
            <color indexed="81"/>
            <rFont val="Tahoma"/>
            <family val="2"/>
          </rPr>
          <t>Valdes, Amnerys:</t>
        </r>
        <r>
          <rPr>
            <sz val="9"/>
            <color indexed="81"/>
            <rFont val="Tahoma"/>
            <family val="2"/>
          </rPr>
          <t xml:space="preserve">
reclass Acc 2330711 - N/P Intercompany to Notes Payable.</t>
        </r>
      </text>
    </comment>
    <comment ref="BB74" authorId="2" shapeId="0">
      <text>
        <r>
          <rPr>
            <b/>
            <sz val="9"/>
            <color indexed="81"/>
            <rFont val="Tahoma"/>
            <family val="2"/>
          </rPr>
          <t>Valdes, Amnerys:</t>
        </r>
        <r>
          <rPr>
            <sz val="9"/>
            <color indexed="81"/>
            <rFont val="Tahoma"/>
            <family val="2"/>
          </rPr>
          <t xml:space="preserve">
reclass Acc 2330711 - N/P Intercompany to Notes Payable.</t>
        </r>
      </text>
    </comment>
    <comment ref="BC74" authorId="2" shapeId="0">
      <text>
        <r>
          <rPr>
            <b/>
            <sz val="9"/>
            <color indexed="81"/>
            <rFont val="Tahoma"/>
            <family val="2"/>
          </rPr>
          <t>Valdes, Amnerys:</t>
        </r>
        <r>
          <rPr>
            <sz val="9"/>
            <color indexed="81"/>
            <rFont val="Tahoma"/>
            <family val="2"/>
          </rPr>
          <t xml:space="preserve">
reclass Acc 2330711 - N/P Intercompany to Notes Payable.</t>
        </r>
      </text>
    </comment>
    <comment ref="BD74" authorId="2" shapeId="0">
      <text>
        <r>
          <rPr>
            <b/>
            <sz val="9"/>
            <color indexed="81"/>
            <rFont val="Tahoma"/>
            <family val="2"/>
          </rPr>
          <t>Valdes, Amnerys:</t>
        </r>
        <r>
          <rPr>
            <sz val="9"/>
            <color indexed="81"/>
            <rFont val="Tahoma"/>
            <family val="2"/>
          </rPr>
          <t xml:space="preserve">
reclass Acc 2330711 - N/P Intercompany to Notes Payable.</t>
        </r>
      </text>
    </comment>
    <comment ref="BE74" authorId="2" shapeId="0">
      <text>
        <r>
          <rPr>
            <b/>
            <sz val="9"/>
            <color indexed="81"/>
            <rFont val="Tahoma"/>
            <family val="2"/>
          </rPr>
          <t>Valdes, Amnerys:</t>
        </r>
        <r>
          <rPr>
            <sz val="9"/>
            <color indexed="81"/>
            <rFont val="Tahoma"/>
            <family val="2"/>
          </rPr>
          <t xml:space="preserve">
reclass Acc 2330711 - N/P Intercompany to Notes Payable.</t>
        </r>
      </text>
    </comment>
    <comment ref="BF74" authorId="2" shapeId="0">
      <text>
        <r>
          <rPr>
            <b/>
            <sz val="9"/>
            <color indexed="81"/>
            <rFont val="Tahoma"/>
            <family val="2"/>
          </rPr>
          <t>Valdes, Amnerys:</t>
        </r>
        <r>
          <rPr>
            <sz val="9"/>
            <color indexed="81"/>
            <rFont val="Tahoma"/>
            <family val="2"/>
          </rPr>
          <t xml:space="preserve">
reclass Acc 2330711 - N/P Intercompany to Notes Payable.</t>
        </r>
      </text>
    </comment>
    <comment ref="BG74" authorId="2" shapeId="0">
      <text>
        <r>
          <rPr>
            <b/>
            <sz val="9"/>
            <color indexed="81"/>
            <rFont val="Tahoma"/>
            <family val="2"/>
          </rPr>
          <t>Valdes, Amnerys:</t>
        </r>
        <r>
          <rPr>
            <sz val="9"/>
            <color indexed="81"/>
            <rFont val="Tahoma"/>
            <family val="2"/>
          </rPr>
          <t xml:space="preserve">
reclass Acc 2330711 - N/P Intercompany to Notes Payable.</t>
        </r>
      </text>
    </comment>
    <comment ref="BH74" authorId="2" shapeId="0">
      <text>
        <r>
          <rPr>
            <b/>
            <sz val="9"/>
            <color indexed="81"/>
            <rFont val="Tahoma"/>
            <family val="2"/>
          </rPr>
          <t>Valdes, Amnerys:</t>
        </r>
        <r>
          <rPr>
            <sz val="9"/>
            <color indexed="81"/>
            <rFont val="Tahoma"/>
            <family val="2"/>
          </rPr>
          <t xml:space="preserve">
reclass Acc 2330711 - N/P Intercompany to Notes Payable.</t>
        </r>
      </text>
    </comment>
    <comment ref="BI74" authorId="2" shapeId="0">
      <text>
        <r>
          <rPr>
            <b/>
            <sz val="9"/>
            <color indexed="81"/>
            <rFont val="Tahoma"/>
            <family val="2"/>
          </rPr>
          <t>Valdes, Amnerys:</t>
        </r>
        <r>
          <rPr>
            <sz val="9"/>
            <color indexed="81"/>
            <rFont val="Tahoma"/>
            <family val="2"/>
          </rPr>
          <t xml:space="preserve">
reclass Acc 2330711 - N/P Intercompany to Notes Payable.</t>
        </r>
      </text>
    </comment>
    <comment ref="BJ74" authorId="2" shapeId="0">
      <text>
        <r>
          <rPr>
            <b/>
            <sz val="9"/>
            <color indexed="81"/>
            <rFont val="Tahoma"/>
            <family val="2"/>
          </rPr>
          <t>Valdes, Amnerys:</t>
        </r>
        <r>
          <rPr>
            <sz val="9"/>
            <color indexed="81"/>
            <rFont val="Tahoma"/>
            <family val="2"/>
          </rPr>
          <t xml:space="preserve">
reclass Acc 2330711 - N/P Intercompany to Notes Payable.</t>
        </r>
      </text>
    </comment>
    <comment ref="BK74" authorId="2" shapeId="0">
      <text>
        <r>
          <rPr>
            <b/>
            <sz val="9"/>
            <color indexed="81"/>
            <rFont val="Tahoma"/>
            <family val="2"/>
          </rPr>
          <t>Valdes, Amnerys:</t>
        </r>
        <r>
          <rPr>
            <sz val="9"/>
            <color indexed="81"/>
            <rFont val="Tahoma"/>
            <family val="2"/>
          </rPr>
          <t xml:space="preserve">
reclass Acc 2330711 - N/P Intercompany to Notes Payable.</t>
        </r>
      </text>
    </comment>
    <comment ref="BL74" authorId="2" shapeId="0">
      <text>
        <r>
          <rPr>
            <b/>
            <sz val="9"/>
            <color indexed="81"/>
            <rFont val="Tahoma"/>
            <family val="2"/>
          </rPr>
          <t>Valdes, Amnerys:</t>
        </r>
        <r>
          <rPr>
            <sz val="9"/>
            <color indexed="81"/>
            <rFont val="Tahoma"/>
            <family val="2"/>
          </rPr>
          <t xml:space="preserve">
reclass Acc 2330711 - N/P Intercompany to Notes Payable.</t>
        </r>
      </text>
    </comment>
    <comment ref="BM74" authorId="2" shapeId="0">
      <text>
        <r>
          <rPr>
            <b/>
            <sz val="9"/>
            <color indexed="81"/>
            <rFont val="Tahoma"/>
            <family val="2"/>
          </rPr>
          <t>Valdes, Amnerys:</t>
        </r>
        <r>
          <rPr>
            <sz val="9"/>
            <color indexed="81"/>
            <rFont val="Tahoma"/>
            <family val="2"/>
          </rPr>
          <t xml:space="preserve">
reclass Acc 2330711 - N/P Intercompany to Notes Payable.</t>
        </r>
      </text>
    </comment>
    <comment ref="BN74" authorId="2" shapeId="0">
      <text>
        <r>
          <rPr>
            <b/>
            <sz val="9"/>
            <color indexed="81"/>
            <rFont val="Tahoma"/>
            <family val="2"/>
          </rPr>
          <t>Valdes, Amnerys:</t>
        </r>
        <r>
          <rPr>
            <sz val="9"/>
            <color indexed="81"/>
            <rFont val="Tahoma"/>
            <family val="2"/>
          </rPr>
          <t xml:space="preserve">
reclass Acc 2330711 - N/P Intercompany to Notes Payable.</t>
        </r>
      </text>
    </comment>
    <comment ref="BO74" authorId="2" shapeId="0">
      <text>
        <r>
          <rPr>
            <b/>
            <sz val="9"/>
            <color indexed="81"/>
            <rFont val="Tahoma"/>
            <family val="2"/>
          </rPr>
          <t>Valdes, Amnerys:</t>
        </r>
        <r>
          <rPr>
            <sz val="9"/>
            <color indexed="81"/>
            <rFont val="Tahoma"/>
            <family val="2"/>
          </rPr>
          <t xml:space="preserve">
reclass Acc 2330711 - N/P Intercompany to Notes Payable.</t>
        </r>
      </text>
    </comment>
    <comment ref="BP74" authorId="2" shapeId="0">
      <text>
        <r>
          <rPr>
            <b/>
            <sz val="9"/>
            <color indexed="81"/>
            <rFont val="Tahoma"/>
            <family val="2"/>
          </rPr>
          <t>Valdes, Amnerys:</t>
        </r>
        <r>
          <rPr>
            <sz val="9"/>
            <color indexed="81"/>
            <rFont val="Tahoma"/>
            <family val="2"/>
          </rPr>
          <t xml:space="preserve">
reclass Acc 2330711 - N/P Intercompany to Notes Payable.</t>
        </r>
      </text>
    </comment>
    <comment ref="BQ74" authorId="2" shapeId="0">
      <text>
        <r>
          <rPr>
            <b/>
            <sz val="9"/>
            <color indexed="81"/>
            <rFont val="Tahoma"/>
            <family val="2"/>
          </rPr>
          <t>Valdes, Amnerys:</t>
        </r>
        <r>
          <rPr>
            <sz val="9"/>
            <color indexed="81"/>
            <rFont val="Tahoma"/>
            <family val="2"/>
          </rPr>
          <t xml:space="preserve">
reclass Acc 2330711 - N/P Intercompany to Notes Payable.</t>
        </r>
      </text>
    </comment>
    <comment ref="BR74" authorId="2" shapeId="0">
      <text>
        <r>
          <rPr>
            <b/>
            <sz val="9"/>
            <color indexed="81"/>
            <rFont val="Tahoma"/>
            <family val="2"/>
          </rPr>
          <t>Valdes, Amnerys:</t>
        </r>
        <r>
          <rPr>
            <sz val="9"/>
            <color indexed="81"/>
            <rFont val="Tahoma"/>
            <family val="2"/>
          </rPr>
          <t xml:space="preserve">
reclass Acc 2330711 - N/P Intercompany to Notes Payable.</t>
        </r>
      </text>
    </comment>
    <comment ref="BS74" authorId="2" shapeId="0">
      <text>
        <r>
          <rPr>
            <b/>
            <sz val="9"/>
            <color indexed="81"/>
            <rFont val="Tahoma"/>
            <family val="2"/>
          </rPr>
          <t>Valdes, Amnerys:</t>
        </r>
        <r>
          <rPr>
            <sz val="9"/>
            <color indexed="81"/>
            <rFont val="Tahoma"/>
            <family val="2"/>
          </rPr>
          <t xml:space="preserve">
reclass Acc 2330711 - N/P Intercompany to Notes Payable.</t>
        </r>
      </text>
    </comment>
    <comment ref="AC75" authorId="0" shapeId="0">
      <text>
        <r>
          <rPr>
            <b/>
            <sz val="9"/>
            <color indexed="81"/>
            <rFont val="Tahoma"/>
            <family val="2"/>
          </rPr>
          <t>Coe, Connie:</t>
        </r>
        <r>
          <rPr>
            <sz val="9"/>
            <color indexed="81"/>
            <rFont val="Tahoma"/>
            <family val="2"/>
          </rPr>
          <t xml:space="preserve">
Account 232</t>
        </r>
      </text>
    </comment>
    <comment ref="AD75" authorId="0" shapeId="0">
      <text>
        <r>
          <rPr>
            <b/>
            <sz val="9"/>
            <color indexed="81"/>
            <rFont val="Tahoma"/>
            <family val="2"/>
          </rPr>
          <t>Coe, Connie:</t>
        </r>
        <r>
          <rPr>
            <sz val="9"/>
            <color indexed="81"/>
            <rFont val="Tahoma"/>
            <family val="2"/>
          </rPr>
          <t xml:space="preserve">
Account 232</t>
        </r>
      </text>
    </comment>
    <comment ref="AE75" authorId="0" shapeId="0">
      <text>
        <r>
          <rPr>
            <b/>
            <sz val="9"/>
            <color indexed="81"/>
            <rFont val="Tahoma"/>
            <family val="2"/>
          </rPr>
          <t>Coe, Connie:</t>
        </r>
        <r>
          <rPr>
            <sz val="9"/>
            <color indexed="81"/>
            <rFont val="Tahoma"/>
            <family val="2"/>
          </rPr>
          <t xml:space="preserve">
Account 232</t>
        </r>
      </text>
    </comment>
    <comment ref="AF75" authorId="0" shapeId="0">
      <text>
        <r>
          <rPr>
            <b/>
            <sz val="9"/>
            <color indexed="81"/>
            <rFont val="Tahoma"/>
            <family val="2"/>
          </rPr>
          <t>Coe, Connie:</t>
        </r>
        <r>
          <rPr>
            <sz val="9"/>
            <color indexed="81"/>
            <rFont val="Tahoma"/>
            <family val="2"/>
          </rPr>
          <t xml:space="preserve">
Account 232</t>
        </r>
      </text>
    </comment>
    <comment ref="AG75" authorId="0" shapeId="0">
      <text>
        <r>
          <rPr>
            <b/>
            <sz val="9"/>
            <color indexed="81"/>
            <rFont val="Tahoma"/>
            <family val="2"/>
          </rPr>
          <t>Coe, Connie:</t>
        </r>
        <r>
          <rPr>
            <sz val="9"/>
            <color indexed="81"/>
            <rFont val="Tahoma"/>
            <family val="2"/>
          </rPr>
          <t xml:space="preserve">
Account 232</t>
        </r>
      </text>
    </comment>
    <comment ref="AH75" authorId="0" shapeId="0">
      <text>
        <r>
          <rPr>
            <b/>
            <sz val="9"/>
            <color indexed="81"/>
            <rFont val="Tahoma"/>
            <family val="2"/>
          </rPr>
          <t>Coe, Connie:</t>
        </r>
        <r>
          <rPr>
            <sz val="9"/>
            <color indexed="81"/>
            <rFont val="Tahoma"/>
            <family val="2"/>
          </rPr>
          <t xml:space="preserve">
Account 232</t>
        </r>
      </text>
    </comment>
    <comment ref="AI75" authorId="0" shapeId="0">
      <text>
        <r>
          <rPr>
            <b/>
            <sz val="9"/>
            <color indexed="81"/>
            <rFont val="Tahoma"/>
            <family val="2"/>
          </rPr>
          <t>Coe, Connie:</t>
        </r>
        <r>
          <rPr>
            <sz val="9"/>
            <color indexed="81"/>
            <rFont val="Tahoma"/>
            <family val="2"/>
          </rPr>
          <t xml:space="preserve">
Account 232</t>
        </r>
      </text>
    </comment>
    <comment ref="AO75" authorId="3" shapeId="0">
      <text>
        <r>
          <rPr>
            <b/>
            <sz val="9"/>
            <color indexed="81"/>
            <rFont val="Tahoma"/>
            <family val="2"/>
          </rPr>
          <t>Coe, Connie P.:</t>
        </r>
        <r>
          <rPr>
            <sz val="9"/>
            <color indexed="81"/>
            <rFont val="Tahoma"/>
            <family val="2"/>
          </rPr>
          <t xml:space="preserve">
B/S includes all of 232xxxxx
SR excludes:
2320008 in Msc Curr Liab
2320015 in Msc Curr Liab
2320020 in P&amp;B Reserve
2320022 in P&amp;B Reserve</t>
        </r>
      </text>
    </comment>
    <comment ref="A76" authorId="2" shapeId="0">
      <text>
        <r>
          <rPr>
            <b/>
            <sz val="9"/>
            <color indexed="81"/>
            <rFont val="Tahoma"/>
            <family val="2"/>
          </rPr>
          <t>Valdes, Amnerys:</t>
        </r>
        <r>
          <rPr>
            <sz val="9"/>
            <color indexed="81"/>
            <rFont val="Tahoma"/>
            <family val="2"/>
          </rPr>
          <t xml:space="preserve">
Reclass balance in Acc 2330711 - N/P Intercompany (PGS advance from TEC) to Notes Payable.
Considered S/T debt in cap structure</t>
        </r>
      </text>
    </comment>
    <comment ref="O76" authorId="1" shapeId="0">
      <text>
        <r>
          <rPr>
            <b/>
            <sz val="10"/>
            <color indexed="81"/>
            <rFont val="Tahoma"/>
            <family val="2"/>
          </rPr>
          <t>Amnerys Valdes:</t>
        </r>
        <r>
          <rPr>
            <sz val="10"/>
            <color indexed="81"/>
            <rFont val="Tahoma"/>
            <family val="2"/>
          </rPr>
          <t xml:space="preserve">
Acc 234.07 &amp; 234.52</t>
        </r>
      </text>
    </comment>
    <comment ref="P76" authorId="1" shapeId="0">
      <text>
        <r>
          <rPr>
            <b/>
            <sz val="10"/>
            <color indexed="81"/>
            <rFont val="Tahoma"/>
            <family val="2"/>
          </rPr>
          <t>Amnerys Valdes:</t>
        </r>
        <r>
          <rPr>
            <sz val="10"/>
            <color indexed="81"/>
            <rFont val="Tahoma"/>
            <family val="2"/>
          </rPr>
          <t xml:space="preserve">
Acc 234.07 &amp; 234.52</t>
        </r>
      </text>
    </comment>
    <comment ref="Q76" authorId="1" shapeId="0">
      <text>
        <r>
          <rPr>
            <b/>
            <sz val="10"/>
            <color indexed="81"/>
            <rFont val="Tahoma"/>
            <family val="2"/>
          </rPr>
          <t>Amnerys Valdes:</t>
        </r>
        <r>
          <rPr>
            <sz val="10"/>
            <color indexed="81"/>
            <rFont val="Tahoma"/>
            <family val="2"/>
          </rPr>
          <t xml:space="preserve">
Acc 234.07 &amp; 234.52</t>
        </r>
      </text>
    </comment>
    <comment ref="R76" authorId="1" shapeId="0">
      <text>
        <r>
          <rPr>
            <b/>
            <sz val="10"/>
            <color indexed="81"/>
            <rFont val="Tahoma"/>
            <family val="2"/>
          </rPr>
          <t>Amnerys Valdes:</t>
        </r>
        <r>
          <rPr>
            <sz val="10"/>
            <color indexed="81"/>
            <rFont val="Tahoma"/>
            <family val="2"/>
          </rPr>
          <t xml:space="preserve">
Acc 234.07 &amp; 234.52</t>
        </r>
      </text>
    </comment>
    <comment ref="S76" authorId="1" shapeId="0">
      <text>
        <r>
          <rPr>
            <b/>
            <sz val="10"/>
            <color indexed="81"/>
            <rFont val="Tahoma"/>
            <family val="2"/>
          </rPr>
          <t>Amnerys Valdes:</t>
        </r>
        <r>
          <rPr>
            <sz val="10"/>
            <color indexed="81"/>
            <rFont val="Tahoma"/>
            <family val="2"/>
          </rPr>
          <t xml:space="preserve">
Acc 234.07 &amp; 234.52</t>
        </r>
      </text>
    </comment>
    <comment ref="T76" authorId="2" shapeId="0">
      <text>
        <r>
          <rPr>
            <b/>
            <sz val="9"/>
            <color indexed="81"/>
            <rFont val="Tahoma"/>
            <family val="2"/>
          </rPr>
          <t>Valdes, Amnerys:</t>
        </r>
        <r>
          <rPr>
            <sz val="9"/>
            <color indexed="81"/>
            <rFont val="Tahoma"/>
            <family val="2"/>
          </rPr>
          <t xml:space="preserve">
Acc 234.07 &amp; 234.52</t>
        </r>
      </text>
    </comment>
    <comment ref="U76" authorId="1" shapeId="0">
      <text>
        <r>
          <rPr>
            <b/>
            <sz val="10"/>
            <color indexed="81"/>
            <rFont val="Tahoma"/>
            <family val="2"/>
          </rPr>
          <t>Amnerys Valdes:</t>
        </r>
        <r>
          <rPr>
            <sz val="10"/>
            <color indexed="81"/>
            <rFont val="Tahoma"/>
            <family val="2"/>
          </rPr>
          <t xml:space="preserve">
Acc 234.07 &amp; 234.52</t>
        </r>
      </text>
    </comment>
    <comment ref="V76" authorId="1" shapeId="0">
      <text>
        <r>
          <rPr>
            <b/>
            <sz val="10"/>
            <color indexed="81"/>
            <rFont val="Tahoma"/>
            <family val="2"/>
          </rPr>
          <t>Amnerys Valdes:</t>
        </r>
        <r>
          <rPr>
            <sz val="10"/>
            <color indexed="81"/>
            <rFont val="Tahoma"/>
            <family val="2"/>
          </rPr>
          <t xml:space="preserve">
Acc 234.07 &amp; 234.52</t>
        </r>
      </text>
    </comment>
    <comment ref="W76" authorId="2" shapeId="0">
      <text>
        <r>
          <rPr>
            <b/>
            <sz val="9"/>
            <color indexed="81"/>
            <rFont val="Tahoma"/>
            <family val="2"/>
          </rPr>
          <t>Valdes, Amnerys:</t>
        </r>
        <r>
          <rPr>
            <sz val="9"/>
            <color indexed="81"/>
            <rFont val="Tahoma"/>
            <family val="2"/>
          </rPr>
          <t xml:space="preserve">
Acc 234.07 &amp; 234.52</t>
        </r>
      </text>
    </comment>
    <comment ref="X76" authorId="1" shapeId="0">
      <text>
        <r>
          <rPr>
            <b/>
            <sz val="10"/>
            <color indexed="81"/>
            <rFont val="Tahoma"/>
            <family val="2"/>
          </rPr>
          <t>Amnerys Valdes:</t>
        </r>
        <r>
          <rPr>
            <sz val="10"/>
            <color indexed="81"/>
            <rFont val="Tahoma"/>
            <family val="2"/>
          </rPr>
          <t xml:space="preserve">
Acc 234.07 &amp; 234.52</t>
        </r>
      </text>
    </comment>
    <comment ref="Y76" authorId="1" shapeId="0">
      <text>
        <r>
          <rPr>
            <b/>
            <sz val="10"/>
            <color indexed="81"/>
            <rFont val="Tahoma"/>
            <family val="2"/>
          </rPr>
          <t>Amnerys Valdes:</t>
        </r>
        <r>
          <rPr>
            <sz val="10"/>
            <color indexed="81"/>
            <rFont val="Tahoma"/>
            <family val="2"/>
          </rPr>
          <t xml:space="preserve">
Acc 234.07 &amp; 234.52</t>
        </r>
      </text>
    </comment>
    <comment ref="Z76" authorId="1" shapeId="0">
      <text>
        <r>
          <rPr>
            <b/>
            <sz val="10"/>
            <color indexed="81"/>
            <rFont val="Tahoma"/>
            <family val="2"/>
          </rPr>
          <t>Amnerys Valdes:</t>
        </r>
        <r>
          <rPr>
            <sz val="10"/>
            <color indexed="81"/>
            <rFont val="Tahoma"/>
            <family val="2"/>
          </rPr>
          <t xml:space="preserve">
Acc 234.07 &amp; 234.52</t>
        </r>
      </text>
    </comment>
    <comment ref="AA76" authorId="1" shapeId="0">
      <text>
        <r>
          <rPr>
            <b/>
            <sz val="10"/>
            <color indexed="81"/>
            <rFont val="Tahoma"/>
            <family val="2"/>
          </rPr>
          <t>Amnerys Valdes:</t>
        </r>
        <r>
          <rPr>
            <sz val="10"/>
            <color indexed="81"/>
            <rFont val="Tahoma"/>
            <family val="2"/>
          </rPr>
          <t xml:space="preserve">
Acc 234.07 &amp; 234.52</t>
        </r>
      </text>
    </comment>
    <comment ref="AB76" authorId="1" shapeId="0">
      <text>
        <r>
          <rPr>
            <b/>
            <sz val="10"/>
            <color indexed="81"/>
            <rFont val="Tahoma"/>
            <family val="2"/>
          </rPr>
          <t>Amnerys Valdes:</t>
        </r>
        <r>
          <rPr>
            <sz val="10"/>
            <color indexed="81"/>
            <rFont val="Tahoma"/>
            <family val="2"/>
          </rPr>
          <t xml:space="preserve">
Acc 234.07 &amp; 234.52</t>
        </r>
      </text>
    </comment>
    <comment ref="AC76" authorId="1" shapeId="0">
      <text>
        <r>
          <rPr>
            <b/>
            <sz val="10"/>
            <color indexed="81"/>
            <rFont val="Tahoma"/>
            <family val="2"/>
          </rPr>
          <t>Amnerys Valdes:</t>
        </r>
        <r>
          <rPr>
            <sz val="10"/>
            <color indexed="81"/>
            <rFont val="Tahoma"/>
            <family val="2"/>
          </rPr>
          <t xml:space="preserve">
Acc 234.07 &amp; 234.52</t>
        </r>
      </text>
    </comment>
    <comment ref="AD76" authorId="1" shapeId="0">
      <text>
        <r>
          <rPr>
            <b/>
            <sz val="10"/>
            <color indexed="81"/>
            <rFont val="Tahoma"/>
            <family val="2"/>
          </rPr>
          <t>Amnerys Valdes:</t>
        </r>
        <r>
          <rPr>
            <sz val="10"/>
            <color indexed="81"/>
            <rFont val="Tahoma"/>
            <family val="2"/>
          </rPr>
          <t xml:space="preserve">
Acc 234.07 &amp; 234.52</t>
        </r>
      </text>
    </comment>
    <comment ref="AE76" authorId="1" shapeId="0">
      <text>
        <r>
          <rPr>
            <b/>
            <sz val="10"/>
            <color indexed="81"/>
            <rFont val="Tahoma"/>
            <family val="2"/>
          </rPr>
          <t>Amnerys Valdes:</t>
        </r>
        <r>
          <rPr>
            <sz val="10"/>
            <color indexed="81"/>
            <rFont val="Tahoma"/>
            <family val="2"/>
          </rPr>
          <t xml:space="preserve">
Acc 234.07 &amp; 234.52</t>
        </r>
      </text>
    </comment>
    <comment ref="AF76" authorId="1" shapeId="0">
      <text>
        <r>
          <rPr>
            <b/>
            <sz val="10"/>
            <color indexed="81"/>
            <rFont val="Tahoma"/>
            <family val="2"/>
          </rPr>
          <t>Amnerys Valdes:</t>
        </r>
        <r>
          <rPr>
            <sz val="10"/>
            <color indexed="81"/>
            <rFont val="Tahoma"/>
            <family val="2"/>
          </rPr>
          <t xml:space="preserve">
Acc 234.07 &amp; 234.52</t>
        </r>
      </text>
    </comment>
    <comment ref="AG76" authorId="1" shapeId="0">
      <text>
        <r>
          <rPr>
            <b/>
            <sz val="10"/>
            <color indexed="81"/>
            <rFont val="Tahoma"/>
            <family val="2"/>
          </rPr>
          <t>Amnerys Valdes:</t>
        </r>
        <r>
          <rPr>
            <sz val="10"/>
            <color indexed="81"/>
            <rFont val="Tahoma"/>
            <family val="2"/>
          </rPr>
          <t xml:space="preserve">
Acc 234.07 &amp; 234.52</t>
        </r>
      </text>
    </comment>
    <comment ref="AH76" authorId="1" shapeId="0">
      <text>
        <r>
          <rPr>
            <b/>
            <sz val="10"/>
            <color indexed="81"/>
            <rFont val="Tahoma"/>
            <family val="2"/>
          </rPr>
          <t>Amnerys Valdes:</t>
        </r>
        <r>
          <rPr>
            <sz val="10"/>
            <color indexed="81"/>
            <rFont val="Tahoma"/>
            <family val="2"/>
          </rPr>
          <t xml:space="preserve">
Acc 234.07 &amp; 234.52</t>
        </r>
      </text>
    </comment>
    <comment ref="AI76" authorId="1" shapeId="0">
      <text>
        <r>
          <rPr>
            <b/>
            <sz val="10"/>
            <color indexed="81"/>
            <rFont val="Tahoma"/>
            <family val="2"/>
          </rPr>
          <t>Amnerys Valdes:</t>
        </r>
        <r>
          <rPr>
            <sz val="10"/>
            <color indexed="81"/>
            <rFont val="Tahoma"/>
            <family val="2"/>
          </rPr>
          <t xml:space="preserve">
Acc 234.07 &amp; 234.52</t>
        </r>
      </text>
    </comment>
    <comment ref="BA76" authorId="2" shapeId="0">
      <text>
        <r>
          <rPr>
            <b/>
            <sz val="9"/>
            <color indexed="81"/>
            <rFont val="Tahoma"/>
            <family val="2"/>
          </rPr>
          <t>Valdes, Amnerys:</t>
        </r>
        <r>
          <rPr>
            <sz val="9"/>
            <color indexed="81"/>
            <rFont val="Tahoma"/>
            <family val="2"/>
          </rPr>
          <t xml:space="preserve">
reclass Acc 2330711 - N/P Intercompany to Notes Payable.</t>
        </r>
      </text>
    </comment>
    <comment ref="BB76" authorId="2" shapeId="0">
      <text>
        <r>
          <rPr>
            <b/>
            <sz val="9"/>
            <color indexed="81"/>
            <rFont val="Tahoma"/>
            <family val="2"/>
          </rPr>
          <t>Valdes, Amnerys:</t>
        </r>
        <r>
          <rPr>
            <sz val="9"/>
            <color indexed="81"/>
            <rFont val="Tahoma"/>
            <family val="2"/>
          </rPr>
          <t xml:space="preserve">
reclass Acc 2330711 - N/P Intercompany to Notes Payable.</t>
        </r>
      </text>
    </comment>
    <comment ref="BC76" authorId="2" shapeId="0">
      <text>
        <r>
          <rPr>
            <b/>
            <sz val="9"/>
            <color indexed="81"/>
            <rFont val="Tahoma"/>
            <family val="2"/>
          </rPr>
          <t>Valdes, Amnerys:</t>
        </r>
        <r>
          <rPr>
            <sz val="9"/>
            <color indexed="81"/>
            <rFont val="Tahoma"/>
            <family val="2"/>
          </rPr>
          <t xml:space="preserve">
reclass Acc 2330711 - N/P Intercompany to Notes Payable.</t>
        </r>
      </text>
    </comment>
    <comment ref="BD76" authorId="2" shapeId="0">
      <text>
        <r>
          <rPr>
            <b/>
            <sz val="9"/>
            <color indexed="81"/>
            <rFont val="Tahoma"/>
            <family val="2"/>
          </rPr>
          <t>Valdes, Amnerys:</t>
        </r>
        <r>
          <rPr>
            <sz val="9"/>
            <color indexed="81"/>
            <rFont val="Tahoma"/>
            <family val="2"/>
          </rPr>
          <t xml:space="preserve">
reclass Acc 2330711 - N/P Intercompany to Notes Payable.</t>
        </r>
      </text>
    </comment>
    <comment ref="BE76" authorId="2" shapeId="0">
      <text>
        <r>
          <rPr>
            <b/>
            <sz val="9"/>
            <color indexed="81"/>
            <rFont val="Tahoma"/>
            <family val="2"/>
          </rPr>
          <t>Valdes, Amnerys:</t>
        </r>
        <r>
          <rPr>
            <sz val="9"/>
            <color indexed="81"/>
            <rFont val="Tahoma"/>
            <family val="2"/>
          </rPr>
          <t xml:space="preserve">
reclass Acc 2330711 - N/P Intercompany to Notes Payable.</t>
        </r>
      </text>
    </comment>
    <comment ref="BF76" authorId="2" shapeId="0">
      <text>
        <r>
          <rPr>
            <b/>
            <sz val="9"/>
            <color indexed="81"/>
            <rFont val="Tahoma"/>
            <family val="2"/>
          </rPr>
          <t>Valdes, Amnerys:</t>
        </r>
        <r>
          <rPr>
            <sz val="9"/>
            <color indexed="81"/>
            <rFont val="Tahoma"/>
            <family val="2"/>
          </rPr>
          <t xml:space="preserve">
reclass Acc 2330711 - N/P Intercompany to Notes Payable.</t>
        </r>
      </text>
    </comment>
    <comment ref="BG76" authorId="2" shapeId="0">
      <text>
        <r>
          <rPr>
            <b/>
            <sz val="9"/>
            <color indexed="81"/>
            <rFont val="Tahoma"/>
            <family val="2"/>
          </rPr>
          <t>Valdes, Amnerys:</t>
        </r>
        <r>
          <rPr>
            <sz val="9"/>
            <color indexed="81"/>
            <rFont val="Tahoma"/>
            <family val="2"/>
          </rPr>
          <t xml:space="preserve">
reclass Acc 2330711 - N/P Intercompany to Notes Payable.</t>
        </r>
      </text>
    </comment>
    <comment ref="BH76" authorId="2" shapeId="0">
      <text>
        <r>
          <rPr>
            <b/>
            <sz val="9"/>
            <color indexed="81"/>
            <rFont val="Tahoma"/>
            <family val="2"/>
          </rPr>
          <t>Valdes, Amnerys:</t>
        </r>
        <r>
          <rPr>
            <sz val="9"/>
            <color indexed="81"/>
            <rFont val="Tahoma"/>
            <family val="2"/>
          </rPr>
          <t xml:space="preserve">
reclass Acc 2330711 - N/P Intercompany to Notes Payable.</t>
        </r>
      </text>
    </comment>
    <comment ref="BI76" authorId="2" shapeId="0">
      <text>
        <r>
          <rPr>
            <b/>
            <sz val="9"/>
            <color indexed="81"/>
            <rFont val="Tahoma"/>
            <family val="2"/>
          </rPr>
          <t>Valdes, Amnerys:</t>
        </r>
        <r>
          <rPr>
            <sz val="9"/>
            <color indexed="81"/>
            <rFont val="Tahoma"/>
            <family val="2"/>
          </rPr>
          <t xml:space="preserve">
reclass Acc 2330711 - N/P Intercompany to Notes Payable.</t>
        </r>
      </text>
    </comment>
    <comment ref="BJ76" authorId="2" shapeId="0">
      <text>
        <r>
          <rPr>
            <b/>
            <sz val="9"/>
            <color indexed="81"/>
            <rFont val="Tahoma"/>
            <family val="2"/>
          </rPr>
          <t>Valdes, Amnerys:</t>
        </r>
        <r>
          <rPr>
            <sz val="9"/>
            <color indexed="81"/>
            <rFont val="Tahoma"/>
            <family val="2"/>
          </rPr>
          <t xml:space="preserve">
reclass Acc 2330711 - N/P Intercompany to Notes Payable.</t>
        </r>
      </text>
    </comment>
    <comment ref="BK76" authorId="2" shapeId="0">
      <text>
        <r>
          <rPr>
            <b/>
            <sz val="9"/>
            <color indexed="81"/>
            <rFont val="Tahoma"/>
            <family val="2"/>
          </rPr>
          <t>Valdes, Amnerys:</t>
        </r>
        <r>
          <rPr>
            <sz val="9"/>
            <color indexed="81"/>
            <rFont val="Tahoma"/>
            <family val="2"/>
          </rPr>
          <t xml:space="preserve">
reclass Acc 2330711 - N/P Intercompany to Notes Payable.</t>
        </r>
      </text>
    </comment>
    <comment ref="BL76" authorId="2" shapeId="0">
      <text>
        <r>
          <rPr>
            <b/>
            <sz val="9"/>
            <color indexed="81"/>
            <rFont val="Tahoma"/>
            <family val="2"/>
          </rPr>
          <t>Valdes, Amnerys:</t>
        </r>
        <r>
          <rPr>
            <sz val="9"/>
            <color indexed="81"/>
            <rFont val="Tahoma"/>
            <family val="2"/>
          </rPr>
          <t xml:space="preserve">
reclass Acc 2330711 - N/P Intercompany to Notes Payable.</t>
        </r>
      </text>
    </comment>
    <comment ref="BM76" authorId="2" shapeId="0">
      <text>
        <r>
          <rPr>
            <b/>
            <sz val="9"/>
            <color indexed="81"/>
            <rFont val="Tahoma"/>
            <family val="2"/>
          </rPr>
          <t>Valdes, Amnerys:</t>
        </r>
        <r>
          <rPr>
            <sz val="9"/>
            <color indexed="81"/>
            <rFont val="Tahoma"/>
            <family val="2"/>
          </rPr>
          <t xml:space="preserve">
reclass Acc 2330711 - N/P Intercompany to Notes Payable.</t>
        </r>
      </text>
    </comment>
    <comment ref="BN76" authorId="2" shapeId="0">
      <text>
        <r>
          <rPr>
            <b/>
            <sz val="9"/>
            <color indexed="81"/>
            <rFont val="Tahoma"/>
            <family val="2"/>
          </rPr>
          <t>Valdes, Amnerys:</t>
        </r>
        <r>
          <rPr>
            <sz val="9"/>
            <color indexed="81"/>
            <rFont val="Tahoma"/>
            <family val="2"/>
          </rPr>
          <t xml:space="preserve">
reclass Acc 2330711 - N/P Intercompany to Notes Payable.</t>
        </r>
      </text>
    </comment>
    <comment ref="BO76" authorId="2" shapeId="0">
      <text>
        <r>
          <rPr>
            <b/>
            <sz val="9"/>
            <color indexed="81"/>
            <rFont val="Tahoma"/>
            <family val="2"/>
          </rPr>
          <t>Valdes, Amnerys:</t>
        </r>
        <r>
          <rPr>
            <sz val="9"/>
            <color indexed="81"/>
            <rFont val="Tahoma"/>
            <family val="2"/>
          </rPr>
          <t xml:space="preserve">
reclass Acc 2330711 - N/P Intercompany to Notes Payable.</t>
        </r>
      </text>
    </comment>
    <comment ref="BP76" authorId="2" shapeId="0">
      <text>
        <r>
          <rPr>
            <b/>
            <sz val="9"/>
            <color indexed="81"/>
            <rFont val="Tahoma"/>
            <family val="2"/>
          </rPr>
          <t>Valdes, Amnerys:</t>
        </r>
        <r>
          <rPr>
            <sz val="9"/>
            <color indexed="81"/>
            <rFont val="Tahoma"/>
            <family val="2"/>
          </rPr>
          <t xml:space="preserve">
reclass Acc 2330711 - N/P Intercompany to Notes Payable.</t>
        </r>
      </text>
    </comment>
    <comment ref="BQ76" authorId="2" shapeId="0">
      <text>
        <r>
          <rPr>
            <b/>
            <sz val="9"/>
            <color indexed="81"/>
            <rFont val="Tahoma"/>
            <family val="2"/>
          </rPr>
          <t>Valdes, Amnerys:</t>
        </r>
        <r>
          <rPr>
            <sz val="9"/>
            <color indexed="81"/>
            <rFont val="Tahoma"/>
            <family val="2"/>
          </rPr>
          <t xml:space="preserve">
reclass Acc 2330711 - N/P Intercompany to Notes Payable.</t>
        </r>
      </text>
    </comment>
    <comment ref="BR76" authorId="2" shapeId="0">
      <text>
        <r>
          <rPr>
            <b/>
            <sz val="9"/>
            <color indexed="81"/>
            <rFont val="Tahoma"/>
            <family val="2"/>
          </rPr>
          <t>Valdes, Amnerys:</t>
        </r>
        <r>
          <rPr>
            <sz val="9"/>
            <color indexed="81"/>
            <rFont val="Tahoma"/>
            <family val="2"/>
          </rPr>
          <t xml:space="preserve">
reclass Acc 2330711 - N/P Intercompany to Notes Payable.</t>
        </r>
      </text>
    </comment>
    <comment ref="BS76" authorId="2" shapeId="0">
      <text>
        <r>
          <rPr>
            <b/>
            <sz val="9"/>
            <color indexed="81"/>
            <rFont val="Tahoma"/>
            <family val="2"/>
          </rPr>
          <t>Valdes, Amnerys:</t>
        </r>
        <r>
          <rPr>
            <sz val="9"/>
            <color indexed="81"/>
            <rFont val="Tahoma"/>
            <family val="2"/>
          </rPr>
          <t xml:space="preserve">
reclass Acc 2330711 - N/P Intercompany to Notes Payable.</t>
        </r>
      </text>
    </comment>
    <comment ref="O77" authorId="1" shapeId="0">
      <text>
        <r>
          <rPr>
            <b/>
            <sz val="10"/>
            <color indexed="81"/>
            <rFont val="Tahoma"/>
            <family val="2"/>
          </rPr>
          <t>Amnerys Valdes:</t>
        </r>
        <r>
          <rPr>
            <sz val="10"/>
            <color indexed="81"/>
            <rFont val="Tahoma"/>
            <family val="2"/>
          </rPr>
          <t xml:space="preserve">
Acc 234 - (Acc 234.07 &amp; 234.52)</t>
        </r>
      </text>
    </comment>
    <comment ref="P77" authorId="1" shapeId="0">
      <text>
        <r>
          <rPr>
            <b/>
            <sz val="10"/>
            <color indexed="81"/>
            <rFont val="Tahoma"/>
            <family val="2"/>
          </rPr>
          <t>Amnerys Valdes:</t>
        </r>
        <r>
          <rPr>
            <sz val="10"/>
            <color indexed="81"/>
            <rFont val="Tahoma"/>
            <family val="2"/>
          </rPr>
          <t xml:space="preserve">
Acc 234 - (Acc 234.07 &amp; 234.52)</t>
        </r>
      </text>
    </comment>
    <comment ref="Q77" authorId="1" shapeId="0">
      <text>
        <r>
          <rPr>
            <b/>
            <sz val="10"/>
            <color indexed="81"/>
            <rFont val="Tahoma"/>
            <family val="2"/>
          </rPr>
          <t>Amnerys Valdes:</t>
        </r>
        <r>
          <rPr>
            <sz val="10"/>
            <color indexed="81"/>
            <rFont val="Tahoma"/>
            <family val="2"/>
          </rPr>
          <t xml:space="preserve">
Acc 234 - (Acc 234.07 &amp; 234.52)</t>
        </r>
      </text>
    </comment>
    <comment ref="R77" authorId="1" shapeId="0">
      <text>
        <r>
          <rPr>
            <b/>
            <sz val="10"/>
            <color indexed="81"/>
            <rFont val="Tahoma"/>
            <family val="2"/>
          </rPr>
          <t>Amnerys Valdes:</t>
        </r>
        <r>
          <rPr>
            <sz val="10"/>
            <color indexed="81"/>
            <rFont val="Tahoma"/>
            <family val="2"/>
          </rPr>
          <t xml:space="preserve">
Acc 234 - (Acc 234.07 &amp; 234.52)
</t>
        </r>
      </text>
    </comment>
    <comment ref="S77" authorId="1" shapeId="0">
      <text>
        <r>
          <rPr>
            <b/>
            <sz val="10"/>
            <color indexed="81"/>
            <rFont val="Tahoma"/>
            <family val="2"/>
          </rPr>
          <t>Amnerys Valdes:</t>
        </r>
        <r>
          <rPr>
            <sz val="10"/>
            <color indexed="81"/>
            <rFont val="Tahoma"/>
            <family val="2"/>
          </rPr>
          <t xml:space="preserve">
Acc 234 - (Acc 234.07 &amp; 234.52)</t>
        </r>
      </text>
    </comment>
    <comment ref="T77" authorId="2" shapeId="0">
      <text>
        <r>
          <rPr>
            <b/>
            <sz val="9"/>
            <color indexed="81"/>
            <rFont val="Tahoma"/>
            <family val="2"/>
          </rPr>
          <t>Valdes, Amnerys:</t>
        </r>
        <r>
          <rPr>
            <sz val="9"/>
            <color indexed="81"/>
            <rFont val="Tahoma"/>
            <family val="2"/>
          </rPr>
          <t xml:space="preserve">
Acc 234 - (Acc 234.07 &amp; 234.52)</t>
        </r>
      </text>
    </comment>
    <comment ref="U77" authorId="1" shapeId="0">
      <text>
        <r>
          <rPr>
            <b/>
            <sz val="10"/>
            <color indexed="81"/>
            <rFont val="Tahoma"/>
            <family val="2"/>
          </rPr>
          <t>Amnerys Valdes:</t>
        </r>
        <r>
          <rPr>
            <sz val="10"/>
            <color indexed="81"/>
            <rFont val="Tahoma"/>
            <family val="2"/>
          </rPr>
          <t xml:space="preserve">
Acc 234 - (Acc 234.07 &amp; 234.52)
</t>
        </r>
      </text>
    </comment>
    <comment ref="V77" authorId="1" shapeId="0">
      <text>
        <r>
          <rPr>
            <b/>
            <sz val="10"/>
            <color indexed="81"/>
            <rFont val="Tahoma"/>
            <family val="2"/>
          </rPr>
          <t>Amnerys Valdes:</t>
        </r>
        <r>
          <rPr>
            <sz val="10"/>
            <color indexed="81"/>
            <rFont val="Tahoma"/>
            <family val="2"/>
          </rPr>
          <t xml:space="preserve">
Acc 234 - (Acc 234.07 &amp; 234.52)
</t>
        </r>
      </text>
    </comment>
    <comment ref="W77" authorId="1" shapeId="0">
      <text>
        <r>
          <rPr>
            <b/>
            <sz val="10"/>
            <color indexed="81"/>
            <rFont val="Tahoma"/>
            <family val="2"/>
          </rPr>
          <t>Amnerys Valdes:</t>
        </r>
        <r>
          <rPr>
            <sz val="10"/>
            <color indexed="81"/>
            <rFont val="Tahoma"/>
            <family val="2"/>
          </rPr>
          <t xml:space="preserve">
Acc 234 - (Acc 234.07 &amp; 234.52)
</t>
        </r>
      </text>
    </comment>
    <comment ref="X77" authorId="1" shapeId="0">
      <text>
        <r>
          <rPr>
            <b/>
            <sz val="10"/>
            <color indexed="81"/>
            <rFont val="Tahoma"/>
            <family val="2"/>
          </rPr>
          <t>Amnerys Valdes:</t>
        </r>
        <r>
          <rPr>
            <sz val="10"/>
            <color indexed="81"/>
            <rFont val="Tahoma"/>
            <family val="2"/>
          </rPr>
          <t xml:space="preserve">
Acc 234 - (Acc 234.07 &amp; 234.52)
</t>
        </r>
      </text>
    </comment>
    <comment ref="Y77" authorId="1" shapeId="0">
      <text>
        <r>
          <rPr>
            <b/>
            <sz val="10"/>
            <color indexed="81"/>
            <rFont val="Tahoma"/>
            <family val="2"/>
          </rPr>
          <t>Amnerys Valdes:</t>
        </r>
        <r>
          <rPr>
            <sz val="10"/>
            <color indexed="81"/>
            <rFont val="Tahoma"/>
            <family val="2"/>
          </rPr>
          <t xml:space="preserve">
Acc 234 - (Acc 234.07 &amp; 234.52)
</t>
        </r>
      </text>
    </comment>
    <comment ref="Z77" authorId="1" shapeId="0">
      <text>
        <r>
          <rPr>
            <b/>
            <sz val="10"/>
            <color indexed="81"/>
            <rFont val="Tahoma"/>
            <family val="2"/>
          </rPr>
          <t>Amnerys Valdes:</t>
        </r>
        <r>
          <rPr>
            <sz val="10"/>
            <color indexed="81"/>
            <rFont val="Tahoma"/>
            <family val="2"/>
          </rPr>
          <t xml:space="preserve">
Acc 234 - (Acc 234.07 &amp; 234.52)
</t>
        </r>
      </text>
    </comment>
    <comment ref="AA77" authorId="1" shapeId="0">
      <text>
        <r>
          <rPr>
            <b/>
            <sz val="10"/>
            <color indexed="81"/>
            <rFont val="Tahoma"/>
            <family val="2"/>
          </rPr>
          <t>Amnerys Valdes:</t>
        </r>
        <r>
          <rPr>
            <sz val="10"/>
            <color indexed="81"/>
            <rFont val="Tahoma"/>
            <family val="2"/>
          </rPr>
          <t xml:space="preserve">
Acc 234 - (Acc 234.07 &amp; 234.52)
</t>
        </r>
      </text>
    </comment>
    <comment ref="AB77" authorId="1" shapeId="0">
      <text>
        <r>
          <rPr>
            <b/>
            <sz val="10"/>
            <color indexed="81"/>
            <rFont val="Tahoma"/>
            <family val="2"/>
          </rPr>
          <t>Amnerys Valdes:</t>
        </r>
        <r>
          <rPr>
            <sz val="10"/>
            <color indexed="81"/>
            <rFont val="Tahoma"/>
            <family val="2"/>
          </rPr>
          <t xml:space="preserve">
Acc 234 - (Acc 234.07 &amp; 234.52)
</t>
        </r>
      </text>
    </comment>
    <comment ref="AC77" authorId="1" shapeId="0">
      <text>
        <r>
          <rPr>
            <b/>
            <sz val="10"/>
            <color indexed="81"/>
            <rFont val="Tahoma"/>
            <family val="2"/>
          </rPr>
          <t>Amnerys Valdes:</t>
        </r>
        <r>
          <rPr>
            <sz val="10"/>
            <color indexed="81"/>
            <rFont val="Tahoma"/>
            <family val="2"/>
          </rPr>
          <t xml:space="preserve">
Acc 234 - (Acc 234.07 &amp; 234.52 &amp; 234.53)
</t>
        </r>
      </text>
    </comment>
    <comment ref="AD77" authorId="1" shapeId="0">
      <text>
        <r>
          <rPr>
            <b/>
            <sz val="10"/>
            <color indexed="81"/>
            <rFont val="Tahoma"/>
            <family val="2"/>
          </rPr>
          <t>Amnerys Valdes:</t>
        </r>
        <r>
          <rPr>
            <sz val="10"/>
            <color indexed="81"/>
            <rFont val="Tahoma"/>
            <family val="2"/>
          </rPr>
          <t xml:space="preserve">
Acc 234 - (Acc 234.07 &amp; 234.52 &amp; 234.53)
</t>
        </r>
      </text>
    </comment>
    <comment ref="AE77" authorId="1" shapeId="0">
      <text>
        <r>
          <rPr>
            <b/>
            <sz val="10"/>
            <color indexed="81"/>
            <rFont val="Tahoma"/>
            <family val="2"/>
          </rPr>
          <t>Amnerys Valdes:</t>
        </r>
        <r>
          <rPr>
            <sz val="10"/>
            <color indexed="81"/>
            <rFont val="Tahoma"/>
            <family val="2"/>
          </rPr>
          <t xml:space="preserve">
Acc 234 - (Acc 234.07 &amp; 234.52 &amp; 234.53)
</t>
        </r>
      </text>
    </comment>
    <comment ref="AF77" authorId="1" shapeId="0">
      <text>
        <r>
          <rPr>
            <b/>
            <sz val="10"/>
            <color indexed="81"/>
            <rFont val="Tahoma"/>
            <family val="2"/>
          </rPr>
          <t>Amnerys Valdes:</t>
        </r>
        <r>
          <rPr>
            <sz val="10"/>
            <color indexed="81"/>
            <rFont val="Tahoma"/>
            <family val="2"/>
          </rPr>
          <t xml:space="preserve">
Acc 234 - (Acc 234.07 &amp; 234.52 &amp; 234.53)
</t>
        </r>
      </text>
    </comment>
    <comment ref="AG77" authorId="1" shapeId="0">
      <text>
        <r>
          <rPr>
            <b/>
            <sz val="10"/>
            <color indexed="81"/>
            <rFont val="Tahoma"/>
            <family val="2"/>
          </rPr>
          <t>Amnerys Valdes:</t>
        </r>
        <r>
          <rPr>
            <sz val="10"/>
            <color indexed="81"/>
            <rFont val="Tahoma"/>
            <family val="2"/>
          </rPr>
          <t xml:space="preserve">
Acc 234 - (Acc 234.07 &amp; 234.52 &amp; 234.53)
</t>
        </r>
      </text>
    </comment>
    <comment ref="AH77" authorId="1" shapeId="0">
      <text>
        <r>
          <rPr>
            <b/>
            <sz val="10"/>
            <color indexed="81"/>
            <rFont val="Tahoma"/>
            <family val="2"/>
          </rPr>
          <t>Amnerys Valdes:</t>
        </r>
        <r>
          <rPr>
            <sz val="10"/>
            <color indexed="81"/>
            <rFont val="Tahoma"/>
            <family val="2"/>
          </rPr>
          <t xml:space="preserve">
Acc 234 - (Acc 234.07 &amp; 234.52 &amp; 234.53)
</t>
        </r>
      </text>
    </comment>
    <comment ref="AI77" authorId="1" shapeId="0">
      <text>
        <r>
          <rPr>
            <b/>
            <sz val="10"/>
            <color indexed="81"/>
            <rFont val="Tahoma"/>
            <family val="2"/>
          </rPr>
          <t>Amnerys Valdes:</t>
        </r>
        <r>
          <rPr>
            <sz val="10"/>
            <color indexed="81"/>
            <rFont val="Tahoma"/>
            <family val="2"/>
          </rPr>
          <t xml:space="preserve">
Acc 234 - (Acc 234.07 &amp; 234.52 &amp; 234.53)
</t>
        </r>
      </text>
    </comment>
    <comment ref="X78" authorId="0" shapeId="0">
      <text>
        <r>
          <rPr>
            <b/>
            <sz val="9"/>
            <color indexed="81"/>
            <rFont val="Tahoma"/>
            <family val="2"/>
          </rPr>
          <t>Coe, Connie:</t>
        </r>
        <r>
          <rPr>
            <sz val="9"/>
            <color indexed="81"/>
            <rFont val="Tahoma"/>
            <family val="2"/>
          </rPr>
          <t xml:space="preserve">
Acc 235.90</t>
        </r>
      </text>
    </comment>
    <comment ref="AA78" authorId="0" shapeId="0">
      <text>
        <r>
          <rPr>
            <b/>
            <sz val="9"/>
            <color indexed="81"/>
            <rFont val="Tahoma"/>
            <family val="2"/>
          </rPr>
          <t>Coe, Connie:</t>
        </r>
        <r>
          <rPr>
            <sz val="9"/>
            <color indexed="81"/>
            <rFont val="Tahoma"/>
            <family val="2"/>
          </rPr>
          <t xml:space="preserve">
Acc 235.90</t>
        </r>
      </text>
    </comment>
    <comment ref="AB78" authorId="0" shapeId="0">
      <text>
        <r>
          <rPr>
            <b/>
            <sz val="9"/>
            <color indexed="81"/>
            <rFont val="Tahoma"/>
            <family val="2"/>
          </rPr>
          <t>Coe, Connie:</t>
        </r>
        <r>
          <rPr>
            <sz val="9"/>
            <color indexed="81"/>
            <rFont val="Tahoma"/>
            <family val="2"/>
          </rPr>
          <t xml:space="preserve">
Acc 235.90</t>
        </r>
      </text>
    </comment>
    <comment ref="A79" authorId="0" shapeId="0">
      <text>
        <r>
          <rPr>
            <b/>
            <sz val="9"/>
            <color indexed="81"/>
            <rFont val="Tahoma"/>
            <family val="2"/>
          </rPr>
          <t>Coe, Connie:</t>
        </r>
        <r>
          <rPr>
            <sz val="9"/>
            <color indexed="81"/>
            <rFont val="Tahoma"/>
            <family val="2"/>
          </rPr>
          <t xml:space="preserve">
Accts 236.11 - 236.16
</t>
        </r>
      </text>
    </comment>
    <comment ref="AC79" authorId="0" shapeId="0">
      <text>
        <r>
          <rPr>
            <b/>
            <sz val="9"/>
            <color indexed="81"/>
            <rFont val="Tahoma"/>
            <family val="2"/>
          </rPr>
          <t>Coe, Connie:</t>
        </r>
        <r>
          <rPr>
            <sz val="9"/>
            <color indexed="81"/>
            <rFont val="Tahoma"/>
            <family val="2"/>
          </rPr>
          <t xml:space="preserve">
Acc 236.11 - 236.16</t>
        </r>
      </text>
    </comment>
    <comment ref="AD79" authorId="0" shapeId="0">
      <text>
        <r>
          <rPr>
            <b/>
            <sz val="9"/>
            <color indexed="81"/>
            <rFont val="Tahoma"/>
            <family val="2"/>
          </rPr>
          <t>Coe, Connie:</t>
        </r>
        <r>
          <rPr>
            <sz val="9"/>
            <color indexed="81"/>
            <rFont val="Tahoma"/>
            <family val="2"/>
          </rPr>
          <t xml:space="preserve">
Acc 236.11 - 236.16</t>
        </r>
      </text>
    </comment>
    <comment ref="AE79" authorId="0" shapeId="0">
      <text>
        <r>
          <rPr>
            <b/>
            <sz val="9"/>
            <color indexed="81"/>
            <rFont val="Tahoma"/>
            <family val="2"/>
          </rPr>
          <t>Coe, Connie:</t>
        </r>
        <r>
          <rPr>
            <sz val="9"/>
            <color indexed="81"/>
            <rFont val="Tahoma"/>
            <family val="2"/>
          </rPr>
          <t xml:space="preserve">
Acc 236.11 - 236.16</t>
        </r>
      </text>
    </comment>
    <comment ref="AF79" authorId="0" shapeId="0">
      <text>
        <r>
          <rPr>
            <b/>
            <sz val="9"/>
            <color indexed="81"/>
            <rFont val="Tahoma"/>
            <family val="2"/>
          </rPr>
          <t>Coe, Connie:</t>
        </r>
        <r>
          <rPr>
            <sz val="9"/>
            <color indexed="81"/>
            <rFont val="Tahoma"/>
            <family val="2"/>
          </rPr>
          <t xml:space="preserve">
Acc 236.11 - 236.16</t>
        </r>
      </text>
    </comment>
    <comment ref="AG79" authorId="0" shapeId="0">
      <text>
        <r>
          <rPr>
            <b/>
            <sz val="9"/>
            <color indexed="81"/>
            <rFont val="Tahoma"/>
            <family val="2"/>
          </rPr>
          <t>Coe, Connie:</t>
        </r>
        <r>
          <rPr>
            <sz val="9"/>
            <color indexed="81"/>
            <rFont val="Tahoma"/>
            <family val="2"/>
          </rPr>
          <t xml:space="preserve">
Acc 236.11 - 236.16</t>
        </r>
      </text>
    </comment>
    <comment ref="AH79" authorId="0" shapeId="0">
      <text>
        <r>
          <rPr>
            <b/>
            <sz val="9"/>
            <color indexed="81"/>
            <rFont val="Tahoma"/>
            <family val="2"/>
          </rPr>
          <t>Coe, Connie:</t>
        </r>
        <r>
          <rPr>
            <sz val="9"/>
            <color indexed="81"/>
            <rFont val="Tahoma"/>
            <family val="2"/>
          </rPr>
          <t xml:space="preserve">
Acc 236.11 - 236.16</t>
        </r>
      </text>
    </comment>
    <comment ref="AI79" authorId="0" shapeId="0">
      <text>
        <r>
          <rPr>
            <b/>
            <sz val="9"/>
            <color indexed="81"/>
            <rFont val="Tahoma"/>
            <family val="2"/>
          </rPr>
          <t>Coe, Connie:</t>
        </r>
        <r>
          <rPr>
            <sz val="9"/>
            <color indexed="81"/>
            <rFont val="Tahoma"/>
            <family val="2"/>
          </rPr>
          <t xml:space="preserve">
Acc 236.11 - 236.16</t>
        </r>
      </text>
    </comment>
    <comment ref="AP79" authorId="3" shapeId="0">
      <text>
        <r>
          <rPr>
            <b/>
            <sz val="9"/>
            <color indexed="81"/>
            <rFont val="Tahoma"/>
            <family val="2"/>
          </rPr>
          <t>Coe, Connie P.:</t>
        </r>
        <r>
          <rPr>
            <sz val="9"/>
            <color indexed="81"/>
            <rFont val="Tahoma"/>
            <family val="2"/>
          </rPr>
          <t xml:space="preserve">
2360600, 2360601, 2360602, 2360603, 
2360604, 2360605</t>
        </r>
      </text>
    </comment>
    <comment ref="A80" authorId="0" shapeId="0">
      <text>
        <r>
          <rPr>
            <b/>
            <sz val="9"/>
            <color indexed="81"/>
            <rFont val="Tahoma"/>
            <family val="2"/>
          </rPr>
          <t>Coe, Connie:</t>
        </r>
        <r>
          <rPr>
            <sz val="9"/>
            <color indexed="81"/>
            <rFont val="Tahoma"/>
            <family val="2"/>
          </rPr>
          <t xml:space="preserve">
Accts 236.01+263.02
</t>
        </r>
      </text>
    </comment>
    <comment ref="AC80" authorId="2" shapeId="0">
      <text>
        <r>
          <rPr>
            <b/>
            <sz val="9"/>
            <color indexed="81"/>
            <rFont val="Tahoma"/>
            <family val="2"/>
          </rPr>
          <t>Valdes, Amnerys:</t>
        </r>
        <r>
          <rPr>
            <sz val="9"/>
            <color indexed="81"/>
            <rFont val="Tahoma"/>
            <family val="2"/>
          </rPr>
          <t xml:space="preserve">
</t>
        </r>
        <r>
          <rPr>
            <b/>
            <sz val="9"/>
            <color indexed="10"/>
            <rFont val="Tahoma"/>
            <family val="2"/>
          </rPr>
          <t>--Includes Year end reclass of Acc 143.10 &amp; 143.11 to taxes accrued</t>
        </r>
        <r>
          <rPr>
            <sz val="9"/>
            <color indexed="81"/>
            <rFont val="Tahoma"/>
            <family val="2"/>
          </rPr>
          <t>.</t>
        </r>
      </text>
    </comment>
    <comment ref="AD80" authorId="2" shapeId="0">
      <text>
        <r>
          <rPr>
            <b/>
            <sz val="9"/>
            <color indexed="81"/>
            <rFont val="Tahoma"/>
            <family val="2"/>
          </rPr>
          <t>Valdes, Amnerys:</t>
        </r>
        <r>
          <rPr>
            <sz val="9"/>
            <color indexed="81"/>
            <rFont val="Tahoma"/>
            <family val="2"/>
          </rPr>
          <t xml:space="preserve">
</t>
        </r>
        <r>
          <rPr>
            <b/>
            <sz val="9"/>
            <color indexed="10"/>
            <rFont val="Tahoma"/>
            <family val="2"/>
          </rPr>
          <t>--Includes Year end reclass of Acc 143.10 &amp; 143.11 to taxes accrued</t>
        </r>
        <r>
          <rPr>
            <sz val="9"/>
            <color indexed="81"/>
            <rFont val="Tahoma"/>
            <family val="2"/>
          </rPr>
          <t>.</t>
        </r>
      </text>
    </comment>
    <comment ref="AE80" authorId="2" shapeId="0">
      <text>
        <r>
          <rPr>
            <b/>
            <sz val="9"/>
            <color indexed="81"/>
            <rFont val="Tahoma"/>
            <family val="2"/>
          </rPr>
          <t>Valdes, Amnerys:</t>
        </r>
        <r>
          <rPr>
            <sz val="9"/>
            <color indexed="81"/>
            <rFont val="Tahoma"/>
            <family val="2"/>
          </rPr>
          <t xml:space="preserve">
</t>
        </r>
        <r>
          <rPr>
            <b/>
            <sz val="9"/>
            <color indexed="10"/>
            <rFont val="Tahoma"/>
            <family val="2"/>
          </rPr>
          <t>--Includes Year end reclass of Acc 143.10 &amp; 143.11 to taxes accrued</t>
        </r>
        <r>
          <rPr>
            <sz val="9"/>
            <color indexed="81"/>
            <rFont val="Tahoma"/>
            <family val="2"/>
          </rPr>
          <t>.</t>
        </r>
      </text>
    </comment>
    <comment ref="AF80" authorId="2" shapeId="0">
      <text>
        <r>
          <rPr>
            <b/>
            <sz val="9"/>
            <color indexed="81"/>
            <rFont val="Tahoma"/>
            <family val="2"/>
          </rPr>
          <t>Valdes, Amnerys:</t>
        </r>
        <r>
          <rPr>
            <sz val="9"/>
            <color indexed="81"/>
            <rFont val="Tahoma"/>
            <family val="2"/>
          </rPr>
          <t xml:space="preserve">
</t>
        </r>
        <r>
          <rPr>
            <b/>
            <sz val="9"/>
            <color indexed="10"/>
            <rFont val="Tahoma"/>
            <family val="2"/>
          </rPr>
          <t>--Includes Year end reclass of Acc 143.10 &amp; 143.11 to taxes accrued</t>
        </r>
        <r>
          <rPr>
            <sz val="9"/>
            <color indexed="81"/>
            <rFont val="Tahoma"/>
            <family val="2"/>
          </rPr>
          <t>.</t>
        </r>
      </text>
    </comment>
    <comment ref="AG80" authorId="2" shapeId="0">
      <text>
        <r>
          <rPr>
            <b/>
            <sz val="9"/>
            <color indexed="81"/>
            <rFont val="Tahoma"/>
            <family val="2"/>
          </rPr>
          <t>Valdes, Amnerys:</t>
        </r>
        <r>
          <rPr>
            <sz val="9"/>
            <color indexed="81"/>
            <rFont val="Tahoma"/>
            <family val="2"/>
          </rPr>
          <t xml:space="preserve">
</t>
        </r>
        <r>
          <rPr>
            <b/>
            <sz val="9"/>
            <color indexed="10"/>
            <rFont val="Tahoma"/>
            <family val="2"/>
          </rPr>
          <t>--Includes Year end reclass of Acc 143.10 &amp; 143.11 to taxes accrued</t>
        </r>
        <r>
          <rPr>
            <sz val="9"/>
            <color indexed="81"/>
            <rFont val="Tahoma"/>
            <family val="2"/>
          </rPr>
          <t>.</t>
        </r>
      </text>
    </comment>
    <comment ref="AH80" authorId="2" shapeId="0">
      <text>
        <r>
          <rPr>
            <b/>
            <sz val="9"/>
            <color indexed="81"/>
            <rFont val="Tahoma"/>
            <family val="2"/>
          </rPr>
          <t>Valdes, Amnerys:</t>
        </r>
        <r>
          <rPr>
            <sz val="9"/>
            <color indexed="81"/>
            <rFont val="Tahoma"/>
            <family val="2"/>
          </rPr>
          <t xml:space="preserve">
</t>
        </r>
        <r>
          <rPr>
            <b/>
            <sz val="9"/>
            <color indexed="10"/>
            <rFont val="Tahoma"/>
            <family val="2"/>
          </rPr>
          <t>--Includes Year end reclass of Acc 143.10 &amp; 143.11 to taxes accrued</t>
        </r>
        <r>
          <rPr>
            <sz val="9"/>
            <color indexed="81"/>
            <rFont val="Tahoma"/>
            <family val="2"/>
          </rPr>
          <t>.</t>
        </r>
      </text>
    </comment>
    <comment ref="AI80" authorId="2" shapeId="0">
      <text>
        <r>
          <rPr>
            <b/>
            <sz val="9"/>
            <color indexed="81"/>
            <rFont val="Tahoma"/>
            <family val="2"/>
          </rPr>
          <t>Valdes, Amnerys:</t>
        </r>
        <r>
          <rPr>
            <sz val="9"/>
            <color indexed="81"/>
            <rFont val="Tahoma"/>
            <family val="2"/>
          </rPr>
          <t xml:space="preserve">
</t>
        </r>
        <r>
          <rPr>
            <b/>
            <sz val="9"/>
            <color indexed="10"/>
            <rFont val="Tahoma"/>
            <family val="2"/>
          </rPr>
          <t>--Includes Year end reclass of Acc 143.10 &amp; 143.11 to taxes accrued</t>
        </r>
        <r>
          <rPr>
            <sz val="9"/>
            <color indexed="81"/>
            <rFont val="Tahoma"/>
            <family val="2"/>
          </rPr>
          <t>.</t>
        </r>
      </text>
    </comment>
    <comment ref="X81" authorId="0" shapeId="0">
      <text>
        <r>
          <rPr>
            <b/>
            <sz val="9"/>
            <color indexed="81"/>
            <rFont val="Tahoma"/>
            <family val="2"/>
          </rPr>
          <t>Coe, Connie:</t>
        </r>
        <r>
          <rPr>
            <sz val="9"/>
            <color indexed="81"/>
            <rFont val="Tahoma"/>
            <family val="2"/>
          </rPr>
          <t xml:space="preserve">
Acct. 237</t>
        </r>
      </text>
    </comment>
    <comment ref="AA81" authorId="0" shapeId="0">
      <text>
        <r>
          <rPr>
            <b/>
            <sz val="9"/>
            <color indexed="81"/>
            <rFont val="Tahoma"/>
            <family val="2"/>
          </rPr>
          <t>Coe, Connie:</t>
        </r>
        <r>
          <rPr>
            <sz val="9"/>
            <color indexed="81"/>
            <rFont val="Tahoma"/>
            <family val="2"/>
          </rPr>
          <t xml:space="preserve">
Acct. 237</t>
        </r>
      </text>
    </comment>
    <comment ref="AB81" authorId="0" shapeId="0">
      <text>
        <r>
          <rPr>
            <b/>
            <sz val="9"/>
            <color indexed="81"/>
            <rFont val="Tahoma"/>
            <family val="2"/>
          </rPr>
          <t>Coe, Connie:</t>
        </r>
        <r>
          <rPr>
            <sz val="9"/>
            <color indexed="81"/>
            <rFont val="Tahoma"/>
            <family val="2"/>
          </rPr>
          <t xml:space="preserve">
Acct. 237</t>
        </r>
      </text>
    </comment>
    <comment ref="X83" authorId="0" shapeId="0">
      <text>
        <r>
          <rPr>
            <b/>
            <sz val="9"/>
            <color indexed="81"/>
            <rFont val="Tahoma"/>
            <family val="2"/>
          </rPr>
          <t>Coe, Connie:</t>
        </r>
        <r>
          <rPr>
            <sz val="9"/>
            <color indexed="81"/>
            <rFont val="Tahoma"/>
            <family val="2"/>
          </rPr>
          <t xml:space="preserve">
Acct. 241</t>
        </r>
      </text>
    </comment>
    <comment ref="AP83" authorId="3" shapeId="0">
      <text>
        <r>
          <rPr>
            <b/>
            <sz val="9"/>
            <color indexed="81"/>
            <rFont val="Tahoma"/>
            <family val="2"/>
          </rPr>
          <t>Coe, Connie P.:</t>
        </r>
        <r>
          <rPr>
            <sz val="9"/>
            <color indexed="81"/>
            <rFont val="Tahoma"/>
            <family val="2"/>
          </rPr>
          <t xml:space="preserve">
241
2360605
</t>
        </r>
      </text>
    </comment>
    <comment ref="A84" authorId="1" shapeId="0">
      <text>
        <r>
          <rPr>
            <b/>
            <sz val="10"/>
            <color indexed="81"/>
            <rFont val="Tahoma"/>
            <family val="2"/>
          </rPr>
          <t>Amnerys Valdes:</t>
        </r>
        <r>
          <rPr>
            <sz val="10"/>
            <color indexed="81"/>
            <rFont val="Tahoma"/>
            <family val="2"/>
          </rPr>
          <t xml:space="preserve">
Acc 242.53</t>
        </r>
      </text>
    </comment>
    <comment ref="O84" authorId="1" shapeId="0">
      <text>
        <r>
          <rPr>
            <b/>
            <sz val="10"/>
            <color indexed="81"/>
            <rFont val="Tahoma"/>
            <family val="2"/>
          </rPr>
          <t>Amnerys Valdes:</t>
        </r>
        <r>
          <rPr>
            <sz val="10"/>
            <color indexed="81"/>
            <rFont val="Tahoma"/>
            <family val="2"/>
          </rPr>
          <t xml:space="preserve">
Acc 242.53</t>
        </r>
      </text>
    </comment>
    <comment ref="P84" authorId="1" shapeId="0">
      <text>
        <r>
          <rPr>
            <b/>
            <sz val="10"/>
            <color indexed="81"/>
            <rFont val="Tahoma"/>
            <family val="2"/>
          </rPr>
          <t>Amnerys Valdes:</t>
        </r>
        <r>
          <rPr>
            <sz val="10"/>
            <color indexed="81"/>
            <rFont val="Tahoma"/>
            <family val="2"/>
          </rPr>
          <t xml:space="preserve">
Acc 242.53</t>
        </r>
      </text>
    </comment>
    <comment ref="Q84" authorId="1" shapeId="0">
      <text>
        <r>
          <rPr>
            <b/>
            <sz val="10"/>
            <color indexed="81"/>
            <rFont val="Tahoma"/>
            <family val="2"/>
          </rPr>
          <t>Amnerys Valdes:</t>
        </r>
        <r>
          <rPr>
            <sz val="10"/>
            <color indexed="81"/>
            <rFont val="Tahoma"/>
            <family val="2"/>
          </rPr>
          <t xml:space="preserve">
Acc 242.53</t>
        </r>
      </text>
    </comment>
    <comment ref="R84" authorId="1" shapeId="0">
      <text>
        <r>
          <rPr>
            <b/>
            <sz val="10"/>
            <color indexed="81"/>
            <rFont val="Tahoma"/>
            <family val="2"/>
          </rPr>
          <t>Amnerys Valdes:</t>
        </r>
        <r>
          <rPr>
            <sz val="10"/>
            <color indexed="81"/>
            <rFont val="Tahoma"/>
            <family val="2"/>
          </rPr>
          <t xml:space="preserve">
Acc 242.53</t>
        </r>
      </text>
    </comment>
    <comment ref="S84" authorId="1" shapeId="0">
      <text>
        <r>
          <rPr>
            <b/>
            <sz val="10"/>
            <color indexed="81"/>
            <rFont val="Tahoma"/>
            <family val="2"/>
          </rPr>
          <t>Amnerys Valdes:</t>
        </r>
        <r>
          <rPr>
            <sz val="10"/>
            <color indexed="81"/>
            <rFont val="Tahoma"/>
            <family val="2"/>
          </rPr>
          <t xml:space="preserve">
Acc 242.53</t>
        </r>
      </text>
    </comment>
    <comment ref="T84" authorId="1" shapeId="0">
      <text>
        <r>
          <rPr>
            <b/>
            <sz val="10"/>
            <color indexed="81"/>
            <rFont val="Tahoma"/>
            <family val="2"/>
          </rPr>
          <t>Amnerys Valdes:</t>
        </r>
        <r>
          <rPr>
            <sz val="10"/>
            <color indexed="81"/>
            <rFont val="Tahoma"/>
            <family val="2"/>
          </rPr>
          <t xml:space="preserve">
Acc 242.53</t>
        </r>
      </text>
    </comment>
    <comment ref="U84" authorId="1" shapeId="0">
      <text>
        <r>
          <rPr>
            <b/>
            <sz val="10"/>
            <color indexed="81"/>
            <rFont val="Tahoma"/>
            <family val="2"/>
          </rPr>
          <t>Amnerys Valdes:</t>
        </r>
        <r>
          <rPr>
            <sz val="10"/>
            <color indexed="81"/>
            <rFont val="Tahoma"/>
            <family val="2"/>
          </rPr>
          <t xml:space="preserve">
Acc 242.53</t>
        </r>
      </text>
    </comment>
    <comment ref="V84" authorId="1" shapeId="0">
      <text>
        <r>
          <rPr>
            <b/>
            <sz val="10"/>
            <color indexed="81"/>
            <rFont val="Tahoma"/>
            <family val="2"/>
          </rPr>
          <t>Amnerys Valdes:</t>
        </r>
        <r>
          <rPr>
            <sz val="10"/>
            <color indexed="81"/>
            <rFont val="Tahoma"/>
            <family val="2"/>
          </rPr>
          <t xml:space="preserve">
Acc 242.53</t>
        </r>
      </text>
    </comment>
    <comment ref="W84" authorId="1" shapeId="0">
      <text>
        <r>
          <rPr>
            <b/>
            <sz val="10"/>
            <color indexed="81"/>
            <rFont val="Tahoma"/>
            <family val="2"/>
          </rPr>
          <t>Amnerys Valdes:</t>
        </r>
        <r>
          <rPr>
            <sz val="10"/>
            <color indexed="81"/>
            <rFont val="Tahoma"/>
            <family val="2"/>
          </rPr>
          <t xml:space="preserve">
Acc 242.53</t>
        </r>
      </text>
    </comment>
    <comment ref="X84" authorId="1" shapeId="0">
      <text>
        <r>
          <rPr>
            <b/>
            <sz val="10"/>
            <color indexed="81"/>
            <rFont val="Tahoma"/>
            <family val="2"/>
          </rPr>
          <t>Amnerys Valdes:</t>
        </r>
        <r>
          <rPr>
            <sz val="10"/>
            <color indexed="81"/>
            <rFont val="Tahoma"/>
            <family val="2"/>
          </rPr>
          <t xml:space="preserve">
Acc 242.53</t>
        </r>
      </text>
    </comment>
    <comment ref="Y84" authorId="1" shapeId="0">
      <text>
        <r>
          <rPr>
            <b/>
            <sz val="10"/>
            <color indexed="81"/>
            <rFont val="Tahoma"/>
            <family val="2"/>
          </rPr>
          <t>Amnerys Valdes:</t>
        </r>
        <r>
          <rPr>
            <sz val="10"/>
            <color indexed="81"/>
            <rFont val="Tahoma"/>
            <family val="2"/>
          </rPr>
          <t xml:space="preserve">
Acc 242.53</t>
        </r>
      </text>
    </comment>
    <comment ref="Z84" authorId="1" shapeId="0">
      <text>
        <r>
          <rPr>
            <b/>
            <sz val="10"/>
            <color indexed="81"/>
            <rFont val="Tahoma"/>
            <family val="2"/>
          </rPr>
          <t>Amnerys Valdes:</t>
        </r>
        <r>
          <rPr>
            <sz val="10"/>
            <color indexed="81"/>
            <rFont val="Tahoma"/>
            <family val="2"/>
          </rPr>
          <t xml:space="preserve">
Acc 242.53</t>
        </r>
      </text>
    </comment>
    <comment ref="AA84" authorId="1" shapeId="0">
      <text>
        <r>
          <rPr>
            <b/>
            <sz val="10"/>
            <color indexed="81"/>
            <rFont val="Tahoma"/>
            <family val="2"/>
          </rPr>
          <t>Amnerys Valdes:</t>
        </r>
        <r>
          <rPr>
            <sz val="10"/>
            <color indexed="81"/>
            <rFont val="Tahoma"/>
            <family val="2"/>
          </rPr>
          <t xml:space="preserve">
Acc 242.53</t>
        </r>
      </text>
    </comment>
    <comment ref="AB84" authorId="1" shapeId="0">
      <text>
        <r>
          <rPr>
            <b/>
            <sz val="10"/>
            <color indexed="81"/>
            <rFont val="Tahoma"/>
            <family val="2"/>
          </rPr>
          <t>Amnerys Valdes:</t>
        </r>
        <r>
          <rPr>
            <sz val="10"/>
            <color indexed="81"/>
            <rFont val="Tahoma"/>
            <family val="2"/>
          </rPr>
          <t xml:space="preserve">
Acc 242.53</t>
        </r>
      </text>
    </comment>
    <comment ref="AC84" authorId="1" shapeId="0">
      <text>
        <r>
          <rPr>
            <b/>
            <sz val="10"/>
            <color indexed="81"/>
            <rFont val="Tahoma"/>
            <family val="2"/>
          </rPr>
          <t>Amnerys Valdes:</t>
        </r>
        <r>
          <rPr>
            <sz val="10"/>
            <color indexed="81"/>
            <rFont val="Tahoma"/>
            <family val="2"/>
          </rPr>
          <t xml:space="preserve">
Acc 242.53</t>
        </r>
      </text>
    </comment>
    <comment ref="AD84" authorId="1" shapeId="0">
      <text>
        <r>
          <rPr>
            <b/>
            <sz val="10"/>
            <color indexed="81"/>
            <rFont val="Tahoma"/>
            <family val="2"/>
          </rPr>
          <t>Amnerys Valdes:</t>
        </r>
        <r>
          <rPr>
            <sz val="10"/>
            <color indexed="81"/>
            <rFont val="Tahoma"/>
            <family val="2"/>
          </rPr>
          <t xml:space="preserve">
Acc 242.53</t>
        </r>
      </text>
    </comment>
    <comment ref="AE84" authorId="1" shapeId="0">
      <text>
        <r>
          <rPr>
            <b/>
            <sz val="10"/>
            <color indexed="81"/>
            <rFont val="Tahoma"/>
            <family val="2"/>
          </rPr>
          <t>Amnerys Valdes:</t>
        </r>
        <r>
          <rPr>
            <sz val="10"/>
            <color indexed="81"/>
            <rFont val="Tahoma"/>
            <family val="2"/>
          </rPr>
          <t xml:space="preserve">
Acc 242.53</t>
        </r>
      </text>
    </comment>
    <comment ref="AF84" authorId="1" shapeId="0">
      <text>
        <r>
          <rPr>
            <b/>
            <sz val="10"/>
            <color indexed="81"/>
            <rFont val="Tahoma"/>
            <family val="2"/>
          </rPr>
          <t>Amnerys Valdes:</t>
        </r>
        <r>
          <rPr>
            <sz val="10"/>
            <color indexed="81"/>
            <rFont val="Tahoma"/>
            <family val="2"/>
          </rPr>
          <t xml:space="preserve">
Acc 242.53</t>
        </r>
      </text>
    </comment>
    <comment ref="AG84" authorId="1" shapeId="0">
      <text>
        <r>
          <rPr>
            <b/>
            <sz val="10"/>
            <color indexed="81"/>
            <rFont val="Tahoma"/>
            <family val="2"/>
          </rPr>
          <t>Amnerys Valdes:</t>
        </r>
        <r>
          <rPr>
            <sz val="10"/>
            <color indexed="81"/>
            <rFont val="Tahoma"/>
            <family val="2"/>
          </rPr>
          <t xml:space="preserve">
Acc 242.53</t>
        </r>
      </text>
    </comment>
    <comment ref="AH84" authorId="1" shapeId="0">
      <text>
        <r>
          <rPr>
            <b/>
            <sz val="10"/>
            <color indexed="81"/>
            <rFont val="Tahoma"/>
            <family val="2"/>
          </rPr>
          <t>Amnerys Valdes:</t>
        </r>
        <r>
          <rPr>
            <sz val="10"/>
            <color indexed="81"/>
            <rFont val="Tahoma"/>
            <family val="2"/>
          </rPr>
          <t xml:space="preserve">
Acc 242.53</t>
        </r>
      </text>
    </comment>
    <comment ref="AI84" authorId="1" shapeId="0">
      <text>
        <r>
          <rPr>
            <b/>
            <sz val="10"/>
            <color indexed="81"/>
            <rFont val="Tahoma"/>
            <family val="2"/>
          </rPr>
          <t>Amnerys Valdes:</t>
        </r>
        <r>
          <rPr>
            <sz val="10"/>
            <color indexed="81"/>
            <rFont val="Tahoma"/>
            <family val="2"/>
          </rPr>
          <t xml:space="preserve">
Acc 242.53</t>
        </r>
      </text>
    </comment>
    <comment ref="A85" authorId="1" shapeId="0">
      <text>
        <r>
          <rPr>
            <b/>
            <sz val="10"/>
            <color indexed="81"/>
            <rFont val="Tahoma"/>
            <family val="2"/>
          </rPr>
          <t>Amnerys Valdes:</t>
        </r>
        <r>
          <rPr>
            <sz val="10"/>
            <color indexed="81"/>
            <rFont val="Tahoma"/>
            <family val="2"/>
          </rPr>
          <t xml:space="preserve">
Acc 242.98</t>
        </r>
      </text>
    </comment>
    <comment ref="O85" authorId="1" shapeId="0">
      <text>
        <r>
          <rPr>
            <b/>
            <sz val="10"/>
            <color indexed="81"/>
            <rFont val="Tahoma"/>
            <family val="2"/>
          </rPr>
          <t>Amnerys Valdes:</t>
        </r>
        <r>
          <rPr>
            <sz val="10"/>
            <color indexed="81"/>
            <rFont val="Tahoma"/>
            <family val="2"/>
          </rPr>
          <t xml:space="preserve">
Acc 242.98</t>
        </r>
      </text>
    </comment>
    <comment ref="P85" authorId="1" shapeId="0">
      <text>
        <r>
          <rPr>
            <b/>
            <sz val="10"/>
            <color indexed="81"/>
            <rFont val="Tahoma"/>
            <family val="2"/>
          </rPr>
          <t>Amnerys Valdes:</t>
        </r>
        <r>
          <rPr>
            <sz val="10"/>
            <color indexed="81"/>
            <rFont val="Tahoma"/>
            <family val="2"/>
          </rPr>
          <t xml:space="preserve">
Acc 242.98</t>
        </r>
      </text>
    </comment>
    <comment ref="Q85" authorId="1" shapeId="0">
      <text>
        <r>
          <rPr>
            <b/>
            <sz val="10"/>
            <color indexed="81"/>
            <rFont val="Tahoma"/>
            <family val="2"/>
          </rPr>
          <t>Amnerys Valdes:</t>
        </r>
        <r>
          <rPr>
            <sz val="10"/>
            <color indexed="81"/>
            <rFont val="Tahoma"/>
            <family val="2"/>
          </rPr>
          <t xml:space="preserve">
Acc 242.98</t>
        </r>
      </text>
    </comment>
    <comment ref="R85" authorId="1" shapeId="0">
      <text>
        <r>
          <rPr>
            <b/>
            <sz val="10"/>
            <color indexed="81"/>
            <rFont val="Tahoma"/>
            <family val="2"/>
          </rPr>
          <t>Amnerys Valdes:</t>
        </r>
        <r>
          <rPr>
            <sz val="10"/>
            <color indexed="81"/>
            <rFont val="Tahoma"/>
            <family val="2"/>
          </rPr>
          <t xml:space="preserve">
Acc 242.98</t>
        </r>
      </text>
    </comment>
    <comment ref="S85" authorId="1" shapeId="0">
      <text>
        <r>
          <rPr>
            <b/>
            <sz val="10"/>
            <color indexed="81"/>
            <rFont val="Tahoma"/>
            <family val="2"/>
          </rPr>
          <t>Amnerys Valdes:</t>
        </r>
        <r>
          <rPr>
            <sz val="10"/>
            <color indexed="81"/>
            <rFont val="Tahoma"/>
            <family val="2"/>
          </rPr>
          <t xml:space="preserve">
Acc 242.98</t>
        </r>
      </text>
    </comment>
    <comment ref="T85" authorId="1" shapeId="0">
      <text>
        <r>
          <rPr>
            <b/>
            <sz val="10"/>
            <color indexed="81"/>
            <rFont val="Tahoma"/>
            <family val="2"/>
          </rPr>
          <t>Amnerys Valdes:</t>
        </r>
        <r>
          <rPr>
            <sz val="10"/>
            <color indexed="81"/>
            <rFont val="Tahoma"/>
            <family val="2"/>
          </rPr>
          <t xml:space="preserve">
Acc 242.98</t>
        </r>
      </text>
    </comment>
    <comment ref="U85" authorId="1" shapeId="0">
      <text>
        <r>
          <rPr>
            <b/>
            <sz val="10"/>
            <color indexed="81"/>
            <rFont val="Tahoma"/>
            <family val="2"/>
          </rPr>
          <t>Amnerys Valdes:</t>
        </r>
        <r>
          <rPr>
            <sz val="10"/>
            <color indexed="81"/>
            <rFont val="Tahoma"/>
            <family val="2"/>
          </rPr>
          <t xml:space="preserve">
Acc 242.98</t>
        </r>
      </text>
    </comment>
    <comment ref="V85" authorId="1" shapeId="0">
      <text>
        <r>
          <rPr>
            <b/>
            <sz val="10"/>
            <color indexed="81"/>
            <rFont val="Tahoma"/>
            <family val="2"/>
          </rPr>
          <t>Amnerys Valdes:</t>
        </r>
        <r>
          <rPr>
            <sz val="10"/>
            <color indexed="81"/>
            <rFont val="Tahoma"/>
            <family val="2"/>
          </rPr>
          <t xml:space="preserve">
Acc 242.98</t>
        </r>
      </text>
    </comment>
    <comment ref="W85" authorId="1" shapeId="0">
      <text>
        <r>
          <rPr>
            <b/>
            <sz val="10"/>
            <color indexed="81"/>
            <rFont val="Tahoma"/>
            <family val="2"/>
          </rPr>
          <t>Amnerys Valdes:</t>
        </r>
        <r>
          <rPr>
            <sz val="10"/>
            <color indexed="81"/>
            <rFont val="Tahoma"/>
            <family val="2"/>
          </rPr>
          <t xml:space="preserve">
Acc 242.98</t>
        </r>
      </text>
    </comment>
    <comment ref="X85" authorId="1" shapeId="0">
      <text>
        <r>
          <rPr>
            <b/>
            <sz val="10"/>
            <color indexed="81"/>
            <rFont val="Tahoma"/>
            <family val="2"/>
          </rPr>
          <t>Amnerys Valdes:</t>
        </r>
        <r>
          <rPr>
            <sz val="10"/>
            <color indexed="81"/>
            <rFont val="Tahoma"/>
            <family val="2"/>
          </rPr>
          <t xml:space="preserve">
Acc 242.98</t>
        </r>
      </text>
    </comment>
    <comment ref="Y85" authorId="1" shapeId="0">
      <text>
        <r>
          <rPr>
            <b/>
            <sz val="10"/>
            <color indexed="81"/>
            <rFont val="Tahoma"/>
            <family val="2"/>
          </rPr>
          <t>Amnerys Valdes:</t>
        </r>
        <r>
          <rPr>
            <sz val="10"/>
            <color indexed="81"/>
            <rFont val="Tahoma"/>
            <family val="2"/>
          </rPr>
          <t xml:space="preserve">
Acc 242.98</t>
        </r>
      </text>
    </comment>
    <comment ref="Z85" authorId="1" shapeId="0">
      <text>
        <r>
          <rPr>
            <b/>
            <sz val="10"/>
            <color indexed="81"/>
            <rFont val="Tahoma"/>
            <family val="2"/>
          </rPr>
          <t>Amnerys Valdes:</t>
        </r>
        <r>
          <rPr>
            <sz val="10"/>
            <color indexed="81"/>
            <rFont val="Tahoma"/>
            <family val="2"/>
          </rPr>
          <t xml:space="preserve">
Acc 242.98</t>
        </r>
      </text>
    </comment>
    <comment ref="AA85" authorId="1" shapeId="0">
      <text>
        <r>
          <rPr>
            <b/>
            <sz val="10"/>
            <color indexed="81"/>
            <rFont val="Tahoma"/>
            <family val="2"/>
          </rPr>
          <t>Amnerys Valdes:</t>
        </r>
        <r>
          <rPr>
            <sz val="10"/>
            <color indexed="81"/>
            <rFont val="Tahoma"/>
            <family val="2"/>
          </rPr>
          <t xml:space="preserve">
Acc 242.98</t>
        </r>
      </text>
    </comment>
    <comment ref="AB85" authorId="1" shapeId="0">
      <text>
        <r>
          <rPr>
            <b/>
            <sz val="10"/>
            <color indexed="81"/>
            <rFont val="Tahoma"/>
            <family val="2"/>
          </rPr>
          <t>Amnerys Valdes:</t>
        </r>
        <r>
          <rPr>
            <sz val="10"/>
            <color indexed="81"/>
            <rFont val="Tahoma"/>
            <family val="2"/>
          </rPr>
          <t xml:space="preserve">
Acc 242.98</t>
        </r>
      </text>
    </comment>
    <comment ref="AC85" authorId="1" shapeId="0">
      <text>
        <r>
          <rPr>
            <b/>
            <sz val="10"/>
            <color indexed="81"/>
            <rFont val="Tahoma"/>
            <family val="2"/>
          </rPr>
          <t>Amnerys Valdes:</t>
        </r>
        <r>
          <rPr>
            <sz val="10"/>
            <color indexed="81"/>
            <rFont val="Tahoma"/>
            <family val="2"/>
          </rPr>
          <t xml:space="preserve">
Acc 242.98</t>
        </r>
      </text>
    </comment>
    <comment ref="AD85" authorId="1" shapeId="0">
      <text>
        <r>
          <rPr>
            <b/>
            <sz val="10"/>
            <color indexed="81"/>
            <rFont val="Tahoma"/>
            <family val="2"/>
          </rPr>
          <t>Amnerys Valdes:</t>
        </r>
        <r>
          <rPr>
            <sz val="10"/>
            <color indexed="81"/>
            <rFont val="Tahoma"/>
            <family val="2"/>
          </rPr>
          <t xml:space="preserve">
Acc 242.98</t>
        </r>
      </text>
    </comment>
    <comment ref="AE85" authorId="1" shapeId="0">
      <text>
        <r>
          <rPr>
            <b/>
            <sz val="10"/>
            <color indexed="81"/>
            <rFont val="Tahoma"/>
            <family val="2"/>
          </rPr>
          <t>Amnerys Valdes:</t>
        </r>
        <r>
          <rPr>
            <sz val="10"/>
            <color indexed="81"/>
            <rFont val="Tahoma"/>
            <family val="2"/>
          </rPr>
          <t xml:space="preserve">
Acc 242.98</t>
        </r>
      </text>
    </comment>
    <comment ref="AF85" authorId="1" shapeId="0">
      <text>
        <r>
          <rPr>
            <b/>
            <sz val="10"/>
            <color indexed="81"/>
            <rFont val="Tahoma"/>
            <family val="2"/>
          </rPr>
          <t>Amnerys Valdes:</t>
        </r>
        <r>
          <rPr>
            <sz val="10"/>
            <color indexed="81"/>
            <rFont val="Tahoma"/>
            <family val="2"/>
          </rPr>
          <t xml:space="preserve">
Acc 242.98</t>
        </r>
      </text>
    </comment>
    <comment ref="AG85" authorId="1" shapeId="0">
      <text>
        <r>
          <rPr>
            <b/>
            <sz val="10"/>
            <color indexed="81"/>
            <rFont val="Tahoma"/>
            <family val="2"/>
          </rPr>
          <t>Amnerys Valdes:</t>
        </r>
        <r>
          <rPr>
            <sz val="10"/>
            <color indexed="81"/>
            <rFont val="Tahoma"/>
            <family val="2"/>
          </rPr>
          <t xml:space="preserve">
Acc 242.98</t>
        </r>
      </text>
    </comment>
    <comment ref="AH85" authorId="1" shapeId="0">
      <text>
        <r>
          <rPr>
            <b/>
            <sz val="10"/>
            <color indexed="81"/>
            <rFont val="Tahoma"/>
            <family val="2"/>
          </rPr>
          <t>Amnerys Valdes:</t>
        </r>
        <r>
          <rPr>
            <sz val="10"/>
            <color indexed="81"/>
            <rFont val="Tahoma"/>
            <family val="2"/>
          </rPr>
          <t xml:space="preserve">
Acc 242.98</t>
        </r>
      </text>
    </comment>
    <comment ref="AI85" authorId="1" shapeId="0">
      <text>
        <r>
          <rPr>
            <b/>
            <sz val="10"/>
            <color indexed="81"/>
            <rFont val="Tahoma"/>
            <family val="2"/>
          </rPr>
          <t>Amnerys Valdes:</t>
        </r>
        <r>
          <rPr>
            <sz val="10"/>
            <color indexed="81"/>
            <rFont val="Tahoma"/>
            <family val="2"/>
          </rPr>
          <t xml:space="preserve">
Acc 242.98</t>
        </r>
      </text>
    </comment>
    <comment ref="A86" authorId="1" shapeId="0">
      <text>
        <r>
          <rPr>
            <b/>
            <sz val="10"/>
            <color indexed="81"/>
            <rFont val="Tahoma"/>
            <family val="2"/>
          </rPr>
          <t>Amnerys Valdes:</t>
        </r>
        <r>
          <rPr>
            <sz val="10"/>
            <color indexed="81"/>
            <rFont val="Tahoma"/>
            <family val="2"/>
          </rPr>
          <t xml:space="preserve">
Acc 242.98</t>
        </r>
      </text>
    </comment>
    <comment ref="X88" authorId="0" shapeId="0">
      <text>
        <r>
          <rPr>
            <b/>
            <sz val="9"/>
            <color indexed="81"/>
            <rFont val="Tahoma"/>
            <family val="2"/>
          </rPr>
          <t>Coe, Connie:</t>
        </r>
        <r>
          <rPr>
            <sz val="9"/>
            <color indexed="81"/>
            <rFont val="Tahoma"/>
            <family val="2"/>
          </rPr>
          <t xml:space="preserve">
Acct 245
</t>
        </r>
      </text>
    </comment>
    <comment ref="A89" authorId="1" shapeId="0">
      <text>
        <r>
          <rPr>
            <b/>
            <sz val="10"/>
            <color indexed="81"/>
            <rFont val="Tahoma"/>
            <family val="2"/>
          </rPr>
          <t>Amnerys Valdes:</t>
        </r>
        <r>
          <rPr>
            <sz val="10"/>
            <color indexed="81"/>
            <rFont val="Tahoma"/>
            <family val="2"/>
          </rPr>
          <t xml:space="preserve">
Acc 242 - (Acc 242.53 &amp; 242.98)</t>
        </r>
      </text>
    </comment>
    <comment ref="O89" authorId="1" shapeId="0">
      <text>
        <r>
          <rPr>
            <b/>
            <sz val="10"/>
            <color indexed="81"/>
            <rFont val="Tahoma"/>
            <family val="2"/>
          </rPr>
          <t>Amnerys Valdes:</t>
        </r>
        <r>
          <rPr>
            <sz val="10"/>
            <color indexed="81"/>
            <rFont val="Tahoma"/>
            <family val="2"/>
          </rPr>
          <t xml:space="preserve">
Acc 242 - (Acc 242.53 &amp; 242.98)</t>
        </r>
      </text>
    </comment>
    <comment ref="P89" authorId="1" shapeId="0">
      <text>
        <r>
          <rPr>
            <b/>
            <sz val="10"/>
            <color indexed="81"/>
            <rFont val="Tahoma"/>
            <family val="2"/>
          </rPr>
          <t>Amnerys Valdes:</t>
        </r>
        <r>
          <rPr>
            <sz val="10"/>
            <color indexed="81"/>
            <rFont val="Tahoma"/>
            <family val="2"/>
          </rPr>
          <t xml:space="preserve">
Acc 242 - (Acc 242.53 &amp; 242.98)</t>
        </r>
      </text>
    </comment>
    <comment ref="Q89" authorId="1" shapeId="0">
      <text>
        <r>
          <rPr>
            <b/>
            <sz val="10"/>
            <color indexed="81"/>
            <rFont val="Tahoma"/>
            <family val="2"/>
          </rPr>
          <t>Amnerys Valdes:</t>
        </r>
        <r>
          <rPr>
            <sz val="10"/>
            <color indexed="81"/>
            <rFont val="Tahoma"/>
            <family val="2"/>
          </rPr>
          <t xml:space="preserve">
Acc 242 - (Acc 242.53 &amp; 242.98)</t>
        </r>
      </text>
    </comment>
    <comment ref="R89" authorId="1" shapeId="0">
      <text>
        <r>
          <rPr>
            <b/>
            <sz val="10"/>
            <color indexed="81"/>
            <rFont val="Tahoma"/>
            <family val="2"/>
          </rPr>
          <t>Amnerys Valdes:</t>
        </r>
        <r>
          <rPr>
            <sz val="10"/>
            <color indexed="81"/>
            <rFont val="Tahoma"/>
            <family val="2"/>
          </rPr>
          <t xml:space="preserve">
Acc 242 - (Acc 242.53 &amp; 242.98)</t>
        </r>
      </text>
    </comment>
    <comment ref="S89" authorId="1" shapeId="0">
      <text>
        <r>
          <rPr>
            <b/>
            <sz val="10"/>
            <color indexed="81"/>
            <rFont val="Tahoma"/>
            <family val="2"/>
          </rPr>
          <t>Amnerys Valdes:</t>
        </r>
        <r>
          <rPr>
            <sz val="10"/>
            <color indexed="81"/>
            <rFont val="Tahoma"/>
            <family val="2"/>
          </rPr>
          <t xml:space="preserve">
Acc 242 - (Acc 242.53 &amp; 242.98)</t>
        </r>
      </text>
    </comment>
    <comment ref="T89" authorId="1" shapeId="0">
      <text>
        <r>
          <rPr>
            <b/>
            <sz val="10"/>
            <color indexed="81"/>
            <rFont val="Tahoma"/>
            <family val="2"/>
          </rPr>
          <t>Amnerys Valdes:</t>
        </r>
        <r>
          <rPr>
            <sz val="10"/>
            <color indexed="81"/>
            <rFont val="Tahoma"/>
            <family val="2"/>
          </rPr>
          <t xml:space="preserve">
Acc 242 - (Acc 242.53 &amp; 242.98)</t>
        </r>
      </text>
    </comment>
    <comment ref="U89" authorId="1" shapeId="0">
      <text>
        <r>
          <rPr>
            <b/>
            <sz val="10"/>
            <color indexed="81"/>
            <rFont val="Tahoma"/>
            <family val="2"/>
          </rPr>
          <t>Amnerys Valdes:</t>
        </r>
        <r>
          <rPr>
            <sz val="10"/>
            <color indexed="81"/>
            <rFont val="Tahoma"/>
            <family val="2"/>
          </rPr>
          <t xml:space="preserve">
Acc 242 - (Acc 242.53 &amp; 242.98)</t>
        </r>
      </text>
    </comment>
    <comment ref="V89" authorId="1" shapeId="0">
      <text>
        <r>
          <rPr>
            <b/>
            <sz val="10"/>
            <color indexed="81"/>
            <rFont val="Tahoma"/>
            <family val="2"/>
          </rPr>
          <t>Amnerys Valdes:</t>
        </r>
        <r>
          <rPr>
            <sz val="10"/>
            <color indexed="81"/>
            <rFont val="Tahoma"/>
            <family val="2"/>
          </rPr>
          <t xml:space="preserve">
Acc 242 - (Acc 242.53 &amp; 242.98)</t>
        </r>
      </text>
    </comment>
    <comment ref="W89" authorId="1" shapeId="0">
      <text>
        <r>
          <rPr>
            <b/>
            <sz val="10"/>
            <color indexed="81"/>
            <rFont val="Tahoma"/>
            <family val="2"/>
          </rPr>
          <t>Amnerys Valdes:</t>
        </r>
        <r>
          <rPr>
            <sz val="10"/>
            <color indexed="81"/>
            <rFont val="Tahoma"/>
            <family val="2"/>
          </rPr>
          <t xml:space="preserve">
Acc 242 - (Acc 242.53 &amp; 242.98)</t>
        </r>
      </text>
    </comment>
    <comment ref="X89" authorId="1" shapeId="0">
      <text>
        <r>
          <rPr>
            <b/>
            <sz val="10"/>
            <color indexed="81"/>
            <rFont val="Tahoma"/>
            <family val="2"/>
          </rPr>
          <t>Amnerys Valdes:</t>
        </r>
        <r>
          <rPr>
            <sz val="10"/>
            <color indexed="81"/>
            <rFont val="Tahoma"/>
            <family val="2"/>
          </rPr>
          <t xml:space="preserve">
Acc 242 - (Acc 242.53 &amp; 242.98) or detailed B/S less inactive dep. And Consv cost true-up</t>
        </r>
      </text>
    </comment>
    <comment ref="Y89" authorId="1" shapeId="0">
      <text>
        <r>
          <rPr>
            <b/>
            <sz val="10"/>
            <color indexed="81"/>
            <rFont val="Tahoma"/>
            <family val="2"/>
          </rPr>
          <t>Amnerys Valdes:</t>
        </r>
        <r>
          <rPr>
            <sz val="10"/>
            <color indexed="81"/>
            <rFont val="Tahoma"/>
            <family val="2"/>
          </rPr>
          <t xml:space="preserve">
Acc 242 - (Acc 242.53 &amp; 242.98)</t>
        </r>
      </text>
    </comment>
    <comment ref="Z89" authorId="1" shapeId="0">
      <text>
        <r>
          <rPr>
            <b/>
            <sz val="10"/>
            <color indexed="81"/>
            <rFont val="Tahoma"/>
            <family val="2"/>
          </rPr>
          <t>Amnerys Valdes:</t>
        </r>
        <r>
          <rPr>
            <sz val="10"/>
            <color indexed="81"/>
            <rFont val="Tahoma"/>
            <family val="2"/>
          </rPr>
          <t xml:space="preserve">
Acc 242 - (Acc 242.53 &amp; 242.98)</t>
        </r>
      </text>
    </comment>
    <comment ref="AA89" authorId="1" shapeId="0">
      <text>
        <r>
          <rPr>
            <b/>
            <sz val="10"/>
            <color indexed="81"/>
            <rFont val="Tahoma"/>
            <family val="2"/>
          </rPr>
          <t>Amnerys Valdes:</t>
        </r>
        <r>
          <rPr>
            <sz val="10"/>
            <color indexed="81"/>
            <rFont val="Tahoma"/>
            <family val="2"/>
          </rPr>
          <t xml:space="preserve">
Acc 242 - (Acc 242.53 &amp; 242.98)</t>
        </r>
      </text>
    </comment>
    <comment ref="AB89" authorId="1" shapeId="0">
      <text>
        <r>
          <rPr>
            <b/>
            <sz val="10"/>
            <color indexed="81"/>
            <rFont val="Tahoma"/>
            <family val="2"/>
          </rPr>
          <t>Amnerys Valdes:</t>
        </r>
        <r>
          <rPr>
            <sz val="10"/>
            <color indexed="81"/>
            <rFont val="Tahoma"/>
            <family val="2"/>
          </rPr>
          <t xml:space="preserve">
Acc 242 - (Acc 242.53 &amp; 242.98)</t>
        </r>
      </text>
    </comment>
    <comment ref="AC89" authorId="1" shapeId="0">
      <text>
        <r>
          <rPr>
            <b/>
            <sz val="10"/>
            <color indexed="81"/>
            <rFont val="Tahoma"/>
            <family val="2"/>
          </rPr>
          <t>Amnerys Valdes:</t>
        </r>
        <r>
          <rPr>
            <sz val="10"/>
            <color indexed="81"/>
            <rFont val="Tahoma"/>
            <family val="2"/>
          </rPr>
          <t xml:space="preserve">
Acc 242 - (Acc 242.53 &amp; 242.98)</t>
        </r>
      </text>
    </comment>
    <comment ref="AD89" authorId="1" shapeId="0">
      <text>
        <r>
          <rPr>
            <b/>
            <sz val="10"/>
            <color indexed="81"/>
            <rFont val="Tahoma"/>
            <family val="2"/>
          </rPr>
          <t>Amnerys Valdes:</t>
        </r>
        <r>
          <rPr>
            <sz val="10"/>
            <color indexed="81"/>
            <rFont val="Tahoma"/>
            <family val="2"/>
          </rPr>
          <t xml:space="preserve">
Acc 242 - (Acc 242.53 &amp; 242.98)</t>
        </r>
      </text>
    </comment>
    <comment ref="AE89" authorId="1" shapeId="0">
      <text>
        <r>
          <rPr>
            <b/>
            <sz val="10"/>
            <color indexed="81"/>
            <rFont val="Tahoma"/>
            <family val="2"/>
          </rPr>
          <t>Amnerys Valdes:</t>
        </r>
        <r>
          <rPr>
            <sz val="10"/>
            <color indexed="81"/>
            <rFont val="Tahoma"/>
            <family val="2"/>
          </rPr>
          <t xml:space="preserve">
Acc 242 - (Acc 242.53 &amp; 242.98)</t>
        </r>
      </text>
    </comment>
    <comment ref="AF89" authorId="1" shapeId="0">
      <text>
        <r>
          <rPr>
            <b/>
            <sz val="10"/>
            <color indexed="81"/>
            <rFont val="Tahoma"/>
            <family val="2"/>
          </rPr>
          <t>Amnerys Valdes:</t>
        </r>
        <r>
          <rPr>
            <sz val="10"/>
            <color indexed="81"/>
            <rFont val="Tahoma"/>
            <family val="2"/>
          </rPr>
          <t xml:space="preserve">
Acc 242 - (Acc 242.53 &amp; 242.98)</t>
        </r>
      </text>
    </comment>
    <comment ref="AG89" authorId="1" shapeId="0">
      <text>
        <r>
          <rPr>
            <b/>
            <sz val="10"/>
            <color indexed="81"/>
            <rFont val="Tahoma"/>
            <family val="2"/>
          </rPr>
          <t>Amnerys Valdes:</t>
        </r>
        <r>
          <rPr>
            <sz val="10"/>
            <color indexed="81"/>
            <rFont val="Tahoma"/>
            <family val="2"/>
          </rPr>
          <t xml:space="preserve">
Acc 242 - (Acc 242.53 &amp; 242.98)</t>
        </r>
      </text>
    </comment>
    <comment ref="AH89" authorId="1" shapeId="0">
      <text>
        <r>
          <rPr>
            <b/>
            <sz val="10"/>
            <color indexed="81"/>
            <rFont val="Tahoma"/>
            <family val="2"/>
          </rPr>
          <t>Amnerys Valdes:</t>
        </r>
        <r>
          <rPr>
            <sz val="10"/>
            <color indexed="81"/>
            <rFont val="Tahoma"/>
            <family val="2"/>
          </rPr>
          <t xml:space="preserve">
Acc 242 - (Acc 242.53 &amp; 242.98)</t>
        </r>
      </text>
    </comment>
    <comment ref="AI89" authorId="1" shapeId="0">
      <text>
        <r>
          <rPr>
            <b/>
            <sz val="10"/>
            <color indexed="81"/>
            <rFont val="Tahoma"/>
            <family val="2"/>
          </rPr>
          <t>Amnerys Valdes:</t>
        </r>
        <r>
          <rPr>
            <sz val="10"/>
            <color indexed="81"/>
            <rFont val="Tahoma"/>
            <family val="2"/>
          </rPr>
          <t xml:space="preserve">
Acc 242 - (Acc 242.53 &amp; 242.98)</t>
        </r>
      </text>
    </comment>
    <comment ref="X93" authorId="1" shapeId="0">
      <text>
        <r>
          <rPr>
            <b/>
            <sz val="10"/>
            <color indexed="81"/>
            <rFont val="Tahoma"/>
            <family val="2"/>
          </rPr>
          <t>Connie Coe:</t>
        </r>
        <r>
          <rPr>
            <sz val="10"/>
            <color indexed="81"/>
            <rFont val="Tahoma"/>
            <family val="2"/>
          </rPr>
          <t xml:space="preserve">
From detailed B/S (FRS-F506) </t>
        </r>
      </text>
    </comment>
    <comment ref="A94" authorId="1" shapeId="0">
      <text>
        <r>
          <rPr>
            <b/>
            <sz val="10"/>
            <color indexed="81"/>
            <rFont val="Tahoma"/>
            <family val="2"/>
          </rPr>
          <t>Amnerys Valdes:</t>
        </r>
        <r>
          <rPr>
            <sz val="10"/>
            <color indexed="81"/>
            <rFont val="Tahoma"/>
            <family val="2"/>
          </rPr>
          <t xml:space="preserve">
From detailed B/S (FRS-F506) or Trial Balance Acc 252</t>
        </r>
      </text>
    </comment>
    <comment ref="O94" authorId="1" shapeId="0">
      <text>
        <r>
          <rPr>
            <b/>
            <sz val="10"/>
            <color indexed="81"/>
            <rFont val="Tahoma"/>
            <family val="2"/>
          </rPr>
          <t>Amnerys Valdes:</t>
        </r>
        <r>
          <rPr>
            <sz val="10"/>
            <color indexed="81"/>
            <rFont val="Tahoma"/>
            <family val="2"/>
          </rPr>
          <t xml:space="preserve">
From detailed B/S (FRS-F506)</t>
        </r>
      </text>
    </comment>
    <comment ref="P94" authorId="1" shapeId="0">
      <text>
        <r>
          <rPr>
            <b/>
            <sz val="10"/>
            <color indexed="81"/>
            <rFont val="Tahoma"/>
            <family val="2"/>
          </rPr>
          <t>Amnerys Valdes:</t>
        </r>
        <r>
          <rPr>
            <sz val="10"/>
            <color indexed="81"/>
            <rFont val="Tahoma"/>
            <family val="2"/>
          </rPr>
          <t xml:space="preserve">
From detailed B/S (FRS-F506)</t>
        </r>
      </text>
    </comment>
    <comment ref="Q94" authorId="1" shapeId="0">
      <text>
        <r>
          <rPr>
            <b/>
            <sz val="10"/>
            <color indexed="81"/>
            <rFont val="Tahoma"/>
            <family val="2"/>
          </rPr>
          <t>Amnerys Valdes:</t>
        </r>
        <r>
          <rPr>
            <sz val="10"/>
            <color indexed="81"/>
            <rFont val="Tahoma"/>
            <family val="2"/>
          </rPr>
          <t xml:space="preserve">
From detailed B/S (FRS-F506) or Trial Balance Acc 252</t>
        </r>
      </text>
    </comment>
    <comment ref="R94" authorId="1" shapeId="0">
      <text>
        <r>
          <rPr>
            <b/>
            <sz val="10"/>
            <color indexed="81"/>
            <rFont val="Tahoma"/>
            <family val="2"/>
          </rPr>
          <t>Amnerys Valdes:</t>
        </r>
        <r>
          <rPr>
            <sz val="10"/>
            <color indexed="81"/>
            <rFont val="Tahoma"/>
            <family val="2"/>
          </rPr>
          <t xml:space="preserve">
From detailed B/S (FRS-F506) or Trial Balance Acc 252</t>
        </r>
      </text>
    </comment>
    <comment ref="S94" authorId="1" shapeId="0">
      <text>
        <r>
          <rPr>
            <b/>
            <sz val="10"/>
            <color indexed="81"/>
            <rFont val="Tahoma"/>
            <family val="2"/>
          </rPr>
          <t>Amnerys Valdes:</t>
        </r>
        <r>
          <rPr>
            <sz val="10"/>
            <color indexed="81"/>
            <rFont val="Tahoma"/>
            <family val="2"/>
          </rPr>
          <t xml:space="preserve">
From detailed B/S (FRS-F506) or Trial Balance Acc 252</t>
        </r>
      </text>
    </comment>
    <comment ref="T94" authorId="1" shapeId="0">
      <text>
        <r>
          <rPr>
            <b/>
            <sz val="10"/>
            <color indexed="81"/>
            <rFont val="Tahoma"/>
            <family val="2"/>
          </rPr>
          <t>Amnerys Valdes:</t>
        </r>
        <r>
          <rPr>
            <sz val="10"/>
            <color indexed="81"/>
            <rFont val="Tahoma"/>
            <family val="2"/>
          </rPr>
          <t xml:space="preserve">
From detailed B/S (FRS-F506) or Trial Balance Acc 252</t>
        </r>
      </text>
    </comment>
    <comment ref="U94" authorId="1" shapeId="0">
      <text>
        <r>
          <rPr>
            <b/>
            <sz val="10"/>
            <color indexed="81"/>
            <rFont val="Tahoma"/>
            <family val="2"/>
          </rPr>
          <t>Amnerys Valdes:</t>
        </r>
        <r>
          <rPr>
            <sz val="10"/>
            <color indexed="81"/>
            <rFont val="Tahoma"/>
            <family val="2"/>
          </rPr>
          <t xml:space="preserve">
From detailed B/S (FRS-F506) or Trial Balance Acc 252</t>
        </r>
      </text>
    </comment>
    <comment ref="V94" authorId="1" shapeId="0">
      <text>
        <r>
          <rPr>
            <b/>
            <sz val="10"/>
            <color indexed="81"/>
            <rFont val="Tahoma"/>
            <family val="2"/>
          </rPr>
          <t>Amnerys Valdes:</t>
        </r>
        <r>
          <rPr>
            <sz val="10"/>
            <color indexed="81"/>
            <rFont val="Tahoma"/>
            <family val="2"/>
          </rPr>
          <t xml:space="preserve">
From detailed B/S (FRS-F506) or Trial Balance Acc 252</t>
        </r>
      </text>
    </comment>
    <comment ref="W94" authorId="1" shapeId="0">
      <text>
        <r>
          <rPr>
            <b/>
            <sz val="10"/>
            <color indexed="81"/>
            <rFont val="Tahoma"/>
            <family val="2"/>
          </rPr>
          <t>Amnerys Valdes:</t>
        </r>
        <r>
          <rPr>
            <sz val="10"/>
            <color indexed="81"/>
            <rFont val="Tahoma"/>
            <family val="2"/>
          </rPr>
          <t xml:space="preserve">
From detailed B/S (FRS-F506) or Trial Balance Acc 252</t>
        </r>
      </text>
    </comment>
    <comment ref="X94" authorId="1" shapeId="0">
      <text>
        <r>
          <rPr>
            <b/>
            <sz val="10"/>
            <color indexed="81"/>
            <rFont val="Tahoma"/>
            <family val="2"/>
          </rPr>
          <t>Amnerys Valdes:</t>
        </r>
        <r>
          <rPr>
            <sz val="10"/>
            <color indexed="81"/>
            <rFont val="Tahoma"/>
            <family val="2"/>
          </rPr>
          <t xml:space="preserve">
From detailed B/S (FRS-F506) or Trial Balance Acc 252</t>
        </r>
      </text>
    </comment>
    <comment ref="Y94" authorId="1" shapeId="0">
      <text>
        <r>
          <rPr>
            <b/>
            <sz val="10"/>
            <color indexed="81"/>
            <rFont val="Tahoma"/>
            <family val="2"/>
          </rPr>
          <t>Amnerys Valdes:</t>
        </r>
        <r>
          <rPr>
            <sz val="10"/>
            <color indexed="81"/>
            <rFont val="Tahoma"/>
            <family val="2"/>
          </rPr>
          <t xml:space="preserve">
From detailed B/S (FRS-F506) or Trial Balance Acc 252</t>
        </r>
      </text>
    </comment>
    <comment ref="Z94" authorId="1" shapeId="0">
      <text>
        <r>
          <rPr>
            <b/>
            <sz val="10"/>
            <color indexed="81"/>
            <rFont val="Tahoma"/>
            <family val="2"/>
          </rPr>
          <t>Amnerys Valdes:</t>
        </r>
        <r>
          <rPr>
            <sz val="10"/>
            <color indexed="81"/>
            <rFont val="Tahoma"/>
            <family val="2"/>
          </rPr>
          <t xml:space="preserve">
From detailed B/S (FRS-F506) or Trial Balance Acc 252</t>
        </r>
      </text>
    </comment>
    <comment ref="AA94" authorId="1" shapeId="0">
      <text>
        <r>
          <rPr>
            <b/>
            <sz val="10"/>
            <color indexed="81"/>
            <rFont val="Tahoma"/>
            <family val="2"/>
          </rPr>
          <t>Amnerys Valdes:</t>
        </r>
        <r>
          <rPr>
            <sz val="10"/>
            <color indexed="81"/>
            <rFont val="Tahoma"/>
            <family val="2"/>
          </rPr>
          <t xml:space="preserve">
From detailed B/S (FRS-F506) or Trial Balance Acc 252</t>
        </r>
      </text>
    </comment>
    <comment ref="AB94" authorId="1" shapeId="0">
      <text>
        <r>
          <rPr>
            <b/>
            <sz val="10"/>
            <color indexed="81"/>
            <rFont val="Tahoma"/>
            <family val="2"/>
          </rPr>
          <t>Amnerys Valdes:</t>
        </r>
        <r>
          <rPr>
            <sz val="10"/>
            <color indexed="81"/>
            <rFont val="Tahoma"/>
            <family val="2"/>
          </rPr>
          <t xml:space="preserve">
From detailed B/S (FRS-F506) or Trial Balance Acc 252</t>
        </r>
      </text>
    </comment>
    <comment ref="AC94" authorId="1" shapeId="0">
      <text>
        <r>
          <rPr>
            <b/>
            <sz val="10"/>
            <color indexed="81"/>
            <rFont val="Tahoma"/>
            <family val="2"/>
          </rPr>
          <t>Amnerys Valdes:</t>
        </r>
        <r>
          <rPr>
            <sz val="10"/>
            <color indexed="81"/>
            <rFont val="Tahoma"/>
            <family val="2"/>
          </rPr>
          <t xml:space="preserve">
From detailed B/S (FRS-F506) or Trial Balance Acc 252</t>
        </r>
      </text>
    </comment>
    <comment ref="AD94" authorId="1" shapeId="0">
      <text>
        <r>
          <rPr>
            <b/>
            <sz val="10"/>
            <color indexed="81"/>
            <rFont val="Tahoma"/>
            <family val="2"/>
          </rPr>
          <t>Amnerys Valdes:</t>
        </r>
        <r>
          <rPr>
            <sz val="10"/>
            <color indexed="81"/>
            <rFont val="Tahoma"/>
            <family val="2"/>
          </rPr>
          <t xml:space="preserve">
From detailed B/S (FRS-F506) or Trial Balance Acc 252</t>
        </r>
      </text>
    </comment>
    <comment ref="AE94" authorId="1" shapeId="0">
      <text>
        <r>
          <rPr>
            <b/>
            <sz val="10"/>
            <color indexed="81"/>
            <rFont val="Tahoma"/>
            <family val="2"/>
          </rPr>
          <t>Amnerys Valdes:</t>
        </r>
        <r>
          <rPr>
            <sz val="10"/>
            <color indexed="81"/>
            <rFont val="Tahoma"/>
            <family val="2"/>
          </rPr>
          <t xml:space="preserve">
From detailed B/S (FRS-F506) or Trial Balance Acc 252</t>
        </r>
      </text>
    </comment>
    <comment ref="AF94" authorId="1" shapeId="0">
      <text>
        <r>
          <rPr>
            <b/>
            <sz val="10"/>
            <color indexed="81"/>
            <rFont val="Tahoma"/>
            <family val="2"/>
          </rPr>
          <t>Amnerys Valdes:</t>
        </r>
        <r>
          <rPr>
            <sz val="10"/>
            <color indexed="81"/>
            <rFont val="Tahoma"/>
            <family val="2"/>
          </rPr>
          <t xml:space="preserve">
From detailed B/S (FRS-F506) or Trial Balance Acc 252</t>
        </r>
      </text>
    </comment>
    <comment ref="AG94" authorId="1" shapeId="0">
      <text>
        <r>
          <rPr>
            <b/>
            <sz val="10"/>
            <color indexed="81"/>
            <rFont val="Tahoma"/>
            <family val="2"/>
          </rPr>
          <t>Amnerys Valdes:</t>
        </r>
        <r>
          <rPr>
            <sz val="10"/>
            <color indexed="81"/>
            <rFont val="Tahoma"/>
            <family val="2"/>
          </rPr>
          <t xml:space="preserve">
From detailed B/S (FRS-F506) or Trial Balance Acc 252</t>
        </r>
      </text>
    </comment>
    <comment ref="AH94" authorId="1" shapeId="0">
      <text>
        <r>
          <rPr>
            <b/>
            <sz val="10"/>
            <color indexed="81"/>
            <rFont val="Tahoma"/>
            <family val="2"/>
          </rPr>
          <t>Amnerys Valdes:</t>
        </r>
        <r>
          <rPr>
            <sz val="10"/>
            <color indexed="81"/>
            <rFont val="Tahoma"/>
            <family val="2"/>
          </rPr>
          <t xml:space="preserve">
From detailed B/S (FRS-F506) or Trial Balance Acc 252</t>
        </r>
      </text>
    </comment>
    <comment ref="AI94" authorId="1" shapeId="0">
      <text>
        <r>
          <rPr>
            <b/>
            <sz val="10"/>
            <color indexed="81"/>
            <rFont val="Tahoma"/>
            <family val="2"/>
          </rPr>
          <t>Amnerys Valdes:</t>
        </r>
        <r>
          <rPr>
            <sz val="10"/>
            <color indexed="81"/>
            <rFont val="Tahoma"/>
            <family val="2"/>
          </rPr>
          <t xml:space="preserve">
From detailed B/S (FRS-F506) or Trial Balance Acc 252</t>
        </r>
      </text>
    </comment>
    <comment ref="A95" authorId="1" shapeId="0">
      <text>
        <r>
          <rPr>
            <b/>
            <sz val="10"/>
            <color indexed="81"/>
            <rFont val="Tahoma"/>
            <family val="2"/>
          </rPr>
          <t>Amnerys Valdes:</t>
        </r>
        <r>
          <rPr>
            <sz val="10"/>
            <color indexed="81"/>
            <rFont val="Tahoma"/>
            <family val="2"/>
          </rPr>
          <t xml:space="preserve">
From detailed B/S (FRS-F506) or Trial Balance Acc 253 + 254</t>
        </r>
      </text>
    </comment>
    <comment ref="O95" authorId="1" shapeId="0">
      <text>
        <r>
          <rPr>
            <b/>
            <sz val="10"/>
            <color indexed="81"/>
            <rFont val="Tahoma"/>
            <family val="2"/>
          </rPr>
          <t>Amnerys Valdes:</t>
        </r>
        <r>
          <rPr>
            <sz val="10"/>
            <color indexed="81"/>
            <rFont val="Tahoma"/>
            <family val="2"/>
          </rPr>
          <t xml:space="preserve">
From detailed B/S (FRS-F506)</t>
        </r>
      </text>
    </comment>
    <comment ref="P95" authorId="1" shapeId="0">
      <text>
        <r>
          <rPr>
            <b/>
            <sz val="10"/>
            <color indexed="81"/>
            <rFont val="Tahoma"/>
            <family val="2"/>
          </rPr>
          <t>Amnerys Valdes:</t>
        </r>
        <r>
          <rPr>
            <sz val="10"/>
            <color indexed="81"/>
            <rFont val="Tahoma"/>
            <family val="2"/>
          </rPr>
          <t xml:space="preserve">
From detailed B/S (FRS-F506)</t>
        </r>
      </text>
    </comment>
    <comment ref="Q95" authorId="1" shapeId="0">
      <text>
        <r>
          <rPr>
            <b/>
            <sz val="10"/>
            <color indexed="81"/>
            <rFont val="Tahoma"/>
            <family val="2"/>
          </rPr>
          <t>Amnerys Valdes:</t>
        </r>
        <r>
          <rPr>
            <sz val="10"/>
            <color indexed="81"/>
            <rFont val="Tahoma"/>
            <family val="2"/>
          </rPr>
          <t xml:space="preserve">
From detailed B/S (FRS-F506) or Trial Balance Acc 253 + 254</t>
        </r>
      </text>
    </comment>
    <comment ref="R95" authorId="1" shapeId="0">
      <text>
        <r>
          <rPr>
            <b/>
            <sz val="10"/>
            <color indexed="81"/>
            <rFont val="Tahoma"/>
            <family val="2"/>
          </rPr>
          <t>Amnerys Valdes:</t>
        </r>
        <r>
          <rPr>
            <sz val="10"/>
            <color indexed="81"/>
            <rFont val="Tahoma"/>
            <family val="2"/>
          </rPr>
          <t xml:space="preserve">
From detailed B/S (FRS-F506) or Trial Balance Acc 253 + 254</t>
        </r>
      </text>
    </comment>
    <comment ref="S95" authorId="1" shapeId="0">
      <text>
        <r>
          <rPr>
            <b/>
            <sz val="10"/>
            <color indexed="81"/>
            <rFont val="Tahoma"/>
            <family val="2"/>
          </rPr>
          <t>Amnerys Valdes:</t>
        </r>
        <r>
          <rPr>
            <sz val="10"/>
            <color indexed="81"/>
            <rFont val="Tahoma"/>
            <family val="2"/>
          </rPr>
          <t xml:space="preserve">
From detailed B/S (FRS-F506) or Trial Balance Acc 253 + 254</t>
        </r>
      </text>
    </comment>
    <comment ref="T95" authorId="1" shapeId="0">
      <text>
        <r>
          <rPr>
            <b/>
            <sz val="10"/>
            <color indexed="81"/>
            <rFont val="Tahoma"/>
            <family val="2"/>
          </rPr>
          <t>Amnerys Valdes:</t>
        </r>
        <r>
          <rPr>
            <sz val="10"/>
            <color indexed="81"/>
            <rFont val="Tahoma"/>
            <family val="2"/>
          </rPr>
          <t xml:space="preserve">
From detailed B/S (FRS-F506) or Trial Balance Acc 253 + 254</t>
        </r>
      </text>
    </comment>
    <comment ref="U95" authorId="1" shapeId="0">
      <text>
        <r>
          <rPr>
            <b/>
            <sz val="10"/>
            <color indexed="81"/>
            <rFont val="Tahoma"/>
            <family val="2"/>
          </rPr>
          <t>Amnerys Valdes:</t>
        </r>
        <r>
          <rPr>
            <sz val="10"/>
            <color indexed="81"/>
            <rFont val="Tahoma"/>
            <family val="2"/>
          </rPr>
          <t xml:space="preserve">
From detailed B/S (FRS-F506) or Trial Balance Acc 253 + 254</t>
        </r>
      </text>
    </comment>
    <comment ref="V95" authorId="1" shapeId="0">
      <text>
        <r>
          <rPr>
            <b/>
            <sz val="10"/>
            <color indexed="81"/>
            <rFont val="Tahoma"/>
            <family val="2"/>
          </rPr>
          <t>Amnerys Valdes:</t>
        </r>
        <r>
          <rPr>
            <sz val="10"/>
            <color indexed="81"/>
            <rFont val="Tahoma"/>
            <family val="2"/>
          </rPr>
          <t xml:space="preserve">
From detailed B/S (FRS-F506) or Trial Balance Acc 253 + 254</t>
        </r>
      </text>
    </comment>
    <comment ref="W95" authorId="1" shapeId="0">
      <text>
        <r>
          <rPr>
            <b/>
            <sz val="10"/>
            <color indexed="81"/>
            <rFont val="Tahoma"/>
            <family val="2"/>
          </rPr>
          <t>Amnerys Valdes:</t>
        </r>
        <r>
          <rPr>
            <sz val="10"/>
            <color indexed="81"/>
            <rFont val="Tahoma"/>
            <family val="2"/>
          </rPr>
          <t xml:space="preserve">
From detailed B/S (FRS-F506) or Trial Balance Acc 253 + 254</t>
        </r>
      </text>
    </comment>
    <comment ref="X95" authorId="1" shapeId="0">
      <text>
        <r>
          <rPr>
            <b/>
            <sz val="10"/>
            <color indexed="81"/>
            <rFont val="Tahoma"/>
            <family val="2"/>
          </rPr>
          <t>Amnerys Valdes:</t>
        </r>
        <r>
          <rPr>
            <sz val="10"/>
            <color indexed="81"/>
            <rFont val="Tahoma"/>
            <family val="2"/>
          </rPr>
          <t xml:space="preserve">
From detailed B/S (FRS-F506) or Trial Balance Acc 253 + 254</t>
        </r>
      </text>
    </comment>
    <comment ref="Y95" authorId="1" shapeId="0">
      <text>
        <r>
          <rPr>
            <b/>
            <sz val="10"/>
            <color indexed="81"/>
            <rFont val="Tahoma"/>
            <family val="2"/>
          </rPr>
          <t>Amnerys Valdes:</t>
        </r>
        <r>
          <rPr>
            <sz val="10"/>
            <color indexed="81"/>
            <rFont val="Tahoma"/>
            <family val="2"/>
          </rPr>
          <t xml:space="preserve">
From detailed B/S (FRS-F506) or Trial Balance Acc 253 + 254</t>
        </r>
      </text>
    </comment>
    <comment ref="Z95" authorId="1" shapeId="0">
      <text>
        <r>
          <rPr>
            <b/>
            <sz val="10"/>
            <color indexed="81"/>
            <rFont val="Tahoma"/>
            <family val="2"/>
          </rPr>
          <t>Amnerys Valdes:</t>
        </r>
        <r>
          <rPr>
            <sz val="10"/>
            <color indexed="81"/>
            <rFont val="Tahoma"/>
            <family val="2"/>
          </rPr>
          <t xml:space="preserve">
From detailed B/S (FRS-F506) or Trial Balance Acc 253 + 254</t>
        </r>
      </text>
    </comment>
    <comment ref="AA95" authorId="1" shapeId="0">
      <text>
        <r>
          <rPr>
            <b/>
            <sz val="10"/>
            <color indexed="81"/>
            <rFont val="Tahoma"/>
            <family val="2"/>
          </rPr>
          <t>Amnerys Valdes:</t>
        </r>
        <r>
          <rPr>
            <sz val="10"/>
            <color indexed="81"/>
            <rFont val="Tahoma"/>
            <family val="2"/>
          </rPr>
          <t xml:space="preserve">
From detailed B/S (FRS-F506) or Trial Balance Acc 253 + 254</t>
        </r>
      </text>
    </comment>
    <comment ref="AB95" authorId="1" shapeId="0">
      <text>
        <r>
          <rPr>
            <b/>
            <sz val="10"/>
            <color indexed="81"/>
            <rFont val="Tahoma"/>
            <family val="2"/>
          </rPr>
          <t>Amnerys Valdes:</t>
        </r>
        <r>
          <rPr>
            <sz val="10"/>
            <color indexed="81"/>
            <rFont val="Tahoma"/>
            <family val="2"/>
          </rPr>
          <t xml:space="preserve">
From detailed B/S (FRS-F506) or Trial Balance Acc 253 + 254</t>
        </r>
      </text>
    </comment>
    <comment ref="AC95" authorId="1" shapeId="0">
      <text>
        <r>
          <rPr>
            <b/>
            <sz val="10"/>
            <color indexed="81"/>
            <rFont val="Tahoma"/>
            <family val="2"/>
          </rPr>
          <t>Amnerys Valdes:</t>
        </r>
        <r>
          <rPr>
            <sz val="10"/>
            <color indexed="81"/>
            <rFont val="Tahoma"/>
            <family val="2"/>
          </rPr>
          <t xml:space="preserve">
From detailed B/S (FRS-F506) or Trial Balance Acc 253 + 254</t>
        </r>
      </text>
    </comment>
    <comment ref="AD95" authorId="1" shapeId="0">
      <text>
        <r>
          <rPr>
            <b/>
            <sz val="10"/>
            <color indexed="81"/>
            <rFont val="Tahoma"/>
            <family val="2"/>
          </rPr>
          <t>Amnerys Valdes:</t>
        </r>
        <r>
          <rPr>
            <sz val="10"/>
            <color indexed="81"/>
            <rFont val="Tahoma"/>
            <family val="2"/>
          </rPr>
          <t xml:space="preserve">
From detailed B/S (FRS-F506) or Trial Balance Acc 253 + 254</t>
        </r>
      </text>
    </comment>
    <comment ref="AE95" authorId="1" shapeId="0">
      <text>
        <r>
          <rPr>
            <b/>
            <sz val="10"/>
            <color indexed="81"/>
            <rFont val="Tahoma"/>
            <family val="2"/>
          </rPr>
          <t>Amnerys Valdes:</t>
        </r>
        <r>
          <rPr>
            <sz val="10"/>
            <color indexed="81"/>
            <rFont val="Tahoma"/>
            <family val="2"/>
          </rPr>
          <t xml:space="preserve">
From detailed B/S (FRS-F506) or Trial Balance Acc 253 + 254</t>
        </r>
      </text>
    </comment>
    <comment ref="AF95" authorId="1" shapeId="0">
      <text>
        <r>
          <rPr>
            <b/>
            <sz val="10"/>
            <color indexed="81"/>
            <rFont val="Tahoma"/>
            <family val="2"/>
          </rPr>
          <t>Amnerys Valdes:</t>
        </r>
        <r>
          <rPr>
            <sz val="10"/>
            <color indexed="81"/>
            <rFont val="Tahoma"/>
            <family val="2"/>
          </rPr>
          <t xml:space="preserve">
From detailed B/S (FRS-F506) or Trial Balance Acc 253 + 254</t>
        </r>
      </text>
    </comment>
    <comment ref="AG95" authorId="1" shapeId="0">
      <text>
        <r>
          <rPr>
            <b/>
            <sz val="10"/>
            <color indexed="81"/>
            <rFont val="Tahoma"/>
            <family val="2"/>
          </rPr>
          <t>Amnerys Valdes:</t>
        </r>
        <r>
          <rPr>
            <sz val="10"/>
            <color indexed="81"/>
            <rFont val="Tahoma"/>
            <family val="2"/>
          </rPr>
          <t xml:space="preserve">
From detailed B/S (FRS-F506) or Trial Balance Acc 253 + 254</t>
        </r>
      </text>
    </comment>
    <comment ref="AH95" authorId="1" shapeId="0">
      <text>
        <r>
          <rPr>
            <b/>
            <sz val="10"/>
            <color indexed="81"/>
            <rFont val="Tahoma"/>
            <family val="2"/>
          </rPr>
          <t>Amnerys Valdes:</t>
        </r>
        <r>
          <rPr>
            <sz val="10"/>
            <color indexed="81"/>
            <rFont val="Tahoma"/>
            <family val="2"/>
          </rPr>
          <t xml:space="preserve">
From detailed B/S (FRS-F506) or Trial Balance Acc 253 + 254</t>
        </r>
      </text>
    </comment>
    <comment ref="AI95" authorId="1" shapeId="0">
      <text>
        <r>
          <rPr>
            <b/>
            <sz val="10"/>
            <color indexed="81"/>
            <rFont val="Tahoma"/>
            <family val="2"/>
          </rPr>
          <t>Amnerys Valdes:</t>
        </r>
        <r>
          <rPr>
            <sz val="10"/>
            <color indexed="81"/>
            <rFont val="Tahoma"/>
            <family val="2"/>
          </rPr>
          <t xml:space="preserve">
From detailed B/S (FRS-F506) or Trial Balance Acc 253 + 254</t>
        </r>
      </text>
    </comment>
    <comment ref="FB95" authorId="5" shapeId="0">
      <text>
        <r>
          <rPr>
            <b/>
            <sz val="9"/>
            <color indexed="81"/>
            <rFont val="Tahoma"/>
            <family val="2"/>
          </rPr>
          <t>Dowley, Thomas J.:</t>
        </r>
        <r>
          <rPr>
            <sz val="9"/>
            <color indexed="81"/>
            <rFont val="Tahoma"/>
            <family val="2"/>
          </rPr>
          <t xml:space="preserve">
had to manually add in the amount in sept from acct 2540331 since I couldn’t get the formula to work
</t>
        </r>
      </text>
    </comment>
    <comment ref="FC95" authorId="5" shapeId="0">
      <text>
        <r>
          <rPr>
            <b/>
            <sz val="9"/>
            <color indexed="81"/>
            <rFont val="Tahoma"/>
            <family val="2"/>
          </rPr>
          <t>Dowley, Thomas J.:</t>
        </r>
        <r>
          <rPr>
            <sz val="9"/>
            <color indexed="81"/>
            <rFont val="Tahoma"/>
            <family val="2"/>
          </rPr>
          <t xml:space="preserve">
had to manually add in the amount in sept from acct 2540331 since I couldn’t get the formula to work
</t>
        </r>
      </text>
    </comment>
    <comment ref="X96" authorId="1" shapeId="0">
      <text>
        <r>
          <rPr>
            <b/>
            <sz val="10"/>
            <color indexed="81"/>
            <rFont val="Tahoma"/>
            <family val="2"/>
          </rPr>
          <t>Connie Coe:</t>
        </r>
        <r>
          <rPr>
            <sz val="10"/>
            <color indexed="81"/>
            <rFont val="Tahoma"/>
            <family val="2"/>
          </rPr>
          <t xml:space="preserve">
From detailed B/S (FRS-F506) or Trial Balance Acc 253 + 254</t>
        </r>
      </text>
    </comment>
    <comment ref="X101" authorId="1" shapeId="0">
      <text>
        <r>
          <rPr>
            <b/>
            <sz val="10"/>
            <color indexed="81"/>
            <rFont val="Tahoma"/>
            <family val="2"/>
          </rPr>
          <t>Connie Coe:</t>
        </r>
        <r>
          <rPr>
            <sz val="10"/>
            <color indexed="81"/>
            <rFont val="Tahoma"/>
            <family val="2"/>
          </rPr>
          <t xml:space="preserve">
From detailed B/S (FRS-F506) </t>
        </r>
      </text>
    </comment>
  </commentList>
</comments>
</file>

<file path=xl/comments5.xml><?xml version="1.0" encoding="utf-8"?>
<comments xmlns="http://schemas.openxmlformats.org/spreadsheetml/2006/main">
  <authors>
    <author>Ascroft, Sean M.</author>
    <author>Coe, Connie</author>
    <author>Valdes, Amnerys</author>
    <author>Dowley, Thomas J.</author>
    <author>Elliott, Matthew E.</author>
  </authors>
  <commentList>
    <comment ref="DG9" authorId="0" shapeId="0">
      <text>
        <r>
          <rPr>
            <b/>
            <sz val="9"/>
            <color indexed="81"/>
            <rFont val="Tahoma"/>
            <family val="2"/>
          </rPr>
          <t>Ascroft, Sean M.:</t>
        </r>
        <r>
          <rPr>
            <sz val="9"/>
            <color indexed="81"/>
            <rFont val="Tahoma"/>
            <family val="2"/>
          </rPr>
          <t xml:space="preserve">
Removing 6800100 because deriving to 407, but offset account 6809000 is deriving to a BS account so not netting to zero on IS like it should. Being fixed in November.</t>
        </r>
      </text>
    </comment>
    <comment ref="DH9" authorId="0" shapeId="0">
      <text>
        <r>
          <rPr>
            <b/>
            <sz val="9"/>
            <color indexed="81"/>
            <rFont val="Tahoma"/>
            <family val="2"/>
          </rPr>
          <t>Ascroft, Sean M.:</t>
        </r>
        <r>
          <rPr>
            <sz val="9"/>
            <color indexed="81"/>
            <rFont val="Tahoma"/>
            <family val="2"/>
          </rPr>
          <t xml:space="preserve">
Removing 6800100 because deriving to 407, but offset account 6809000 is deriving to a BS account so not netting to zero on IS like it should. Being fixed in November.</t>
        </r>
      </text>
    </comment>
    <comment ref="AD10" authorId="1" shapeId="0">
      <text>
        <r>
          <rPr>
            <b/>
            <sz val="9"/>
            <color indexed="81"/>
            <rFont val="Tahoma"/>
            <family val="2"/>
          </rPr>
          <t>Coe, Connie:</t>
        </r>
        <r>
          <rPr>
            <sz val="9"/>
            <color indexed="81"/>
            <rFont val="Tahoma"/>
            <family val="2"/>
          </rPr>
          <t xml:space="preserve">
Include O&amp;M in PGA Clause</t>
        </r>
      </text>
    </comment>
    <comment ref="AE10" authorId="1" shapeId="0">
      <text>
        <r>
          <rPr>
            <b/>
            <sz val="9"/>
            <color indexed="81"/>
            <rFont val="Tahoma"/>
            <family val="2"/>
          </rPr>
          <t>Coe, Connie:</t>
        </r>
        <r>
          <rPr>
            <sz val="9"/>
            <color indexed="81"/>
            <rFont val="Tahoma"/>
            <family val="2"/>
          </rPr>
          <t xml:space="preserve">
Include O&amp;M in PGA Clause</t>
        </r>
      </text>
    </comment>
    <comment ref="AF10" authorId="1" shapeId="0">
      <text>
        <r>
          <rPr>
            <b/>
            <sz val="9"/>
            <color indexed="81"/>
            <rFont val="Tahoma"/>
            <family val="2"/>
          </rPr>
          <t>Coe, Connie:</t>
        </r>
        <r>
          <rPr>
            <sz val="9"/>
            <color indexed="81"/>
            <rFont val="Tahoma"/>
            <family val="2"/>
          </rPr>
          <t xml:space="preserve">
Include O&amp;M in PGA Clause</t>
        </r>
      </text>
    </comment>
    <comment ref="AG10" authorId="1" shapeId="0">
      <text>
        <r>
          <rPr>
            <b/>
            <sz val="9"/>
            <color indexed="81"/>
            <rFont val="Tahoma"/>
            <family val="2"/>
          </rPr>
          <t>Coe, Connie:</t>
        </r>
        <r>
          <rPr>
            <sz val="9"/>
            <color indexed="81"/>
            <rFont val="Tahoma"/>
            <family val="2"/>
          </rPr>
          <t xml:space="preserve">
Include O&amp;M in PGA Clause</t>
        </r>
      </text>
    </comment>
    <comment ref="AH10" authorId="1" shapeId="0">
      <text>
        <r>
          <rPr>
            <b/>
            <sz val="9"/>
            <color indexed="81"/>
            <rFont val="Tahoma"/>
            <family val="2"/>
          </rPr>
          <t>Coe, Connie:</t>
        </r>
        <r>
          <rPr>
            <sz val="9"/>
            <color indexed="81"/>
            <rFont val="Tahoma"/>
            <family val="2"/>
          </rPr>
          <t xml:space="preserve">
Include O&amp;M in PGA Clause</t>
        </r>
      </text>
    </comment>
    <comment ref="AI10" authorId="1" shapeId="0">
      <text>
        <r>
          <rPr>
            <b/>
            <sz val="9"/>
            <color indexed="81"/>
            <rFont val="Tahoma"/>
            <family val="2"/>
          </rPr>
          <t>Coe, Connie:</t>
        </r>
        <r>
          <rPr>
            <sz val="9"/>
            <color indexed="81"/>
            <rFont val="Tahoma"/>
            <family val="2"/>
          </rPr>
          <t xml:space="preserve">
Include O&amp;M in PGA Clause</t>
        </r>
      </text>
    </comment>
    <comment ref="AJ10" authorId="1" shapeId="0">
      <text>
        <r>
          <rPr>
            <b/>
            <sz val="9"/>
            <color indexed="81"/>
            <rFont val="Tahoma"/>
            <family val="2"/>
          </rPr>
          <t>Coe, Connie:</t>
        </r>
        <r>
          <rPr>
            <sz val="9"/>
            <color indexed="81"/>
            <rFont val="Tahoma"/>
            <family val="2"/>
          </rPr>
          <t xml:space="preserve">
Include O&amp;M in PGA Clause</t>
        </r>
      </text>
    </comment>
    <comment ref="AK10" authorId="1" shapeId="0">
      <text>
        <r>
          <rPr>
            <b/>
            <sz val="9"/>
            <color indexed="81"/>
            <rFont val="Tahoma"/>
            <family val="2"/>
          </rPr>
          <t>Coe, Connie:</t>
        </r>
        <r>
          <rPr>
            <sz val="9"/>
            <color indexed="81"/>
            <rFont val="Tahoma"/>
            <family val="2"/>
          </rPr>
          <t xml:space="preserve">
Include O&amp;M in PGA Clause</t>
        </r>
      </text>
    </comment>
    <comment ref="AL10" authorId="1" shapeId="0">
      <text>
        <r>
          <rPr>
            <b/>
            <sz val="9"/>
            <color indexed="81"/>
            <rFont val="Tahoma"/>
            <family val="2"/>
          </rPr>
          <t>Coe, Connie:</t>
        </r>
        <r>
          <rPr>
            <sz val="9"/>
            <color indexed="81"/>
            <rFont val="Tahoma"/>
            <family val="2"/>
          </rPr>
          <t xml:space="preserve">
Include O&amp;M in PGA Clause</t>
        </r>
      </text>
    </comment>
    <comment ref="AM10" authorId="1" shapeId="0">
      <text>
        <r>
          <rPr>
            <b/>
            <sz val="9"/>
            <color indexed="81"/>
            <rFont val="Tahoma"/>
            <family val="2"/>
          </rPr>
          <t>Coe, Connie:</t>
        </r>
        <r>
          <rPr>
            <sz val="9"/>
            <color indexed="81"/>
            <rFont val="Tahoma"/>
            <family val="2"/>
          </rPr>
          <t xml:space="preserve">
Include O&amp;M in PGA Clause</t>
        </r>
      </text>
    </comment>
    <comment ref="AN10" authorId="1" shapeId="0">
      <text>
        <r>
          <rPr>
            <b/>
            <sz val="9"/>
            <color indexed="81"/>
            <rFont val="Tahoma"/>
            <family val="2"/>
          </rPr>
          <t>Coe, Connie:</t>
        </r>
        <r>
          <rPr>
            <sz val="9"/>
            <color indexed="81"/>
            <rFont val="Tahoma"/>
            <family val="2"/>
          </rPr>
          <t xml:space="preserve">
Include O&amp;M in PGA Clause</t>
        </r>
      </text>
    </comment>
    <comment ref="AO10" authorId="1" shapeId="0">
      <text>
        <r>
          <rPr>
            <b/>
            <sz val="9"/>
            <color indexed="81"/>
            <rFont val="Tahoma"/>
            <family val="2"/>
          </rPr>
          <t>Coe, Connie:</t>
        </r>
        <r>
          <rPr>
            <sz val="9"/>
            <color indexed="81"/>
            <rFont val="Tahoma"/>
            <family val="2"/>
          </rPr>
          <t xml:space="preserve">
Include O&amp;M in PGA Clause</t>
        </r>
      </text>
    </comment>
    <comment ref="AD13" authorId="1" shapeId="0">
      <text>
        <r>
          <rPr>
            <b/>
            <sz val="9"/>
            <color indexed="81"/>
            <rFont val="Tahoma"/>
            <family val="2"/>
          </rPr>
          <t>Coe, Connie:</t>
        </r>
        <r>
          <rPr>
            <sz val="9"/>
            <color indexed="81"/>
            <rFont val="Tahoma"/>
            <family val="2"/>
          </rPr>
          <t xml:space="preserve">
Exclude O&amp;M in PGA Clause</t>
        </r>
      </text>
    </comment>
    <comment ref="AE13" authorId="1" shapeId="0">
      <text>
        <r>
          <rPr>
            <b/>
            <sz val="9"/>
            <color indexed="81"/>
            <rFont val="Tahoma"/>
            <family val="2"/>
          </rPr>
          <t>Coe, Connie:</t>
        </r>
        <r>
          <rPr>
            <sz val="9"/>
            <color indexed="81"/>
            <rFont val="Tahoma"/>
            <family val="2"/>
          </rPr>
          <t xml:space="preserve">
Exclude O&amp;M in PGA Clause</t>
        </r>
      </text>
    </comment>
    <comment ref="AF13" authorId="1" shapeId="0">
      <text>
        <r>
          <rPr>
            <b/>
            <sz val="9"/>
            <color indexed="81"/>
            <rFont val="Tahoma"/>
            <family val="2"/>
          </rPr>
          <t>Coe, Connie:</t>
        </r>
        <r>
          <rPr>
            <sz val="9"/>
            <color indexed="81"/>
            <rFont val="Tahoma"/>
            <family val="2"/>
          </rPr>
          <t xml:space="preserve">
Exclude O&amp;M in PGA Clause</t>
        </r>
      </text>
    </comment>
    <comment ref="AG13" authorId="1" shapeId="0">
      <text>
        <r>
          <rPr>
            <b/>
            <sz val="9"/>
            <color indexed="81"/>
            <rFont val="Tahoma"/>
            <family val="2"/>
          </rPr>
          <t>Coe, Connie:</t>
        </r>
        <r>
          <rPr>
            <sz val="9"/>
            <color indexed="81"/>
            <rFont val="Tahoma"/>
            <family val="2"/>
          </rPr>
          <t xml:space="preserve">
Exclude O&amp;M in PGA Clause</t>
        </r>
      </text>
    </comment>
    <comment ref="AH13" authorId="1" shapeId="0">
      <text>
        <r>
          <rPr>
            <b/>
            <sz val="9"/>
            <color indexed="81"/>
            <rFont val="Tahoma"/>
            <family val="2"/>
          </rPr>
          <t>Coe, Connie:</t>
        </r>
        <r>
          <rPr>
            <sz val="9"/>
            <color indexed="81"/>
            <rFont val="Tahoma"/>
            <family val="2"/>
          </rPr>
          <t xml:space="preserve">
Exclude O&amp;M in PGA Clause</t>
        </r>
      </text>
    </comment>
    <comment ref="AI13" authorId="1" shapeId="0">
      <text>
        <r>
          <rPr>
            <b/>
            <sz val="9"/>
            <color indexed="81"/>
            <rFont val="Tahoma"/>
            <family val="2"/>
          </rPr>
          <t>Coe, Connie:</t>
        </r>
        <r>
          <rPr>
            <sz val="9"/>
            <color indexed="81"/>
            <rFont val="Tahoma"/>
            <family val="2"/>
          </rPr>
          <t xml:space="preserve">
Exclude O&amp;M in PGA Clause</t>
        </r>
      </text>
    </comment>
    <comment ref="AJ13" authorId="1" shapeId="0">
      <text>
        <r>
          <rPr>
            <b/>
            <sz val="9"/>
            <color indexed="81"/>
            <rFont val="Tahoma"/>
            <family val="2"/>
          </rPr>
          <t>Coe, Connie:</t>
        </r>
        <r>
          <rPr>
            <sz val="9"/>
            <color indexed="81"/>
            <rFont val="Tahoma"/>
            <family val="2"/>
          </rPr>
          <t xml:space="preserve">
Exclude O&amp;M in PGA Clause</t>
        </r>
      </text>
    </comment>
    <comment ref="AK13" authorId="1" shapeId="0">
      <text>
        <r>
          <rPr>
            <b/>
            <sz val="9"/>
            <color indexed="81"/>
            <rFont val="Tahoma"/>
            <family val="2"/>
          </rPr>
          <t>Coe, Connie:</t>
        </r>
        <r>
          <rPr>
            <sz val="9"/>
            <color indexed="81"/>
            <rFont val="Tahoma"/>
            <family val="2"/>
          </rPr>
          <t xml:space="preserve">
Exclude O&amp;M in PGA Clause</t>
        </r>
      </text>
    </comment>
    <comment ref="AL13" authorId="1" shapeId="0">
      <text>
        <r>
          <rPr>
            <b/>
            <sz val="9"/>
            <color indexed="81"/>
            <rFont val="Tahoma"/>
            <family val="2"/>
          </rPr>
          <t>Coe, Connie:</t>
        </r>
        <r>
          <rPr>
            <sz val="9"/>
            <color indexed="81"/>
            <rFont val="Tahoma"/>
            <family val="2"/>
          </rPr>
          <t xml:space="preserve">
Exclude O&amp;M in PGA Clause</t>
        </r>
      </text>
    </comment>
    <comment ref="AM13" authorId="1" shapeId="0">
      <text>
        <r>
          <rPr>
            <b/>
            <sz val="9"/>
            <color indexed="81"/>
            <rFont val="Tahoma"/>
            <family val="2"/>
          </rPr>
          <t>Coe, Connie:</t>
        </r>
        <r>
          <rPr>
            <sz val="9"/>
            <color indexed="81"/>
            <rFont val="Tahoma"/>
            <family val="2"/>
          </rPr>
          <t xml:space="preserve">
Exclude O&amp;M in PGA Clause</t>
        </r>
      </text>
    </comment>
    <comment ref="AN13" authorId="1" shapeId="0">
      <text>
        <r>
          <rPr>
            <b/>
            <sz val="9"/>
            <color indexed="81"/>
            <rFont val="Tahoma"/>
            <family val="2"/>
          </rPr>
          <t>Coe, Connie:</t>
        </r>
        <r>
          <rPr>
            <sz val="9"/>
            <color indexed="81"/>
            <rFont val="Tahoma"/>
            <family val="2"/>
          </rPr>
          <t xml:space="preserve">
Exclude O&amp;M in PGA Clause</t>
        </r>
      </text>
    </comment>
    <comment ref="AO13" authorId="1" shapeId="0">
      <text>
        <r>
          <rPr>
            <b/>
            <sz val="9"/>
            <color indexed="81"/>
            <rFont val="Tahoma"/>
            <family val="2"/>
          </rPr>
          <t>Coe, Connie:</t>
        </r>
        <r>
          <rPr>
            <sz val="9"/>
            <color indexed="81"/>
            <rFont val="Tahoma"/>
            <family val="2"/>
          </rPr>
          <t xml:space="preserve">
Exclude O&amp;M in PGA Clause</t>
        </r>
      </text>
    </comment>
    <comment ref="DE13" authorId="0" shapeId="0">
      <text>
        <r>
          <rPr>
            <b/>
            <sz val="9"/>
            <color indexed="81"/>
            <rFont val="Tahoma"/>
            <family val="2"/>
          </rPr>
          <t>Ascroft, Sean M.:</t>
        </r>
        <r>
          <rPr>
            <sz val="9"/>
            <color indexed="81"/>
            <rFont val="Tahoma"/>
            <family val="2"/>
          </rPr>
          <t xml:space="preserve">
Diff in Aug due to FERC AFUDC accounts going to O&amp;M and not updated to BTL (correct in model). Can't re-run Aug FERC. Fixed in October (correct in model)</t>
        </r>
      </text>
    </comment>
    <comment ref="DG13" authorId="0" shapeId="0">
      <text>
        <r>
          <rPr>
            <b/>
            <sz val="9"/>
            <color indexed="81"/>
            <rFont val="Tahoma"/>
            <family val="2"/>
          </rPr>
          <t>Ascroft, Sean M.:</t>
        </r>
        <r>
          <rPr>
            <sz val="9"/>
            <color indexed="81"/>
            <rFont val="Tahoma"/>
            <family val="2"/>
          </rPr>
          <t xml:space="preserve">
Diff in Aug due to FERC AFUDC accounts going to O&amp;M and not updated to BTL (correct in model). Can't re-run Aug FERC. Fixed in October (correct in model)</t>
        </r>
      </text>
    </comment>
    <comment ref="DN13" authorId="0" shapeId="0">
      <text>
        <r>
          <rPr>
            <b/>
            <sz val="9"/>
            <color indexed="81"/>
            <rFont val="Tahoma"/>
            <family val="2"/>
          </rPr>
          <t>Ascroft, Sean M.:</t>
        </r>
        <r>
          <rPr>
            <sz val="9"/>
            <color indexed="81"/>
            <rFont val="Tahoma"/>
            <family val="2"/>
          </rPr>
          <t xml:space="preserve">
Regular int exp hitting (7500020/7500080) was journaled to the incorrect order, which derived it to FERC 930.2. It should be hitting FERC 431. Manual reclass to the IS in May and will be fixed in the system in June.</t>
        </r>
      </text>
    </comment>
    <comment ref="AP21" authorId="2" shapeId="0">
      <text>
        <r>
          <rPr>
            <b/>
            <sz val="9"/>
            <color indexed="81"/>
            <rFont val="Tahoma"/>
            <family val="2"/>
          </rPr>
          <t>Valdes, Amnerys:</t>
        </r>
        <r>
          <rPr>
            <sz val="9"/>
            <color indexed="81"/>
            <rFont val="Tahoma"/>
            <family val="2"/>
          </rPr>
          <t xml:space="preserve">
FERC 9411400</t>
        </r>
      </text>
    </comment>
    <comment ref="AQ21" authorId="2" shapeId="0">
      <text>
        <r>
          <rPr>
            <b/>
            <sz val="9"/>
            <color indexed="81"/>
            <rFont val="Tahoma"/>
            <family val="2"/>
          </rPr>
          <t>Valdes, Amnerys:</t>
        </r>
        <r>
          <rPr>
            <sz val="9"/>
            <color indexed="81"/>
            <rFont val="Tahoma"/>
            <family val="2"/>
          </rPr>
          <t xml:space="preserve">
FERC 9411400</t>
        </r>
      </text>
    </comment>
    <comment ref="AR21" authorId="2" shapeId="0">
      <text>
        <r>
          <rPr>
            <b/>
            <sz val="9"/>
            <color indexed="81"/>
            <rFont val="Tahoma"/>
            <family val="2"/>
          </rPr>
          <t>Valdes, Amnerys:</t>
        </r>
        <r>
          <rPr>
            <sz val="9"/>
            <color indexed="81"/>
            <rFont val="Tahoma"/>
            <family val="2"/>
          </rPr>
          <t xml:space="preserve">
FERC 9411400</t>
        </r>
      </text>
    </comment>
    <comment ref="AS21" authorId="2" shapeId="0">
      <text>
        <r>
          <rPr>
            <b/>
            <sz val="9"/>
            <color indexed="81"/>
            <rFont val="Tahoma"/>
            <family val="2"/>
          </rPr>
          <t>Valdes, Amnerys:</t>
        </r>
        <r>
          <rPr>
            <sz val="9"/>
            <color indexed="81"/>
            <rFont val="Tahoma"/>
            <family val="2"/>
          </rPr>
          <t xml:space="preserve">
FERC 9411400</t>
        </r>
      </text>
    </comment>
    <comment ref="AT21" authorId="2" shapeId="0">
      <text>
        <r>
          <rPr>
            <b/>
            <sz val="9"/>
            <color indexed="81"/>
            <rFont val="Tahoma"/>
            <family val="2"/>
          </rPr>
          <t>Valdes, Amnerys:</t>
        </r>
        <r>
          <rPr>
            <sz val="9"/>
            <color indexed="81"/>
            <rFont val="Tahoma"/>
            <family val="2"/>
          </rPr>
          <t xml:space="preserve">
FERC 9411400</t>
        </r>
      </text>
    </comment>
    <comment ref="AU21" authorId="2" shapeId="0">
      <text>
        <r>
          <rPr>
            <b/>
            <sz val="9"/>
            <color indexed="81"/>
            <rFont val="Tahoma"/>
            <family val="2"/>
          </rPr>
          <t>Valdes, Amnerys:</t>
        </r>
        <r>
          <rPr>
            <sz val="9"/>
            <color indexed="81"/>
            <rFont val="Tahoma"/>
            <family val="2"/>
          </rPr>
          <t xml:space="preserve">
FERC 9411400</t>
        </r>
      </text>
    </comment>
    <comment ref="AV21" authorId="2" shapeId="0">
      <text>
        <r>
          <rPr>
            <b/>
            <sz val="9"/>
            <color indexed="81"/>
            <rFont val="Tahoma"/>
            <family val="2"/>
          </rPr>
          <t>Valdes, Amnerys:</t>
        </r>
        <r>
          <rPr>
            <sz val="9"/>
            <color indexed="81"/>
            <rFont val="Tahoma"/>
            <family val="2"/>
          </rPr>
          <t xml:space="preserve">
FERC 9411400</t>
        </r>
      </text>
    </comment>
    <comment ref="AW21" authorId="2" shapeId="0">
      <text>
        <r>
          <rPr>
            <b/>
            <sz val="9"/>
            <color indexed="81"/>
            <rFont val="Tahoma"/>
            <family val="2"/>
          </rPr>
          <t>Valdes, Amnerys:</t>
        </r>
        <r>
          <rPr>
            <sz val="9"/>
            <color indexed="81"/>
            <rFont val="Tahoma"/>
            <family val="2"/>
          </rPr>
          <t xml:space="preserve">
FERC 9411400</t>
        </r>
      </text>
    </comment>
    <comment ref="AX21" authorId="2" shapeId="0">
      <text>
        <r>
          <rPr>
            <b/>
            <sz val="9"/>
            <color indexed="81"/>
            <rFont val="Tahoma"/>
            <family val="2"/>
          </rPr>
          <t>Valdes, Amnerys:</t>
        </r>
        <r>
          <rPr>
            <sz val="9"/>
            <color indexed="81"/>
            <rFont val="Tahoma"/>
            <family val="2"/>
          </rPr>
          <t xml:space="preserve">
FERC 9411400</t>
        </r>
      </text>
    </comment>
    <comment ref="AY21" authorId="2" shapeId="0">
      <text>
        <r>
          <rPr>
            <b/>
            <sz val="9"/>
            <color indexed="81"/>
            <rFont val="Tahoma"/>
            <family val="2"/>
          </rPr>
          <t>Valdes, Amnerys:</t>
        </r>
        <r>
          <rPr>
            <sz val="9"/>
            <color indexed="81"/>
            <rFont val="Tahoma"/>
            <family val="2"/>
          </rPr>
          <t xml:space="preserve">
FERC 9411400</t>
        </r>
      </text>
    </comment>
    <comment ref="AZ21" authorId="2" shapeId="0">
      <text>
        <r>
          <rPr>
            <b/>
            <sz val="9"/>
            <color indexed="81"/>
            <rFont val="Tahoma"/>
            <family val="2"/>
          </rPr>
          <t>Valdes, Amnerys:</t>
        </r>
        <r>
          <rPr>
            <sz val="9"/>
            <color indexed="81"/>
            <rFont val="Tahoma"/>
            <family val="2"/>
          </rPr>
          <t xml:space="preserve">
FERC 9411400</t>
        </r>
      </text>
    </comment>
    <comment ref="BA21" authorId="2" shapeId="0">
      <text>
        <r>
          <rPr>
            <b/>
            <sz val="9"/>
            <color indexed="81"/>
            <rFont val="Tahoma"/>
            <family val="2"/>
          </rPr>
          <t>Valdes, Amnerys:</t>
        </r>
        <r>
          <rPr>
            <sz val="9"/>
            <color indexed="81"/>
            <rFont val="Tahoma"/>
            <family val="2"/>
          </rPr>
          <t xml:space="preserve">
FERC 9411400</t>
        </r>
      </text>
    </comment>
    <comment ref="BB21" authorId="2" shapeId="0">
      <text>
        <r>
          <rPr>
            <b/>
            <sz val="9"/>
            <color indexed="81"/>
            <rFont val="Tahoma"/>
            <family val="2"/>
          </rPr>
          <t>Valdes, Amnerys:</t>
        </r>
        <r>
          <rPr>
            <sz val="9"/>
            <color indexed="81"/>
            <rFont val="Tahoma"/>
            <family val="2"/>
          </rPr>
          <t xml:space="preserve">
FERC 9411400</t>
        </r>
      </text>
    </comment>
    <comment ref="BC21" authorId="2" shapeId="0">
      <text>
        <r>
          <rPr>
            <b/>
            <sz val="9"/>
            <color indexed="81"/>
            <rFont val="Tahoma"/>
            <family val="2"/>
          </rPr>
          <t>Valdes, Amnerys:</t>
        </r>
        <r>
          <rPr>
            <sz val="9"/>
            <color indexed="81"/>
            <rFont val="Tahoma"/>
            <family val="2"/>
          </rPr>
          <t xml:space="preserve">
FERC 9411400</t>
        </r>
      </text>
    </comment>
    <comment ref="BD21" authorId="2" shapeId="0">
      <text>
        <r>
          <rPr>
            <b/>
            <sz val="9"/>
            <color indexed="81"/>
            <rFont val="Tahoma"/>
            <family val="2"/>
          </rPr>
          <t>Valdes, Amnerys:</t>
        </r>
        <r>
          <rPr>
            <sz val="9"/>
            <color indexed="81"/>
            <rFont val="Tahoma"/>
            <family val="2"/>
          </rPr>
          <t xml:space="preserve">
FERC 9411400</t>
        </r>
      </text>
    </comment>
    <comment ref="BE21" authorId="2" shapeId="0">
      <text>
        <r>
          <rPr>
            <b/>
            <sz val="9"/>
            <color indexed="81"/>
            <rFont val="Tahoma"/>
            <family val="2"/>
          </rPr>
          <t>Valdes, Amnerys:</t>
        </r>
        <r>
          <rPr>
            <sz val="9"/>
            <color indexed="81"/>
            <rFont val="Tahoma"/>
            <family val="2"/>
          </rPr>
          <t xml:space="preserve">
FERC 9411400</t>
        </r>
      </text>
    </comment>
    <comment ref="BF21" authorId="2" shapeId="0">
      <text>
        <r>
          <rPr>
            <b/>
            <sz val="9"/>
            <color indexed="81"/>
            <rFont val="Tahoma"/>
            <family val="2"/>
          </rPr>
          <t>Valdes, Amnerys:</t>
        </r>
        <r>
          <rPr>
            <sz val="9"/>
            <color indexed="81"/>
            <rFont val="Tahoma"/>
            <family val="2"/>
          </rPr>
          <t xml:space="preserve">
FERC 9411400</t>
        </r>
      </text>
    </comment>
    <comment ref="BG21" authorId="2" shapeId="0">
      <text>
        <r>
          <rPr>
            <b/>
            <sz val="9"/>
            <color indexed="81"/>
            <rFont val="Tahoma"/>
            <family val="2"/>
          </rPr>
          <t>Valdes, Amnerys:</t>
        </r>
        <r>
          <rPr>
            <sz val="9"/>
            <color indexed="81"/>
            <rFont val="Tahoma"/>
            <family val="2"/>
          </rPr>
          <t xml:space="preserve">
FERC 9411400</t>
        </r>
      </text>
    </comment>
    <comment ref="DE32" authorId="0" shapeId="0">
      <text>
        <r>
          <rPr>
            <b/>
            <sz val="9"/>
            <color indexed="81"/>
            <rFont val="Tahoma"/>
            <family val="2"/>
          </rPr>
          <t>Ascroft, Sean M.:</t>
        </r>
        <r>
          <rPr>
            <sz val="9"/>
            <color indexed="81"/>
            <rFont val="Tahoma"/>
            <family val="2"/>
          </rPr>
          <t xml:space="preserve">
Diff in Aug due to FERC AFUDC accounts going to O&amp;M and not updated to BTL (correct in model). Can't re-run Aug FERC. Fixed in October (correct in model)</t>
        </r>
      </text>
    </comment>
    <comment ref="DG32" authorId="0" shapeId="0">
      <text>
        <r>
          <rPr>
            <b/>
            <sz val="9"/>
            <color indexed="81"/>
            <rFont val="Tahoma"/>
            <family val="2"/>
          </rPr>
          <t>Ascroft, Sean M.:</t>
        </r>
        <r>
          <rPr>
            <sz val="9"/>
            <color indexed="81"/>
            <rFont val="Tahoma"/>
            <family val="2"/>
          </rPr>
          <t xml:space="preserve">
Diff in Aug due to FERC AFUDC accounts going to O&amp;M and not updated to BTL (correct in model). Can't re-run Aug FERC. Fixed in October (correct in model)</t>
        </r>
      </text>
    </comment>
    <comment ref="AP38" authorId="2" shapeId="0">
      <text>
        <r>
          <rPr>
            <b/>
            <sz val="9"/>
            <color indexed="81"/>
            <rFont val="Tahoma"/>
            <family val="2"/>
          </rPr>
          <t>Valdes, Amnerys:</t>
        </r>
        <r>
          <rPr>
            <sz val="9"/>
            <color indexed="81"/>
            <rFont val="Tahoma"/>
            <family val="2"/>
          </rPr>
          <t xml:space="preserve">
7500000
7500020
7500080
7500090</t>
        </r>
      </text>
    </comment>
    <comment ref="AQ38" authorId="2" shapeId="0">
      <text>
        <r>
          <rPr>
            <b/>
            <sz val="9"/>
            <color indexed="81"/>
            <rFont val="Tahoma"/>
            <family val="2"/>
          </rPr>
          <t>Valdes, Amnerys:</t>
        </r>
        <r>
          <rPr>
            <sz val="9"/>
            <color indexed="81"/>
            <rFont val="Tahoma"/>
            <family val="2"/>
          </rPr>
          <t xml:space="preserve">
7500000
7500020
7500080
7500090</t>
        </r>
      </text>
    </comment>
    <comment ref="AR38" authorId="2" shapeId="0">
      <text>
        <r>
          <rPr>
            <b/>
            <sz val="9"/>
            <color indexed="81"/>
            <rFont val="Tahoma"/>
            <family val="2"/>
          </rPr>
          <t>Valdes, Amnerys:</t>
        </r>
        <r>
          <rPr>
            <sz val="9"/>
            <color indexed="81"/>
            <rFont val="Tahoma"/>
            <family val="2"/>
          </rPr>
          <t xml:space="preserve">
7500000
7500020
7500080
7500090</t>
        </r>
      </text>
    </comment>
    <comment ref="AS38" authorId="2" shapeId="0">
      <text>
        <r>
          <rPr>
            <b/>
            <sz val="9"/>
            <color indexed="81"/>
            <rFont val="Tahoma"/>
            <family val="2"/>
          </rPr>
          <t>Valdes, Amnerys:</t>
        </r>
        <r>
          <rPr>
            <sz val="9"/>
            <color indexed="81"/>
            <rFont val="Tahoma"/>
            <family val="2"/>
          </rPr>
          <t xml:space="preserve">
7500000
7500020
7500080
7500090</t>
        </r>
      </text>
    </comment>
    <comment ref="AT38" authorId="2" shapeId="0">
      <text>
        <r>
          <rPr>
            <b/>
            <sz val="9"/>
            <color indexed="81"/>
            <rFont val="Tahoma"/>
            <family val="2"/>
          </rPr>
          <t>Valdes, Amnerys:</t>
        </r>
        <r>
          <rPr>
            <sz val="9"/>
            <color indexed="81"/>
            <rFont val="Tahoma"/>
            <family val="2"/>
          </rPr>
          <t xml:space="preserve">
7500000
7500020
7500080
7500090</t>
        </r>
      </text>
    </comment>
    <comment ref="AU38" authorId="2" shapeId="0">
      <text>
        <r>
          <rPr>
            <b/>
            <sz val="9"/>
            <color indexed="81"/>
            <rFont val="Tahoma"/>
            <family val="2"/>
          </rPr>
          <t>Valdes, Amnerys:</t>
        </r>
        <r>
          <rPr>
            <sz val="9"/>
            <color indexed="81"/>
            <rFont val="Tahoma"/>
            <family val="2"/>
          </rPr>
          <t xml:space="preserve">
7500000
7500020
7500080
7500090</t>
        </r>
      </text>
    </comment>
    <comment ref="AV38" authorId="2" shapeId="0">
      <text>
        <r>
          <rPr>
            <b/>
            <sz val="9"/>
            <color indexed="81"/>
            <rFont val="Tahoma"/>
            <family val="2"/>
          </rPr>
          <t>Valdes, Amnerys:</t>
        </r>
        <r>
          <rPr>
            <sz val="9"/>
            <color indexed="81"/>
            <rFont val="Tahoma"/>
            <family val="2"/>
          </rPr>
          <t xml:space="preserve">
7500000
7500020
7500080
7500090</t>
        </r>
      </text>
    </comment>
    <comment ref="AW38" authorId="2" shapeId="0">
      <text>
        <r>
          <rPr>
            <b/>
            <sz val="9"/>
            <color indexed="81"/>
            <rFont val="Tahoma"/>
            <family val="2"/>
          </rPr>
          <t>Valdes, Amnerys:</t>
        </r>
        <r>
          <rPr>
            <sz val="9"/>
            <color indexed="81"/>
            <rFont val="Tahoma"/>
            <family val="2"/>
          </rPr>
          <t xml:space="preserve">
7500000
7500020
7500080
7500090</t>
        </r>
      </text>
    </comment>
    <comment ref="AX38" authorId="2" shapeId="0">
      <text>
        <r>
          <rPr>
            <b/>
            <sz val="9"/>
            <color indexed="81"/>
            <rFont val="Tahoma"/>
            <family val="2"/>
          </rPr>
          <t>Valdes, Amnerys:</t>
        </r>
        <r>
          <rPr>
            <sz val="9"/>
            <color indexed="81"/>
            <rFont val="Tahoma"/>
            <family val="2"/>
          </rPr>
          <t xml:space="preserve">
7500000
7500020
7500080
7500090</t>
        </r>
      </text>
    </comment>
    <comment ref="AY38" authorId="2" shapeId="0">
      <text>
        <r>
          <rPr>
            <b/>
            <sz val="9"/>
            <color indexed="81"/>
            <rFont val="Tahoma"/>
            <family val="2"/>
          </rPr>
          <t>Valdes, Amnerys:</t>
        </r>
        <r>
          <rPr>
            <sz val="9"/>
            <color indexed="81"/>
            <rFont val="Tahoma"/>
            <family val="2"/>
          </rPr>
          <t xml:space="preserve">
7500000
7500020
7500080
7500090</t>
        </r>
      </text>
    </comment>
    <comment ref="AZ38" authorId="2" shapeId="0">
      <text>
        <r>
          <rPr>
            <b/>
            <sz val="9"/>
            <color indexed="81"/>
            <rFont val="Tahoma"/>
            <family val="2"/>
          </rPr>
          <t>Valdes, Amnerys:</t>
        </r>
        <r>
          <rPr>
            <sz val="9"/>
            <color indexed="81"/>
            <rFont val="Tahoma"/>
            <family val="2"/>
          </rPr>
          <t xml:space="preserve">
7500000
7500020
7500080
7500090</t>
        </r>
      </text>
    </comment>
    <comment ref="BA38" authorId="2" shapeId="0">
      <text>
        <r>
          <rPr>
            <b/>
            <sz val="9"/>
            <color indexed="81"/>
            <rFont val="Tahoma"/>
            <family val="2"/>
          </rPr>
          <t>Valdes, Amnerys:</t>
        </r>
        <r>
          <rPr>
            <sz val="9"/>
            <color indexed="81"/>
            <rFont val="Tahoma"/>
            <family val="2"/>
          </rPr>
          <t xml:space="preserve">
7500000
7500020
7500080
7500090</t>
        </r>
      </text>
    </comment>
    <comment ref="BB38" authorId="2" shapeId="0">
      <text>
        <r>
          <rPr>
            <b/>
            <sz val="9"/>
            <color indexed="81"/>
            <rFont val="Tahoma"/>
            <family val="2"/>
          </rPr>
          <t>Valdes, Amnerys:</t>
        </r>
        <r>
          <rPr>
            <sz val="9"/>
            <color indexed="81"/>
            <rFont val="Tahoma"/>
            <family val="2"/>
          </rPr>
          <t xml:space="preserve">
7500000
7500020
7500080
7500090</t>
        </r>
      </text>
    </comment>
    <comment ref="BC38" authorId="2" shapeId="0">
      <text>
        <r>
          <rPr>
            <b/>
            <sz val="9"/>
            <color indexed="81"/>
            <rFont val="Tahoma"/>
            <family val="2"/>
          </rPr>
          <t>Valdes, Amnerys:</t>
        </r>
        <r>
          <rPr>
            <sz val="9"/>
            <color indexed="81"/>
            <rFont val="Tahoma"/>
            <family val="2"/>
          </rPr>
          <t xml:space="preserve">
7500000
7500020
7500080
7500090</t>
        </r>
      </text>
    </comment>
    <comment ref="BD38" authorId="2" shapeId="0">
      <text>
        <r>
          <rPr>
            <b/>
            <sz val="9"/>
            <color indexed="81"/>
            <rFont val="Tahoma"/>
            <family val="2"/>
          </rPr>
          <t>Valdes, Amnerys:</t>
        </r>
        <r>
          <rPr>
            <sz val="9"/>
            <color indexed="81"/>
            <rFont val="Tahoma"/>
            <family val="2"/>
          </rPr>
          <t xml:space="preserve">
7500000
7500020
7500080
7500090</t>
        </r>
      </text>
    </comment>
    <comment ref="BE38" authorId="2" shapeId="0">
      <text>
        <r>
          <rPr>
            <b/>
            <sz val="9"/>
            <color indexed="81"/>
            <rFont val="Tahoma"/>
            <family val="2"/>
          </rPr>
          <t>Valdes, Amnerys:</t>
        </r>
        <r>
          <rPr>
            <sz val="9"/>
            <color indexed="81"/>
            <rFont val="Tahoma"/>
            <family val="2"/>
          </rPr>
          <t xml:space="preserve">
7500000
7500020
7500080
7500090</t>
        </r>
      </text>
    </comment>
    <comment ref="BF38" authorId="2" shapeId="0">
      <text>
        <r>
          <rPr>
            <b/>
            <sz val="9"/>
            <color indexed="81"/>
            <rFont val="Tahoma"/>
            <family val="2"/>
          </rPr>
          <t>Valdes, Amnerys:</t>
        </r>
        <r>
          <rPr>
            <sz val="9"/>
            <color indexed="81"/>
            <rFont val="Tahoma"/>
            <family val="2"/>
          </rPr>
          <t xml:space="preserve">
7500000
7500020
7500080
7500090</t>
        </r>
      </text>
    </comment>
    <comment ref="BG38" authorId="2" shapeId="0">
      <text>
        <r>
          <rPr>
            <b/>
            <sz val="9"/>
            <color indexed="81"/>
            <rFont val="Tahoma"/>
            <family val="2"/>
          </rPr>
          <t>Valdes, Amnerys:</t>
        </r>
        <r>
          <rPr>
            <sz val="9"/>
            <color indexed="81"/>
            <rFont val="Tahoma"/>
            <family val="2"/>
          </rPr>
          <t xml:space="preserve">
7500000
7500020
7500080
7500090</t>
        </r>
      </text>
    </comment>
    <comment ref="DN41" authorId="0" shapeId="0">
      <text>
        <r>
          <rPr>
            <b/>
            <sz val="9"/>
            <color indexed="81"/>
            <rFont val="Tahoma"/>
            <family val="2"/>
          </rPr>
          <t>Ascroft, Sean M.:</t>
        </r>
        <r>
          <rPr>
            <sz val="9"/>
            <color indexed="81"/>
            <rFont val="Tahoma"/>
            <family val="2"/>
          </rPr>
          <t xml:space="preserve">
Regular int exp hitting (7500020/7500080) was journaled to the incorrect order, which derived it to FERC 930.2. It should be hitting FERC 431. Manual reclass to the IS in May and will be fixed in the system in June.</t>
        </r>
      </text>
    </comment>
    <comment ref="DE42" authorId="0" shapeId="0">
      <text>
        <r>
          <rPr>
            <b/>
            <sz val="9"/>
            <color indexed="81"/>
            <rFont val="Tahoma"/>
            <family val="2"/>
          </rPr>
          <t>Ascroft, Sean M.:</t>
        </r>
        <r>
          <rPr>
            <sz val="9"/>
            <color indexed="81"/>
            <rFont val="Tahoma"/>
            <family val="2"/>
          </rPr>
          <t xml:space="preserve">
Diff in Aug due to FERC AFUDC accounts going to O&amp;M and not updated to BTL (correct in model). Can't re-run Aug FERC. Fixed in October (correct in model)</t>
        </r>
      </text>
    </comment>
    <comment ref="DG42" authorId="0" shapeId="0">
      <text>
        <r>
          <rPr>
            <b/>
            <sz val="9"/>
            <color indexed="81"/>
            <rFont val="Tahoma"/>
            <family val="2"/>
          </rPr>
          <t>Ascroft, Sean M.:</t>
        </r>
        <r>
          <rPr>
            <sz val="9"/>
            <color indexed="81"/>
            <rFont val="Tahoma"/>
            <family val="2"/>
          </rPr>
          <t xml:space="preserve">
Diff in Aug due to FERC AFUDC accounts going to O&amp;M and not updated to BTL (correct in model). Can't re-run Aug FERC. Fixed in October (correct in model)</t>
        </r>
      </text>
    </comment>
    <comment ref="AV46" authorId="2" shapeId="0">
      <text>
        <r>
          <rPr>
            <b/>
            <sz val="9"/>
            <color indexed="81"/>
            <rFont val="Tahoma"/>
            <family val="2"/>
          </rPr>
          <t>Valdes, Amnerys:</t>
        </r>
        <r>
          <rPr>
            <sz val="9"/>
            <color indexed="81"/>
            <rFont val="Tahoma"/>
            <family val="2"/>
          </rPr>
          <t xml:space="preserve">
Ferc 587000 reclassed in Aug 14.  should have never occurred.</t>
        </r>
      </text>
    </comment>
    <comment ref="AW46" authorId="2" shapeId="0">
      <text>
        <r>
          <rPr>
            <b/>
            <sz val="9"/>
            <color indexed="81"/>
            <rFont val="Tahoma"/>
            <family val="2"/>
          </rPr>
          <t>Valdes, Amnerys:</t>
        </r>
        <r>
          <rPr>
            <sz val="9"/>
            <color indexed="81"/>
            <rFont val="Tahoma"/>
            <family val="2"/>
          </rPr>
          <t xml:space="preserve">
Ferc 587000 reclassed in Aug 14.  should have never occurred.</t>
        </r>
      </text>
    </comment>
    <comment ref="BG51" authorId="0" shapeId="0">
      <text>
        <r>
          <rPr>
            <b/>
            <sz val="9"/>
            <color indexed="81"/>
            <rFont val="Tahoma"/>
            <family val="2"/>
          </rPr>
          <t>Ascroft, Sean M.:</t>
        </r>
        <r>
          <rPr>
            <sz val="9"/>
            <color indexed="81"/>
            <rFont val="Tahoma"/>
            <family val="2"/>
          </rPr>
          <t xml:space="preserve">
Insert from NI Ferc SAP</t>
        </r>
      </text>
    </comment>
    <comment ref="EC51" authorId="3" shapeId="0">
      <text>
        <r>
          <rPr>
            <b/>
            <sz val="9"/>
            <color indexed="81"/>
            <rFont val="Tahoma"/>
            <family val="2"/>
          </rPr>
          <t>Dowley, Thomas J.:</t>
        </r>
        <r>
          <rPr>
            <sz val="9"/>
            <color indexed="81"/>
            <rFont val="Tahoma"/>
            <family val="2"/>
          </rPr>
          <t xml:space="preserve">
Dividends were paid in aug 2021 so had to net 8999998 and 8999999 in FERD</t>
        </r>
      </text>
    </comment>
    <comment ref="EF51" authorId="4" shapeId="0">
      <text>
        <r>
          <rPr>
            <b/>
            <sz val="9"/>
            <color indexed="81"/>
            <rFont val="Tahoma"/>
            <family val="2"/>
          </rPr>
          <t>Elliott, Matthew E.:</t>
        </r>
        <r>
          <rPr>
            <sz val="9"/>
            <color indexed="81"/>
            <rFont val="Tahoma"/>
            <family val="2"/>
          </rPr>
          <t xml:space="preserve">
Due to payment of Dividends, so had to net 8999998 and 8999999 in FERD</t>
        </r>
      </text>
    </comment>
  </commentList>
</comments>
</file>

<file path=xl/comments6.xml><?xml version="1.0" encoding="utf-8"?>
<comments xmlns="http://schemas.openxmlformats.org/spreadsheetml/2006/main">
  <authors>
    <author>Paul Higgins</author>
  </authors>
  <commentList>
    <comment ref="E25" authorId="0" shapeId="0">
      <text>
        <r>
          <rPr>
            <b/>
            <sz val="8"/>
            <color indexed="81"/>
            <rFont val="Tahoma"/>
            <family val="2"/>
          </rPr>
          <t>Paul Higgins:</t>
        </r>
        <r>
          <rPr>
            <sz val="8"/>
            <color indexed="81"/>
            <rFont val="Tahoma"/>
            <family val="2"/>
          </rPr>
          <t xml:space="preserve">
Tied to income statement input section</t>
        </r>
      </text>
    </comment>
    <comment ref="E58" authorId="0" shapeId="0">
      <text>
        <r>
          <rPr>
            <b/>
            <sz val="8"/>
            <color indexed="81"/>
            <rFont val="Tahoma"/>
            <family val="2"/>
          </rPr>
          <t>Paul Higgins:</t>
        </r>
        <r>
          <rPr>
            <sz val="8"/>
            <color indexed="81"/>
            <rFont val="Tahoma"/>
            <family val="2"/>
          </rPr>
          <t xml:space="preserve">
Tied to income statement input section</t>
        </r>
      </text>
    </comment>
  </commentList>
</comments>
</file>

<file path=xl/comments7.xml><?xml version="1.0" encoding="utf-8"?>
<comments xmlns="http://schemas.openxmlformats.org/spreadsheetml/2006/main">
  <authors>
    <author>A satisfied Microsoft Office User</author>
    <author>Hoyos, Nichole</author>
    <author>Paul Higgins</author>
    <author>Ascroft, Sean M.</author>
    <author>Dowley, Thomas J.</author>
  </authors>
  <commentList>
    <comment ref="D72" authorId="0" shapeId="0">
      <text>
        <r>
          <rPr>
            <sz val="8"/>
            <color indexed="81"/>
            <rFont val="Tahoma"/>
            <family val="2"/>
          </rPr>
          <t xml:space="preserve">Change reference each month to one row lower; 
</t>
        </r>
      </text>
    </comment>
    <comment ref="F72" authorId="0" shapeId="0">
      <text>
        <r>
          <rPr>
            <sz val="8"/>
            <color indexed="81"/>
            <rFont val="Tahoma"/>
            <family val="2"/>
          </rPr>
          <t xml:space="preserve">Change reference each month to one row lower; 
</t>
        </r>
      </text>
    </comment>
    <comment ref="A74" authorId="1" shapeId="0">
      <text>
        <r>
          <rPr>
            <b/>
            <sz val="9"/>
            <color indexed="81"/>
            <rFont val="Tahoma"/>
            <family val="2"/>
          </rPr>
          <t xml:space="preserve">Hoyos, Nichole:
</t>
        </r>
        <r>
          <rPr>
            <sz val="9"/>
            <color indexed="81"/>
            <rFont val="Tahoma"/>
            <family val="2"/>
          </rPr>
          <t xml:space="preserve">Pulling from CM CIBSR Over-Under Calculation File in the Files from Other Folder. </t>
        </r>
      </text>
    </comment>
    <comment ref="F114" authorId="2" shapeId="0">
      <text>
        <r>
          <rPr>
            <b/>
            <sz val="8"/>
            <color indexed="81"/>
            <rFont val="Tahoma"/>
            <family val="2"/>
          </rPr>
          <t>Amnerys Valdes:</t>
        </r>
        <r>
          <rPr>
            <sz val="8"/>
            <color indexed="81"/>
            <rFont val="Tahoma"/>
            <family val="2"/>
          </rPr>
          <t xml:space="preserve">
Per Rate Order (2002), item no. S; Acc 930.05 x 5% disallowance per FAC 25-7.042
</t>
        </r>
        <r>
          <rPr>
            <b/>
            <sz val="8"/>
            <color indexed="10"/>
            <rFont val="Tahoma"/>
            <family val="2"/>
          </rPr>
          <t>Amnerys Valdes:</t>
        </r>
        <r>
          <rPr>
            <sz val="8"/>
            <color indexed="10"/>
            <rFont val="Tahoma"/>
            <family val="2"/>
          </rPr>
          <t xml:space="preserve">
UPDATED FOR DEC 2013</t>
        </r>
      </text>
    </comment>
    <comment ref="F115" authorId="2" shapeId="0">
      <text>
        <r>
          <rPr>
            <b/>
            <sz val="8"/>
            <color indexed="81"/>
            <rFont val="Tahoma"/>
            <family val="2"/>
          </rPr>
          <t>Amnerys Valdes:</t>
        </r>
        <r>
          <rPr>
            <sz val="8"/>
            <color indexed="81"/>
            <rFont val="Tahoma"/>
            <family val="2"/>
          </rPr>
          <t xml:space="preserve">
Based on Rate Case Order (item no. V.R); 
Amount comes from Maria Quiñones  Acc 926.01 Analysis report
</t>
        </r>
        <r>
          <rPr>
            <b/>
            <sz val="8"/>
            <color indexed="10"/>
            <rFont val="Tahoma"/>
            <family val="2"/>
          </rPr>
          <t xml:space="preserve">Connie Coe:
</t>
        </r>
        <r>
          <rPr>
            <sz val="8"/>
            <color indexed="10"/>
            <rFont val="Tahoma"/>
            <family val="2"/>
          </rPr>
          <t xml:space="preserve">Updated for DEC 2013
</t>
        </r>
      </text>
    </comment>
    <comment ref="F117" authorId="2" shapeId="0">
      <text>
        <r>
          <rPr>
            <b/>
            <sz val="8"/>
            <color indexed="81"/>
            <rFont val="Tahoma"/>
            <family val="2"/>
          </rPr>
          <t>Amnerys Valdes:</t>
        </r>
        <r>
          <rPr>
            <sz val="8"/>
            <color indexed="81"/>
            <rFont val="Tahoma"/>
            <family val="2"/>
          </rPr>
          <t xml:space="preserve">
Per Rate Order, item no. V.K; updated for 2011 with 2011 Actuals  (acct 932 x 13.28%).  Sue used 13.28% in 2009 &amp; 2010. 
</t>
        </r>
        <r>
          <rPr>
            <b/>
            <sz val="8"/>
            <color indexed="10"/>
            <rFont val="Tahoma"/>
            <family val="2"/>
          </rPr>
          <t>Updated DEC 2013</t>
        </r>
      </text>
    </comment>
    <comment ref="F118" authorId="2" shapeId="0">
      <text>
        <r>
          <rPr>
            <b/>
            <sz val="8"/>
            <color indexed="81"/>
            <rFont val="Tahoma"/>
            <family val="2"/>
          </rPr>
          <t>Sue Richards:</t>
        </r>
        <r>
          <rPr>
            <sz val="8"/>
            <color indexed="81"/>
            <rFont val="Tahoma"/>
            <family val="2"/>
          </rPr>
          <t xml:space="preserve">
Per Rate Order, item no. V.K; updated for 2010 with 2010 actuals (acct 886) updated 01/05/11
Use 3.1% of 886 per last rate case</t>
        </r>
      </text>
    </comment>
    <comment ref="H119" authorId="0" shapeId="0">
      <text>
        <r>
          <rPr>
            <sz val="8"/>
            <color indexed="81"/>
            <rFont val="Tahoma"/>
            <family val="2"/>
          </rPr>
          <t>This is related to the WFNG non-regulated asset adjustment and needs to stay in. Amount Stays</t>
        </r>
      </text>
    </comment>
    <comment ref="B121" authorId="3" shapeId="0">
      <text>
        <r>
          <rPr>
            <b/>
            <sz val="9"/>
            <color indexed="81"/>
            <rFont val="Tahoma"/>
            <family val="2"/>
          </rPr>
          <t>Ascroft, Sean M.:</t>
        </r>
        <r>
          <rPr>
            <sz val="9"/>
            <color indexed="81"/>
            <rFont val="Tahoma"/>
            <family val="2"/>
          </rPr>
          <t xml:space="preserve">
Lease payment typically received annually in May</t>
        </r>
      </text>
    </comment>
    <comment ref="J171" authorId="4" shapeId="0">
      <text>
        <r>
          <rPr>
            <b/>
            <sz val="9"/>
            <color indexed="81"/>
            <rFont val="Tahoma"/>
            <family val="2"/>
          </rPr>
          <t>Dowley, Thomas J.:</t>
        </r>
        <r>
          <rPr>
            <sz val="9"/>
            <color indexed="81"/>
            <rFont val="Tahoma"/>
            <family val="2"/>
          </rPr>
          <t xml:space="preserve">
If not 100% after update, add or subtract 0.001 on cell J162 (short term debt) to make it 100.00%
</t>
        </r>
      </text>
    </comment>
  </commentList>
</comments>
</file>

<file path=xl/comments8.xml><?xml version="1.0" encoding="utf-8"?>
<comments xmlns="http://schemas.openxmlformats.org/spreadsheetml/2006/main">
  <authors>
    <author>Valdes, Amnerys</author>
  </authors>
  <commentList>
    <comment ref="K32" authorId="0" shapeId="0">
      <text>
        <r>
          <rPr>
            <b/>
            <sz val="9"/>
            <color indexed="81"/>
            <rFont val="Tahoma"/>
            <family val="2"/>
          </rPr>
          <t>Valdes, Amnerys:</t>
        </r>
        <r>
          <rPr>
            <sz val="9"/>
            <color indexed="81"/>
            <rFont val="Tahoma"/>
            <family val="2"/>
          </rPr>
          <t xml:space="preserve">
No need to make reclass going forward per Jeff.
01/20/15</t>
        </r>
      </text>
    </comment>
  </commentList>
</comments>
</file>

<file path=xl/comments9.xml><?xml version="1.0" encoding="utf-8"?>
<comments xmlns="http://schemas.openxmlformats.org/spreadsheetml/2006/main">
  <authors>
    <author>Anthony Trask x34282</author>
    <author>Ascroft, Sean M.</author>
    <author>Nancy Grove X31766</author>
  </authors>
  <commentList>
    <comment ref="H9" authorId="0" shapeId="0">
      <text>
        <r>
          <rPr>
            <b/>
            <sz val="12"/>
            <color indexed="81"/>
            <rFont val="Tahoma"/>
            <family val="2"/>
          </rPr>
          <t xml:space="preserve">Anthony Trask x34282:
</t>
        </r>
        <r>
          <rPr>
            <sz val="12"/>
            <color indexed="81"/>
            <rFont val="Tahoma"/>
            <family val="2"/>
          </rPr>
          <t>Plug to eliminate variance</t>
        </r>
      </text>
    </comment>
    <comment ref="H1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9" authorId="0" shapeId="0">
      <text>
        <r>
          <rPr>
            <b/>
            <sz val="12"/>
            <color indexed="81"/>
            <rFont val="Tahoma"/>
            <family val="2"/>
          </rPr>
          <t xml:space="preserve">Anthony Trask x34282:
</t>
        </r>
        <r>
          <rPr>
            <sz val="12"/>
            <color indexed="81"/>
            <rFont val="Tahoma"/>
            <family val="2"/>
          </rPr>
          <t>Plug to eliminate variance</t>
        </r>
      </text>
    </comment>
    <comment ref="H22"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come back to the ROE difference.</t>
        </r>
      </text>
    </comment>
    <comment ref="H2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D37" authorId="1" shapeId="0">
      <text>
        <r>
          <rPr>
            <b/>
            <sz val="9"/>
            <color indexed="81"/>
            <rFont val="Tahoma"/>
            <family val="2"/>
          </rPr>
          <t>Ascroft, Sean M.:</t>
        </r>
        <r>
          <rPr>
            <sz val="9"/>
            <color indexed="81"/>
            <rFont val="Tahoma"/>
            <family val="2"/>
          </rPr>
          <t xml:space="preserve">
add channelside gain (535k per qtr)</t>
        </r>
      </text>
    </comment>
    <comment ref="H3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7" authorId="2" shapeId="0">
      <text>
        <r>
          <rPr>
            <sz val="8"/>
            <color indexed="81"/>
            <rFont val="Tahoma"/>
            <family val="2"/>
          </rPr>
          <t xml:space="preserve">=difference between reg base system and reg base retail of NOI (column 11)
</t>
        </r>
      </text>
    </comment>
    <comment ref="A57" authorId="2"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<sst xmlns="http://schemas.openxmlformats.org/spreadsheetml/2006/main" count="5039" uniqueCount="2939">
  <si>
    <t>NET OPERATING INCOME</t>
  </si>
  <si>
    <t>TOTAL</t>
  </si>
  <si>
    <t>FLEX RATE REVENUES</t>
  </si>
  <si>
    <t>AVERAGE</t>
  </si>
  <si>
    <t>CWIP</t>
  </si>
  <si>
    <t>SINKING FUNDS</t>
  </si>
  <si>
    <t>NOTES RECEIVABLE</t>
  </si>
  <si>
    <t xml:space="preserve"> </t>
  </si>
  <si>
    <t xml:space="preserve">  LONG TERM DEBT</t>
  </si>
  <si>
    <t>ACCOUNTS PAY. ASSOC. CO.</t>
  </si>
  <si>
    <t>TAXES ACCRUED-GENERAL</t>
  </si>
  <si>
    <t>TAXES ACCRUED-INCOME</t>
  </si>
  <si>
    <t>INTEREST ACCRUED</t>
  </si>
  <si>
    <t>DIVIDENDS DECLARED</t>
  </si>
  <si>
    <t>TAX COLLECTIONS PAYABLE</t>
  </si>
  <si>
    <t>CONSERVATION COST TRUE-UP</t>
  </si>
  <si>
    <t>MISC. CURRENT LIABILITIES</t>
  </si>
  <si>
    <t>CUSTOMER DEPOSITS</t>
  </si>
  <si>
    <t>OTHER DEFERRED CREDITS</t>
  </si>
  <si>
    <t>WORKING CAPITAL WORKSHEET</t>
  </si>
  <si>
    <t xml:space="preserve">       FOR THE MONTH OF:</t>
  </si>
  <si>
    <t>YEAR END</t>
  </si>
  <si>
    <t>DESCRIPTION</t>
  </si>
  <si>
    <t>ASSETS</t>
  </si>
  <si>
    <t>LIABILITIES</t>
  </si>
  <si>
    <t xml:space="preserve">   SINKING FUNDS</t>
  </si>
  <si>
    <t xml:space="preserve">   OTHER INVESTMENTS</t>
  </si>
  <si>
    <t xml:space="preserve">   CASH</t>
  </si>
  <si>
    <t xml:space="preserve">   SPECIAL DEPOSITS</t>
  </si>
  <si>
    <t xml:space="preserve">   WORKING FUNDS</t>
  </si>
  <si>
    <t xml:space="preserve">   TEMP. CASH INVESTMENTS</t>
  </si>
  <si>
    <t xml:space="preserve">   NOTES RECEIVABLE</t>
  </si>
  <si>
    <t xml:space="preserve">   CUST. ACCOUNTS REC.-GAS</t>
  </si>
  <si>
    <t xml:space="preserve">   MDSE, JOBBING &amp; OTHER</t>
  </si>
  <si>
    <t xml:space="preserve">   ACCUM. PROV. UNCOLLECT. ACCTS.</t>
  </si>
  <si>
    <t xml:space="preserve">   RECEIVABLE ACCOC. COMPANIES</t>
  </si>
  <si>
    <t xml:space="preserve">   REC.- ASSOC. CO. - SERVICES</t>
  </si>
  <si>
    <t xml:space="preserve">   PLANT &amp; OPER.MATERIAL &amp; SUPPL.</t>
  </si>
  <si>
    <t xml:space="preserve">   MERCHANDISE</t>
  </si>
  <si>
    <t xml:space="preserve">   STORES EXPENSE</t>
  </si>
  <si>
    <t xml:space="preserve">   PREPAYMENTS</t>
  </si>
  <si>
    <t xml:space="preserve">   UNBILLED REVENUE &amp; MISC.</t>
  </si>
  <si>
    <t xml:space="preserve">   DERIVATIVE</t>
  </si>
  <si>
    <t xml:space="preserve">   UNAMORT DD &amp; E</t>
  </si>
  <si>
    <t xml:space="preserve">   CLEARING ACCTS.</t>
  </si>
  <si>
    <t xml:space="preserve">   OTHER WIP</t>
  </si>
  <si>
    <t xml:space="preserve">   UNBUNDLING TRANSITION CHARGES</t>
  </si>
  <si>
    <t xml:space="preserve">   UNAMORTIZED RATE CASE EXP.</t>
  </si>
  <si>
    <t xml:space="preserve">   UNRECOVERED GAS COSTS</t>
  </si>
  <si>
    <t xml:space="preserve">     AVERAGE WORKING CAPITAL</t>
  </si>
  <si>
    <t xml:space="preserve">     YEAR-END WORKING CAPITAL</t>
  </si>
  <si>
    <t>INTEREST SYNCHRONIZATION</t>
  </si>
  <si>
    <t xml:space="preserve"> WORKSHEET</t>
  </si>
  <si>
    <t>CALCULATED INTEREST BASED ON</t>
  </si>
  <si>
    <t>AVERAGE CAPITAL STRUCTURE:</t>
  </si>
  <si>
    <t xml:space="preserve">   LONG TERM DEBT</t>
  </si>
  <si>
    <t xml:space="preserve">   </t>
  </si>
  <si>
    <t xml:space="preserve">   SHORT TERM DEBT</t>
  </si>
  <si>
    <t xml:space="preserve">          TOTAL</t>
  </si>
  <si>
    <t xml:space="preserve">  *ACTUAL INTEREST</t>
  </si>
  <si>
    <t>RECONCILIATION OF RATE BASE TO CAPITAL STRUCTURE</t>
  </si>
  <si>
    <t>ADJUSTMENTS</t>
  </si>
  <si>
    <t>L.T.DEBT</t>
  </si>
  <si>
    <t>S.T.DEBT</t>
  </si>
  <si>
    <t>DEPOSITS</t>
  </si>
  <si>
    <t>EQUITY</t>
  </si>
  <si>
    <t>DEF. TAX</t>
  </si>
  <si>
    <t>TAX CREDITS</t>
  </si>
  <si>
    <t>PRORATA</t>
  </si>
  <si>
    <t>NET</t>
  </si>
  <si>
    <t>RECONCILING ITEMS:</t>
  </si>
  <si>
    <t>INVESTMENT IN SUBSIDIARIES</t>
  </si>
  <si>
    <t>NON-UTILITY PROPERTY</t>
  </si>
  <si>
    <t>TEMPORARY CASH INVESTMENTS</t>
  </si>
  <si>
    <t>OTHER ACCTS. REC.</t>
  </si>
  <si>
    <t>PROV. FOR UNCOLLECT. ACCTS. - MDSE.</t>
  </si>
  <si>
    <t>ACCTS REC. - ASSOCIATED COMPANY</t>
  </si>
  <si>
    <t>REMOVE ENVIRONMENTAL WIP</t>
  </si>
  <si>
    <t>UNAMORTIZED D.D.&amp;E.</t>
  </si>
  <si>
    <t>UNAMORTIZED RATE CASE EXPENSE</t>
  </si>
  <si>
    <t>UNRECOVERED GAS COSTS</t>
  </si>
  <si>
    <t>COMPETITIVE RATE ADJUSTMENT</t>
  </si>
  <si>
    <t>ACCTS. PAY - ASSOCIATED COMPANY</t>
  </si>
  <si>
    <t>CONSERVATION TRUE-UP</t>
  </si>
  <si>
    <t>PROPERTY HELD FOR FUTURE USE</t>
  </si>
  <si>
    <t xml:space="preserve">PLUGGED </t>
  </si>
  <si>
    <t>NON-UTILITY ADJUSTMENTS TO RATE BASE</t>
  </si>
  <si>
    <t xml:space="preserve">DEFERRED </t>
  </si>
  <si>
    <t>CREDITS</t>
  </si>
  <si>
    <t>JOB DEVELOPMENT CREDITS</t>
  </si>
  <si>
    <t>TOTAL RECONCILING ITEMS</t>
  </si>
  <si>
    <t>AVERAGE RATE BASE (ADJUSTED)</t>
  </si>
  <si>
    <t>SCHEDULE 1</t>
  </si>
  <si>
    <t>EARNINGS SURVEILLANCE REPORT SUMMARY</t>
  </si>
  <si>
    <t>(1)</t>
  </si>
  <si>
    <t>(2)</t>
  </si>
  <si>
    <t>(3)</t>
  </si>
  <si>
    <t>(4)</t>
  </si>
  <si>
    <t>(5)</t>
  </si>
  <si>
    <t>FPSC</t>
  </si>
  <si>
    <t>PRO FORMA</t>
  </si>
  <si>
    <t>PER BOOKS</t>
  </si>
  <si>
    <t>ADJUSTED</t>
  </si>
  <si>
    <t>I. AVERAGE RATE OF RETURN</t>
  </si>
  <si>
    <t xml:space="preserve">      (JURISDICTIONAL)</t>
  </si>
  <si>
    <t>$</t>
  </si>
  <si>
    <t xml:space="preserve">AVERAGE RATE BASE </t>
  </si>
  <si>
    <t>AVERAGE RATE OF RETURN</t>
  </si>
  <si>
    <t>%</t>
  </si>
  <si>
    <t xml:space="preserve">     AVERAGE CAPITAL STRUCTURE</t>
  </si>
  <si>
    <t xml:space="preserve">       (FPSC ADJUSTED BASIS)</t>
  </si>
  <si>
    <t xml:space="preserve">  LOW</t>
  </si>
  <si>
    <t xml:space="preserve">     A. INCLUDING</t>
  </si>
  <si>
    <t xml:space="preserve">  MIDPOINT</t>
  </si>
  <si>
    <t xml:space="preserve">          FLEX RATE REVENUES</t>
  </si>
  <si>
    <t xml:space="preserve">  HIGH</t>
  </si>
  <si>
    <t xml:space="preserve">     B. EXCLUDING</t>
  </si>
  <si>
    <t xml:space="preserve">                         I am aware that Section 837.06, Florida Statutes, provides:</t>
  </si>
  <si>
    <t xml:space="preserve">    Whoever knowingly makes a false statement in writing with </t>
  </si>
  <si>
    <t>official duty shall be guilty of a misdemeanor of the second degree</t>
  </si>
  <si>
    <t xml:space="preserve">            (Signature)</t>
  </si>
  <si>
    <t>(Date)</t>
  </si>
  <si>
    <t>PSC/AFA13</t>
  </si>
  <si>
    <t>SCHEDULE 2</t>
  </si>
  <si>
    <t>(7)</t>
  </si>
  <si>
    <t>(8)</t>
  </si>
  <si>
    <t>(9)</t>
  </si>
  <si>
    <t>(10)</t>
  </si>
  <si>
    <t>(11)</t>
  </si>
  <si>
    <t>FPSC ADJUSTMENTS:</t>
  </si>
  <si>
    <t xml:space="preserve"> Property for Future Use</t>
  </si>
  <si>
    <t xml:space="preserve"> Temporary Cash Investment</t>
  </si>
  <si>
    <t xml:space="preserve"> Notes Receivable</t>
  </si>
  <si>
    <t xml:space="preserve"> Non-Utility Allocation</t>
  </si>
  <si>
    <t xml:space="preserve"> Remove Unrecovered Gas Cost</t>
  </si>
  <si>
    <t xml:space="preserve"> Remove Dividends Declared</t>
  </si>
  <si>
    <t xml:space="preserve"> Remove Unrec. Conservation Costs</t>
  </si>
  <si>
    <t xml:space="preserve"> Remove Competitve Rate Adjustment</t>
  </si>
  <si>
    <t xml:space="preserve"> Remove Acquis. Adjustment (WFNG)</t>
  </si>
  <si>
    <t xml:space="preserve"> Remove Derivative (FAS 133)</t>
  </si>
  <si>
    <t>TOTAL FPSC ADJUSTMENTS</t>
  </si>
  <si>
    <t>FPSC ADJUSTED</t>
  </si>
  <si>
    <t>ADJUSTED FOR</t>
  </si>
  <si>
    <t>PRO FORMA REVENUE INCREASE AND</t>
  </si>
  <si>
    <t xml:space="preserve">  ANNUALIZATION ADJUSTMENTS:</t>
  </si>
  <si>
    <t>TOTAL PRO FORMA ADJUSTMENTS</t>
  </si>
  <si>
    <t>PRO FORMA ADJUSTED</t>
  </si>
  <si>
    <t>(6)</t>
  </si>
  <si>
    <t/>
  </si>
  <si>
    <t>O &amp; M</t>
  </si>
  <si>
    <t xml:space="preserve">  Remove Conservation Charges</t>
  </si>
  <si>
    <t xml:space="preserve">  Non-Utility Allocation</t>
  </si>
  <si>
    <t xml:space="preserve">  Interest Synchronization</t>
  </si>
  <si>
    <t xml:space="preserve">  Remove Fuel Revenues</t>
  </si>
  <si>
    <t xml:space="preserve">  Employee Activities</t>
  </si>
  <si>
    <t xml:space="preserve">  Maintenance of General Plant</t>
  </si>
  <si>
    <t xml:space="preserve">  Maint. of Structures and Improvements</t>
  </si>
  <si>
    <t xml:space="preserve">  Remove  ITC Amortization</t>
  </si>
  <si>
    <t>CURRENT MONTH AMOUNT</t>
  </si>
  <si>
    <t>SCHEDULE 3</t>
  </si>
  <si>
    <t>SCHEDULE 4</t>
  </si>
  <si>
    <t>CAPITAL STRUCTURE</t>
  </si>
  <si>
    <t>FPSC ADJUSTED BASIS</t>
  </si>
  <si>
    <t>LOW POINT</t>
  </si>
  <si>
    <t>MIDPOINT</t>
  </si>
  <si>
    <t>HIGH POINT</t>
  </si>
  <si>
    <t>COST</t>
  </si>
  <si>
    <t>WEIGHTED</t>
  </si>
  <si>
    <t>RATIO</t>
  </si>
  <si>
    <t>RATE</t>
  </si>
  <si>
    <t>SPECIFIC</t>
  </si>
  <si>
    <t>PRO RATA</t>
  </si>
  <si>
    <t xml:space="preserve">ADJUSTED </t>
  </si>
  <si>
    <t>(%)</t>
  </si>
  <si>
    <t>LONG TERM DEBT</t>
  </si>
  <si>
    <t>SHORT TERM DEBT</t>
  </si>
  <si>
    <t>COMMON EQUITY</t>
  </si>
  <si>
    <t>DEFERRED INCOME TAX</t>
  </si>
  <si>
    <t>TAX CREDITS - ZERO COST</t>
  </si>
  <si>
    <t xml:space="preserve">  SCHEDULE 5</t>
  </si>
  <si>
    <t>EARNED RETURN ON COMMON EQUITY</t>
  </si>
  <si>
    <t>A. FPSC ADJUSTED AVERAGE JURISDICTIONAL RETURN ON COMMON EQUITY</t>
  </si>
  <si>
    <t xml:space="preserve">     INCLUDING FLEX RATE REVENUES</t>
  </si>
  <si>
    <t>FPSC ADJUSTED AVERAGE EARNED RATE OF RETURN</t>
  </si>
  <si>
    <t xml:space="preserve">  (Schedule 1)</t>
  </si>
  <si>
    <t>LESS: RECONCILED AVERAGE JURISDICTIONAL</t>
  </si>
  <si>
    <t xml:space="preserve">           WEIGHTED COST RATES FOR:</t>
  </si>
  <si>
    <t>PREFERRED STOCK</t>
  </si>
  <si>
    <t>TAX CREDITS-WEIGHTED COST(MIDPOINT)</t>
  </si>
  <si>
    <t xml:space="preserve">    SUBTOTAL</t>
  </si>
  <si>
    <t>DIVIDED BY RECONCILED COMMON EQUITY RATIO</t>
  </si>
  <si>
    <t>JURISDICTIONAL RETURN ON COMMON EQUITY</t>
  </si>
  <si>
    <t>B. FPSC ADJUSTED AVERAGE JURISDICTIONAL RETURN ON COMMON EQUITY</t>
  </si>
  <si>
    <t xml:space="preserve">     EXCLUDING FLEX RATE REVENUES</t>
  </si>
  <si>
    <t>NET OPERATING REVENUE EXCLUDING FLEX RATE REVENUES</t>
  </si>
  <si>
    <t>(Schedule 2, p. 2 of 2)</t>
  </si>
  <si>
    <t xml:space="preserve">RATE BASE EXCLUDING FLEX RATE REVENUES </t>
  </si>
  <si>
    <t>(Schedule 2, p. 1 of 2)</t>
  </si>
  <si>
    <t>SCHEDULE 5-2</t>
  </si>
  <si>
    <t>PRO FORMA ADJUSTED BASIS</t>
  </si>
  <si>
    <t>A. PRO FORMA ADJUSTED AVERAGE JURISDICTIONAL RETURN ON COMMON EQUITY</t>
  </si>
  <si>
    <t>PRO FORMA ADJUSTED AVERAGE EARNED RATE OF RETURN</t>
  </si>
  <si>
    <t>B. PRO FORMA AVERAGE JURISDICTIONAL RETURN ON COMMON EQUITY</t>
  </si>
  <si>
    <t>Adjusted</t>
  </si>
  <si>
    <t>PEOPLES GAS SYSTEM</t>
  </si>
  <si>
    <t>MONTH OF:</t>
  </si>
  <si>
    <t>Adjustments</t>
  </si>
  <si>
    <t>FOR THE MONTH OF:</t>
  </si>
  <si>
    <t xml:space="preserve">                                PEOPLES GAS SYSTEM</t>
  </si>
  <si>
    <t>ACCOUNTS PAYABLE</t>
  </si>
  <si>
    <t>ACCTS PAY ASSOC CO- SVCS</t>
  </si>
  <si>
    <t>NON-UTILITY CURR. LIABILITY</t>
  </si>
  <si>
    <t>OPERATING RESERVES</t>
  </si>
  <si>
    <t>13 Month</t>
  </si>
  <si>
    <t>Actual</t>
  </si>
  <si>
    <t>Average</t>
  </si>
  <si>
    <t>Assets</t>
  </si>
  <si>
    <t>Utility Plant</t>
  </si>
  <si>
    <t>Gas Plant in Service</t>
  </si>
  <si>
    <t>Plant Held for Future Use</t>
  </si>
  <si>
    <t>Gas Plant Acquisition Adjustment</t>
  </si>
  <si>
    <t>Gross Utility Plant</t>
  </si>
  <si>
    <t>Accum. Depreciation</t>
  </si>
  <si>
    <t>Net Plant</t>
  </si>
  <si>
    <t>Other Investments</t>
  </si>
  <si>
    <t>Sinking Funds</t>
  </si>
  <si>
    <t>Non Utility Property</t>
  </si>
  <si>
    <t>Total Property &amp; Investments</t>
  </si>
  <si>
    <t>Current and Accrued Assets</t>
  </si>
  <si>
    <t>Cash</t>
  </si>
  <si>
    <t>Special Deposits</t>
  </si>
  <si>
    <t>Working Funds</t>
  </si>
  <si>
    <t>Temp. Cash Investments</t>
  </si>
  <si>
    <t>Notes Receivable</t>
  </si>
  <si>
    <t>Customer Accounts Receivable</t>
  </si>
  <si>
    <t>Other Accounts Receivable</t>
  </si>
  <si>
    <t>Accum. Provision Uncoll. Accounts</t>
  </si>
  <si>
    <t>Receivable Assoc. Companies</t>
  </si>
  <si>
    <t>Receivable Assoc. Co. Services</t>
  </si>
  <si>
    <t>Plant &amp; Other Material and Supplies</t>
  </si>
  <si>
    <t>Merchandise</t>
  </si>
  <si>
    <t>Stores Expense</t>
  </si>
  <si>
    <t>Prepayments</t>
  </si>
  <si>
    <t>Accounts Rec. - Unbilled Revenues</t>
  </si>
  <si>
    <t>Derivatives</t>
  </si>
  <si>
    <t>Total Current &amp; Accrued Assets</t>
  </si>
  <si>
    <t>Deferred Charges</t>
  </si>
  <si>
    <t>Unamortized DD&amp;E</t>
  </si>
  <si>
    <t>Deferred Tax Assets</t>
  </si>
  <si>
    <t>Clearing Accounts</t>
  </si>
  <si>
    <t>Other WIP</t>
  </si>
  <si>
    <t>Non-Utility WIP/Unbundling Transition</t>
  </si>
  <si>
    <t>Unamortized Rate Case</t>
  </si>
  <si>
    <t>Unrecovered Gas Costs</t>
  </si>
  <si>
    <t>Total Deferred Charges</t>
  </si>
  <si>
    <t>Total Assets</t>
  </si>
  <si>
    <t>Capitalization &amp; Liabilities</t>
  </si>
  <si>
    <t>Stockholders Equity</t>
  </si>
  <si>
    <t>Common Stock</t>
  </si>
  <si>
    <t>Additional Capital</t>
  </si>
  <si>
    <t>Unappropriated Retained Earnings</t>
  </si>
  <si>
    <t>Other</t>
  </si>
  <si>
    <t>Total Stockholders Equity</t>
  </si>
  <si>
    <t>FM Bonds</t>
  </si>
  <si>
    <t>Long Term Notes</t>
  </si>
  <si>
    <t>Other Long Term Debt</t>
  </si>
  <si>
    <t>Total Long Term Debt</t>
  </si>
  <si>
    <t>Total Capitalization</t>
  </si>
  <si>
    <t>Current &amp; Accrued Liabilities</t>
  </si>
  <si>
    <t>Notes Payable</t>
  </si>
  <si>
    <t>Accounts Payable</t>
  </si>
  <si>
    <t>Accounts Payable Assoc. Companies</t>
  </si>
  <si>
    <t>Accts. Payable Assoc. Co. Services</t>
  </si>
  <si>
    <t>Customer Deposits - Current</t>
  </si>
  <si>
    <t>Taxes Accrued - General</t>
  </si>
  <si>
    <t>Taxes Accrued - Income</t>
  </si>
  <si>
    <t>Interest Accrued</t>
  </si>
  <si>
    <t>Dividends Declared</t>
  </si>
  <si>
    <t>Tax Collections Payable</t>
  </si>
  <si>
    <t>Inactive Deposits</t>
  </si>
  <si>
    <t>Conservation Cost True Up</t>
  </si>
  <si>
    <t>Non-Utility Accrued Liability</t>
  </si>
  <si>
    <t>Misc. Current Liabilities</t>
  </si>
  <si>
    <t>Total Current &amp; Accrued Liabilities</t>
  </si>
  <si>
    <t>Deferred Credits</t>
  </si>
  <si>
    <t>Accumulated Deferred Income Tax</t>
  </si>
  <si>
    <t>Def. Inv. Tax Credit</t>
  </si>
  <si>
    <t>Customer Advances for Constr.</t>
  </si>
  <si>
    <t>Customer Deposits</t>
  </si>
  <si>
    <t>Other Deferred Credits</t>
  </si>
  <si>
    <t>Total Deferred Credits</t>
  </si>
  <si>
    <t>Operating Reserves</t>
  </si>
  <si>
    <t>Pensions &amp; Benefits Reserve</t>
  </si>
  <si>
    <t>Other Reserves</t>
  </si>
  <si>
    <t>Total Operating Reserves</t>
  </si>
  <si>
    <t>Total Capital &amp; Liabilities</t>
  </si>
  <si>
    <t>MAY</t>
  </si>
  <si>
    <t>Dec 2001</t>
  </si>
  <si>
    <t>ACQ.</t>
  </si>
  <si>
    <t>13 MO.</t>
  </si>
  <si>
    <t>NON-REG</t>
  </si>
  <si>
    <t>ADJ</t>
  </si>
  <si>
    <t>AVG.</t>
  </si>
  <si>
    <t>ACC DEP</t>
  </si>
  <si>
    <t>($6,637.10 AMORT. PER MO.)</t>
  </si>
  <si>
    <t>Account</t>
  </si>
  <si>
    <t>Amount</t>
  </si>
  <si>
    <t>Cost Rate</t>
  </si>
  <si>
    <t>Calculated</t>
  </si>
  <si>
    <t>Interest</t>
  </si>
  <si>
    <t xml:space="preserve">    DIFFERENCE</t>
  </si>
  <si>
    <t xml:space="preserve">    TAX EFFECT ON DIFFERENCE</t>
  </si>
  <si>
    <t>Jan 2002</t>
  </si>
  <si>
    <t>Feb 2002</t>
  </si>
  <si>
    <t>Mar 2002</t>
  </si>
  <si>
    <t>Apr 2002</t>
  </si>
  <si>
    <t>May 2002</t>
  </si>
  <si>
    <t>Jun 2002</t>
  </si>
  <si>
    <t>Jul 2002</t>
  </si>
  <si>
    <t>Aug 2002</t>
  </si>
  <si>
    <t>Sep 2002</t>
  </si>
  <si>
    <t>Oct 2002</t>
  </si>
  <si>
    <t>Nov 2002</t>
  </si>
  <si>
    <t>Dec 2002</t>
  </si>
  <si>
    <t>check amt from "Report" tab</t>
  </si>
  <si>
    <t>difference</t>
  </si>
  <si>
    <t>Per Books</t>
  </si>
  <si>
    <t>Pro Forma</t>
  </si>
  <si>
    <t>Accumulated</t>
  </si>
  <si>
    <t>Depreciation &amp;</t>
  </si>
  <si>
    <t>Amortization</t>
  </si>
  <si>
    <t>Plant in</t>
  </si>
  <si>
    <t>Service</t>
  </si>
  <si>
    <t>Plant</t>
  </si>
  <si>
    <t>Acquisition</t>
  </si>
  <si>
    <t>Adjustment</t>
  </si>
  <si>
    <t>Advances for</t>
  </si>
  <si>
    <t>Construction</t>
  </si>
  <si>
    <t>Customer</t>
  </si>
  <si>
    <t>Net</t>
  </si>
  <si>
    <t xml:space="preserve"> Service</t>
  </si>
  <si>
    <t>Property Held</t>
  </si>
  <si>
    <t>for Future Use</t>
  </si>
  <si>
    <t>Work in</t>
  </si>
  <si>
    <t>Progress</t>
  </si>
  <si>
    <t>Working</t>
  </si>
  <si>
    <t>Capital</t>
  </si>
  <si>
    <t>Total</t>
  </si>
  <si>
    <t>Rate Base</t>
  </si>
  <si>
    <t>Operating</t>
  </si>
  <si>
    <t>Revenues</t>
  </si>
  <si>
    <t>Gas Expense</t>
  </si>
  <si>
    <t>Taxes Other</t>
  </si>
  <si>
    <t>Than Income</t>
  </si>
  <si>
    <t>Income Taxes</t>
  </si>
  <si>
    <t>Current</t>
  </si>
  <si>
    <t>Deferred</t>
  </si>
  <si>
    <t>(Net)</t>
  </si>
  <si>
    <t>Tax Credit</t>
  </si>
  <si>
    <t>Investment</t>
  </si>
  <si>
    <t>Gain/Loss</t>
  </si>
  <si>
    <t>on Disposition</t>
  </si>
  <si>
    <t>Expenses</t>
  </si>
  <si>
    <t>Income</t>
  </si>
  <si>
    <t>Jan 2003</t>
  </si>
  <si>
    <t>Feb 2003</t>
  </si>
  <si>
    <t>Mar 2003</t>
  </si>
  <si>
    <t>Apr 2003</t>
  </si>
  <si>
    <t>May 2003</t>
  </si>
  <si>
    <t>Jun 2003</t>
  </si>
  <si>
    <t>Jul 2003</t>
  </si>
  <si>
    <t>Aug 2003</t>
  </si>
  <si>
    <t>Sep 2003</t>
  </si>
  <si>
    <t>Oct 2003</t>
  </si>
  <si>
    <t>Nov 2003</t>
  </si>
  <si>
    <t>Dec 2003</t>
  </si>
  <si>
    <t>Peoples Gas System</t>
  </si>
  <si>
    <t>Cost of Gas</t>
  </si>
  <si>
    <t>Net Revenue</t>
  </si>
  <si>
    <t>Operations &amp; Maintenance Expense</t>
  </si>
  <si>
    <t>Depreciation Expense</t>
  </si>
  <si>
    <t>Amort. - Leasehold Improvements</t>
  </si>
  <si>
    <t>Amort. - Acq. Adjustments</t>
  </si>
  <si>
    <t>Amort. - Other</t>
  </si>
  <si>
    <t>Taxes Other than Income</t>
  </si>
  <si>
    <t>Total Other Oper. Income Deductions</t>
  </si>
  <si>
    <t>Other Income &amp; Deductions</t>
  </si>
  <si>
    <t>Mdse &amp; Jobbing Income (Expense)</t>
  </si>
  <si>
    <t>Interest &amp; Dividend Income</t>
  </si>
  <si>
    <t>Misc. Non-operating Income</t>
  </si>
  <si>
    <t>Misc. Income Deductions</t>
  </si>
  <si>
    <t>Total Other Income &amp; Deductions</t>
  </si>
  <si>
    <t>Interest Expense</t>
  </si>
  <si>
    <t>Interest - L. T. Debt</t>
  </si>
  <si>
    <t>Interest - S. T. Debt</t>
  </si>
  <si>
    <t>Int. - Amort. - Disc. &amp; Expense</t>
  </si>
  <si>
    <t>Interest - Intercompany</t>
  </si>
  <si>
    <t>Interest - Deposits &amp; Other</t>
  </si>
  <si>
    <t>Total Interest Expense</t>
  </si>
  <si>
    <t>Net Income</t>
  </si>
  <si>
    <t>Fuel Stock</t>
  </si>
  <si>
    <t>FM Bonds &amp; Long Term Notes</t>
  </si>
  <si>
    <t>Revolving Credit</t>
  </si>
  <si>
    <t xml:space="preserve"> Accounts Rec./Pay. - Assoc Companies</t>
  </si>
  <si>
    <t xml:space="preserve"> Other Accounts Receivable</t>
  </si>
  <si>
    <t xml:space="preserve"> Remove Unamort. Debt Expense</t>
  </si>
  <si>
    <t xml:space="preserve"> Remove Unamortized Rate Case Expense</t>
  </si>
  <si>
    <t xml:space="preserve"> Gain on Sale of Property</t>
  </si>
  <si>
    <t>REMOVE ACQUISITION ADJUSTMENT</t>
  </si>
  <si>
    <t xml:space="preserve">  Intercompany Adjustment</t>
  </si>
  <si>
    <t xml:space="preserve">  Economic Development Adjustment</t>
  </si>
  <si>
    <t xml:space="preserve">  Remove Acquisition Adj. Amortiz. (WFNG)</t>
  </si>
  <si>
    <t xml:space="preserve">  Gain on Sale of Property</t>
  </si>
  <si>
    <t>Investment Tax Credits</t>
  </si>
  <si>
    <t>Net Utility Operating Income</t>
  </si>
  <si>
    <t>Last 12</t>
  </si>
  <si>
    <t>Months Ended</t>
  </si>
  <si>
    <t>Month</t>
  </si>
  <si>
    <t>Accumulated Provision for Depr.</t>
  </si>
  <si>
    <t>Dollars in Thousands</t>
  </si>
  <si>
    <t>Check Totals</t>
  </si>
  <si>
    <t>Averages</t>
  </si>
  <si>
    <t>check</t>
  </si>
  <si>
    <t>plug to "misc. current liab"</t>
  </si>
  <si>
    <t xml:space="preserve">     (Name and Title)</t>
  </si>
  <si>
    <t>II. REQUIRED RATES OF RETURN</t>
  </si>
  <si>
    <t xml:space="preserve">III. EARNED RETURN ON EQUITY </t>
  </si>
  <si>
    <t>the intent to mislead a public servant in the performance of his or her</t>
  </si>
  <si>
    <t>punishable as provided in s. 775.082 or s. 775.083.</t>
  </si>
  <si>
    <t>AVERAGE RATE BASE</t>
  </si>
  <si>
    <t>(Schedule 3)</t>
  </si>
  <si>
    <t>(Schedule 2)</t>
  </si>
  <si>
    <t>Jan 2004</t>
  </si>
  <si>
    <t>Feb 2004</t>
  </si>
  <si>
    <t>Mar 2004</t>
  </si>
  <si>
    <t>Apr 2004</t>
  </si>
  <si>
    <t>May 2004</t>
  </si>
  <si>
    <t>Jun 2004</t>
  </si>
  <si>
    <t>Jul 2004</t>
  </si>
  <si>
    <t>Aug 2004</t>
  </si>
  <si>
    <t>Sep 2004</t>
  </si>
  <si>
    <t>Oct 2004</t>
  </si>
  <si>
    <t>Nov 2004</t>
  </si>
  <si>
    <t>Dec 2004</t>
  </si>
  <si>
    <t>Jan 2005</t>
  </si>
  <si>
    <t>Feb 2005</t>
  </si>
  <si>
    <t>Mar 2005</t>
  </si>
  <si>
    <t>Apr 2005</t>
  </si>
  <si>
    <t>May 2005</t>
  </si>
  <si>
    <t>Jun 2005</t>
  </si>
  <si>
    <t>Jul 2005</t>
  </si>
  <si>
    <t>Aug 2005</t>
  </si>
  <si>
    <t>Sep 2005</t>
  </si>
  <si>
    <t>Oct 2005</t>
  </si>
  <si>
    <t>Nov 2005</t>
  </si>
  <si>
    <t>Dec 2005</t>
  </si>
  <si>
    <t>Jan 2006</t>
  </si>
  <si>
    <t>Feb 2006</t>
  </si>
  <si>
    <t>Mar 2006</t>
  </si>
  <si>
    <t>Apr 2006</t>
  </si>
  <si>
    <t>May 2006</t>
  </si>
  <si>
    <t>Jun 2006</t>
  </si>
  <si>
    <t>Jul 2006</t>
  </si>
  <si>
    <t>Aug 2006</t>
  </si>
  <si>
    <t>Sep 2006</t>
  </si>
  <si>
    <t>Oct 2006</t>
  </si>
  <si>
    <t>Nov 2006</t>
  </si>
  <si>
    <t>Dec 2006</t>
  </si>
  <si>
    <t>.</t>
  </si>
  <si>
    <t xml:space="preserve">   INVESTMENT IN SUBSIDIARIES</t>
  </si>
  <si>
    <t xml:space="preserve"> Remove Investment in Subsidiaries</t>
  </si>
  <si>
    <t>Equity Earnings - Subsidiary</t>
  </si>
  <si>
    <t>REMOVE PLANT FOR MSEA</t>
  </si>
  <si>
    <t>Derivative Liability</t>
  </si>
  <si>
    <t>GAIN ON SALE OF PROPERTY</t>
  </si>
  <si>
    <t>DERIVATIVE LIABILITY</t>
  </si>
  <si>
    <t>May</t>
  </si>
  <si>
    <t>Regulatory Derivative</t>
  </si>
  <si>
    <t xml:space="preserve">   REGULATORY DERIVATIVE</t>
  </si>
  <si>
    <t>OTHER COMP INCOME - Settled Hedges</t>
  </si>
  <si>
    <t>OTHER COMP INCOME - Unsettled hedges</t>
  </si>
  <si>
    <t xml:space="preserve">  Parent Debt Adjustment</t>
  </si>
  <si>
    <t xml:space="preserve">Deferred Tax True-up </t>
  </si>
  <si>
    <t>Equity Ratio</t>
  </si>
  <si>
    <t>Gain on Sale of Property</t>
  </si>
  <si>
    <t>Parent Debt Adjustment</t>
  </si>
  <si>
    <t>Interest Synchronization</t>
  </si>
  <si>
    <t>Effect On</t>
  </si>
  <si>
    <t>Actuals</t>
  </si>
  <si>
    <t>Difference</t>
  </si>
  <si>
    <t>ROE</t>
  </si>
  <si>
    <t>PHFFU</t>
  </si>
  <si>
    <t>Working Capital</t>
  </si>
  <si>
    <t>Check</t>
  </si>
  <si>
    <t>Variance</t>
  </si>
  <si>
    <t>Achieved NOI</t>
  </si>
  <si>
    <t>Earned ROR</t>
  </si>
  <si>
    <t>Wtd Return on Equity</t>
  </si>
  <si>
    <t>Earned Return on Equity</t>
  </si>
  <si>
    <t>Operating Income</t>
  </si>
  <si>
    <t>Income Tax</t>
  </si>
  <si>
    <t>Non-Utility Taxes</t>
  </si>
  <si>
    <t>Total Deductions</t>
  </si>
  <si>
    <t>Pre Adj Expected Change in NOI</t>
  </si>
  <si>
    <t>Pro Forma Adjustments</t>
  </si>
  <si>
    <t>Adjustment Changes</t>
  </si>
  <si>
    <t>Check Figure</t>
  </si>
  <si>
    <t>Schedule 3</t>
  </si>
  <si>
    <t>Total Adjustments</t>
  </si>
  <si>
    <t>Budget</t>
  </si>
  <si>
    <t xml:space="preserve">  OSS Adjustment</t>
  </si>
  <si>
    <t>12 Months Ended</t>
  </si>
  <si>
    <t>Per Sue's file</t>
  </si>
  <si>
    <t>b/s</t>
  </si>
  <si>
    <t>sue</t>
  </si>
  <si>
    <t>????</t>
  </si>
  <si>
    <t>Wellness</t>
  </si>
  <si>
    <t>Employee Awards</t>
  </si>
  <si>
    <t>CALCULATION OF WEST FLORIDA NON-REGULATORY ASSETS (WFNG)</t>
  </si>
  <si>
    <r>
      <t xml:space="preserve">Derivative Liability </t>
    </r>
    <r>
      <rPr>
        <sz val="10"/>
        <color indexed="10"/>
        <rFont val="Arial"/>
        <family val="2"/>
      </rPr>
      <t>245****</t>
    </r>
  </si>
  <si>
    <r>
      <t xml:space="preserve">Derivatives Assets </t>
    </r>
    <r>
      <rPr>
        <sz val="10"/>
        <color indexed="10"/>
        <rFont val="Arial"/>
        <family val="2"/>
      </rPr>
      <t>176****</t>
    </r>
  </si>
  <si>
    <t>Unrecovered Gas Costs 191****</t>
  </si>
  <si>
    <t>ck links for assets</t>
  </si>
  <si>
    <t>2190040 + 2190041</t>
  </si>
  <si>
    <t xml:space="preserve">Regulatory Derivative (Curr &amp; LT) </t>
  </si>
  <si>
    <r>
      <t xml:space="preserve">Prepayments  </t>
    </r>
    <r>
      <rPr>
        <sz val="10"/>
        <color indexed="10"/>
        <rFont val="Arial"/>
        <family val="2"/>
      </rPr>
      <t>165</t>
    </r>
  </si>
  <si>
    <r>
      <t xml:space="preserve">Accts. Pay. Assoc. Co. Services </t>
    </r>
    <r>
      <rPr>
        <sz val="10"/>
        <color indexed="10"/>
        <rFont val="Arial"/>
        <family val="2"/>
      </rPr>
      <t>234</t>
    </r>
  </si>
  <si>
    <r>
      <t xml:space="preserve">Customer Deposits - Current </t>
    </r>
    <r>
      <rPr>
        <sz val="10"/>
        <color indexed="10"/>
        <rFont val="Arial"/>
        <family val="2"/>
      </rPr>
      <t>2350110</t>
    </r>
  </si>
  <si>
    <r>
      <t>Customer Deposits</t>
    </r>
    <r>
      <rPr>
        <sz val="10"/>
        <color indexed="10"/>
        <rFont val="Arial"/>
        <family val="2"/>
      </rPr>
      <t xml:space="preserve"> 2350100</t>
    </r>
  </si>
  <si>
    <r>
      <t xml:space="preserve">Accts. Pay. Assoc. Comp </t>
    </r>
    <r>
      <rPr>
        <sz val="10"/>
        <color indexed="10"/>
        <rFont val="Arial"/>
        <family val="2"/>
      </rPr>
      <t>2330711</t>
    </r>
  </si>
  <si>
    <r>
      <t xml:space="preserve">Tax Collections Payable </t>
    </r>
    <r>
      <rPr>
        <sz val="10"/>
        <color indexed="10"/>
        <rFont val="Arial"/>
        <family val="2"/>
      </rPr>
      <t>241 + 2360606</t>
    </r>
  </si>
  <si>
    <r>
      <t xml:space="preserve">Inactive Deposits </t>
    </r>
    <r>
      <rPr>
        <sz val="10"/>
        <color indexed="10"/>
        <rFont val="Arial"/>
        <family val="2"/>
      </rPr>
      <t>2420320</t>
    </r>
  </si>
  <si>
    <t>Cast Iron/Bare Steel Rider (CIBSR)</t>
  </si>
  <si>
    <t>Cast Iron/Bare Steel Rider (CIBSR) - ROI</t>
  </si>
  <si>
    <t xml:space="preserve"> Cast Iron/Bare Steel Rider (CIBSR)</t>
  </si>
  <si>
    <t>Must equal zero</t>
  </si>
  <si>
    <t>Lease of PHFFU</t>
  </si>
  <si>
    <t>Remove Conservation Charges</t>
  </si>
  <si>
    <t>Non-Utility Allocation</t>
  </si>
  <si>
    <t>Remove Fuel Revenues</t>
  </si>
  <si>
    <t>Economic Development Adjustment</t>
  </si>
  <si>
    <t>Employee Activities</t>
  </si>
  <si>
    <t>Maintenance of General Plant</t>
  </si>
  <si>
    <t>Maint. of Structures and Improvements</t>
  </si>
  <si>
    <t>Remove Acquisition Adj. Amortiz. (WFNG)</t>
  </si>
  <si>
    <t>Remove  ITC Amortization</t>
  </si>
  <si>
    <t>OSS Adjustment</t>
  </si>
  <si>
    <t>AVERAGE DEBT INTEREST RATES</t>
  </si>
  <si>
    <t>LONG TERM DEBT COST RATE CALCULATION</t>
  </si>
  <si>
    <t>A_7500110</t>
  </si>
  <si>
    <t>A_7500120</t>
  </si>
  <si>
    <t>A_7500130</t>
  </si>
  <si>
    <t>Interest Exp - Amortiz of Fees on L/T Debt</t>
  </si>
  <si>
    <t>Amortization of discount L/T Debt</t>
  </si>
  <si>
    <t>Interest Expense- L/T Debt</t>
  </si>
  <si>
    <t>A_2190040</t>
  </si>
  <si>
    <t>OCI - Cash Flow Hedges Pretax</t>
  </si>
  <si>
    <t>LTD Interest - 12-month ended</t>
  </si>
  <si>
    <t>LTD Interest</t>
  </si>
  <si>
    <t>LTD Balance</t>
  </si>
  <si>
    <t>SHORT TERM DEBT COST RATE CALCULATION</t>
  </si>
  <si>
    <t>LTD Interest Balance</t>
  </si>
  <si>
    <t>Short-Term Debt Interest Rate</t>
  </si>
  <si>
    <t>LTD COST RATE Year End</t>
  </si>
  <si>
    <t>LTD COST RATE Average</t>
  </si>
  <si>
    <t>LTD Balance - 13-month Average</t>
  </si>
  <si>
    <t>181 &amp; 189</t>
  </si>
  <si>
    <t>Balance Sheet</t>
  </si>
  <si>
    <t xml:space="preserve">Income Statement </t>
  </si>
  <si>
    <t xml:space="preserve">Changed for 2003 surv. report as a result of Rate Order </t>
  </si>
  <si>
    <t xml:space="preserve"> (pro rata only over equity, LTD and STD)</t>
  </si>
  <si>
    <t>Key Figures</t>
  </si>
  <si>
    <t>FERC 3 Digit</t>
  </si>
  <si>
    <t>G/L Account</t>
  </si>
  <si>
    <t>Text</t>
  </si>
  <si>
    <t>DEC 2013  Cumulative  Balance</t>
  </si>
  <si>
    <t>JAN 2014  Cumulative  Balance</t>
  </si>
  <si>
    <t>FEB 2014  Cumulative  Balance</t>
  </si>
  <si>
    <t>MAR 2014  Cumulative  Balance</t>
  </si>
  <si>
    <t>APR 2014  Cumulative  Balance</t>
  </si>
  <si>
    <t>JUN 2014  Cumulative  Balance</t>
  </si>
  <si>
    <t>MAY 2014  Cumulative  Balance</t>
  </si>
  <si>
    <t>JUL 2014  Cumulative  Balance</t>
  </si>
  <si>
    <t>AUG 2014  Cumulative  Balance</t>
  </si>
  <si>
    <t>SEP 2014  Cumulative  Balance</t>
  </si>
  <si>
    <t>OCT 2014  Cumulative  Balance</t>
  </si>
  <si>
    <t>NOV 2014  Cumulative  Balance</t>
  </si>
  <si>
    <t>DEC 2014  Cumulative  Balance</t>
  </si>
  <si>
    <t>Utility Plant in Svc</t>
  </si>
  <si>
    <t>Plnt Held Future Use</t>
  </si>
  <si>
    <t>Comp Cnstr not Clsfd</t>
  </si>
  <si>
    <t>Accum Depreciation</t>
  </si>
  <si>
    <t>RWIP</t>
  </si>
  <si>
    <t>ARsv Cst Rmv C</t>
  </si>
  <si>
    <t>ARsv Cst Rmv Cntra C</t>
  </si>
  <si>
    <t>ARsv Cst Rmv NC</t>
  </si>
  <si>
    <t>ARsv Cst Rmv CntraNC</t>
  </si>
  <si>
    <t>Plant Acquisitn Adj</t>
  </si>
  <si>
    <t>Amort Plnt Acq Adj</t>
  </si>
  <si>
    <t>Inv Subsidiaries</t>
  </si>
  <si>
    <t>JPM 3428 Concentratn</t>
  </si>
  <si>
    <t>JPM 3428 ZBA</t>
  </si>
  <si>
    <t>JPM 3444 Operations</t>
  </si>
  <si>
    <t>JPM 3444 ACH Out</t>
  </si>
  <si>
    <t>JPM 3444 ACH In</t>
  </si>
  <si>
    <t>JPM 3444 Wire Out</t>
  </si>
  <si>
    <t>JPM 1238 Payroll</t>
  </si>
  <si>
    <t>JPM 1238 ACH Out</t>
  </si>
  <si>
    <t>JPM 1238 ACH In</t>
  </si>
  <si>
    <t>JPM 1238 Check Out</t>
  </si>
  <si>
    <t>JPM 3436 Deposits</t>
  </si>
  <si>
    <t>JPM 0180 CDA</t>
  </si>
  <si>
    <t>JPM 0180 Check Out</t>
  </si>
  <si>
    <t>JPM 0180 ZBA</t>
  </si>
  <si>
    <t>JPM 3460 Conservatin</t>
  </si>
  <si>
    <t>JPM 3452 TEC-R Concn</t>
  </si>
  <si>
    <t>JPM 3452 ACH Out</t>
  </si>
  <si>
    <t>JPM 3452 ACH In</t>
  </si>
  <si>
    <t>JPM 3452 Wire In</t>
  </si>
  <si>
    <t>JPM 3452 ZBA</t>
  </si>
  <si>
    <t>SUN 2376 Meter Dep</t>
  </si>
  <si>
    <t>SUN 4743 TEC-R Dep</t>
  </si>
  <si>
    <t>Seacoast Natl Bank</t>
  </si>
  <si>
    <t>Cash Misc Adj</t>
  </si>
  <si>
    <t>Oth Spec Dep LT</t>
  </si>
  <si>
    <t>Petty Cash USD</t>
  </si>
  <si>
    <t>AR CIS - TEC-R</t>
  </si>
  <si>
    <t>AR CIS Increm Billng</t>
  </si>
  <si>
    <t>AR CIS Unappl Cash</t>
  </si>
  <si>
    <t>AR CIS Unappl Refund</t>
  </si>
  <si>
    <t>AR CIS Leveliz Bill</t>
  </si>
  <si>
    <t>AR OSS RECON</t>
  </si>
  <si>
    <t>AR OSS Posting</t>
  </si>
  <si>
    <t>AR Cust Oth RECON</t>
  </si>
  <si>
    <t>AR Cust Oth Posting</t>
  </si>
  <si>
    <t>AR Oth RECON</t>
  </si>
  <si>
    <t>AR Oth Posting</t>
  </si>
  <si>
    <t>AR Employee Advance</t>
  </si>
  <si>
    <t>AR Inc Tax Rec Fed</t>
  </si>
  <si>
    <t>AR Inc Tax Rec State</t>
  </si>
  <si>
    <t>AR CIS Incre Non-Gas</t>
  </si>
  <si>
    <t>AR CIS Jobbing Recl</t>
  </si>
  <si>
    <t>AR Misc Unappl Cash</t>
  </si>
  <si>
    <t>AlwUncoll-Regular</t>
  </si>
  <si>
    <t>AlwUncoll-Misc Bill</t>
  </si>
  <si>
    <t>NR IC Current</t>
  </si>
  <si>
    <t>AR Interco Recon</t>
  </si>
  <si>
    <t>AR Interco Posting</t>
  </si>
  <si>
    <t>AR Interco NMGC</t>
  </si>
  <si>
    <t>Int Rec IC Recon</t>
  </si>
  <si>
    <t>Divid Rec IC Recon</t>
  </si>
  <si>
    <t>Fuel Stock - Natural</t>
  </si>
  <si>
    <t>Plant M&amp;S RECON</t>
  </si>
  <si>
    <t>Plant M&amp;S Posting</t>
  </si>
  <si>
    <t>Gas Stored-Current</t>
  </si>
  <si>
    <t>Prepaid Permits</t>
  </si>
  <si>
    <t>Prepaid LOC Fees</t>
  </si>
  <si>
    <t>PrePaid Ins Auto</t>
  </si>
  <si>
    <t>PrePaid Ins Brokerag</t>
  </si>
  <si>
    <t>PrePaid Ins CrimeFid</t>
  </si>
  <si>
    <t>PrePaid Ins Err&amp;Omis</t>
  </si>
  <si>
    <t>PrePaid Ins Exc Auto</t>
  </si>
  <si>
    <t>PrePaid Ins Exc GL</t>
  </si>
  <si>
    <t>PrePaid Ins Practice</t>
  </si>
  <si>
    <t>PrePaid Ins Property</t>
  </si>
  <si>
    <t>PrePaid Ins Punitive</t>
  </si>
  <si>
    <t>PrePaid Ins SpecRisk</t>
  </si>
  <si>
    <t>PrePaid Ins Surety</t>
  </si>
  <si>
    <t>PrePaid Ins Travel</t>
  </si>
  <si>
    <t>PrePaid Ins WC Exces</t>
  </si>
  <si>
    <t>PrePaid Ins WC State</t>
  </si>
  <si>
    <t>PrePaid Insur</t>
  </si>
  <si>
    <t>Prepaid Misc-Other</t>
  </si>
  <si>
    <t>Accr Util Rev C</t>
  </si>
  <si>
    <t>Curr Deriv Asset</t>
  </si>
  <si>
    <t>LT Deriv Asset</t>
  </si>
  <si>
    <t>UA Debt Exp Recourse</t>
  </si>
  <si>
    <t>Reg Ast Conserv Cls</t>
  </si>
  <si>
    <t>Reg Ast CRA Clause</t>
  </si>
  <si>
    <t>Reg Ast FAS158 C</t>
  </si>
  <si>
    <t>Reg Ast Rate Case C</t>
  </si>
  <si>
    <t>Curr Derv-Regulatory</t>
  </si>
  <si>
    <t>Reg Ast FAS158 NC</t>
  </si>
  <si>
    <t>LT Deriv-Regulatory</t>
  </si>
  <si>
    <t>RegAst EnvRem Cst NC</t>
  </si>
  <si>
    <t>RegAst Env Rem</t>
  </si>
  <si>
    <t>RegAst Env Rem Csts</t>
  </si>
  <si>
    <t>CIS Intrfc Suspense</t>
  </si>
  <si>
    <t>PP Intrfc Suspense</t>
  </si>
  <si>
    <t>Intrfc Doc Balancing</t>
  </si>
  <si>
    <t>HR Doc Balancing</t>
  </si>
  <si>
    <t>DefDr Other</t>
  </si>
  <si>
    <t>U/A Loss ReaqDebt LT</t>
  </si>
  <si>
    <t>DTA Federal</t>
  </si>
  <si>
    <t>Defd FIT FAS133</t>
  </si>
  <si>
    <t>Defd FIT FAS133 Int</t>
  </si>
  <si>
    <t>Defd FIT FAS158</t>
  </si>
  <si>
    <t>Defd FIT FAS158 MedD</t>
  </si>
  <si>
    <t>Defd Tax FIT Credits</t>
  </si>
  <si>
    <t>DTA State</t>
  </si>
  <si>
    <t>Defd SIT FAS133</t>
  </si>
  <si>
    <t>Defd SIT FAS133 Int</t>
  </si>
  <si>
    <t>Defd SIT FAS158</t>
  </si>
  <si>
    <t>Defd SIT FAS158 MedD</t>
  </si>
  <si>
    <t>Unrcv PurcGas Cst C</t>
  </si>
  <si>
    <t>PurchGas Drv Stld C</t>
  </si>
  <si>
    <t>PurGasAdj Contra C</t>
  </si>
  <si>
    <t>PurGasAdj Reclass C</t>
  </si>
  <si>
    <t>GL Data Takeover</t>
  </si>
  <si>
    <t>Inventory Takeover</t>
  </si>
  <si>
    <t>Prem Capital Stock</t>
  </si>
  <si>
    <t>Misc Paidin Capital</t>
  </si>
  <si>
    <t>Retained Earnings</t>
  </si>
  <si>
    <t>Unappr Subs Earn</t>
  </si>
  <si>
    <t>OCI Other Pretax</t>
  </si>
  <si>
    <t>OCI Other Taxes</t>
  </si>
  <si>
    <t>OCI Pension Pretax</t>
  </si>
  <si>
    <t>OCI Pension Taxes</t>
  </si>
  <si>
    <t>OCI SERP Pretax</t>
  </si>
  <si>
    <t>OCI FAS106 Pretax</t>
  </si>
  <si>
    <t>OCI FAS106 Taxes</t>
  </si>
  <si>
    <t>OCI CF Hedge Pretax</t>
  </si>
  <si>
    <t>OCI CF Hedge Taxes</t>
  </si>
  <si>
    <t>LTD Recourse NC</t>
  </si>
  <si>
    <t>UA Disc LTD Recourse</t>
  </si>
  <si>
    <t>Storm Reserv-Distrib</t>
  </si>
  <si>
    <t>I&amp;D Gen Liab Resrv</t>
  </si>
  <si>
    <t>I&amp;D Recoveries GL C</t>
  </si>
  <si>
    <t>Pension Liab NC</t>
  </si>
  <si>
    <t>Pension FAS158 NC</t>
  </si>
  <si>
    <t>SERP Liab NC</t>
  </si>
  <si>
    <t>SERP FAS158 NC</t>
  </si>
  <si>
    <t>FAS106 FAS158 NC</t>
  </si>
  <si>
    <t>FAS106 Retired NC</t>
  </si>
  <si>
    <t>FAS112 LTDisab NC</t>
  </si>
  <si>
    <t>Oth Litigation Resrv</t>
  </si>
  <si>
    <t>Contractor Dmg Resrv</t>
  </si>
  <si>
    <t>Notes Pay &lt;1yr Dur</t>
  </si>
  <si>
    <t>AP Vouchers (RECON)</t>
  </si>
  <si>
    <t>AP Manual Accruals</t>
  </si>
  <si>
    <t>AP GR/IR Clearing</t>
  </si>
  <si>
    <t>AP P-Card Clearing</t>
  </si>
  <si>
    <t>AP Employee Expenses</t>
  </si>
  <si>
    <t>AP Enrgy ConsrvAllow</t>
  </si>
  <si>
    <t>AP Payroll</t>
  </si>
  <si>
    <t>AP 401K Fixed Match</t>
  </si>
  <si>
    <t>AP 401K Perf Match</t>
  </si>
  <si>
    <t>AP 401K Emp Contrib</t>
  </si>
  <si>
    <t>AP DRIP</t>
  </si>
  <si>
    <t>AP PSP / Incentive</t>
  </si>
  <si>
    <t>AP Garnishments</t>
  </si>
  <si>
    <t>AP Group Life Insur</t>
  </si>
  <si>
    <t>AP LT Care Insurance</t>
  </si>
  <si>
    <t>AP United Fund</t>
  </si>
  <si>
    <t>AP TEPAC</t>
  </si>
  <si>
    <t>AP Fitness Center</t>
  </si>
  <si>
    <t>AP HSA Emplyee Cntrb</t>
  </si>
  <si>
    <t>AP HSA Emplyer Cntrb</t>
  </si>
  <si>
    <t>AP Med Ins Reserve</t>
  </si>
  <si>
    <t>AP IBEW Union Dues</t>
  </si>
  <si>
    <t>AP OPEIU Union Dues</t>
  </si>
  <si>
    <t>AP IAM/AU Union Dues</t>
  </si>
  <si>
    <t>AP UFCW Union Dues</t>
  </si>
  <si>
    <t>AP FSA Medical</t>
  </si>
  <si>
    <t>AP FSA Dep Care</t>
  </si>
  <si>
    <t>AP FSA Parking</t>
  </si>
  <si>
    <t>AP Amer GasIndx Fund</t>
  </si>
  <si>
    <t>AP Fuel Accrual</t>
  </si>
  <si>
    <t>AP Interchange</t>
  </si>
  <si>
    <t>AP Share Program</t>
  </si>
  <si>
    <t>AP Vision Ben Plan</t>
  </si>
  <si>
    <t>AP PY Dividend Clrg</t>
  </si>
  <si>
    <t>AP Legacy M&amp;S RNB</t>
  </si>
  <si>
    <t>NP IC Current Postng</t>
  </si>
  <si>
    <t>AP Interco Recon</t>
  </si>
  <si>
    <t>AP Interco Posting</t>
  </si>
  <si>
    <t>CIS Cust Deposit ST</t>
  </si>
  <si>
    <t>Non-CIS Cust Dep ST</t>
  </si>
  <si>
    <t>FIT Pay Current Year</t>
  </si>
  <si>
    <t>FIT Pay Prior Year</t>
  </si>
  <si>
    <t>SIT Pay Curent Year</t>
  </si>
  <si>
    <t>SIT Pay Prior Year</t>
  </si>
  <si>
    <t>TaxPay Unemploy Fed</t>
  </si>
  <si>
    <t>TaxPay Unemploy Stat</t>
  </si>
  <si>
    <t>Tax Pay Reg Ases Fee</t>
  </si>
  <si>
    <t>Tax Pay GRT</t>
  </si>
  <si>
    <t>Tax Pay Property</t>
  </si>
  <si>
    <t>Tax Pay Franchise</t>
  </si>
  <si>
    <t>Tax Pay Excise Tax</t>
  </si>
  <si>
    <t>Tax Pay FICA Employr</t>
  </si>
  <si>
    <t>Tax Pay Other</t>
  </si>
  <si>
    <t>Int Acc Cust Deposit</t>
  </si>
  <si>
    <t>Int Accr LTD</t>
  </si>
  <si>
    <t>Divid Pay IC Recon</t>
  </si>
  <si>
    <t>Sales Use Pay AP</t>
  </si>
  <si>
    <t>Sales Surtax Pay AP</t>
  </si>
  <si>
    <t>Utility Tax Pay</t>
  </si>
  <si>
    <t>FICA Tax Pay Emplyee</t>
  </si>
  <si>
    <t>FIT Withholding Pay</t>
  </si>
  <si>
    <t>SERP FAS158 C</t>
  </si>
  <si>
    <t>FAS106 FAS158 C</t>
  </si>
  <si>
    <t>Vacation Liab</t>
  </si>
  <si>
    <t>Cashier Over/Short</t>
  </si>
  <si>
    <t>Unclaimed Funds</t>
  </si>
  <si>
    <t>PGS MGP Enviro Liab</t>
  </si>
  <si>
    <t>Accru Liab - Misc</t>
  </si>
  <si>
    <t>Curr Deriv Liab</t>
  </si>
  <si>
    <t>LT Deriv Liab</t>
  </si>
  <si>
    <t>Cust Adv Constructin</t>
  </si>
  <si>
    <t>Contract Reten RECON</t>
  </si>
  <si>
    <t>DefCr Miscellaneous</t>
  </si>
  <si>
    <t>Reg Liab-ConservCls</t>
  </si>
  <si>
    <t>Reg Liab-CI/BSR Ridr</t>
  </si>
  <si>
    <t>Reg Liab-PrpSal D NC</t>
  </si>
  <si>
    <t>Reg Liab-Gas Reserch</t>
  </si>
  <si>
    <t>Reg Liab-MGP Remed</t>
  </si>
  <si>
    <t>AcDfd Invest Tax Cr</t>
  </si>
  <si>
    <t>DIT Oth Prop Fed</t>
  </si>
  <si>
    <t>DIT Oth Prop State</t>
  </si>
  <si>
    <t>DIT Liab-Federal</t>
  </si>
  <si>
    <t>DIT FAS158 Fed</t>
  </si>
  <si>
    <t>DIT FAS158 MedD Fed</t>
  </si>
  <si>
    <t>DIT FAS133 Fed</t>
  </si>
  <si>
    <t>DIT Liab-State</t>
  </si>
  <si>
    <t>DIT FAS158 State</t>
  </si>
  <si>
    <t>DIT FAS158 MedD St</t>
  </si>
  <si>
    <t>DIT FAS133 State</t>
  </si>
  <si>
    <t>101</t>
  </si>
  <si>
    <t>105</t>
  </si>
  <si>
    <t>106</t>
  </si>
  <si>
    <t>107</t>
  </si>
  <si>
    <t>108</t>
  </si>
  <si>
    <t>114</t>
  </si>
  <si>
    <t>115</t>
  </si>
  <si>
    <t>121</t>
  </si>
  <si>
    <t>123</t>
  </si>
  <si>
    <t>131</t>
  </si>
  <si>
    <t>134</t>
  </si>
  <si>
    <t>135</t>
  </si>
  <si>
    <t>136</t>
  </si>
  <si>
    <t>142</t>
  </si>
  <si>
    <t>143</t>
  </si>
  <si>
    <t>144</t>
  </si>
  <si>
    <t>145</t>
  </si>
  <si>
    <t>146</t>
  </si>
  <si>
    <t>154</t>
  </si>
  <si>
    <t>164</t>
  </si>
  <si>
    <t>165</t>
  </si>
  <si>
    <t>173</t>
  </si>
  <si>
    <t>176</t>
  </si>
  <si>
    <t>181</t>
  </si>
  <si>
    <t>182</t>
  </si>
  <si>
    <t>184</t>
  </si>
  <si>
    <t>186</t>
  </si>
  <si>
    <t>189</t>
  </si>
  <si>
    <t>190</t>
  </si>
  <si>
    <t>191</t>
  </si>
  <si>
    <t>207</t>
  </si>
  <si>
    <t>211</t>
  </si>
  <si>
    <t>216</t>
  </si>
  <si>
    <t>219</t>
  </si>
  <si>
    <t>224</t>
  </si>
  <si>
    <t>226</t>
  </si>
  <si>
    <t>228</t>
  </si>
  <si>
    <t>231</t>
  </si>
  <si>
    <t>232</t>
  </si>
  <si>
    <t>233</t>
  </si>
  <si>
    <t>234</t>
  </si>
  <si>
    <t>235</t>
  </si>
  <si>
    <t>236</t>
  </si>
  <si>
    <t>237</t>
  </si>
  <si>
    <t>238</t>
  </si>
  <si>
    <t>241</t>
  </si>
  <si>
    <t>242</t>
  </si>
  <si>
    <t>245</t>
  </si>
  <si>
    <t>252</t>
  </si>
  <si>
    <t>253</t>
  </si>
  <si>
    <t>254</t>
  </si>
  <si>
    <t>282</t>
  </si>
  <si>
    <t>283</t>
  </si>
  <si>
    <t>155</t>
  </si>
  <si>
    <t>163</t>
  </si>
  <si>
    <t>1823070</t>
  </si>
  <si>
    <t>1823105</t>
  </si>
  <si>
    <t>1823205</t>
  </si>
  <si>
    <t>1823102</t>
  </si>
  <si>
    <t>2330711</t>
  </si>
  <si>
    <t>2350110</t>
  </si>
  <si>
    <t>2420320</t>
  </si>
  <si>
    <t>2370300</t>
  </si>
  <si>
    <t>2370400</t>
  </si>
  <si>
    <t>Int Acc Credit Facility</t>
  </si>
  <si>
    <t>2370350</t>
  </si>
  <si>
    <t>2370900</t>
  </si>
  <si>
    <t>Interest Acc-std (Is acct) calculation</t>
  </si>
  <si>
    <t>2360320</t>
  </si>
  <si>
    <t>2360310</t>
  </si>
  <si>
    <t>2360410</t>
  </si>
  <si>
    <t>2360420</t>
  </si>
  <si>
    <t>2540040</t>
  </si>
  <si>
    <t>2360605</t>
  </si>
  <si>
    <t>2450100</t>
  </si>
  <si>
    <t>2450200</t>
  </si>
  <si>
    <t>2540281</t>
  </si>
  <si>
    <t>2540330</t>
  </si>
  <si>
    <t>2540340</t>
  </si>
  <si>
    <t>2281081</t>
  </si>
  <si>
    <t>2283201</t>
  </si>
  <si>
    <t>2283211</t>
  </si>
  <si>
    <t>2283231</t>
  </si>
  <si>
    <t>2283240</t>
  </si>
  <si>
    <t>2283210</t>
  </si>
  <si>
    <t>2320022</t>
  </si>
  <si>
    <t>2420111</t>
  </si>
  <si>
    <t>2420131</t>
  </si>
  <si>
    <t>2420300</t>
  </si>
  <si>
    <t>2320008</t>
  </si>
  <si>
    <t>2320015</t>
  </si>
  <si>
    <t>2320020</t>
  </si>
  <si>
    <t>2360600</t>
  </si>
  <si>
    <t>2360601</t>
  </si>
  <si>
    <t>2360602</t>
  </si>
  <si>
    <t>2360603</t>
  </si>
  <si>
    <t>2360604</t>
  </si>
  <si>
    <t>2360606</t>
  </si>
  <si>
    <t>2360620</t>
  </si>
  <si>
    <t>2420310</t>
  </si>
  <si>
    <t>2420800</t>
  </si>
  <si>
    <t>2540105</t>
  </si>
  <si>
    <t>2540205</t>
  </si>
  <si>
    <t>2283200</t>
  </si>
  <si>
    <t>2283230</t>
  </si>
  <si>
    <t>FAS106 Liability-Active - Non-Current</t>
  </si>
  <si>
    <t>2283232</t>
  </si>
  <si>
    <t>2284020</t>
  </si>
  <si>
    <t>2284030</t>
  </si>
  <si>
    <t>2282010</t>
  </si>
  <si>
    <t>2540071</t>
  </si>
  <si>
    <t>2420321</t>
  </si>
  <si>
    <t>2282110</t>
  </si>
  <si>
    <t>JAN 2014  Activity</t>
  </si>
  <si>
    <t>FEB 2014  Activity</t>
  </si>
  <si>
    <t>MAR 2014  Activity</t>
  </si>
  <si>
    <t>APR 2014  Activity</t>
  </si>
  <si>
    <t>MAY 2014  Activity</t>
  </si>
  <si>
    <t>JUN 2014  Activity</t>
  </si>
  <si>
    <t>JUL 2014  Activity</t>
  </si>
  <si>
    <t>AUG 2014  Activity</t>
  </si>
  <si>
    <t>SEP 2014  Activity</t>
  </si>
  <si>
    <t>OCT 2014  Activity</t>
  </si>
  <si>
    <t>NOV 2014  Activity</t>
  </si>
  <si>
    <t>DEC 2014  Activity</t>
  </si>
  <si>
    <t>REG DR Def PGA</t>
  </si>
  <si>
    <t>REG DR CI/BSR Rider</t>
  </si>
  <si>
    <t>REG DR Def Cons Gas</t>
  </si>
  <si>
    <t>REG CR Def PGA Amtz</t>
  </si>
  <si>
    <t>REG CR CI/BSR Rider</t>
  </si>
  <si>
    <t>REG CR Def Cons Gas</t>
  </si>
  <si>
    <t>Residential - 1</t>
  </si>
  <si>
    <t>Residential - 1 FUEL</t>
  </si>
  <si>
    <t>Residential - 2</t>
  </si>
  <si>
    <t>Residential - 2 FUEL</t>
  </si>
  <si>
    <t>Residential - 3</t>
  </si>
  <si>
    <t>Residential - 3 FUEL</t>
  </si>
  <si>
    <t>Resid StndByGen</t>
  </si>
  <si>
    <t>Resid StndByGen Fuel</t>
  </si>
  <si>
    <t>Resid GenSvc 1</t>
  </si>
  <si>
    <t>Resid GenSvc 1 Fuel</t>
  </si>
  <si>
    <t>Resid GenSvc 2</t>
  </si>
  <si>
    <t>Resid GenSvc 2 Fuel</t>
  </si>
  <si>
    <t>Resid GenSvc 3</t>
  </si>
  <si>
    <t>Resid GenSvc 3 Fuel</t>
  </si>
  <si>
    <t>Nat Gas Vehicle</t>
  </si>
  <si>
    <t>Nat Gas Vehicle Fuel</t>
  </si>
  <si>
    <t>Comm Street Lighting</t>
  </si>
  <si>
    <t>Comm St Light Fuel</t>
  </si>
  <si>
    <t>GenSvc Small</t>
  </si>
  <si>
    <t>GenSvc Small Fuel</t>
  </si>
  <si>
    <t>Comm Standby Gen</t>
  </si>
  <si>
    <t>Comm Standby GenFuel</t>
  </si>
  <si>
    <t>GenSvc Lg Vol 1</t>
  </si>
  <si>
    <t>GenSvc Lg Vol 1 Fuel</t>
  </si>
  <si>
    <t>GenSvc Lg Vol 2</t>
  </si>
  <si>
    <t>GenSvc Lg Vol 2 Fuel</t>
  </si>
  <si>
    <t>GenSvc Lg Vol 3</t>
  </si>
  <si>
    <t>GenSvc Lg Vol 3 Fuel</t>
  </si>
  <si>
    <t>GenSvc Lg Vol 4</t>
  </si>
  <si>
    <t>GenSvc Lg Vol 4 Fuel</t>
  </si>
  <si>
    <t>GenSvc Lg Vol 5</t>
  </si>
  <si>
    <t>GenSvc Lg Vol 5 Fuel</t>
  </si>
  <si>
    <t>Intrpt Small</t>
  </si>
  <si>
    <t>Intrpt Small Fuel</t>
  </si>
  <si>
    <t>Intrpt Lg Vol 1</t>
  </si>
  <si>
    <t>Intrpt Lg Vol 1 Fuel</t>
  </si>
  <si>
    <t>Intrpt Lg Vol 2</t>
  </si>
  <si>
    <t>Intrpt Lg Vol 2 Fuel</t>
  </si>
  <si>
    <t>Mut Ben NonRP Reslr</t>
  </si>
  <si>
    <t>OSS PGA NonRP Reslr</t>
  </si>
  <si>
    <t>OSS PGA NonRP EndUsr</t>
  </si>
  <si>
    <t>OSS PGS Receipt Pnt</t>
  </si>
  <si>
    <t>OSS Marg NonRP Reslr</t>
  </si>
  <si>
    <t>OSS Margin Non RP EU</t>
  </si>
  <si>
    <t>OSS Margin RP</t>
  </si>
  <si>
    <t>Wholesale for Resale</t>
  </si>
  <si>
    <t>Whsl for Resale Fuel</t>
  </si>
  <si>
    <t>Whsl for Resale Trnp</t>
  </si>
  <si>
    <t>Forfeited Discounts</t>
  </si>
  <si>
    <t>Res ConnectReconnect</t>
  </si>
  <si>
    <t>Com ConnectReconnect</t>
  </si>
  <si>
    <t>MiscSv-Change Out</t>
  </si>
  <si>
    <t>MiscSv-Trip Charge</t>
  </si>
  <si>
    <t>MiscSv-NSF Fee</t>
  </si>
  <si>
    <t>MiscSv-FailedTripChg</t>
  </si>
  <si>
    <t>MiscSv-TempDisconect</t>
  </si>
  <si>
    <t>MiscSv-ITSFee</t>
  </si>
  <si>
    <t>Misc Svc Rev Other</t>
  </si>
  <si>
    <t>NatGas Vehicle Trnsp</t>
  </si>
  <si>
    <t>NGas Veh Trnsp Swing</t>
  </si>
  <si>
    <t>Comm StLgt Transp</t>
  </si>
  <si>
    <t>Comm StLgt Trn Swing</t>
  </si>
  <si>
    <t>GenSvc Sm Transp</t>
  </si>
  <si>
    <t>GS Sm Transp Swing</t>
  </si>
  <si>
    <t>Comm TrnspStandbyGen</t>
  </si>
  <si>
    <t>Com TrpStByGen Swing</t>
  </si>
  <si>
    <t>Resid Trsp GenSvc 1</t>
  </si>
  <si>
    <t>Resid Trsp GS1 Swing</t>
  </si>
  <si>
    <t>Resid Trsp GenSvc 2</t>
  </si>
  <si>
    <t>Resid Trsp GS2 Swing</t>
  </si>
  <si>
    <t>Resid Trsp GenSvc 3</t>
  </si>
  <si>
    <t>Resid Trsp GS3 Swing</t>
  </si>
  <si>
    <t>GenSvc Lg Vol1 Trnsp</t>
  </si>
  <si>
    <t>GS Lg V1 Trnsp Swing</t>
  </si>
  <si>
    <t>GenSvc Lg Vol2 Trnsp</t>
  </si>
  <si>
    <t>GS Lg V2 Trnsp Swing</t>
  </si>
  <si>
    <t>GenSvc Lg Vol3 Trnsp</t>
  </si>
  <si>
    <t>GS Lg V3 Trnsp Swing</t>
  </si>
  <si>
    <t>GenSvc Lg Vol4 Trnsp</t>
  </si>
  <si>
    <t>GS Lg V4 Trnsp Swing</t>
  </si>
  <si>
    <t>GenSvc Lg Vol5 Trnsp</t>
  </si>
  <si>
    <t>GS Lg V5 Trnsp Swing</t>
  </si>
  <si>
    <t>Intrpt Small Transp</t>
  </si>
  <si>
    <t>Intrpt Lg Vol1 Trnsp</t>
  </si>
  <si>
    <t>Intrpt Lg Vol2 Trnsp</t>
  </si>
  <si>
    <t>Rent Revenue</t>
  </si>
  <si>
    <t>IC Rent Revenue</t>
  </si>
  <si>
    <t>OthRev-EnergyConserv</t>
  </si>
  <si>
    <t>OthRev-Franchise Fee</t>
  </si>
  <si>
    <t>OthRev-Gross Receipt</t>
  </si>
  <si>
    <t>OthRev-Comm SalesTax</t>
  </si>
  <si>
    <t>OthRev-PoolMgrHist</t>
  </si>
  <si>
    <t>OthRev-PoolMgrAdmin</t>
  </si>
  <si>
    <t>OthRev-Termination</t>
  </si>
  <si>
    <t>OthRev-FLGasUtility</t>
  </si>
  <si>
    <t>OthRev-Supplier FTA</t>
  </si>
  <si>
    <t>CI/BSR Rider Revenue</t>
  </si>
  <si>
    <t>Other Rev Misc</t>
  </si>
  <si>
    <t>Labor Exempt ST</t>
  </si>
  <si>
    <t>Labor Exempt NonProd</t>
  </si>
  <si>
    <t>Labor NonExm ST</t>
  </si>
  <si>
    <t>Labor NonExm OT</t>
  </si>
  <si>
    <t>Labor NonExm NonProd</t>
  </si>
  <si>
    <t>Labor Union ST</t>
  </si>
  <si>
    <t>Labor Union OT</t>
  </si>
  <si>
    <t>Labor Union NonProd</t>
  </si>
  <si>
    <t>Labor OffCycle Bonus</t>
  </si>
  <si>
    <t>Labor Exp Reclass</t>
  </si>
  <si>
    <t>Labor to BalSheet</t>
  </si>
  <si>
    <t>ST LbrBen to BalSht</t>
  </si>
  <si>
    <t>OT LbrBen to BalSht</t>
  </si>
  <si>
    <t>Ben Plan Admin Fee</t>
  </si>
  <si>
    <t>Tuition Reimbursemnt</t>
  </si>
  <si>
    <t>Life Insurance</t>
  </si>
  <si>
    <t>LT Care Insurance</t>
  </si>
  <si>
    <t>Medical Insur-Active</t>
  </si>
  <si>
    <t>Pensions</t>
  </si>
  <si>
    <t>PostRtFAS106-Active</t>
  </si>
  <si>
    <t>Restricted Stock Exp</t>
  </si>
  <si>
    <t>Employee Wellness</t>
  </si>
  <si>
    <t>Emplr 401KFixed Mtch</t>
  </si>
  <si>
    <t>Emplr 401KPerf Match</t>
  </si>
  <si>
    <t>Supp ExecRetire Plan</t>
  </si>
  <si>
    <t>LTDisability FAS112</t>
  </si>
  <si>
    <t>LTDisability Premium</t>
  </si>
  <si>
    <t>Vacations (accrual)</t>
  </si>
  <si>
    <t>Employee Incentive</t>
  </si>
  <si>
    <t>Emp Service Awards</t>
  </si>
  <si>
    <t>EE ProfDue Subs Fees</t>
  </si>
  <si>
    <t>EE SocialCivic Dues</t>
  </si>
  <si>
    <t>EE Meals 100% Deduct</t>
  </si>
  <si>
    <t>EE Meals 50% Deduct</t>
  </si>
  <si>
    <t>EE Mileage</t>
  </si>
  <si>
    <t>EE Shoes Uniforms</t>
  </si>
  <si>
    <t>EE Training</t>
  </si>
  <si>
    <t>EE Travel Lodging</t>
  </si>
  <si>
    <t>EE Miscellaneous</t>
  </si>
  <si>
    <t>Employee Exp Reclass</t>
  </si>
  <si>
    <t>Emp Exp to BalSheet</t>
  </si>
  <si>
    <t>Advertising</t>
  </si>
  <si>
    <t>Analytical(PreMaint)</t>
  </si>
  <si>
    <t>Consultants-Audit</t>
  </si>
  <si>
    <t>Consultants-Engineer</t>
  </si>
  <si>
    <t>Consultants-Environ</t>
  </si>
  <si>
    <t>Consultants-Legal</t>
  </si>
  <si>
    <t>Consultants-Mgmt</t>
  </si>
  <si>
    <t>Consultants-Other</t>
  </si>
  <si>
    <t>Consultants-Taxes</t>
  </si>
  <si>
    <t>Contractor Services</t>
  </si>
  <si>
    <t>Tool Service/Repair</t>
  </si>
  <si>
    <t>Printing</t>
  </si>
  <si>
    <t>Security Services</t>
  </si>
  <si>
    <t>Hardware Maint/Svcs</t>
  </si>
  <si>
    <t>Site Testing Service</t>
  </si>
  <si>
    <t>Software Maintenance</t>
  </si>
  <si>
    <t>Trust Fee</t>
  </si>
  <si>
    <t>OutSvc Exp Reclass</t>
  </si>
  <si>
    <t>OutSvc to BalSheet</t>
  </si>
  <si>
    <t>Cost of Natural Gas</t>
  </si>
  <si>
    <t>M&amp;S FurnOffEquip</t>
  </si>
  <si>
    <t>M&amp;S Gen Office</t>
  </si>
  <si>
    <t>M&amp;S Chemicals</t>
  </si>
  <si>
    <t>M&amp;S Lubricants</t>
  </si>
  <si>
    <t>M&amp;S Ops Consum</t>
  </si>
  <si>
    <t>M&amp;S Safety</t>
  </si>
  <si>
    <t>M&amp;S Vehicle Fuel</t>
  </si>
  <si>
    <t>M&amp;S OS Purchases</t>
  </si>
  <si>
    <t>M&amp;S Parts</t>
  </si>
  <si>
    <t>M&amp;S Small Tools</t>
  </si>
  <si>
    <t>M&amp;S Defect Inv Scrap</t>
  </si>
  <si>
    <t>M&amp;S Inven Other</t>
  </si>
  <si>
    <t>M&amp;S Inven Issue</t>
  </si>
  <si>
    <t>Phy Inven Difference</t>
  </si>
  <si>
    <t>Matls Price Diff</t>
  </si>
  <si>
    <t>Re-Stock Salvage</t>
  </si>
  <si>
    <t>M&amp;S Exp Reclass</t>
  </si>
  <si>
    <t>M&amp;S to BalSheet</t>
  </si>
  <si>
    <t>Transport-Vehicle</t>
  </si>
  <si>
    <t>Transport-Veh Gas</t>
  </si>
  <si>
    <t>Transport-Trailers</t>
  </si>
  <si>
    <t>Transp Veh Depr Oth</t>
  </si>
  <si>
    <t>Transprt Exp Reclass</t>
  </si>
  <si>
    <t>Transport to BalSht</t>
  </si>
  <si>
    <t>Ins-FPSC Storm Rsv</t>
  </si>
  <si>
    <t>Ins-Automobile</t>
  </si>
  <si>
    <t>Ins-Brokerage Fees</t>
  </si>
  <si>
    <t>Ins-Crime &amp; Fidelity</t>
  </si>
  <si>
    <t>Ins-Errors&amp;Omissions</t>
  </si>
  <si>
    <t>Ins-Excess Auto</t>
  </si>
  <si>
    <t>Ins-Excess Gen Liab</t>
  </si>
  <si>
    <t>Ins-I&amp;D Reserves</t>
  </si>
  <si>
    <t>Ins-Practices Liab</t>
  </si>
  <si>
    <t>Ins-Property</t>
  </si>
  <si>
    <t>Ins-Punitive Damages</t>
  </si>
  <si>
    <t>Ins-Special Risk</t>
  </si>
  <si>
    <t>Ins-Surety Bonds</t>
  </si>
  <si>
    <t>Ins-Travel Accident</t>
  </si>
  <si>
    <t>Ins-WC Excess</t>
  </si>
  <si>
    <t>Ins-WC States</t>
  </si>
  <si>
    <t>Ins-Other</t>
  </si>
  <si>
    <t>Rent-Right of Way</t>
  </si>
  <si>
    <t>Rent-Intercompany</t>
  </si>
  <si>
    <t>Rent-Other</t>
  </si>
  <si>
    <t>Rent to BalSheet</t>
  </si>
  <si>
    <t>Lease-Building</t>
  </si>
  <si>
    <t>Lease-NonOfficeEquip</t>
  </si>
  <si>
    <t>Lease-Office Equip</t>
  </si>
  <si>
    <t>Lease-Vehicle</t>
  </si>
  <si>
    <t>Lease-Other</t>
  </si>
  <si>
    <t>Lease to BalSheet</t>
  </si>
  <si>
    <t>Utilities-Electricty</t>
  </si>
  <si>
    <t>Utilities-Gas</t>
  </si>
  <si>
    <t>Utilities-Telecom</t>
  </si>
  <si>
    <t>Utilities-WasteTrash</t>
  </si>
  <si>
    <t>Utilities-Water</t>
  </si>
  <si>
    <t>Utilities-Other</t>
  </si>
  <si>
    <t>Utilities to BalSht</t>
  </si>
  <si>
    <t>Misc Bill Ex MtlSale</t>
  </si>
  <si>
    <t>Dmgd Faclty Billing</t>
  </si>
  <si>
    <t>Misc Bill Ex General</t>
  </si>
  <si>
    <t>Misc Bill Bal Sheet</t>
  </si>
  <si>
    <t>Bad Debt Exp CIS</t>
  </si>
  <si>
    <t>Bad Debt Exp ARM</t>
  </si>
  <si>
    <t>Director RestrStk Ex</t>
  </si>
  <si>
    <t>Economic Development</t>
  </si>
  <si>
    <t>Industry Dues</t>
  </si>
  <si>
    <t>Donations (501c)</t>
  </si>
  <si>
    <t>Donations NonDed</t>
  </si>
  <si>
    <t>Donations Other</t>
  </si>
  <si>
    <t>Fees-Bank</t>
  </si>
  <si>
    <t>Fees-Report Filing</t>
  </si>
  <si>
    <t>Fees-Registration</t>
  </si>
  <si>
    <t>Fees-Miscellaneous</t>
  </si>
  <si>
    <t>Permitting</t>
  </si>
  <si>
    <t>Political Contrib</t>
  </si>
  <si>
    <t>Postage Ship Courier</t>
  </si>
  <si>
    <t>Ene Conserv Allow</t>
  </si>
  <si>
    <t>Selling Mktg Exp</t>
  </si>
  <si>
    <t>Settlement/Claim Exp</t>
  </si>
  <si>
    <t>Stadium-Other</t>
  </si>
  <si>
    <t>Cash Discounts Taken</t>
  </si>
  <si>
    <t>A&amp;G Allocation</t>
  </si>
  <si>
    <t>A&amp;G Alloc to Capital</t>
  </si>
  <si>
    <t>I&amp;D Alloc to Capital</t>
  </si>
  <si>
    <t>Intercompany Charges</t>
  </si>
  <si>
    <t>IC Fee</t>
  </si>
  <si>
    <t>IC Print Shop</t>
  </si>
  <si>
    <t>IC Reten Mail Svc</t>
  </si>
  <si>
    <t>IC Direct fr Svc Co</t>
  </si>
  <si>
    <t>IC Indirect fr SvcCo</t>
  </si>
  <si>
    <t>Other Oper-Misc</t>
  </si>
  <si>
    <t>Oth Oper Exp Reclass</t>
  </si>
  <si>
    <t>Other Oper to BalSht</t>
  </si>
  <si>
    <t>Fleet Chgs BalSht</t>
  </si>
  <si>
    <t>Stores Clrg BalSht</t>
  </si>
  <si>
    <t>SupMgmt Chgs BalSht</t>
  </si>
  <si>
    <t>Amtz-Utility Plant</t>
  </si>
  <si>
    <t>Amtz-Acqu Adj ATL</t>
  </si>
  <si>
    <t>Amtz-Environ Remedia</t>
  </si>
  <si>
    <t>Depr-Utility Plant</t>
  </si>
  <si>
    <t>Depr-CI/BSR Rider</t>
  </si>
  <si>
    <t>TOTI-Franchise Fees</t>
  </si>
  <si>
    <t>TOTI-Gross Receipts</t>
  </si>
  <si>
    <t>TOTI-Payroll Tax</t>
  </si>
  <si>
    <t>TOTI-Prop Tax ATL</t>
  </si>
  <si>
    <t>TOTI-Reg Assess Fee</t>
  </si>
  <si>
    <t>TOTI-Fed Excise Tax</t>
  </si>
  <si>
    <t>TOTI-CntyCityBusiLic</t>
  </si>
  <si>
    <t>TOTI-Other</t>
  </si>
  <si>
    <t>IntInc-Dfd Conserv</t>
  </si>
  <si>
    <t>IntInc-Dfd PGA</t>
  </si>
  <si>
    <t>IntInc-Dfd CRA</t>
  </si>
  <si>
    <t>IntInc-Intercompany</t>
  </si>
  <si>
    <t>IntInc-Miscellaneous</t>
  </si>
  <si>
    <t>Basic Order Agreemnt</t>
  </si>
  <si>
    <t>Oth Inc/Exp-Misc</t>
  </si>
  <si>
    <t>Jobbing Revenue</t>
  </si>
  <si>
    <t>CIAC</t>
  </si>
  <si>
    <t>MSEA/MEP Credits</t>
  </si>
  <si>
    <t>Oth Inc to BalSheet</t>
  </si>
  <si>
    <t>Jobbing Expense</t>
  </si>
  <si>
    <t>Eq Ern Consol Affil</t>
  </si>
  <si>
    <t>AR Securitization</t>
  </si>
  <si>
    <t>Int Exp Customer Dep</t>
  </si>
  <si>
    <t>Int Exp Cr Facility</t>
  </si>
  <si>
    <t>Int Exp LT Debt</t>
  </si>
  <si>
    <t>Int Exp Amz Disc LTD</t>
  </si>
  <si>
    <t>Int Exp Amz Fees LTD</t>
  </si>
  <si>
    <t>Int Ex Dfd Conserv</t>
  </si>
  <si>
    <t>Int Ex Dfd PGA</t>
  </si>
  <si>
    <t>Int Ex CI/BSR Rider</t>
  </si>
  <si>
    <t>Int Exp Intercompany</t>
  </si>
  <si>
    <t>Int Exp Misc</t>
  </si>
  <si>
    <t>FIT Expense</t>
  </si>
  <si>
    <t>FIT Expense ATL</t>
  </si>
  <si>
    <t>SIT Expense</t>
  </si>
  <si>
    <t>SIT Expense ATL</t>
  </si>
  <si>
    <t>DIT Federal</t>
  </si>
  <si>
    <t>DIT State</t>
  </si>
  <si>
    <t>InvTaxCrAmtz-Util</t>
  </si>
  <si>
    <t>FICO Recon O&amp;M Exp</t>
  </si>
  <si>
    <t>FICO Recon TOTI</t>
  </si>
  <si>
    <t>FICO Recon Oth IncEx</t>
  </si>
  <si>
    <t>FICO Rec IT Alloc</t>
  </si>
  <si>
    <t>FICO Rec Telec Alloc</t>
  </si>
  <si>
    <t>FICO Rec Facilities</t>
  </si>
  <si>
    <t>Div sent to RE</t>
  </si>
  <si>
    <t>Inc Summary Offset</t>
  </si>
  <si>
    <t>Nat</t>
  </si>
  <si>
    <t>Grand Total</t>
  </si>
  <si>
    <t>4074140</t>
  </si>
  <si>
    <t>4074141</t>
  </si>
  <si>
    <t>4074071</t>
  </si>
  <si>
    <t>4073060</t>
  </si>
  <si>
    <t>4074061</t>
  </si>
  <si>
    <t>4073061</t>
  </si>
  <si>
    <t>6800050</t>
  </si>
  <si>
    <t>agrees to FERC I/S</t>
  </si>
  <si>
    <t>4030</t>
  </si>
  <si>
    <t>4043</t>
  </si>
  <si>
    <t>4060</t>
  </si>
  <si>
    <t>4073</t>
  </si>
  <si>
    <t>4074</t>
  </si>
  <si>
    <t>4081</t>
  </si>
  <si>
    <t>4091</t>
  </si>
  <si>
    <t>4092</t>
  </si>
  <si>
    <t>4101</t>
  </si>
  <si>
    <t>4150</t>
  </si>
  <si>
    <t>4160</t>
  </si>
  <si>
    <t>4181</t>
  </si>
  <si>
    <t>4190</t>
  </si>
  <si>
    <t>4210</t>
  </si>
  <si>
    <t>4261</t>
  </si>
  <si>
    <t>4264</t>
  </si>
  <si>
    <t>4270</t>
  </si>
  <si>
    <t>4280</t>
  </si>
  <si>
    <t>4310</t>
  </si>
  <si>
    <t>4330</t>
  </si>
  <si>
    <t>4380</t>
  </si>
  <si>
    <t>4800</t>
  </si>
  <si>
    <t>4810</t>
  </si>
  <si>
    <t>4830</t>
  </si>
  <si>
    <t>4870</t>
  </si>
  <si>
    <t>4880</t>
  </si>
  <si>
    <t>4893</t>
  </si>
  <si>
    <t>4930</t>
  </si>
  <si>
    <t>4950</t>
  </si>
  <si>
    <t>5870</t>
  </si>
  <si>
    <t>8010</t>
  </si>
  <si>
    <t>8040</t>
  </si>
  <si>
    <t>8051</t>
  </si>
  <si>
    <t>8081</t>
  </si>
  <si>
    <t>8082</t>
  </si>
  <si>
    <t>8120</t>
  </si>
  <si>
    <t>8700</t>
  </si>
  <si>
    <t>8710</t>
  </si>
  <si>
    <t>8720</t>
  </si>
  <si>
    <t>8730</t>
  </si>
  <si>
    <t>8740</t>
  </si>
  <si>
    <t>8750</t>
  </si>
  <si>
    <t>8760</t>
  </si>
  <si>
    <t>8770</t>
  </si>
  <si>
    <t>8780</t>
  </si>
  <si>
    <t>8790</t>
  </si>
  <si>
    <t>8800</t>
  </si>
  <si>
    <t>8810</t>
  </si>
  <si>
    <t>8850</t>
  </si>
  <si>
    <t>8860</t>
  </si>
  <si>
    <t>8870</t>
  </si>
  <si>
    <t>8880</t>
  </si>
  <si>
    <t>8890</t>
  </si>
  <si>
    <t>8900</t>
  </si>
  <si>
    <t>8910</t>
  </si>
  <si>
    <t>8920</t>
  </si>
  <si>
    <t>8930</t>
  </si>
  <si>
    <t>8940</t>
  </si>
  <si>
    <t>9020</t>
  </si>
  <si>
    <t>9030</t>
  </si>
  <si>
    <t>9040</t>
  </si>
  <si>
    <t>9080</t>
  </si>
  <si>
    <t>9090</t>
  </si>
  <si>
    <t>9120</t>
  </si>
  <si>
    <t>9130</t>
  </si>
  <si>
    <t>9160</t>
  </si>
  <si>
    <t>9200</t>
  </si>
  <si>
    <t>9210</t>
  </si>
  <si>
    <t>9220</t>
  </si>
  <si>
    <t>9230</t>
  </si>
  <si>
    <t>9240</t>
  </si>
  <si>
    <t>9250</t>
  </si>
  <si>
    <t>9260</t>
  </si>
  <si>
    <t>9302</t>
  </si>
  <si>
    <t>9310</t>
  </si>
  <si>
    <t>9320</t>
  </si>
  <si>
    <t>9999</t>
  </si>
  <si>
    <t>Income taxes ATL - Federal &amp; State</t>
  </si>
  <si>
    <t>Income taxes BTL - Federal &amp; State</t>
  </si>
  <si>
    <t>Def. Taxes - Federal  &amp; State</t>
  </si>
  <si>
    <t>7500700</t>
  </si>
  <si>
    <t>7500020</t>
  </si>
  <si>
    <t>7500080</t>
  </si>
  <si>
    <t>4560</t>
  </si>
  <si>
    <t>4073071</t>
  </si>
  <si>
    <t>4073140</t>
  </si>
  <si>
    <t>4810600</t>
  </si>
  <si>
    <t>4810601</t>
  </si>
  <si>
    <t>4810602</t>
  </si>
  <si>
    <t>4810610</t>
  </si>
  <si>
    <t>4810611</t>
  </si>
  <si>
    <t>4810612</t>
  </si>
  <si>
    <t>6790055</t>
  </si>
  <si>
    <t>2190040</t>
  </si>
  <si>
    <t>2190041</t>
  </si>
  <si>
    <t>7500120</t>
  </si>
  <si>
    <t>7500130</t>
  </si>
  <si>
    <t>JAN 2015  Cumulative  Balance</t>
  </si>
  <si>
    <t>FEB 2015  Cumulative  Balance</t>
  </si>
  <si>
    <t>MAR 2015  Cumulative  Balance</t>
  </si>
  <si>
    <t>JAN 2015  Activity</t>
  </si>
  <si>
    <t>FEB 2015  Activity</t>
  </si>
  <si>
    <t>MAR 2015  Activity</t>
  </si>
  <si>
    <t>9301</t>
  </si>
  <si>
    <t>4074060</t>
  </si>
  <si>
    <t>Per FERC F/S</t>
  </si>
  <si>
    <t>APR 2015  Cumulative  Balance</t>
  </si>
  <si>
    <t>MAY 2015  Cumulative  Balance</t>
  </si>
  <si>
    <t>APR 2015  Activity</t>
  </si>
  <si>
    <t>MAY 2015  Activity</t>
  </si>
  <si>
    <t>JUN 2015  Activity</t>
  </si>
  <si>
    <t>JUN 2015  Cumulative  Balance</t>
  </si>
  <si>
    <t>O&amp;M Expense</t>
  </si>
  <si>
    <t>REG CR Def PGA</t>
  </si>
  <si>
    <t>REG CR Cnsv Amtz Gas</t>
  </si>
  <si>
    <t>Labor Exempt OT</t>
  </si>
  <si>
    <t>Benefits-Other</t>
  </si>
  <si>
    <t>TSI Cap to BalSht</t>
  </si>
  <si>
    <t>FICO Rec HR Alloc</t>
  </si>
  <si>
    <t>FICORec TSISvc Alloc</t>
  </si>
  <si>
    <t>FICO Rec Proc Alloc</t>
  </si>
  <si>
    <t>FICO Rec TSI Capital</t>
  </si>
  <si>
    <t>FICO Rec Enrg Alloc</t>
  </si>
  <si>
    <t>JUL 2015  Activity</t>
  </si>
  <si>
    <t>AUG 2015  Activity</t>
  </si>
  <si>
    <t>SEP 2015  Activity</t>
  </si>
  <si>
    <t>JUL 2015  Cumulative  Balance</t>
  </si>
  <si>
    <t>AUG 2015  Cumulative  Balance</t>
  </si>
  <si>
    <t>SEP 2015  Cumulative  Balance</t>
  </si>
  <si>
    <t>4073052</t>
  </si>
  <si>
    <t xml:space="preserve"> REG DR Defd Environmental Tax Credit </t>
  </si>
  <si>
    <t>YTD Sep 15</t>
  </si>
  <si>
    <t>OCT 2015  Activity</t>
  </si>
  <si>
    <t>NOV 2015  Activity</t>
  </si>
  <si>
    <t>DEC 2015  Activity</t>
  </si>
  <si>
    <t>OCT 2015  Cumulative  Balance</t>
  </si>
  <si>
    <t>NOV 2015  Cumulative  Balance</t>
  </si>
  <si>
    <t>DEC 2015  Cumulative  Balance</t>
  </si>
  <si>
    <t>USE FERD Natural ACCTS</t>
  </si>
  <si>
    <t>2360800</t>
  </si>
  <si>
    <t>Total Adjusted</t>
  </si>
  <si>
    <t>Reg. Financial Equity Ratio</t>
  </si>
  <si>
    <t>Percentage</t>
  </si>
  <si>
    <t>JAN 2016  Cumulative  Balance</t>
  </si>
  <si>
    <t>FEB 2016  Cumulative  Balance</t>
  </si>
  <si>
    <t>MAR 2016  Cumulative  Balance</t>
  </si>
  <si>
    <t>Penalties</t>
  </si>
  <si>
    <t>4263</t>
  </si>
  <si>
    <t>I&amp;D Wrk Comp Resrv</t>
  </si>
  <si>
    <t>2282020</t>
  </si>
  <si>
    <t>JAN 2016  Activity</t>
  </si>
  <si>
    <t>FEB 2016  Activity</t>
  </si>
  <si>
    <t>MAR 2016  Activity</t>
  </si>
  <si>
    <t>APR 2016  Activity</t>
  </si>
  <si>
    <t>MAY 2016  Activity</t>
  </si>
  <si>
    <t>JUN 2016  Activity</t>
  </si>
  <si>
    <t>4120</t>
  </si>
  <si>
    <t>4130</t>
  </si>
  <si>
    <t>MiscSv-NGVS-2 Facil</t>
  </si>
  <si>
    <t>OthRev-Hardee Maint</t>
  </si>
  <si>
    <t>Benefits to BalSheet</t>
  </si>
  <si>
    <t>M&amp;S Part Repairs</t>
  </si>
  <si>
    <t>Rent-Vehicle</t>
  </si>
  <si>
    <t>TSI FICO Recon O&amp;M E</t>
  </si>
  <si>
    <t>Rev Gas Plant leased</t>
  </si>
  <si>
    <t>Rev Plant leasedGAAP</t>
  </si>
  <si>
    <t>Rev Plant leased Int</t>
  </si>
  <si>
    <t>Restoration Plan Exp</t>
  </si>
  <si>
    <t>Ins to BalSheet</t>
  </si>
  <si>
    <t>Fees-Trsm Line-Spot</t>
  </si>
  <si>
    <t>IC Asset Usage Fee</t>
  </si>
  <si>
    <t>Other Oper-GAAP Adj</t>
  </si>
  <si>
    <t>Deprec Other-GAAP</t>
  </si>
  <si>
    <t>TOTI-PropTx ATL GAAP</t>
  </si>
  <si>
    <t>TOTI to BalSheet</t>
  </si>
  <si>
    <t>IntInc-CI/BSR Rider</t>
  </si>
  <si>
    <t>Loss Sale Util Prop</t>
  </si>
  <si>
    <t>APR 2016  Cumulative  Balance</t>
  </si>
  <si>
    <t>MAY 2016  Cumulative  Balance</t>
  </si>
  <si>
    <t>JUN 2016  Cumulative  Balance</t>
  </si>
  <si>
    <t>Plant Lease to Other</t>
  </si>
  <si>
    <t>Plant Lease-GAAP</t>
  </si>
  <si>
    <t>Accum Deprec-GAAP</t>
  </si>
  <si>
    <t>JPM 3428 ACH Out</t>
  </si>
  <si>
    <t>JPM 3444 Wire In</t>
  </si>
  <si>
    <t>JPM 0180 ACH In</t>
  </si>
  <si>
    <t>JPM 3452 Wire Out</t>
  </si>
  <si>
    <t>Lease Rec C-GAAP</t>
  </si>
  <si>
    <t>Lease Rec NC-GAAP</t>
  </si>
  <si>
    <t>Unearn Int LeaseGAAP</t>
  </si>
  <si>
    <t>Reg Ast CI/BSR Rider</t>
  </si>
  <si>
    <t>DefDr SERP Trust</t>
  </si>
  <si>
    <t>Defd SIT Credits</t>
  </si>
  <si>
    <t>Defd Tax ValAllw</t>
  </si>
  <si>
    <t>OCI Restor Pretax</t>
  </si>
  <si>
    <t>Restoration Liab NC</t>
  </si>
  <si>
    <t>SIT Withholding Pay</t>
  </si>
  <si>
    <t>DefCr Def Int Rev</t>
  </si>
  <si>
    <t>Reg Liab-PrpSal NC</t>
  </si>
  <si>
    <t>Restor FAS158 NC</t>
  </si>
  <si>
    <t>104</t>
  </si>
  <si>
    <t>1720201/1720202</t>
  </si>
  <si>
    <t>2283220</t>
  </si>
  <si>
    <t>2283221</t>
  </si>
  <si>
    <t>1040000</t>
  </si>
  <si>
    <t>1050000</t>
  </si>
  <si>
    <t>1060000</t>
  </si>
  <si>
    <t>1070000</t>
  </si>
  <si>
    <t>1080000</t>
  </si>
  <si>
    <t>1080200</t>
  </si>
  <si>
    <t>1340200</t>
  </si>
  <si>
    <t>1350000</t>
  </si>
  <si>
    <t>1420500</t>
  </si>
  <si>
    <t>1420520</t>
  </si>
  <si>
    <t>1420530</t>
  </si>
  <si>
    <t>1420540</t>
  </si>
  <si>
    <t>1420600</t>
  </si>
  <si>
    <t>1420800</t>
  </si>
  <si>
    <t>1430000</t>
  </si>
  <si>
    <t>1430030</t>
  </si>
  <si>
    <t>1430300</t>
  </si>
  <si>
    <t>1430400</t>
  </si>
  <si>
    <t>1430500</t>
  </si>
  <si>
    <t>1430520</t>
  </si>
  <si>
    <t>1440020</t>
  </si>
  <si>
    <t>1460700</t>
  </si>
  <si>
    <t>1460705</t>
  </si>
  <si>
    <t>1460720</t>
  </si>
  <si>
    <t>1540000</t>
  </si>
  <si>
    <t>1650040</t>
  </si>
  <si>
    <t>1650050</t>
  </si>
  <si>
    <t>1650500</t>
  </si>
  <si>
    <t>1650502</t>
  </si>
  <si>
    <t>1650503</t>
  </si>
  <si>
    <t>1650505</t>
  </si>
  <si>
    <t>1650506</t>
  </si>
  <si>
    <t>1650507</t>
  </si>
  <si>
    <t>1650520</t>
  </si>
  <si>
    <t>1650599</t>
  </si>
  <si>
    <t>1650800</t>
  </si>
  <si>
    <t>1720202</t>
  </si>
  <si>
    <t>1760200</t>
  </si>
  <si>
    <t>1823040</t>
  </si>
  <si>
    <t>1823200</t>
  </si>
  <si>
    <t>1823245</t>
  </si>
  <si>
    <t>1823340</t>
  </si>
  <si>
    <t>1823345</t>
  </si>
  <si>
    <t>1840500</t>
  </si>
  <si>
    <t>1840590</t>
  </si>
  <si>
    <t>1860020</t>
  </si>
  <si>
    <t>1860800</t>
  </si>
  <si>
    <t>1890200</t>
  </si>
  <si>
    <t>1900300</t>
  </si>
  <si>
    <t>1900306</t>
  </si>
  <si>
    <t>1900307</t>
  </si>
  <si>
    <t>1900308</t>
  </si>
  <si>
    <t>1900309</t>
  </si>
  <si>
    <t>1900400</t>
  </si>
  <si>
    <t>1900406</t>
  </si>
  <si>
    <t>1900407</t>
  </si>
  <si>
    <t>1900408</t>
  </si>
  <si>
    <t>1900409</t>
  </si>
  <si>
    <t>1900600</t>
  </si>
  <si>
    <t>1990900</t>
  </si>
  <si>
    <t>1010000</t>
  </si>
  <si>
    <t>1040001</t>
  </si>
  <si>
    <t>1080001</t>
  </si>
  <si>
    <t>1080100</t>
  </si>
  <si>
    <t>1080110</t>
  </si>
  <si>
    <t>1080210</t>
  </si>
  <si>
    <t>1080901</t>
  </si>
  <si>
    <t>1140000</t>
  </si>
  <si>
    <t>1150000</t>
  </si>
  <si>
    <t>1231000</t>
  </si>
  <si>
    <t>1310180</t>
  </si>
  <si>
    <t>1310181</t>
  </si>
  <si>
    <t>1310187</t>
  </si>
  <si>
    <t>1310190</t>
  </si>
  <si>
    <t>1310191</t>
  </si>
  <si>
    <t>1310192</t>
  </si>
  <si>
    <t>1310193</t>
  </si>
  <si>
    <t>1310194</t>
  </si>
  <si>
    <t>1310200</t>
  </si>
  <si>
    <t>1310201</t>
  </si>
  <si>
    <t>1310202</t>
  </si>
  <si>
    <t>1310205</t>
  </si>
  <si>
    <t>1310210</t>
  </si>
  <si>
    <t>1310220</t>
  </si>
  <si>
    <t>1310222</t>
  </si>
  <si>
    <t>1310225</t>
  </si>
  <si>
    <t>1310227</t>
  </si>
  <si>
    <t>1310230</t>
  </si>
  <si>
    <t>1310240</t>
  </si>
  <si>
    <t>1310241</t>
  </si>
  <si>
    <t>1310242</t>
  </si>
  <si>
    <t>1310243</t>
  </si>
  <si>
    <t>1310247</t>
  </si>
  <si>
    <t>1310244</t>
  </si>
  <si>
    <t>1310250</t>
  </si>
  <si>
    <t>1310260</t>
  </si>
  <si>
    <t>1310630</t>
  </si>
  <si>
    <t>1310990</t>
  </si>
  <si>
    <t>1420510</t>
  </si>
  <si>
    <t>1420601</t>
  </si>
  <si>
    <t>1420801</t>
  </si>
  <si>
    <t>1430001</t>
  </si>
  <si>
    <t>1430510</t>
  </si>
  <si>
    <t>1440010</t>
  </si>
  <si>
    <t>1450711</t>
  </si>
  <si>
    <t>1460701</t>
  </si>
  <si>
    <t>1460710</t>
  </si>
  <si>
    <t>1510050</t>
  </si>
  <si>
    <t>1540001</t>
  </si>
  <si>
    <t>1641000</t>
  </si>
  <si>
    <t>1650513</t>
  </si>
  <si>
    <t>1650514</t>
  </si>
  <si>
    <t>1650515</t>
  </si>
  <si>
    <t>1650516</t>
  </si>
  <si>
    <t>1650517</t>
  </si>
  <si>
    <t>1650518</t>
  </si>
  <si>
    <t>1650519</t>
  </si>
  <si>
    <t>1720101</t>
  </si>
  <si>
    <t>1720201</t>
  </si>
  <si>
    <t>1730100</t>
  </si>
  <si>
    <t>1760100</t>
  </si>
  <si>
    <t>1810200</t>
  </si>
  <si>
    <t>1823071</t>
  </si>
  <si>
    <t>1823100</t>
  </si>
  <si>
    <t>1840510</t>
  </si>
  <si>
    <t>1840591</t>
  </si>
  <si>
    <t>1900310</t>
  </si>
  <si>
    <t>1900410</t>
  </si>
  <si>
    <t>1910100</t>
  </si>
  <si>
    <t>1910110</t>
  </si>
  <si>
    <t>1910160</t>
  </si>
  <si>
    <t>1910165</t>
  </si>
  <si>
    <t>1990910</t>
  </si>
  <si>
    <t>2070000</t>
  </si>
  <si>
    <t>2110000</t>
  </si>
  <si>
    <t>2160000</t>
  </si>
  <si>
    <t>2161000</t>
  </si>
  <si>
    <t>2190000</t>
  </si>
  <si>
    <t>2190001</t>
  </si>
  <si>
    <t>2190010</t>
  </si>
  <si>
    <t>2190011</t>
  </si>
  <si>
    <t>2190020</t>
  </si>
  <si>
    <t>2190030</t>
  </si>
  <si>
    <t>2190031</t>
  </si>
  <si>
    <t>2190050</t>
  </si>
  <si>
    <t>2240200</t>
  </si>
  <si>
    <t>2260200</t>
  </si>
  <si>
    <t>2310000</t>
  </si>
  <si>
    <t>2320000</t>
  </si>
  <si>
    <t>2320001</t>
  </si>
  <si>
    <t>2320002</t>
  </si>
  <si>
    <t>2320003</t>
  </si>
  <si>
    <t>2320005</t>
  </si>
  <si>
    <t>2320006</t>
  </si>
  <si>
    <t>2320007</t>
  </si>
  <si>
    <t>2320009</t>
  </si>
  <si>
    <t>2320010</t>
  </si>
  <si>
    <t>2320011</t>
  </si>
  <si>
    <t>2320012</t>
  </si>
  <si>
    <t>2320013</t>
  </si>
  <si>
    <t>2320016</t>
  </si>
  <si>
    <t>2320017</t>
  </si>
  <si>
    <t>2320018</t>
  </si>
  <si>
    <t>2320019</t>
  </si>
  <si>
    <t>2320021</t>
  </si>
  <si>
    <t>2320023</t>
  </si>
  <si>
    <t>2320024</t>
  </si>
  <si>
    <t>2320025</t>
  </si>
  <si>
    <t>2320026</t>
  </si>
  <si>
    <t>2320027</t>
  </si>
  <si>
    <t>2320028</t>
  </si>
  <si>
    <t>2320029</t>
  </si>
  <si>
    <t>2320030</t>
  </si>
  <si>
    <t>2320031</t>
  </si>
  <si>
    <t>2320035</t>
  </si>
  <si>
    <t>2320036</t>
  </si>
  <si>
    <t>2320037</t>
  </si>
  <si>
    <t>2320047</t>
  </si>
  <si>
    <t>2320999</t>
  </si>
  <si>
    <t>2340700</t>
  </si>
  <si>
    <t>2340701</t>
  </si>
  <si>
    <t>2350100</t>
  </si>
  <si>
    <t>2380720</t>
  </si>
  <si>
    <t>2410300</t>
  </si>
  <si>
    <t>2410305</t>
  </si>
  <si>
    <t>2410310</t>
  </si>
  <si>
    <t>2410320</t>
  </si>
  <si>
    <t>2410330</t>
  </si>
  <si>
    <t>2410430</t>
  </si>
  <si>
    <t>2520000</t>
  </si>
  <si>
    <t>2530299</t>
  </si>
  <si>
    <t>2530360</t>
  </si>
  <si>
    <t>2530800</t>
  </si>
  <si>
    <t>2540280</t>
  </si>
  <si>
    <t>2550000</t>
  </si>
  <si>
    <t>2820300</t>
  </si>
  <si>
    <t>2820400</t>
  </si>
  <si>
    <t>2830300</t>
  </si>
  <si>
    <t>2830330</t>
  </si>
  <si>
    <t>2830331</t>
  </si>
  <si>
    <t>2830340</t>
  </si>
  <si>
    <t>2830400</t>
  </si>
  <si>
    <t>2830430</t>
  </si>
  <si>
    <t>2830431</t>
  </si>
  <si>
    <t>2830440</t>
  </si>
  <si>
    <t>GAAP Not in FERC 172</t>
  </si>
  <si>
    <t>GAAP Not in FERC 108</t>
  </si>
  <si>
    <t>GAAP Not in FERC 104</t>
  </si>
  <si>
    <t>JUL 2016  Activity</t>
  </si>
  <si>
    <t>AUG 2016  Activity</t>
  </si>
  <si>
    <t>SEP 2016  Activity</t>
  </si>
  <si>
    <t>JUL 2016  Cumulative  Balance</t>
  </si>
  <si>
    <t>AUG 2016  Cumulative  Balance</t>
  </si>
  <si>
    <t>SEP 2016  Cumulative  Balance</t>
  </si>
  <si>
    <t>Restoration FAS158 C</t>
  </si>
  <si>
    <t>Check to BS Accts</t>
  </si>
  <si>
    <t>M&amp;S Lab</t>
  </si>
  <si>
    <t>Deprec Leased Assets</t>
  </si>
  <si>
    <t>Gain Sale Util Prop</t>
  </si>
  <si>
    <t>IntInc to BalSheet</t>
  </si>
  <si>
    <t>4211</t>
  </si>
  <si>
    <t>CIBSR Cost True Up</t>
  </si>
  <si>
    <t>CIBSR Cost True Up (New line added Jan '15)</t>
  </si>
  <si>
    <t>CIBSR TRUE-UP</t>
  </si>
  <si>
    <t>CIBSR COST TRUE-UP</t>
  </si>
  <si>
    <t>GAAP Not in FERC 253</t>
  </si>
  <si>
    <t>All accounts went to 186 and zeroed out</t>
  </si>
  <si>
    <t>OCT 2016  Cumulative  Balance</t>
  </si>
  <si>
    <t>NOV 2016  Cumulative  Balance</t>
  </si>
  <si>
    <t>DEC 2016  Cumulative  Balance</t>
  </si>
  <si>
    <t>OCT 2016  Activity</t>
  </si>
  <si>
    <t>NOV2016  Activity</t>
  </si>
  <si>
    <t>DEC 2016  Activity</t>
  </si>
  <si>
    <t>13-Month</t>
  </si>
  <si>
    <t>NON-UTILITY</t>
  </si>
  <si>
    <t>13 MONTH AVG</t>
  </si>
  <si>
    <t>Plant Balances for SR</t>
  </si>
  <si>
    <t>Dec</t>
  </si>
  <si>
    <t>Jan</t>
  </si>
  <si>
    <t>Feb</t>
  </si>
  <si>
    <t>Mar</t>
  </si>
  <si>
    <t>Apr</t>
  </si>
  <si>
    <t>Jun</t>
  </si>
  <si>
    <t>Jul</t>
  </si>
  <si>
    <t>Aug</t>
  </si>
  <si>
    <t>Sep</t>
  </si>
  <si>
    <t>Oct</t>
  </si>
  <si>
    <t>Nov</t>
  </si>
  <si>
    <t xml:space="preserve">Sep </t>
  </si>
  <si>
    <t>Accumulated Depreciation for SR</t>
  </si>
  <si>
    <t xml:space="preserve">12 MONTH </t>
  </si>
  <si>
    <t>Depreciation Expense for SR</t>
  </si>
  <si>
    <t>ACTUAL</t>
  </si>
  <si>
    <t>M&amp;S Obsolete Inven</t>
  </si>
  <si>
    <t>CurrAdj Unreal Gain</t>
  </si>
  <si>
    <t>DIT Fed NonUtility</t>
  </si>
  <si>
    <t>DIT State NonUtil</t>
  </si>
  <si>
    <t>4102</t>
  </si>
  <si>
    <t>4265</t>
  </si>
  <si>
    <t>1310690</t>
  </si>
  <si>
    <t>SUN 2103 Misc Dep</t>
  </si>
  <si>
    <t>Allow Uncollectibles</t>
  </si>
  <si>
    <t>1440000</t>
  </si>
  <si>
    <t>DTA Sep Co Fed</t>
  </si>
  <si>
    <t>1900303</t>
  </si>
  <si>
    <t>1900305</t>
  </si>
  <si>
    <t>DTA Fed NonUtility</t>
  </si>
  <si>
    <t>1900403</t>
  </si>
  <si>
    <t>DTA Sep Co State</t>
  </si>
  <si>
    <t>DTA State NonUtility</t>
  </si>
  <si>
    <t>1900405</t>
  </si>
  <si>
    <t>2340711</t>
  </si>
  <si>
    <t>AP Emera IC Posting</t>
  </si>
  <si>
    <t>2420121</t>
  </si>
  <si>
    <t>YEAR-END RATE BASE</t>
  </si>
  <si>
    <t>YEAR-END</t>
  </si>
  <si>
    <t>JAN 2017  Activity</t>
  </si>
  <si>
    <t>FEB 2017  Activity</t>
  </si>
  <si>
    <t>MAR 2017  Activity</t>
  </si>
  <si>
    <t>JAN 2017  Cumulative  Balance</t>
  </si>
  <si>
    <t>FEB 2017  Cumulative  Balance</t>
  </si>
  <si>
    <t>MAR 2017  Cumulative  Balance</t>
  </si>
  <si>
    <t>12 MONTH ENDING</t>
  </si>
  <si>
    <t>REG DR Cnsv Amtz Gas</t>
  </si>
  <si>
    <t>4073141</t>
  </si>
  <si>
    <t>Intrpt Con Svc Fuel</t>
  </si>
  <si>
    <t>MiscSv-CRM LegacyAdj</t>
  </si>
  <si>
    <t>Intrpt Con Svc Trnsp</t>
  </si>
  <si>
    <t>OthRev-PoolMgrChg</t>
  </si>
  <si>
    <t>Fleet Allocation</t>
  </si>
  <si>
    <t>Stores Allocation</t>
  </si>
  <si>
    <t>E&amp;S Allocation</t>
  </si>
  <si>
    <t>AR CRM RECON</t>
  </si>
  <si>
    <t>AR CRM Posting</t>
  </si>
  <si>
    <t>1420400</t>
  </si>
  <si>
    <t>1420401</t>
  </si>
  <si>
    <t>AR Oth CRM RECON</t>
  </si>
  <si>
    <t>1430040</t>
  </si>
  <si>
    <t>4810091</t>
  </si>
  <si>
    <t>4880108</t>
  </si>
  <si>
    <t>4893090</t>
  </si>
  <si>
    <t>4950210</t>
  </si>
  <si>
    <t>6790320</t>
  </si>
  <si>
    <t>6790321</t>
  </si>
  <si>
    <t>6790324</t>
  </si>
  <si>
    <t>Allow Uncoll-CRM FF</t>
  </si>
  <si>
    <t>Allow Uncoll-CRM GRT</t>
  </si>
  <si>
    <t>1440001</t>
  </si>
  <si>
    <t>1440002</t>
  </si>
  <si>
    <t>AR IC CRM-OneBill</t>
  </si>
  <si>
    <t>AR IC CRM-TEC</t>
  </si>
  <si>
    <t>AR IC CRM-TPI</t>
  </si>
  <si>
    <t>1460740</t>
  </si>
  <si>
    <t>1460741</t>
  </si>
  <si>
    <t>1460743</t>
  </si>
  <si>
    <t>CRM Takeover</t>
  </si>
  <si>
    <t>1990920</t>
  </si>
  <si>
    <t>AP Emera IC Recon</t>
  </si>
  <si>
    <t>2340710</t>
  </si>
  <si>
    <t>AP IC CRM-OneBill</t>
  </si>
  <si>
    <t>AP IC CRM-TEC</t>
  </si>
  <si>
    <t>AP IC CRM-TPI</t>
  </si>
  <si>
    <t>2340740</t>
  </si>
  <si>
    <t>2340741</t>
  </si>
  <si>
    <t>2340743</t>
  </si>
  <si>
    <t>Sales Use Pay CIS</t>
  </si>
  <si>
    <t>Sales Surtax Pay CIS</t>
  </si>
  <si>
    <t>2410000</t>
  </si>
  <si>
    <t>2410005</t>
  </si>
  <si>
    <t>DefCr LT Incentive</t>
  </si>
  <si>
    <t>2530340</t>
  </si>
  <si>
    <t>APR 2017  Cumulative  Balance</t>
  </si>
  <si>
    <t>MAY 2017  Cumulative  Balance</t>
  </si>
  <si>
    <t>JUN 2017  Cumulative  Balance</t>
  </si>
  <si>
    <t>APR 2017  Activity</t>
  </si>
  <si>
    <t>MAY 2017  Activity</t>
  </si>
  <si>
    <t>JUN 2017  Activity</t>
  </si>
  <si>
    <t>DefCr Unclaim Items</t>
  </si>
  <si>
    <t>2530310</t>
  </si>
  <si>
    <t>2240100</t>
  </si>
  <si>
    <t>LTD Recourse C</t>
  </si>
  <si>
    <t xml:space="preserve"> Remove Unrec. CIBSR Costs</t>
  </si>
  <si>
    <r>
      <t>AVERAGE</t>
    </r>
    <r>
      <rPr>
        <sz val="10"/>
        <rFont val="Arial"/>
        <family val="2"/>
      </rPr>
      <t xml:space="preserve"> CAPITAL STRUCTURE (PER BOOKS)</t>
    </r>
  </si>
  <si>
    <t>JUL 2017  Activity</t>
  </si>
  <si>
    <t>AUG 2017  Activity</t>
  </si>
  <si>
    <t>SEP 2017  Activity</t>
  </si>
  <si>
    <t>JUL 2017  Cumulative  Balance</t>
  </si>
  <si>
    <t>AUG 2017  Cumulative  Balance</t>
  </si>
  <si>
    <t>SEP 2017  Cumulative  Balance</t>
  </si>
  <si>
    <t>12-Month</t>
  </si>
  <si>
    <t>Conservation Cost True Up (1823040)</t>
  </si>
  <si>
    <t>CIBSR Cost True Up (1823071)</t>
  </si>
  <si>
    <t>OCT 2017  Activity</t>
  </si>
  <si>
    <t>NOV 2017  Activity</t>
  </si>
  <si>
    <t>DEC 2017  Activity</t>
  </si>
  <si>
    <t>OCT 2017  Cumulative  Balance</t>
  </si>
  <si>
    <t>NOV 2017  Cumulative  Balance</t>
  </si>
  <si>
    <t>DEC 2017  Cumulative  Balance</t>
  </si>
  <si>
    <t>Interruptible Contract Service</t>
  </si>
  <si>
    <t>Employer Match on Common Stock Purchase Program</t>
  </si>
  <si>
    <t>Stadium-Food</t>
  </si>
  <si>
    <t>CurrAdj Real Loss</t>
  </si>
  <si>
    <t>AR IC Emera Posting</t>
  </si>
  <si>
    <t>2830610</t>
  </si>
  <si>
    <t>2820610</t>
  </si>
  <si>
    <t>2540610</t>
  </si>
  <si>
    <t>1460791</t>
  </si>
  <si>
    <t>Reg Liab-FAS 106 Tax</t>
  </si>
  <si>
    <t>DIT Oth Prop FAS109</t>
  </si>
  <si>
    <t>DIT FAS109 Other</t>
  </si>
  <si>
    <t>Regulatory Liabilities  - Tax Related</t>
  </si>
  <si>
    <t>Regulated Liability - Tax Related</t>
  </si>
  <si>
    <t xml:space="preserve">   CONSERVATION COST TRUE-UP</t>
  </si>
  <si>
    <t xml:space="preserve">   CIBSR COST TRUE-UP</t>
  </si>
  <si>
    <t xml:space="preserve">   DEFERRED TAX ASSET</t>
  </si>
  <si>
    <t>RETURN ON EQUITY</t>
  </si>
  <si>
    <t>COMPARISONS</t>
  </si>
  <si>
    <t>(In $ Thousands)</t>
  </si>
  <si>
    <t>Wtd Cost of Other Capital</t>
  </si>
  <si>
    <t>JAN 2018  Activity</t>
  </si>
  <si>
    <t>FEB 2018  Activity</t>
  </si>
  <si>
    <t>MAR 2018  Activity</t>
  </si>
  <si>
    <t>JAN 2018  Cumulative  Balance</t>
  </si>
  <si>
    <t>FEB 2018  Cumulative  Balance</t>
  </si>
  <si>
    <t>MAR 2018  Cumulative  Balance</t>
  </si>
  <si>
    <t>4120000</t>
  </si>
  <si>
    <t>4120001</t>
  </si>
  <si>
    <t>4120002</t>
  </si>
  <si>
    <t>4800010</t>
  </si>
  <si>
    <t>4800011</t>
  </si>
  <si>
    <t>4800020</t>
  </si>
  <si>
    <t>4800021</t>
  </si>
  <si>
    <t>4800030</t>
  </si>
  <si>
    <t>4800031</t>
  </si>
  <si>
    <t>4800035</t>
  </si>
  <si>
    <t>4800036</t>
  </si>
  <si>
    <t>4800040</t>
  </si>
  <si>
    <t>4800041</t>
  </si>
  <si>
    <t>4800042</t>
  </si>
  <si>
    <t>4800043</t>
  </si>
  <si>
    <t>4800044</t>
  </si>
  <si>
    <t>4800045</t>
  </si>
  <si>
    <t>4810001</t>
  </si>
  <si>
    <t>4810002</t>
  </si>
  <si>
    <t>4810004</t>
  </si>
  <si>
    <t>4810005</t>
  </si>
  <si>
    <t>4810008</t>
  </si>
  <si>
    <t>4810009</t>
  </si>
  <si>
    <t>4810035</t>
  </si>
  <si>
    <t>4810036</t>
  </si>
  <si>
    <t>4810050</t>
  </si>
  <si>
    <t>4810051</t>
  </si>
  <si>
    <t>4810052</t>
  </si>
  <si>
    <t>4810053</t>
  </si>
  <si>
    <t>4810054</t>
  </si>
  <si>
    <t>4810055</t>
  </si>
  <si>
    <t>4810056</t>
  </si>
  <si>
    <t>4810057</t>
  </si>
  <si>
    <t>4810058</t>
  </si>
  <si>
    <t>4810059</t>
  </si>
  <si>
    <t>4810060</t>
  </si>
  <si>
    <t>4810061</t>
  </si>
  <si>
    <t>4810070</t>
  </si>
  <si>
    <t>4810071</t>
  </si>
  <si>
    <t>4810080</t>
  </si>
  <si>
    <t>4810081</t>
  </si>
  <si>
    <t>4810090</t>
  </si>
  <si>
    <t>4810500</t>
  </si>
  <si>
    <t>4830091</t>
  </si>
  <si>
    <t>4830092</t>
  </si>
  <si>
    <t>4833091</t>
  </si>
  <si>
    <t>4870000</t>
  </si>
  <si>
    <t>4880101</t>
  </si>
  <si>
    <t>4880102</t>
  </si>
  <si>
    <t>4880103</t>
  </si>
  <si>
    <t>4880104</t>
  </si>
  <si>
    <t>4880105</t>
  </si>
  <si>
    <t>4880106</t>
  </si>
  <si>
    <t>4880107</t>
  </si>
  <si>
    <t>4880111</t>
  </si>
  <si>
    <t>4880800</t>
  </si>
  <si>
    <t>4880850</t>
  </si>
  <si>
    <t>4893001</t>
  </si>
  <si>
    <t>4893002</t>
  </si>
  <si>
    <t>4893004</t>
  </si>
  <si>
    <t>4893005</t>
  </si>
  <si>
    <t>4893008</t>
  </si>
  <si>
    <t>4893009</t>
  </si>
  <si>
    <t>4893035</t>
  </si>
  <si>
    <t>4893036</t>
  </si>
  <si>
    <t>4893040</t>
  </si>
  <si>
    <t>4893042</t>
  </si>
  <si>
    <t>4893041</t>
  </si>
  <si>
    <t>4893043</t>
  </si>
  <si>
    <t>4893044</t>
  </si>
  <si>
    <t>4893045</t>
  </si>
  <si>
    <t>4893050</t>
  </si>
  <si>
    <t>4893051</t>
  </si>
  <si>
    <t>4893052</t>
  </si>
  <si>
    <t>4893053</t>
  </si>
  <si>
    <t>4893054</t>
  </si>
  <si>
    <t>4893055</t>
  </si>
  <si>
    <t>4893057</t>
  </si>
  <si>
    <t>4893056</t>
  </si>
  <si>
    <t>4893058</t>
  </si>
  <si>
    <t>4893059</t>
  </si>
  <si>
    <t>4893060</t>
  </si>
  <si>
    <t>4893070</t>
  </si>
  <si>
    <t>4893080</t>
  </si>
  <si>
    <t>4930700</t>
  </si>
  <si>
    <t>4930000</t>
  </si>
  <si>
    <t>4950203</t>
  </si>
  <si>
    <t>4950205</t>
  </si>
  <si>
    <t>4950206</t>
  </si>
  <si>
    <t>4950207</t>
  </si>
  <si>
    <t>4950208</t>
  </si>
  <si>
    <t>4950209</t>
  </si>
  <si>
    <t>4950211</t>
  </si>
  <si>
    <t>4950212</t>
  </si>
  <si>
    <t>4950214</t>
  </si>
  <si>
    <t>4950213</t>
  </si>
  <si>
    <t>4950271</t>
  </si>
  <si>
    <t>4950800</t>
  </si>
  <si>
    <t>6010110</t>
  </si>
  <si>
    <t>6010120</t>
  </si>
  <si>
    <t>6010210</t>
  </si>
  <si>
    <t>6010130</t>
  </si>
  <si>
    <t>6010220</t>
  </si>
  <si>
    <t>6010230</t>
  </si>
  <si>
    <t>6010310</t>
  </si>
  <si>
    <t>6010320</t>
  </si>
  <si>
    <t>6010330</t>
  </si>
  <si>
    <t>6010910</t>
  </si>
  <si>
    <t>6018999</t>
  </si>
  <si>
    <t>6019000</t>
  </si>
  <si>
    <t>6019900</t>
  </si>
  <si>
    <t>6019910</t>
  </si>
  <si>
    <t>6020010</t>
  </si>
  <si>
    <t>6020020</t>
  </si>
  <si>
    <t>6020030</t>
  </si>
  <si>
    <t>6020040</t>
  </si>
  <si>
    <t>6020050</t>
  </si>
  <si>
    <t>6020060</t>
  </si>
  <si>
    <t>6020080</t>
  </si>
  <si>
    <t>6020100</t>
  </si>
  <si>
    <t>6020110</t>
  </si>
  <si>
    <t>6020130</t>
  </si>
  <si>
    <t>6020140</t>
  </si>
  <si>
    <t>6020150</t>
  </si>
  <si>
    <t>6020170</t>
  </si>
  <si>
    <t>6020180</t>
  </si>
  <si>
    <t>6020220</t>
  </si>
  <si>
    <t>6020230</t>
  </si>
  <si>
    <t>6020240</t>
  </si>
  <si>
    <t>6020900</t>
  </si>
  <si>
    <t>6020800</t>
  </si>
  <si>
    <t>6020920</t>
  </si>
  <si>
    <t>6029000</t>
  </si>
  <si>
    <t>6030010</t>
  </si>
  <si>
    <t>6030020</t>
  </si>
  <si>
    <t>6030030</t>
  </si>
  <si>
    <t>6030050</t>
  </si>
  <si>
    <t>6030040</t>
  </si>
  <si>
    <t>6030060</t>
  </si>
  <si>
    <t>6030070</t>
  </si>
  <si>
    <t>6030080</t>
  </si>
  <si>
    <t>6030800</t>
  </si>
  <si>
    <t>6038999</t>
  </si>
  <si>
    <t>6039000</t>
  </si>
  <si>
    <t>6100010</t>
  </si>
  <si>
    <t>6100020</t>
  </si>
  <si>
    <t>6100040</t>
  </si>
  <si>
    <t>6100030</t>
  </si>
  <si>
    <t>6100050</t>
  </si>
  <si>
    <t>6100060</t>
  </si>
  <si>
    <t>6100070</t>
  </si>
  <si>
    <t>6100090</t>
  </si>
  <si>
    <t>6100080</t>
  </si>
  <si>
    <t>6100100</t>
  </si>
  <si>
    <t>6100120</t>
  </si>
  <si>
    <t>6100150</t>
  </si>
  <si>
    <t>6100160</t>
  </si>
  <si>
    <t>6100170</t>
  </si>
  <si>
    <t>6100180</t>
  </si>
  <si>
    <t>6100190</t>
  </si>
  <si>
    <t>6100200</t>
  </si>
  <si>
    <t>6108999</t>
  </si>
  <si>
    <t>6109000</t>
  </si>
  <si>
    <t>6300100</t>
  </si>
  <si>
    <t>6400010</t>
  </si>
  <si>
    <t>6400020</t>
  </si>
  <si>
    <t>6400030</t>
  </si>
  <si>
    <t>6400040</t>
  </si>
  <si>
    <t>6400050</t>
  </si>
  <si>
    <t>6400060</t>
  </si>
  <si>
    <t>6400070</t>
  </si>
  <si>
    <t>6400080</t>
  </si>
  <si>
    <t>6400100</t>
  </si>
  <si>
    <t>6400500</t>
  </si>
  <si>
    <t>6400510</t>
  </si>
  <si>
    <t>6400505</t>
  </si>
  <si>
    <t>6400520</t>
  </si>
  <si>
    <t>6400530</t>
  </si>
  <si>
    <t>6401000</t>
  </si>
  <si>
    <t>6400521</t>
  </si>
  <si>
    <t>6401100</t>
  </si>
  <si>
    <t>6401200</t>
  </si>
  <si>
    <t>6408999</t>
  </si>
  <si>
    <t>6401300</t>
  </si>
  <si>
    <t>6409000</t>
  </si>
  <si>
    <t>6500010</t>
  </si>
  <si>
    <t>6500015</t>
  </si>
  <si>
    <t>6500020</t>
  </si>
  <si>
    <t>6500810</t>
  </si>
  <si>
    <t>6508999</t>
  </si>
  <si>
    <t>6509000</t>
  </si>
  <si>
    <t>6700400</t>
  </si>
  <si>
    <t>6700500</t>
  </si>
  <si>
    <t>6700502</t>
  </si>
  <si>
    <t>6700503</t>
  </si>
  <si>
    <t>6700506</t>
  </si>
  <si>
    <t>6700505</t>
  </si>
  <si>
    <t>6700507</t>
  </si>
  <si>
    <t>6700509</t>
  </si>
  <si>
    <t>6700513</t>
  </si>
  <si>
    <t>6700514</t>
  </si>
  <si>
    <t>6700515</t>
  </si>
  <si>
    <t>6700516</t>
  </si>
  <si>
    <t>6700517</t>
  </si>
  <si>
    <t>6700519</t>
  </si>
  <si>
    <t>6700518</t>
  </si>
  <si>
    <t>6700520</t>
  </si>
  <si>
    <t>6709000</t>
  </si>
  <si>
    <t>6700599</t>
  </si>
  <si>
    <t>6710050</t>
  </si>
  <si>
    <t>6710700</t>
  </si>
  <si>
    <t>6710060</t>
  </si>
  <si>
    <t>6710800</t>
  </si>
  <si>
    <t>6719000</t>
  </si>
  <si>
    <t>6720010</t>
  </si>
  <si>
    <t>6720020</t>
  </si>
  <si>
    <t>6720030</t>
  </si>
  <si>
    <t>6720050</t>
  </si>
  <si>
    <t>6720800</t>
  </si>
  <si>
    <t>6729000</t>
  </si>
  <si>
    <t>6730010</t>
  </si>
  <si>
    <t>6730020</t>
  </si>
  <si>
    <t>6730030</t>
  </si>
  <si>
    <t>6730050</t>
  </si>
  <si>
    <t>6730060</t>
  </si>
  <si>
    <t>6730800</t>
  </si>
  <si>
    <t>6739000</t>
  </si>
  <si>
    <t>6780020</t>
  </si>
  <si>
    <t>6780040</t>
  </si>
  <si>
    <t>6780800</t>
  </si>
  <si>
    <t>6789000</t>
  </si>
  <si>
    <t>6790010</t>
  </si>
  <si>
    <t>6790040</t>
  </si>
  <si>
    <t>6790020</t>
  </si>
  <si>
    <t>6790060</t>
  </si>
  <si>
    <t>6790090</t>
  </si>
  <si>
    <t>6790091</t>
  </si>
  <si>
    <t>6790092</t>
  </si>
  <si>
    <t>6790101</t>
  </si>
  <si>
    <t>6790102</t>
  </si>
  <si>
    <t>6790103</t>
  </si>
  <si>
    <t>6790105</t>
  </si>
  <si>
    <t>6790199</t>
  </si>
  <si>
    <t>6790200</t>
  </si>
  <si>
    <t>6790220</t>
  </si>
  <si>
    <t>6790230</t>
  </si>
  <si>
    <t>6790250</t>
  </si>
  <si>
    <t>6790255</t>
  </si>
  <si>
    <t>6790260</t>
  </si>
  <si>
    <t>6790280</t>
  </si>
  <si>
    <t>6790281</t>
  </si>
  <si>
    <t>6790300</t>
  </si>
  <si>
    <t>6790305</t>
  </si>
  <si>
    <t>6790310</t>
  </si>
  <si>
    <t>6790315</t>
  </si>
  <si>
    <t>6790700</t>
  </si>
  <si>
    <t>6790705</t>
  </si>
  <si>
    <t>6790702</t>
  </si>
  <si>
    <t>6790706</t>
  </si>
  <si>
    <t>6790707</t>
  </si>
  <si>
    <t>6790708</t>
  </si>
  <si>
    <t>6790709</t>
  </si>
  <si>
    <t>6790800</t>
  </si>
  <si>
    <t>6790801</t>
  </si>
  <si>
    <t>6798999</t>
  </si>
  <si>
    <t>6799000</t>
  </si>
  <si>
    <t>6799105</t>
  </si>
  <si>
    <t>6799107</t>
  </si>
  <si>
    <t>6799200</t>
  </si>
  <si>
    <t>6799109</t>
  </si>
  <si>
    <t>6800010</t>
  </si>
  <si>
    <t>6800040</t>
  </si>
  <si>
    <t>6810010</t>
  </si>
  <si>
    <t>6810071</t>
  </si>
  <si>
    <t>6810801</t>
  </si>
  <si>
    <t>6810802</t>
  </si>
  <si>
    <t>6900010</t>
  </si>
  <si>
    <t>6900030</t>
  </si>
  <si>
    <t>6900040</t>
  </si>
  <si>
    <t>6900060</t>
  </si>
  <si>
    <t>6900061</t>
  </si>
  <si>
    <t>6900070</t>
  </si>
  <si>
    <t>6900110</t>
  </si>
  <si>
    <t>6900120</t>
  </si>
  <si>
    <t>6900800</t>
  </si>
  <si>
    <t>6909000</t>
  </si>
  <si>
    <t>7000240</t>
  </si>
  <si>
    <t>7000270</t>
  </si>
  <si>
    <t>7000260</t>
  </si>
  <si>
    <t>7000271</t>
  </si>
  <si>
    <t>7000800</t>
  </si>
  <si>
    <t>7000700</t>
  </si>
  <si>
    <t>7009000</t>
  </si>
  <si>
    <t>7100020</t>
  </si>
  <si>
    <t>7100800</t>
  </si>
  <si>
    <t>7101000</t>
  </si>
  <si>
    <t>7102100</t>
  </si>
  <si>
    <t>7103020</t>
  </si>
  <si>
    <t>7103060</t>
  </si>
  <si>
    <t>7103070</t>
  </si>
  <si>
    <t>7109000</t>
  </si>
  <si>
    <t>7201000</t>
  </si>
  <si>
    <t>7203020</t>
  </si>
  <si>
    <t>7301000</t>
  </si>
  <si>
    <t>7500030</t>
  </si>
  <si>
    <t>7500110</t>
  </si>
  <si>
    <t>7500240</t>
  </si>
  <si>
    <t>7500260</t>
  </si>
  <si>
    <t>7500271</t>
  </si>
  <si>
    <t>7500800</t>
  </si>
  <si>
    <t>8000300</t>
  </si>
  <si>
    <t>8000310</t>
  </si>
  <si>
    <t>8000400</t>
  </si>
  <si>
    <t>8000410</t>
  </si>
  <si>
    <t>8010300</t>
  </si>
  <si>
    <t>8010305</t>
  </si>
  <si>
    <t>8010400</t>
  </si>
  <si>
    <t>8010600</t>
  </si>
  <si>
    <t>8010405</t>
  </si>
  <si>
    <t>8900140</t>
  </si>
  <si>
    <t>8900141</t>
  </si>
  <si>
    <t>8900170</t>
  </si>
  <si>
    <t>8900180</t>
  </si>
  <si>
    <t>8903001</t>
  </si>
  <si>
    <t>8903002</t>
  </si>
  <si>
    <t>8903004</t>
  </si>
  <si>
    <t>8903003</t>
  </si>
  <si>
    <t>8903005</t>
  </si>
  <si>
    <t>8903006</t>
  </si>
  <si>
    <t>8903007</t>
  </si>
  <si>
    <t>8903100</t>
  </si>
  <si>
    <t>8999998</t>
  </si>
  <si>
    <t>8999999</t>
  </si>
  <si>
    <t>6790210</t>
  </si>
  <si>
    <t>Curr Dv-Regulatory</t>
  </si>
  <si>
    <t>LT Dv-Regulatory</t>
  </si>
  <si>
    <t>12 M AVG TAX RATE</t>
  </si>
  <si>
    <t xml:space="preserve">OLD </t>
  </si>
  <si>
    <t>12ME</t>
  </si>
  <si>
    <t xml:space="preserve">TAX </t>
  </si>
  <si>
    <t>FORECAST</t>
  </si>
  <si>
    <t>TAX RATE</t>
  </si>
  <si>
    <t>REG DR Def PGA Amtz</t>
  </si>
  <si>
    <t>4073072</t>
  </si>
  <si>
    <t>REG DR Def CIBSR Amt</t>
  </si>
  <si>
    <t>REG DR Tax Reform</t>
  </si>
  <si>
    <t>IC Corp Services</t>
  </si>
  <si>
    <t>CurrAdj Real Gain</t>
  </si>
  <si>
    <t>CurrAdj Unreal Loss</t>
  </si>
  <si>
    <t>7202000</t>
  </si>
  <si>
    <t>7202100</t>
  </si>
  <si>
    <t>7102000</t>
  </si>
  <si>
    <t>Int Exp Oth ST Borrw</t>
  </si>
  <si>
    <t>7500090</t>
  </si>
  <si>
    <t>6790704</t>
  </si>
  <si>
    <t>4073212</t>
  </si>
  <si>
    <t>Reg Liab-TaxReform C</t>
  </si>
  <si>
    <t>2540612</t>
  </si>
  <si>
    <t>UA Debt Exp ST Loan</t>
  </si>
  <si>
    <t>1810100</t>
  </si>
  <si>
    <t xml:space="preserve">Mar </t>
  </si>
  <si>
    <t>APR 2018  Activity</t>
  </si>
  <si>
    <t>MAY 2018  Activity</t>
  </si>
  <si>
    <t>JUN 2018  Activity</t>
  </si>
  <si>
    <t>6100110</t>
  </si>
  <si>
    <t>Instrument SvcRepair</t>
  </si>
  <si>
    <t>APR 2018  Cumulative  Balance</t>
  </si>
  <si>
    <t>MAY 2018  Cumulative  Balance</t>
  </si>
  <si>
    <t>JUN 2018  Cumulative  Balance</t>
  </si>
  <si>
    <t>2530110</t>
  </si>
  <si>
    <t>DfCr PenaltyFIN48 C</t>
  </si>
  <si>
    <t>JUL 2018  Activity</t>
  </si>
  <si>
    <t>AUG 2018  Activity</t>
  </si>
  <si>
    <t>SEP 2018  Activity</t>
  </si>
  <si>
    <t>JUL 2018  Cumulative  Balance</t>
  </si>
  <si>
    <t>AUG 2018  Cumulative  Balance</t>
  </si>
  <si>
    <t>SEP 2018  Cumulative  Balance</t>
  </si>
  <si>
    <t>1460780</t>
  </si>
  <si>
    <t>AR IC EmeraSAP Recon</t>
  </si>
  <si>
    <t>6010400</t>
  </si>
  <si>
    <t>Labor Severance</t>
  </si>
  <si>
    <t>OCT 2018  Activity</t>
  </si>
  <si>
    <t>NOV 2018  Activity</t>
  </si>
  <si>
    <t>DEC 2018  Activity</t>
  </si>
  <si>
    <t>OCT 2018  Cumulative  Balance</t>
  </si>
  <si>
    <t>NOV 2018  Cumulative  Balance</t>
  </si>
  <si>
    <t>DEC 2018  Cumulative  Balance</t>
  </si>
  <si>
    <t>2420199</t>
  </si>
  <si>
    <t>Cur Misc Liab</t>
  </si>
  <si>
    <t>2281100</t>
  </si>
  <si>
    <t>Prov Prop Ins Db C</t>
  </si>
  <si>
    <t>Ties to row 24 in IS</t>
  </si>
  <si>
    <t>JAN 2019  Activity</t>
  </si>
  <si>
    <t>FEB 2019  Activity</t>
  </si>
  <si>
    <t>MAR 2019  Activity</t>
  </si>
  <si>
    <t>JAN 2019  Cumulative  Balance</t>
  </si>
  <si>
    <t>FEB 2019  Cumulative  Balance</t>
  </si>
  <si>
    <t>MAR 2019  Cumulative  Balance</t>
  </si>
  <si>
    <t>7500100</t>
  </si>
  <si>
    <t>Int Exp Taxes</t>
  </si>
  <si>
    <t>6100130</t>
  </si>
  <si>
    <t>EHS Monitoring</t>
  </si>
  <si>
    <t>4074072</t>
  </si>
  <si>
    <t>REG CR Def CIBSR Amt</t>
  </si>
  <si>
    <t>APR 2019  Activity</t>
  </si>
  <si>
    <t>MAY 2019  Activity</t>
  </si>
  <si>
    <t>JUN 2019  Activity</t>
  </si>
  <si>
    <t>APR 2019  Cumulative  Balance</t>
  </si>
  <si>
    <t>MAY 2019  Cumulative  Balance</t>
  </si>
  <si>
    <t>JUN 2019  Cumulative  Balance</t>
  </si>
  <si>
    <t>1460706</t>
  </si>
  <si>
    <t>AR IC Emera Inc</t>
  </si>
  <si>
    <t>Pulling from BS</t>
  </si>
  <si>
    <t>Pulling from IS</t>
  </si>
  <si>
    <t>13 month average (BS)/12 month total (IS)</t>
  </si>
  <si>
    <t>Calculation</t>
  </si>
  <si>
    <t>Pulling from Financials</t>
  </si>
  <si>
    <t>Allowance for Other Funds</t>
  </si>
  <si>
    <t>Allowance for Borrowed Funds</t>
  </si>
  <si>
    <t>JUL 2019  Activity</t>
  </si>
  <si>
    <t>AUG 2019  Activity</t>
  </si>
  <si>
    <t>SEP 2019  Activity</t>
  </si>
  <si>
    <t>JUL 2019  Cumulative  Balance</t>
  </si>
  <si>
    <t>AUG 2019  Cumulative  Balance</t>
  </si>
  <si>
    <t>SEP 2019  Cumulative  Balance</t>
  </si>
  <si>
    <t>AP IC EmeraSAP Recon</t>
  </si>
  <si>
    <t>AP TEEBA</t>
  </si>
  <si>
    <t>I&amp;D Gen Liab Resrv C</t>
  </si>
  <si>
    <t>Reg Ast FAS109 ITax</t>
  </si>
  <si>
    <t>Allow Brw AFUDC Dbt</t>
  </si>
  <si>
    <t>Allow Oth Fund AFUDC</t>
  </si>
  <si>
    <t>Director's Expenses</t>
  </si>
  <si>
    <t>OthRev-HardeeBuySell</t>
  </si>
  <si>
    <t>4950215</t>
  </si>
  <si>
    <t>6790030</t>
  </si>
  <si>
    <t>7100010</t>
  </si>
  <si>
    <t>7500010</t>
  </si>
  <si>
    <t>1823610</t>
  </si>
  <si>
    <t>2282001</t>
  </si>
  <si>
    <t>2320014</t>
  </si>
  <si>
    <t>2340720</t>
  </si>
  <si>
    <t xml:space="preserve">ANALYSIS OF AFUDC BASIS </t>
  </si>
  <si>
    <t>DEC</t>
  </si>
  <si>
    <t>JAN</t>
  </si>
  <si>
    <t>FEB</t>
  </si>
  <si>
    <t>MAR</t>
  </si>
  <si>
    <t>APR</t>
  </si>
  <si>
    <t>JUN</t>
  </si>
  <si>
    <t>JUL</t>
  </si>
  <si>
    <t>AUG</t>
  </si>
  <si>
    <t>SEP</t>
  </si>
  <si>
    <t>EOP (107)</t>
  </si>
  <si>
    <t>CIBS RIDER CWIP</t>
  </si>
  <si>
    <t>ELIGIBLE FOR AFUDC</t>
  </si>
  <si>
    <t>Work Management System</t>
  </si>
  <si>
    <t>Arcadia</t>
  </si>
  <si>
    <t>TOTAL ELIGIBLE FOR AFUDC</t>
  </si>
  <si>
    <t>CWIP included in Rate Base</t>
  </si>
  <si>
    <t>OCT</t>
  </si>
  <si>
    <t>NOV</t>
  </si>
  <si>
    <t>13 MONTH</t>
  </si>
  <si>
    <t>AFUDC CWIP</t>
  </si>
  <si>
    <t>Use SALR2284 TE03 FERC View</t>
  </si>
  <si>
    <t>Per FERC F/S NOI</t>
  </si>
  <si>
    <t>Per FERC F/S NI</t>
  </si>
  <si>
    <t>Per FERC F/S BS</t>
  </si>
  <si>
    <t>4191</t>
  </si>
  <si>
    <t>4320</t>
  </si>
  <si>
    <t>All</t>
  </si>
  <si>
    <t>Investor</t>
  </si>
  <si>
    <t xml:space="preserve"> AFUDC - Eligible CWIP</t>
  </si>
  <si>
    <t>AFUDC - Eligible CWIP</t>
  </si>
  <si>
    <t>OCT 2019  Activity</t>
  </si>
  <si>
    <t>NOV 2019  Activity</t>
  </si>
  <si>
    <t>DEC 2019  Activity</t>
  </si>
  <si>
    <t>OCT 2019  Cumulative  Balance</t>
  </si>
  <si>
    <t>NOV 2019  Cumulative  Balance</t>
  </si>
  <si>
    <t>DEC 2019  Cumulative  Balance</t>
  </si>
  <si>
    <t>CUSTOMER DEPOSITS COST RATE CALCULATION</t>
  </si>
  <si>
    <t>Deposits Balance</t>
  </si>
  <si>
    <t>A_2350100</t>
  </si>
  <si>
    <t>CIS Customer Deposits Short-term</t>
  </si>
  <si>
    <t>A_2350110</t>
  </si>
  <si>
    <t>Non-CIS Customer Deposits Short-term</t>
  </si>
  <si>
    <t>A_2420320</t>
  </si>
  <si>
    <t>Misc Accru Liab-Unclaimed Funds</t>
  </si>
  <si>
    <t>Deposits Balance - 13-month Average</t>
  </si>
  <si>
    <t>Deposits Interest</t>
  </si>
  <si>
    <t>A_7500030</t>
  </si>
  <si>
    <t>Interest Exp - Customer Deposits</t>
  </si>
  <si>
    <t>Deposits Interest Balance</t>
  </si>
  <si>
    <t>Deposits Interest - 12-month ended</t>
  </si>
  <si>
    <t>Deposits COST RATE Average</t>
  </si>
  <si>
    <t>Deposits COST RATE Year End</t>
  </si>
  <si>
    <t xml:space="preserve">   CUSTOMER DEPOSITS</t>
  </si>
  <si>
    <t>A_7500020</t>
  </si>
  <si>
    <t>A_7500080</t>
  </si>
  <si>
    <t>A_7500090</t>
  </si>
  <si>
    <t>A_7500700</t>
  </si>
  <si>
    <t>STD Interest Balance</t>
  </si>
  <si>
    <t>STD Interest - 12-month ended</t>
  </si>
  <si>
    <t>STD Interest</t>
  </si>
  <si>
    <t>A_2310000</t>
  </si>
  <si>
    <t>A_2330711</t>
  </si>
  <si>
    <t>STD Balance</t>
  </si>
  <si>
    <t>STD Balance - 13-month Average</t>
  </si>
  <si>
    <t>Amortizatoin of Fees in 930.2</t>
  </si>
  <si>
    <t>Input</t>
  </si>
  <si>
    <t>4810033</t>
  </si>
  <si>
    <t>Comm Gas Heat Pump</t>
  </si>
  <si>
    <t>4810034</t>
  </si>
  <si>
    <t>Comm GasHeatPmp Fuel</t>
  </si>
  <si>
    <t>7100015</t>
  </si>
  <si>
    <t>Captlz AFUDC Equity</t>
  </si>
  <si>
    <t>7500015</t>
  </si>
  <si>
    <t>Captlz AFUDC Debt</t>
  </si>
  <si>
    <t>7509000</t>
  </si>
  <si>
    <t>Int Exp to BalSheet</t>
  </si>
  <si>
    <t>2320040</t>
  </si>
  <si>
    <t>AP Misc Donations</t>
  </si>
  <si>
    <t>LT Incentive C</t>
  </si>
  <si>
    <t>6800100</t>
  </si>
  <si>
    <t>Amtz-Regulatory CRs</t>
  </si>
  <si>
    <t>6809000</t>
  </si>
  <si>
    <t>Amtz to BalSheet</t>
  </si>
  <si>
    <t>2420191</t>
  </si>
  <si>
    <t>Balance Sheet Liability/Equity</t>
  </si>
  <si>
    <t>FERC Liabilities/Equity</t>
  </si>
  <si>
    <t>PEOPLES GAS COMPANY</t>
  </si>
  <si>
    <t>SCHEDULE A</t>
  </si>
  <si>
    <t xml:space="preserve">AVERAGE </t>
  </si>
  <si>
    <t>CAPITAL</t>
  </si>
  <si>
    <t>COST OF</t>
  </si>
  <si>
    <t>CAPITAL COMPONENTS</t>
  </si>
  <si>
    <t>BALANCE</t>
  </si>
  <si>
    <t>INVESTMENT TAX CREDITS</t>
  </si>
  <si>
    <t>SCHEDULE B</t>
  </si>
  <si>
    <t>COMMISSION</t>
  </si>
  <si>
    <t>ADJUSTMENTS*</t>
  </si>
  <si>
    <t>Annual Rate (R) = .0597</t>
  </si>
  <si>
    <t>Monthly Rate = ((1 + R)^(1/12)) - 1 = .0048438</t>
  </si>
  <si>
    <t>annual rate</t>
  </si>
  <si>
    <t>equity rate</t>
  </si>
  <si>
    <t>equity %</t>
  </si>
  <si>
    <t>debt rate</t>
  </si>
  <si>
    <t>debt %</t>
  </si>
  <si>
    <t>METHODOLOGY FOR MONTHLY COMPOUNDING</t>
  </si>
  <si>
    <t xml:space="preserve"> OF THE AFUDC RATE</t>
  </si>
  <si>
    <t>SCHEDULE C</t>
  </si>
  <si>
    <t>AFUDC</t>
  </si>
  <si>
    <t>MONTHLY</t>
  </si>
  <si>
    <t>CUMULATIVE</t>
  </si>
  <si>
    <t>MONTHS</t>
  </si>
  <si>
    <t>BASE</t>
  </si>
  <si>
    <t>STD COST RATE Average (Use Daily Rate Instead)</t>
  </si>
  <si>
    <t>STD COST RATE Year End (Use Daily Rate Instead)</t>
  </si>
  <si>
    <t>12-month average interest rate (Daily)</t>
  </si>
  <si>
    <t>Month end interest rate (Daily)</t>
  </si>
  <si>
    <t>CAPITAL STRUCTURE USED FOR AFUDC CALCULATION</t>
  </si>
  <si>
    <t>* FOR ADJUSTMENT DETAILS, SEE SCHEDULE 2.</t>
  </si>
  <si>
    <t>*</t>
  </si>
  <si>
    <t>* 13-MONTH AVERAGE</t>
  </si>
  <si>
    <t>TOTI-Franchise Fees (6900010)</t>
  </si>
  <si>
    <t>TOTI-Gross Receipts (6900030)</t>
  </si>
  <si>
    <t>Total Franchise Fees/Gross Receipts Exp</t>
  </si>
  <si>
    <t>OthRev-Franchise Fee (4950205)</t>
  </si>
  <si>
    <t>OthRev-Gross Receipt (4950206)</t>
  </si>
  <si>
    <t>Total Franchise Fees/Gross Receipts Rev</t>
  </si>
  <si>
    <t>Franchise/Gross Receipts Taxes</t>
  </si>
  <si>
    <t xml:space="preserve">Net Franchise/Gross Receipts </t>
  </si>
  <si>
    <t>JAN 2020  Activity</t>
  </si>
  <si>
    <t>FEB 2020  Activity</t>
  </si>
  <si>
    <t>MAR 2020  Activity</t>
  </si>
  <si>
    <t>JAN 2020  Cumulative  Balance</t>
  </si>
  <si>
    <t>FEB 2020  Cumulative  Balance</t>
  </si>
  <si>
    <t>MAR 2020  Cumulative  Balance</t>
  </si>
  <si>
    <t>2020</t>
  </si>
  <si>
    <t>4212</t>
  </si>
  <si>
    <t>8903008</t>
  </si>
  <si>
    <t>FICO Reconciliation - HR Empl Relations Allocation</t>
  </si>
  <si>
    <t>8903009</t>
  </si>
  <si>
    <t>8903010</t>
  </si>
  <si>
    <t>8903011</t>
  </si>
  <si>
    <t>8903012</t>
  </si>
  <si>
    <t>FICO Reconciliation - Emergency Mgmt Allocation</t>
  </si>
  <si>
    <t>FICO Reconciliation - Corp Comm Allocation</t>
  </si>
  <si>
    <t>FICO Reconciliation - Accounts Payable Allocation</t>
  </si>
  <si>
    <t>FICO Reconciliation - Claims Allocation</t>
  </si>
  <si>
    <t>7000090</t>
  </si>
  <si>
    <t>Interest Inc - Deferred Cost Recovery</t>
  </si>
  <si>
    <t>6790198</t>
  </si>
  <si>
    <t>Fees - Miscellaneous - Above the line</t>
  </si>
  <si>
    <t>6720060</t>
  </si>
  <si>
    <t>Long-term Lease - Variable Lease Expense</t>
  </si>
  <si>
    <t>6700508</t>
  </si>
  <si>
    <t>6700504</t>
  </si>
  <si>
    <t>Insurance - Fiduciary</t>
  </si>
  <si>
    <t>Insurance - Directors &amp; Officers</t>
  </si>
  <si>
    <t>6020101</t>
  </si>
  <si>
    <t>Employee Deferred Compensation Expense</t>
  </si>
  <si>
    <t>6010900</t>
  </si>
  <si>
    <t>Labor Commissions</t>
  </si>
  <si>
    <t>1823208</t>
  </si>
  <si>
    <t>Oth Reg Asset-Deft Loss Prop Sales Non-Current</t>
  </si>
  <si>
    <t>2340799</t>
  </si>
  <si>
    <t>Trade Payable-Emera Interco Accruals/Reversals</t>
  </si>
  <si>
    <t>2420192</t>
  </si>
  <si>
    <t>Deferred Compensation - Current</t>
  </si>
  <si>
    <t>Check Revenue to Report Tab</t>
  </si>
  <si>
    <t>Check O&amp;M to Report Tab</t>
  </si>
  <si>
    <t>Check Depreciation to Report Tab</t>
  </si>
  <si>
    <t>Check TOTI to Report Tab</t>
  </si>
  <si>
    <t>APR 2020  Activity</t>
  </si>
  <si>
    <t>APR 2020  Cumulative  Balance</t>
  </si>
  <si>
    <t>4950220</t>
  </si>
  <si>
    <t>OthRev-DailyOvrUsage</t>
  </si>
  <si>
    <t>MAY 2020  Activity</t>
  </si>
  <si>
    <t>MAY 2020  Cumulative  Balance</t>
  </si>
  <si>
    <t>FGT to Big Bend</t>
  </si>
  <si>
    <t>4800037</t>
  </si>
  <si>
    <t>4800038</t>
  </si>
  <si>
    <t>Resid Gas Heat Pump</t>
  </si>
  <si>
    <t>Resid GasHeatPp Fuel</t>
  </si>
  <si>
    <t>6710030</t>
  </si>
  <si>
    <t>ST Rent-Office Equip</t>
  </si>
  <si>
    <t>Regular Int Exp</t>
  </si>
  <si>
    <t>Amort of Fees</t>
  </si>
  <si>
    <t>Total Int Exp</t>
  </si>
  <si>
    <t>Regular int exp hitting (7500020/7500080) was journaled to the incorrect order, which derived it to FERC 930.2. It should be hitting FERC 431. Manual reclass to the IS in May and will be fixed in the system in June</t>
  </si>
  <si>
    <t>Tax Rate</t>
  </si>
  <si>
    <t>1 less Tax Rate</t>
  </si>
  <si>
    <t>INTANGIBLE SOFTWARE (303)</t>
  </si>
  <si>
    <t>LAND AND LAND RIGHTS (374)</t>
  </si>
  <si>
    <t>STRUCTURES AND IMPROVEMENTS (375)</t>
  </si>
  <si>
    <t>STRUCTURES AND IMPROVEMENTS (390)</t>
  </si>
  <si>
    <t>COMPUTER EQUIPMENT (391)</t>
  </si>
  <si>
    <t xml:space="preserve">Operating Revenue </t>
  </si>
  <si>
    <t>JUN 2020  Activity</t>
  </si>
  <si>
    <t>JUN 2020  Cumulative  Balance</t>
  </si>
  <si>
    <t>Jun 20</t>
  </si>
  <si>
    <t>6791000</t>
  </si>
  <si>
    <t>Rate Case Expense</t>
  </si>
  <si>
    <t>9280</t>
  </si>
  <si>
    <t xml:space="preserve">AFUDC over all Sources </t>
  </si>
  <si>
    <r>
      <t>YE</t>
    </r>
    <r>
      <rPr>
        <sz val="10"/>
        <rFont val="SWISS"/>
      </rPr>
      <t xml:space="preserve"> CAPITAL STRUCTURE (PER BOOKS)</t>
    </r>
  </si>
  <si>
    <t>13-month</t>
  </si>
  <si>
    <t>Month ended</t>
  </si>
  <si>
    <t xml:space="preserve">Education/Tuition Reimbursement </t>
  </si>
  <si>
    <t>JUL 2020  Activity</t>
  </si>
  <si>
    <t>AUG 2020  Activity</t>
  </si>
  <si>
    <t>SEP 2020  Activity</t>
  </si>
  <si>
    <t>JUL 2020  Cumulative  Balance</t>
  </si>
  <si>
    <t>AUG 2020  Cumulative  Balance</t>
  </si>
  <si>
    <t>SEP 2020  Cumulative  Balance</t>
  </si>
  <si>
    <t>Jul 20</t>
  </si>
  <si>
    <t>Aug 20</t>
  </si>
  <si>
    <t>Sep 20</t>
  </si>
  <si>
    <t>1823325</t>
  </si>
  <si>
    <t>Oth Reg Asset-Emergency Conditions - COVID-19</t>
  </si>
  <si>
    <t>4893037</t>
  </si>
  <si>
    <t>4893038</t>
  </si>
  <si>
    <t>Residential Transportation Gas Heat Pump</t>
  </si>
  <si>
    <t>Residential Transportation Gas Heat Pump-Swing</t>
  </si>
  <si>
    <t>6030090</t>
  </si>
  <si>
    <t>6030091</t>
  </si>
  <si>
    <t>Empl Exp - Relocation Expenses</t>
  </si>
  <si>
    <t>Empl Exp - Employee Appreciation and Gift Cards</t>
  </si>
  <si>
    <t>OCT 2020  Activity</t>
  </si>
  <si>
    <t>NOV 2020  Activity</t>
  </si>
  <si>
    <t>DEC 2020  Activity</t>
  </si>
  <si>
    <t>OCT 2020  Cumulative  Balance</t>
  </si>
  <si>
    <t>NOV 2020  Cumulative  Balance</t>
  </si>
  <si>
    <t>DEC 2020  Cumulative  Balance</t>
  </si>
  <si>
    <t>AR - Employee Personal Reimbursement Pcard Charge</t>
  </si>
  <si>
    <t>Trade Receivable-Emera Intercompany (RECON)</t>
  </si>
  <si>
    <t>Oth Reg Asset-Rate Case Expense Non-Current</t>
  </si>
  <si>
    <t>Oth Reg Asset-Non-Capital SW Project Costs NC</t>
  </si>
  <si>
    <t>Oct 20</t>
  </si>
  <si>
    <t>Nov 20</t>
  </si>
  <si>
    <t>Dec 20</t>
  </si>
  <si>
    <t>Sumertville Dade City</t>
  </si>
  <si>
    <t>RNG Pipe Alliance</t>
  </si>
  <si>
    <t>check amt from "Report YE" tab</t>
  </si>
  <si>
    <t xml:space="preserve">Year-end </t>
  </si>
  <si>
    <t>YEAR END CAPITAL STRUCTURE:</t>
  </si>
  <si>
    <t xml:space="preserve">Adjustments to Capital Structure for 54.70% Equity Ratio </t>
  </si>
  <si>
    <t>Long-Term Debt ($)</t>
  </si>
  <si>
    <t>Short-term Debt ($)</t>
  </si>
  <si>
    <t>Long-Term Debt (%)</t>
  </si>
  <si>
    <t>Short-term Debt (%)</t>
  </si>
  <si>
    <t>Unadj. Common Equity with LT &amp; ST</t>
  </si>
  <si>
    <t>Targeted Equity Ratio</t>
  </si>
  <si>
    <t>Check to Target Ratio</t>
  </si>
  <si>
    <t>Adjustment to Capital Structure</t>
  </si>
  <si>
    <t>Original</t>
  </si>
  <si>
    <t>2021 Original Bud</t>
  </si>
  <si>
    <t>2020 Actuals</t>
  </si>
  <si>
    <t>JAN 2021  Cumulative  Balance</t>
  </si>
  <si>
    <t>FEB 2021  Cumulative  Balance</t>
  </si>
  <si>
    <t>MAR 2021  Cumulative  Balance</t>
  </si>
  <si>
    <t>JAN 2021  Activity</t>
  </si>
  <si>
    <t>FEB 2021  Activity</t>
  </si>
  <si>
    <t>MAR 2021  Activity</t>
  </si>
  <si>
    <t>Jan 21</t>
  </si>
  <si>
    <t>Feb 21</t>
  </si>
  <si>
    <t>Mar 21</t>
  </si>
  <si>
    <t>Main-Replace Ortega River Crossing</t>
  </si>
  <si>
    <t>Gate-Peters Road</t>
  </si>
  <si>
    <t>Southwest Lakeland Loop</t>
  </si>
  <si>
    <t>Main-Universal Orlando Project P304</t>
  </si>
  <si>
    <t>Rosen Laundry/Destination Pkwy</t>
  </si>
  <si>
    <t>Commercial Gas Heat Pump Transportation</t>
  </si>
  <si>
    <t>Employer 401K – IBEW Plan Match</t>
  </si>
  <si>
    <t>Oth Reg Asset-TIMP Accrual - Current</t>
  </si>
  <si>
    <t xml:space="preserve">WFNG </t>
  </si>
  <si>
    <t>WFNG Left as of Mar 2021</t>
  </si>
  <si>
    <t>Balance at end</t>
  </si>
  <si>
    <t>WFNG Left as of Dec 2020</t>
  </si>
  <si>
    <t>12 Month Rolling Amort</t>
  </si>
  <si>
    <t>1823202</t>
  </si>
  <si>
    <t>Unamortized Rate Case (1823102 &amp; 1823202)</t>
  </si>
  <si>
    <t>Name:</t>
  </si>
  <si>
    <t>Purpose:</t>
  </si>
  <si>
    <t>Model Index:</t>
  </si>
  <si>
    <t>Drivers Tabs</t>
  </si>
  <si>
    <t>Model Tabs</t>
  </si>
  <si>
    <t>Output Tabs</t>
  </si>
  <si>
    <t>Summary of Reports (Schedules 1-5-2, AFUDC Schedules) produced by the model.</t>
  </si>
  <si>
    <t>Comparison Report Tabs</t>
  </si>
  <si>
    <t>Reports to be compared to prior periods.</t>
  </si>
  <si>
    <t>Financial Model Color Formatting:</t>
  </si>
  <si>
    <t>Blue</t>
  </si>
  <si>
    <t>Inputs, or any hardcoded data, such as historical values, assumptions, and drivers.</t>
  </si>
  <si>
    <t>Black</t>
  </si>
  <si>
    <t>Calculations and references to the same sheet.</t>
  </si>
  <si>
    <t xml:space="preserve">Green </t>
  </si>
  <si>
    <t>Calculations and references to other sheets.</t>
  </si>
  <si>
    <t>Red</t>
  </si>
  <si>
    <t>References to separate files or external links.</t>
  </si>
  <si>
    <t>Earnings Surveillance Report</t>
  </si>
  <si>
    <t xml:space="preserve">To report YTD financial information for the FPSC. </t>
  </si>
  <si>
    <r>
      <t xml:space="preserve">Inputs or assumptions; either linking or hard coded inputs from external files and BO or SAP Reports that can be found in the </t>
    </r>
    <r>
      <rPr>
        <b/>
        <u/>
        <sz val="10"/>
        <rFont val="Arial"/>
        <family val="2"/>
      </rPr>
      <t>Support or FERC Folder.</t>
    </r>
  </si>
  <si>
    <t>Calculations produced within the file for Financial Statements and other.</t>
  </si>
  <si>
    <t xml:space="preserve">Month: </t>
  </si>
  <si>
    <t xml:space="preserve">12-month rolling: </t>
  </si>
  <si>
    <t>Short Date:</t>
  </si>
  <si>
    <t xml:space="preserve">Calculation </t>
  </si>
  <si>
    <t>Internal Links - Balance Sheet and Income Statement</t>
  </si>
  <si>
    <t>External Inputs from Outside Source</t>
  </si>
  <si>
    <r>
      <t>SAP Reports</t>
    </r>
    <r>
      <rPr>
        <sz val="10"/>
        <rFont val="Arial"/>
        <family val="2"/>
      </rPr>
      <t>:</t>
    </r>
  </si>
  <si>
    <t>ECCR Deferred Exp Monthly (4073140) (4073141)</t>
  </si>
  <si>
    <t>ECCR Deferred &amp; SAP Exp 12-month Ended</t>
  </si>
  <si>
    <t>ECCR Deferred Rev Monthly (4074140) (4074141)</t>
  </si>
  <si>
    <t>ECCR Deferred &amp; SAP Rev 12-month Ended</t>
  </si>
  <si>
    <t>ECCR Exp &amp; Rev Variance</t>
  </si>
  <si>
    <t>Accum Compet Price Adj (1823070)</t>
  </si>
  <si>
    <t>Econom Develop (Acct 912) (6790055)</t>
  </si>
  <si>
    <t>Econom Develop (Acc 912) (6790055) 12-month Ended</t>
  </si>
  <si>
    <t>Econom Develop 5% disallowance per FAC (25-7.042)</t>
  </si>
  <si>
    <t>Franchise Fees/Gross Receipts Exp 12-month Ended</t>
  </si>
  <si>
    <t>Franchise Fees/Gross Receipts Rev 12-month Ended</t>
  </si>
  <si>
    <t>Net Franchise/Gross Receipts 12-month Ended</t>
  </si>
  <si>
    <t xml:space="preserve">CIBS Deferred Rev (4074071) (4074072) </t>
  </si>
  <si>
    <t>CIBS Deferred Exp (4073071) (4073072)</t>
  </si>
  <si>
    <t>CIBS Rider Revenue (4950271)</t>
  </si>
  <si>
    <t>CIBS Rider Depreciation (6810071)</t>
  </si>
  <si>
    <t>CIBS Checks</t>
  </si>
  <si>
    <t>Other-OCI-INT RATE SWAP (219)</t>
  </si>
  <si>
    <t>Other-OCI-INT RATE SWAP (219) 13-month Average</t>
  </si>
  <si>
    <t>Accum Compet Price Adj (1823070) 13-month Average</t>
  </si>
  <si>
    <t>Adjust Other-OCI-INT RATE SWAP (219) for Tax Average</t>
  </si>
  <si>
    <t>Regulatory Assessment Fee Fuel</t>
  </si>
  <si>
    <t>Regulatory Assessment Fee Fuel 12-month Ended</t>
  </si>
  <si>
    <r>
      <t>BL021 Competitive Rate File</t>
    </r>
    <r>
      <rPr>
        <sz val="10"/>
        <rFont val="Arial"/>
        <family val="2"/>
      </rPr>
      <t xml:space="preserve">: </t>
    </r>
  </si>
  <si>
    <r>
      <t>ACCT 926-01 File</t>
    </r>
    <r>
      <rPr>
        <sz val="10"/>
        <rFont val="Arial"/>
        <family val="2"/>
      </rPr>
      <t>:</t>
    </r>
  </si>
  <si>
    <t>Adjustment Total</t>
  </si>
  <si>
    <t>Flex Revenues Monthly</t>
  </si>
  <si>
    <t>Flex Revenues 12-month Ended</t>
  </si>
  <si>
    <t>ECCR Exp Monthly (9908000-9909000)</t>
  </si>
  <si>
    <t>ECCR Rev Monthly  (4950203)</t>
  </si>
  <si>
    <t>CIBS Deferred Rev (4074071) (4074072) 12-month Ended</t>
  </si>
  <si>
    <t>CIBS Rider Revenue (4950271) 12-month Ended</t>
  </si>
  <si>
    <t xml:space="preserve">Total </t>
  </si>
  <si>
    <t>CIBS Deferred Exp (4073071) (4073072) 12-month Ended</t>
  </si>
  <si>
    <t>CIBS Rider Depreciation (6810071) 12-month Ended</t>
  </si>
  <si>
    <t xml:space="preserve">CIBS Reg Assessment Fee Statistical </t>
  </si>
  <si>
    <t xml:space="preserve">CIBS Property Tax Statisitcal </t>
  </si>
  <si>
    <t>CIBS Reg Assessment Fee Statistical 12-month Ended</t>
  </si>
  <si>
    <t>CIBS Property Tax Statisitcal 12-month Ended</t>
  </si>
  <si>
    <t>TOTI Adjustment</t>
  </si>
  <si>
    <t>Source: SOP</t>
  </si>
  <si>
    <t>Light yellow indicates cell is being pulled into Report Tab.</t>
  </si>
  <si>
    <t>GAAP ACCT CK</t>
  </si>
  <si>
    <t>Apr 21</t>
  </si>
  <si>
    <t>May 21</t>
  </si>
  <si>
    <t>Jun 21</t>
  </si>
  <si>
    <t>LNG - Blue Marlin</t>
  </si>
  <si>
    <t>RNG New River</t>
  </si>
  <si>
    <t>RNG Brightmark</t>
  </si>
  <si>
    <t>Skysail Development</t>
  </si>
  <si>
    <t>Alliance RNG Equipment</t>
  </si>
  <si>
    <t>APR 2021  Activity</t>
  </si>
  <si>
    <t>MAY 2021  Activity</t>
  </si>
  <si>
    <t>JUN 2021  Activity</t>
  </si>
  <si>
    <t>APR 2021  Cumulative  Balance</t>
  </si>
  <si>
    <t>MAY 2021  Cumulative  Balance</t>
  </si>
  <si>
    <t>JUN 2021  Cumulative  Balance</t>
  </si>
  <si>
    <t>Commercial Gas Heat Pump Transportation-Swing</t>
  </si>
  <si>
    <t>6010990</t>
  </si>
  <si>
    <t>Labor Seconded Employees</t>
  </si>
  <si>
    <t>/s/ Rachel B. Parsons, VP of Finance and Planning</t>
  </si>
  <si>
    <t>Due to errors, CIBS external inputs will be placed directly in "Report" Tab</t>
  </si>
  <si>
    <t xml:space="preserve">CIBSR Over-Under Calculation File: </t>
  </si>
  <si>
    <t>Capital Structure Per Books and Specific</t>
  </si>
  <si>
    <t>(Pro rate only over equity, LTD and STD)</t>
  </si>
  <si>
    <t xml:space="preserve">TOTAL </t>
  </si>
  <si>
    <t>PERCENTAGE</t>
  </si>
  <si>
    <t>(AFUDC over all Sources)</t>
  </si>
  <si>
    <t xml:space="preserve">Capital Structure Total Adjusted Reg. Financial Equity Ratio </t>
  </si>
  <si>
    <t>2020 Q2</t>
  </si>
  <si>
    <t>2021 5+7F</t>
  </si>
  <si>
    <t>External Links from Outside Source</t>
  </si>
  <si>
    <t>PHFFU CEMEX Annual Lease (ACCT 493) FAGLB03</t>
  </si>
  <si>
    <t>`</t>
  </si>
  <si>
    <t>* be sure to update cells G40 and H40 to pull the current month of the report. Ie: sept for september filing</t>
  </si>
  <si>
    <t>DECEMBER 2021</t>
  </si>
  <si>
    <t>Aug 21</t>
  </si>
  <si>
    <t>Jul 21</t>
  </si>
  <si>
    <t>Sept 21</t>
  </si>
  <si>
    <t>Sept</t>
  </si>
  <si>
    <t>JUL 2021  Activity</t>
  </si>
  <si>
    <t>AUG 2021  Activity</t>
  </si>
  <si>
    <t>SEPT 2021  Activity</t>
  </si>
  <si>
    <t>JUL 2021  Cumulative  Balance</t>
  </si>
  <si>
    <t>AUG 2021  Cumulative  Balance</t>
  </si>
  <si>
    <t>SEPT 2021  Cumulative  Balance</t>
  </si>
  <si>
    <t>June</t>
  </si>
  <si>
    <t>July</t>
  </si>
  <si>
    <t>JUNE</t>
  </si>
  <si>
    <t>JULY</t>
  </si>
  <si>
    <t>AUGUST</t>
  </si>
  <si>
    <t>SEPTEMBER</t>
  </si>
  <si>
    <t>Oct 21</t>
  </si>
  <si>
    <t>Nov 21</t>
  </si>
  <si>
    <t>Dec 21</t>
  </si>
  <si>
    <t>OCTOBER</t>
  </si>
  <si>
    <t>NOVEMBER</t>
  </si>
  <si>
    <t>DECEMBER</t>
  </si>
  <si>
    <t>PEOPLES GAS</t>
  </si>
  <si>
    <t>MARKET TO REGULATORY ROE RECONCILIATION</t>
  </si>
  <si>
    <t>PGS Rate Base Per Books</t>
  </si>
  <si>
    <t>PGS Rate of Return</t>
  </si>
  <si>
    <t>Weighted Cost of Debt</t>
  </si>
  <si>
    <t>Weighted Cost of Equity</t>
  </si>
  <si>
    <t>Simple Average</t>
  </si>
  <si>
    <t>13-Month Average</t>
  </si>
  <si>
    <t>MARKET ROE</t>
  </si>
  <si>
    <t>Equity</t>
  </si>
  <si>
    <t>NET INCOME</t>
  </si>
  <si>
    <t>AVG COMMON EQUITY</t>
  </si>
  <si>
    <t xml:space="preserve">Effect on </t>
  </si>
  <si>
    <t>AFUDC/CWIP</t>
  </si>
  <si>
    <t>AFUDC Equity IS</t>
  </si>
  <si>
    <t>RB</t>
  </si>
  <si>
    <t>CIBSR</t>
  </si>
  <si>
    <t>NOI</t>
  </si>
  <si>
    <t>TPI Earnings (RE dividended to TE)</t>
  </si>
  <si>
    <t>AFUDC Earnings (After Tax)</t>
  </si>
  <si>
    <t>Common Equity (Simple Avg vs 13 month Avg)</t>
  </si>
  <si>
    <t>RATE BASE ITEMS</t>
  </si>
  <si>
    <t xml:space="preserve"> Remove Unrecovered Gas Cost PGA</t>
  </si>
  <si>
    <t>NOI ITEMS - After Tax</t>
  </si>
  <si>
    <t>Acquisition Adj. Amortiz. (WFNG)</t>
  </si>
  <si>
    <t>OTHER</t>
  </si>
  <si>
    <t>TOTAL DIFFERENCE</t>
  </si>
  <si>
    <t>REGULATORY ROE</t>
  </si>
  <si>
    <t>BOOK FINANCIAL</t>
  </si>
  <si>
    <t>SURVEILLANCE REPORT FINANCIAL</t>
  </si>
  <si>
    <t>SURVEILLANCE REPORT REGULATORY</t>
  </si>
  <si>
    <t>OCT 2021  Activity</t>
  </si>
  <si>
    <t>NOV 2021  Activity</t>
  </si>
  <si>
    <t>DEC 2021  Activity</t>
  </si>
  <si>
    <t>OCT 2021  Cumulative  Balance</t>
  </si>
  <si>
    <t>NOV 2021  Cumulative  Balance</t>
  </si>
  <si>
    <t>DEC 2021  Cumulative  Balance</t>
  </si>
  <si>
    <t>Greater Orlando Avaiation Authority</t>
  </si>
  <si>
    <t>Cedar Hills Replace - Phase B</t>
  </si>
  <si>
    <t>I&amp;D Recoveries GL NC</t>
  </si>
  <si>
    <t>2282210</t>
  </si>
  <si>
    <t>DECEMBER 2019</t>
  </si>
  <si>
    <t>DECEMBER 2020</t>
  </si>
  <si>
    <t>FINAL BUDGET</t>
  </si>
  <si>
    <t>DEC 2021</t>
  </si>
  <si>
    <t>VARIANCE</t>
  </si>
  <si>
    <t>WORKING CAPITAL</t>
  </si>
  <si>
    <t xml:space="preserve">     AVERAGE WORKING CAPITAL (ACTUAL)</t>
  </si>
  <si>
    <t xml:space="preserve">     AVERAGE WORKING CAPITAL (FINAL BUDGET)</t>
  </si>
  <si>
    <t>ACTUAL VS. FINAL BUDGET</t>
  </si>
  <si>
    <t>Note: The current AFUDC rate of 6.00% was authorized in Order No. PSC-2021-0170-PPA-GU Docket No. 20210040-GU, effective January 1, 2021.</t>
  </si>
  <si>
    <t xml:space="preserve">Debt Ratio </t>
  </si>
  <si>
    <t>Equity  Ratio</t>
  </si>
  <si>
    <t>Per Order No. PSC-2021-0170-PPA-GU, a 54.7% equity ratio (investor sources with any difference to actual equity ratio spread ratably over long-term and short term debt) shall be used for all purposes including the calculation of the Company’s AFUDC rate.</t>
  </si>
  <si>
    <t>Annual Rate (R) = .0577</t>
  </si>
  <si>
    <t>Monthly Rate = ((1 + R)^(1/12)) - 1 = 0.0046857</t>
  </si>
  <si>
    <t>Equity Ratio 78.68%</t>
  </si>
  <si>
    <t>Debt Ratio 21.32%</t>
  </si>
  <si>
    <t>Project Sparrow Interface</t>
  </si>
  <si>
    <t>Forecast</t>
  </si>
  <si>
    <t>Tolerance:</t>
  </si>
  <si>
    <t>Timeline Flags and Helpers</t>
  </si>
  <si>
    <t>Timeline</t>
  </si>
  <si>
    <t>Length</t>
  </si>
  <si>
    <t>Timeline Tag</t>
  </si>
  <si>
    <t>Annual</t>
  </si>
  <si>
    <t>Monthly</t>
  </si>
  <si>
    <t>Year index</t>
  </si>
  <si>
    <t>Timeline index</t>
  </si>
  <si>
    <t>Relative Period</t>
  </si>
  <si>
    <t>Period index</t>
  </si>
  <si>
    <t>Flags</t>
  </si>
  <si>
    <t>Actual Period Flag</t>
  </si>
  <si>
    <t>Flag</t>
  </si>
  <si>
    <t>Budget Period Flag</t>
  </si>
  <si>
    <t>Forecast Period Flag</t>
  </si>
  <si>
    <t>Actual or  Budget Period Flag</t>
  </si>
  <si>
    <t>SURVEY REPORT</t>
  </si>
  <si>
    <t>Inputs for "SurvReport" Tab, Actuals</t>
  </si>
  <si>
    <t>Updated By:</t>
  </si>
  <si>
    <t>Last Updated:</t>
  </si>
  <si>
    <t>RATE BASE 13-MONTH AVERAGE</t>
  </si>
  <si>
    <t>BALANCE SHEET</t>
  </si>
  <si>
    <t>Inputs for "SurvReport" Tab, Actuals, Rows 9 - 91</t>
  </si>
  <si>
    <t>Plant In Service</t>
  </si>
  <si>
    <t>System Per Books</t>
  </si>
  <si>
    <t>Plant In Service - FPSC Adjusted</t>
  </si>
  <si>
    <t>Plant Acquisition Adjustment</t>
  </si>
  <si>
    <t>Plant Acquisition Adjustment - FPSC Adjusted</t>
  </si>
  <si>
    <t>Depreciation &amp; Amortization</t>
  </si>
  <si>
    <t>Depreciation - FPSC Adjusted</t>
  </si>
  <si>
    <t>Customer Advances For Construction</t>
  </si>
  <si>
    <t>Customer Advances for Construction - FPSC Adjusted</t>
  </si>
  <si>
    <t>Property Held for Future Use</t>
  </si>
  <si>
    <t>PHFFU - FPSC Adjusted</t>
  </si>
  <si>
    <t>CWIP Per Books</t>
  </si>
  <si>
    <t xml:space="preserve"> Remove Non-Utility Martin Cty expansion</t>
  </si>
  <si>
    <t>CWIP - FPSC Adjusted</t>
  </si>
  <si>
    <t xml:space="preserve">Working Capital </t>
  </si>
  <si>
    <t>Working Capital - FPSC Adjusted</t>
  </si>
  <si>
    <t>INCOME STATEMENT</t>
  </si>
  <si>
    <t>Inputs for "SurvReport" Tab, Actuals, Rows 112 - 225</t>
  </si>
  <si>
    <t>Revenues - FPSC Adjusted</t>
  </si>
  <si>
    <t>O&amp;M Gas Expense</t>
  </si>
  <si>
    <t>O&amp;M Gas Expense FPSC Adjusted</t>
  </si>
  <si>
    <t>O&amp;M Other</t>
  </si>
  <si>
    <t>Intercompany Adjustment</t>
  </si>
  <si>
    <t>Lobbying included in Dues (AGA, FNGA)</t>
  </si>
  <si>
    <t>Civic/Social Club Dues</t>
  </si>
  <si>
    <t>O&amp;M Other FPSC Adjusted</t>
  </si>
  <si>
    <t>Depreciation &amp; Amortization FPSC Adjusted</t>
  </si>
  <si>
    <t>Taxes Other Than Income (TOTI)</t>
  </si>
  <si>
    <t>Taxes Other Than Income FPSC Adjusted</t>
  </si>
  <si>
    <t>Income Taxes (current and deferred)</t>
  </si>
  <si>
    <t>Income Taxes FPSC Adjusted</t>
  </si>
  <si>
    <t>Gain on Disposal</t>
  </si>
  <si>
    <t>Gain on Disposal FPSC Adjusted</t>
  </si>
  <si>
    <t>$000s</t>
  </si>
  <si>
    <t>x</t>
  </si>
  <si>
    <t>&gt;&gt;</t>
  </si>
  <si>
    <t>Line Item Removed in Report</t>
  </si>
  <si>
    <t>File Name:</t>
  </si>
  <si>
    <t>COPY MACRO ABOVE ^^^</t>
  </si>
  <si>
    <t>Jan 22</t>
  </si>
  <si>
    <t>Feb 22</t>
  </si>
  <si>
    <t>March 22</t>
  </si>
  <si>
    <t>March</t>
  </si>
  <si>
    <t>JANUARY</t>
  </si>
  <si>
    <t>FEBRUARY</t>
  </si>
  <si>
    <t>MARCH</t>
  </si>
  <si>
    <t>JAN 2022  Activity</t>
  </si>
  <si>
    <t>FEB 2022  Activity</t>
  </si>
  <si>
    <t>MAR 2022  Activity</t>
  </si>
  <si>
    <t>JAN 2022  Cumulative  Balance</t>
  </si>
  <si>
    <t>FEB 2022  Cumulative  Balance</t>
  </si>
  <si>
    <t>MAR 2022  Cumulative  Balance</t>
  </si>
  <si>
    <t>Pension Asset NC</t>
  </si>
  <si>
    <t>Pension A FAS158 NC</t>
  </si>
  <si>
    <t>2283202</t>
  </si>
  <si>
    <t>2283203</t>
  </si>
  <si>
    <t>6710040</t>
  </si>
  <si>
    <t>ST Rent-Office Space</t>
  </si>
  <si>
    <t>RNG Biogas Brightmark</t>
  </si>
  <si>
    <t>2022 Tax Rate</t>
  </si>
  <si>
    <t>December 2021</t>
  </si>
  <si>
    <t>2022 Q1F</t>
  </si>
  <si>
    <t>2022 Budget</t>
  </si>
  <si>
    <t>April 22</t>
  </si>
  <si>
    <t>May 22</t>
  </si>
  <si>
    <t>June 22</t>
  </si>
  <si>
    <t>April</t>
  </si>
  <si>
    <t>APRIL</t>
  </si>
  <si>
    <t>APR 2022  Activity</t>
  </si>
  <si>
    <t>MAY 2022  Activity</t>
  </si>
  <si>
    <t>JUN 2022  Activity</t>
  </si>
  <si>
    <t>APR 2022  Cumulative  Balance</t>
  </si>
  <si>
    <t>MAY 2022  Cumulative  Balance</t>
  </si>
  <si>
    <t>JUN 2022  Cumulative  Balance</t>
  </si>
  <si>
    <t>4074212</t>
  </si>
  <si>
    <t>REG CR Tax Reform</t>
  </si>
  <si>
    <t>6028999</t>
  </si>
  <si>
    <t>Benefits Fringe Reclass</t>
  </si>
  <si>
    <t>6900049</t>
  </si>
  <si>
    <t>TOTI - Payroll Tax Reclass</t>
  </si>
  <si>
    <t>1823612</t>
  </si>
  <si>
    <t>Oth Reg Asset-Deferred Tax Reform Impact Current</t>
  </si>
  <si>
    <t>JUNE ACTUAL 2022</t>
  </si>
  <si>
    <t>July 22</t>
  </si>
  <si>
    <t>Aug 22</t>
  </si>
  <si>
    <t>Sept 22</t>
  </si>
  <si>
    <t>SEPT</t>
  </si>
  <si>
    <t>JULY 2022  Activity</t>
  </si>
  <si>
    <t>AUG 2022  Activity</t>
  </si>
  <si>
    <t>SEPT 2022  Activity</t>
  </si>
  <si>
    <t>updated through Sept'22</t>
  </si>
  <si>
    <t>JUL 2022  Cumulative  Balance</t>
  </si>
  <si>
    <t>AUG 2022  Cumulative  Balance</t>
  </si>
  <si>
    <t>SEPT 2022  Cumulative  Balance</t>
  </si>
  <si>
    <t>Reg Liab-TIMP Accr C</t>
  </si>
  <si>
    <t>2022 Q3</t>
  </si>
  <si>
    <t>December 2022</t>
  </si>
  <si>
    <t>(DEC 2021 - DEC 2022)</t>
  </si>
  <si>
    <t>Oct 22</t>
  </si>
  <si>
    <t>Nov 22</t>
  </si>
  <si>
    <t>Dec 22</t>
  </si>
  <si>
    <t>From Vickie M. (NON TEC FILE)</t>
  </si>
  <si>
    <t>From Vickie M. (TEC FILE)</t>
  </si>
  <si>
    <t>MAKE SURE BLANKS ARE ENTERED AS ZERO</t>
  </si>
  <si>
    <t>OCT 2022  Activity</t>
  </si>
  <si>
    <t>NOV 2022  Activity</t>
  </si>
  <si>
    <t>DEC 2022  Activity</t>
  </si>
  <si>
    <t>Other Below the Line</t>
  </si>
  <si>
    <t>FICO Recon</t>
  </si>
  <si>
    <t>OCT 2022  Cumulative  Balance</t>
  </si>
  <si>
    <t>NOV 2022  Cumulative  Balance</t>
  </si>
  <si>
    <t>DEC 2022  Cumulative  Balance</t>
  </si>
  <si>
    <t>AR Vendor Adv Pymt</t>
  </si>
  <si>
    <t>Prov Prop Ins Db C - NEW ACCT</t>
  </si>
  <si>
    <t>Grand Cypress Resort 4" PE</t>
  </si>
  <si>
    <t>Two Rivers Phase 1</t>
  </si>
  <si>
    <t>Dividends</t>
  </si>
  <si>
    <t>Q3 Forecast</t>
  </si>
  <si>
    <t>HIDE 46-68</t>
  </si>
  <si>
    <t>PGS Project Franklin Structure</t>
  </si>
  <si>
    <t>PGS Project Franklin Land</t>
  </si>
  <si>
    <t>Main-The Isles of Old Tampa Bay</t>
  </si>
  <si>
    <t>Main-Two Rivers Sub ph I &amp; II</t>
  </si>
  <si>
    <t>Main Replace-Tampa Downtown</t>
  </si>
  <si>
    <t>Governor's Park Expansion</t>
  </si>
  <si>
    <t>South St Johns Residential Expansio</t>
  </si>
  <si>
    <t>Sugarmill Woods (FGT) to 301</t>
  </si>
  <si>
    <t>Tampa City Distribution Trunk</t>
  </si>
  <si>
    <t>Main-Horizons West Village I</t>
  </si>
  <si>
    <t>Main-Lake Pickett North</t>
  </si>
  <si>
    <t>Main-Wellness Way Expansion</t>
  </si>
  <si>
    <t>Main-Poitras at Lake Nona</t>
  </si>
  <si>
    <t>Main-Two Rivers Subdivision ph III</t>
  </si>
  <si>
    <t>Main-Two Rivers Subdivision ph IV</t>
  </si>
  <si>
    <t>Main-Two Rivers Subdivision ph V</t>
  </si>
  <si>
    <t>Mayport/Southside Beaches</t>
  </si>
  <si>
    <t>Eagle LNG</t>
  </si>
  <si>
    <t>Combee Rd &amp; East Gate S to Eaton</t>
  </si>
  <si>
    <t>Updated 02.06.2023 MFR b05-01</t>
  </si>
  <si>
    <t>Updated 02.06.2023 MFR B11</t>
  </si>
  <si>
    <t>Updated 02.06.2023 MFR C19</t>
  </si>
  <si>
    <t>Chasity Vaughan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</si>
</sst>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_)"/>
    <numFmt numFmtId="165" formatCode="0.000%"/>
    <numFmt numFmtId="166" formatCode="dd\-mmm\-yy_)"/>
    <numFmt numFmtId="167" formatCode="_(* #,##0_);_(* \(#,##0\);_(* &quot;-&quot;??_);_(@_)"/>
    <numFmt numFmtId="168" formatCode="_(* #,##0.0_);_(* \(#,##0.0\);_(* &quot;-&quot;??_);_(@_)"/>
    <numFmt numFmtId="169" formatCode="mmmm\-yy"/>
    <numFmt numFmtId="170" formatCode="#,##0;\(#,##0\)"/>
    <numFmt numFmtId="171" formatCode="#,##0,;\(#,##0,\)"/>
    <numFmt numFmtId="172" formatCode="[$-409]mmm\-yy;@"/>
    <numFmt numFmtId="173" formatCode="&quot;$&quot;#,##0"/>
    <numFmt numFmtId="174" formatCode="mmm\-yyyy"/>
    <numFmt numFmtId="175" formatCode="0.0"/>
    <numFmt numFmtId="176" formatCode="0.000000"/>
    <numFmt numFmtId="177" formatCode="mmm\ yyyy"/>
    <numFmt numFmtId="178" formatCode="_(&quot;$&quot;* #,##0_);_(&quot;$&quot;* \(#,##0\);_(&quot;$&quot;* &quot;-&quot;??_);_(@_)"/>
    <numFmt numFmtId="179" formatCode="_(* #,##0.000000000_);_(* \(#,##0.000000000\);_(* &quot;-&quot;??_);_(@_)"/>
    <numFmt numFmtId="180" formatCode="0.0%"/>
    <numFmt numFmtId="181" formatCode="_(* #,##0.000_);_(* \(#,##0.000\);_(* &quot;-&quot;??_);_(@_)"/>
    <numFmt numFmtId="182" formatCode="#,##0.0_);\(#,##0.0\)"/>
    <numFmt numFmtId="183" formatCode="#,##0.0000_);\(#,##0.0000\)"/>
    <numFmt numFmtId="184" formatCode="#,###,##0.00;\(#,###,##0.00\)"/>
    <numFmt numFmtId="185" formatCode="_(* #,##0.00000_);_(* \(#,##0.00000\);_(* &quot;-&quot;??_);_(@_)"/>
    <numFmt numFmtId="186" formatCode="&quot;$ &quot;#,##0.00;&quot;$ -&quot;#,##0.00"/>
    <numFmt numFmtId="187" formatCode="mmmm\ yyyy"/>
    <numFmt numFmtId="188" formatCode="#,##0.0000000_);\(#,##0.0000000\)"/>
    <numFmt numFmtId="189" formatCode="#,##0.00000000_);\(#,##0.00000000\)"/>
    <numFmt numFmtId="190" formatCode="0.0000%"/>
    <numFmt numFmtId="191" formatCode="_(* #,##0.0000_);_(* \(#,##0.0000\);_(* &quot;-&quot;??_);_(@_)"/>
    <numFmt numFmtId="192" formatCode="[$-409]mmmm"/>
    <numFmt numFmtId="193" formatCode="0.0000"/>
    <numFmt numFmtId="194" formatCode="&quot;Checks- ERROR&quot;;&quot;Checks - ERROR&quot;;&quot;Checks OK&quot;"/>
    <numFmt numFmtId="195" formatCode="mm/dd/yy_)"/>
    <numFmt numFmtId="196" formatCode="mmm\ d\,\ yyyy"/>
    <numFmt numFmtId="197" formatCode="#,##0_);[Color9]\(#,##0\);&quot;-&quot;_);[Blue]&quot;Error-&quot;@"/>
    <numFmt numFmtId="198" formatCode="#,##0.0_);[Color9]\(#,##0.0\);&quot;-&quot;_);[Blue]&quot;Error-&quot;@"/>
    <numFmt numFmtId="199" formatCode="[Red]&quot;ERROR&quot;;[Red]&quot;ERROR&quot;;&quot;Ok&quot;"/>
    <numFmt numFmtId="200" formatCode="0.0%_);[Color9]\(0.0%\);\ &quot;-&quot;_);[Blue]&quot;Error-&quot;@"/>
    <numFmt numFmtId="201" formatCode="m/d/yy\ h:mm"/>
  </numFmts>
  <fonts count="212">
    <font>
      <sz val="10"/>
      <name val="Arial"/>
    </font>
    <font>
      <sz val="11"/>
      <color theme="1"/>
      <name val="Calibri"/>
      <family val="2"/>
      <scheme val="minor"/>
    </font>
    <font>
      <sz val="10"/>
      <name val="Arial"/>
      <family val="2"/>
    </font>
    <font>
      <sz val="8"/>
      <name val="SWISS"/>
    </font>
    <font>
      <sz val="8"/>
      <color indexed="12"/>
      <name val="SWISS"/>
    </font>
    <font>
      <u/>
      <sz val="8"/>
      <name val="SWISS"/>
    </font>
    <font>
      <sz val="8"/>
      <color indexed="81"/>
      <name val="Tahoma"/>
      <family val="2"/>
    </font>
    <font>
      <sz val="10"/>
      <name val="SWISS"/>
    </font>
    <font>
      <b/>
      <sz val="10"/>
      <name val="SWISS"/>
    </font>
    <font>
      <b/>
      <sz val="10"/>
      <color indexed="12"/>
      <name val="SWISS"/>
    </font>
    <font>
      <u/>
      <sz val="10"/>
      <name val="SWISS"/>
    </font>
    <font>
      <b/>
      <sz val="12"/>
      <name val="SWISS"/>
    </font>
    <font>
      <sz val="12"/>
      <name val="SWISS"/>
    </font>
    <font>
      <sz val="9"/>
      <name val="SWISS"/>
    </font>
    <font>
      <sz val="7"/>
      <name val="SWISS"/>
    </font>
    <font>
      <u/>
      <sz val="10"/>
      <name val="Arial"/>
      <family val="2"/>
    </font>
    <font>
      <b/>
      <u/>
      <sz val="9"/>
      <name val="SWISS"/>
    </font>
    <font>
      <b/>
      <sz val="12"/>
      <name val="Arial MT"/>
    </font>
    <font>
      <sz val="12"/>
      <name val="Arial MT"/>
    </font>
    <font>
      <b/>
      <sz val="10"/>
      <name val="Arial"/>
      <family val="2"/>
    </font>
    <font>
      <sz val="12"/>
      <color indexed="12"/>
      <name val="Arial MT"/>
    </font>
    <font>
      <u/>
      <sz val="12"/>
      <name val="Arial MT"/>
    </font>
    <font>
      <sz val="10"/>
      <name val="Arial"/>
      <family val="2"/>
    </font>
    <font>
      <sz val="10"/>
      <color indexed="12"/>
      <name val="Arial"/>
      <family val="2"/>
    </font>
    <font>
      <sz val="10"/>
      <name val="Arial"/>
      <family val="2"/>
    </font>
    <font>
      <b/>
      <sz val="12"/>
      <color indexed="12"/>
      <name val="Arial"/>
      <family val="2"/>
    </font>
    <font>
      <b/>
      <sz val="10"/>
      <color indexed="10"/>
      <name val="Arial"/>
      <family val="2"/>
    </font>
    <font>
      <b/>
      <sz val="8"/>
      <color indexed="81"/>
      <name val="Tahoma"/>
      <family val="2"/>
    </font>
    <font>
      <b/>
      <i/>
      <sz val="10"/>
      <color indexed="10"/>
      <name val="Arial"/>
      <family val="2"/>
    </font>
    <font>
      <b/>
      <sz val="12"/>
      <name val="Arial"/>
      <family val="2"/>
    </font>
    <font>
      <b/>
      <i/>
      <sz val="10"/>
      <name val="Arial"/>
      <family val="2"/>
    </font>
    <font>
      <b/>
      <sz val="8"/>
      <color indexed="12"/>
      <name val="SWISS"/>
    </font>
    <font>
      <sz val="12"/>
      <color indexed="12"/>
      <name val="Arial"/>
      <family val="2"/>
    </font>
    <font>
      <b/>
      <sz val="12"/>
      <color indexed="10"/>
      <name val="Arial"/>
      <family val="2"/>
    </font>
    <font>
      <sz val="10"/>
      <color indexed="8"/>
      <name val="Arial"/>
      <family val="2"/>
    </font>
    <font>
      <sz val="10"/>
      <color indexed="10"/>
      <name val="Arial"/>
      <family val="2"/>
    </font>
    <font>
      <b/>
      <sz val="10"/>
      <color indexed="12"/>
      <name val="Arial"/>
      <family val="2"/>
    </font>
    <font>
      <u/>
      <sz val="10"/>
      <color indexed="10"/>
      <name val="Arial"/>
      <family val="2"/>
    </font>
    <font>
      <u/>
      <sz val="10"/>
      <color indexed="12"/>
      <name val="Arial"/>
      <family val="2"/>
    </font>
    <font>
      <sz val="10"/>
      <color indexed="8"/>
      <name val="Arial"/>
      <family val="2"/>
    </font>
    <font>
      <sz val="10"/>
      <color indexed="12"/>
      <name val="Arial"/>
      <family val="2"/>
    </font>
    <font>
      <i/>
      <sz val="10"/>
      <color indexed="10"/>
      <name val="Arial"/>
      <family val="2"/>
    </font>
    <font>
      <sz val="10"/>
      <color indexed="10"/>
      <name val="Arial"/>
      <family val="2"/>
    </font>
    <font>
      <u/>
      <sz val="10"/>
      <name val="Arial"/>
      <family val="2"/>
    </font>
    <font>
      <sz val="12"/>
      <name val="Arial"/>
      <family val="2"/>
    </font>
    <font>
      <sz val="8"/>
      <color indexed="10"/>
      <name val="Tahoma"/>
      <family val="2"/>
    </font>
    <font>
      <sz val="10"/>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sz val="10"/>
      <color indexed="8"/>
      <name val="Times New Roman"/>
      <family val="1"/>
    </font>
    <font>
      <b/>
      <sz val="12"/>
      <color indexed="8"/>
      <name val="Tahoma"/>
      <family val="2"/>
    </font>
    <font>
      <b/>
      <sz val="10"/>
      <color indexed="8"/>
      <name val="Times New Roman"/>
      <family val="1"/>
    </font>
    <font>
      <b/>
      <sz val="18"/>
      <color indexed="62"/>
      <name val="Cambria"/>
      <family val="2"/>
    </font>
    <font>
      <b/>
      <sz val="11"/>
      <color indexed="8"/>
      <name val="Calibri"/>
      <family val="2"/>
    </font>
    <font>
      <sz val="8"/>
      <name val="Arial"/>
      <family val="2"/>
    </font>
    <font>
      <b/>
      <sz val="14"/>
      <name val="Arial"/>
      <family val="2"/>
    </font>
    <font>
      <sz val="12"/>
      <name val="Arial"/>
      <family val="2"/>
    </font>
    <font>
      <sz val="11"/>
      <name val="Arial"/>
      <family val="2"/>
    </font>
    <font>
      <b/>
      <sz val="11"/>
      <name val="Arial"/>
      <family val="2"/>
    </font>
    <font>
      <b/>
      <sz val="12"/>
      <color indexed="8"/>
      <name val="Arial"/>
      <family val="2"/>
    </font>
    <font>
      <b/>
      <sz val="8"/>
      <color indexed="10"/>
      <name val="Arial"/>
      <family val="2"/>
    </font>
    <font>
      <b/>
      <sz val="12"/>
      <color indexed="81"/>
      <name val="Tahoma"/>
      <family val="2"/>
    </font>
    <font>
      <sz val="12"/>
      <color indexed="81"/>
      <name val="Tahoma"/>
      <family val="2"/>
    </font>
    <font>
      <b/>
      <u/>
      <sz val="12"/>
      <color indexed="81"/>
      <name val="Tahoma"/>
      <family val="2"/>
    </font>
    <font>
      <sz val="10"/>
      <color indexed="81"/>
      <name val="Tahoma"/>
      <family val="2"/>
    </font>
    <font>
      <b/>
      <sz val="10"/>
      <color indexed="81"/>
      <name val="Tahoma"/>
      <family val="2"/>
    </font>
    <font>
      <sz val="9"/>
      <color indexed="81"/>
      <name val="Tahoma"/>
      <family val="2"/>
    </font>
    <font>
      <b/>
      <sz val="9"/>
      <color indexed="81"/>
      <name val="Tahoma"/>
      <family val="2"/>
    </font>
    <font>
      <sz val="10"/>
      <name val="Arial"/>
      <family val="2"/>
    </font>
    <font>
      <sz val="10"/>
      <name val="Arial"/>
      <family val="2"/>
    </font>
    <font>
      <b/>
      <sz val="8"/>
      <color indexed="10"/>
      <name val="Tahoma"/>
      <family val="2"/>
    </font>
    <font>
      <sz val="12"/>
      <name val="Times New Roman"/>
      <family val="1"/>
    </font>
    <font>
      <sz val="10"/>
      <name val="Arial"/>
      <family val="2"/>
    </font>
    <font>
      <b/>
      <sz val="9"/>
      <color indexed="10"/>
      <name val="Tahoma"/>
      <family val="2"/>
    </font>
    <font>
      <sz val="10"/>
      <name val="Arial"/>
      <family val="2"/>
    </font>
    <font>
      <sz val="10"/>
      <color indexed="0"/>
      <name val="Times New Roman"/>
      <family val="1"/>
    </font>
    <font>
      <sz val="10"/>
      <name val="Arial Narrow"/>
      <family val="2"/>
    </font>
    <font>
      <sz val="10"/>
      <name val="Arial"/>
      <family val="2"/>
    </font>
    <font>
      <sz val="10"/>
      <name val="Arial"/>
      <family val="2"/>
    </font>
    <font>
      <b/>
      <sz val="11"/>
      <name val="Calibri"/>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SWISS"/>
    </font>
    <font>
      <sz val="8"/>
      <name val="SWISS"/>
    </font>
    <font>
      <b/>
      <sz val="12"/>
      <name val="SWISS"/>
    </font>
    <font>
      <u/>
      <sz val="8"/>
      <name val="SWISS"/>
    </font>
    <font>
      <b/>
      <sz val="10"/>
      <name val="SWISS"/>
    </font>
    <font>
      <u/>
      <sz val="10"/>
      <name val="Arial"/>
      <family val="2"/>
    </font>
    <font>
      <sz val="8"/>
      <color indexed="12"/>
      <name val="SWISS"/>
    </font>
    <font>
      <b/>
      <sz val="8"/>
      <color indexed="12"/>
      <name val="SWISS"/>
    </font>
    <font>
      <sz val="8"/>
      <color indexed="61"/>
      <name val="SWISS"/>
    </font>
    <font>
      <b/>
      <sz val="8"/>
      <color indexed="10"/>
      <name val="SWISS"/>
    </font>
    <font>
      <b/>
      <sz val="10"/>
      <name val="Arial"/>
      <family val="2"/>
    </font>
    <font>
      <b/>
      <u/>
      <sz val="10"/>
      <name val="Arial"/>
      <family val="2"/>
    </font>
    <font>
      <sz val="12"/>
      <name val="Arial MT"/>
    </font>
    <font>
      <b/>
      <u/>
      <sz val="12"/>
      <name val="Arial MT"/>
    </font>
    <font>
      <sz val="12"/>
      <color indexed="10"/>
      <name val="Arial MT"/>
    </font>
    <font>
      <sz val="12"/>
      <name val="SWISS"/>
    </font>
    <font>
      <b/>
      <sz val="12"/>
      <color indexed="12"/>
      <name val="SWISS"/>
    </font>
    <font>
      <sz val="12"/>
      <name val="Arial MT"/>
    </font>
    <font>
      <sz val="10"/>
      <name val="Arial"/>
      <family val="2"/>
    </font>
    <font>
      <u/>
      <sz val="10"/>
      <name val="Arial"/>
      <family val="2"/>
    </font>
    <font>
      <b/>
      <sz val="11"/>
      <color indexed="10"/>
      <name val="Arial"/>
      <family val="2"/>
    </font>
    <font>
      <b/>
      <sz val="10"/>
      <name val="SWISS"/>
    </font>
    <font>
      <sz val="10"/>
      <name val="SWISS"/>
    </font>
    <font>
      <sz val="8"/>
      <name val="SWISS"/>
    </font>
    <font>
      <sz val="10"/>
      <name val="Arial"/>
      <family val="2"/>
    </font>
    <font>
      <i/>
      <sz val="10"/>
      <color indexed="10"/>
      <name val="Arial"/>
      <family val="2"/>
    </font>
    <font>
      <b/>
      <i/>
      <sz val="10"/>
      <color indexed="10"/>
      <name val="Arial"/>
      <family val="2"/>
    </font>
    <font>
      <u/>
      <sz val="10"/>
      <name val="SWISS"/>
    </font>
    <font>
      <b/>
      <sz val="9"/>
      <name val="SWISS"/>
    </font>
    <font>
      <u/>
      <sz val="8"/>
      <name val="SWISS"/>
    </font>
    <font>
      <sz val="8"/>
      <color indexed="12"/>
      <name val="SWISS"/>
    </font>
    <font>
      <sz val="8"/>
      <color indexed="16"/>
      <name val="SWISS"/>
    </font>
    <font>
      <b/>
      <sz val="12"/>
      <name val="SWISS"/>
    </font>
    <font>
      <sz val="12"/>
      <name val="SWISS"/>
    </font>
    <font>
      <sz val="9"/>
      <name val="SWISS"/>
    </font>
    <font>
      <b/>
      <u/>
      <sz val="9"/>
      <name val="SWISS"/>
    </font>
    <font>
      <b/>
      <sz val="9"/>
      <color indexed="12"/>
      <name val="SWISS"/>
    </font>
    <font>
      <sz val="9"/>
      <color indexed="12"/>
      <name val="SWISS"/>
    </font>
    <font>
      <sz val="10"/>
      <color indexed="12"/>
      <name val="SWISS"/>
    </font>
    <font>
      <sz val="7"/>
      <name val="SWISS"/>
    </font>
    <font>
      <sz val="10"/>
      <name val="Arial"/>
      <family val="2"/>
    </font>
    <font>
      <sz val="10"/>
      <name val="Arial"/>
      <family val="2"/>
    </font>
    <font>
      <sz val="8"/>
      <name val="Arial"/>
      <family val="2"/>
    </font>
    <font>
      <u/>
      <sz val="12"/>
      <name val="Arial"/>
      <family val="2"/>
    </font>
    <font>
      <sz val="8"/>
      <name val="Arial"/>
      <family val="2"/>
    </font>
    <font>
      <sz val="10"/>
      <name val="Arial"/>
      <family val="2"/>
    </font>
    <font>
      <sz val="10"/>
      <name val="Arial"/>
      <family val="2"/>
    </font>
    <font>
      <b/>
      <u/>
      <sz val="12"/>
      <name val="Arial"/>
      <family val="2"/>
    </font>
    <font>
      <b/>
      <u/>
      <sz val="11"/>
      <name val="Arial"/>
      <family val="2"/>
    </font>
    <font>
      <b/>
      <sz val="12"/>
      <color indexed="9"/>
      <name val="Arial"/>
      <family val="2"/>
    </font>
    <font>
      <sz val="11"/>
      <color theme="1"/>
      <name val="Calibri"/>
      <family val="2"/>
      <scheme val="minor"/>
    </font>
    <font>
      <sz val="10"/>
      <color theme="1"/>
      <name val="Arial"/>
      <family val="2"/>
    </font>
    <font>
      <sz val="10"/>
      <color rgb="FFFF0000"/>
      <name val="Arial"/>
      <family val="2"/>
    </font>
    <font>
      <sz val="10"/>
      <color rgb="FF0000FF"/>
      <name val="Arial"/>
      <family val="2"/>
    </font>
    <font>
      <sz val="11"/>
      <color rgb="FFFF0000"/>
      <name val="Calibri"/>
      <family val="2"/>
      <scheme val="minor"/>
    </font>
    <font>
      <sz val="10"/>
      <color rgb="FF7030A0"/>
      <name val="Arial"/>
      <family val="2"/>
    </font>
    <font>
      <b/>
      <sz val="12"/>
      <color rgb="FF0000FF"/>
      <name val="Arial"/>
      <family val="2"/>
    </font>
    <font>
      <b/>
      <sz val="11"/>
      <name val="Calibri"/>
      <family val="2"/>
      <scheme val="minor"/>
    </font>
    <font>
      <b/>
      <sz val="12"/>
      <color rgb="FFFF0000"/>
      <name val="Arial"/>
      <family val="2"/>
    </font>
    <font>
      <sz val="11"/>
      <color rgb="FF0000FF"/>
      <name val="Calibri"/>
      <family val="2"/>
      <scheme val="minor"/>
    </font>
    <font>
      <sz val="12"/>
      <color rgb="FFFF0000"/>
      <name val="Arial"/>
      <family val="2"/>
    </font>
    <font>
      <b/>
      <sz val="10"/>
      <color rgb="FFFF0000"/>
      <name val="Arial"/>
      <family val="2"/>
    </font>
    <font>
      <b/>
      <sz val="11"/>
      <color theme="1"/>
      <name val="Calibri"/>
      <family val="2"/>
      <scheme val="minor"/>
    </font>
    <font>
      <b/>
      <sz val="11"/>
      <color rgb="FFFF0000"/>
      <name val="Arial"/>
      <family val="2"/>
    </font>
    <font>
      <sz val="8"/>
      <color rgb="FF7030A0"/>
      <name val="SWISS"/>
    </font>
    <font>
      <sz val="12"/>
      <color rgb="FF0000FF"/>
      <name val="Arial MT"/>
    </font>
    <font>
      <b/>
      <u/>
      <sz val="12"/>
      <color rgb="FFFF0000"/>
      <name val="Arial MT"/>
    </font>
    <font>
      <u/>
      <sz val="12"/>
      <color rgb="FFFF0000"/>
      <name val="Arial MT"/>
    </font>
    <font>
      <b/>
      <u/>
      <sz val="10"/>
      <color rgb="FF0000FF"/>
      <name val="Arial"/>
      <family val="2"/>
    </font>
    <font>
      <b/>
      <sz val="10"/>
      <color rgb="FF0000FF"/>
      <name val="Arial"/>
      <family val="2"/>
    </font>
    <font>
      <sz val="12"/>
      <color rgb="FFFF0000"/>
      <name val="Arial MT"/>
    </font>
    <font>
      <b/>
      <sz val="11"/>
      <color rgb="FF0000FF"/>
      <name val="Arial"/>
      <family val="2"/>
    </font>
    <font>
      <sz val="8"/>
      <color rgb="FF0000FF"/>
      <name val="SWISS"/>
    </font>
    <font>
      <sz val="9"/>
      <color rgb="FF0000FF"/>
      <name val="SWISS"/>
    </font>
    <font>
      <sz val="9"/>
      <color rgb="FFFF0000"/>
      <name val="SWISS"/>
    </font>
    <font>
      <sz val="8"/>
      <color rgb="FFFF0000"/>
      <name val="SWISS"/>
    </font>
    <font>
      <b/>
      <sz val="12"/>
      <color theme="1"/>
      <name val="Calibri"/>
      <family val="2"/>
      <scheme val="minor"/>
    </font>
    <font>
      <sz val="12"/>
      <color theme="1"/>
      <name val="Calibri"/>
      <family val="2"/>
      <scheme val="minor"/>
    </font>
    <font>
      <b/>
      <sz val="14"/>
      <color rgb="FFFF0000"/>
      <name val="Calibri"/>
      <family val="2"/>
      <scheme val="minor"/>
    </font>
    <font>
      <b/>
      <sz val="11"/>
      <color rgb="FFFF0000"/>
      <name val="Calibri"/>
      <family val="2"/>
      <scheme val="minor"/>
    </font>
    <font>
      <b/>
      <sz val="10"/>
      <color indexed="10"/>
      <name val="Calibri"/>
      <family val="2"/>
      <scheme val="minor"/>
    </font>
    <font>
      <b/>
      <sz val="10"/>
      <color rgb="FFFF0000"/>
      <name val="Calibri"/>
      <family val="2"/>
      <scheme val="minor"/>
    </font>
    <font>
      <b/>
      <sz val="10"/>
      <color indexed="8"/>
      <name val="Calibri"/>
      <family val="2"/>
      <scheme val="minor"/>
    </font>
    <font>
      <sz val="12"/>
      <color rgb="FF0000FF"/>
      <name val="Arial"/>
      <family val="2"/>
    </font>
    <font>
      <sz val="12"/>
      <color theme="7" tint="-0.249977111117893"/>
      <name val="Arial"/>
      <family val="2"/>
    </font>
    <font>
      <sz val="9"/>
      <color rgb="FF00B050"/>
      <name val="SWISS"/>
    </font>
    <font>
      <b/>
      <sz val="10"/>
      <color rgb="FF00B050"/>
      <name val="Arial"/>
      <family val="2"/>
    </font>
    <font>
      <sz val="10"/>
      <color theme="0"/>
      <name val="Arial"/>
      <family val="2"/>
    </font>
    <font>
      <sz val="10"/>
      <color rgb="FF00B050"/>
      <name val="Arial"/>
      <family val="2"/>
    </font>
    <font>
      <b/>
      <sz val="10"/>
      <color theme="0"/>
      <name val="Arial"/>
      <family val="2"/>
    </font>
    <font>
      <b/>
      <sz val="11"/>
      <color theme="0"/>
      <name val="Calibri"/>
      <family val="2"/>
    </font>
    <font>
      <sz val="8"/>
      <color rgb="FF00B050"/>
      <name val="SWISS"/>
    </font>
    <font>
      <b/>
      <sz val="12"/>
      <color theme="0"/>
      <name val="Arial"/>
      <family val="2"/>
    </font>
    <font>
      <b/>
      <u/>
      <sz val="10"/>
      <color theme="3"/>
      <name val="Arial"/>
      <family val="2"/>
    </font>
    <font>
      <b/>
      <u/>
      <sz val="11"/>
      <color rgb="FFFF0000"/>
      <name val="Arial"/>
      <family val="2"/>
    </font>
    <font>
      <sz val="10"/>
      <color theme="1"/>
      <name val="SWISS"/>
    </font>
    <font>
      <sz val="12"/>
      <color rgb="FF002060"/>
      <name val="Arial"/>
      <family val="2"/>
    </font>
    <font>
      <sz val="12"/>
      <color indexed="9"/>
      <name val="Arial"/>
      <family val="2"/>
    </font>
    <font>
      <b/>
      <sz val="9"/>
      <name val="Arial"/>
      <family val="2"/>
    </font>
    <font>
      <sz val="7"/>
      <name val="Arial"/>
      <family val="2"/>
    </font>
    <font>
      <sz val="9"/>
      <name val="Arial"/>
      <family val="2"/>
    </font>
    <font>
      <sz val="9"/>
      <color theme="1"/>
      <name val="Arial"/>
      <family val="2"/>
    </font>
    <font>
      <i/>
      <sz val="9"/>
      <color indexed="62"/>
      <name val="Arial"/>
      <family val="2"/>
    </font>
    <font>
      <sz val="11"/>
      <color theme="0"/>
      <name val="Arial"/>
      <family val="2"/>
    </font>
    <font>
      <sz val="11"/>
      <color theme="1"/>
      <name val="Arial"/>
      <family val="2"/>
    </font>
    <font>
      <sz val="8"/>
      <color theme="0" tint="-0.34998626667073579"/>
      <name val="Arial"/>
      <family val="2"/>
    </font>
    <font>
      <sz val="8"/>
      <color indexed="12"/>
      <name val="Arial"/>
      <family val="2"/>
    </font>
    <font>
      <sz val="11"/>
      <name val="Calibri"/>
      <family val="2"/>
      <scheme val="minor"/>
    </font>
    <font>
      <i/>
      <sz val="11"/>
      <color theme="1"/>
      <name val="Calibri"/>
      <family val="2"/>
      <scheme val="minor"/>
    </font>
    <font>
      <sz val="11"/>
      <color rgb="FF0000CC"/>
      <name val="Calibri"/>
      <family val="2"/>
      <scheme val="minor"/>
    </font>
    <font>
      <sz val="9"/>
      <color theme="0" tint="-0.499984740745262"/>
      <name val="Arial"/>
      <family val="2"/>
    </font>
    <font>
      <b/>
      <sz val="14"/>
      <color rgb="FF000000"/>
      <name val="Arial"/>
      <family val="2"/>
    </font>
  </fonts>
  <fills count="5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FF33"/>
        <bgColor indexed="64"/>
      </patternFill>
    </fill>
    <fill>
      <patternFill patternType="solid">
        <fgColor rgb="FFFFFF99"/>
        <bgColor indexed="64"/>
      </patternFill>
    </fill>
    <fill>
      <patternFill patternType="solid">
        <fgColor rgb="FF99FF99"/>
        <bgColor indexed="64"/>
      </patternFill>
    </fill>
    <fill>
      <patternFill patternType="solid">
        <fgColor rgb="FFFFC0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FFFFCC"/>
        <bgColor indexed="64"/>
      </patternFill>
    </fill>
    <fill>
      <patternFill patternType="solid">
        <fgColor rgb="FFECECEC"/>
      </patternFill>
    </fill>
    <fill>
      <patternFill patternType="solid">
        <fgColor theme="4" tint="0.79998168889431442"/>
        <bgColor theme="4" tint="0.79998168889431442"/>
      </patternFill>
    </fill>
    <fill>
      <patternFill patternType="solid">
        <fgColor rgb="FF00FF00"/>
        <bgColor indexed="64"/>
      </patternFill>
    </fill>
    <fill>
      <patternFill patternType="solid">
        <fgColor rgb="FFCCFFFF"/>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FF0000"/>
        <bgColor indexed="64"/>
      </patternFill>
    </fill>
    <fill>
      <patternFill patternType="solid">
        <fgColor rgb="FF00B0F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0" tint="-0.14999847407452621"/>
        <bgColor indexed="64"/>
      </patternFill>
    </fill>
    <fill>
      <patternFill patternType="solid">
        <fgColor rgb="FFCCFFCC"/>
        <bgColor indexed="64"/>
      </patternFill>
    </fill>
    <fill>
      <patternFill patternType="solid">
        <fgColor rgb="FF66FFFF"/>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3"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0"/>
        <bgColor indexed="64"/>
      </patternFill>
    </fill>
    <fill>
      <patternFill patternType="solid">
        <fgColor theme="3"/>
        <bgColor indexed="64"/>
      </patternFill>
    </fill>
    <fill>
      <patternFill patternType="solid">
        <fgColor theme="0" tint="-0.249977111117893"/>
        <bgColor indexed="64"/>
      </patternFill>
    </fill>
    <fill>
      <patternFill patternType="solid">
        <fgColor rgb="FF0070C0"/>
        <bgColor indexed="64"/>
      </patternFill>
    </fill>
    <fill>
      <patternFill patternType="solid">
        <fgColor rgb="FF00FFFF"/>
        <bgColor indexed="64"/>
      </patternFill>
    </fill>
    <fill>
      <patternFill patternType="solid">
        <fgColor theme="1"/>
        <bgColor indexed="64"/>
      </patternFill>
    </fill>
    <fill>
      <patternFill patternType="solid">
        <fgColor theme="8"/>
        <bgColor indexed="64"/>
      </patternFill>
    </fill>
    <fill>
      <patternFill patternType="solid">
        <fgColor rgb="FFC8C9CA"/>
        <bgColor indexed="64"/>
      </patternFill>
    </fill>
    <fill>
      <patternFill patternType="solid">
        <fgColor theme="0" tint="-0.34998626667073579"/>
        <bgColor indexed="64"/>
      </patternFill>
    </fill>
    <fill>
      <patternFill patternType="solid">
        <fgColor theme="6" tint="0.59999389629810485"/>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4"/>
      </top>
      <bottom/>
      <diagonal/>
    </border>
    <border>
      <left/>
      <right/>
      <top/>
      <bottom style="thin">
        <color indexed="64"/>
      </bottom>
      <diagonal/>
    </border>
    <border>
      <left/>
      <right/>
      <top/>
      <bottom style="double">
        <color indexed="64"/>
      </bottom>
      <diagonal/>
    </border>
    <border>
      <left style="thin">
        <color indexed="8"/>
      </left>
      <right/>
      <top/>
      <bottom/>
      <diagonal/>
    </border>
    <border>
      <left/>
      <right style="medium">
        <color indexed="64"/>
      </right>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double">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right/>
      <top style="thin">
        <color indexed="8"/>
      </top>
      <bottom style="thin">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rgb="FFECECEC"/>
      </left>
      <right style="medium">
        <color rgb="FFECECEC"/>
      </right>
      <top/>
      <bottom/>
      <diagonal/>
    </border>
    <border>
      <left style="medium">
        <color rgb="FFECECEC"/>
      </left>
      <right/>
      <top/>
      <bottom/>
      <diagonal/>
    </border>
    <border>
      <left style="medium">
        <color rgb="FFECECEC"/>
      </left>
      <right style="medium">
        <color rgb="FFECECEC"/>
      </right>
      <top style="medium">
        <color rgb="FFECECEC"/>
      </top>
      <bottom/>
      <diagonal/>
    </border>
    <border>
      <left style="medium">
        <color rgb="FFECECEC"/>
      </left>
      <right/>
      <top style="medium">
        <color rgb="FFECECEC"/>
      </top>
      <bottom/>
      <diagonal/>
    </border>
    <border>
      <left/>
      <right/>
      <top style="thin">
        <color theme="4" tint="0.39997558519241921"/>
      </top>
      <bottom/>
      <diagonal/>
    </border>
    <border>
      <left/>
      <right/>
      <top style="medium">
        <color rgb="FFECECEC"/>
      </top>
      <bottom/>
      <diagonal/>
    </border>
    <border>
      <left style="thin">
        <color indexed="64"/>
      </left>
      <right/>
      <top style="thin">
        <color indexed="64"/>
      </top>
      <bottom style="thin">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s>
  <cellStyleXfs count="270">
    <xf numFmtId="0" fontId="0" fillId="0" borderId="0"/>
    <xf numFmtId="176" fontId="22" fillId="0" borderId="0">
      <alignment horizontal="left" wrapText="1"/>
    </xf>
    <xf numFmtId="176" fontId="22" fillId="0" borderId="0">
      <alignment horizontal="left" wrapText="1"/>
    </xf>
    <xf numFmtId="176" fontId="22" fillId="0" borderId="0">
      <alignment horizontal="left" wrapText="1"/>
    </xf>
    <xf numFmtId="175" fontId="2" fillId="0" borderId="0">
      <alignment horizontal="left" wrapText="1"/>
    </xf>
    <xf numFmtId="175" fontId="86" fillId="0" borderId="0">
      <alignment horizontal="left" wrapText="1"/>
    </xf>
    <xf numFmtId="175" fontId="22" fillId="0" borderId="0">
      <alignment horizontal="left" wrapText="1"/>
    </xf>
    <xf numFmtId="175" fontId="22" fillId="0" borderId="0">
      <alignment horizontal="left" wrapText="1"/>
    </xf>
    <xf numFmtId="175" fontId="22" fillId="0" borderId="0">
      <alignment horizontal="left" wrapText="1"/>
    </xf>
    <xf numFmtId="175" fontId="89" fillId="0" borderId="0">
      <alignment horizontal="left" wrapText="1"/>
    </xf>
    <xf numFmtId="175" fontId="89" fillId="0" borderId="0">
      <alignment horizontal="left" wrapText="1"/>
    </xf>
    <xf numFmtId="176" fontId="22" fillId="0" borderId="0">
      <alignment horizontal="left" wrapText="1"/>
    </xf>
    <xf numFmtId="175" fontId="22" fillId="0" borderId="0">
      <alignment horizontal="left" wrapText="1"/>
    </xf>
    <xf numFmtId="175" fontId="2" fillId="0" borderId="0">
      <alignment horizontal="left" wrapText="1"/>
    </xf>
    <xf numFmtId="175" fontId="86" fillId="0" borderId="0">
      <alignment horizontal="left" wrapText="1"/>
    </xf>
    <xf numFmtId="175" fontId="22" fillId="0" borderId="0">
      <alignment horizontal="left" wrapText="1"/>
    </xf>
    <xf numFmtId="175" fontId="22" fillId="0" borderId="0">
      <alignment horizontal="left" wrapText="1"/>
    </xf>
    <xf numFmtId="175" fontId="22" fillId="0" borderId="0">
      <alignment horizontal="left" wrapText="1"/>
    </xf>
    <xf numFmtId="175" fontId="89" fillId="0" borderId="0">
      <alignment horizontal="left" wrapText="1"/>
    </xf>
    <xf numFmtId="175" fontId="89" fillId="0" borderId="0">
      <alignment horizontal="left" wrapText="1"/>
    </xf>
    <xf numFmtId="175" fontId="2" fillId="0" borderId="0">
      <alignment horizontal="left" wrapText="1"/>
    </xf>
    <xf numFmtId="175" fontId="86" fillId="0" borderId="0">
      <alignment horizontal="left" wrapText="1"/>
    </xf>
    <xf numFmtId="175" fontId="22" fillId="0" borderId="0">
      <alignment horizontal="left" wrapText="1"/>
    </xf>
    <xf numFmtId="175" fontId="22" fillId="0" borderId="0">
      <alignment horizontal="left" wrapText="1"/>
    </xf>
    <xf numFmtId="175" fontId="22" fillId="0" borderId="0">
      <alignment horizontal="left" wrapText="1"/>
    </xf>
    <xf numFmtId="175" fontId="89" fillId="0" borderId="0">
      <alignment horizontal="left" wrapText="1"/>
    </xf>
    <xf numFmtId="175" fontId="89" fillId="0" borderId="0">
      <alignment horizontal="left" wrapText="1"/>
    </xf>
    <xf numFmtId="0" fontId="47" fillId="2" borderId="0" applyNumberFormat="0" applyBorder="0" applyAlignment="0" applyProtection="0"/>
    <xf numFmtId="0" fontId="47" fillId="3" borderId="0" applyNumberFormat="0" applyBorder="0" applyAlignment="0" applyProtection="0"/>
    <xf numFmtId="0" fontId="47" fillId="4" borderId="0" applyNumberFormat="0" applyBorder="0" applyAlignment="0" applyProtection="0"/>
    <xf numFmtId="0" fontId="47" fillId="5" borderId="0" applyNumberFormat="0" applyBorder="0" applyAlignment="0" applyProtection="0"/>
    <xf numFmtId="0" fontId="47" fillId="6" borderId="0" applyNumberFormat="0" applyBorder="0" applyAlignment="0" applyProtection="0"/>
    <xf numFmtId="0" fontId="47" fillId="4" borderId="0" applyNumberFormat="0" applyBorder="0" applyAlignment="0" applyProtection="0"/>
    <xf numFmtId="0" fontId="47" fillId="6" borderId="0" applyNumberFormat="0" applyBorder="0" applyAlignment="0" applyProtection="0"/>
    <xf numFmtId="0" fontId="47" fillId="3" borderId="0" applyNumberFormat="0" applyBorder="0" applyAlignment="0" applyProtection="0"/>
    <xf numFmtId="0" fontId="47" fillId="7" borderId="0" applyNumberFormat="0" applyBorder="0" applyAlignment="0" applyProtection="0"/>
    <xf numFmtId="0" fontId="47" fillId="8" borderId="0" applyNumberFormat="0" applyBorder="0" applyAlignment="0" applyProtection="0"/>
    <xf numFmtId="0" fontId="47" fillId="6" borderId="0" applyNumberFormat="0" applyBorder="0" applyAlignment="0" applyProtection="0"/>
    <xf numFmtId="0" fontId="47" fillId="4" borderId="0" applyNumberFormat="0" applyBorder="0" applyAlignment="0" applyProtection="0"/>
    <xf numFmtId="0" fontId="48" fillId="6"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8" borderId="0" applyNumberFormat="0" applyBorder="0" applyAlignment="0" applyProtection="0"/>
    <xf numFmtId="0" fontId="48" fillId="6" borderId="0" applyNumberFormat="0" applyBorder="0" applyAlignment="0" applyProtection="0"/>
    <xf numFmtId="0" fontId="48" fillId="3" borderId="0" applyNumberFormat="0" applyBorder="0" applyAlignment="0" applyProtection="0"/>
    <xf numFmtId="0" fontId="48" fillId="11"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9" fillId="15" borderId="0" applyNumberFormat="0" applyBorder="0" applyAlignment="0" applyProtection="0"/>
    <xf numFmtId="0" fontId="50" fillId="16" borderId="1" applyNumberFormat="0" applyAlignment="0" applyProtection="0"/>
    <xf numFmtId="0" fontId="51" fillId="17" borderId="2" applyNumberFormat="0" applyAlignment="0" applyProtection="0"/>
    <xf numFmtId="43" fontId="2" fillId="0" borderId="0" applyFont="0" applyFill="0" applyBorder="0" applyAlignment="0" applyProtection="0"/>
    <xf numFmtId="43" fontId="8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45" fillId="0" borderId="0" applyFont="0" applyFill="0" applyBorder="0" applyAlignment="0" applyProtection="0"/>
    <xf numFmtId="43" fontId="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8" fillId="0" borderId="0" applyFont="0" applyFill="0" applyBorder="0" applyAlignment="0" applyProtection="0"/>
    <xf numFmtId="43" fontId="8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4"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2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0" fillId="0" borderId="0" applyFont="0" applyFill="0" applyBorder="0" applyAlignment="0" applyProtection="0"/>
    <xf numFmtId="43" fontId="83" fillId="0" borderId="0" applyFont="0" applyFill="0" applyBorder="0" applyAlignment="0" applyProtection="0"/>
    <xf numFmtId="43" fontId="150" fillId="0" borderId="0" applyFont="0" applyFill="0" applyBorder="0" applyAlignment="0" applyProtection="0"/>
    <xf numFmtId="43" fontId="47" fillId="0" borderId="0" applyFont="0" applyFill="0" applyBorder="0" applyAlignment="0" applyProtection="0"/>
    <xf numFmtId="43" fontId="86" fillId="0" borderId="0" applyFont="0" applyFill="0" applyBorder="0" applyAlignment="0" applyProtection="0"/>
    <xf numFmtId="43" fontId="15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89" fillId="0" borderId="0" applyFont="0" applyFill="0" applyBorder="0" applyAlignment="0" applyProtection="0"/>
    <xf numFmtId="3" fontId="2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86" fillId="0" borderId="0" applyFont="0" applyFill="0" applyBorder="0" applyAlignment="0" applyProtection="0"/>
    <xf numFmtId="44" fontId="2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3" fillId="0" borderId="0" applyFont="0" applyFill="0" applyBorder="0" applyAlignment="0" applyProtection="0"/>
    <xf numFmtId="44" fontId="150" fillId="0" borderId="0" applyFont="0" applyFill="0" applyBorder="0" applyAlignment="0" applyProtection="0"/>
    <xf numFmtId="44" fontId="22" fillId="0" borderId="0" applyFont="0" applyFill="0" applyBorder="0" applyAlignment="0" applyProtection="0"/>
    <xf numFmtId="44" fontId="86" fillId="0" borderId="0" applyFont="0" applyFill="0" applyBorder="0" applyAlignment="0" applyProtection="0"/>
    <xf numFmtId="44" fontId="22" fillId="0" borderId="0" applyFont="0" applyFill="0" applyBorder="0" applyAlignment="0" applyProtection="0"/>
    <xf numFmtId="44" fontId="150" fillId="0" borderId="0" applyFont="0" applyFill="0" applyBorder="0" applyAlignment="0" applyProtection="0"/>
    <xf numFmtId="44" fontId="150" fillId="0" borderId="0" applyFont="0" applyFill="0" applyBorder="0" applyAlignment="0" applyProtection="0"/>
    <xf numFmtId="44" fontId="2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45" fillId="0" borderId="0" applyFont="0" applyFill="0" applyBorder="0" applyAlignment="0" applyProtection="0"/>
    <xf numFmtId="5" fontId="22" fillId="0" borderId="0" applyFont="0" applyFill="0" applyBorder="0" applyAlignment="0" applyProtection="0"/>
    <xf numFmtId="0" fontId="2" fillId="0" borderId="0" applyFont="0" applyFill="0" applyBorder="0" applyAlignment="0" applyProtection="0"/>
    <xf numFmtId="0" fontId="86" fillId="0" borderId="0" applyFont="0" applyFill="0" applyBorder="0" applyAlignment="0" applyProtection="0"/>
    <xf numFmtId="0"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0" fontId="52" fillId="0" borderId="0" applyNumberFormat="0" applyFill="0" applyBorder="0" applyAlignment="0" applyProtection="0"/>
    <xf numFmtId="2" fontId="22" fillId="0" borderId="0" applyFont="0" applyFill="0" applyBorder="0" applyAlignment="0" applyProtection="0"/>
    <xf numFmtId="184" fontId="87" fillId="0" borderId="0"/>
    <xf numFmtId="0" fontId="53" fillId="6" borderId="0" applyNumberFormat="0" applyBorder="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38" fillId="0" borderId="0" applyNumberFormat="0" applyFill="0" applyBorder="0" applyAlignment="0" applyProtection="0">
      <alignment vertical="top"/>
      <protection locked="0"/>
    </xf>
    <xf numFmtId="0" fontId="57" fillId="7" borderId="1" applyNumberFormat="0" applyAlignment="0" applyProtection="0"/>
    <xf numFmtId="0" fontId="58" fillId="0" borderId="6" applyNumberFormat="0" applyFill="0" applyAlignment="0" applyProtection="0"/>
    <xf numFmtId="0" fontId="59" fillId="7" borderId="0" applyNumberFormat="0" applyBorder="0" applyAlignment="0" applyProtection="0"/>
    <xf numFmtId="0" fontId="150" fillId="0" borderId="0"/>
    <xf numFmtId="0" fontId="150" fillId="0" borderId="0"/>
    <xf numFmtId="0" fontId="150" fillId="0" borderId="0"/>
    <xf numFmtId="0" fontId="22" fillId="0" borderId="0"/>
    <xf numFmtId="0" fontId="150" fillId="0" borderId="0"/>
    <xf numFmtId="0" fontId="44" fillId="0" borderId="0"/>
    <xf numFmtId="0" fontId="44" fillId="0" borderId="0"/>
    <xf numFmtId="0" fontId="150" fillId="0" borderId="0"/>
    <xf numFmtId="0" fontId="150" fillId="0" borderId="0"/>
    <xf numFmtId="0" fontId="44" fillId="0" borderId="0"/>
    <xf numFmtId="0" fontId="150" fillId="0" borderId="0"/>
    <xf numFmtId="0" fontId="44" fillId="0" borderId="0"/>
    <xf numFmtId="0" fontId="150" fillId="0" borderId="0"/>
    <xf numFmtId="0" fontId="44" fillId="0" borderId="0"/>
    <xf numFmtId="0" fontId="150" fillId="0" borderId="0"/>
    <xf numFmtId="0" fontId="150" fillId="0" borderId="0"/>
    <xf numFmtId="0" fontId="44"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83" fillId="0" borderId="0"/>
    <xf numFmtId="0" fontId="22" fillId="0" borderId="0"/>
    <xf numFmtId="0" fontId="22" fillId="0" borderId="0"/>
    <xf numFmtId="0" fontId="150" fillId="0" borderId="0"/>
    <xf numFmtId="0" fontId="150" fillId="0" borderId="0"/>
    <xf numFmtId="0" fontId="150" fillId="0" borderId="0"/>
    <xf numFmtId="0" fontId="22" fillId="0" borderId="0"/>
    <xf numFmtId="0" fontId="150" fillId="0" borderId="0"/>
    <xf numFmtId="0" fontId="150" fillId="0" borderId="0"/>
    <xf numFmtId="0" fontId="150" fillId="0" borderId="0"/>
    <xf numFmtId="0" fontId="150" fillId="0" borderId="0"/>
    <xf numFmtId="0" fontId="150" fillId="0" borderId="0"/>
    <xf numFmtId="0" fontId="22" fillId="0" borderId="0"/>
    <xf numFmtId="0" fontId="150" fillId="0" borderId="0"/>
    <xf numFmtId="0" fontId="22" fillId="0" borderId="0"/>
    <xf numFmtId="0" fontId="150" fillId="0" borderId="0"/>
    <xf numFmtId="0" fontId="83" fillId="0" borderId="0"/>
    <xf numFmtId="0" fontId="22" fillId="0" borderId="0"/>
    <xf numFmtId="0" fontId="44" fillId="0" borderId="0"/>
    <xf numFmtId="0" fontId="44" fillId="16" borderId="0"/>
    <xf numFmtId="0" fontId="150" fillId="0" borderId="0"/>
    <xf numFmtId="0" fontId="150" fillId="0" borderId="0"/>
    <xf numFmtId="0" fontId="150" fillId="0" borderId="0"/>
    <xf numFmtId="0" fontId="44" fillId="0" borderId="0"/>
    <xf numFmtId="0" fontId="88" fillId="0" borderId="0"/>
    <xf numFmtId="0" fontId="22" fillId="0" borderId="0"/>
    <xf numFmtId="0" fontId="151" fillId="0" borderId="0"/>
    <xf numFmtId="0" fontId="22" fillId="0" borderId="0"/>
    <xf numFmtId="0" fontId="150" fillId="0" borderId="0"/>
    <xf numFmtId="0" fontId="22" fillId="0" borderId="0"/>
    <xf numFmtId="0" fontId="150" fillId="0" borderId="0"/>
    <xf numFmtId="0" fontId="44" fillId="0" borderId="0"/>
    <xf numFmtId="0" fontId="18" fillId="16" borderId="0"/>
    <xf numFmtId="0" fontId="44" fillId="0" borderId="0"/>
    <xf numFmtId="0" fontId="44" fillId="0" borderId="0"/>
    <xf numFmtId="0" fontId="150" fillId="0" borderId="0"/>
    <xf numFmtId="0" fontId="34" fillId="0" borderId="0">
      <alignment vertical="top"/>
    </xf>
    <xf numFmtId="0" fontId="44" fillId="0" borderId="0"/>
    <xf numFmtId="0" fontId="150" fillId="0" borderId="0"/>
    <xf numFmtId="0" fontId="22" fillId="0" borderId="0"/>
    <xf numFmtId="0" fontId="44" fillId="0" borderId="0"/>
    <xf numFmtId="0" fontId="44" fillId="0" borderId="0"/>
    <xf numFmtId="0" fontId="22" fillId="0" borderId="0"/>
    <xf numFmtId="0" fontId="150" fillId="0" borderId="0"/>
    <xf numFmtId="0" fontId="22" fillId="0" borderId="0"/>
    <xf numFmtId="0" fontId="22" fillId="0" borderId="0"/>
    <xf numFmtId="0" fontId="150" fillId="0" borderId="0"/>
    <xf numFmtId="0" fontId="150" fillId="0" borderId="0"/>
    <xf numFmtId="0" fontId="150" fillId="0" borderId="0"/>
    <xf numFmtId="0" fontId="150" fillId="0" borderId="0"/>
    <xf numFmtId="0" fontId="44" fillId="0" borderId="0"/>
    <xf numFmtId="0" fontId="44" fillId="0" borderId="0"/>
    <xf numFmtId="0" fontId="150" fillId="0" borderId="0"/>
    <xf numFmtId="0" fontId="150" fillId="0" borderId="0"/>
    <xf numFmtId="0" fontId="44" fillId="0" borderId="0"/>
    <xf numFmtId="0" fontId="150" fillId="0" borderId="0"/>
    <xf numFmtId="0" fontId="44" fillId="0" borderId="0"/>
    <xf numFmtId="0" fontId="150" fillId="0" borderId="0"/>
    <xf numFmtId="0" fontId="22" fillId="4" borderId="7" applyNumberFormat="0" applyFont="0" applyAlignment="0" applyProtection="0"/>
    <xf numFmtId="0" fontId="60" fillId="16" borderId="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8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24" fillId="0" borderId="0" applyFont="0" applyFill="0" applyBorder="0" applyAlignment="0" applyProtection="0"/>
    <xf numFmtId="9" fontId="22" fillId="0" borderId="0" applyFont="0" applyFill="0" applyBorder="0" applyAlignment="0" applyProtection="0"/>
    <xf numFmtId="9" fontId="86" fillId="0" borderId="0" applyFont="0" applyFill="0" applyBorder="0" applyAlignment="0" applyProtection="0"/>
    <xf numFmtId="9" fontId="22"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145" fillId="0" borderId="0" applyFont="0" applyFill="0" applyBorder="0" applyAlignment="0" applyProtection="0"/>
    <xf numFmtId="176" fontId="2" fillId="0" borderId="0">
      <alignment horizontal="left" wrapText="1"/>
    </xf>
    <xf numFmtId="176" fontId="86" fillId="0" borderId="0">
      <alignment horizontal="left" wrapText="1"/>
    </xf>
    <xf numFmtId="176" fontId="22" fillId="0" borderId="0">
      <alignment horizontal="left" wrapText="1"/>
    </xf>
    <xf numFmtId="176" fontId="22" fillId="0" borderId="0">
      <alignment horizontal="left" wrapText="1"/>
    </xf>
    <xf numFmtId="176" fontId="22" fillId="0" borderId="0">
      <alignment horizontal="left" wrapText="1"/>
    </xf>
    <xf numFmtId="176" fontId="22" fillId="0" borderId="0">
      <alignment horizontal="left" wrapText="1"/>
    </xf>
    <xf numFmtId="176" fontId="89" fillId="0" borderId="0">
      <alignment horizontal="left" wrapText="1"/>
    </xf>
    <xf numFmtId="176" fontId="89" fillId="0" borderId="0">
      <alignment horizontal="left" wrapText="1"/>
    </xf>
    <xf numFmtId="175" fontId="22" fillId="0" borderId="0">
      <alignment horizontal="left" wrapText="1"/>
    </xf>
    <xf numFmtId="0" fontId="61" fillId="0" borderId="0" applyNumberFormat="0" applyBorder="0" applyAlignment="0"/>
    <xf numFmtId="0" fontId="62" fillId="0" borderId="0" applyNumberFormat="0" applyBorder="0" applyAlignment="0"/>
    <xf numFmtId="0" fontId="63" fillId="0" borderId="0" applyNumberFormat="0" applyBorder="0" applyAlignment="0"/>
    <xf numFmtId="0" fontId="63" fillId="0" borderId="0" applyNumberFormat="0" applyBorder="0" applyAlignment="0"/>
    <xf numFmtId="0" fontId="64" fillId="0" borderId="0" applyNumberFormat="0" applyFill="0" applyBorder="0" applyAlignment="0" applyProtection="0"/>
    <xf numFmtId="0" fontId="65" fillId="0" borderId="9" applyNumberFormat="0" applyFill="0" applyAlignment="0" applyProtection="0"/>
    <xf numFmtId="0" fontId="58" fillId="0" borderId="0" applyNumberFormat="0" applyFill="0" applyBorder="0" applyAlignment="0" applyProtection="0"/>
    <xf numFmtId="0" fontId="197" fillId="54" borderId="0">
      <alignment vertical="center"/>
    </xf>
    <xf numFmtId="0" fontId="19" fillId="0" borderId="0"/>
    <xf numFmtId="0" fontId="199" fillId="0" borderId="0">
      <alignment horizontal="center"/>
    </xf>
    <xf numFmtId="195" fontId="200" fillId="29" borderId="59">
      <alignment horizontal="right"/>
      <protection locked="0"/>
    </xf>
    <xf numFmtId="196" fontId="200" fillId="0" borderId="0">
      <alignment horizontal="center"/>
    </xf>
    <xf numFmtId="197" fontId="200" fillId="29" borderId="59">
      <protection locked="0"/>
    </xf>
    <xf numFmtId="0" fontId="201" fillId="0" borderId="0">
      <alignment vertical="center"/>
    </xf>
    <xf numFmtId="0" fontId="202" fillId="0" borderId="0"/>
    <xf numFmtId="197" fontId="200" fillId="0" borderId="0"/>
    <xf numFmtId="0" fontId="203" fillId="55" borderId="0">
      <alignment vertical="center"/>
    </xf>
    <xf numFmtId="0" fontId="204" fillId="56" borderId="0">
      <alignment vertical="center"/>
    </xf>
    <xf numFmtId="0" fontId="205" fillId="0" borderId="0">
      <alignment horizontal="center"/>
    </xf>
    <xf numFmtId="199" fontId="206" fillId="0" borderId="60">
      <alignment horizontal="center" vertical="center"/>
    </xf>
    <xf numFmtId="197" fontId="200" fillId="0" borderId="10"/>
    <xf numFmtId="198" fontId="200" fillId="41" borderId="59">
      <protection locked="0"/>
    </xf>
    <xf numFmtId="200" fontId="200" fillId="0" borderId="0"/>
    <xf numFmtId="0" fontId="210" fillId="0" borderId="0">
      <alignment horizontal="left" vertical="center"/>
    </xf>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cellStyleXfs>
  <cellXfs count="1310">
    <xf numFmtId="0" fontId="0" fillId="0" borderId="0" xfId="0"/>
    <xf numFmtId="0" fontId="3" fillId="0" borderId="0" xfId="0" applyFont="1"/>
    <xf numFmtId="37" fontId="3" fillId="0" borderId="0" xfId="0" applyNumberFormat="1" applyFont="1"/>
    <xf numFmtId="37" fontId="0" fillId="0" borderId="0" xfId="0" applyNumberFormat="1"/>
    <xf numFmtId="0" fontId="15" fillId="0" borderId="0" xfId="0" applyFont="1"/>
    <xf numFmtId="0" fontId="0" fillId="0" borderId="0" xfId="0" applyAlignment="1">
      <alignment horizontal="centerContinuous"/>
    </xf>
    <xf numFmtId="0" fontId="18" fillId="0" borderId="0" xfId="0" applyFont="1" applyAlignment="1">
      <alignment horizontal="centerContinuous"/>
    </xf>
    <xf numFmtId="166" fontId="18" fillId="0" borderId="0" xfId="0" applyNumberFormat="1" applyFont="1"/>
    <xf numFmtId="0" fontId="18" fillId="0" borderId="0" xfId="0" applyFont="1"/>
    <xf numFmtId="0" fontId="18" fillId="0" borderId="0" xfId="0" applyFont="1" applyAlignment="1">
      <alignment horizontal="center"/>
    </xf>
    <xf numFmtId="37" fontId="18" fillId="0" borderId="0" xfId="0" applyNumberFormat="1" applyFont="1"/>
    <xf numFmtId="39" fontId="18" fillId="0" borderId="0" xfId="0" applyNumberFormat="1" applyFont="1"/>
    <xf numFmtId="0" fontId="17" fillId="0" borderId="0" xfId="0" applyFont="1"/>
    <xf numFmtId="0" fontId="21" fillId="0" borderId="0" xfId="0" applyFont="1" applyAlignment="1">
      <alignment horizontal="center"/>
    </xf>
    <xf numFmtId="39" fontId="20" fillId="0" borderId="0" xfId="0" applyNumberFormat="1" applyFont="1" applyProtection="1">
      <protection locked="0"/>
    </xf>
    <xf numFmtId="37" fontId="20" fillId="0" borderId="0" xfId="0" applyNumberFormat="1" applyFont="1" applyProtection="1">
      <protection locked="0"/>
    </xf>
    <xf numFmtId="0" fontId="18" fillId="0" borderId="0" xfId="0" applyFont="1" applyAlignment="1">
      <alignment horizontal="right"/>
    </xf>
    <xf numFmtId="0" fontId="22" fillId="0" borderId="0" xfId="0" applyFont="1"/>
    <xf numFmtId="37" fontId="22" fillId="0" borderId="10" xfId="0" applyNumberFormat="1" applyFont="1" applyBorder="1" applyAlignment="1">
      <alignment horizontal="right"/>
    </xf>
    <xf numFmtId="0" fontId="26" fillId="0" borderId="0" xfId="0" applyFont="1"/>
    <xf numFmtId="0" fontId="19" fillId="0" borderId="0" xfId="0" applyFont="1" applyAlignment="1">
      <alignment horizontal="left"/>
    </xf>
    <xf numFmtId="0" fontId="0" fillId="0" borderId="0" xfId="0" applyAlignment="1">
      <alignment horizontal="left"/>
    </xf>
    <xf numFmtId="0" fontId="19" fillId="0" borderId="0" xfId="0" applyFont="1" applyAlignment="1">
      <alignment horizontal="center"/>
    </xf>
    <xf numFmtId="0" fontId="30" fillId="0" borderId="0" xfId="0" applyFont="1"/>
    <xf numFmtId="0" fontId="29" fillId="0" borderId="0" xfId="0" applyFont="1" applyAlignment="1">
      <alignment horizontal="left"/>
    </xf>
    <xf numFmtId="0" fontId="12" fillId="0" borderId="0" xfId="0" applyFont="1"/>
    <xf numFmtId="0" fontId="33" fillId="0" borderId="0" xfId="0" applyFont="1" applyAlignment="1">
      <alignment horizontal="left"/>
    </xf>
    <xf numFmtId="0" fontId="23" fillId="0" borderId="0" xfId="0" quotePrefix="1" applyFont="1"/>
    <xf numFmtId="0" fontId="35" fillId="0" borderId="0" xfId="0" applyFont="1"/>
    <xf numFmtId="0" fontId="34" fillId="0" borderId="0" xfId="0" quotePrefix="1" applyFont="1"/>
    <xf numFmtId="0" fontId="35" fillId="0" borderId="0" xfId="0" quotePrefix="1" applyFont="1"/>
    <xf numFmtId="0" fontId="19" fillId="0" borderId="0" xfId="0" applyFont="1"/>
    <xf numFmtId="0" fontId="29" fillId="0" borderId="0" xfId="0" applyFont="1" applyAlignment="1">
      <alignment horizontal="centerContinuous"/>
    </xf>
    <xf numFmtId="0" fontId="25" fillId="0" borderId="0" xfId="0" applyFont="1" applyAlignment="1">
      <alignment horizontal="centerContinuous"/>
    </xf>
    <xf numFmtId="0" fontId="37" fillId="0" borderId="0" xfId="0" applyFont="1"/>
    <xf numFmtId="167" fontId="0" fillId="0" borderId="0" xfId="54" applyNumberFormat="1" applyFont="1"/>
    <xf numFmtId="169" fontId="0" fillId="0" borderId="0" xfId="0" applyNumberFormat="1"/>
    <xf numFmtId="49" fontId="18" fillId="0" borderId="0" xfId="0" applyNumberFormat="1" applyFont="1" applyAlignment="1">
      <alignment horizontal="center"/>
    </xf>
    <xf numFmtId="49" fontId="18" fillId="0" borderId="0" xfId="0" applyNumberFormat="1" applyFont="1" applyAlignment="1">
      <alignment horizontal="left"/>
    </xf>
    <xf numFmtId="37" fontId="34" fillId="0" borderId="0" xfId="54" applyNumberFormat="1" applyFont="1" applyFill="1"/>
    <xf numFmtId="37" fontId="23" fillId="0" borderId="0" xfId="54" applyNumberFormat="1" applyFont="1" applyFill="1"/>
    <xf numFmtId="0" fontId="41" fillId="0" borderId="0" xfId="0" applyFont="1"/>
    <xf numFmtId="0" fontId="2" fillId="0" borderId="0" xfId="0" applyFont="1"/>
    <xf numFmtId="0" fontId="39" fillId="0" borderId="0" xfId="0" quotePrefix="1" applyFont="1"/>
    <xf numFmtId="0" fontId="42" fillId="0" borderId="0" xfId="0" applyFont="1"/>
    <xf numFmtId="17" fontId="43" fillId="0" borderId="0" xfId="0" applyNumberFormat="1" applyFont="1" applyAlignment="1">
      <alignment horizontal="center"/>
    </xf>
    <xf numFmtId="174" fontId="18" fillId="0" borderId="0" xfId="0" applyNumberFormat="1" applyFont="1" applyAlignment="1">
      <alignment horizontal="left"/>
    </xf>
    <xf numFmtId="170" fontId="2" fillId="0" borderId="0" xfId="0" applyNumberFormat="1" applyFont="1"/>
    <xf numFmtId="43" fontId="0" fillId="0" borderId="0" xfId="54" applyFont="1"/>
    <xf numFmtId="167" fontId="40" fillId="0" borderId="0" xfId="54" applyNumberFormat="1" applyFont="1" applyFill="1"/>
    <xf numFmtId="173" fontId="39" fillId="0" borderId="0" xfId="0" applyNumberFormat="1" applyFont="1"/>
    <xf numFmtId="167" fontId="39" fillId="0" borderId="0" xfId="54" applyNumberFormat="1" applyFont="1" applyFill="1"/>
    <xf numFmtId="167" fontId="0" fillId="0" borderId="0" xfId="54" applyNumberFormat="1" applyFont="1" applyFill="1"/>
    <xf numFmtId="0" fontId="46" fillId="0" borderId="0" xfId="0" applyFont="1"/>
    <xf numFmtId="0" fontId="68" fillId="0" borderId="0" xfId="0" applyFont="1"/>
    <xf numFmtId="0" fontId="29" fillId="0" borderId="0" xfId="0" applyFont="1" applyAlignment="1">
      <alignment horizontal="center"/>
    </xf>
    <xf numFmtId="1" fontId="68" fillId="0" borderId="0" xfId="0" applyNumberFormat="1" applyFont="1" applyAlignment="1">
      <alignment horizontal="center"/>
    </xf>
    <xf numFmtId="10" fontId="68" fillId="0" borderId="0" xfId="222" applyNumberFormat="1" applyFont="1" applyFill="1"/>
    <xf numFmtId="3" fontId="29" fillId="0" borderId="0" xfId="0" applyNumberFormat="1" applyFont="1"/>
    <xf numFmtId="6" fontId="29" fillId="0" borderId="0" xfId="0" quotePrefix="1" applyNumberFormat="1" applyFont="1" applyAlignment="1">
      <alignment horizontal="left"/>
    </xf>
    <xf numFmtId="177" fontId="25" fillId="0" borderId="0" xfId="0" applyNumberFormat="1" applyFont="1" applyAlignment="1">
      <alignment horizontal="center"/>
    </xf>
    <xf numFmtId="0" fontId="29" fillId="0" borderId="0" xfId="0" applyFont="1"/>
    <xf numFmtId="1" fontId="29" fillId="0" borderId="0" xfId="0" applyNumberFormat="1" applyFont="1" applyAlignment="1">
      <alignment horizontal="center"/>
    </xf>
    <xf numFmtId="10" fontId="29" fillId="0" borderId="0" xfId="222" applyNumberFormat="1" applyFont="1" applyFill="1"/>
    <xf numFmtId="0" fontId="29" fillId="0" borderId="0" xfId="0" quotePrefix="1" applyFont="1" applyAlignment="1">
      <alignment horizontal="left"/>
    </xf>
    <xf numFmtId="0" fontId="29" fillId="0" borderId="11" xfId="0" applyFont="1" applyBorder="1" applyAlignment="1">
      <alignment horizontal="center"/>
    </xf>
    <xf numFmtId="0" fontId="29" fillId="0" borderId="11" xfId="0" quotePrefix="1" applyFont="1" applyBorder="1" applyAlignment="1">
      <alignment horizontal="center"/>
    </xf>
    <xf numFmtId="1" fontId="29" fillId="0" borderId="11" xfId="0" applyNumberFormat="1" applyFont="1" applyBorder="1" applyAlignment="1">
      <alignment horizontal="center"/>
    </xf>
    <xf numFmtId="3" fontId="68" fillId="0" borderId="0" xfId="0" applyNumberFormat="1" applyFont="1"/>
    <xf numFmtId="3" fontId="32" fillId="0" borderId="0" xfId="0" applyNumberFormat="1" applyFont="1"/>
    <xf numFmtId="37" fontId="68" fillId="0" borderId="0" xfId="0" applyNumberFormat="1" applyFont="1"/>
    <xf numFmtId="37" fontId="68" fillId="0" borderId="11" xfId="0" applyNumberFormat="1" applyFont="1" applyBorder="1"/>
    <xf numFmtId="0" fontId="71" fillId="0" borderId="0" xfId="0" quotePrefix="1" applyFont="1" applyAlignment="1">
      <alignment horizontal="right"/>
    </xf>
    <xf numFmtId="0" fontId="33" fillId="0" borderId="0" xfId="0" quotePrefix="1" applyFont="1" applyAlignment="1">
      <alignment horizontal="right"/>
    </xf>
    <xf numFmtId="0" fontId="68" fillId="0" borderId="0" xfId="0" quotePrefix="1" applyFont="1" applyAlignment="1">
      <alignment horizontal="left"/>
    </xf>
    <xf numFmtId="43" fontId="68" fillId="0" borderId="0" xfId="70" applyFont="1" applyFill="1"/>
    <xf numFmtId="1" fontId="33" fillId="0" borderId="0" xfId="0" applyNumberFormat="1" applyFont="1" applyAlignment="1">
      <alignment horizontal="center"/>
    </xf>
    <xf numFmtId="10" fontId="68" fillId="0" borderId="0" xfId="0" applyNumberFormat="1" applyFont="1"/>
    <xf numFmtId="10" fontId="68" fillId="0" borderId="11" xfId="0" applyNumberFormat="1" applyFont="1" applyBorder="1"/>
    <xf numFmtId="1" fontId="68" fillId="0" borderId="0" xfId="0" quotePrefix="1" applyNumberFormat="1" applyFont="1" applyAlignment="1">
      <alignment horizontal="fill"/>
    </xf>
    <xf numFmtId="10" fontId="29" fillId="0" borderId="0" xfId="0" applyNumberFormat="1" applyFont="1"/>
    <xf numFmtId="0" fontId="68" fillId="0" borderId="11" xfId="0" applyFont="1" applyBorder="1"/>
    <xf numFmtId="0" fontId="68" fillId="0" borderId="11" xfId="0" quotePrefix="1" applyFont="1" applyBorder="1" applyAlignment="1">
      <alignment horizontal="left"/>
    </xf>
    <xf numFmtId="1" fontId="68" fillId="0" borderId="11" xfId="0" applyNumberFormat="1" applyFont="1" applyBorder="1" applyAlignment="1">
      <alignment horizontal="center"/>
    </xf>
    <xf numFmtId="10" fontId="68" fillId="0" borderId="11" xfId="222" applyNumberFormat="1" applyFont="1" applyFill="1" applyBorder="1"/>
    <xf numFmtId="1" fontId="68" fillId="0" borderId="0" xfId="222" applyNumberFormat="1" applyFont="1" applyFill="1" applyAlignment="1">
      <alignment horizontal="center"/>
    </xf>
    <xf numFmtId="37" fontId="68" fillId="0" borderId="0" xfId="70" applyNumberFormat="1" applyFont="1" applyFill="1"/>
    <xf numFmtId="37" fontId="68" fillId="0" borderId="0" xfId="0" quotePrefix="1" applyNumberFormat="1" applyFont="1" applyAlignment="1">
      <alignment horizontal="left"/>
    </xf>
    <xf numFmtId="42" fontId="29" fillId="0" borderId="0" xfId="0" applyNumberFormat="1" applyFont="1"/>
    <xf numFmtId="1" fontId="33" fillId="0" borderId="0" xfId="222" applyNumberFormat="1" applyFont="1" applyFill="1" applyAlignment="1">
      <alignment horizontal="center"/>
    </xf>
    <xf numFmtId="37" fontId="32" fillId="0" borderId="11" xfId="0" applyNumberFormat="1" applyFont="1" applyBorder="1"/>
    <xf numFmtId="0" fontId="26" fillId="0" borderId="11" xfId="0" applyFont="1" applyBorder="1" applyAlignment="1">
      <alignment horizontal="left"/>
    </xf>
    <xf numFmtId="37" fontId="32" fillId="0" borderId="0" xfId="0" applyNumberFormat="1" applyFont="1"/>
    <xf numFmtId="173" fontId="68" fillId="0" borderId="0" xfId="0" applyNumberFormat="1" applyFont="1"/>
    <xf numFmtId="1" fontId="72" fillId="0" borderId="0" xfId="0" applyNumberFormat="1" applyFont="1" applyAlignment="1">
      <alignment horizontal="center"/>
    </xf>
    <xf numFmtId="0" fontId="26" fillId="0" borderId="0" xfId="0" applyFont="1" applyAlignment="1">
      <alignment horizontal="left"/>
    </xf>
    <xf numFmtId="10" fontId="68" fillId="0" borderId="0" xfId="222" applyNumberFormat="1" applyFont="1" applyFill="1" applyBorder="1"/>
    <xf numFmtId="37" fontId="68" fillId="0" borderId="0" xfId="0" applyNumberFormat="1" applyFont="1" applyAlignment="1">
      <alignment horizontal="right"/>
    </xf>
    <xf numFmtId="167" fontId="68" fillId="0" borderId="0" xfId="70" applyNumberFormat="1" applyFont="1" applyFill="1"/>
    <xf numFmtId="3" fontId="68" fillId="0" borderId="11" xfId="0" applyNumberFormat="1" applyFont="1" applyBorder="1"/>
    <xf numFmtId="167" fontId="3" fillId="0" borderId="0" xfId="54" applyNumberFormat="1" applyFont="1" applyFill="1" applyProtection="1"/>
    <xf numFmtId="170" fontId="34" fillId="0" borderId="0" xfId="0" applyNumberFormat="1" applyFont="1"/>
    <xf numFmtId="170" fontId="23" fillId="0" borderId="0" xfId="0" applyNumberFormat="1" applyFont="1"/>
    <xf numFmtId="171" fontId="23" fillId="0" borderId="0" xfId="0" applyNumberFormat="1" applyFont="1"/>
    <xf numFmtId="167" fontId="0" fillId="0" borderId="0" xfId="0" applyNumberFormat="1"/>
    <xf numFmtId="0" fontId="44" fillId="0" borderId="0" xfId="0" applyFont="1"/>
    <xf numFmtId="1" fontId="72" fillId="0" borderId="11" xfId="0" applyNumberFormat="1" applyFont="1" applyBorder="1" applyAlignment="1">
      <alignment horizontal="center"/>
    </xf>
    <xf numFmtId="167" fontId="23" fillId="0" borderId="0" xfId="54" applyNumberFormat="1" applyFont="1" applyFill="1"/>
    <xf numFmtId="178" fontId="23" fillId="0" borderId="0" xfId="86" applyNumberFormat="1" applyFont="1" applyFill="1"/>
    <xf numFmtId="167" fontId="0" fillId="0" borderId="0" xfId="54" applyNumberFormat="1" applyFont="1" applyAlignment="1">
      <alignment horizontal="centerContinuous"/>
    </xf>
    <xf numFmtId="167" fontId="23" fillId="0" borderId="11" xfId="54" applyNumberFormat="1" applyFont="1" applyFill="1" applyBorder="1"/>
    <xf numFmtId="167" fontId="34" fillId="0" borderId="0" xfId="54" applyNumberFormat="1" applyFont="1" applyFill="1"/>
    <xf numFmtId="167" fontId="34" fillId="0" borderId="0" xfId="54" applyNumberFormat="1" applyFont="1" applyFill="1" applyBorder="1"/>
    <xf numFmtId="167" fontId="46" fillId="0" borderId="0" xfId="54" applyNumberFormat="1" applyFont="1" applyFill="1"/>
    <xf numFmtId="167" fontId="34" fillId="0" borderId="12" xfId="54" applyNumberFormat="1" applyFont="1" applyFill="1" applyBorder="1"/>
    <xf numFmtId="167" fontId="34" fillId="0" borderId="11" xfId="54" applyNumberFormat="1" applyFont="1" applyFill="1" applyBorder="1"/>
    <xf numFmtId="167" fontId="22" fillId="0" borderId="0" xfId="54" applyNumberFormat="1" applyFont="1" applyFill="1"/>
    <xf numFmtId="0" fontId="34" fillId="18" borderId="0" xfId="0" quotePrefix="1" applyFont="1" applyFill="1"/>
    <xf numFmtId="0" fontId="23" fillId="18" borderId="0" xfId="0" quotePrefix="1" applyFont="1" applyFill="1"/>
    <xf numFmtId="167" fontId="0" fillId="0" borderId="0" xfId="54" applyNumberFormat="1" applyFont="1" applyFill="1" applyAlignment="1">
      <alignment horizontal="centerContinuous"/>
    </xf>
    <xf numFmtId="170" fontId="0" fillId="0" borderId="0" xfId="0" applyNumberFormat="1"/>
    <xf numFmtId="167" fontId="34" fillId="18" borderId="0" xfId="54" applyNumberFormat="1" applyFont="1" applyFill="1" applyBorder="1"/>
    <xf numFmtId="167" fontId="23" fillId="18" borderId="11" xfId="54" applyNumberFormat="1" applyFont="1" applyFill="1" applyBorder="1"/>
    <xf numFmtId="171" fontId="34" fillId="0" borderId="0" xfId="0" applyNumberFormat="1" applyFont="1"/>
    <xf numFmtId="167" fontId="80" fillId="21" borderId="0" xfId="54" applyNumberFormat="1" applyFont="1" applyFill="1" applyAlignment="1">
      <alignment horizontal="centerContinuous"/>
    </xf>
    <xf numFmtId="167" fontId="23" fillId="21" borderId="0" xfId="54" applyNumberFormat="1" applyFont="1" applyFill="1"/>
    <xf numFmtId="37" fontId="22" fillId="22" borderId="0" xfId="0" applyNumberFormat="1" applyFont="1" applyFill="1"/>
    <xf numFmtId="37" fontId="23" fillId="23" borderId="0" xfId="54" applyNumberFormat="1" applyFont="1" applyFill="1"/>
    <xf numFmtId="167" fontId="22" fillId="24" borderId="0" xfId="54" applyNumberFormat="1" applyFont="1" applyFill="1"/>
    <xf numFmtId="167" fontId="81" fillId="24" borderId="0" xfId="54" applyNumberFormat="1" applyFont="1" applyFill="1"/>
    <xf numFmtId="0" fontId="22" fillId="0" borderId="0" xfId="0" quotePrefix="1" applyFont="1"/>
    <xf numFmtId="37" fontId="22" fillId="0" borderId="0" xfId="0" applyNumberFormat="1" applyFont="1"/>
    <xf numFmtId="170" fontId="22" fillId="0" borderId="0" xfId="0" applyNumberFormat="1" applyFont="1"/>
    <xf numFmtId="37" fontId="23" fillId="22" borderId="0" xfId="54" applyNumberFormat="1" applyFont="1" applyFill="1"/>
    <xf numFmtId="0" fontId="34" fillId="23" borderId="0" xfId="0" quotePrefix="1" applyFont="1" applyFill="1"/>
    <xf numFmtId="167" fontId="22" fillId="0" borderId="0" xfId="60" applyNumberFormat="1" applyFont="1" applyFill="1"/>
    <xf numFmtId="0" fontId="7" fillId="0" borderId="13" xfId="0" applyFont="1" applyBorder="1"/>
    <xf numFmtId="0" fontId="13" fillId="0" borderId="0" xfId="0" applyFont="1"/>
    <xf numFmtId="167" fontId="152" fillId="0" borderId="0" xfId="54" applyNumberFormat="1" applyFont="1" applyFill="1"/>
    <xf numFmtId="167" fontId="152" fillId="0" borderId="0" xfId="54" applyNumberFormat="1" applyFont="1" applyFill="1" applyAlignment="1">
      <alignment horizontal="center"/>
    </xf>
    <xf numFmtId="167" fontId="153" fillId="18" borderId="0" xfId="54" applyNumberFormat="1" applyFont="1" applyFill="1" applyBorder="1"/>
    <xf numFmtId="0" fontId="23" fillId="25" borderId="0" xfId="0" quotePrefix="1" applyFont="1" applyFill="1"/>
    <xf numFmtId="167" fontId="23" fillId="25" borderId="0" xfId="54" applyNumberFormat="1" applyFont="1" applyFill="1"/>
    <xf numFmtId="0" fontId="34" fillId="0" borderId="0" xfId="0" applyFont="1"/>
    <xf numFmtId="9" fontId="68" fillId="0" borderId="0" xfId="215" applyFont="1" applyFill="1"/>
    <xf numFmtId="10" fontId="68" fillId="0" borderId="0" xfId="215" applyNumberFormat="1" applyFont="1" applyFill="1"/>
    <xf numFmtId="167" fontId="154" fillId="0" borderId="0" xfId="0" applyNumberFormat="1" applyFont="1"/>
    <xf numFmtId="170" fontId="39" fillId="26" borderId="0" xfId="0" quotePrefix="1" applyNumberFormat="1" applyFont="1" applyFill="1"/>
    <xf numFmtId="0" fontId="0" fillId="26" borderId="0" xfId="0" applyFill="1"/>
    <xf numFmtId="167" fontId="153" fillId="26" borderId="0" xfId="54" applyNumberFormat="1" applyFont="1" applyFill="1" applyBorder="1"/>
    <xf numFmtId="167" fontId="23" fillId="26" borderId="11" xfId="54" applyNumberFormat="1" applyFont="1" applyFill="1" applyBorder="1"/>
    <xf numFmtId="0" fontId="0" fillId="22" borderId="0" xfId="0" applyFill="1"/>
    <xf numFmtId="170" fontId="34" fillId="22" borderId="0" xfId="0" applyNumberFormat="1" applyFont="1" applyFill="1"/>
    <xf numFmtId="43" fontId="23" fillId="0" borderId="0" xfId="54" applyFont="1" applyFill="1"/>
    <xf numFmtId="43" fontId="2" fillId="0" borderId="0" xfId="54" applyFont="1" applyFill="1"/>
    <xf numFmtId="167" fontId="22" fillId="0" borderId="0" xfId="54" applyNumberFormat="1" applyFont="1"/>
    <xf numFmtId="170" fontId="23" fillId="22" borderId="0" xfId="0" applyNumberFormat="1" applyFont="1" applyFill="1"/>
    <xf numFmtId="167" fontId="84" fillId="22" borderId="0" xfId="54" applyNumberFormat="1" applyFont="1" applyFill="1"/>
    <xf numFmtId="167" fontId="154" fillId="22" borderId="0" xfId="0" applyNumberFormat="1" applyFont="1" applyFill="1"/>
    <xf numFmtId="171" fontId="23" fillId="22" borderId="0" xfId="0" applyNumberFormat="1" applyFont="1" applyFill="1"/>
    <xf numFmtId="171" fontId="34" fillId="22" borderId="0" xfId="0" applyNumberFormat="1" applyFont="1" applyFill="1"/>
    <xf numFmtId="0" fontId="0" fillId="0" borderId="14" xfId="0" applyBorder="1"/>
    <xf numFmtId="43" fontId="0" fillId="0" borderId="0" xfId="54" applyFont="1" applyFill="1" applyAlignment="1">
      <alignment horizontal="left"/>
    </xf>
    <xf numFmtId="43" fontId="0" fillId="0" borderId="0" xfId="54" applyFont="1" applyFill="1"/>
    <xf numFmtId="43" fontId="19" fillId="0" borderId="0" xfId="54" applyFont="1" applyFill="1" applyAlignment="1">
      <alignment horizontal="center"/>
    </xf>
    <xf numFmtId="43" fontId="22" fillId="0" borderId="0" xfId="54" applyFont="1" applyFill="1" applyAlignment="1">
      <alignment horizontal="center"/>
    </xf>
    <xf numFmtId="0" fontId="23" fillId="27" borderId="0" xfId="0" quotePrefix="1" applyFont="1" applyFill="1"/>
    <xf numFmtId="167" fontId="23" fillId="27" borderId="0" xfId="54" applyNumberFormat="1" applyFont="1" applyFill="1"/>
    <xf numFmtId="167" fontId="23" fillId="27" borderId="11" xfId="54" applyNumberFormat="1" applyFont="1" applyFill="1" applyBorder="1"/>
    <xf numFmtId="0" fontId="34" fillId="28" borderId="0" xfId="0" quotePrefix="1" applyFont="1" applyFill="1"/>
    <xf numFmtId="167" fontId="34" fillId="28" borderId="0" xfId="54" applyNumberFormat="1" applyFont="1" applyFill="1"/>
    <xf numFmtId="167" fontId="152" fillId="28" borderId="0" xfId="54" applyNumberFormat="1" applyFont="1" applyFill="1"/>
    <xf numFmtId="167" fontId="23" fillId="28" borderId="0" xfId="54" applyNumberFormat="1" applyFont="1" applyFill="1"/>
    <xf numFmtId="0" fontId="23" fillId="28" borderId="0" xfId="0" quotePrefix="1" applyFont="1" applyFill="1"/>
    <xf numFmtId="167" fontId="0" fillId="20" borderId="15" xfId="54" applyNumberFormat="1" applyFont="1" applyFill="1" applyBorder="1"/>
    <xf numFmtId="170" fontId="34" fillId="20" borderId="15" xfId="0" applyNumberFormat="1" applyFont="1" applyFill="1" applyBorder="1"/>
    <xf numFmtId="170" fontId="34" fillId="20" borderId="16" xfId="0" applyNumberFormat="1" applyFont="1" applyFill="1" applyBorder="1"/>
    <xf numFmtId="167" fontId="153" fillId="0" borderId="0" xfId="54" applyNumberFormat="1" applyFont="1"/>
    <xf numFmtId="167" fontId="155" fillId="0" borderId="0" xfId="60" applyNumberFormat="1" applyFont="1" applyFill="1"/>
    <xf numFmtId="167" fontId="23" fillId="0" borderId="0" xfId="0" applyNumberFormat="1" applyFont="1"/>
    <xf numFmtId="167" fontId="2" fillId="0" borderId="0" xfId="54" applyNumberFormat="1" applyFont="1" applyFill="1"/>
    <xf numFmtId="170" fontId="23" fillId="0" borderId="11" xfId="0" applyNumberFormat="1" applyFont="1" applyBorder="1"/>
    <xf numFmtId="167" fontId="34" fillId="0" borderId="17" xfId="54" applyNumberFormat="1" applyFont="1" applyFill="1" applyBorder="1"/>
    <xf numFmtId="43" fontId="34" fillId="0" borderId="17" xfId="54" applyFont="1" applyFill="1" applyBorder="1"/>
    <xf numFmtId="169" fontId="156" fillId="0" borderId="0" xfId="0" applyNumberFormat="1" applyFont="1" applyAlignment="1">
      <alignment horizontal="left"/>
    </xf>
    <xf numFmtId="167" fontId="23" fillId="0" borderId="0" xfId="54" applyNumberFormat="1" applyFont="1" applyFill="1" applyBorder="1"/>
    <xf numFmtId="167" fontId="153" fillId="28" borderId="0" xfId="54" applyNumberFormat="1" applyFont="1" applyFill="1"/>
    <xf numFmtId="167" fontId="153" fillId="0" borderId="0" xfId="54" applyNumberFormat="1" applyFont="1" applyFill="1"/>
    <xf numFmtId="167" fontId="153" fillId="27" borderId="0" xfId="54" applyNumberFormat="1" applyFont="1" applyFill="1"/>
    <xf numFmtId="167" fontId="153" fillId="27" borderId="11" xfId="54" applyNumberFormat="1" applyFont="1" applyFill="1" applyBorder="1"/>
    <xf numFmtId="167" fontId="152" fillId="0" borderId="0" xfId="60" applyNumberFormat="1" applyFont="1" applyFill="1"/>
    <xf numFmtId="167" fontId="0" fillId="0" borderId="0" xfId="54" applyNumberFormat="1" applyFont="1" applyBorder="1"/>
    <xf numFmtId="167" fontId="152" fillId="27" borderId="11" xfId="54" applyNumberFormat="1" applyFont="1" applyFill="1" applyBorder="1"/>
    <xf numFmtId="167" fontId="35" fillId="27" borderId="11" xfId="54" applyNumberFormat="1" applyFont="1" applyFill="1" applyBorder="1"/>
    <xf numFmtId="43" fontId="19" fillId="0" borderId="0" xfId="54" applyFont="1" applyFill="1" applyBorder="1" applyAlignment="1">
      <alignment horizontal="center"/>
    </xf>
    <xf numFmtId="167" fontId="23" fillId="27" borderId="0" xfId="54" applyNumberFormat="1" applyFont="1" applyFill="1" applyBorder="1"/>
    <xf numFmtId="167" fontId="22" fillId="0" borderId="12" xfId="60" applyNumberFormat="1" applyFont="1" applyFill="1" applyBorder="1"/>
    <xf numFmtId="167" fontId="34" fillId="0" borderId="18" xfId="54" applyNumberFormat="1" applyFont="1" applyFill="1" applyBorder="1"/>
    <xf numFmtId="167" fontId="22" fillId="0" borderId="0" xfId="54" applyNumberFormat="1" applyFont="1" applyFill="1" applyAlignment="1">
      <alignment horizontal="center"/>
    </xf>
    <xf numFmtId="178" fontId="68" fillId="0" borderId="0" xfId="86" applyNumberFormat="1" applyFont="1" applyFill="1"/>
    <xf numFmtId="41" fontId="68" fillId="0" borderId="0" xfId="0" applyNumberFormat="1" applyFont="1"/>
    <xf numFmtId="41" fontId="68" fillId="0" borderId="0" xfId="0" quotePrefix="1" applyNumberFormat="1" applyFont="1" applyAlignment="1">
      <alignment horizontal="left"/>
    </xf>
    <xf numFmtId="41" fontId="29" fillId="0" borderId="11" xfId="0" applyNumberFormat="1" applyFont="1" applyBorder="1"/>
    <xf numFmtId="178" fontId="29" fillId="0" borderId="0" xfId="86" applyNumberFormat="1" applyFont="1" applyFill="1"/>
    <xf numFmtId="167" fontId="153" fillId="0" borderId="0" xfId="54" applyNumberFormat="1" applyFont="1" applyFill="1" applyBorder="1"/>
    <xf numFmtId="167" fontId="153" fillId="0" borderId="11" xfId="54" applyNumberFormat="1" applyFont="1" applyFill="1" applyBorder="1"/>
    <xf numFmtId="178" fontId="153" fillId="0" borderId="0" xfId="86" applyNumberFormat="1" applyFont="1" applyFill="1"/>
    <xf numFmtId="167" fontId="153" fillId="26" borderId="11" xfId="54" applyNumberFormat="1" applyFont="1" applyFill="1" applyBorder="1"/>
    <xf numFmtId="167" fontId="153" fillId="27" borderId="0" xfId="54" applyNumberFormat="1" applyFont="1" applyFill="1" applyBorder="1"/>
    <xf numFmtId="170" fontId="22" fillId="0" borderId="0" xfId="0" applyNumberFormat="1" applyFont="1" applyAlignment="1">
      <alignment horizontal="center"/>
    </xf>
    <xf numFmtId="0" fontId="22" fillId="0" borderId="0" xfId="0" applyFont="1" applyAlignment="1">
      <alignment horizontal="center"/>
    </xf>
    <xf numFmtId="167" fontId="155" fillId="0" borderId="0" xfId="54" applyNumberFormat="1" applyFont="1" applyFill="1"/>
    <xf numFmtId="167" fontId="155" fillId="0" borderId="11" xfId="54" applyNumberFormat="1" applyFont="1" applyFill="1" applyBorder="1"/>
    <xf numFmtId="167" fontId="155" fillId="0" borderId="11" xfId="60" applyNumberFormat="1" applyFont="1" applyFill="1" applyBorder="1"/>
    <xf numFmtId="167" fontId="155" fillId="0" borderId="0" xfId="54" applyNumberFormat="1" applyFont="1" applyFill="1" applyBorder="1"/>
    <xf numFmtId="167" fontId="157" fillId="0" borderId="0" xfId="148" applyNumberFormat="1" applyFont="1"/>
    <xf numFmtId="167" fontId="157" fillId="0" borderId="0" xfId="83" applyNumberFormat="1" applyFont="1" applyFill="1" applyBorder="1"/>
    <xf numFmtId="167" fontId="34" fillId="0" borderId="0" xfId="60" applyNumberFormat="1" applyFont="1" applyFill="1"/>
    <xf numFmtId="167" fontId="23" fillId="0" borderId="0" xfId="60" applyNumberFormat="1" applyFont="1" applyFill="1" applyBorder="1"/>
    <xf numFmtId="167" fontId="153" fillId="0" borderId="0" xfId="60" applyNumberFormat="1" applyFont="1" applyFill="1"/>
    <xf numFmtId="167" fontId="34" fillId="0" borderId="0" xfId="60" applyNumberFormat="1" applyFont="1" applyFill="1" applyBorder="1"/>
    <xf numFmtId="167" fontId="155" fillId="0" borderId="0" xfId="60" applyNumberFormat="1" applyFont="1" applyFill="1" applyBorder="1"/>
    <xf numFmtId="167" fontId="46" fillId="0" borderId="0" xfId="60" applyNumberFormat="1" applyFont="1" applyFill="1" applyBorder="1"/>
    <xf numFmtId="167" fontId="152" fillId="0" borderId="0" xfId="60" applyNumberFormat="1" applyFont="1" applyFill="1" applyBorder="1"/>
    <xf numFmtId="167" fontId="152" fillId="0" borderId="0" xfId="60" applyNumberFormat="1" applyFont="1" applyFill="1" applyBorder="1" applyAlignment="1">
      <alignment horizontal="center"/>
    </xf>
    <xf numFmtId="167" fontId="22" fillId="0" borderId="0" xfId="60" applyNumberFormat="1" applyFont="1" applyFill="1" applyBorder="1"/>
    <xf numFmtId="167" fontId="0" fillId="0" borderId="0" xfId="54" applyNumberFormat="1" applyFont="1" applyFill="1" applyBorder="1"/>
    <xf numFmtId="14" fontId="70" fillId="0" borderId="0" xfId="0" applyNumberFormat="1" applyFont="1" applyAlignment="1">
      <alignment horizontal="center"/>
    </xf>
    <xf numFmtId="49" fontId="9" fillId="0" borderId="0" xfId="0" quotePrefix="1" applyNumberFormat="1" applyFont="1" applyAlignment="1" applyProtection="1">
      <alignment horizontal="centerContinuous"/>
      <protection locked="0"/>
    </xf>
    <xf numFmtId="49" fontId="26" fillId="0" borderId="0" xfId="0" applyNumberFormat="1" applyFont="1" applyAlignment="1">
      <alignment horizontal="left"/>
    </xf>
    <xf numFmtId="0" fontId="23" fillId="0" borderId="0" xfId="0" quotePrefix="1" applyFont="1" applyAlignment="1">
      <alignment horizontal="left"/>
    </xf>
    <xf numFmtId="170" fontId="23" fillId="24" borderId="0" xfId="0" applyNumberFormat="1" applyFont="1" applyFill="1"/>
    <xf numFmtId="167" fontId="23" fillId="24" borderId="0" xfId="54" applyNumberFormat="1" applyFont="1" applyFill="1"/>
    <xf numFmtId="170" fontId="23" fillId="24" borderId="11" xfId="0" applyNumberFormat="1" applyFont="1" applyFill="1" applyBorder="1"/>
    <xf numFmtId="167" fontId="23" fillId="24" borderId="11" xfId="54" applyNumberFormat="1" applyFont="1" applyFill="1" applyBorder="1"/>
    <xf numFmtId="167" fontId="34" fillId="24" borderId="0" xfId="54" applyNumberFormat="1" applyFont="1" applyFill="1"/>
    <xf numFmtId="0" fontId="2" fillId="24" borderId="0" xfId="0" applyFont="1" applyFill="1"/>
    <xf numFmtId="167" fontId="2" fillId="24" borderId="0" xfId="54" applyNumberFormat="1" applyFont="1" applyFill="1"/>
    <xf numFmtId="167" fontId="34" fillId="24" borderId="17" xfId="54" applyNumberFormat="1" applyFont="1" applyFill="1" applyBorder="1"/>
    <xf numFmtId="170" fontId="2" fillId="24" borderId="0" xfId="0" applyNumberFormat="1" applyFont="1" applyFill="1"/>
    <xf numFmtId="167" fontId="23" fillId="24" borderId="0" xfId="0" applyNumberFormat="1" applyFont="1" applyFill="1"/>
    <xf numFmtId="43" fontId="23" fillId="24" borderId="0" xfId="54" applyFont="1" applyFill="1"/>
    <xf numFmtId="43" fontId="34" fillId="24" borderId="17" xfId="54" applyFont="1" applyFill="1" applyBorder="1"/>
    <xf numFmtId="43" fontId="2" fillId="24" borderId="0" xfId="54" applyFont="1" applyFill="1"/>
    <xf numFmtId="167" fontId="34" fillId="24" borderId="18" xfId="54" applyNumberFormat="1" applyFont="1" applyFill="1" applyBorder="1"/>
    <xf numFmtId="167" fontId="23" fillId="24" borderId="0" xfId="54" applyNumberFormat="1" applyFont="1" applyFill="1" applyBorder="1"/>
    <xf numFmtId="167" fontId="153" fillId="24" borderId="0" xfId="54" applyNumberFormat="1" applyFont="1" applyFill="1" applyBorder="1"/>
    <xf numFmtId="167" fontId="153" fillId="24" borderId="0" xfId="54" applyNumberFormat="1" applyFont="1" applyFill="1"/>
    <xf numFmtId="43" fontId="34" fillId="24" borderId="18" xfId="54" applyFont="1" applyFill="1" applyBorder="1"/>
    <xf numFmtId="167" fontId="153" fillId="0" borderId="11" xfId="60" applyNumberFormat="1" applyFont="1" applyFill="1" applyBorder="1"/>
    <xf numFmtId="43" fontId="34" fillId="0" borderId="0" xfId="54" applyFont="1" applyFill="1"/>
    <xf numFmtId="167" fontId="153" fillId="0" borderId="0" xfId="60" applyNumberFormat="1" applyFont="1" applyFill="1" applyBorder="1"/>
    <xf numFmtId="10" fontId="158" fillId="0" borderId="0" xfId="0" applyNumberFormat="1" applyFont="1"/>
    <xf numFmtId="178" fontId="155" fillId="0" borderId="0" xfId="89" applyNumberFormat="1" applyFont="1" applyFill="1"/>
    <xf numFmtId="167" fontId="159" fillId="0" borderId="0" xfId="0" applyNumberFormat="1" applyFont="1"/>
    <xf numFmtId="167" fontId="153" fillId="26" borderId="0" xfId="60" applyNumberFormat="1" applyFont="1" applyFill="1"/>
    <xf numFmtId="167" fontId="153" fillId="29" borderId="0" xfId="54" applyNumberFormat="1" applyFont="1" applyFill="1" applyBorder="1"/>
    <xf numFmtId="167" fontId="153" fillId="26" borderId="11" xfId="60" applyNumberFormat="1" applyFont="1" applyFill="1" applyBorder="1"/>
    <xf numFmtId="167" fontId="153" fillId="29" borderId="11" xfId="54" applyNumberFormat="1" applyFont="1" applyFill="1" applyBorder="1"/>
    <xf numFmtId="170" fontId="153" fillId="24" borderId="0" xfId="0" applyNumberFormat="1" applyFont="1" applyFill="1"/>
    <xf numFmtId="170" fontId="153" fillId="24" borderId="11" xfId="0" applyNumberFormat="1" applyFont="1" applyFill="1" applyBorder="1"/>
    <xf numFmtId="167" fontId="153" fillId="24" borderId="0" xfId="60" applyNumberFormat="1" applyFont="1" applyFill="1"/>
    <xf numFmtId="167" fontId="153" fillId="24" borderId="11" xfId="54" applyNumberFormat="1" applyFont="1" applyFill="1" applyBorder="1"/>
    <xf numFmtId="178" fontId="153" fillId="0" borderId="0" xfId="89" applyNumberFormat="1" applyFont="1" applyFill="1"/>
    <xf numFmtId="43" fontId="153" fillId="0" borderId="0" xfId="60" applyFont="1" applyFill="1"/>
    <xf numFmtId="43" fontId="153" fillId="0" borderId="11" xfId="60" applyFont="1" applyFill="1" applyBorder="1"/>
    <xf numFmtId="43" fontId="153" fillId="0" borderId="0" xfId="89" applyNumberFormat="1" applyFont="1" applyFill="1"/>
    <xf numFmtId="43" fontId="153" fillId="0" borderId="11" xfId="89" applyNumberFormat="1" applyFont="1" applyFill="1" applyBorder="1"/>
    <xf numFmtId="170" fontId="19" fillId="0" borderId="0" xfId="0" applyNumberFormat="1" applyFont="1" applyAlignment="1">
      <alignment horizontal="center"/>
    </xf>
    <xf numFmtId="0" fontId="3" fillId="0" borderId="0" xfId="0" applyFont="1" applyAlignment="1">
      <alignment horizontal="left" indent="1"/>
    </xf>
    <xf numFmtId="170" fontId="152" fillId="24" borderId="11" xfId="0" applyNumberFormat="1" applyFont="1" applyFill="1" applyBorder="1"/>
    <xf numFmtId="43" fontId="22" fillId="0" borderId="0" xfId="54" applyFont="1" applyFill="1"/>
    <xf numFmtId="167" fontId="152" fillId="0" borderId="11" xfId="60" applyNumberFormat="1" applyFont="1" applyFill="1" applyBorder="1"/>
    <xf numFmtId="167" fontId="155" fillId="24" borderId="0" xfId="54" applyNumberFormat="1" applyFont="1" applyFill="1"/>
    <xf numFmtId="170" fontId="34" fillId="24" borderId="0" xfId="0" applyNumberFormat="1" applyFont="1" applyFill="1"/>
    <xf numFmtId="37" fontId="23" fillId="24" borderId="0" xfId="54" applyNumberFormat="1" applyFont="1" applyFill="1"/>
    <xf numFmtId="37" fontId="22" fillId="24" borderId="0" xfId="0" applyNumberFormat="1" applyFont="1" applyFill="1"/>
    <xf numFmtId="0" fontId="0" fillId="24" borderId="0" xfId="0" applyFill="1"/>
    <xf numFmtId="167" fontId="84" fillId="24" borderId="0" xfId="54" applyNumberFormat="1" applyFont="1" applyFill="1"/>
    <xf numFmtId="167" fontId="154" fillId="24" borderId="0" xfId="0" applyNumberFormat="1" applyFont="1" applyFill="1"/>
    <xf numFmtId="171" fontId="23" fillId="24" borderId="0" xfId="0" applyNumberFormat="1" applyFont="1" applyFill="1"/>
    <xf numFmtId="171" fontId="34" fillId="24" borderId="0" xfId="0" applyNumberFormat="1" applyFont="1" applyFill="1"/>
    <xf numFmtId="0" fontId="19" fillId="29" borderId="0" xfId="0" applyFont="1" applyFill="1" applyAlignment="1">
      <alignment horizontal="center"/>
    </xf>
    <xf numFmtId="167" fontId="152" fillId="24" borderId="11" xfId="54" applyNumberFormat="1" applyFont="1" applyFill="1" applyBorder="1"/>
    <xf numFmtId="167" fontId="152" fillId="24" borderId="0" xfId="54" applyNumberFormat="1" applyFont="1" applyFill="1"/>
    <xf numFmtId="170" fontId="152" fillId="24" borderId="0" xfId="0" applyNumberFormat="1" applyFont="1" applyFill="1"/>
    <xf numFmtId="181" fontId="22" fillId="0" borderId="0" xfId="54" applyNumberFormat="1" applyFont="1" applyFill="1" applyAlignment="1">
      <alignment horizontal="center"/>
    </xf>
    <xf numFmtId="170" fontId="155" fillId="0" borderId="0" xfId="0" applyNumberFormat="1" applyFont="1"/>
    <xf numFmtId="170" fontId="152" fillId="0" borderId="11" xfId="0" applyNumberFormat="1" applyFont="1" applyBorder="1"/>
    <xf numFmtId="167" fontId="22" fillId="24" borderId="0" xfId="60" applyNumberFormat="1" applyFont="1" applyFill="1"/>
    <xf numFmtId="170" fontId="153" fillId="0" borderId="11" xfId="0" applyNumberFormat="1" applyFont="1" applyBorder="1"/>
    <xf numFmtId="170" fontId="152" fillId="0" borderId="0" xfId="0" applyNumberFormat="1" applyFont="1"/>
    <xf numFmtId="167" fontId="90" fillId="0" borderId="0" xfId="54" applyNumberFormat="1" applyFont="1" applyFill="1"/>
    <xf numFmtId="170" fontId="155" fillId="0" borderId="11" xfId="0" applyNumberFormat="1" applyFont="1" applyBorder="1"/>
    <xf numFmtId="0" fontId="0" fillId="0" borderId="19" xfId="0" applyBorder="1"/>
    <xf numFmtId="0" fontId="22" fillId="0" borderId="19" xfId="0" applyFont="1" applyBorder="1"/>
    <xf numFmtId="0" fontId="22" fillId="0" borderId="14" xfId="0" applyFont="1" applyBorder="1"/>
    <xf numFmtId="0" fontId="22" fillId="0" borderId="14" xfId="0" applyFont="1" applyBorder="1" applyAlignment="1">
      <alignment horizontal="center"/>
    </xf>
    <xf numFmtId="0" fontId="15" fillId="0" borderId="19" xfId="0" applyFont="1" applyBorder="1" applyAlignment="1">
      <alignment horizontal="center"/>
    </xf>
    <xf numFmtId="0" fontId="15" fillId="0" borderId="0" xfId="0" applyFont="1" applyAlignment="1">
      <alignment horizontal="center"/>
    </xf>
    <xf numFmtId="0" fontId="15" fillId="0" borderId="14" xfId="0" applyFont="1" applyBorder="1" applyAlignment="1">
      <alignment horizontal="center"/>
    </xf>
    <xf numFmtId="0" fontId="22" fillId="0" borderId="19" xfId="0" applyFont="1" applyBorder="1" applyAlignment="1">
      <alignment horizontal="center"/>
    </xf>
    <xf numFmtId="10" fontId="22" fillId="0" borderId="0" xfId="0" applyNumberFormat="1" applyFont="1"/>
    <xf numFmtId="37" fontId="22" fillId="0" borderId="14" xfId="0" applyNumberFormat="1" applyFont="1" applyBorder="1"/>
    <xf numFmtId="37" fontId="22" fillId="0" borderId="0" xfId="0" applyNumberFormat="1" applyFont="1" applyProtection="1">
      <protection locked="0"/>
    </xf>
    <xf numFmtId="37" fontId="23" fillId="0" borderId="0" xfId="0" applyNumberFormat="1" applyFont="1" applyProtection="1">
      <protection locked="0"/>
    </xf>
    <xf numFmtId="10" fontId="23" fillId="0" borderId="0" xfId="0" applyNumberFormat="1" applyFont="1" applyProtection="1">
      <protection locked="0"/>
    </xf>
    <xf numFmtId="37" fontId="22" fillId="0" borderId="20" xfId="0" applyNumberFormat="1" applyFont="1" applyBorder="1" applyAlignment="1">
      <alignment horizontal="right"/>
    </xf>
    <xf numFmtId="37" fontId="22" fillId="0" borderId="14" xfId="0" applyNumberFormat="1" applyFont="1" applyBorder="1" applyAlignment="1">
      <alignment horizontal="fill"/>
    </xf>
    <xf numFmtId="37" fontId="22" fillId="0" borderId="14" xfId="0" applyNumberFormat="1" applyFont="1" applyBorder="1" applyProtection="1">
      <protection locked="0"/>
    </xf>
    <xf numFmtId="37" fontId="22" fillId="0" borderId="21" xfId="0" applyNumberFormat="1" applyFont="1" applyBorder="1"/>
    <xf numFmtId="0" fontId="22" fillId="0" borderId="14" xfId="0" applyFont="1" applyBorder="1" applyAlignment="1">
      <alignment horizontal="fill"/>
    </xf>
    <xf numFmtId="0" fontId="0" fillId="0" borderId="22" xfId="0" applyBorder="1"/>
    <xf numFmtId="0" fontId="0" fillId="0" borderId="23" xfId="0" applyBorder="1"/>
    <xf numFmtId="0" fontId="0" fillId="0" borderId="24" xfId="0" applyBorder="1"/>
    <xf numFmtId="0" fontId="19" fillId="24" borderId="25" xfId="0" applyFont="1" applyFill="1" applyBorder="1" applyAlignment="1">
      <alignment horizontal="center"/>
    </xf>
    <xf numFmtId="0" fontId="19" fillId="24" borderId="26" xfId="0" applyFont="1" applyFill="1" applyBorder="1" applyAlignment="1">
      <alignment horizontal="center"/>
    </xf>
    <xf numFmtId="0" fontId="22" fillId="29" borderId="0" xfId="0" applyFont="1" applyFill="1" applyAlignment="1">
      <alignment horizontal="center"/>
    </xf>
    <xf numFmtId="0" fontId="22" fillId="29" borderId="27" xfId="0" applyFont="1" applyFill="1" applyBorder="1" applyAlignment="1">
      <alignment horizontal="center"/>
    </xf>
    <xf numFmtId="0" fontId="12" fillId="29" borderId="0" xfId="0" applyFont="1" applyFill="1"/>
    <xf numFmtId="37" fontId="23" fillId="29" borderId="0" xfId="0" applyNumberFormat="1" applyFont="1" applyFill="1" applyProtection="1">
      <protection locked="0"/>
    </xf>
    <xf numFmtId="37" fontId="22" fillId="29" borderId="0" xfId="0" applyNumberFormat="1" applyFont="1" applyFill="1" applyProtection="1">
      <protection locked="0"/>
    </xf>
    <xf numFmtId="37" fontId="22" fillId="29" borderId="0" xfId="0" applyNumberFormat="1" applyFont="1" applyFill="1"/>
    <xf numFmtId="37" fontId="22" fillId="29" borderId="17" xfId="0" applyNumberFormat="1" applyFont="1" applyFill="1" applyBorder="1"/>
    <xf numFmtId="0" fontId="22" fillId="29" borderId="0" xfId="0" applyFont="1" applyFill="1"/>
    <xf numFmtId="37" fontId="22" fillId="29" borderId="11" xfId="0" applyNumberFormat="1" applyFont="1" applyFill="1" applyBorder="1"/>
    <xf numFmtId="5" fontId="22" fillId="29" borderId="18" xfId="0" applyNumberFormat="1" applyFont="1" applyFill="1" applyBorder="1"/>
    <xf numFmtId="170" fontId="153" fillId="0" borderId="0" xfId="0" applyNumberFormat="1" applyFont="1"/>
    <xf numFmtId="167" fontId="2" fillId="0" borderId="0" xfId="54" applyNumberFormat="1" applyFont="1" applyFill="1" applyBorder="1"/>
    <xf numFmtId="43" fontId="2" fillId="0" borderId="0" xfId="54" applyFont="1" applyFill="1" applyBorder="1"/>
    <xf numFmtId="167" fontId="155" fillId="22" borderId="0" xfId="54" applyNumberFormat="1" applyFont="1" applyFill="1"/>
    <xf numFmtId="41" fontId="160" fillId="0" borderId="11" xfId="0" applyNumberFormat="1" applyFont="1" applyBorder="1"/>
    <xf numFmtId="3" fontId="44" fillId="0" borderId="0" xfId="0" applyNumberFormat="1" applyFont="1"/>
    <xf numFmtId="1" fontId="44" fillId="0" borderId="0" xfId="0" applyNumberFormat="1" applyFont="1" applyAlignment="1">
      <alignment horizontal="center"/>
    </xf>
    <xf numFmtId="0" fontId="91" fillId="0" borderId="0" xfId="0" applyFont="1" applyAlignment="1">
      <alignment horizontal="left" vertical="top"/>
    </xf>
    <xf numFmtId="0" fontId="0" fillId="0" borderId="0" xfId="0" applyAlignment="1">
      <alignment horizontal="left" vertical="top"/>
    </xf>
    <xf numFmtId="0" fontId="150" fillId="0" borderId="0" xfId="146"/>
    <xf numFmtId="0" fontId="161" fillId="22" borderId="0" xfId="0" applyFont="1" applyFill="1" applyAlignment="1">
      <alignment horizontal="left" vertical="top"/>
    </xf>
    <xf numFmtId="0" fontId="0" fillId="0" borderId="51" xfId="0" applyBorder="1" applyAlignment="1">
      <alignment horizontal="left" vertical="top"/>
    </xf>
    <xf numFmtId="0" fontId="0" fillId="0" borderId="52" xfId="0" applyBorder="1" applyAlignment="1">
      <alignment horizontal="left" vertical="top"/>
    </xf>
    <xf numFmtId="186" fontId="0" fillId="0" borderId="51" xfId="0" applyNumberFormat="1" applyBorder="1" applyAlignment="1">
      <alignment horizontal="right" vertical="top"/>
    </xf>
    <xf numFmtId="186" fontId="0" fillId="0" borderId="52" xfId="0" applyNumberFormat="1" applyBorder="1" applyAlignment="1">
      <alignment horizontal="right" vertical="top"/>
    </xf>
    <xf numFmtId="186" fontId="0" fillId="0" borderId="53" xfId="0" applyNumberFormat="1" applyBorder="1" applyAlignment="1">
      <alignment horizontal="right" vertical="top"/>
    </xf>
    <xf numFmtId="186" fontId="0" fillId="0" borderId="54" xfId="0" applyNumberFormat="1" applyBorder="1" applyAlignment="1">
      <alignment horizontal="right" vertical="top"/>
    </xf>
    <xf numFmtId="0" fontId="161" fillId="0" borderId="0" xfId="0" applyFont="1" applyAlignment="1">
      <alignment horizontal="left" vertical="top"/>
    </xf>
    <xf numFmtId="43" fontId="0" fillId="0" borderId="0" xfId="73" applyFont="1" applyFill="1"/>
    <xf numFmtId="178" fontId="155" fillId="22" borderId="0" xfId="89" applyNumberFormat="1" applyFont="1" applyFill="1"/>
    <xf numFmtId="167" fontId="155" fillId="22" borderId="11" xfId="54" applyNumberFormat="1" applyFont="1" applyFill="1" applyBorder="1"/>
    <xf numFmtId="167" fontId="155" fillId="22" borderId="0" xfId="60" applyNumberFormat="1" applyFont="1" applyFill="1"/>
    <xf numFmtId="0" fontId="22" fillId="0" borderId="0" xfId="0" quotePrefix="1" applyFont="1" applyAlignment="1">
      <alignment horizontal="left"/>
    </xf>
    <xf numFmtId="0" fontId="22" fillId="0" borderId="0" xfId="0" quotePrefix="1" applyFont="1" applyAlignment="1">
      <alignment horizontal="left" vertical="top"/>
    </xf>
    <xf numFmtId="167" fontId="152" fillId="22" borderId="0" xfId="54" applyNumberFormat="1" applyFont="1" applyFill="1"/>
    <xf numFmtId="167" fontId="153" fillId="22" borderId="0" xfId="60" applyNumberFormat="1" applyFont="1" applyFill="1"/>
    <xf numFmtId="167" fontId="152" fillId="22" borderId="11" xfId="54" applyNumberFormat="1" applyFont="1" applyFill="1" applyBorder="1"/>
    <xf numFmtId="167" fontId="152" fillId="22" borderId="0" xfId="54" applyNumberFormat="1" applyFont="1" applyFill="1" applyBorder="1"/>
    <xf numFmtId="167" fontId="152" fillId="22" borderId="0" xfId="60" applyNumberFormat="1" applyFont="1" applyFill="1"/>
    <xf numFmtId="167" fontId="153" fillId="22" borderId="11" xfId="60" applyNumberFormat="1" applyFont="1" applyFill="1" applyBorder="1"/>
    <xf numFmtId="0" fontId="0" fillId="0" borderId="0" xfId="0" quotePrefix="1" applyAlignment="1">
      <alignment horizontal="left" vertical="top"/>
    </xf>
    <xf numFmtId="43" fontId="155" fillId="0" borderId="0" xfId="60" applyFont="1" applyFill="1"/>
    <xf numFmtId="167" fontId="152" fillId="22" borderId="11" xfId="60" applyNumberFormat="1" applyFont="1" applyFill="1" applyBorder="1"/>
    <xf numFmtId="167" fontId="34" fillId="22" borderId="0" xfId="54" applyNumberFormat="1" applyFont="1" applyFill="1"/>
    <xf numFmtId="167" fontId="34" fillId="22" borderId="11" xfId="54" applyNumberFormat="1" applyFont="1" applyFill="1" applyBorder="1"/>
    <xf numFmtId="167" fontId="34" fillId="22" borderId="0" xfId="54" applyNumberFormat="1" applyFont="1" applyFill="1" applyBorder="1"/>
    <xf numFmtId="167" fontId="22" fillId="22" borderId="0" xfId="54" applyNumberFormat="1" applyFont="1" applyFill="1"/>
    <xf numFmtId="167" fontId="152" fillId="22" borderId="0" xfId="54" applyNumberFormat="1" applyFont="1" applyFill="1" applyAlignment="1">
      <alignment horizontal="center"/>
    </xf>
    <xf numFmtId="167" fontId="22" fillId="22" borderId="0" xfId="60" applyNumberFormat="1" applyFont="1" applyFill="1"/>
    <xf numFmtId="167" fontId="22" fillId="22" borderId="12" xfId="60" applyNumberFormat="1" applyFont="1" applyFill="1" applyBorder="1"/>
    <xf numFmtId="186" fontId="0" fillId="30" borderId="51" xfId="0" applyNumberFormat="1" applyFill="1" applyBorder="1" applyAlignment="1">
      <alignment horizontal="right" vertical="top"/>
    </xf>
    <xf numFmtId="186" fontId="0" fillId="30" borderId="52" xfId="0" applyNumberFormat="1" applyFill="1" applyBorder="1" applyAlignment="1">
      <alignment horizontal="right" vertical="top"/>
    </xf>
    <xf numFmtId="43" fontId="0" fillId="0" borderId="0" xfId="0" applyNumberFormat="1"/>
    <xf numFmtId="43" fontId="162" fillId="31" borderId="55" xfId="0" applyNumberFormat="1" applyFont="1" applyFill="1" applyBorder="1"/>
    <xf numFmtId="170" fontId="155" fillId="22" borderId="0" xfId="0" applyNumberFormat="1" applyFont="1" applyFill="1"/>
    <xf numFmtId="0" fontId="162" fillId="31" borderId="55" xfId="0" applyFont="1" applyFill="1" applyBorder="1" applyAlignment="1">
      <alignment horizontal="left"/>
    </xf>
    <xf numFmtId="170" fontId="152" fillId="22" borderId="0" xfId="0" applyNumberFormat="1" applyFont="1" applyFill="1"/>
    <xf numFmtId="170" fontId="152" fillId="22" borderId="11" xfId="0" applyNumberFormat="1" applyFont="1" applyFill="1" applyBorder="1"/>
    <xf numFmtId="167" fontId="153" fillId="22" borderId="11" xfId="54" applyNumberFormat="1" applyFont="1" applyFill="1" applyBorder="1"/>
    <xf numFmtId="43" fontId="34" fillId="22" borderId="17" xfId="54" applyFont="1" applyFill="1" applyBorder="1"/>
    <xf numFmtId="170" fontId="34" fillId="0" borderId="0" xfId="0" quotePrefix="1" applyNumberFormat="1" applyFont="1"/>
    <xf numFmtId="167" fontId="34" fillId="22" borderId="17" xfId="54" applyNumberFormat="1" applyFont="1" applyFill="1" applyBorder="1"/>
    <xf numFmtId="167" fontId="152" fillId="29" borderId="0" xfId="54" applyNumberFormat="1" applyFont="1" applyFill="1"/>
    <xf numFmtId="170" fontId="34" fillId="29" borderId="0" xfId="0" applyNumberFormat="1" applyFont="1" applyFill="1"/>
    <xf numFmtId="37" fontId="23" fillId="29" borderId="0" xfId="54" applyNumberFormat="1" applyFont="1" applyFill="1"/>
    <xf numFmtId="170" fontId="152" fillId="29" borderId="0" xfId="0" applyNumberFormat="1" applyFont="1" applyFill="1"/>
    <xf numFmtId="37" fontId="0" fillId="29" borderId="0" xfId="0" applyNumberFormat="1" applyFill="1"/>
    <xf numFmtId="167" fontId="84" fillId="29" borderId="0" xfId="54" applyNumberFormat="1" applyFont="1" applyFill="1"/>
    <xf numFmtId="167" fontId="22" fillId="29" borderId="0" xfId="60" applyNumberFormat="1" applyFont="1" applyFill="1"/>
    <xf numFmtId="171" fontId="152" fillId="29" borderId="0" xfId="0" applyNumberFormat="1" applyFont="1" applyFill="1"/>
    <xf numFmtId="171" fontId="34" fillId="29" borderId="0" xfId="0" applyNumberFormat="1" applyFont="1" applyFill="1"/>
    <xf numFmtId="167" fontId="93" fillId="29" borderId="0" xfId="54" applyNumberFormat="1" applyFont="1" applyFill="1"/>
    <xf numFmtId="167" fontId="153" fillId="29" borderId="0" xfId="54" applyNumberFormat="1" applyFont="1" applyFill="1"/>
    <xf numFmtId="43" fontId="22" fillId="0" borderId="0" xfId="0" applyNumberFormat="1" applyFont="1" applyAlignment="1">
      <alignment horizontal="center"/>
    </xf>
    <xf numFmtId="43" fontId="161" fillId="0" borderId="0" xfId="54" applyFont="1" applyFill="1" applyAlignment="1">
      <alignment horizontal="center"/>
    </xf>
    <xf numFmtId="14" fontId="163" fillId="0" borderId="0" xfId="0" applyNumberFormat="1" applyFont="1" applyAlignment="1">
      <alignment horizontal="center"/>
    </xf>
    <xf numFmtId="167" fontId="22" fillId="32" borderId="0" xfId="54" applyNumberFormat="1" applyFont="1" applyFill="1" applyAlignment="1">
      <alignment horizontal="center"/>
    </xf>
    <xf numFmtId="43" fontId="92" fillId="33" borderId="0" xfId="54" applyFont="1" applyFill="1" applyAlignment="1">
      <alignment horizontal="left"/>
    </xf>
    <xf numFmtId="170" fontId="152" fillId="33" borderId="0" xfId="0" applyNumberFormat="1" applyFont="1" applyFill="1"/>
    <xf numFmtId="170" fontId="155" fillId="33" borderId="0" xfId="0" applyNumberFormat="1" applyFont="1" applyFill="1"/>
    <xf numFmtId="0" fontId="22" fillId="0" borderId="51" xfId="0" applyFont="1" applyBorder="1" applyAlignment="1">
      <alignment horizontal="left" vertical="top"/>
    </xf>
    <xf numFmtId="0" fontId="22" fillId="0" borderId="52" xfId="0" applyFont="1" applyBorder="1" applyAlignment="1">
      <alignment horizontal="left" vertical="top"/>
    </xf>
    <xf numFmtId="0" fontId="150" fillId="0" borderId="0" xfId="183"/>
    <xf numFmtId="167" fontId="152" fillId="0" borderId="0" xfId="54" applyNumberFormat="1" applyFont="1" applyFill="1" applyBorder="1"/>
    <xf numFmtId="167" fontId="152" fillId="0" borderId="11" xfId="54" applyNumberFormat="1" applyFont="1" applyFill="1" applyBorder="1"/>
    <xf numFmtId="170" fontId="155" fillId="34" borderId="0" xfId="0" applyNumberFormat="1" applyFont="1" applyFill="1"/>
    <xf numFmtId="44" fontId="155" fillId="24" borderId="0" xfId="89" applyFont="1" applyFill="1"/>
    <xf numFmtId="170" fontId="152" fillId="34" borderId="0" xfId="0" applyNumberFormat="1" applyFont="1" applyFill="1"/>
    <xf numFmtId="167" fontId="152" fillId="35" borderId="0" xfId="54" applyNumberFormat="1" applyFont="1" applyFill="1"/>
    <xf numFmtId="43" fontId="94" fillId="36" borderId="0" xfId="54" applyFont="1" applyFill="1"/>
    <xf numFmtId="167" fontId="34" fillId="22" borderId="12" xfId="54" applyNumberFormat="1" applyFont="1" applyFill="1" applyBorder="1"/>
    <xf numFmtId="43" fontId="95" fillId="22" borderId="0" xfId="73" applyFont="1" applyFill="1"/>
    <xf numFmtId="43" fontId="95" fillId="22" borderId="0" xfId="54" applyFont="1" applyFill="1"/>
    <xf numFmtId="43" fontId="0" fillId="22" borderId="0" xfId="0" applyNumberFormat="1" applyFill="1"/>
    <xf numFmtId="43" fontId="95" fillId="37" borderId="0" xfId="73" applyFont="1" applyFill="1"/>
    <xf numFmtId="43" fontId="0" fillId="37" borderId="0" xfId="0" applyNumberFormat="1" applyFill="1"/>
    <xf numFmtId="43" fontId="95" fillId="37" borderId="0" xfId="54" applyFont="1" applyFill="1"/>
    <xf numFmtId="0" fontId="0" fillId="37" borderId="0" xfId="0" applyFill="1"/>
    <xf numFmtId="0" fontId="22" fillId="22" borderId="0" xfId="0" applyFont="1" applyFill="1"/>
    <xf numFmtId="43" fontId="94" fillId="0" borderId="0" xfId="54" applyFont="1" applyFill="1"/>
    <xf numFmtId="170" fontId="152" fillId="38" borderId="0" xfId="0" applyNumberFormat="1" applyFont="1" applyFill="1"/>
    <xf numFmtId="170" fontId="155" fillId="38" borderId="0" xfId="0" applyNumberFormat="1" applyFont="1" applyFill="1"/>
    <xf numFmtId="170" fontId="152" fillId="39" borderId="0" xfId="0" applyNumberFormat="1" applyFont="1" applyFill="1"/>
    <xf numFmtId="167" fontId="153" fillId="22" borderId="0" xfId="54" applyNumberFormat="1" applyFont="1" applyFill="1"/>
    <xf numFmtId="43" fontId="96" fillId="22" borderId="0" xfId="54" applyFont="1" applyFill="1"/>
    <xf numFmtId="43" fontId="94" fillId="22" borderId="0" xfId="54" applyFont="1" applyFill="1"/>
    <xf numFmtId="10" fontId="44" fillId="0" borderId="0" xfId="0" applyNumberFormat="1" applyFont="1"/>
    <xf numFmtId="1" fontId="44" fillId="0" borderId="0" xfId="0" quotePrefix="1" applyNumberFormat="1" applyFont="1" applyAlignment="1">
      <alignment horizontal="fill"/>
    </xf>
    <xf numFmtId="0" fontId="44" fillId="0" borderId="11" xfId="0" applyFont="1" applyBorder="1"/>
    <xf numFmtId="1" fontId="44" fillId="0" borderId="11" xfId="0" applyNumberFormat="1" applyFont="1" applyBorder="1" applyAlignment="1">
      <alignment horizontal="center"/>
    </xf>
    <xf numFmtId="10" fontId="44" fillId="0" borderId="0" xfId="223" applyNumberFormat="1" applyFont="1" applyFill="1"/>
    <xf numFmtId="1" fontId="44" fillId="0" borderId="0" xfId="223" applyNumberFormat="1" applyFont="1" applyFill="1" applyAlignment="1">
      <alignment horizontal="center"/>
    </xf>
    <xf numFmtId="1" fontId="33" fillId="0" borderId="0" xfId="223" applyNumberFormat="1" applyFont="1" applyFill="1" applyAlignment="1">
      <alignment horizontal="center"/>
    </xf>
    <xf numFmtId="37" fontId="44" fillId="0" borderId="11" xfId="0" applyNumberFormat="1" applyFont="1" applyBorder="1"/>
    <xf numFmtId="10" fontId="44" fillId="0" borderId="11" xfId="0" applyNumberFormat="1" applyFont="1" applyBorder="1"/>
    <xf numFmtId="37" fontId="44" fillId="0" borderId="0" xfId="0" applyNumberFormat="1" applyFont="1"/>
    <xf numFmtId="173" fontId="44" fillId="0" borderId="0" xfId="0" applyNumberFormat="1" applyFont="1"/>
    <xf numFmtId="37" fontId="44" fillId="0" borderId="0" xfId="0" quotePrefix="1" applyNumberFormat="1" applyFont="1" applyAlignment="1">
      <alignment horizontal="left"/>
    </xf>
    <xf numFmtId="3" fontId="44" fillId="0" borderId="11" xfId="0" applyNumberFormat="1" applyFont="1" applyBorder="1"/>
    <xf numFmtId="43" fontId="97" fillId="26" borderId="0" xfId="54" applyFont="1" applyFill="1"/>
    <xf numFmtId="43" fontId="96" fillId="0" borderId="0" xfId="54" applyFont="1" applyFill="1"/>
    <xf numFmtId="0" fontId="0" fillId="0" borderId="0" xfId="0" quotePrefix="1"/>
    <xf numFmtId="178" fontId="155" fillId="37" borderId="0" xfId="89" applyNumberFormat="1" applyFont="1" applyFill="1"/>
    <xf numFmtId="167" fontId="155" fillId="37" borderId="11" xfId="54" applyNumberFormat="1" applyFont="1" applyFill="1" applyBorder="1"/>
    <xf numFmtId="167" fontId="97" fillId="37" borderId="0" xfId="54" applyNumberFormat="1" applyFont="1" applyFill="1"/>
    <xf numFmtId="0" fontId="0" fillId="37" borderId="0" xfId="0" applyFill="1" applyAlignment="1">
      <alignment horizontal="left" vertical="top"/>
    </xf>
    <xf numFmtId="43" fontId="97" fillId="37" borderId="0" xfId="54" applyFont="1" applyFill="1"/>
    <xf numFmtId="167" fontId="155" fillId="37" borderId="0" xfId="60" applyNumberFormat="1" applyFont="1" applyFill="1"/>
    <xf numFmtId="0" fontId="22" fillId="37" borderId="0" xfId="89" applyNumberFormat="1" applyFont="1" applyFill="1" applyBorder="1"/>
    <xf numFmtId="167" fontId="155" fillId="37" borderId="0" xfId="54" applyNumberFormat="1" applyFont="1" applyFill="1"/>
    <xf numFmtId="167" fontId="22" fillId="37" borderId="0" xfId="54" applyNumberFormat="1" applyFont="1" applyFill="1"/>
    <xf numFmtId="167" fontId="152" fillId="37" borderId="0" xfId="54" applyNumberFormat="1" applyFont="1" applyFill="1"/>
    <xf numFmtId="167" fontId="34" fillId="22" borderId="18" xfId="54" applyNumberFormat="1" applyFont="1" applyFill="1" applyBorder="1"/>
    <xf numFmtId="170" fontId="152" fillId="26" borderId="0" xfId="0" applyNumberFormat="1" applyFont="1" applyFill="1"/>
    <xf numFmtId="43" fontId="0" fillId="0" borderId="0" xfId="54" applyFont="1" applyBorder="1"/>
    <xf numFmtId="167" fontId="22" fillId="0" borderId="0" xfId="54" applyNumberFormat="1" applyFont="1" applyFill="1" applyBorder="1" applyAlignment="1">
      <alignment horizontal="left"/>
    </xf>
    <xf numFmtId="167" fontId="22" fillId="29" borderId="0" xfId="54" applyNumberFormat="1" applyFont="1" applyFill="1"/>
    <xf numFmtId="0" fontId="0" fillId="39" borderId="0" xfId="0" applyFill="1"/>
    <xf numFmtId="167" fontId="19" fillId="37" borderId="0" xfId="54" applyNumberFormat="1" applyFont="1" applyFill="1"/>
    <xf numFmtId="0" fontId="19" fillId="37" borderId="0" xfId="0" applyFont="1" applyFill="1"/>
    <xf numFmtId="43" fontId="98" fillId="39" borderId="0" xfId="54" applyFont="1" applyFill="1"/>
    <xf numFmtId="43" fontId="97" fillId="39" borderId="0" xfId="54" applyFont="1" applyFill="1"/>
    <xf numFmtId="42" fontId="68" fillId="22" borderId="11" xfId="0" applyNumberFormat="1" applyFont="1" applyFill="1" applyBorder="1"/>
    <xf numFmtId="0" fontId="22" fillId="0" borderId="0" xfId="157"/>
    <xf numFmtId="0" fontId="19" fillId="40" borderId="10" xfId="157" applyFont="1" applyFill="1" applyBorder="1" applyAlignment="1">
      <alignment horizontal="center"/>
    </xf>
    <xf numFmtId="40" fontId="19" fillId="40" borderId="11" xfId="157" applyNumberFormat="1" applyFont="1" applyFill="1" applyBorder="1" applyAlignment="1">
      <alignment horizontal="center"/>
    </xf>
    <xf numFmtId="43" fontId="19" fillId="0" borderId="0" xfId="56" applyFont="1" applyFill="1" applyBorder="1"/>
    <xf numFmtId="43" fontId="22" fillId="0" borderId="0" xfId="157" applyNumberFormat="1"/>
    <xf numFmtId="43" fontId="22" fillId="39" borderId="0" xfId="56" applyFont="1" applyFill="1" applyBorder="1"/>
    <xf numFmtId="43" fontId="161" fillId="22" borderId="18" xfId="56" applyFont="1" applyFill="1" applyBorder="1" applyProtection="1"/>
    <xf numFmtId="43" fontId="22" fillId="37" borderId="0" xfId="56" applyFont="1" applyFill="1" applyBorder="1"/>
    <xf numFmtId="0" fontId="19" fillId="22" borderId="0" xfId="157" applyFont="1" applyFill="1" applyAlignment="1">
      <alignment horizontal="center"/>
    </xf>
    <xf numFmtId="0" fontId="22" fillId="0" borderId="0" xfId="0" applyFont="1" applyAlignment="1">
      <alignment horizontal="left" vertical="top"/>
    </xf>
    <xf numFmtId="186" fontId="0" fillId="0" borderId="0" xfId="0" applyNumberFormat="1" applyAlignment="1">
      <alignment horizontal="right" vertical="top"/>
    </xf>
    <xf numFmtId="183" fontId="34" fillId="0" borderId="0" xfId="54" applyNumberFormat="1" applyFont="1" applyFill="1" applyBorder="1"/>
    <xf numFmtId="0" fontId="19" fillId="0" borderId="0" xfId="157" applyFont="1" applyAlignment="1">
      <alignment horizontal="center"/>
    </xf>
    <xf numFmtId="40" fontId="19" fillId="0" borderId="0" xfId="157" applyNumberFormat="1" applyFont="1" applyAlignment="1">
      <alignment horizontal="center"/>
    </xf>
    <xf numFmtId="167" fontId="163" fillId="0" borderId="0" xfId="63" applyNumberFormat="1" applyFont="1" applyFill="1" applyBorder="1" applyProtection="1"/>
    <xf numFmtId="0" fontId="22" fillId="35" borderId="0" xfId="157" applyFill="1"/>
    <xf numFmtId="0" fontId="19" fillId="35" borderId="0" xfId="0" applyFont="1" applyFill="1" applyAlignment="1">
      <alignment horizontal="center"/>
    </xf>
    <xf numFmtId="43" fontId="22" fillId="27" borderId="0" xfId="56" applyFont="1" applyFill="1" applyBorder="1"/>
    <xf numFmtId="0" fontId="99" fillId="0" borderId="0" xfId="0" applyFont="1"/>
    <xf numFmtId="0" fontId="100" fillId="0" borderId="0" xfId="0" applyFont="1" applyProtection="1">
      <protection locked="0"/>
    </xf>
    <xf numFmtId="169" fontId="99" fillId="0" borderId="0" xfId="0" applyNumberFormat="1" applyFont="1"/>
    <xf numFmtId="0" fontId="101" fillId="0" borderId="0" xfId="0" applyFont="1"/>
    <xf numFmtId="0" fontId="102" fillId="0" borderId="28" xfId="0" applyFont="1" applyBorder="1" applyAlignment="1">
      <alignment horizontal="centerContinuous"/>
    </xf>
    <xf numFmtId="0" fontId="101" fillId="0" borderId="29" xfId="0" applyFont="1" applyBorder="1" applyAlignment="1">
      <alignment horizontal="centerContinuous"/>
    </xf>
    <xf numFmtId="0" fontId="101" fillId="0" borderId="30" xfId="0" applyFont="1" applyBorder="1" applyAlignment="1">
      <alignment horizontal="centerContinuous"/>
    </xf>
    <xf numFmtId="0" fontId="99" fillId="0" borderId="0" xfId="0" applyFont="1" applyAlignment="1">
      <alignment horizontal="fill"/>
    </xf>
    <xf numFmtId="0" fontId="103" fillId="0" borderId="0" xfId="0" applyFont="1" applyAlignment="1">
      <alignment horizontal="center"/>
    </xf>
    <xf numFmtId="0" fontId="101" fillId="0" borderId="0" xfId="0" applyFont="1" applyAlignment="1">
      <alignment horizontal="fill"/>
    </xf>
    <xf numFmtId="0" fontId="101" fillId="0" borderId="0" xfId="0" applyFont="1" applyAlignment="1">
      <alignment horizontal="center"/>
    </xf>
    <xf numFmtId="0" fontId="104" fillId="0" borderId="0" xfId="0" applyFont="1"/>
    <xf numFmtId="5" fontId="101" fillId="0" borderId="0" xfId="0" applyNumberFormat="1" applyFont="1"/>
    <xf numFmtId="0" fontId="105" fillId="0" borderId="0" xfId="0" applyFont="1"/>
    <xf numFmtId="167" fontId="101" fillId="0" borderId="0" xfId="54" applyNumberFormat="1" applyFont="1" applyProtection="1"/>
    <xf numFmtId="167" fontId="101" fillId="0" borderId="0" xfId="54" applyNumberFormat="1" applyFont="1" applyFill="1" applyProtection="1"/>
    <xf numFmtId="167" fontId="99" fillId="0" borderId="0" xfId="54" applyNumberFormat="1" applyFont="1"/>
    <xf numFmtId="185" fontId="101" fillId="0" borderId="0" xfId="54" applyNumberFormat="1" applyFont="1" applyFill="1" applyProtection="1"/>
    <xf numFmtId="167" fontId="106" fillId="0" borderId="0" xfId="54" applyNumberFormat="1" applyFont="1" applyFill="1" applyProtection="1">
      <protection locked="0"/>
    </xf>
    <xf numFmtId="0" fontId="164" fillId="0" borderId="0" xfId="0" applyFont="1" applyAlignment="1">
      <alignment horizontal="left"/>
    </xf>
    <xf numFmtId="167" fontId="107" fillId="18" borderId="31" xfId="54" applyNumberFormat="1" applyFont="1" applyFill="1" applyBorder="1" applyProtection="1"/>
    <xf numFmtId="167" fontId="108" fillId="0" borderId="0" xfId="54" applyNumberFormat="1" applyFont="1" applyFill="1" applyProtection="1"/>
    <xf numFmtId="167" fontId="101" fillId="0" borderId="11" xfId="54" applyNumberFormat="1" applyFont="1" applyFill="1" applyBorder="1" applyAlignment="1" applyProtection="1">
      <alignment horizontal="right"/>
    </xf>
    <xf numFmtId="167" fontId="99" fillId="0" borderId="11" xfId="54" applyNumberFormat="1" applyFont="1" applyFill="1" applyBorder="1"/>
    <xf numFmtId="167" fontId="101" fillId="0" borderId="11" xfId="54" applyNumberFormat="1" applyFont="1" applyFill="1" applyBorder="1" applyProtection="1"/>
    <xf numFmtId="167" fontId="101" fillId="0" borderId="0" xfId="54" applyNumberFormat="1" applyFont="1" applyAlignment="1" applyProtection="1">
      <alignment horizontal="right"/>
    </xf>
    <xf numFmtId="167" fontId="101" fillId="0" borderId="12" xfId="54" applyNumberFormat="1" applyFont="1" applyBorder="1" applyProtection="1"/>
    <xf numFmtId="167" fontId="109" fillId="19" borderId="31" xfId="54" applyNumberFormat="1" applyFont="1" applyFill="1" applyBorder="1" applyProtection="1"/>
    <xf numFmtId="0" fontId="99" fillId="41" borderId="0" xfId="0" applyFont="1" applyFill="1"/>
    <xf numFmtId="17" fontId="110" fillId="0" borderId="0" xfId="0" applyNumberFormat="1" applyFont="1" applyAlignment="1">
      <alignment horizontal="center"/>
    </xf>
    <xf numFmtId="17" fontId="111" fillId="0" borderId="0" xfId="0" applyNumberFormat="1" applyFont="1" applyAlignment="1">
      <alignment horizontal="center"/>
    </xf>
    <xf numFmtId="0" fontId="112" fillId="37" borderId="0" xfId="0" applyFont="1" applyFill="1" applyAlignment="1">
      <alignment horizontal="center"/>
    </xf>
    <xf numFmtId="0" fontId="112" fillId="0" borderId="0" xfId="0" applyFont="1" applyAlignment="1">
      <alignment horizontal="center"/>
    </xf>
    <xf numFmtId="0" fontId="113" fillId="0" borderId="0" xfId="0" applyFont="1"/>
    <xf numFmtId="172" fontId="114" fillId="0" borderId="0" xfId="60" applyNumberFormat="1" applyFont="1" applyFill="1" applyProtection="1"/>
    <xf numFmtId="0" fontId="112" fillId="0" borderId="0" xfId="0" applyFont="1"/>
    <xf numFmtId="5" fontId="165" fillId="0" borderId="0" xfId="0" applyNumberFormat="1" applyFont="1"/>
    <xf numFmtId="5" fontId="112" fillId="0" borderId="0" xfId="0" applyNumberFormat="1" applyFont="1"/>
    <xf numFmtId="167" fontId="165" fillId="0" borderId="0" xfId="60" applyNumberFormat="1" applyFont="1" applyFill="1" applyProtection="1"/>
    <xf numFmtId="167" fontId="112" fillId="0" borderId="0" xfId="60" applyNumberFormat="1" applyFont="1" applyFill="1" applyProtection="1"/>
    <xf numFmtId="167" fontId="112" fillId="0" borderId="0" xfId="60" applyNumberFormat="1" applyFont="1" applyFill="1" applyBorder="1" applyProtection="1"/>
    <xf numFmtId="167" fontId="112" fillId="0" borderId="11" xfId="60" applyNumberFormat="1" applyFont="1" applyFill="1" applyBorder="1" applyAlignment="1" applyProtection="1">
      <alignment horizontal="fill"/>
    </xf>
    <xf numFmtId="10" fontId="101" fillId="0" borderId="0" xfId="215" applyNumberFormat="1" applyFont="1" applyProtection="1"/>
    <xf numFmtId="167" fontId="106" fillId="0" borderId="0" xfId="54" applyNumberFormat="1" applyFont="1" applyProtection="1"/>
    <xf numFmtId="167" fontId="106" fillId="0" borderId="0" xfId="54" applyNumberFormat="1" applyFont="1" applyProtection="1">
      <protection locked="0"/>
    </xf>
    <xf numFmtId="167" fontId="112" fillId="0" borderId="0" xfId="60" applyNumberFormat="1" applyFont="1" applyFill="1" applyBorder="1" applyAlignment="1" applyProtection="1">
      <alignment horizontal="fill"/>
    </xf>
    <xf numFmtId="167" fontId="112" fillId="0" borderId="12" xfId="60" applyNumberFormat="1" applyFont="1" applyFill="1" applyBorder="1" applyProtection="1"/>
    <xf numFmtId="37" fontId="112" fillId="0" borderId="0" xfId="0" applyNumberFormat="1" applyFont="1"/>
    <xf numFmtId="37" fontId="112" fillId="0" borderId="0" xfId="0" applyNumberFormat="1" applyFont="1" applyAlignment="1">
      <alignment horizontal="center"/>
    </xf>
    <xf numFmtId="167" fontId="112" fillId="0" borderId="11" xfId="60" applyNumberFormat="1" applyFont="1" applyFill="1" applyBorder="1" applyProtection="1"/>
    <xf numFmtId="167" fontId="112" fillId="0" borderId="0" xfId="60" applyNumberFormat="1" applyFont="1" applyFill="1" applyAlignment="1" applyProtection="1">
      <alignment horizontal="fill"/>
    </xf>
    <xf numFmtId="0" fontId="99" fillId="0" borderId="0" xfId="0" quotePrefix="1" applyFont="1"/>
    <xf numFmtId="0" fontId="115" fillId="0" borderId="0" xfId="0" applyFont="1"/>
    <xf numFmtId="37" fontId="115" fillId="0" borderId="0" xfId="0" applyNumberFormat="1" applyFont="1"/>
    <xf numFmtId="37" fontId="116" fillId="0" borderId="0" xfId="0" applyNumberFormat="1" applyFont="1"/>
    <xf numFmtId="0" fontId="99" fillId="24" borderId="0" xfId="0" applyFont="1" applyFill="1"/>
    <xf numFmtId="0" fontId="152" fillId="24" borderId="0" xfId="0" applyFont="1" applyFill="1"/>
    <xf numFmtId="0" fontId="103" fillId="0" borderId="0" xfId="0" applyFont="1"/>
    <xf numFmtId="37" fontId="101" fillId="0" borderId="0" xfId="0" applyNumberFormat="1" applyFont="1"/>
    <xf numFmtId="169" fontId="101" fillId="0" borderId="0" xfId="0" applyNumberFormat="1" applyFont="1" applyProtection="1">
      <protection locked="0"/>
    </xf>
    <xf numFmtId="37" fontId="101" fillId="0" borderId="0" xfId="0" applyNumberFormat="1" applyFont="1" applyAlignment="1">
      <alignment horizontal="center"/>
    </xf>
    <xf numFmtId="37" fontId="103" fillId="0" borderId="0" xfId="0" applyNumberFormat="1" applyFont="1" applyAlignment="1">
      <alignment horizontal="center"/>
    </xf>
    <xf numFmtId="167" fontId="101" fillId="0" borderId="0" xfId="60" applyNumberFormat="1" applyFont="1" applyFill="1" applyProtection="1"/>
    <xf numFmtId="167" fontId="101" fillId="0" borderId="0" xfId="0" applyNumberFormat="1" applyFont="1"/>
    <xf numFmtId="167" fontId="99" fillId="0" borderId="0" xfId="60" applyNumberFormat="1" applyFont="1" applyFill="1"/>
    <xf numFmtId="37" fontId="99" fillId="0" borderId="0" xfId="0" applyNumberFormat="1" applyFont="1"/>
    <xf numFmtId="167" fontId="101" fillId="0" borderId="10" xfId="60" applyNumberFormat="1" applyFont="1" applyFill="1" applyBorder="1" applyAlignment="1" applyProtection="1">
      <alignment horizontal="right"/>
    </xf>
    <xf numFmtId="167" fontId="101" fillId="0" borderId="12" xfId="60" applyNumberFormat="1" applyFont="1" applyFill="1" applyBorder="1" applyProtection="1"/>
    <xf numFmtId="37" fontId="101" fillId="0" borderId="0" xfId="0" applyNumberFormat="1" applyFont="1" applyAlignment="1">
      <alignment horizontal="right"/>
    </xf>
    <xf numFmtId="167" fontId="99" fillId="0" borderId="0" xfId="0" applyNumberFormat="1" applyFont="1"/>
    <xf numFmtId="167" fontId="101" fillId="0" borderId="0" xfId="60" applyNumberFormat="1" applyFont="1" applyFill="1" applyAlignment="1" applyProtection="1">
      <alignment horizontal="right"/>
    </xf>
    <xf numFmtId="0" fontId="117" fillId="0" borderId="0" xfId="0" applyFont="1" applyAlignment="1">
      <alignment horizontal="left"/>
    </xf>
    <xf numFmtId="0" fontId="118" fillId="0" borderId="0" xfId="0" applyFont="1"/>
    <xf numFmtId="0" fontId="117" fillId="0" borderId="0" xfId="0" applyFont="1" applyAlignment="1">
      <alignment horizontal="centerContinuous"/>
    </xf>
    <xf numFmtId="0" fontId="117" fillId="0" borderId="0" xfId="0" applyFont="1"/>
    <xf numFmtId="0" fontId="166" fillId="0" borderId="0" xfId="0" applyFont="1"/>
    <xf numFmtId="0" fontId="167" fillId="0" borderId="0" xfId="0" applyFont="1"/>
    <xf numFmtId="0" fontId="152" fillId="0" borderId="0" xfId="0" applyFont="1"/>
    <xf numFmtId="0" fontId="168" fillId="0" borderId="0" xfId="0" applyFont="1"/>
    <xf numFmtId="17" fontId="119" fillId="0" borderId="0" xfId="0" applyNumberFormat="1" applyFont="1" applyAlignment="1">
      <alignment horizontal="center"/>
    </xf>
    <xf numFmtId="0" fontId="118" fillId="0" borderId="0" xfId="0" applyFont="1" applyAlignment="1">
      <alignment horizontal="center"/>
    </xf>
    <xf numFmtId="167" fontId="118" fillId="0" borderId="0" xfId="54" applyNumberFormat="1" applyFont="1"/>
    <xf numFmtId="167" fontId="118" fillId="35" borderId="0" xfId="54" applyNumberFormat="1" applyFont="1" applyFill="1"/>
    <xf numFmtId="167" fontId="118" fillId="0" borderId="0" xfId="54" applyNumberFormat="1" applyFont="1" applyBorder="1"/>
    <xf numFmtId="167" fontId="118" fillId="35" borderId="0" xfId="54" applyNumberFormat="1" applyFont="1" applyFill="1" applyBorder="1"/>
    <xf numFmtId="167" fontId="118" fillId="0" borderId="11" xfId="54" applyNumberFormat="1" applyFont="1" applyBorder="1"/>
    <xf numFmtId="0" fontId="169" fillId="0" borderId="0" xfId="0" applyFont="1" applyAlignment="1">
      <alignment horizontal="right"/>
    </xf>
    <xf numFmtId="43" fontId="118" fillId="0" borderId="0" xfId="54" applyFont="1"/>
    <xf numFmtId="170" fontId="118" fillId="0" borderId="0" xfId="0" applyNumberFormat="1" applyFont="1"/>
    <xf numFmtId="170" fontId="118" fillId="35" borderId="0" xfId="0" applyNumberFormat="1" applyFont="1" applyFill="1"/>
    <xf numFmtId="170" fontId="152" fillId="39" borderId="11" xfId="0" applyNumberFormat="1" applyFont="1" applyFill="1" applyBorder="1"/>
    <xf numFmtId="10" fontId="120" fillId="0" borderId="0" xfId="218" applyNumberFormat="1" applyFont="1" applyFill="1" applyAlignment="1"/>
    <xf numFmtId="10" fontId="120" fillId="35" borderId="0" xfId="218" applyNumberFormat="1" applyFont="1" applyFill="1" applyAlignment="1"/>
    <xf numFmtId="0" fontId="170" fillId="0" borderId="0" xfId="0" applyFont="1"/>
    <xf numFmtId="10" fontId="171" fillId="0" borderId="0" xfId="218" applyNumberFormat="1" applyFont="1" applyFill="1" applyAlignment="1"/>
    <xf numFmtId="10" fontId="171" fillId="35" borderId="0" xfId="218" applyNumberFormat="1" applyFont="1" applyFill="1" applyAlignment="1"/>
    <xf numFmtId="10" fontId="171" fillId="26" borderId="0" xfId="218" applyNumberFormat="1" applyFont="1" applyFill="1" applyAlignment="1"/>
    <xf numFmtId="10" fontId="118" fillId="0" borderId="0" xfId="215" applyNumberFormat="1" applyFont="1"/>
    <xf numFmtId="10" fontId="153" fillId="0" borderId="0" xfId="215" applyNumberFormat="1" applyFont="1"/>
    <xf numFmtId="10" fontId="153" fillId="0" borderId="0" xfId="215" applyNumberFormat="1" applyFont="1" applyFill="1"/>
    <xf numFmtId="10" fontId="153" fillId="0" borderId="0" xfId="218" applyNumberFormat="1" applyFont="1" applyFill="1"/>
    <xf numFmtId="167" fontId="118" fillId="0" borderId="0" xfId="0" applyNumberFormat="1" applyFont="1"/>
    <xf numFmtId="0" fontId="121" fillId="0" borderId="0" xfId="0" applyFont="1" applyAlignment="1">
      <alignment horizontal="centerContinuous"/>
    </xf>
    <xf numFmtId="0" fontId="122" fillId="0" borderId="0" xfId="0" applyFont="1" applyAlignment="1">
      <alignment horizontal="centerContinuous"/>
    </xf>
    <xf numFmtId="0" fontId="123" fillId="0" borderId="0" xfId="0" applyFont="1" applyAlignment="1">
      <alignment horizontal="centerContinuous"/>
    </xf>
    <xf numFmtId="0" fontId="123" fillId="0" borderId="0" xfId="0" applyFont="1"/>
    <xf numFmtId="0" fontId="124" fillId="0" borderId="0" xfId="0" applyFont="1"/>
    <xf numFmtId="0" fontId="125" fillId="0" borderId="0" xfId="0" applyFont="1"/>
    <xf numFmtId="0" fontId="126" fillId="0" borderId="0" xfId="0" applyFont="1"/>
    <xf numFmtId="0" fontId="122" fillId="0" borderId="0" xfId="0" applyFont="1"/>
    <xf numFmtId="0" fontId="122" fillId="0" borderId="0" xfId="0" applyFont="1" applyAlignment="1">
      <alignment horizontal="center"/>
    </xf>
    <xf numFmtId="0" fontId="127" fillId="0" borderId="0" xfId="0" applyFont="1" applyAlignment="1">
      <alignment horizontal="center"/>
    </xf>
    <xf numFmtId="0" fontId="122" fillId="0" borderId="27" xfId="0" applyFont="1" applyBorder="1"/>
    <xf numFmtId="37" fontId="122" fillId="0" borderId="27" xfId="0" applyNumberFormat="1" applyFont="1" applyBorder="1"/>
    <xf numFmtId="37" fontId="122" fillId="0" borderId="0" xfId="0" applyNumberFormat="1" applyFont="1"/>
    <xf numFmtId="164" fontId="122" fillId="0" borderId="27" xfId="0" applyNumberFormat="1" applyFont="1" applyBorder="1"/>
    <xf numFmtId="164" fontId="122" fillId="0" borderId="0" xfId="0" applyNumberFormat="1" applyFont="1"/>
    <xf numFmtId="164" fontId="123" fillId="0" borderId="0" xfId="0" applyNumberFormat="1" applyFont="1"/>
    <xf numFmtId="0" fontId="122" fillId="0" borderId="32" xfId="0" applyFont="1" applyBorder="1"/>
    <xf numFmtId="0" fontId="123" fillId="0" borderId="32" xfId="0" applyFont="1" applyBorder="1"/>
    <xf numFmtId="10" fontId="123" fillId="0" borderId="0" xfId="215" applyNumberFormat="1" applyFont="1" applyFill="1" applyProtection="1"/>
    <xf numFmtId="0" fontId="127" fillId="0" borderId="0" xfId="0" applyFont="1"/>
    <xf numFmtId="0" fontId="123" fillId="0" borderId="0" xfId="0" applyFont="1" applyAlignment="1">
      <alignment horizontal="center"/>
    </xf>
    <xf numFmtId="0" fontId="122" fillId="0" borderId="27" xfId="0" applyFont="1" applyBorder="1" applyAlignment="1">
      <alignment horizontal="center"/>
    </xf>
    <xf numFmtId="164" fontId="128" fillId="0" borderId="0" xfId="0" applyNumberFormat="1" applyFont="1" applyAlignment="1">
      <alignment horizontal="center"/>
    </xf>
    <xf numFmtId="0" fontId="122" fillId="0" borderId="33" xfId="0" applyFont="1" applyBorder="1"/>
    <xf numFmtId="0" fontId="122" fillId="0" borderId="34" xfId="0" applyFont="1" applyBorder="1"/>
    <xf numFmtId="0" fontId="122" fillId="0" borderId="35" xfId="0" applyFont="1" applyBorder="1"/>
    <xf numFmtId="0" fontId="122" fillId="0" borderId="13" xfId="0" applyFont="1" applyBorder="1"/>
    <xf numFmtId="0" fontId="122" fillId="0" borderId="36" xfId="0" applyFont="1" applyBorder="1"/>
    <xf numFmtId="0" fontId="123" fillId="0" borderId="34" xfId="0" applyFont="1" applyBorder="1"/>
    <xf numFmtId="0" fontId="122" fillId="0" borderId="35" xfId="0" applyFont="1" applyBorder="1" applyAlignment="1">
      <alignment horizontal="center"/>
    </xf>
    <xf numFmtId="0" fontId="122" fillId="0" borderId="37" xfId="0" applyFont="1" applyBorder="1"/>
    <xf numFmtId="0" fontId="122" fillId="0" borderId="38" xfId="0" applyFont="1" applyBorder="1"/>
    <xf numFmtId="0" fontId="122" fillId="0" borderId="0" xfId="0" applyFont="1" applyAlignment="1">
      <alignment horizontal="right"/>
    </xf>
    <xf numFmtId="0" fontId="124" fillId="0" borderId="0" xfId="0" applyFont="1" applyAlignment="1">
      <alignment horizontal="centerContinuous"/>
    </xf>
    <xf numFmtId="169" fontId="121" fillId="0" borderId="0" xfId="0" applyNumberFormat="1" applyFont="1" applyAlignment="1">
      <alignment horizontal="centerContinuous"/>
    </xf>
    <xf numFmtId="0" fontId="123" fillId="0" borderId="0" xfId="0" applyFont="1" applyAlignment="1">
      <alignment horizontal="left"/>
    </xf>
    <xf numFmtId="167" fontId="124" fillId="0" borderId="0" xfId="0" applyNumberFormat="1" applyFont="1"/>
    <xf numFmtId="0" fontId="123" fillId="0" borderId="27" xfId="0" applyFont="1" applyBorder="1" applyAlignment="1">
      <alignment horizontal="center"/>
    </xf>
    <xf numFmtId="41" fontId="123" fillId="0" borderId="27" xfId="54" applyNumberFormat="1" applyFont="1" applyFill="1" applyBorder="1" applyProtection="1"/>
    <xf numFmtId="41" fontId="123" fillId="0" borderId="0" xfId="54" applyNumberFormat="1" applyFont="1" applyFill="1" applyProtection="1"/>
    <xf numFmtId="41" fontId="123" fillId="0" borderId="0" xfId="0" applyNumberFormat="1" applyFont="1"/>
    <xf numFmtId="37" fontId="123" fillId="0" borderId="0" xfId="0" applyNumberFormat="1" applyFont="1"/>
    <xf numFmtId="0" fontId="129" fillId="0" borderId="0" xfId="0" applyFont="1"/>
    <xf numFmtId="167" fontId="123" fillId="0" borderId="0" xfId="54" applyNumberFormat="1" applyFont="1" applyFill="1" applyProtection="1"/>
    <xf numFmtId="167" fontId="123" fillId="0" borderId="0" xfId="56" applyNumberFormat="1" applyFont="1" applyFill="1" applyProtection="1"/>
    <xf numFmtId="41" fontId="123" fillId="0" borderId="11" xfId="54" applyNumberFormat="1" applyFont="1" applyFill="1" applyBorder="1" applyProtection="1"/>
    <xf numFmtId="41" fontId="123" fillId="0" borderId="32" xfId="54" applyNumberFormat="1" applyFont="1" applyFill="1" applyBorder="1" applyProtection="1"/>
    <xf numFmtId="41" fontId="124" fillId="0" borderId="0" xfId="0" applyNumberFormat="1" applyFont="1"/>
    <xf numFmtId="37" fontId="132" fillId="0" borderId="0" xfId="0" applyNumberFormat="1" applyFont="1" applyAlignment="1">
      <alignment horizontal="centerContinuous"/>
    </xf>
    <xf numFmtId="41" fontId="133" fillId="0" borderId="0" xfId="0" applyNumberFormat="1" applyFont="1" applyAlignment="1">
      <alignment horizontal="centerContinuous"/>
    </xf>
    <xf numFmtId="41" fontId="123" fillId="0" borderId="0" xfId="0" applyNumberFormat="1" applyFont="1" applyAlignment="1">
      <alignment horizontal="centerContinuous"/>
    </xf>
    <xf numFmtId="41" fontId="132" fillId="0" borderId="0" xfId="0" applyNumberFormat="1" applyFont="1" applyAlignment="1">
      <alignment horizontal="centerContinuous"/>
    </xf>
    <xf numFmtId="0" fontId="132" fillId="0" borderId="0" xfId="0" applyFont="1" applyAlignment="1">
      <alignment horizontal="centerContinuous"/>
    </xf>
    <xf numFmtId="41" fontId="133" fillId="0" borderId="0" xfId="0" applyNumberFormat="1" applyFont="1" applyAlignment="1">
      <alignment horizontal="left"/>
    </xf>
    <xf numFmtId="169" fontId="132" fillId="0" borderId="0" xfId="0" applyNumberFormat="1" applyFont="1" applyAlignment="1">
      <alignment horizontal="centerContinuous"/>
    </xf>
    <xf numFmtId="41" fontId="123" fillId="0" borderId="0" xfId="0" applyNumberFormat="1" applyFont="1" applyAlignment="1">
      <alignment horizontal="center"/>
    </xf>
    <xf numFmtId="37" fontId="123" fillId="0" borderId="0" xfId="0" applyNumberFormat="1" applyFont="1" applyAlignment="1">
      <alignment horizontal="center"/>
    </xf>
    <xf numFmtId="41" fontId="123" fillId="0" borderId="27" xfId="0" applyNumberFormat="1" applyFont="1" applyBorder="1" applyAlignment="1">
      <alignment horizontal="center"/>
    </xf>
    <xf numFmtId="0" fontId="123" fillId="0" borderId="0" xfId="0" applyFont="1" applyAlignment="1">
      <alignment horizontal="left" indent="1"/>
    </xf>
    <xf numFmtId="0" fontId="130" fillId="0" borderId="0" xfId="0" applyFont="1" applyAlignment="1">
      <alignment horizontal="left" indent="1"/>
    </xf>
    <xf numFmtId="43" fontId="123" fillId="0" borderId="0" xfId="54" applyFont="1" applyFill="1" applyProtection="1"/>
    <xf numFmtId="41" fontId="122" fillId="0" borderId="0" xfId="0" applyNumberFormat="1" applyFont="1" applyAlignment="1">
      <alignment horizontal="centerContinuous"/>
    </xf>
    <xf numFmtId="0" fontId="130" fillId="0" borderId="0" xfId="0" applyFont="1"/>
    <xf numFmtId="41" fontId="122" fillId="0" borderId="0" xfId="0" applyNumberFormat="1" applyFont="1" applyAlignment="1">
      <alignment horizontal="center"/>
    </xf>
    <xf numFmtId="41" fontId="130" fillId="0" borderId="0" xfId="54" applyNumberFormat="1" applyFont="1" applyFill="1" applyBorder="1" applyProtection="1"/>
    <xf numFmtId="41" fontId="131" fillId="0" borderId="0" xfId="54" applyNumberFormat="1" applyFont="1" applyFill="1" applyProtection="1"/>
    <xf numFmtId="41" fontId="123" fillId="0" borderId="27" xfId="0" applyNumberFormat="1" applyFont="1" applyBorder="1"/>
    <xf numFmtId="41" fontId="130" fillId="0" borderId="11" xfId="0" applyNumberFormat="1" applyFont="1" applyBorder="1"/>
    <xf numFmtId="41" fontId="131" fillId="0" borderId="11" xfId="54" applyNumberFormat="1" applyFont="1" applyFill="1" applyBorder="1" applyProtection="1"/>
    <xf numFmtId="41" fontId="123" fillId="0" borderId="12" xfId="54" applyNumberFormat="1" applyFont="1" applyFill="1" applyBorder="1" applyProtection="1"/>
    <xf numFmtId="41" fontId="130" fillId="0" borderId="32" xfId="54" applyNumberFormat="1" applyFont="1" applyFill="1" applyBorder="1" applyProtection="1">
      <protection locked="0"/>
    </xf>
    <xf numFmtId="167" fontId="123" fillId="0" borderId="0" xfId="0" applyNumberFormat="1" applyFont="1"/>
    <xf numFmtId="37" fontId="133" fillId="0" borderId="0" xfId="0" applyNumberFormat="1" applyFont="1" applyAlignment="1">
      <alignment horizontal="centerContinuous"/>
    </xf>
    <xf numFmtId="37" fontId="133" fillId="0" borderId="0" xfId="0" applyNumberFormat="1" applyFont="1" applyAlignment="1">
      <alignment horizontal="left"/>
    </xf>
    <xf numFmtId="37" fontId="123" fillId="0" borderId="0" xfId="0" applyNumberFormat="1" applyFont="1" applyAlignment="1">
      <alignment horizontal="left"/>
    </xf>
    <xf numFmtId="0" fontId="134" fillId="0" borderId="0" xfId="0" applyFont="1"/>
    <xf numFmtId="37" fontId="134" fillId="0" borderId="0" xfId="0" applyNumberFormat="1" applyFont="1"/>
    <xf numFmtId="37" fontId="134" fillId="0" borderId="27" xfId="0" applyNumberFormat="1" applyFont="1" applyBorder="1" applyAlignment="1">
      <alignment horizontal="centerContinuous"/>
    </xf>
    <xf numFmtId="37" fontId="134" fillId="0" borderId="0" xfId="0" applyNumberFormat="1" applyFont="1" applyAlignment="1">
      <alignment horizontal="center"/>
    </xf>
    <xf numFmtId="0" fontId="135" fillId="0" borderId="0" xfId="0" applyFont="1" applyAlignment="1">
      <alignment horizontal="center"/>
    </xf>
    <xf numFmtId="37" fontId="134" fillId="0" borderId="27" xfId="0" applyNumberFormat="1" applyFont="1" applyBorder="1" applyAlignment="1">
      <alignment horizontal="center"/>
    </xf>
    <xf numFmtId="167" fontId="134" fillId="0" borderId="0" xfId="54" applyNumberFormat="1" applyFont="1" applyFill="1" applyProtection="1"/>
    <xf numFmtId="10" fontId="172" fillId="0" borderId="0" xfId="0" applyNumberFormat="1" applyFont="1"/>
    <xf numFmtId="164" fontId="134" fillId="0" borderId="0" xfId="0" applyNumberFormat="1" applyFont="1"/>
    <xf numFmtId="37" fontId="173" fillId="0" borderId="0" xfId="0" applyNumberFormat="1" applyFont="1"/>
    <xf numFmtId="164" fontId="174" fillId="0" borderId="0" xfId="0" applyNumberFormat="1" applyFont="1"/>
    <xf numFmtId="164" fontId="136" fillId="0" borderId="0" xfId="0" applyNumberFormat="1" applyFont="1"/>
    <xf numFmtId="164" fontId="137" fillId="0" borderId="0" xfId="0" applyNumberFormat="1" applyFont="1"/>
    <xf numFmtId="167" fontId="134" fillId="0" borderId="27" xfId="54" applyNumberFormat="1" applyFont="1" applyFill="1" applyBorder="1" applyProtection="1"/>
    <xf numFmtId="10" fontId="172" fillId="0" borderId="27" xfId="0" applyNumberFormat="1" applyFont="1" applyBorder="1"/>
    <xf numFmtId="164" fontId="134" fillId="0" borderId="27" xfId="0" applyNumberFormat="1" applyFont="1" applyBorder="1"/>
    <xf numFmtId="37" fontId="134" fillId="0" borderId="32" xfId="0" applyNumberFormat="1" applyFont="1" applyBorder="1"/>
    <xf numFmtId="164" fontId="134" fillId="0" borderId="32" xfId="0" applyNumberFormat="1" applyFont="1" applyBorder="1"/>
    <xf numFmtId="37" fontId="121" fillId="0" borderId="0" xfId="0" applyNumberFormat="1" applyFont="1" applyAlignment="1">
      <alignment horizontal="centerContinuous"/>
    </xf>
    <xf numFmtId="37" fontId="122" fillId="0" borderId="0" xfId="0" applyNumberFormat="1" applyFont="1" applyAlignment="1">
      <alignment horizontal="centerContinuous"/>
    </xf>
    <xf numFmtId="37" fontId="123" fillId="0" borderId="0" xfId="0" applyNumberFormat="1" applyFont="1" applyAlignment="1">
      <alignment horizontal="centerContinuous"/>
    </xf>
    <xf numFmtId="37" fontId="122" fillId="0" borderId="0" xfId="0" applyNumberFormat="1" applyFont="1" applyAlignment="1">
      <alignment horizontal="left"/>
    </xf>
    <xf numFmtId="37" fontId="133" fillId="0" borderId="0" xfId="0" applyNumberFormat="1" applyFont="1"/>
    <xf numFmtId="39" fontId="123" fillId="0" borderId="0" xfId="0" applyNumberFormat="1" applyFont="1"/>
    <xf numFmtId="179" fontId="123" fillId="0" borderId="0" xfId="54" applyNumberFormat="1" applyFont="1" applyFill="1" applyProtection="1"/>
    <xf numFmtId="39" fontId="122" fillId="0" borderId="0" xfId="0" applyNumberFormat="1" applyFont="1"/>
    <xf numFmtId="39" fontId="138" fillId="0" borderId="0" xfId="0" applyNumberFormat="1" applyFont="1"/>
    <xf numFmtId="39" fontId="122" fillId="0" borderId="39" xfId="0" applyNumberFormat="1" applyFont="1" applyBorder="1"/>
    <xf numFmtId="39" fontId="122" fillId="0" borderId="27" xfId="0" applyNumberFormat="1" applyFont="1" applyBorder="1"/>
    <xf numFmtId="39" fontId="122" fillId="0" borderId="32" xfId="0" applyNumberFormat="1" applyFont="1" applyBorder="1"/>
    <xf numFmtId="37" fontId="139" fillId="0" borderId="0" xfId="0" applyNumberFormat="1" applyFont="1"/>
    <xf numFmtId="0" fontId="23" fillId="26" borderId="0" xfId="0" quotePrefix="1" applyFont="1" applyFill="1"/>
    <xf numFmtId="167" fontId="97" fillId="0" borderId="0" xfId="54" applyNumberFormat="1" applyFont="1" applyFill="1"/>
    <xf numFmtId="0" fontId="22" fillId="0" borderId="0" xfId="89" applyNumberFormat="1" applyFont="1" applyFill="1" applyBorder="1"/>
    <xf numFmtId="0" fontId="99" fillId="26" borderId="0" xfId="0" applyFont="1" applyFill="1"/>
    <xf numFmtId="0" fontId="175" fillId="0" borderId="0" xfId="0" applyFont="1"/>
    <xf numFmtId="0" fontId="23" fillId="22" borderId="0" xfId="0" quotePrefix="1" applyFont="1" applyFill="1"/>
    <xf numFmtId="167" fontId="153" fillId="22" borderId="0" xfId="60" applyNumberFormat="1" applyFont="1" applyFill="1" applyBorder="1"/>
    <xf numFmtId="0" fontId="68" fillId="0" borderId="0" xfId="0" applyFont="1" applyAlignment="1">
      <alignment horizontal="left"/>
    </xf>
    <xf numFmtId="0" fontId="44" fillId="0" borderId="0" xfId="0" applyFont="1" applyAlignment="1">
      <alignment horizontal="left" indent="1"/>
    </xf>
    <xf numFmtId="0" fontId="70" fillId="0" borderId="0" xfId="0" applyFont="1" applyAlignment="1">
      <alignment horizontal="center"/>
    </xf>
    <xf numFmtId="14" fontId="22" fillId="0" borderId="0" xfId="0" applyNumberFormat="1" applyFont="1" applyAlignment="1">
      <alignment horizontal="center"/>
    </xf>
    <xf numFmtId="37" fontId="29" fillId="0" borderId="0" xfId="0" applyNumberFormat="1" applyFont="1"/>
    <xf numFmtId="173" fontId="29" fillId="0" borderId="0" xfId="0" applyNumberFormat="1" applyFont="1"/>
    <xf numFmtId="16" fontId="26" fillId="0" borderId="0" xfId="0" quotePrefix="1" applyNumberFormat="1" applyFont="1" applyAlignment="1">
      <alignment horizontal="centerContinuous"/>
    </xf>
    <xf numFmtId="44" fontId="155" fillId="0" borderId="0" xfId="89" applyFont="1" applyFill="1"/>
    <xf numFmtId="0" fontId="22" fillId="0" borderId="56" xfId="0" quotePrefix="1" applyFont="1" applyBorder="1" applyAlignment="1">
      <alignment horizontal="left" vertical="top"/>
    </xf>
    <xf numFmtId="17" fontId="162" fillId="0" borderId="0" xfId="0" applyNumberFormat="1" applyFont="1" applyAlignment="1">
      <alignment horizontal="center"/>
    </xf>
    <xf numFmtId="17" fontId="162" fillId="0" borderId="0" xfId="0" applyNumberFormat="1" applyFont="1"/>
    <xf numFmtId="0" fontId="162" fillId="0" borderId="0" xfId="0" applyFont="1"/>
    <xf numFmtId="0" fontId="162" fillId="0" borderId="0" xfId="0" applyFont="1" applyAlignment="1">
      <alignment horizontal="right"/>
    </xf>
    <xf numFmtId="185" fontId="176" fillId="42" borderId="18" xfId="73" applyNumberFormat="1" applyFont="1" applyFill="1" applyBorder="1"/>
    <xf numFmtId="185" fontId="176" fillId="22" borderId="18" xfId="73" applyNumberFormat="1" applyFont="1" applyFill="1" applyBorder="1"/>
    <xf numFmtId="185" fontId="176" fillId="42" borderId="0" xfId="0" applyNumberFormat="1" applyFont="1" applyFill="1"/>
    <xf numFmtId="185" fontId="176" fillId="43" borderId="0" xfId="0" applyNumberFormat="1" applyFont="1" applyFill="1"/>
    <xf numFmtId="0" fontId="177" fillId="0" borderId="0" xfId="0" applyFont="1"/>
    <xf numFmtId="0" fontId="176" fillId="0" borderId="0" xfId="0" applyFont="1"/>
    <xf numFmtId="17" fontId="178" fillId="25" borderId="0" xfId="0" applyNumberFormat="1" applyFont="1" applyFill="1" applyAlignment="1">
      <alignment horizontal="center"/>
    </xf>
    <xf numFmtId="0" fontId="162" fillId="22" borderId="0" xfId="0" applyFont="1" applyFill="1" applyAlignment="1">
      <alignment horizontal="center"/>
    </xf>
    <xf numFmtId="0" fontId="179" fillId="0" borderId="0" xfId="0" applyFont="1" applyAlignment="1">
      <alignment horizontal="center"/>
    </xf>
    <xf numFmtId="0" fontId="0" fillId="0" borderId="0" xfId="0" applyAlignment="1">
      <alignment horizontal="center"/>
    </xf>
    <xf numFmtId="186" fontId="0" fillId="30" borderId="0" xfId="0" applyNumberFormat="1" applyFill="1" applyAlignment="1">
      <alignment horizontal="right" vertical="top"/>
    </xf>
    <xf numFmtId="43" fontId="140" fillId="0" borderId="0" xfId="54" applyFont="1" applyFill="1"/>
    <xf numFmtId="41" fontId="123" fillId="44" borderId="27" xfId="54" applyNumberFormat="1" applyFont="1" applyFill="1" applyBorder="1" applyProtection="1"/>
    <xf numFmtId="167" fontId="101" fillId="44" borderId="0" xfId="54" applyNumberFormat="1" applyFont="1" applyFill="1" applyProtection="1"/>
    <xf numFmtId="165" fontId="23" fillId="44" borderId="0" xfId="0" applyNumberFormat="1" applyFont="1" applyFill="1"/>
    <xf numFmtId="167" fontId="101" fillId="45" borderId="0" xfId="54" applyNumberFormat="1" applyFont="1" applyFill="1" applyProtection="1"/>
    <xf numFmtId="167" fontId="22" fillId="45" borderId="0" xfId="54" applyNumberFormat="1" applyFont="1" applyFill="1"/>
    <xf numFmtId="0" fontId="0" fillId="0" borderId="56" xfId="0" applyBorder="1" applyAlignment="1">
      <alignment horizontal="left" vertical="top"/>
    </xf>
    <xf numFmtId="37" fontId="23" fillId="22" borderId="0" xfId="56" applyNumberFormat="1" applyFont="1" applyFill="1"/>
    <xf numFmtId="167" fontId="152" fillId="26" borderId="0" xfId="60" applyNumberFormat="1" applyFont="1" applyFill="1"/>
    <xf numFmtId="43" fontId="155" fillId="26" borderId="0" xfId="54" applyFont="1" applyFill="1"/>
    <xf numFmtId="43" fontId="22" fillId="0" borderId="0" xfId="54" applyFont="1" applyFill="1" applyAlignment="1">
      <alignment horizontal="left"/>
    </xf>
    <xf numFmtId="49" fontId="180" fillId="22" borderId="0" xfId="0" applyNumberFormat="1" applyFont="1" applyFill="1"/>
    <xf numFmtId="49" fontId="180" fillId="35" borderId="0" xfId="0" applyNumberFormat="1" applyFont="1" applyFill="1"/>
    <xf numFmtId="170" fontId="181" fillId="39" borderId="0" xfId="0" applyNumberFormat="1" applyFont="1" applyFill="1"/>
    <xf numFmtId="170" fontId="182" fillId="29" borderId="0" xfId="0" applyNumberFormat="1" applyFont="1" applyFill="1"/>
    <xf numFmtId="170" fontId="182" fillId="45" borderId="0" xfId="0" applyNumberFormat="1" applyFont="1" applyFill="1"/>
    <xf numFmtId="10" fontId="120" fillId="45" borderId="0" xfId="218" applyNumberFormat="1" applyFont="1" applyFill="1" applyAlignment="1"/>
    <xf numFmtId="170" fontId="34" fillId="39" borderId="0" xfId="0" quotePrefix="1" applyNumberFormat="1" applyFont="1" applyFill="1"/>
    <xf numFmtId="167" fontId="22" fillId="0" borderId="0" xfId="60" applyNumberFormat="1" applyAlignment="1">
      <alignment vertical="center"/>
    </xf>
    <xf numFmtId="167" fontId="19" fillId="0" borderId="10" xfId="60" applyNumberFormat="1" applyFont="1" applyBorder="1" applyAlignment="1">
      <alignment vertical="center"/>
    </xf>
    <xf numFmtId="43" fontId="22" fillId="0" borderId="0" xfId="60" applyAlignment="1">
      <alignment vertical="center"/>
    </xf>
    <xf numFmtId="167" fontId="22" fillId="0" borderId="0" xfId="60" applyNumberFormat="1"/>
    <xf numFmtId="167" fontId="19" fillId="0" borderId="0" xfId="60" applyNumberFormat="1" applyFont="1"/>
    <xf numFmtId="167" fontId="3" fillId="0" borderId="0" xfId="56" applyNumberFormat="1" applyFont="1" applyFill="1" applyProtection="1"/>
    <xf numFmtId="167" fontId="101" fillId="44" borderId="11" xfId="54" applyNumberFormat="1" applyFont="1" applyFill="1" applyBorder="1" applyProtection="1"/>
    <xf numFmtId="167" fontId="101" fillId="45" borderId="11" xfId="54" applyNumberFormat="1" applyFont="1" applyFill="1" applyBorder="1" applyProtection="1"/>
    <xf numFmtId="43" fontId="22" fillId="38" borderId="0" xfId="54" applyFont="1" applyFill="1" applyAlignment="1">
      <alignment horizontal="center"/>
    </xf>
    <xf numFmtId="170" fontId="22" fillId="38" borderId="0" xfId="0" applyNumberFormat="1" applyFont="1" applyFill="1"/>
    <xf numFmtId="43" fontId="141" fillId="38" borderId="0" xfId="54" applyFont="1" applyFill="1"/>
    <xf numFmtId="170" fontId="155" fillId="37" borderId="0" xfId="0" applyNumberFormat="1" applyFont="1" applyFill="1"/>
    <xf numFmtId="170" fontId="152" fillId="37" borderId="0" xfId="0" applyNumberFormat="1" applyFont="1" applyFill="1"/>
    <xf numFmtId="17" fontId="15" fillId="0" borderId="0" xfId="0" applyNumberFormat="1" applyFont="1" applyAlignment="1">
      <alignment horizontal="center"/>
    </xf>
    <xf numFmtId="167" fontId="0" fillId="0" borderId="0" xfId="56" applyNumberFormat="1" applyFont="1"/>
    <xf numFmtId="167" fontId="0" fillId="0" borderId="11" xfId="56" applyNumberFormat="1" applyFont="1" applyBorder="1"/>
    <xf numFmtId="167" fontId="22" fillId="0" borderId="0" xfId="56" applyNumberFormat="1"/>
    <xf numFmtId="10" fontId="120" fillId="0" borderId="0" xfId="218" applyNumberFormat="1" applyFont="1"/>
    <xf numFmtId="167" fontId="152" fillId="22" borderId="0" xfId="60" applyNumberFormat="1" applyFont="1" applyFill="1" applyBorder="1"/>
    <xf numFmtId="170" fontId="152" fillId="46" borderId="11" xfId="0" applyNumberFormat="1" applyFont="1" applyFill="1" applyBorder="1"/>
    <xf numFmtId="37" fontId="23" fillId="47" borderId="0" xfId="56" applyNumberFormat="1" applyFont="1" applyFill="1"/>
    <xf numFmtId="170" fontId="152" fillId="47" borderId="0" xfId="0" applyNumberFormat="1" applyFont="1" applyFill="1"/>
    <xf numFmtId="170" fontId="155" fillId="47" borderId="0" xfId="0" applyNumberFormat="1" applyFont="1" applyFill="1"/>
    <xf numFmtId="167" fontId="155" fillId="26" borderId="0" xfId="54" applyNumberFormat="1" applyFont="1" applyFill="1"/>
    <xf numFmtId="187" fontId="29" fillId="0" borderId="0" xfId="156" applyNumberFormat="1" applyFont="1" applyAlignment="1">
      <alignment horizontal="centerContinuous"/>
    </xf>
    <xf numFmtId="37" fontId="44" fillId="0" borderId="0" xfId="156" applyNumberFormat="1" applyFont="1" applyAlignment="1">
      <alignment horizontal="centerContinuous"/>
    </xf>
    <xf numFmtId="37" fontId="44" fillId="0" borderId="0" xfId="156" applyNumberFormat="1" applyFont="1" applyAlignment="1">
      <alignment horizontal="right"/>
    </xf>
    <xf numFmtId="37" fontId="44" fillId="0" borderId="0" xfId="156" applyNumberFormat="1" applyFont="1"/>
    <xf numFmtId="39" fontId="44" fillId="0" borderId="0" xfId="156" applyNumberFormat="1" applyFont="1"/>
    <xf numFmtId="37" fontId="44" fillId="0" borderId="0" xfId="156" quotePrefix="1" applyNumberFormat="1" applyFont="1" applyAlignment="1">
      <alignment horizontal="center"/>
    </xf>
    <xf numFmtId="37" fontId="44" fillId="0" borderId="0" xfId="156" applyNumberFormat="1" applyFont="1" applyAlignment="1">
      <alignment horizontal="center"/>
    </xf>
    <xf numFmtId="37" fontId="29" fillId="0" borderId="0" xfId="156" quotePrefix="1" applyNumberFormat="1" applyFont="1" applyAlignment="1">
      <alignment horizontal="center"/>
    </xf>
    <xf numFmtId="37" fontId="44" fillId="0" borderId="11" xfId="156" applyNumberFormat="1" applyFont="1" applyBorder="1" applyAlignment="1">
      <alignment horizontal="center"/>
    </xf>
    <xf numFmtId="37" fontId="44" fillId="0" borderId="11" xfId="156" quotePrefix="1" applyNumberFormat="1" applyFont="1" applyBorder="1" applyAlignment="1">
      <alignment horizontal="center"/>
    </xf>
    <xf numFmtId="37" fontId="69" fillId="0" borderId="0" xfId="156" applyNumberFormat="1" applyFont="1" applyAlignment="1">
      <alignment horizontal="right"/>
    </xf>
    <xf numFmtId="10" fontId="44" fillId="0" borderId="0" xfId="218" applyNumberFormat="1" applyFont="1" applyFill="1" applyAlignment="1"/>
    <xf numFmtId="37" fontId="69" fillId="0" borderId="0" xfId="156" applyNumberFormat="1" applyFont="1"/>
    <xf numFmtId="10" fontId="160" fillId="0" borderId="0" xfId="218" applyNumberFormat="1" applyFont="1" applyFill="1" applyAlignment="1"/>
    <xf numFmtId="43" fontId="44" fillId="0" borderId="0" xfId="74" applyFont="1" applyFill="1" applyAlignment="1"/>
    <xf numFmtId="10" fontId="44" fillId="0" borderId="11" xfId="218" applyNumberFormat="1" applyFont="1" applyFill="1" applyBorder="1" applyAlignment="1"/>
    <xf numFmtId="43" fontId="44" fillId="0" borderId="11" xfId="74" applyFont="1" applyFill="1" applyBorder="1" applyAlignment="1"/>
    <xf numFmtId="10" fontId="44" fillId="0" borderId="0" xfId="218" applyNumberFormat="1" applyFont="1" applyFill="1" applyBorder="1" applyAlignment="1"/>
    <xf numFmtId="43" fontId="44" fillId="0" borderId="0" xfId="74" applyFont="1" applyFill="1" applyBorder="1" applyAlignment="1"/>
    <xf numFmtId="37" fontId="44" fillId="0" borderId="0" xfId="0" applyNumberFormat="1" applyFont="1" applyAlignment="1">
      <alignment horizontal="center"/>
    </xf>
    <xf numFmtId="0" fontId="143" fillId="0" borderId="0" xfId="0" applyFont="1" applyAlignment="1">
      <alignment horizontal="center"/>
    </xf>
    <xf numFmtId="37" fontId="44" fillId="0" borderId="27" xfId="0" applyNumberFormat="1" applyFont="1" applyBorder="1" applyAlignment="1">
      <alignment horizontal="center"/>
    </xf>
    <xf numFmtId="178" fontId="44" fillId="0" borderId="0" xfId="89" applyNumberFormat="1" applyFont="1" applyFill="1" applyProtection="1"/>
    <xf numFmtId="167" fontId="44" fillId="0" borderId="0" xfId="56" applyNumberFormat="1" applyFont="1" applyFill="1" applyProtection="1"/>
    <xf numFmtId="167" fontId="44" fillId="0" borderId="11" xfId="56" applyNumberFormat="1" applyFont="1" applyFill="1" applyBorder="1" applyProtection="1"/>
    <xf numFmtId="178" fontId="44" fillId="0" borderId="0" xfId="89" applyNumberFormat="1" applyFont="1" applyFill="1" applyBorder="1" applyProtection="1"/>
    <xf numFmtId="37" fontId="44" fillId="0" borderId="0" xfId="0" applyNumberFormat="1" applyFont="1" applyAlignment="1">
      <alignment horizontal="centerContinuous"/>
    </xf>
    <xf numFmtId="37" fontId="44" fillId="0" borderId="0" xfId="0" applyNumberFormat="1" applyFont="1" applyAlignment="1">
      <alignment horizontal="left"/>
    </xf>
    <xf numFmtId="164" fontId="44" fillId="0" borderId="0" xfId="0" applyNumberFormat="1" applyFont="1"/>
    <xf numFmtId="10" fontId="44" fillId="0" borderId="0" xfId="218" applyNumberFormat="1" applyFont="1" applyFill="1" applyProtection="1"/>
    <xf numFmtId="37" fontId="29" fillId="0" borderId="0" xfId="156" applyNumberFormat="1" applyFont="1"/>
    <xf numFmtId="187" fontId="29" fillId="0" borderId="0" xfId="156" applyNumberFormat="1" applyFont="1"/>
    <xf numFmtId="37" fontId="44" fillId="0" borderId="0" xfId="156" quotePrefix="1" applyNumberFormat="1" applyFont="1" applyAlignment="1">
      <alignment horizontal="left"/>
    </xf>
    <xf numFmtId="0" fontId="44" fillId="0" borderId="0" xfId="156" applyFont="1" applyAlignment="1">
      <alignment horizontal="center"/>
    </xf>
    <xf numFmtId="37" fontId="44" fillId="0" borderId="0" xfId="156" applyNumberFormat="1" applyFont="1" applyAlignment="1">
      <alignment horizontal="fill"/>
    </xf>
    <xf numFmtId="0" fontId="44" fillId="0" borderId="0" xfId="156" quotePrefix="1" applyFont="1" applyAlignment="1">
      <alignment horizontal="center"/>
    </xf>
    <xf numFmtId="37" fontId="143" fillId="0" borderId="0" xfId="156" applyNumberFormat="1" applyFont="1"/>
    <xf numFmtId="187" fontId="29" fillId="0" borderId="0" xfId="156" quotePrefix="1" applyNumberFormat="1" applyFont="1"/>
    <xf numFmtId="188" fontId="44" fillId="0" borderId="0" xfId="156" applyNumberFormat="1" applyFont="1"/>
    <xf numFmtId="165" fontId="2" fillId="0" borderId="0" xfId="216" applyNumberFormat="1" applyFill="1"/>
    <xf numFmtId="9" fontId="2" fillId="0" borderId="0" xfId="216" applyFill="1"/>
    <xf numFmtId="189" fontId="44" fillId="0" borderId="0" xfId="156" applyNumberFormat="1" applyFont="1" applyAlignment="1">
      <alignment horizontal="center"/>
    </xf>
    <xf numFmtId="188" fontId="44" fillId="0" borderId="0" xfId="156" quotePrefix="1" applyNumberFormat="1" applyFont="1"/>
    <xf numFmtId="0" fontId="44" fillId="0" borderId="0" xfId="0" applyFont="1" applyAlignment="1">
      <alignment vertical="top"/>
    </xf>
    <xf numFmtId="0" fontId="19" fillId="40" borderId="10" xfId="157" quotePrefix="1" applyFont="1" applyFill="1" applyBorder="1" applyAlignment="1">
      <alignment horizontal="center"/>
    </xf>
    <xf numFmtId="170" fontId="22" fillId="36" borderId="11" xfId="0" applyNumberFormat="1" applyFont="1" applyFill="1" applyBorder="1"/>
    <xf numFmtId="167" fontId="101" fillId="22" borderId="0" xfId="54" applyNumberFormat="1" applyFont="1" applyFill="1" applyProtection="1"/>
    <xf numFmtId="167" fontId="22" fillId="29" borderId="11" xfId="54" applyNumberFormat="1" applyFont="1" applyFill="1" applyBorder="1"/>
    <xf numFmtId="167" fontId="118" fillId="35" borderId="11" xfId="54" applyNumberFormat="1" applyFont="1" applyFill="1" applyBorder="1"/>
    <xf numFmtId="10" fontId="173" fillId="39" borderId="32" xfId="0" applyNumberFormat="1" applyFont="1" applyFill="1" applyBorder="1"/>
    <xf numFmtId="37" fontId="0" fillId="26" borderId="0" xfId="0" applyNumberFormat="1" applyFill="1"/>
    <xf numFmtId="167" fontId="141" fillId="38" borderId="0" xfId="54" applyNumberFormat="1" applyFont="1" applyFill="1"/>
    <xf numFmtId="0" fontId="19" fillId="0" borderId="0" xfId="167" applyFont="1" applyAlignment="1">
      <alignment vertical="center"/>
    </xf>
    <xf numFmtId="0" fontId="19" fillId="0" borderId="0" xfId="167" applyFont="1"/>
    <xf numFmtId="0" fontId="22" fillId="0" borderId="0" xfId="167"/>
    <xf numFmtId="170" fontId="182" fillId="26" borderId="0" xfId="0" applyNumberFormat="1" applyFont="1" applyFill="1"/>
    <xf numFmtId="41" fontId="12" fillId="0" borderId="0" xfId="0" applyNumberFormat="1" applyFont="1" applyAlignment="1">
      <alignment horizontal="centerContinuous"/>
    </xf>
    <xf numFmtId="10" fontId="175" fillId="0" borderId="0" xfId="0" applyNumberFormat="1" applyFont="1"/>
    <xf numFmtId="43" fontId="118" fillId="0" borderId="11" xfId="54" applyFont="1" applyFill="1" applyBorder="1"/>
    <xf numFmtId="43" fontId="118" fillId="0" borderId="0" xfId="0" applyNumberFormat="1" applyFont="1"/>
    <xf numFmtId="170" fontId="152" fillId="45" borderId="0" xfId="0" applyNumberFormat="1" applyFont="1" applyFill="1"/>
    <xf numFmtId="17" fontId="15" fillId="0" borderId="0" xfId="0" quotePrefix="1" applyNumberFormat="1" applyFont="1" applyAlignment="1">
      <alignment horizontal="center"/>
    </xf>
    <xf numFmtId="41" fontId="3" fillId="0" borderId="27" xfId="54" applyNumberFormat="1" applyFont="1" applyFill="1" applyBorder="1" applyProtection="1"/>
    <xf numFmtId="41" fontId="3" fillId="0" borderId="0" xfId="54" applyNumberFormat="1" applyFont="1" applyFill="1" applyProtection="1"/>
    <xf numFmtId="41" fontId="3" fillId="0" borderId="0" xfId="0" applyNumberFormat="1" applyFont="1"/>
    <xf numFmtId="41" fontId="3" fillId="0" borderId="0" xfId="54" applyNumberFormat="1" applyFont="1" applyFill="1" applyProtection="1">
      <protection locked="0"/>
    </xf>
    <xf numFmtId="41" fontId="3" fillId="0" borderId="0" xfId="60" applyNumberFormat="1" applyFont="1" applyFill="1" applyProtection="1"/>
    <xf numFmtId="41" fontId="3" fillId="0" borderId="11" xfId="54" applyNumberFormat="1" applyFont="1" applyFill="1" applyBorder="1" applyProtection="1"/>
    <xf numFmtId="41" fontId="3" fillId="44" borderId="0" xfId="54" applyNumberFormat="1" applyFont="1" applyFill="1" applyProtection="1"/>
    <xf numFmtId="41" fontId="3" fillId="24" borderId="0" xfId="54" applyNumberFormat="1" applyFont="1" applyFill="1" applyProtection="1"/>
    <xf numFmtId="41" fontId="3" fillId="0" borderId="0" xfId="0" applyNumberFormat="1" applyFont="1" applyProtection="1">
      <protection locked="0"/>
    </xf>
    <xf numFmtId="41" fontId="3" fillId="44" borderId="27" xfId="54" applyNumberFormat="1" applyFont="1" applyFill="1" applyBorder="1" applyProtection="1"/>
    <xf numFmtId="41" fontId="3" fillId="0" borderId="32" xfId="54" applyNumberFormat="1" applyFont="1" applyFill="1" applyBorder="1" applyProtection="1"/>
    <xf numFmtId="43" fontId="22" fillId="47" borderId="0" xfId="54" applyFont="1" applyFill="1" applyAlignment="1">
      <alignment horizontal="center"/>
    </xf>
    <xf numFmtId="43" fontId="22" fillId="45" borderId="0" xfId="54" applyFont="1" applyFill="1" applyAlignment="1">
      <alignment horizontal="center"/>
    </xf>
    <xf numFmtId="170" fontId="152" fillId="48" borderId="0" xfId="0" applyNumberFormat="1" applyFont="1" applyFill="1"/>
    <xf numFmtId="0" fontId="8" fillId="0" borderId="0" xfId="0" applyFont="1" applyAlignment="1">
      <alignment horizontal="centerContinuous"/>
    </xf>
    <xf numFmtId="0" fontId="7" fillId="0" borderId="0" xfId="0" applyFont="1" applyAlignment="1">
      <alignment horizontal="centerContinuous"/>
    </xf>
    <xf numFmtId="0" fontId="3" fillId="0" borderId="0" xfId="0" applyFont="1" applyAlignment="1">
      <alignment horizontal="centerContinuous"/>
    </xf>
    <xf numFmtId="0" fontId="28" fillId="0" borderId="0" xfId="0" applyFont="1"/>
    <xf numFmtId="0" fontId="7" fillId="0" borderId="0" xfId="0" applyFont="1"/>
    <xf numFmtId="0" fontId="7" fillId="0" borderId="0" xfId="0" applyFont="1" applyAlignment="1">
      <alignment horizontal="center"/>
    </xf>
    <xf numFmtId="0" fontId="10" fillId="0" borderId="0" xfId="0" applyFont="1" applyAlignment="1">
      <alignment horizontal="center"/>
    </xf>
    <xf numFmtId="0" fontId="7" fillId="0" borderId="27" xfId="0" applyFont="1" applyBorder="1"/>
    <xf numFmtId="37" fontId="7" fillId="0" borderId="27" xfId="0" applyNumberFormat="1" applyFont="1" applyBorder="1"/>
    <xf numFmtId="37" fontId="7" fillId="0" borderId="0" xfId="0" applyNumberFormat="1" applyFont="1"/>
    <xf numFmtId="164" fontId="7" fillId="0" borderId="27" xfId="0" applyNumberFormat="1" applyFont="1" applyBorder="1"/>
    <xf numFmtId="164" fontId="7" fillId="0" borderId="0" xfId="0" applyNumberFormat="1" applyFont="1"/>
    <xf numFmtId="164" fontId="3" fillId="0" borderId="0" xfId="0" applyNumberFormat="1" applyFont="1"/>
    <xf numFmtId="0" fontId="7" fillId="0" borderId="32" xfId="0" applyFont="1" applyBorder="1"/>
    <xf numFmtId="0" fontId="3" fillId="0" borderId="32" xfId="0" applyFont="1" applyBorder="1"/>
    <xf numFmtId="0" fontId="10" fillId="0" borderId="0" xfId="0" applyFont="1"/>
    <xf numFmtId="0" fontId="3" fillId="0" borderId="0" xfId="0" applyFont="1" applyAlignment="1">
      <alignment horizontal="center"/>
    </xf>
    <xf numFmtId="0" fontId="7" fillId="0" borderId="27" xfId="0" applyFont="1" applyBorder="1" applyAlignment="1">
      <alignment horizontal="center"/>
    </xf>
    <xf numFmtId="16" fontId="3" fillId="0" borderId="0" xfId="0" applyNumberFormat="1" applyFont="1"/>
    <xf numFmtId="164" fontId="7" fillId="22" borderId="27" xfId="0" applyNumberFormat="1" applyFont="1" applyFill="1" applyBorder="1"/>
    <xf numFmtId="0" fontId="7" fillId="0" borderId="33" xfId="0" applyFont="1" applyBorder="1"/>
    <xf numFmtId="0" fontId="7" fillId="0" borderId="34" xfId="0" applyFont="1" applyBorder="1"/>
    <xf numFmtId="0" fontId="7" fillId="0" borderId="35" xfId="0" applyFont="1" applyBorder="1"/>
    <xf numFmtId="0" fontId="7" fillId="0" borderId="36" xfId="0" applyFont="1" applyBorder="1"/>
    <xf numFmtId="0" fontId="3" fillId="0" borderId="34" xfId="0" applyFont="1" applyBorder="1"/>
    <xf numFmtId="0" fontId="7" fillId="0" borderId="35" xfId="0" applyFont="1" applyBorder="1" applyAlignment="1">
      <alignment horizontal="center"/>
    </xf>
    <xf numFmtId="0" fontId="7" fillId="0" borderId="37" xfId="0" applyFont="1" applyBorder="1"/>
    <xf numFmtId="0" fontId="7" fillId="0" borderId="38" xfId="0" applyFont="1" applyBorder="1"/>
    <xf numFmtId="0" fontId="7" fillId="0" borderId="0" xfId="0" applyFont="1" applyAlignment="1">
      <alignment horizontal="right"/>
    </xf>
    <xf numFmtId="169" fontId="8" fillId="0" borderId="0" xfId="0" applyNumberFormat="1" applyFont="1" applyAlignment="1">
      <alignment horizontal="centerContinuous"/>
    </xf>
    <xf numFmtId="0" fontId="3" fillId="0" borderId="0" xfId="0" applyFont="1" applyAlignment="1">
      <alignment horizontal="left"/>
    </xf>
    <xf numFmtId="167" fontId="7" fillId="0" borderId="0" xfId="56" applyNumberFormat="1" applyFont="1"/>
    <xf numFmtId="0" fontId="3" fillId="0" borderId="27" xfId="0" applyFont="1" applyBorder="1" applyAlignment="1">
      <alignment horizontal="center"/>
    </xf>
    <xf numFmtId="167" fontId="3" fillId="0" borderId="0" xfId="56" applyNumberFormat="1" applyFont="1"/>
    <xf numFmtId="167" fontId="3" fillId="0" borderId="0" xfId="0" applyNumberFormat="1" applyFont="1"/>
    <xf numFmtId="0" fontId="5" fillId="0" borderId="0" xfId="0" applyFont="1"/>
    <xf numFmtId="37" fontId="11" fillId="0" borderId="0" xfId="0" applyNumberFormat="1" applyFont="1" applyAlignment="1">
      <alignment horizontal="centerContinuous"/>
    </xf>
    <xf numFmtId="37" fontId="12" fillId="0" borderId="0" xfId="0" applyNumberFormat="1" applyFont="1" applyAlignment="1">
      <alignment horizontal="centerContinuous"/>
    </xf>
    <xf numFmtId="37" fontId="3" fillId="0" borderId="0" xfId="0" applyNumberFormat="1" applyFont="1" applyAlignment="1">
      <alignment horizontal="centerContinuous"/>
    </xf>
    <xf numFmtId="0" fontId="11" fillId="0" borderId="0" xfId="0" applyFont="1" applyAlignment="1">
      <alignment horizontal="centerContinuous"/>
    </xf>
    <xf numFmtId="37" fontId="12" fillId="0" borderId="0" xfId="0" applyNumberFormat="1" applyFont="1" applyAlignment="1">
      <alignment horizontal="left"/>
    </xf>
    <xf numFmtId="37" fontId="3" fillId="0" borderId="0" xfId="0" applyNumberFormat="1" applyFont="1" applyAlignment="1">
      <alignment horizontal="center"/>
    </xf>
    <xf numFmtId="37" fontId="3" fillId="0" borderId="27" xfId="0" applyNumberFormat="1" applyFont="1" applyBorder="1" applyAlignment="1">
      <alignment horizontal="center"/>
    </xf>
    <xf numFmtId="167" fontId="175" fillId="24" borderId="0" xfId="56" applyNumberFormat="1" applyFont="1" applyFill="1"/>
    <xf numFmtId="43" fontId="3" fillId="0" borderId="0" xfId="56" applyFont="1"/>
    <xf numFmtId="0" fontId="4" fillId="0" borderId="0" xfId="0" applyFont="1"/>
    <xf numFmtId="37" fontId="3" fillId="0" borderId="0" xfId="0" applyNumberFormat="1" applyFont="1" applyAlignment="1">
      <alignment horizontal="left"/>
    </xf>
    <xf numFmtId="167" fontId="13" fillId="0" borderId="0" xfId="56" applyNumberFormat="1" applyFont="1"/>
    <xf numFmtId="37" fontId="13" fillId="0" borderId="0" xfId="0" applyNumberFormat="1" applyFont="1"/>
    <xf numFmtId="37" fontId="13" fillId="0" borderId="27" xfId="0" applyNumberFormat="1" applyFont="1" applyBorder="1" applyAlignment="1">
      <alignment horizontal="centerContinuous"/>
    </xf>
    <xf numFmtId="37" fontId="13" fillId="0" borderId="0" xfId="0" applyNumberFormat="1" applyFont="1" applyAlignment="1">
      <alignment horizontal="center"/>
    </xf>
    <xf numFmtId="37" fontId="175" fillId="0" borderId="40" xfId="0" applyNumberFormat="1" applyFont="1" applyBorder="1"/>
    <xf numFmtId="37" fontId="175" fillId="0" borderId="41" xfId="0" applyNumberFormat="1" applyFont="1" applyBorder="1"/>
    <xf numFmtId="37" fontId="175" fillId="0" borderId="42" xfId="0" applyNumberFormat="1" applyFont="1" applyBorder="1"/>
    <xf numFmtId="37" fontId="175" fillId="0" borderId="0" xfId="0" applyNumberFormat="1" applyFont="1"/>
    <xf numFmtId="37" fontId="3" fillId="0" borderId="43" xfId="0" applyNumberFormat="1" applyFont="1" applyBorder="1" applyAlignment="1">
      <alignment horizontal="center"/>
    </xf>
    <xf numFmtId="37" fontId="3" fillId="0" borderId="43" xfId="0" applyNumberFormat="1" applyFont="1" applyBorder="1"/>
    <xf numFmtId="0" fontId="16" fillId="0" borderId="0" xfId="0" applyFont="1" applyAlignment="1">
      <alignment horizontal="center"/>
    </xf>
    <xf numFmtId="37" fontId="13" fillId="0" borderId="27" xfId="0" applyNumberFormat="1" applyFont="1" applyBorder="1" applyAlignment="1">
      <alignment horizontal="center"/>
    </xf>
    <xf numFmtId="37" fontId="175" fillId="0" borderId="22" xfId="0" applyNumberFormat="1" applyFont="1" applyBorder="1"/>
    <xf numFmtId="37" fontId="175" fillId="0" borderId="23" xfId="0" applyNumberFormat="1" applyFont="1" applyBorder="1"/>
    <xf numFmtId="0" fontId="152" fillId="0" borderId="24" xfId="0" applyFont="1" applyBorder="1"/>
    <xf numFmtId="37" fontId="3" fillId="0" borderId="26" xfId="0" applyNumberFormat="1" applyFont="1" applyBorder="1" applyAlignment="1">
      <alignment horizontal="center"/>
    </xf>
    <xf numFmtId="37" fontId="3" fillId="0" borderId="19" xfId="0" applyNumberFormat="1" applyFont="1" applyBorder="1"/>
    <xf numFmtId="10" fontId="3" fillId="0" borderId="0" xfId="218" applyNumberFormat="1" applyFont="1"/>
    <xf numFmtId="37" fontId="3" fillId="0" borderId="14" xfId="0" applyNumberFormat="1" applyFont="1" applyBorder="1"/>
    <xf numFmtId="37" fontId="3" fillId="0" borderId="25" xfId="0" applyNumberFormat="1" applyFont="1" applyBorder="1"/>
    <xf numFmtId="10" fontId="3" fillId="0" borderId="25" xfId="218" applyNumberFormat="1" applyFont="1" applyBorder="1"/>
    <xf numFmtId="37" fontId="31" fillId="0" borderId="19" xfId="0" applyNumberFormat="1" applyFont="1" applyBorder="1"/>
    <xf numFmtId="37" fontId="3" fillId="0" borderId="22" xfId="0" applyNumberFormat="1" applyFont="1" applyBorder="1"/>
    <xf numFmtId="37" fontId="3" fillId="0" borderId="23" xfId="0" applyNumberFormat="1" applyFont="1" applyBorder="1"/>
    <xf numFmtId="37" fontId="3" fillId="0" borderId="24" xfId="0" applyNumberFormat="1" applyFont="1" applyBorder="1"/>
    <xf numFmtId="37" fontId="3" fillId="0" borderId="26" xfId="0" applyNumberFormat="1" applyFont="1" applyBorder="1"/>
    <xf numFmtId="10" fontId="13" fillId="0" borderId="0" xfId="56" applyNumberFormat="1" applyFont="1"/>
    <xf numFmtId="37" fontId="8" fillId="0" borderId="0" xfId="0" applyNumberFormat="1" applyFont="1" applyAlignment="1">
      <alignment horizontal="centerContinuous"/>
    </xf>
    <xf numFmtId="37" fontId="7" fillId="0" borderId="0" xfId="0" applyNumberFormat="1" applyFont="1" applyAlignment="1">
      <alignment horizontal="centerContinuous"/>
    </xf>
    <xf numFmtId="37" fontId="12" fillId="0" borderId="0" xfId="0" applyNumberFormat="1" applyFont="1"/>
    <xf numFmtId="168" fontId="3" fillId="0" borderId="0" xfId="56" applyNumberFormat="1" applyFont="1"/>
    <xf numFmtId="180" fontId="3" fillId="0" borderId="0" xfId="218" applyNumberFormat="1" applyFont="1"/>
    <xf numFmtId="37" fontId="7" fillId="0" borderId="0" xfId="0" applyNumberFormat="1" applyFont="1" applyAlignment="1">
      <alignment horizontal="left"/>
    </xf>
    <xf numFmtId="179" fontId="3" fillId="0" borderId="0" xfId="56" applyNumberFormat="1" applyFont="1"/>
    <xf numFmtId="182" fontId="3" fillId="0" borderId="0" xfId="0" applyNumberFormat="1" applyFont="1"/>
    <xf numFmtId="37" fontId="14" fillId="0" borderId="0" xfId="0" applyNumberFormat="1" applyFont="1"/>
    <xf numFmtId="0" fontId="7" fillId="0" borderId="0" xfId="0" applyFont="1" applyProtection="1">
      <protection locked="0"/>
    </xf>
    <xf numFmtId="0" fontId="11" fillId="0" borderId="28" xfId="0" applyFont="1" applyBorder="1" applyAlignment="1">
      <alignment horizontal="centerContinuous"/>
    </xf>
    <xf numFmtId="0" fontId="3" fillId="0" borderId="29" xfId="0" applyFont="1" applyBorder="1" applyAlignment="1">
      <alignment horizontal="centerContinuous"/>
    </xf>
    <xf numFmtId="0" fontId="3" fillId="0" borderId="30" xfId="0" applyFont="1" applyBorder="1" applyAlignment="1">
      <alignment horizontal="centerContinuous"/>
    </xf>
    <xf numFmtId="0" fontId="0" fillId="0" borderId="0" xfId="0" applyAlignment="1">
      <alignment horizontal="fill"/>
    </xf>
    <xf numFmtId="0" fontId="5" fillId="0" borderId="0" xfId="0" applyFont="1" applyAlignment="1">
      <alignment horizontal="center"/>
    </xf>
    <xf numFmtId="0" fontId="3" fillId="0" borderId="0" xfId="0" applyFont="1" applyAlignment="1">
      <alignment horizontal="fill"/>
    </xf>
    <xf numFmtId="0" fontId="8" fillId="0" borderId="0" xfId="0" applyFont="1"/>
    <xf numFmtId="185" fontId="3" fillId="0" borderId="0" xfId="56" applyNumberFormat="1" applyFont="1"/>
    <xf numFmtId="0" fontId="0" fillId="41" borderId="0" xfId="0" applyFill="1"/>
    <xf numFmtId="41" fontId="123" fillId="0" borderId="0" xfId="54" applyNumberFormat="1" applyFont="1" applyFill="1" applyBorder="1" applyProtection="1"/>
    <xf numFmtId="17" fontId="19" fillId="37" borderId="0" xfId="0" applyNumberFormat="1" applyFont="1" applyFill="1" applyAlignment="1">
      <alignment horizontal="center"/>
    </xf>
    <xf numFmtId="49" fontId="111" fillId="37" borderId="0" xfId="0" applyNumberFormat="1" applyFont="1" applyFill="1" applyAlignment="1">
      <alignment horizontal="center"/>
    </xf>
    <xf numFmtId="167" fontId="19" fillId="0" borderId="0" xfId="63" applyNumberFormat="1" applyFont="1" applyProtection="1"/>
    <xf numFmtId="167" fontId="19" fillId="0" borderId="0" xfId="63" applyNumberFormat="1" applyFont="1" applyProtection="1">
      <protection locked="0"/>
    </xf>
    <xf numFmtId="168" fontId="153" fillId="22" borderId="0" xfId="54" applyNumberFormat="1" applyFont="1" applyFill="1"/>
    <xf numFmtId="167" fontId="19" fillId="0" borderId="0" xfId="157" applyNumberFormat="1" applyFont="1"/>
    <xf numFmtId="167" fontId="22" fillId="0" borderId="0" xfId="157" applyNumberFormat="1"/>
    <xf numFmtId="41" fontId="3" fillId="37" borderId="0" xfId="54" applyNumberFormat="1" applyFont="1" applyFill="1" applyProtection="1">
      <protection locked="0"/>
    </xf>
    <xf numFmtId="167" fontId="68" fillId="0" borderId="0" xfId="0" applyNumberFormat="1" applyFont="1"/>
    <xf numFmtId="0" fontId="22" fillId="0" borderId="0" xfId="0" applyFont="1" applyAlignment="1">
      <alignment horizontal="right"/>
    </xf>
    <xf numFmtId="169" fontId="22" fillId="0" borderId="14" xfId="0" applyNumberFormat="1" applyFont="1" applyBorder="1" applyAlignment="1" applyProtection="1">
      <alignment horizontal="right"/>
      <protection locked="0"/>
    </xf>
    <xf numFmtId="170" fontId="182" fillId="0" borderId="0" xfId="0" applyNumberFormat="1" applyFont="1"/>
    <xf numFmtId="0" fontId="153" fillId="0" borderId="0" xfId="0" applyFont="1" applyAlignment="1">
      <alignment horizontal="center"/>
    </xf>
    <xf numFmtId="14" fontId="26" fillId="0" borderId="43" xfId="0" quotePrefix="1" applyNumberFormat="1" applyFont="1" applyBorder="1" applyAlignment="1">
      <alignment horizontal="center"/>
    </xf>
    <xf numFmtId="14" fontId="9" fillId="0" borderId="0" xfId="0" quotePrefix="1" applyNumberFormat="1" applyFont="1" applyAlignment="1" applyProtection="1">
      <alignment horizontal="centerContinuous"/>
      <protection locked="0"/>
    </xf>
    <xf numFmtId="37" fontId="44" fillId="0" borderId="0" xfId="0" applyNumberFormat="1" applyFont="1" applyAlignment="1">
      <alignment horizontal="right"/>
    </xf>
    <xf numFmtId="167" fontId="44" fillId="0" borderId="0" xfId="57" applyNumberFormat="1" applyFont="1" applyFill="1" applyBorder="1" applyAlignment="1"/>
    <xf numFmtId="180" fontId="3" fillId="0" borderId="0" xfId="218" applyNumberFormat="1" applyFont="1" applyBorder="1" applyAlignment="1">
      <alignment horizontal="right"/>
    </xf>
    <xf numFmtId="178" fontId="44" fillId="0" borderId="10" xfId="89" applyNumberFormat="1" applyFont="1" applyFill="1" applyBorder="1" applyAlignment="1"/>
    <xf numFmtId="37" fontId="3" fillId="0" borderId="0" xfId="0" applyNumberFormat="1" applyFont="1" applyAlignment="1">
      <alignment horizontal="right"/>
    </xf>
    <xf numFmtId="10" fontId="183" fillId="0" borderId="0" xfId="218" applyNumberFormat="1" applyFont="1" applyFill="1" applyBorder="1" applyAlignment="1"/>
    <xf numFmtId="37" fontId="44" fillId="41" borderId="0" xfId="0" applyNumberFormat="1" applyFont="1" applyFill="1"/>
    <xf numFmtId="37" fontId="184" fillId="0" borderId="0" xfId="0" applyNumberFormat="1" applyFont="1" applyAlignment="1">
      <alignment horizontal="right"/>
    </xf>
    <xf numFmtId="167" fontId="44" fillId="0" borderId="0" xfId="56" applyNumberFormat="1" applyFont="1" applyFill="1" applyBorder="1" applyAlignment="1"/>
    <xf numFmtId="167" fontId="185" fillId="0" borderId="0" xfId="54" applyNumberFormat="1" applyFont="1" applyFill="1" applyProtection="1"/>
    <xf numFmtId="167" fontId="4" fillId="0" borderId="0" xfId="0" applyNumberFormat="1" applyFont="1" applyProtection="1">
      <protection locked="0"/>
    </xf>
    <xf numFmtId="43" fontId="145" fillId="0" borderId="0" xfId="54" applyFont="1" applyFill="1"/>
    <xf numFmtId="0" fontId="0" fillId="39" borderId="0" xfId="0" applyFill="1" applyAlignment="1">
      <alignment horizontal="left" vertical="top"/>
    </xf>
    <xf numFmtId="10" fontId="22" fillId="37" borderId="0" xfId="0" applyNumberFormat="1" applyFont="1" applyFill="1" applyProtection="1">
      <protection locked="0"/>
    </xf>
    <xf numFmtId="39" fontId="0" fillId="0" borderId="0" xfId="0" applyNumberFormat="1"/>
    <xf numFmtId="39" fontId="170" fillId="0" borderId="0" xfId="0" applyNumberFormat="1" applyFont="1"/>
    <xf numFmtId="0" fontId="22" fillId="0" borderId="11" xfId="0" applyFont="1" applyBorder="1"/>
    <xf numFmtId="167" fontId="101" fillId="26" borderId="0" xfId="54" applyNumberFormat="1" applyFont="1" applyFill="1" applyProtection="1"/>
    <xf numFmtId="0" fontId="19" fillId="49" borderId="44" xfId="0" applyFont="1" applyFill="1" applyBorder="1" applyAlignment="1">
      <alignment horizontal="left"/>
    </xf>
    <xf numFmtId="0" fontId="22" fillId="49" borderId="10" xfId="0" applyFont="1" applyFill="1" applyBorder="1"/>
    <xf numFmtId="0" fontId="0" fillId="49" borderId="10" xfId="0" applyFill="1" applyBorder="1"/>
    <xf numFmtId="0" fontId="0" fillId="49" borderId="45" xfId="0" applyFill="1" applyBorder="1"/>
    <xf numFmtId="0" fontId="19" fillId="49" borderId="46" xfId="0" applyFont="1" applyFill="1" applyBorder="1" applyAlignment="1">
      <alignment horizontal="left"/>
    </xf>
    <xf numFmtId="0" fontId="22" fillId="49" borderId="0" xfId="0" applyFont="1" applyFill="1"/>
    <xf numFmtId="0" fontId="0" fillId="49" borderId="0" xfId="0" applyFill="1"/>
    <xf numFmtId="0" fontId="0" fillId="49" borderId="47" xfId="0" applyFill="1" applyBorder="1"/>
    <xf numFmtId="0" fontId="22" fillId="49" borderId="46" xfId="0" applyFont="1" applyFill="1" applyBorder="1" applyAlignment="1">
      <alignment horizontal="left" indent="1"/>
    </xf>
    <xf numFmtId="0" fontId="0" fillId="49" borderId="46" xfId="0" applyFill="1" applyBorder="1" applyAlignment="1">
      <alignment horizontal="left"/>
    </xf>
    <xf numFmtId="0" fontId="169" fillId="49" borderId="46" xfId="0" applyFont="1" applyFill="1" applyBorder="1" applyAlignment="1">
      <alignment horizontal="left" indent="1"/>
    </xf>
    <xf numFmtId="0" fontId="19" fillId="49" borderId="46" xfId="0" applyFont="1" applyFill="1" applyBorder="1" applyAlignment="1">
      <alignment horizontal="left" indent="1"/>
    </xf>
    <xf numFmtId="0" fontId="186" fillId="49" borderId="46" xfId="0" applyFont="1" applyFill="1" applyBorder="1" applyAlignment="1">
      <alignment horizontal="left" indent="1"/>
    </xf>
    <xf numFmtId="0" fontId="22" fillId="49" borderId="11" xfId="0" applyFont="1" applyFill="1" applyBorder="1"/>
    <xf numFmtId="0" fontId="0" fillId="49" borderId="11" xfId="0" applyFill="1" applyBorder="1"/>
    <xf numFmtId="0" fontId="0" fillId="49" borderId="48" xfId="0" applyFill="1" applyBorder="1"/>
    <xf numFmtId="0" fontId="22" fillId="49" borderId="46" xfId="0" applyFont="1" applyFill="1" applyBorder="1" applyAlignment="1">
      <alignment horizontal="left" vertical="center" indent="1"/>
    </xf>
    <xf numFmtId="49" fontId="22" fillId="0" borderId="0" xfId="0" applyNumberFormat="1" applyFont="1" applyAlignment="1">
      <alignment horizontal="left"/>
    </xf>
    <xf numFmtId="17" fontId="161" fillId="24" borderId="25" xfId="0" quotePrefix="1" applyNumberFormat="1" applyFont="1" applyFill="1" applyBorder="1" applyAlignment="1">
      <alignment horizontal="center"/>
    </xf>
    <xf numFmtId="0" fontId="187" fillId="50" borderId="0" xfId="0" applyFont="1" applyFill="1" applyAlignment="1">
      <alignment horizontal="left"/>
    </xf>
    <xf numFmtId="0" fontId="187" fillId="50" borderId="0" xfId="0" applyFont="1" applyFill="1" applyAlignment="1">
      <alignment horizontal="center"/>
    </xf>
    <xf numFmtId="0" fontId="187" fillId="50" borderId="0" xfId="0" applyFont="1" applyFill="1"/>
    <xf numFmtId="16" fontId="36" fillId="50" borderId="0" xfId="0" quotePrefix="1" applyNumberFormat="1" applyFont="1" applyFill="1" applyAlignment="1">
      <alignment horizontal="center"/>
    </xf>
    <xf numFmtId="0" fontId="187" fillId="51" borderId="0" xfId="0" applyFont="1" applyFill="1" applyAlignment="1">
      <alignment horizontal="left"/>
    </xf>
    <xf numFmtId="0" fontId="187" fillId="51" borderId="0" xfId="0" applyFont="1" applyFill="1" applyAlignment="1">
      <alignment horizontal="center"/>
    </xf>
    <xf numFmtId="0" fontId="187" fillId="51" borderId="0" xfId="0" applyFont="1" applyFill="1"/>
    <xf numFmtId="16" fontId="36" fillId="51" borderId="0" xfId="0" quotePrefix="1" applyNumberFormat="1" applyFont="1" applyFill="1" applyAlignment="1">
      <alignment horizontal="center"/>
    </xf>
    <xf numFmtId="16" fontId="19" fillId="51" borderId="11" xfId="0" quotePrefix="1" applyNumberFormat="1" applyFont="1" applyFill="1" applyBorder="1" applyAlignment="1">
      <alignment horizontal="center"/>
    </xf>
    <xf numFmtId="168" fontId="153" fillId="0" borderId="0" xfId="54" applyNumberFormat="1" applyFont="1" applyFill="1"/>
    <xf numFmtId="0" fontId="15" fillId="0" borderId="0" xfId="0" applyFont="1" applyAlignment="1">
      <alignment horizontal="left"/>
    </xf>
    <xf numFmtId="0" fontId="22" fillId="0" borderId="0" xfId="0" applyFont="1" applyAlignment="1">
      <alignment horizontal="left" indent="1"/>
    </xf>
    <xf numFmtId="0" fontId="22" fillId="0" borderId="0" xfId="0" quotePrefix="1" applyFont="1" applyAlignment="1">
      <alignment horizontal="left" indent="1"/>
    </xf>
    <xf numFmtId="170" fontId="188" fillId="0" borderId="0" xfId="0" applyNumberFormat="1" applyFont="1"/>
    <xf numFmtId="37" fontId="22" fillId="0" borderId="0" xfId="54" applyNumberFormat="1" applyFont="1" applyFill="1"/>
    <xf numFmtId="37" fontId="152" fillId="0" borderId="0" xfId="0" applyNumberFormat="1" applyFont="1"/>
    <xf numFmtId="37" fontId="23" fillId="0" borderId="0" xfId="56" applyNumberFormat="1" applyFont="1" applyFill="1"/>
    <xf numFmtId="0" fontId="153" fillId="0" borderId="0" xfId="0" applyFont="1"/>
    <xf numFmtId="37" fontId="153" fillId="0" borderId="0" xfId="0" applyNumberFormat="1" applyFont="1"/>
    <xf numFmtId="0" fontId="34" fillId="0" borderId="0" xfId="0" quotePrefix="1" applyFont="1" applyAlignment="1">
      <alignment horizontal="left" indent="1"/>
    </xf>
    <xf numFmtId="0" fontId="34" fillId="0" borderId="0" xfId="0" applyFont="1" applyAlignment="1">
      <alignment horizontal="left" indent="1"/>
    </xf>
    <xf numFmtId="0" fontId="0" fillId="0" borderId="0" xfId="0" applyAlignment="1">
      <alignment horizontal="left" indent="1"/>
    </xf>
    <xf numFmtId="167" fontId="22" fillId="0" borderId="11" xfId="54" applyNumberFormat="1" applyFont="1" applyFill="1" applyBorder="1"/>
    <xf numFmtId="0" fontId="19" fillId="0" borderId="0" xfId="157" applyFont="1"/>
    <xf numFmtId="0" fontId="189" fillId="50" borderId="10" xfId="157" applyFont="1" applyFill="1" applyBorder="1" applyAlignment="1">
      <alignment horizontal="center"/>
    </xf>
    <xf numFmtId="0" fontId="189" fillId="50" borderId="11" xfId="157" applyFont="1" applyFill="1" applyBorder="1"/>
    <xf numFmtId="40" fontId="189" fillId="50" borderId="11" xfId="157" applyNumberFormat="1" applyFont="1" applyFill="1" applyBorder="1" applyAlignment="1">
      <alignment horizontal="center"/>
    </xf>
    <xf numFmtId="167" fontId="19" fillId="0" borderId="0" xfId="63" applyNumberFormat="1" applyFont="1" applyFill="1" applyProtection="1">
      <protection locked="0"/>
    </xf>
    <xf numFmtId="43" fontId="153" fillId="0" borderId="0" xfId="56" applyFont="1" applyFill="1" applyBorder="1"/>
    <xf numFmtId="0" fontId="153" fillId="0" borderId="0" xfId="157" applyFont="1"/>
    <xf numFmtId="167" fontId="189" fillId="50" borderId="10" xfId="157" applyNumberFormat="1" applyFont="1" applyFill="1" applyBorder="1" applyAlignment="1">
      <alignment horizontal="center"/>
    </xf>
    <xf numFmtId="167" fontId="189" fillId="50" borderId="11" xfId="157" applyNumberFormat="1" applyFont="1" applyFill="1" applyBorder="1" applyAlignment="1">
      <alignment horizontal="center"/>
    </xf>
    <xf numFmtId="43" fontId="19" fillId="0" borderId="18" xfId="56" applyFont="1" applyFill="1" applyBorder="1" applyProtection="1"/>
    <xf numFmtId="167" fontId="19" fillId="0" borderId="18" xfId="56" applyNumberFormat="1" applyFont="1" applyFill="1" applyBorder="1" applyProtection="1"/>
    <xf numFmtId="0" fontId="161" fillId="49" borderId="46" xfId="0" applyFont="1" applyFill="1" applyBorder="1" applyAlignment="1">
      <alignment horizontal="left" indent="1"/>
    </xf>
    <xf numFmtId="0" fontId="161" fillId="29" borderId="49" xfId="0" applyFont="1" applyFill="1" applyBorder="1" applyAlignment="1">
      <alignment horizontal="left" indent="1"/>
    </xf>
    <xf numFmtId="167" fontId="19" fillId="29" borderId="18" xfId="63" applyNumberFormat="1" applyFont="1" applyFill="1" applyBorder="1" applyProtection="1"/>
    <xf numFmtId="167" fontId="19" fillId="29" borderId="18" xfId="56" applyNumberFormat="1" applyFont="1" applyFill="1" applyBorder="1" applyProtection="1"/>
    <xf numFmtId="167" fontId="153" fillId="0" borderId="0" xfId="60" applyNumberFormat="1" applyFont="1" applyAlignment="1">
      <alignment vertical="center"/>
    </xf>
    <xf numFmtId="0" fontId="190" fillId="50" borderId="0" xfId="0" applyFont="1" applyFill="1" applyAlignment="1">
      <alignment horizontal="left" vertical="top"/>
    </xf>
    <xf numFmtId="0" fontId="22" fillId="40" borderId="51" xfId="0" applyFont="1" applyFill="1" applyBorder="1" applyAlignment="1">
      <alignment horizontal="left" vertical="top"/>
    </xf>
    <xf numFmtId="0" fontId="19" fillId="40" borderId="0" xfId="0" applyFont="1" applyFill="1" applyAlignment="1">
      <alignment horizontal="left" vertical="top"/>
    </xf>
    <xf numFmtId="0" fontId="189" fillId="50" borderId="0" xfId="0" applyFont="1" applyFill="1" applyAlignment="1">
      <alignment horizontal="left" vertical="top"/>
    </xf>
    <xf numFmtId="0" fontId="22" fillId="26" borderId="0" xfId="0" applyFont="1" applyFill="1" applyAlignment="1">
      <alignment horizontal="left" vertical="top"/>
    </xf>
    <xf numFmtId="186" fontId="22" fillId="26" borderId="0" xfId="0" applyNumberFormat="1" applyFont="1" applyFill="1" applyAlignment="1">
      <alignment horizontal="right" vertical="top"/>
    </xf>
    <xf numFmtId="43" fontId="22" fillId="26" borderId="0" xfId="54" applyFont="1" applyFill="1"/>
    <xf numFmtId="0" fontId="22" fillId="40" borderId="52" xfId="0" applyFont="1" applyFill="1" applyBorder="1" applyAlignment="1">
      <alignment horizontal="left" vertical="top"/>
    </xf>
    <xf numFmtId="0" fontId="187" fillId="50" borderId="52" xfId="0" applyFont="1" applyFill="1" applyBorder="1" applyAlignment="1">
      <alignment horizontal="left" vertical="top"/>
    </xf>
    <xf numFmtId="43" fontId="19" fillId="0" borderId="0" xfId="0" applyNumberFormat="1" applyFont="1"/>
    <xf numFmtId="0" fontId="22" fillId="40" borderId="0" xfId="0" applyFont="1" applyFill="1" applyAlignment="1">
      <alignment horizontal="left" vertical="top"/>
    </xf>
    <xf numFmtId="37" fontId="153" fillId="0" borderId="0" xfId="56" applyNumberFormat="1" applyFont="1" applyFill="1"/>
    <xf numFmtId="41" fontId="3" fillId="26" borderId="0" xfId="0" applyNumberFormat="1" applyFont="1" applyFill="1" applyProtection="1">
      <protection locked="0"/>
    </xf>
    <xf numFmtId="41" fontId="3" fillId="26" borderId="0" xfId="60" applyNumberFormat="1" applyFont="1" applyFill="1" applyProtection="1"/>
    <xf numFmtId="41" fontId="3" fillId="26" borderId="0" xfId="54" applyNumberFormat="1" applyFont="1" applyFill="1" applyProtection="1"/>
    <xf numFmtId="41" fontId="123" fillId="26" borderId="32" xfId="54" applyNumberFormat="1" applyFont="1" applyFill="1" applyBorder="1" applyProtection="1"/>
    <xf numFmtId="41" fontId="123" fillId="26" borderId="11" xfId="0" applyNumberFormat="1" applyFont="1" applyFill="1" applyBorder="1" applyProtection="1">
      <protection locked="0"/>
    </xf>
    <xf numFmtId="167" fontId="3" fillId="26" borderId="0" xfId="60" applyNumberFormat="1" applyFont="1" applyFill="1" applyProtection="1"/>
    <xf numFmtId="167" fontId="108" fillId="26" borderId="0" xfId="54" applyNumberFormat="1" applyFont="1" applyFill="1" applyProtection="1"/>
    <xf numFmtId="41" fontId="123" fillId="26" borderId="27" xfId="54" applyNumberFormat="1" applyFont="1" applyFill="1" applyBorder="1" applyProtection="1"/>
    <xf numFmtId="0" fontId="0" fillId="39" borderId="0" xfId="0" quotePrefix="1" applyFill="1" applyAlignment="1">
      <alignment horizontal="left" vertical="top"/>
    </xf>
    <xf numFmtId="0" fontId="22" fillId="39" borderId="0" xfId="0" quotePrefix="1" applyFont="1" applyFill="1" applyAlignment="1">
      <alignment horizontal="left" vertical="top"/>
    </xf>
    <xf numFmtId="43" fontId="146" fillId="0" borderId="0" xfId="73" applyFont="1" applyFill="1"/>
    <xf numFmtId="167" fontId="188" fillId="0" borderId="0" xfId="54" applyNumberFormat="1" applyFont="1" applyFill="1"/>
    <xf numFmtId="37" fontId="188" fillId="0" borderId="0" xfId="56" applyNumberFormat="1" applyFont="1" applyFill="1"/>
    <xf numFmtId="170" fontId="188" fillId="0" borderId="11" xfId="0" applyNumberFormat="1" applyFont="1" applyBorder="1"/>
    <xf numFmtId="167" fontId="175" fillId="29" borderId="0" xfId="54" applyNumberFormat="1" applyFont="1" applyFill="1" applyProtection="1"/>
    <xf numFmtId="41" fontId="3" fillId="29" borderId="0" xfId="54" applyNumberFormat="1" applyFont="1" applyFill="1" applyProtection="1"/>
    <xf numFmtId="164" fontId="13" fillId="0" borderId="0" xfId="0" applyNumberFormat="1" applyFont="1"/>
    <xf numFmtId="10" fontId="13" fillId="39" borderId="32" xfId="0" applyNumberFormat="1" applyFont="1" applyFill="1" applyBorder="1"/>
    <xf numFmtId="10" fontId="3" fillId="0" borderId="0" xfId="0" applyNumberFormat="1" applyFont="1"/>
    <xf numFmtId="10" fontId="3" fillId="0" borderId="27" xfId="0" applyNumberFormat="1" applyFont="1" applyBorder="1"/>
    <xf numFmtId="41" fontId="191" fillId="0" borderId="0" xfId="54" applyNumberFormat="1" applyFont="1" applyFill="1" applyProtection="1"/>
    <xf numFmtId="168" fontId="0" fillId="0" borderId="0" xfId="0" applyNumberFormat="1"/>
    <xf numFmtId="41" fontId="3" fillId="0" borderId="0" xfId="0" applyNumberFormat="1" applyFont="1" applyAlignment="1">
      <alignment horizontal="center"/>
    </xf>
    <xf numFmtId="41" fontId="3" fillId="0" borderId="27" xfId="0" applyNumberFormat="1" applyFont="1" applyBorder="1" applyAlignment="1">
      <alignment horizontal="center"/>
    </xf>
    <xf numFmtId="167" fontId="13" fillId="0" borderId="0" xfId="54" applyNumberFormat="1" applyFont="1" applyFill="1" applyProtection="1"/>
    <xf numFmtId="41" fontId="3" fillId="37" borderId="0" xfId="0" applyNumberFormat="1" applyFont="1" applyFill="1" applyProtection="1">
      <protection locked="0"/>
    </xf>
    <xf numFmtId="41" fontId="3" fillId="37" borderId="0" xfId="54" applyNumberFormat="1" applyFont="1" applyFill="1" applyProtection="1"/>
    <xf numFmtId="37" fontId="192" fillId="50" borderId="44" xfId="0" applyNumberFormat="1" applyFont="1" applyFill="1" applyBorder="1"/>
    <xf numFmtId="0" fontId="187" fillId="50" borderId="10" xfId="0" applyFont="1" applyFill="1" applyBorder="1"/>
    <xf numFmtId="0" fontId="187" fillId="50" borderId="45" xfId="0" applyFont="1" applyFill="1" applyBorder="1"/>
    <xf numFmtId="0" fontId="193" fillId="0" borderId="46" xfId="0" applyFont="1" applyBorder="1"/>
    <xf numFmtId="37" fontId="44" fillId="0" borderId="47" xfId="0" applyNumberFormat="1" applyFont="1" applyBorder="1" applyAlignment="1">
      <alignment horizontal="center"/>
    </xf>
    <xf numFmtId="0" fontId="0" fillId="0" borderId="46" xfId="0" applyBorder="1"/>
    <xf numFmtId="37" fontId="44" fillId="0" borderId="46" xfId="0" applyNumberFormat="1" applyFont="1" applyBorder="1" applyAlignment="1">
      <alignment horizontal="right"/>
    </xf>
    <xf numFmtId="10" fontId="44" fillId="0" borderId="47" xfId="218" applyNumberFormat="1" applyFont="1" applyFill="1" applyBorder="1" applyAlignment="1"/>
    <xf numFmtId="37" fontId="44" fillId="0" borderId="49" xfId="0" applyNumberFormat="1" applyFont="1" applyBorder="1" applyAlignment="1">
      <alignment horizontal="right"/>
    </xf>
    <xf numFmtId="167" fontId="44" fillId="0" borderId="17" xfId="57" applyNumberFormat="1" applyFont="1" applyFill="1" applyBorder="1" applyAlignment="1"/>
    <xf numFmtId="10" fontId="44" fillId="0" borderId="50" xfId="218" applyNumberFormat="1" applyFont="1" applyFill="1" applyBorder="1" applyAlignment="1"/>
    <xf numFmtId="0" fontId="0" fillId="0" borderId="47" xfId="0" applyBorder="1"/>
    <xf numFmtId="0" fontId="22" fillId="0" borderId="46" xfId="0" applyFont="1" applyBorder="1"/>
    <xf numFmtId="37" fontId="192" fillId="50" borderId="10" xfId="0" applyNumberFormat="1" applyFont="1" applyFill="1" applyBorder="1"/>
    <xf numFmtId="37" fontId="192" fillId="50" borderId="45" xfId="0" applyNumberFormat="1" applyFont="1" applyFill="1" applyBorder="1"/>
    <xf numFmtId="167" fontId="13" fillId="0" borderId="27" xfId="54" applyNumberFormat="1" applyFont="1" applyFill="1" applyBorder="1" applyProtection="1"/>
    <xf numFmtId="168" fontId="153" fillId="29" borderId="0" xfId="54" applyNumberFormat="1" applyFont="1" applyFill="1"/>
    <xf numFmtId="39" fontId="0" fillId="24" borderId="0" xfId="0" applyNumberFormat="1" applyFill="1"/>
    <xf numFmtId="167" fontId="101" fillId="52" borderId="0" xfId="54" applyNumberFormat="1" applyFont="1" applyFill="1" applyProtection="1"/>
    <xf numFmtId="167" fontId="101" fillId="44" borderId="0" xfId="54" applyNumberFormat="1" applyFont="1" applyFill="1" applyBorder="1" applyProtection="1"/>
    <xf numFmtId="0" fontId="29" fillId="0" borderId="0" xfId="167" applyFont="1" applyAlignment="1">
      <alignment vertical="center"/>
    </xf>
    <xf numFmtId="0" fontId="22" fillId="0" borderId="0" xfId="167" applyAlignment="1">
      <alignment vertical="center"/>
    </xf>
    <xf numFmtId="0" fontId="161" fillId="0" borderId="0" xfId="167" applyFont="1"/>
    <xf numFmtId="14" fontId="22" fillId="22" borderId="0" xfId="167" applyNumberFormat="1" applyFill="1" applyAlignment="1">
      <alignment vertical="center"/>
    </xf>
    <xf numFmtId="37" fontId="161" fillId="0" borderId="0" xfId="167" applyNumberFormat="1" applyFont="1" applyAlignment="1">
      <alignment vertical="center"/>
    </xf>
    <xf numFmtId="0" fontId="169" fillId="0" borderId="0" xfId="167" applyFont="1" applyAlignment="1">
      <alignment horizontal="center" vertical="center"/>
    </xf>
    <xf numFmtId="0" fontId="19" fillId="0" borderId="0" xfId="167" applyFont="1" applyAlignment="1">
      <alignment horizontal="center"/>
    </xf>
    <xf numFmtId="0" fontId="19" fillId="0" borderId="0" xfId="167" applyFont="1" applyAlignment="1">
      <alignment horizontal="center" vertical="center"/>
    </xf>
    <xf numFmtId="17" fontId="19" fillId="0" borderId="11" xfId="167" applyNumberFormat="1" applyFont="1" applyBorder="1" applyAlignment="1">
      <alignment horizontal="center" vertical="center"/>
    </xf>
    <xf numFmtId="167" fontId="22" fillId="0" borderId="0" xfId="56" applyNumberFormat="1" applyAlignment="1">
      <alignment vertical="center"/>
    </xf>
    <xf numFmtId="43" fontId="22" fillId="0" borderId="0" xfId="56" applyAlignment="1">
      <alignment vertical="center"/>
    </xf>
    <xf numFmtId="167" fontId="22" fillId="0" borderId="0" xfId="60" applyNumberFormat="1" applyFont="1" applyAlignment="1">
      <alignment vertical="center"/>
    </xf>
    <xf numFmtId="167" fontId="22" fillId="0" borderId="0" xfId="56" applyNumberFormat="1" applyFont="1" applyFill="1" applyAlignment="1">
      <alignment vertical="center"/>
    </xf>
    <xf numFmtId="43" fontId="153" fillId="0" borderId="0" xfId="56" applyFont="1" applyAlignment="1">
      <alignment vertical="center"/>
    </xf>
    <xf numFmtId="167" fontId="153" fillId="0" borderId="0" xfId="56" applyNumberFormat="1" applyFont="1" applyAlignment="1">
      <alignment vertical="center"/>
    </xf>
    <xf numFmtId="167" fontId="22" fillId="0" borderId="0" xfId="60" applyNumberFormat="1" applyFont="1" applyFill="1" applyAlignment="1">
      <alignment vertical="center"/>
    </xf>
    <xf numFmtId="167" fontId="153" fillId="53" borderId="0" xfId="56" applyNumberFormat="1" applyFont="1" applyFill="1" applyAlignment="1">
      <alignment vertical="center"/>
    </xf>
    <xf numFmtId="0" fontId="19" fillId="0" borderId="0" xfId="167" applyFont="1" applyAlignment="1">
      <alignment horizontal="left"/>
    </xf>
    <xf numFmtId="167" fontId="19" fillId="18" borderId="0" xfId="60" applyNumberFormat="1" applyFont="1" applyFill="1" applyAlignment="1">
      <alignment vertical="center"/>
    </xf>
    <xf numFmtId="167" fontId="0" fillId="0" borderId="0" xfId="60" applyNumberFormat="1" applyFont="1"/>
    <xf numFmtId="167" fontId="22" fillId="0" borderId="0" xfId="167" applyNumberFormat="1"/>
    <xf numFmtId="41" fontId="3" fillId="22" borderId="11" xfId="0" applyNumberFormat="1" applyFont="1" applyFill="1" applyBorder="1" applyProtection="1">
      <protection locked="0"/>
    </xf>
    <xf numFmtId="191" fontId="134" fillId="0" borderId="0" xfId="54" applyNumberFormat="1" applyFont="1" applyFill="1" applyProtection="1"/>
    <xf numFmtId="191" fontId="134" fillId="0" borderId="0" xfId="0" applyNumberFormat="1" applyFont="1"/>
    <xf numFmtId="167" fontId="153" fillId="0" borderId="0" xfId="56" applyNumberFormat="1" applyFont="1" applyFill="1" applyAlignment="1">
      <alignment vertical="center"/>
    </xf>
    <xf numFmtId="0" fontId="44" fillId="0" borderId="0" xfId="0" applyFont="1" applyAlignment="1">
      <alignment horizontal="centerContinuous"/>
    </xf>
    <xf numFmtId="167" fontId="19" fillId="0" borderId="0" xfId="56" applyNumberFormat="1" applyFont="1"/>
    <xf numFmtId="192" fontId="70" fillId="0" borderId="0" xfId="0" applyNumberFormat="1" applyFont="1" applyAlignment="1">
      <alignment horizontal="center"/>
    </xf>
    <xf numFmtId="0" fontId="147" fillId="0" borderId="0" xfId="0" applyFont="1"/>
    <xf numFmtId="193" fontId="19" fillId="0" borderId="0" xfId="0" applyNumberFormat="1" applyFont="1"/>
    <xf numFmtId="190" fontId="19" fillId="0" borderId="0" xfId="218" applyNumberFormat="1" applyFont="1"/>
    <xf numFmtId="190" fontId="19" fillId="0" borderId="0" xfId="0" applyNumberFormat="1" applyFont="1"/>
    <xf numFmtId="0" fontId="69" fillId="0" borderId="0" xfId="0" applyFont="1"/>
    <xf numFmtId="167" fontId="194" fillId="0" borderId="0" xfId="56" applyNumberFormat="1" applyFont="1"/>
    <xf numFmtId="0" fontId="69" fillId="0" borderId="0" xfId="0" applyFont="1" applyAlignment="1">
      <alignment horizontal="center"/>
    </xf>
    <xf numFmtId="0" fontId="69" fillId="0" borderId="11" xfId="0" applyFont="1" applyBorder="1" applyAlignment="1">
      <alignment horizontal="center"/>
    </xf>
    <xf numFmtId="37" fontId="22" fillId="0" borderId="11" xfId="0" applyNumberFormat="1" applyFont="1" applyBorder="1"/>
    <xf numFmtId="10" fontId="19" fillId="46" borderId="11" xfId="218" applyNumberFormat="1" applyFont="1" applyFill="1" applyBorder="1"/>
    <xf numFmtId="43" fontId="22" fillId="0" borderId="0" xfId="0" applyNumberFormat="1" applyFont="1"/>
    <xf numFmtId="167" fontId="22" fillId="0" borderId="0" xfId="66" applyNumberFormat="1" applyFont="1" applyFill="1"/>
    <xf numFmtId="0" fontId="70" fillId="0" borderId="11" xfId="0" quotePrefix="1" applyFont="1" applyBorder="1" applyAlignment="1">
      <alignment horizontal="center"/>
    </xf>
    <xf numFmtId="0" fontId="22" fillId="35" borderId="11" xfId="0" applyFont="1" applyFill="1" applyBorder="1"/>
    <xf numFmtId="167" fontId="22" fillId="35" borderId="0" xfId="66" applyNumberFormat="1" applyFont="1" applyFill="1"/>
    <xf numFmtId="2" fontId="22" fillId="35" borderId="0" xfId="0" applyNumberFormat="1" applyFont="1" applyFill="1"/>
    <xf numFmtId="10" fontId="22" fillId="0" borderId="0" xfId="218" applyNumberFormat="1" applyFont="1"/>
    <xf numFmtId="0" fontId="69" fillId="0" borderId="0" xfId="0" applyFont="1" applyAlignment="1">
      <alignment horizontal="left"/>
    </xf>
    <xf numFmtId="2" fontId="22" fillId="0" borderId="0" xfId="0" applyNumberFormat="1" applyFont="1"/>
    <xf numFmtId="10" fontId="22" fillId="0" borderId="11" xfId="218" applyNumberFormat="1" applyFont="1" applyBorder="1"/>
    <xf numFmtId="0" fontId="22" fillId="28" borderId="11" xfId="0" applyFont="1" applyFill="1" applyBorder="1"/>
    <xf numFmtId="167" fontId="22" fillId="28" borderId="0" xfId="66" applyNumberFormat="1" applyFont="1" applyFill="1"/>
    <xf numFmtId="2" fontId="22" fillId="28" borderId="0" xfId="0" applyNumberFormat="1" applyFont="1" applyFill="1"/>
    <xf numFmtId="180" fontId="22" fillId="0" borderId="0" xfId="218" applyNumberFormat="1" applyFont="1"/>
    <xf numFmtId="180" fontId="22" fillId="0" borderId="0" xfId="0" applyNumberFormat="1" applyFont="1"/>
    <xf numFmtId="167" fontId="22" fillId="0" borderId="11" xfId="66" applyNumberFormat="1" applyFont="1" applyFill="1" applyBorder="1"/>
    <xf numFmtId="43" fontId="22" fillId="0" borderId="0" xfId="66" applyFont="1" applyFill="1" applyBorder="1"/>
    <xf numFmtId="10" fontId="69" fillId="0" borderId="0" xfId="218" applyNumberFormat="1" applyFont="1" applyFill="1"/>
    <xf numFmtId="0" fontId="69" fillId="26" borderId="0" xfId="0" applyFont="1" applyFill="1"/>
    <xf numFmtId="167" fontId="22" fillId="26" borderId="0" xfId="66" applyNumberFormat="1" applyFont="1" applyFill="1"/>
    <xf numFmtId="2" fontId="22" fillId="26" borderId="0" xfId="0" applyNumberFormat="1" applyFont="1" applyFill="1"/>
    <xf numFmtId="0" fontId="69" fillId="35" borderId="0" xfId="0" applyFont="1" applyFill="1"/>
    <xf numFmtId="10" fontId="22" fillId="0" borderId="11" xfId="0" applyNumberFormat="1" applyFont="1" applyBorder="1"/>
    <xf numFmtId="10" fontId="22" fillId="0" borderId="0" xfId="218" applyNumberFormat="1" applyFont="1" applyFill="1"/>
    <xf numFmtId="0" fontId="69" fillId="46" borderId="0" xfId="0" applyFont="1" applyFill="1"/>
    <xf numFmtId="167" fontId="22" fillId="46" borderId="0" xfId="66" applyNumberFormat="1" applyFont="1" applyFill="1"/>
    <xf numFmtId="2" fontId="22" fillId="46" borderId="0" xfId="0" applyNumberFormat="1" applyFont="1" applyFill="1"/>
    <xf numFmtId="0" fontId="148" fillId="0" borderId="0" xfId="0" applyFont="1"/>
    <xf numFmtId="43" fontId="22" fillId="0" borderId="0" xfId="62" applyFont="1" applyFill="1"/>
    <xf numFmtId="0" fontId="69" fillId="28" borderId="0" xfId="0" applyFont="1" applyFill="1"/>
    <xf numFmtId="0" fontId="69" fillId="44" borderId="0" xfId="0" applyFont="1" applyFill="1"/>
    <xf numFmtId="167" fontId="22" fillId="44" borderId="0" xfId="66" applyNumberFormat="1" applyFont="1" applyFill="1"/>
    <xf numFmtId="0" fontId="69" fillId="0" borderId="0" xfId="0" applyFont="1" applyAlignment="1">
      <alignment horizontal="right"/>
    </xf>
    <xf numFmtId="0" fontId="69" fillId="22" borderId="0" xfId="0" applyFont="1" applyFill="1"/>
    <xf numFmtId="167" fontId="22" fillId="22" borderId="0" xfId="66" applyNumberFormat="1" applyFont="1" applyFill="1"/>
    <xf numFmtId="2" fontId="22" fillId="22" borderId="0" xfId="0" applyNumberFormat="1" applyFont="1" applyFill="1"/>
    <xf numFmtId="167" fontId="22" fillId="28" borderId="11" xfId="66" applyNumberFormat="1" applyFont="1" applyFill="1" applyBorder="1"/>
    <xf numFmtId="0" fontId="70" fillId="0" borderId="0" xfId="0" applyFont="1"/>
    <xf numFmtId="2" fontId="69" fillId="0" borderId="0" xfId="0" applyNumberFormat="1" applyFont="1"/>
    <xf numFmtId="10" fontId="22" fillId="0" borderId="17" xfId="218" applyNumberFormat="1" applyFont="1" applyBorder="1"/>
    <xf numFmtId="10" fontId="19" fillId="0" borderId="11" xfId="66" applyNumberFormat="1" applyFont="1" applyFill="1" applyBorder="1"/>
    <xf numFmtId="10" fontId="70" fillId="0" borderId="0" xfId="0" applyNumberFormat="1" applyFont="1"/>
    <xf numFmtId="43" fontId="70" fillId="0" borderId="0" xfId="66" applyFont="1" applyFill="1" applyBorder="1"/>
    <xf numFmtId="167" fontId="19" fillId="0" borderId="0" xfId="66" applyNumberFormat="1" applyFont="1" applyFill="1" applyBorder="1" applyAlignment="1">
      <alignment horizontal="left"/>
    </xf>
    <xf numFmtId="0" fontId="69" fillId="0" borderId="0" xfId="0" applyFont="1" applyAlignment="1">
      <alignment horizontal="left" indent="1"/>
    </xf>
    <xf numFmtId="193" fontId="22" fillId="0" borderId="0" xfId="0" applyNumberFormat="1" applyFont="1"/>
    <xf numFmtId="167" fontId="69" fillId="0" borderId="0" xfId="66" applyNumberFormat="1" applyFont="1" applyFill="1"/>
    <xf numFmtId="0" fontId="22" fillId="0" borderId="0" xfId="0" quotePrefix="1" applyFont="1" applyAlignment="1">
      <alignment horizontal="right"/>
    </xf>
    <xf numFmtId="2" fontId="22" fillId="0" borderId="0" xfId="66" applyNumberFormat="1" applyFont="1" applyFill="1"/>
    <xf numFmtId="37" fontId="3" fillId="0" borderId="0" xfId="0" quotePrefix="1" applyNumberFormat="1" applyFont="1" applyAlignment="1">
      <alignment horizontal="center"/>
    </xf>
    <xf numFmtId="37" fontId="101" fillId="0" borderId="0" xfId="0" applyNumberFormat="1" applyFont="1" applyAlignment="1">
      <alignment horizontal="center" wrapText="1"/>
    </xf>
    <xf numFmtId="167" fontId="101" fillId="0" borderId="0" xfId="60" applyNumberFormat="1" applyFont="1" applyFill="1" applyBorder="1" applyAlignment="1" applyProtection="1">
      <alignment horizontal="right"/>
    </xf>
    <xf numFmtId="167" fontId="101" fillId="0" borderId="0" xfId="60" applyNumberFormat="1" applyFont="1" applyFill="1" applyBorder="1" applyProtection="1"/>
    <xf numFmtId="0" fontId="3" fillId="0" borderId="0" xfId="0" applyFont="1" applyAlignment="1">
      <alignment horizontal="right"/>
    </xf>
    <xf numFmtId="39" fontId="195" fillId="0" borderId="0" xfId="0" applyNumberFormat="1" applyFont="1"/>
    <xf numFmtId="37" fontId="195" fillId="0" borderId="0" xfId="0" applyNumberFormat="1" applyFont="1"/>
    <xf numFmtId="0" fontId="151" fillId="0" borderId="0" xfId="0" applyFont="1"/>
    <xf numFmtId="0" fontId="152" fillId="0" borderId="45" xfId="0" applyFont="1" applyBorder="1"/>
    <xf numFmtId="0" fontId="23" fillId="0" borderId="49" xfId="0" applyFont="1" applyBorder="1"/>
    <xf numFmtId="0" fontId="23" fillId="0" borderId="48" xfId="0" applyFont="1" applyBorder="1"/>
    <xf numFmtId="41" fontId="3" fillId="44" borderId="11" xfId="54" applyNumberFormat="1" applyFont="1" applyFill="1" applyBorder="1" applyProtection="1"/>
    <xf numFmtId="10" fontId="44" fillId="0" borderId="0" xfId="215" applyNumberFormat="1" applyFont="1" applyAlignment="1">
      <alignment horizontal="right"/>
    </xf>
    <xf numFmtId="10" fontId="44" fillId="0" borderId="0" xfId="215" applyNumberFormat="1" applyFont="1" applyFill="1"/>
    <xf numFmtId="188" fontId="44" fillId="0" borderId="0" xfId="156" quotePrefix="1" applyNumberFormat="1" applyFont="1" applyAlignment="1">
      <alignment horizontal="left"/>
    </xf>
    <xf numFmtId="10" fontId="44" fillId="0" borderId="0" xfId="215" applyNumberFormat="1" applyFont="1"/>
    <xf numFmtId="10" fontId="196" fillId="0" borderId="0" xfId="218" applyNumberFormat="1" applyFont="1" applyFill="1" applyAlignment="1"/>
    <xf numFmtId="0" fontId="0" fillId="35" borderId="0" xfId="0" applyFill="1"/>
    <xf numFmtId="0" fontId="149" fillId="54" borderId="10" xfId="245" applyFont="1" applyBorder="1">
      <alignment vertical="center"/>
    </xf>
    <xf numFmtId="194" fontId="189" fillId="36" borderId="57" xfId="0" applyNumberFormat="1" applyFont="1" applyFill="1" applyBorder="1" applyAlignment="1">
      <alignment horizontal="centerContinuous"/>
    </xf>
    <xf numFmtId="0" fontId="189" fillId="36" borderId="17" xfId="0" applyFont="1" applyFill="1" applyBorder="1" applyAlignment="1">
      <alignment horizontal="centerContinuous"/>
    </xf>
    <xf numFmtId="0" fontId="189" fillId="36" borderId="50" xfId="0" applyFont="1" applyFill="1" applyBorder="1" applyAlignment="1">
      <alignment horizontal="centerContinuous"/>
    </xf>
    <xf numFmtId="0" fontId="198" fillId="0" borderId="0" xfId="246" applyFont="1" applyAlignment="1">
      <alignment horizontal="center"/>
    </xf>
    <xf numFmtId="0" fontId="197" fillId="54" borderId="0" xfId="245">
      <alignment vertical="center"/>
    </xf>
    <xf numFmtId="0" fontId="149" fillId="54" borderId="0" xfId="245" applyFont="1">
      <alignment vertical="center"/>
    </xf>
    <xf numFmtId="0" fontId="200" fillId="0" borderId="58" xfId="247" applyFont="1" applyBorder="1">
      <alignment horizontal="center"/>
    </xf>
    <xf numFmtId="196" fontId="200" fillId="29" borderId="59" xfId="248" applyNumberFormat="1" applyAlignment="1">
      <alignment horizontal="center"/>
      <protection locked="0"/>
    </xf>
    <xf numFmtId="196" fontId="200" fillId="0" borderId="0" xfId="249">
      <alignment horizontal="center"/>
    </xf>
    <xf numFmtId="0" fontId="0" fillId="0" borderId="0" xfId="0" applyAlignment="1">
      <alignment horizontal="right"/>
    </xf>
    <xf numFmtId="198" fontId="200" fillId="29" borderId="59" xfId="250" applyNumberFormat="1">
      <protection locked="0"/>
    </xf>
    <xf numFmtId="41" fontId="201" fillId="54" borderId="0" xfId="245" applyNumberFormat="1" applyFont="1">
      <alignment vertical="center"/>
    </xf>
    <xf numFmtId="0" fontId="19" fillId="0" borderId="0" xfId="246"/>
    <xf numFmtId="0" fontId="201" fillId="0" borderId="0" xfId="251">
      <alignment vertical="center"/>
    </xf>
    <xf numFmtId="0" fontId="202" fillId="0" borderId="0" xfId="252" applyAlignment="1">
      <alignment horizontal="right"/>
    </xf>
    <xf numFmtId="0" fontId="200" fillId="0" borderId="0" xfId="247" applyFont="1">
      <alignment horizontal="center"/>
    </xf>
    <xf numFmtId="197" fontId="200" fillId="0" borderId="0" xfId="253" applyAlignment="1">
      <alignment horizontal="center"/>
    </xf>
    <xf numFmtId="0" fontId="202" fillId="0" borderId="0" xfId="252"/>
    <xf numFmtId="0" fontId="203" fillId="55" borderId="0" xfId="254">
      <alignment vertical="center"/>
    </xf>
    <xf numFmtId="0" fontId="204" fillId="56" borderId="0" xfId="255">
      <alignment vertical="center"/>
    </xf>
    <xf numFmtId="0" fontId="150" fillId="0" borderId="0" xfId="0" applyFont="1"/>
    <xf numFmtId="0" fontId="205" fillId="0" borderId="0" xfId="256">
      <alignment horizontal="center"/>
    </xf>
    <xf numFmtId="198" fontId="200" fillId="41" borderId="59" xfId="250" applyNumberFormat="1" applyFill="1">
      <protection locked="0"/>
    </xf>
    <xf numFmtId="198" fontId="200" fillId="41" borderId="61" xfId="250" applyNumberFormat="1" applyFill="1" applyBorder="1">
      <protection locked="0"/>
    </xf>
    <xf numFmtId="198" fontId="198" fillId="0" borderId="10" xfId="253" applyNumberFormat="1" applyFont="1" applyBorder="1"/>
    <xf numFmtId="9" fontId="19" fillId="0" borderId="10" xfId="218" applyFont="1" applyBorder="1" applyAlignment="1">
      <alignment horizontal="left" indent="1"/>
    </xf>
    <xf numFmtId="0" fontId="0" fillId="0" borderId="10" xfId="0" applyBorder="1"/>
    <xf numFmtId="199" fontId="206" fillId="0" borderId="60" xfId="257">
      <alignment horizontal="center" vertical="center"/>
    </xf>
    <xf numFmtId="197" fontId="207" fillId="0" borderId="0" xfId="253" applyFont="1"/>
    <xf numFmtId="0" fontId="201" fillId="0" borderId="0" xfId="251" quotePrefix="1">
      <alignment vertical="center"/>
    </xf>
    <xf numFmtId="0" fontId="208" fillId="0" borderId="0" xfId="0" applyFont="1"/>
    <xf numFmtId="168" fontId="154" fillId="0" borderId="0" xfId="0" applyNumberFormat="1" applyFont="1"/>
    <xf numFmtId="198" fontId="198" fillId="0" borderId="10" xfId="258" applyNumberFormat="1" applyFont="1"/>
    <xf numFmtId="1" fontId="162" fillId="0" borderId="0" xfId="0" applyNumberFormat="1" applyFont="1" applyAlignment="1">
      <alignment horizontal="center"/>
    </xf>
    <xf numFmtId="182" fontId="209" fillId="0" borderId="0" xfId="0" applyNumberFormat="1" applyFont="1"/>
    <xf numFmtId="198" fontId="200" fillId="57" borderId="59" xfId="250" applyNumberFormat="1" applyFill="1">
      <protection locked="0"/>
    </xf>
    <xf numFmtId="0" fontId="0" fillId="22" borderId="0" xfId="0" applyFill="1" applyAlignment="1">
      <alignment horizontal="right"/>
    </xf>
    <xf numFmtId="0" fontId="210" fillId="0" borderId="0" xfId="261">
      <alignment horizontal="left" vertical="center"/>
    </xf>
    <xf numFmtId="0" fontId="210" fillId="0" borderId="0" xfId="261" applyAlignment="1">
      <alignment horizontal="right" vertical="center"/>
    </xf>
    <xf numFmtId="22" fontId="0" fillId="41" borderId="60" xfId="0" applyNumberFormat="1" applyFill="1" applyBorder="1" applyAlignment="1">
      <alignment horizontal="left"/>
    </xf>
    <xf numFmtId="201" fontId="0" fillId="41" borderId="60" xfId="0" applyNumberFormat="1" applyFill="1" applyBorder="1" applyAlignment="1">
      <alignment horizontal="left"/>
    </xf>
    <xf numFmtId="0" fontId="201" fillId="0" borderId="0" xfId="251" applyAlignment="1">
      <alignment horizontal="right" vertical="center"/>
    </xf>
    <xf numFmtId="0" fontId="0" fillId="57" borderId="57" xfId="0" applyFill="1" applyBorder="1"/>
    <xf numFmtId="0" fontId="0" fillId="57" borderId="17" xfId="0" applyFill="1" applyBorder="1"/>
    <xf numFmtId="0" fontId="0" fillId="57" borderId="50" xfId="0" applyFill="1" applyBorder="1"/>
    <xf numFmtId="0" fontId="2" fillId="40" borderId="51" xfId="0" applyFont="1" applyFill="1" applyBorder="1" applyAlignment="1">
      <alignment horizontal="left" vertical="top"/>
    </xf>
    <xf numFmtId="0" fontId="2" fillId="40" borderId="52" xfId="0" applyFont="1" applyFill="1" applyBorder="1" applyAlignment="1">
      <alignment horizontal="left" vertical="top"/>
    </xf>
    <xf numFmtId="168" fontId="152" fillId="29" borderId="0" xfId="54" applyNumberFormat="1" applyFont="1" applyFill="1"/>
    <xf numFmtId="168" fontId="152" fillId="0" borderId="0" xfId="54" applyNumberFormat="1" applyFont="1" applyFill="1"/>
    <xf numFmtId="0" fontId="22" fillId="22" borderId="0" xfId="0" quotePrefix="1" applyFont="1" applyFill="1" applyAlignment="1">
      <alignment horizontal="left" vertical="top"/>
    </xf>
    <xf numFmtId="0" fontId="2" fillId="22" borderId="0" xfId="0" quotePrefix="1" applyFont="1" applyFill="1" applyAlignment="1">
      <alignment horizontal="left" vertical="top"/>
    </xf>
    <xf numFmtId="0" fontId="2" fillId="0" borderId="0" xfId="0" quotePrefix="1" applyFont="1" applyAlignment="1">
      <alignment horizontal="left" vertical="top"/>
    </xf>
    <xf numFmtId="0" fontId="2" fillId="0" borderId="0" xfId="0" applyFont="1" applyAlignment="1">
      <alignment horizontal="left" vertical="top"/>
    </xf>
    <xf numFmtId="0" fontId="2" fillId="35" borderId="0" xfId="157" applyFont="1" applyFill="1"/>
    <xf numFmtId="174" fontId="18" fillId="46" borderId="0" xfId="0" applyNumberFormat="1" applyFont="1" applyFill="1" applyAlignment="1">
      <alignment horizontal="left"/>
    </xf>
    <xf numFmtId="37" fontId="20" fillId="46" borderId="0" xfId="0" applyNumberFormat="1" applyFont="1" applyFill="1" applyProtection="1">
      <protection locked="0"/>
    </xf>
    <xf numFmtId="37" fontId="18" fillId="46" borderId="0" xfId="0" applyNumberFormat="1" applyFont="1" applyFill="1"/>
    <xf numFmtId="39" fontId="18" fillId="46" borderId="0" xfId="0" applyNumberFormat="1" applyFont="1" applyFill="1"/>
    <xf numFmtId="185" fontId="153" fillId="0" borderId="0" xfId="262" applyNumberFormat="1" applyFont="1" applyAlignment="1">
      <alignment horizontal="center"/>
    </xf>
    <xf numFmtId="185" fontId="2" fillId="0" borderId="0" xfId="262" applyNumberFormat="1" applyAlignment="1">
      <alignment horizontal="center"/>
    </xf>
    <xf numFmtId="41" fontId="123" fillId="22" borderId="32" xfId="54" applyNumberFormat="1" applyFont="1" applyFill="1" applyBorder="1" applyProtection="1"/>
    <xf numFmtId="0" fontId="2" fillId="39" borderId="0" xfId="0" quotePrefix="1" applyFont="1" applyFill="1" applyAlignment="1">
      <alignment horizontal="left" vertical="top"/>
    </xf>
    <xf numFmtId="43" fontId="145" fillId="39" borderId="0" xfId="54" applyFont="1" applyFill="1"/>
    <xf numFmtId="41" fontId="175" fillId="37" borderId="0" xfId="60" applyNumberFormat="1" applyFont="1" applyFill="1" applyProtection="1"/>
    <xf numFmtId="41" fontId="3" fillId="37" borderId="0" xfId="60" applyNumberFormat="1" applyFont="1" applyFill="1" applyProtection="1"/>
    <xf numFmtId="41" fontId="3" fillId="37" borderId="27" xfId="54" applyNumberFormat="1" applyFont="1" applyFill="1" applyBorder="1" applyProtection="1"/>
    <xf numFmtId="170" fontId="188" fillId="36" borderId="0" xfId="0" applyNumberFormat="1" applyFont="1" applyFill="1"/>
    <xf numFmtId="165" fontId="23" fillId="37" borderId="0" xfId="0" applyNumberFormat="1" applyFont="1" applyFill="1"/>
    <xf numFmtId="167" fontId="175" fillId="37" borderId="0" xfId="60" applyNumberFormat="1" applyFont="1" applyFill="1" applyProtection="1"/>
    <xf numFmtId="0" fontId="22" fillId="58" borderId="0" xfId="0" quotePrefix="1" applyFont="1" applyFill="1" applyAlignment="1">
      <alignment horizontal="left" vertical="top"/>
    </xf>
    <xf numFmtId="174" fontId="18" fillId="0" borderId="0" xfId="132" applyNumberFormat="1" applyFont="1" applyAlignment="1">
      <alignment horizontal="left"/>
    </xf>
    <xf numFmtId="39" fontId="22" fillId="0" borderId="0" xfId="132" applyNumberFormat="1"/>
    <xf numFmtId="43" fontId="123" fillId="0" borderId="0" xfId="0" applyNumberFormat="1" applyFont="1"/>
    <xf numFmtId="0" fontId="2" fillId="0" borderId="0" xfId="167" applyFont="1"/>
    <xf numFmtId="43" fontId="97" fillId="0" borderId="0" xfId="54" applyFont="1" applyFill="1"/>
    <xf numFmtId="0" fontId="0" fillId="26" borderId="0" xfId="0" applyFill="1" applyAlignment="1">
      <alignment horizontal="left" vertical="top"/>
    </xf>
    <xf numFmtId="0" fontId="22" fillId="26" borderId="0" xfId="0" quotePrefix="1" applyFont="1" applyFill="1" applyAlignment="1">
      <alignment horizontal="left" vertical="top"/>
    </xf>
    <xf numFmtId="186" fontId="0" fillId="26" borderId="51" xfId="0" applyNumberFormat="1" applyFill="1" applyBorder="1" applyAlignment="1">
      <alignment horizontal="right" vertical="top"/>
    </xf>
    <xf numFmtId="186" fontId="0" fillId="26" borderId="52" xfId="0" applyNumberFormat="1" applyFill="1" applyBorder="1" applyAlignment="1">
      <alignment horizontal="right" vertical="top"/>
    </xf>
    <xf numFmtId="43" fontId="0" fillId="26" borderId="0" xfId="54" applyFont="1" applyFill="1"/>
    <xf numFmtId="0" fontId="2" fillId="26" borderId="0" xfId="0" applyFont="1" applyFill="1" applyAlignment="1">
      <alignment horizontal="left" vertical="top"/>
    </xf>
    <xf numFmtId="43" fontId="0" fillId="36" borderId="0" xfId="0" applyNumberFormat="1" applyFill="1"/>
    <xf numFmtId="0" fontId="0" fillId="36" borderId="0" xfId="0" applyFill="1" applyAlignment="1">
      <alignment horizontal="left" vertical="top"/>
    </xf>
    <xf numFmtId="43" fontId="152" fillId="0" borderId="0" xfId="54" applyFont="1" applyFill="1" applyAlignment="1">
      <alignment horizontal="center"/>
    </xf>
    <xf numFmtId="43" fontId="123" fillId="0" borderId="0" xfId="54" applyFont="1"/>
    <xf numFmtId="0" fontId="152" fillId="22" borderId="0" xfId="0" applyFont="1" applyFill="1"/>
    <xf numFmtId="0" fontId="2" fillId="0" borderId="0" xfId="264"/>
    <xf numFmtId="0" fontId="2" fillId="0" borderId="0" xfId="267"/>
    <xf numFmtId="0" fontId="2" fillId="0" borderId="0" xfId="268"/>
    <xf numFmtId="43" fontId="68" fillId="0" borderId="0" xfId="0" applyNumberFormat="1" applyFont="1"/>
    <xf numFmtId="180" fontId="153" fillId="39" borderId="0" xfId="157" applyNumberFormat="1" applyFont="1" applyFill="1" applyAlignment="1">
      <alignment horizontal="center"/>
    </xf>
    <xf numFmtId="41" fontId="3" fillId="39" borderId="0" xfId="54" applyNumberFormat="1" applyFont="1" applyFill="1" applyProtection="1"/>
    <xf numFmtId="0" fontId="2" fillId="0" borderId="0" xfId="157" applyFont="1"/>
    <xf numFmtId="0" fontId="22" fillId="49" borderId="0" xfId="0" applyFont="1" applyFill="1" applyAlignment="1">
      <alignment horizontal="left" wrapText="1"/>
    </xf>
    <xf numFmtId="0" fontId="22" fillId="49" borderId="47" xfId="0" applyFont="1" applyFill="1" applyBorder="1" applyAlignment="1">
      <alignment horizontal="left" wrapText="1"/>
    </xf>
    <xf numFmtId="0" fontId="22" fillId="22" borderId="0" xfId="0" applyFont="1" applyFill="1" applyAlignment="1">
      <alignment horizontal="left" wrapText="1"/>
    </xf>
    <xf numFmtId="17" fontId="152" fillId="0" borderId="10" xfId="0" applyNumberFormat="1" applyFont="1" applyBorder="1" applyAlignment="1">
      <alignment horizontal="center" wrapText="1"/>
    </xf>
    <xf numFmtId="17" fontId="152" fillId="0" borderId="0" xfId="0" applyNumberFormat="1" applyFont="1" applyAlignment="1">
      <alignment horizontal="center" wrapText="1"/>
    </xf>
    <xf numFmtId="17" fontId="152" fillId="0" borderId="44" xfId="0" applyNumberFormat="1" applyFont="1" applyBorder="1" applyAlignment="1">
      <alignment horizontal="center"/>
    </xf>
    <xf numFmtId="0" fontId="152" fillId="0" borderId="45" xfId="0" applyFont="1" applyBorder="1" applyAlignment="1">
      <alignment horizontal="center"/>
    </xf>
    <xf numFmtId="0" fontId="23" fillId="0" borderId="49" xfId="0" applyFont="1" applyBorder="1" applyAlignment="1">
      <alignment horizontal="center"/>
    </xf>
    <xf numFmtId="0" fontId="23" fillId="0" borderId="48" xfId="0" applyFont="1" applyBorder="1" applyAlignment="1">
      <alignment horizontal="center"/>
    </xf>
    <xf numFmtId="0" fontId="163" fillId="0" borderId="40" xfId="0" applyFont="1" applyBorder="1" applyAlignment="1">
      <alignment horizontal="center"/>
    </xf>
    <xf numFmtId="0" fontId="163" fillId="0" borderId="41" xfId="0" applyFont="1" applyBorder="1" applyAlignment="1">
      <alignment horizontal="center"/>
    </xf>
    <xf numFmtId="0" fontId="163" fillId="0" borderId="42" xfId="0" applyFont="1" applyBorder="1" applyAlignment="1">
      <alignment horizontal="center"/>
    </xf>
    <xf numFmtId="0" fontId="194" fillId="0" borderId="19" xfId="0" applyFont="1" applyBorder="1" applyAlignment="1">
      <alignment horizontal="center"/>
    </xf>
    <xf numFmtId="0" fontId="194" fillId="0" borderId="0" xfId="0" applyFont="1" applyAlignment="1">
      <alignment horizontal="center"/>
    </xf>
    <xf numFmtId="0" fontId="194" fillId="0" borderId="14" xfId="0" applyFont="1" applyBorder="1" applyAlignment="1">
      <alignment horizontal="center"/>
    </xf>
    <xf numFmtId="0" fontId="67" fillId="0" borderId="0" xfId="0" applyFont="1" applyAlignment="1">
      <alignment horizontal="center"/>
    </xf>
    <xf numFmtId="37" fontId="103" fillId="0" borderId="0" xfId="0" applyNumberFormat="1" applyFont="1" applyAlignment="1">
      <alignment horizontal="center" wrapText="1"/>
    </xf>
    <xf numFmtId="169" fontId="121" fillId="0" borderId="0" xfId="0" applyNumberFormat="1" applyFont="1" applyAlignment="1">
      <alignment horizontal="center"/>
    </xf>
    <xf numFmtId="0" fontId="8" fillId="0" borderId="0" xfId="0" applyFont="1" applyAlignment="1">
      <alignment horizontal="center"/>
    </xf>
    <xf numFmtId="37" fontId="121" fillId="0" borderId="0" xfId="0" applyNumberFormat="1" applyFont="1" applyAlignment="1">
      <alignment horizontal="center"/>
    </xf>
    <xf numFmtId="37" fontId="101" fillId="0" borderId="0" xfId="0" applyNumberFormat="1" applyFont="1" applyAlignment="1">
      <alignment horizontal="center" wrapText="1"/>
    </xf>
    <xf numFmtId="0" fontId="69" fillId="0" borderId="0" xfId="0" applyFont="1" applyAlignment="1">
      <alignment vertical="top" wrapText="1"/>
    </xf>
    <xf numFmtId="0" fontId="0" fillId="0" borderId="0" xfId="0" applyAlignment="1">
      <alignment vertical="top" wrapText="1"/>
    </xf>
    <xf numFmtId="187" fontId="29" fillId="0" borderId="0" xfId="156" quotePrefix="1" applyNumberFormat="1" applyFont="1" applyAlignment="1">
      <alignment horizontal="center"/>
    </xf>
    <xf numFmtId="187" fontId="29" fillId="0" borderId="0" xfId="156" applyNumberFormat="1" applyFont="1" applyAlignment="1">
      <alignment horizontal="center"/>
    </xf>
    <xf numFmtId="169" fontId="29" fillId="0" borderId="0" xfId="0" applyNumberFormat="1" applyFont="1" applyAlignment="1">
      <alignment horizontal="center"/>
    </xf>
    <xf numFmtId="37" fontId="44" fillId="0" borderId="0" xfId="156" applyNumberFormat="1" applyFont="1" applyAlignment="1">
      <alignment horizontal="right"/>
    </xf>
    <xf numFmtId="0" fontId="69" fillId="0" borderId="0" xfId="156" applyFont="1" applyAlignment="1">
      <alignment horizontal="left" vertical="top" wrapText="1"/>
    </xf>
    <xf numFmtId="0" fontId="29" fillId="0" borderId="0" xfId="0" applyFont="1" applyAlignment="1">
      <alignment horizontal="center"/>
    </xf>
    <xf numFmtId="169" fontId="29" fillId="0" borderId="0" xfId="0" quotePrefix="1" applyNumberFormat="1" applyFont="1" applyAlignment="1">
      <alignment horizontal="center"/>
    </xf>
    <xf numFmtId="17" fontId="8" fillId="0" borderId="0" xfId="0" quotePrefix="1" applyNumberFormat="1" applyFont="1" applyAlignment="1">
      <alignment horizontal="center" wrapText="1"/>
    </xf>
    <xf numFmtId="0" fontId="121" fillId="0" borderId="0" xfId="0" applyFont="1" applyAlignment="1">
      <alignment horizontal="center"/>
    </xf>
  </cellXfs>
  <cellStyles count="270">
    <cellStyle name="_2006 Budget FINAL for CASH FLOW" xfId="1"/>
    <cellStyle name="_2007 Budget  FINAL 01_15_07 w. tax" xfId="2"/>
    <cellStyle name="_2008 Reforecast 0+12  03.14.08" xfId="3"/>
    <cellStyle name="_2008_ACCT 17103" xfId="4"/>
    <cellStyle name="_2008_ACCT 17103 2" xfId="5"/>
    <cellStyle name="_2008_ACCT 17103 2 2" xfId="6"/>
    <cellStyle name="_2008_ACCT 17103 2 3" xfId="7"/>
    <cellStyle name="_2008_ACCT 17103 3" xfId="8"/>
    <cellStyle name="_2008_ACCT 17103 4" xfId="9"/>
    <cellStyle name="_2008_ACCT 17103 5" xfId="10"/>
    <cellStyle name="_2009 Budget 5_02_08  FINAL" xfId="11"/>
    <cellStyle name="_Balance Sheet 0809" xfId="12"/>
    <cellStyle name="_Reformatted Cash Flow Consolidation 0706" xfId="13"/>
    <cellStyle name="_Reformatted Cash Flow Consolidation 0706 2" xfId="14"/>
    <cellStyle name="_Reformatted Cash Flow Consolidation 0706 2 2" xfId="15"/>
    <cellStyle name="_Reformatted Cash Flow Consolidation 0706 2 3" xfId="16"/>
    <cellStyle name="_Reformatted Cash Flow Consolidation 0706 3" xfId="17"/>
    <cellStyle name="_Reformatted Cash Flow Consolidation 0706 4" xfId="18"/>
    <cellStyle name="_Reformatted Cash Flow Consolidation 0706 5" xfId="19"/>
    <cellStyle name="_Reformatted Cash Flow Consolidation 0906" xfId="20"/>
    <cellStyle name="_Reformatted Cash Flow Consolidation 0906 2" xfId="21"/>
    <cellStyle name="_Reformatted Cash Flow Consolidation 0906 2 2" xfId="22"/>
    <cellStyle name="_Reformatted Cash Flow Consolidation 0906 2 3" xfId="23"/>
    <cellStyle name="_Reformatted Cash Flow Consolidation 0906 3" xfId="24"/>
    <cellStyle name="_Reformatted Cash Flow Consolidation 0906 4" xfId="25"/>
    <cellStyle name="_Reformatted Cash Flow Consolidation 0906 5" xfId="26"/>
    <cellStyle name="1. CALC Amount" xfId="253"/>
    <cellStyle name="1. CALC Amount Total" xfId="258"/>
    <cellStyle name="1. DATA Amount" xfId="250"/>
    <cellStyle name="2. CALC Percent" xfId="260"/>
    <cellStyle name="20% - Accent1" xfId="27" builtinId="30" customBuiltin="1"/>
    <cellStyle name="20% - Accent2" xfId="28" builtinId="34" customBuiltin="1"/>
    <cellStyle name="20% - Accent3" xfId="29" builtinId="38" customBuiltin="1"/>
    <cellStyle name="20% - Accent4" xfId="30" builtinId="42" customBuiltin="1"/>
    <cellStyle name="20% - Accent5" xfId="31" builtinId="46" customBuiltin="1"/>
    <cellStyle name="20% - Accent6" xfId="32" builtinId="50" customBuiltin="1"/>
    <cellStyle name="3. DATA Date Short" xfId="248"/>
    <cellStyle name="40% - Accent1" xfId="33" builtinId="31" customBuiltin="1"/>
    <cellStyle name="40% - Accent2" xfId="34" builtinId="35" customBuiltin="1"/>
    <cellStyle name="40% - Accent3" xfId="35" builtinId="39" customBuiltin="1"/>
    <cellStyle name="40% - Accent4" xfId="36" builtinId="43" customBuiltin="1"/>
    <cellStyle name="40% - Accent5" xfId="37" builtinId="47" customBuiltin="1"/>
    <cellStyle name="40% - Accent6" xfId="38" builtinId="51" customBuiltin="1"/>
    <cellStyle name="60% - Accent1" xfId="39" builtinId="32" customBuiltin="1"/>
    <cellStyle name="60% - Accent2" xfId="40" builtinId="36" customBuiltin="1"/>
    <cellStyle name="60% - Accent3" xfId="41" builtinId="40" customBuiltin="1"/>
    <cellStyle name="60% - Accent4" xfId="42" builtinId="44" customBuiltin="1"/>
    <cellStyle name="60% - Accent5" xfId="43" builtinId="48" customBuiltin="1"/>
    <cellStyle name="60% - Accent6" xfId="44" builtinId="52" customBuiltin="1"/>
    <cellStyle name="Accent1" xfId="45" builtinId="29" customBuiltin="1"/>
    <cellStyle name="Accent2" xfId="46" builtinId="33" customBuiltin="1"/>
    <cellStyle name="Accent3" xfId="47" builtinId="37" customBuiltin="1"/>
    <cellStyle name="Accent4" xfId="48" builtinId="41" customBuiltin="1"/>
    <cellStyle name="Accent5" xfId="49" builtinId="45" customBuiltin="1"/>
    <cellStyle name="Accent6" xfId="50" builtinId="49" customBuiltin="1"/>
    <cellStyle name="Bad" xfId="51" builtinId="27" customBuiltin="1"/>
    <cellStyle name="Calculation" xfId="52" builtinId="22" customBuiltin="1"/>
    <cellStyle name="Check" xfId="257"/>
    <cellStyle name="Check Cell" xfId="53" builtinId="23" customBuiltin="1"/>
    <cellStyle name="Comma" xfId="54" builtinId="3"/>
    <cellStyle name="Comma 10" xfId="55"/>
    <cellStyle name="Comma 10 2" xfId="56"/>
    <cellStyle name="Comma 10 2 2" xfId="57"/>
    <cellStyle name="Comma 11" xfId="58"/>
    <cellStyle name="Comma 2" xfId="59"/>
    <cellStyle name="Comma 2 2" xfId="60"/>
    <cellStyle name="Comma 2 2 2" xfId="61"/>
    <cellStyle name="Comma 2 2 2 2" xfId="62"/>
    <cellStyle name="Comma 2 2 3" xfId="63"/>
    <cellStyle name="Comma 2 3" xfId="64"/>
    <cellStyle name="Comma 2 3 2" xfId="65"/>
    <cellStyle name="Comma 2 33" xfId="66"/>
    <cellStyle name="Comma 2 4" xfId="67"/>
    <cellStyle name="Comma 2 5" xfId="68"/>
    <cellStyle name="Comma 2 6" xfId="69"/>
    <cellStyle name="Comma 3" xfId="70"/>
    <cellStyle name="Comma 3 2" xfId="71"/>
    <cellStyle name="Comma 3 3" xfId="72"/>
    <cellStyle name="Comma 3 4" xfId="73"/>
    <cellStyle name="Comma 4" xfId="74"/>
    <cellStyle name="Comma 4 2" xfId="75"/>
    <cellStyle name="Comma 4 3" xfId="76"/>
    <cellStyle name="Comma 5" xfId="77"/>
    <cellStyle name="Comma 5 2" xfId="78"/>
    <cellStyle name="Comma 5 3" xfId="79"/>
    <cellStyle name="Comma 6" xfId="80"/>
    <cellStyle name="Comma 6 2" xfId="81"/>
    <cellStyle name="Comma 7" xfId="82"/>
    <cellStyle name="Comma 8" xfId="83"/>
    <cellStyle name="Comma 9" xfId="84"/>
    <cellStyle name="Comma0" xfId="85"/>
    <cellStyle name="Currency" xfId="86" builtinId="4"/>
    <cellStyle name="Currency 2" xfId="87"/>
    <cellStyle name="Currency 2 2" xfId="88"/>
    <cellStyle name="Currency 2 2 2" xfId="89"/>
    <cellStyle name="Currency 2 3" xfId="90"/>
    <cellStyle name="Currency 2 3 2" xfId="91"/>
    <cellStyle name="Currency 2 3 3" xfId="92"/>
    <cellStyle name="Currency 2 4" xfId="93"/>
    <cellStyle name="Currency 2 5" xfId="94"/>
    <cellStyle name="Currency 2 6" xfId="95"/>
    <cellStyle name="Currency 3" xfId="96"/>
    <cellStyle name="Currency 3 2" xfId="97"/>
    <cellStyle name="Currency 3 3" xfId="98"/>
    <cellStyle name="Currency 4" xfId="99"/>
    <cellStyle name="Currency 4 2" xfId="100"/>
    <cellStyle name="Currency 5" xfId="101"/>
    <cellStyle name="Currency 5 2" xfId="102"/>
    <cellStyle name="Currency 5 3" xfId="103"/>
    <cellStyle name="Currency 6" xfId="104"/>
    <cellStyle name="Currency 7" xfId="105"/>
    <cellStyle name="Currency 8" xfId="106"/>
    <cellStyle name="Currency0" xfId="107"/>
    <cellStyle name="Date" xfId="108"/>
    <cellStyle name="Date 2" xfId="109"/>
    <cellStyle name="Date 2 2" xfId="110"/>
    <cellStyle name="Date 3" xfId="111"/>
    <cellStyle name="Date 3 2" xfId="112"/>
    <cellStyle name="Date 3 3" xfId="113"/>
    <cellStyle name="Date 4" xfId="114"/>
    <cellStyle name="Date 5" xfId="115"/>
    <cellStyle name="Date 6" xfId="116"/>
    <cellStyle name="Explanatory Text" xfId="117" builtinId="53" customBuiltin="1"/>
    <cellStyle name="Fixed" xfId="118"/>
    <cellStyle name="FRxAmtStyle" xfId="119"/>
    <cellStyle name="Good" xfId="120" builtinId="26" customBuiltin="1"/>
    <cellStyle name="HEADER" xfId="245"/>
    <cellStyle name="Heading 1" xfId="121" builtinId="16" customBuiltin="1"/>
    <cellStyle name="Heading 2" xfId="122" builtinId="17" customBuiltin="1"/>
    <cellStyle name="Heading 3" xfId="123" builtinId="18" customBuiltin="1"/>
    <cellStyle name="Heading 4" xfId="124" builtinId="19" customBuiltin="1"/>
    <cellStyle name="HEADING: 1" xfId="254"/>
    <cellStyle name="HEADING: 2" xfId="255"/>
    <cellStyle name="HEADING: 3" xfId="246"/>
    <cellStyle name="Hyperlink 2" xfId="125"/>
    <cellStyle name="Input" xfId="126" builtinId="20" customBuiltin="1"/>
    <cellStyle name="LABEL Name" xfId="251"/>
    <cellStyle name="LABEL Note" xfId="252"/>
    <cellStyle name="LABEL Numbered" xfId="261"/>
    <cellStyle name="LABEL Units" xfId="256"/>
    <cellStyle name="Linked Cell" xfId="127" builtinId="24" customBuiltin="1"/>
    <cellStyle name="Model Inputs" xfId="259"/>
    <cellStyle name="Neutral" xfId="128" builtinId="28" customBuiltin="1"/>
    <cellStyle name="Normal" xfId="0" builtinId="0"/>
    <cellStyle name="Normal 10" xfId="129"/>
    <cellStyle name="Normal 10 2" xfId="130"/>
    <cellStyle name="Normal 10 2 2" xfId="131"/>
    <cellStyle name="Normal 10 2 2 7" xfId="132"/>
    <cellStyle name="Normal 10 3" xfId="133"/>
    <cellStyle name="Normal 11" xfId="134"/>
    <cellStyle name="Normal 11 2" xfId="135"/>
    <cellStyle name="Normal 11 2 2" xfId="136"/>
    <cellStyle name="Normal 11 2 3" xfId="137"/>
    <cellStyle name="Normal 11 3" xfId="138"/>
    <cellStyle name="Normal 11 3 2" xfId="139"/>
    <cellStyle name="Normal 11 4" xfId="140"/>
    <cellStyle name="Normal 11 5" xfId="141"/>
    <cellStyle name="Normal 12" xfId="142"/>
    <cellStyle name="Normal 12 2" xfId="143"/>
    <cellStyle name="Normal 12 3" xfId="144"/>
    <cellStyle name="Normal 13" xfId="145"/>
    <cellStyle name="Normal 13 2" xfId="146"/>
    <cellStyle name="Normal 13 3" xfId="147"/>
    <cellStyle name="Normal 14" xfId="148"/>
    <cellStyle name="Normal 14 2" xfId="149"/>
    <cellStyle name="Normal 15" xfId="150"/>
    <cellStyle name="Normal 16" xfId="151"/>
    <cellStyle name="Normal 16 20" xfId="268"/>
    <cellStyle name="Normal 17" xfId="152"/>
    <cellStyle name="Normal 18" xfId="153"/>
    <cellStyle name="Normal 19" xfId="154"/>
    <cellStyle name="Normal 2" xfId="155"/>
    <cellStyle name="Normal 2 10" xfId="156"/>
    <cellStyle name="Normal 2 2" xfId="157"/>
    <cellStyle name="Normal 2 2 2" xfId="158"/>
    <cellStyle name="Normal 2 2 2 2" xfId="159"/>
    <cellStyle name="Normal 2 2 2 2 2" xfId="160"/>
    <cellStyle name="Normal 2 2 2 2 3" xfId="161"/>
    <cellStyle name="Normal 2 2 2 3" xfId="162"/>
    <cellStyle name="Normal 2 2 3" xfId="163"/>
    <cellStyle name="Normal 2 2 3 2" xfId="164"/>
    <cellStyle name="Normal 2 2 4" xfId="165"/>
    <cellStyle name="Normal 2 2 5" xfId="166"/>
    <cellStyle name="Normal 2 2 6" xfId="264"/>
    <cellStyle name="Normal 2 2 8" xfId="167"/>
    <cellStyle name="Normal 2 2 8 2" xfId="267"/>
    <cellStyle name="Normal 2 3" xfId="168"/>
    <cellStyle name="Normal 2 3 2" xfId="169"/>
    <cellStyle name="Normal 2 3 3" xfId="170"/>
    <cellStyle name="Normal 2 3 4" xfId="171"/>
    <cellStyle name="Normal 2 4" xfId="172"/>
    <cellStyle name="Normal 2 5" xfId="173"/>
    <cellStyle name="Normal 2_Cash Flows w.o FAS 95" xfId="174"/>
    <cellStyle name="Normal 20" xfId="175"/>
    <cellStyle name="Normal 21" xfId="176"/>
    <cellStyle name="Normal 22" xfId="177"/>
    <cellStyle name="Normal 23" xfId="262"/>
    <cellStyle name="Normal 24" xfId="263"/>
    <cellStyle name="Normal 25" xfId="265"/>
    <cellStyle name="Normal 26" xfId="269"/>
    <cellStyle name="Normal 27" xfId="266"/>
    <cellStyle name="Normal 3" xfId="178"/>
    <cellStyle name="Normal 3 2" xfId="179"/>
    <cellStyle name="Normal 3 2 2" xfId="180"/>
    <cellStyle name="Normal 3 2 3" xfId="181"/>
    <cellStyle name="Normal 3 3" xfId="182"/>
    <cellStyle name="Normal 3 4" xfId="183"/>
    <cellStyle name="Normal 3_Cash Flows w.o FAS 95" xfId="184"/>
    <cellStyle name="Normal 4" xfId="185"/>
    <cellStyle name="Normal 4 2" xfId="186"/>
    <cellStyle name="Normal 4 3" xfId="187"/>
    <cellStyle name="Normal 5" xfId="188"/>
    <cellStyle name="Normal 5 2" xfId="189"/>
    <cellStyle name="Normal 5 2 2" xfId="190"/>
    <cellStyle name="Normal 5 3" xfId="191"/>
    <cellStyle name="Normal 6" xfId="192"/>
    <cellStyle name="Normal 6 2" xfId="193"/>
    <cellStyle name="Normal 6 2 2" xfId="194"/>
    <cellStyle name="Normal 6 3" xfId="195"/>
    <cellStyle name="Normal 6 4" xfId="196"/>
    <cellStyle name="Normal 6 5" xfId="197"/>
    <cellStyle name="Normal 7" xfId="198"/>
    <cellStyle name="Normal 7 2" xfId="199"/>
    <cellStyle name="Normal 7 3" xfId="200"/>
    <cellStyle name="Normal 8" xfId="201"/>
    <cellStyle name="Normal 8 2" xfId="202"/>
    <cellStyle name="Normal 8 2 2" xfId="203"/>
    <cellStyle name="Normal 8 3" xfId="204"/>
    <cellStyle name="Normal 9" xfId="205"/>
    <cellStyle name="Normal 9 2" xfId="206"/>
    <cellStyle name="Normal 9 2 2" xfId="207"/>
    <cellStyle name="Normal 9 2 3" xfId="208"/>
    <cellStyle name="Normal 9 3" xfId="209"/>
    <cellStyle name="Normal 9 3 2" xfId="210"/>
    <cellStyle name="Normal 9 4" xfId="211"/>
    <cellStyle name="Normal 9 5" xfId="212"/>
    <cellStyle name="Note" xfId="213" builtinId="10" customBuiltin="1"/>
    <cellStyle name="Output" xfId="214" builtinId="21" customBuiltin="1"/>
    <cellStyle name="Percent" xfId="215" builtinId="5"/>
    <cellStyle name="Percent 2" xfId="216"/>
    <cellStyle name="Percent 2 2" xfId="217"/>
    <cellStyle name="Percent 2 2 2" xfId="218"/>
    <cellStyle name="Percent 2 3" xfId="219"/>
    <cellStyle name="Percent 2 4" xfId="220"/>
    <cellStyle name="Percent 2 5" xfId="221"/>
    <cellStyle name="Percent 3" xfId="222"/>
    <cellStyle name="Percent 3 2" xfId="223"/>
    <cellStyle name="Percent 4" xfId="224"/>
    <cellStyle name="Percent 4 2" xfId="225"/>
    <cellStyle name="Percent 5" xfId="226"/>
    <cellStyle name="Percent 6" xfId="227"/>
    <cellStyle name="Percent 7" xfId="228"/>
    <cellStyle name="Style 1" xfId="229"/>
    <cellStyle name="Style 1 2" xfId="230"/>
    <cellStyle name="Style 1 2 2" xfId="231"/>
    <cellStyle name="Style 1 2 3" xfId="232"/>
    <cellStyle name="Style 1 3" xfId="233"/>
    <cellStyle name="Style 1 4" xfId="234"/>
    <cellStyle name="Style 1 5" xfId="235"/>
    <cellStyle name="Style 1 6" xfId="236"/>
    <cellStyle name="Style 1_Sheet3" xfId="237"/>
    <cellStyle name="STYLE1" xfId="238"/>
    <cellStyle name="STYLE2" xfId="239"/>
    <cellStyle name="STYLE3" xfId="240"/>
    <cellStyle name="STYLE4" xfId="241"/>
    <cellStyle name="TIME Detail" xfId="247"/>
    <cellStyle name="TIME Period Start" xfId="249"/>
    <cellStyle name="Title" xfId="242" builtinId="15" customBuiltin="1"/>
    <cellStyle name="Total" xfId="243" builtinId="25" customBuiltin="1"/>
    <cellStyle name="Warning Text" xfId="244" builtinId="11" customBuiltin="1"/>
  </cellStyles>
  <dxfs count="24">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color auto="1"/>
      </font>
      <fill>
        <patternFill>
          <bgColor theme="0" tint="-0.14996795556505021"/>
        </patternFill>
      </fill>
    </dxf>
    <dxf>
      <font>
        <color theme="0"/>
      </font>
      <fill>
        <patternFill>
          <bgColor theme="0" tint="-0.34998626667073579"/>
        </patternFill>
      </fill>
    </dxf>
    <dxf>
      <font>
        <b/>
        <i val="0"/>
      </font>
      <fill>
        <patternFill>
          <bgColor theme="0" tint="-0.34998626667073579"/>
        </patternFill>
      </fill>
    </dxf>
    <dxf>
      <font>
        <b/>
        <i val="0"/>
        <color theme="1"/>
      </font>
      <fill>
        <patternFill>
          <bgColor rgb="FF92D050"/>
        </patternFill>
      </fill>
    </dxf>
    <dxf>
      <font>
        <color auto="1"/>
      </font>
      <fill>
        <patternFill>
          <bgColor theme="0" tint="-0.14996795556505021"/>
        </patternFill>
      </fill>
    </dxf>
    <dxf>
      <font>
        <color theme="0"/>
      </font>
      <fill>
        <patternFill>
          <bgColor theme="0" tint="-0.3499862666707357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theme" Target="theme/theme1.xml"/><Relationship Id="rId50"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3</xdr:row>
          <xdr:rowOff>66675</xdr:rowOff>
        </xdr:from>
        <xdr:to>
          <xdr:col>2</xdr:col>
          <xdr:colOff>1685925</xdr:colOff>
          <xdr:row>5</xdr:row>
          <xdr:rowOff>104775</xdr:rowOff>
        </xdr:to>
        <xdr:sp macro="" textlink="">
          <xdr:nvSpPr>
            <xdr:cNvPr id="124929" name="Button 1" hidden="1">
              <a:extLst>
                <a:ext uri="{63B3BB69-23CF-44E3-9099-C40C66FF867C}">
                  <a14:compatExt spid="_x0000_s124929"/>
                </a:ext>
                <a:ext uri="{FF2B5EF4-FFF2-40B4-BE49-F238E27FC236}">
                  <a16:creationId xmlns:a16="http://schemas.microsoft.com/office/drawing/2014/main" id="{00000000-0008-0000-0000-000001E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a:cs typeface="Arial"/>
                </a:rPr>
                <a:t>COPY INTERFACE</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160</xdr:col>
      <xdr:colOff>91440</xdr:colOff>
      <xdr:row>52</xdr:row>
      <xdr:rowOff>28575</xdr:rowOff>
    </xdr:from>
    <xdr:to>
      <xdr:col>178</xdr:col>
      <xdr:colOff>440053</xdr:colOff>
      <xdr:row>72</xdr:row>
      <xdr:rowOff>101600</xdr:rowOff>
    </xdr:to>
    <xdr:pic>
      <xdr:nvPicPr>
        <xdr:cNvPr id="111322" name="Picture 1">
          <a:extLst>
            <a:ext uri="{FF2B5EF4-FFF2-40B4-BE49-F238E27FC236}">
              <a16:creationId xmlns:a16="http://schemas.microsoft.com/office/drawing/2014/main" id="{00000000-0008-0000-0300-0000DAB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123390" y="8505825"/>
          <a:ext cx="11483340"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159</xdr:col>
      <xdr:colOff>358589</xdr:colOff>
      <xdr:row>74</xdr:row>
      <xdr:rowOff>145677</xdr:rowOff>
    </xdr:from>
    <xdr:to>
      <xdr:col>170</xdr:col>
      <xdr:colOff>470650</xdr:colOff>
      <xdr:row>94</xdr:row>
      <xdr:rowOff>26049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26849295" y="11822206"/>
          <a:ext cx="7152530" cy="3021194"/>
        </a:xfrm>
        <a:prstGeom prst="rect">
          <a:avLst/>
        </a:prstGeom>
      </xdr:spPr>
    </xdr:pic>
    <xdr:clientData/>
  </xdr:twoCellAnchor>
  <xdr:twoCellAnchor editAs="oneCell">
    <xdr:from>
      <xdr:col>173</xdr:col>
      <xdr:colOff>179294</xdr:colOff>
      <xdr:row>72</xdr:row>
      <xdr:rowOff>145676</xdr:rowOff>
    </xdr:from>
    <xdr:to>
      <xdr:col>187</xdr:col>
      <xdr:colOff>200450</xdr:colOff>
      <xdr:row>90</xdr:row>
      <xdr:rowOff>85952</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stretch>
          <a:fillRect/>
        </a:stretch>
      </xdr:blipFill>
      <xdr:spPr>
        <a:xfrm>
          <a:off x="35309735" y="11508441"/>
          <a:ext cx="8489628" cy="2767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134</xdr:col>
      <xdr:colOff>2948940</xdr:colOff>
      <xdr:row>28</xdr:row>
      <xdr:rowOff>1112520</xdr:rowOff>
    </xdr:from>
    <xdr:to>
      <xdr:col>143</xdr:col>
      <xdr:colOff>0</xdr:colOff>
      <xdr:row>47</xdr:row>
      <xdr:rowOff>47999</xdr:rowOff>
    </xdr:to>
    <xdr:pic>
      <xdr:nvPicPr>
        <xdr:cNvPr id="121192" name="Picture 1">
          <a:extLst>
            <a:ext uri="{FF2B5EF4-FFF2-40B4-BE49-F238E27FC236}">
              <a16:creationId xmlns:a16="http://schemas.microsoft.com/office/drawing/2014/main" id="{00000000-0008-0000-0400-000068D9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82900" y="5166360"/>
          <a:ext cx="6416040" cy="313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134</xdr:col>
      <xdr:colOff>2948940</xdr:colOff>
      <xdr:row>70</xdr:row>
      <xdr:rowOff>152400</xdr:rowOff>
    </xdr:from>
    <xdr:to>
      <xdr:col>142</xdr:col>
      <xdr:colOff>181610</xdr:colOff>
      <xdr:row>94</xdr:row>
      <xdr:rowOff>9524</xdr:rowOff>
    </xdr:to>
    <xdr:pic>
      <xdr:nvPicPr>
        <xdr:cNvPr id="121193" name="Picture 3">
          <a:extLst>
            <a:ext uri="{FF2B5EF4-FFF2-40B4-BE49-F238E27FC236}">
              <a16:creationId xmlns:a16="http://schemas.microsoft.com/office/drawing/2014/main" id="{00000000-0008-0000-0400-000069D9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82900" y="8458200"/>
          <a:ext cx="5524500" cy="439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143</xdr:col>
      <xdr:colOff>396240</xdr:colOff>
      <xdr:row>28</xdr:row>
      <xdr:rowOff>0</xdr:rowOff>
    </xdr:from>
    <xdr:to>
      <xdr:col>161</xdr:col>
      <xdr:colOff>1996440</xdr:colOff>
      <xdr:row>73</xdr:row>
      <xdr:rowOff>701040</xdr:rowOff>
    </xdr:to>
    <xdr:pic>
      <xdr:nvPicPr>
        <xdr:cNvPr id="121194" name="Picture 4">
          <a:extLst>
            <a:ext uri="{FF2B5EF4-FFF2-40B4-BE49-F238E27FC236}">
              <a16:creationId xmlns:a16="http://schemas.microsoft.com/office/drawing/2014/main" id="{00000000-0008-0000-0400-00006AD9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395180" y="4998720"/>
          <a:ext cx="11224260" cy="406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143</xdr:col>
      <xdr:colOff>586740</xdr:colOff>
      <xdr:row>74</xdr:row>
      <xdr:rowOff>373380</xdr:rowOff>
    </xdr:from>
    <xdr:to>
      <xdr:col>160</xdr:col>
      <xdr:colOff>1653540</xdr:colOff>
      <xdr:row>104</xdr:row>
      <xdr:rowOff>541020</xdr:rowOff>
    </xdr:to>
    <xdr:pic>
      <xdr:nvPicPr>
        <xdr:cNvPr id="121195" name="Picture 5">
          <a:extLst>
            <a:ext uri="{FF2B5EF4-FFF2-40B4-BE49-F238E27FC236}">
              <a16:creationId xmlns:a16="http://schemas.microsoft.com/office/drawing/2014/main" id="{00000000-0008-0000-0400-00006BD9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585680" y="9258300"/>
          <a:ext cx="10424160" cy="544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152400</xdr:colOff>
      <xdr:row>6</xdr:row>
      <xdr:rowOff>161925</xdr:rowOff>
    </xdr:from>
    <xdr:to>
      <xdr:col>27</xdr:col>
      <xdr:colOff>125729</xdr:colOff>
      <xdr:row>262</xdr:row>
      <xdr:rowOff>158115</xdr:rowOff>
    </xdr:to>
    <xdr:pic>
      <xdr:nvPicPr>
        <xdr:cNvPr id="119097" name="Picture 1">
          <a:extLst>
            <a:ext uri="{FF2B5EF4-FFF2-40B4-BE49-F238E27FC236}">
              <a16:creationId xmlns:a16="http://schemas.microsoft.com/office/drawing/2014/main" id="{00000000-0008-0000-0800-000039D1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06775" y="1314450"/>
          <a:ext cx="4888230" cy="477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906780</xdr:colOff>
      <xdr:row>230</xdr:row>
      <xdr:rowOff>45720</xdr:rowOff>
    </xdr:from>
    <xdr:to>
      <xdr:col>16</xdr:col>
      <xdr:colOff>594360</xdr:colOff>
      <xdr:row>269</xdr:row>
      <xdr:rowOff>70485</xdr:rowOff>
    </xdr:to>
    <xdr:pic>
      <xdr:nvPicPr>
        <xdr:cNvPr id="119098" name="Picture 2">
          <a:extLst>
            <a:ext uri="{FF2B5EF4-FFF2-40B4-BE49-F238E27FC236}">
              <a16:creationId xmlns:a16="http://schemas.microsoft.com/office/drawing/2014/main" id="{00000000-0008-0000-0800-00003AD1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11540" y="46276260"/>
          <a:ext cx="5181600" cy="482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914400</xdr:colOff>
      <xdr:row>255</xdr:row>
      <xdr:rowOff>167640</xdr:rowOff>
    </xdr:from>
    <xdr:to>
      <xdr:col>16</xdr:col>
      <xdr:colOff>518160</xdr:colOff>
      <xdr:row>281</xdr:row>
      <xdr:rowOff>19050</xdr:rowOff>
    </xdr:to>
    <xdr:pic>
      <xdr:nvPicPr>
        <xdr:cNvPr id="119099" name="Picture 3">
          <a:extLst>
            <a:ext uri="{FF2B5EF4-FFF2-40B4-BE49-F238E27FC236}">
              <a16:creationId xmlns:a16="http://schemas.microsoft.com/office/drawing/2014/main" id="{00000000-0008-0000-0800-00003BD1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19160" y="51160680"/>
          <a:ext cx="5097780" cy="477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borfs\PGS_CORP\VOL1\SHARDATA\BUDGET_FIN\Actuals\2022\12%20Dec\Earnings%20Model\Earnings%20Model_December%20Actual_LTF%202022%20new%20with%20updated%20B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borfs\PGS_CORP\VOL1\SHARDATA\BUDGET_FIN\Actuals\2022\12%20Dec\Surveillance%20Report\FERC\PGS%20Noidat_Dec%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borfs\PGS_CORP\VOL1\SHARDATA\BUDGET_FIN\Actuals\2022\12%20Dec\Surveillance%20Report\FERC\PGS%20Baldat_Dec%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ecoenergy.sharepoint.com/BUDGET_FIN/Forecast/2021/2+10%20Q1F/Surveillance%20Report/PGS%20SR%202021%202+10%20Forecast%20V2%20with%2054.7%25%20Equity%20Rati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ecoenergy.sharepoint.com/BUDGET_FIN/Surveillance/History/2018/Surv%20Reports%202018/FERC%20Surv.%20Report%20December%202018%20Fil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borfs\PGS_CORP\VOL1\SHARDATA\BUDGET_FIN\Actuals\2022\12%20Dec\Surveillance%20Report\Support\1222%20Actual%20CIBSR%20Over-Under%20Calculatio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tecoenergy.sharepoint.com/Users/jgarey/Downloads/Support/1221%20Actual%20CIBSR%20Over-Under%20Calculatio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tecoenergy.sharepoint.com/Users/jgarey/Downloads/Support/1221%20Actual%20CIBSR%20Over-Under%20Calculation%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INPUT"/>
      <sheetName val="PGS RECON MQY"/>
      <sheetName val="PGS RECON MQY BUD"/>
      <sheetName val="PGS RECON 2022"/>
      <sheetName val="PGS RECON Detail"/>
      <sheetName val="PGS RECON 2022 Budget"/>
      <sheetName val="PGS 8&amp;4 RECON 2022"/>
      <sheetName val="PGS 7&amp;5 RECON 2022"/>
      <sheetName val="PGS Swap JE Values"/>
      <sheetName val="Balance Sheet 2021"/>
      <sheetName val="Balance Sheet Detail"/>
      <sheetName val="Income Statement 2021"/>
      <sheetName val="Income Statement Detail"/>
      <sheetName val="Cash Flow 2021"/>
      <sheetName val="Cash Flow 2022"/>
      <sheetName val="Cash Flow Detail"/>
      <sheetName val="New CF Pres"/>
      <sheetName val="PGS CF Impact TE"/>
      <sheetName val="PGS CF Impact TE 2021 Bud"/>
      <sheetName val="Data 2021 ACTUAL DL"/>
      <sheetName val="Data 2022 ACTUAL DL"/>
      <sheetName val="Data 2021 BUDGET DL"/>
      <sheetName val="Data 2022 BUDGET DL"/>
      <sheetName val="Data 2022 FORECAST DL"/>
      <sheetName val="IS ACCTS"/>
      <sheetName val="BS ACCTS"/>
      <sheetName val="INTERFACE"/>
      <sheetName val="Revenue 2021"/>
      <sheetName val="SOP DETAIL"/>
      <sheetName val="Revenue Detail"/>
      <sheetName val="CAP Structure 2022"/>
      <sheetName val="CAP Structure Detail"/>
      <sheetName val="Review Sheet"/>
      <sheetName val="PEF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7">
          <cell r="BW57">
            <v>1430100.5</v>
          </cell>
          <cell r="BX57">
            <v>1442161.2000000002</v>
          </cell>
          <cell r="BY57">
            <v>1453225.5999999996</v>
          </cell>
          <cell r="BZ57">
            <v>1471552.6</v>
          </cell>
          <cell r="CA57">
            <v>1494766.0999999996</v>
          </cell>
          <cell r="CB57">
            <v>1516746.0999999999</v>
          </cell>
          <cell r="CC57">
            <v>1537467.9</v>
          </cell>
          <cell r="CD57">
            <v>1574439.8000000003</v>
          </cell>
          <cell r="CE57">
            <v>1599775.6999999997</v>
          </cell>
          <cell r="CF57">
            <v>1631708</v>
          </cell>
          <cell r="CG57">
            <v>1666187.6999999997</v>
          </cell>
          <cell r="CH57">
            <v>1713802.7999999998</v>
          </cell>
          <cell r="CI57">
            <v>1744349.9999999998</v>
          </cell>
          <cell r="CJ57">
            <v>1767184.2999999996</v>
          </cell>
          <cell r="CK57">
            <v>1783156.9000000004</v>
          </cell>
          <cell r="CL57">
            <v>1799578.2999999996</v>
          </cell>
          <cell r="CM57">
            <v>1807991.2000000002</v>
          </cell>
          <cell r="CN57">
            <v>1827442.1999999997</v>
          </cell>
          <cell r="CO57">
            <v>1853524.0999999999</v>
          </cell>
          <cell r="CP57">
            <v>1871610.5</v>
          </cell>
          <cell r="CQ57">
            <v>1894780.6999999997</v>
          </cell>
          <cell r="CR57">
            <v>1929460.8999999997</v>
          </cell>
          <cell r="CS57">
            <v>1960889.7999999998</v>
          </cell>
          <cell r="CT57">
            <v>1992226.7</v>
          </cell>
          <cell r="CU57">
            <v>2023947.4000000001</v>
          </cell>
          <cell r="CV57">
            <v>2043153.8000000005</v>
          </cell>
          <cell r="CW57">
            <v>2052420.9000000004</v>
          </cell>
          <cell r="CX57">
            <v>2067951.8000000003</v>
          </cell>
          <cell r="CY57">
            <v>2094493.2000000004</v>
          </cell>
          <cell r="CZ57">
            <v>2120545.1</v>
          </cell>
          <cell r="DD57">
            <v>2180323.2000000007</v>
          </cell>
          <cell r="DE57">
            <v>2206020.3000000007</v>
          </cell>
          <cell r="DF57">
            <v>2267449.7000000002</v>
          </cell>
        </row>
      </sheetData>
      <sheetData sheetId="12" refreshError="1"/>
      <sheetData sheetId="13">
        <row r="46">
          <cell r="BV46">
            <v>7675.4999999999955</v>
          </cell>
          <cell r="BW46">
            <v>5940.0999999999922</v>
          </cell>
          <cell r="BX46">
            <v>4844.599999999994</v>
          </cell>
          <cell r="BY46">
            <v>3711.3999999999978</v>
          </cell>
          <cell r="BZ46">
            <v>3608.0000000000146</v>
          </cell>
          <cell r="CA46">
            <v>3209.6999999999944</v>
          </cell>
          <cell r="CB46">
            <v>3095.2999999999938</v>
          </cell>
          <cell r="CC46">
            <v>3757.6000000000008</v>
          </cell>
          <cell r="CD46">
            <v>3415.699999999988</v>
          </cell>
          <cell r="CE46">
            <v>2946.4000000000115</v>
          </cell>
          <cell r="CF46">
            <v>5089.5999999999958</v>
          </cell>
          <cell r="CG46">
            <v>4619.7999999999811</v>
          </cell>
          <cell r="CH46">
            <v>11395.200000000012</v>
          </cell>
          <cell r="CI46">
            <v>8009.5999999999658</v>
          </cell>
          <cell r="CJ46">
            <v>7690.2999999999902</v>
          </cell>
          <cell r="CK46">
            <v>7693.6999999999889</v>
          </cell>
          <cell r="CL46">
            <v>5523.2999999999865</v>
          </cell>
          <cell r="CM46">
            <v>5442.2000000000053</v>
          </cell>
          <cell r="CN46">
            <v>4434.7000000000089</v>
          </cell>
          <cell r="CO46">
            <v>4768.0999999999876</v>
          </cell>
          <cell r="CP46">
            <v>5555.2999999999847</v>
          </cell>
          <cell r="CQ46">
            <v>5105.7999999999975</v>
          </cell>
          <cell r="CR46">
            <v>5800.3999999999814</v>
          </cell>
          <cell r="CS46">
            <v>5862.0999999999804</v>
          </cell>
          <cell r="CT46">
            <v>9788.0999999999749</v>
          </cell>
          <cell r="CU46">
            <v>8848.6999999999825</v>
          </cell>
          <cell r="CV46">
            <v>10906.899999999983</v>
          </cell>
          <cell r="CW46">
            <v>6709.1000000000058</v>
          </cell>
          <cell r="CX46">
            <v>6255.1999999999807</v>
          </cell>
          <cell r="CY46">
            <v>6658.299999999962</v>
          </cell>
          <cell r="CZ46">
            <v>4395.3999999999724</v>
          </cell>
          <cell r="DA46">
            <v>4562.4999999999982</v>
          </cell>
          <cell r="DB46">
            <v>7270.6000000000167</v>
          </cell>
          <cell r="DC46">
            <v>4803.6000000000149</v>
          </cell>
          <cell r="DD46">
            <v>5932.5999999999849</v>
          </cell>
          <cell r="DE46">
            <v>6107.2999999999865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596">
          <cell r="DB596">
            <v>100.6</v>
          </cell>
        </row>
        <row r="652">
          <cell r="DK652">
            <v>82.4</v>
          </cell>
          <cell r="DL652">
            <v>37.700000000000003</v>
          </cell>
          <cell r="DM652">
            <v>68.3</v>
          </cell>
        </row>
        <row r="653">
          <cell r="DK653">
            <v>-1.8</v>
          </cell>
          <cell r="DL653">
            <v>-1.9</v>
          </cell>
          <cell r="DM653">
            <v>-2.2999999999999998</v>
          </cell>
        </row>
        <row r="660">
          <cell r="DK660">
            <v>-70.5</v>
          </cell>
          <cell r="DL660">
            <v>-35.299999999999997</v>
          </cell>
          <cell r="DM660">
            <v>-35.299999999999997</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1"/>
    </sheetNames>
    <sheetDataSet>
      <sheetData sheetId="0">
        <row r="5">
          <cell r="A5">
            <v>4073052</v>
          </cell>
          <cell r="B5">
            <v>4073052</v>
          </cell>
          <cell r="C5" t="str">
            <v xml:space="preserve"> REG DR Defd Environmental Tax Credit </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511204</v>
          </cell>
          <cell r="X5">
            <v>0</v>
          </cell>
          <cell r="Y5">
            <v>0</v>
          </cell>
          <cell r="Z5">
            <v>0</v>
          </cell>
          <cell r="AA5">
            <v>0</v>
          </cell>
          <cell r="AB5">
            <v>0</v>
          </cell>
          <cell r="AC5">
            <v>0</v>
          </cell>
          <cell r="AD5">
            <v>0</v>
          </cell>
          <cell r="AE5">
            <v>0</v>
          </cell>
          <cell r="AF5">
            <v>0</v>
          </cell>
          <cell r="AG5">
            <v>-61344.480000000003</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cell r="AX5"/>
          <cell r="AY5"/>
          <cell r="AZ5"/>
          <cell r="BA5"/>
          <cell r="BB5"/>
          <cell r="BC5"/>
          <cell r="BD5"/>
          <cell r="BE5"/>
          <cell r="BF5"/>
          <cell r="BG5"/>
          <cell r="BH5"/>
          <cell r="BI5"/>
          <cell r="BJ5"/>
          <cell r="BK5"/>
          <cell r="BL5"/>
          <cell r="BM5"/>
          <cell r="BN5"/>
          <cell r="BO5"/>
          <cell r="BP5"/>
          <cell r="BQ5"/>
          <cell r="BR5"/>
          <cell r="BS5"/>
          <cell r="BT5"/>
          <cell r="BU5"/>
          <cell r="BV5"/>
          <cell r="BW5"/>
          <cell r="BX5"/>
          <cell r="BY5"/>
          <cell r="BZ5"/>
          <cell r="CA5"/>
          <cell r="CB5"/>
          <cell r="CC5"/>
          <cell r="CD5"/>
          <cell r="CE5"/>
          <cell r="CF5"/>
          <cell r="CG5"/>
          <cell r="CH5"/>
          <cell r="CI5"/>
          <cell r="CJ5"/>
          <cell r="CK5"/>
          <cell r="CL5"/>
          <cell r="CM5"/>
          <cell r="CN5"/>
          <cell r="CO5"/>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row>
        <row r="6">
          <cell r="A6">
            <v>4073060</v>
          </cell>
          <cell r="B6">
            <v>4073060</v>
          </cell>
          <cell r="C6" t="str">
            <v>REG DR Def PGA</v>
          </cell>
          <cell r="D6">
            <v>679986</v>
          </cell>
          <cell r="E6">
            <v>5019291</v>
          </cell>
          <cell r="F6">
            <v>-818714</v>
          </cell>
          <cell r="G6">
            <v>1885134</v>
          </cell>
          <cell r="H6">
            <v>-2013681</v>
          </cell>
          <cell r="I6">
            <v>1920726</v>
          </cell>
          <cell r="J6">
            <v>764503.05</v>
          </cell>
          <cell r="K6">
            <v>189971</v>
          </cell>
          <cell r="L6">
            <v>-269327</v>
          </cell>
          <cell r="M6">
            <v>-1988662</v>
          </cell>
          <cell r="N6">
            <v>-5688020</v>
          </cell>
          <cell r="O6">
            <v>2440143.9</v>
          </cell>
          <cell r="P6">
            <v>874005</v>
          </cell>
          <cell r="Q6">
            <v>-46942</v>
          </cell>
          <cell r="R6">
            <v>1692339</v>
          </cell>
          <cell r="S6">
            <v>0</v>
          </cell>
          <cell r="T6">
            <v>0</v>
          </cell>
          <cell r="U6">
            <v>2345723</v>
          </cell>
          <cell r="V6">
            <v>0</v>
          </cell>
          <cell r="W6">
            <v>532507</v>
          </cell>
          <cell r="X6">
            <v>0</v>
          </cell>
          <cell r="Y6">
            <v>0</v>
          </cell>
          <cell r="Z6">
            <v>0</v>
          </cell>
          <cell r="AA6">
            <v>0</v>
          </cell>
          <cell r="AB6">
            <v>1010190</v>
          </cell>
          <cell r="AC6">
            <v>5028710</v>
          </cell>
          <cell r="AD6">
            <v>1623436</v>
          </cell>
          <cell r="AE6">
            <v>777966</v>
          </cell>
          <cell r="AF6">
            <v>1592898</v>
          </cell>
          <cell r="AG6">
            <v>1972766</v>
          </cell>
          <cell r="AH6">
            <v>1264664</v>
          </cell>
          <cell r="AI6">
            <v>835184</v>
          </cell>
          <cell r="AJ6">
            <v>0</v>
          </cell>
          <cell r="AK6">
            <v>0</v>
          </cell>
          <cell r="AL6">
            <v>0</v>
          </cell>
          <cell r="AM6">
            <v>0</v>
          </cell>
          <cell r="AN6">
            <v>554769</v>
          </cell>
          <cell r="AO6">
            <v>3223761</v>
          </cell>
          <cell r="AP6">
            <v>0</v>
          </cell>
          <cell r="AQ6">
            <v>1044957</v>
          </cell>
          <cell r="AR6">
            <v>96188</v>
          </cell>
          <cell r="AS6">
            <v>0</v>
          </cell>
          <cell r="AT6">
            <v>0</v>
          </cell>
          <cell r="AU6">
            <v>0</v>
          </cell>
          <cell r="AV6">
            <v>1278299</v>
          </cell>
          <cell r="AW6">
            <v>0</v>
          </cell>
          <cell r="AX6">
            <v>0</v>
          </cell>
          <cell r="AY6">
            <v>765281</v>
          </cell>
          <cell r="AZ6">
            <v>4926984</v>
          </cell>
          <cell r="BA6">
            <v>5862451</v>
          </cell>
          <cell r="BB6">
            <v>0</v>
          </cell>
          <cell r="BC6">
            <v>3350938</v>
          </cell>
          <cell r="BD6">
            <v>0</v>
          </cell>
          <cell r="BE6">
            <v>172230</v>
          </cell>
          <cell r="BF6">
            <v>0</v>
          </cell>
          <cell r="BG6">
            <v>0</v>
          </cell>
          <cell r="BH6">
            <v>204507</v>
          </cell>
          <cell r="BI6">
            <v>0</v>
          </cell>
          <cell r="BJ6">
            <v>0</v>
          </cell>
          <cell r="BK6">
            <v>0</v>
          </cell>
          <cell r="BL6">
            <v>1935561</v>
          </cell>
          <cell r="BM6">
            <v>3580818</v>
          </cell>
          <cell r="BN6">
            <v>1224380</v>
          </cell>
          <cell r="BO6">
            <v>3105870</v>
          </cell>
          <cell r="BP6">
            <v>2591667</v>
          </cell>
          <cell r="BQ6">
            <v>1229044</v>
          </cell>
          <cell r="BR6">
            <v>330011</v>
          </cell>
          <cell r="BS6">
            <v>0</v>
          </cell>
          <cell r="BT6">
            <v>706367</v>
          </cell>
          <cell r="BU6">
            <v>0</v>
          </cell>
          <cell r="BV6">
            <v>0</v>
          </cell>
          <cell r="BW6">
            <v>1284764</v>
          </cell>
          <cell r="BX6">
            <v>3527066</v>
          </cell>
          <cell r="BY6">
            <v>3182845</v>
          </cell>
          <cell r="BZ6">
            <v>1357240</v>
          </cell>
          <cell r="CA6">
            <v>774904</v>
          </cell>
          <cell r="CB6">
            <v>0</v>
          </cell>
          <cell r="CC6">
            <v>746533</v>
          </cell>
          <cell r="CD6">
            <v>0</v>
          </cell>
          <cell r="CE6">
            <v>0</v>
          </cell>
          <cell r="CF6">
            <v>0</v>
          </cell>
          <cell r="CG6">
            <v>0</v>
          </cell>
          <cell r="CH6">
            <v>0</v>
          </cell>
          <cell r="CI6">
            <v>0</v>
          </cell>
          <cell r="CJ6">
            <v>3733943</v>
          </cell>
          <cell r="CK6">
            <v>0</v>
          </cell>
          <cell r="CL6">
            <v>0</v>
          </cell>
          <cell r="CM6">
            <v>3928902</v>
          </cell>
          <cell r="CN6">
            <v>503058</v>
          </cell>
          <cell r="CO6">
            <v>0</v>
          </cell>
          <cell r="CP6">
            <v>417974</v>
          </cell>
          <cell r="CQ6">
            <v>0</v>
          </cell>
          <cell r="CR6">
            <v>0</v>
          </cell>
          <cell r="CS6">
            <v>0</v>
          </cell>
          <cell r="CT6">
            <v>0</v>
          </cell>
          <cell r="CU6">
            <v>589453</v>
          </cell>
          <cell r="CV6">
            <v>3918226</v>
          </cell>
          <cell r="CW6">
            <v>4716521</v>
          </cell>
          <cell r="CX6">
            <v>0</v>
          </cell>
          <cell r="CY6">
            <v>0</v>
          </cell>
          <cell r="CZ6">
            <v>0</v>
          </cell>
          <cell r="DA6">
            <v>0</v>
          </cell>
          <cell r="DB6">
            <v>115510</v>
          </cell>
          <cell r="DC6">
            <v>2842822</v>
          </cell>
          <cell r="DD6">
            <v>4552641</v>
          </cell>
          <cell r="DE6">
            <v>2462288</v>
          </cell>
          <cell r="DF6">
            <v>0</v>
          </cell>
          <cell r="DG6">
            <v>0</v>
          </cell>
        </row>
        <row r="7">
          <cell r="A7">
            <v>4073061</v>
          </cell>
          <cell r="B7">
            <v>4073061</v>
          </cell>
          <cell r="C7" t="str">
            <v>REG DR Def PGA Amtz</v>
          </cell>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cell r="AT7"/>
          <cell r="AU7"/>
          <cell r="AV7"/>
          <cell r="AW7"/>
          <cell r="AX7"/>
          <cell r="AY7"/>
          <cell r="AZ7">
            <v>292032</v>
          </cell>
          <cell r="BA7">
            <v>292032</v>
          </cell>
          <cell r="BB7">
            <v>292032</v>
          </cell>
          <cell r="BC7">
            <v>292032</v>
          </cell>
          <cell r="BD7">
            <v>292032</v>
          </cell>
          <cell r="BE7">
            <v>292032</v>
          </cell>
          <cell r="BF7">
            <v>292032</v>
          </cell>
          <cell r="BG7">
            <v>292032</v>
          </cell>
          <cell r="BH7">
            <v>292032</v>
          </cell>
          <cell r="BI7">
            <v>292032</v>
          </cell>
          <cell r="BJ7">
            <v>292032</v>
          </cell>
          <cell r="BK7">
            <v>292029</v>
          </cell>
          <cell r="BL7">
            <v>0</v>
          </cell>
          <cell r="BM7">
            <v>0</v>
          </cell>
          <cell r="BN7">
            <v>0</v>
          </cell>
          <cell r="BO7">
            <v>0</v>
          </cell>
          <cell r="BP7">
            <v>0</v>
          </cell>
          <cell r="BQ7">
            <v>0</v>
          </cell>
          <cell r="BR7">
            <v>0</v>
          </cell>
          <cell r="BS7">
            <v>0</v>
          </cell>
          <cell r="BT7">
            <v>0</v>
          </cell>
          <cell r="BU7"/>
          <cell r="BV7"/>
          <cell r="BW7"/>
          <cell r="BX7"/>
          <cell r="BY7"/>
          <cell r="BZ7"/>
          <cell r="CA7"/>
          <cell r="CB7"/>
          <cell r="CC7"/>
          <cell r="CD7"/>
          <cell r="CE7"/>
          <cell r="CF7"/>
          <cell r="CG7"/>
          <cell r="CH7"/>
          <cell r="CI7"/>
          <cell r="CJ7"/>
          <cell r="CK7"/>
          <cell r="CL7"/>
          <cell r="CM7"/>
          <cell r="CN7"/>
          <cell r="CO7"/>
          <cell r="CP7">
            <v>0</v>
          </cell>
          <cell r="CQ7">
            <v>0</v>
          </cell>
          <cell r="CR7">
            <v>0</v>
          </cell>
          <cell r="CS7">
            <v>0</v>
          </cell>
          <cell r="CT7">
            <v>0</v>
          </cell>
          <cell r="CU7">
            <v>0</v>
          </cell>
          <cell r="CV7">
            <v>644361</v>
          </cell>
          <cell r="CW7">
            <v>644361</v>
          </cell>
          <cell r="CX7">
            <v>644361</v>
          </cell>
          <cell r="CY7">
            <v>644361</v>
          </cell>
          <cell r="CZ7">
            <v>644361</v>
          </cell>
          <cell r="DA7">
            <v>644361</v>
          </cell>
          <cell r="DB7">
            <v>644361</v>
          </cell>
          <cell r="DC7">
            <v>644361</v>
          </cell>
          <cell r="DD7">
            <v>644361</v>
          </cell>
          <cell r="DE7">
            <v>644361</v>
          </cell>
          <cell r="DF7">
            <v>644361</v>
          </cell>
          <cell r="DG7">
            <v>644365</v>
          </cell>
        </row>
        <row r="8">
          <cell r="A8">
            <v>4073071</v>
          </cell>
          <cell r="B8">
            <v>4073071</v>
          </cell>
          <cell r="C8" t="str">
            <v>REG DR CI/BSR Rider</v>
          </cell>
          <cell r="D8">
            <v>135248</v>
          </cell>
          <cell r="E8">
            <v>125940</v>
          </cell>
          <cell r="F8">
            <v>67278</v>
          </cell>
          <cell r="G8">
            <v>44926</v>
          </cell>
          <cell r="H8">
            <v>1437</v>
          </cell>
          <cell r="I8">
            <v>-520</v>
          </cell>
          <cell r="J8">
            <v>0</v>
          </cell>
          <cell r="K8">
            <v>0</v>
          </cell>
          <cell r="L8">
            <v>0</v>
          </cell>
          <cell r="M8">
            <v>0</v>
          </cell>
          <cell r="N8">
            <v>0</v>
          </cell>
          <cell r="O8">
            <v>0</v>
          </cell>
          <cell r="P8">
            <v>211438</v>
          </cell>
          <cell r="Q8">
            <v>148838.45000000001</v>
          </cell>
          <cell r="R8">
            <v>123002.41</v>
          </cell>
          <cell r="S8">
            <v>14225.68</v>
          </cell>
          <cell r="T8">
            <v>-178</v>
          </cell>
          <cell r="U8">
            <v>0</v>
          </cell>
          <cell r="V8">
            <v>0</v>
          </cell>
          <cell r="W8">
            <v>0</v>
          </cell>
          <cell r="X8">
            <v>0</v>
          </cell>
          <cell r="Y8">
            <v>0</v>
          </cell>
          <cell r="Z8">
            <v>0</v>
          </cell>
          <cell r="AA8">
            <v>0</v>
          </cell>
          <cell r="AB8">
            <v>125650.52</v>
          </cell>
          <cell r="AC8">
            <v>176191</v>
          </cell>
          <cell r="AD8">
            <v>102005</v>
          </cell>
          <cell r="AE8">
            <v>31870</v>
          </cell>
          <cell r="AF8">
            <v>-136</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cell r="AX8"/>
          <cell r="AY8"/>
          <cell r="AZ8">
            <v>582327</v>
          </cell>
          <cell r="BA8">
            <v>418952</v>
          </cell>
          <cell r="BB8">
            <v>177031</v>
          </cell>
          <cell r="BC8">
            <v>190011</v>
          </cell>
          <cell r="BD8">
            <v>334292</v>
          </cell>
          <cell r="BE8">
            <v>-81651</v>
          </cell>
          <cell r="BF8">
            <v>0</v>
          </cell>
          <cell r="BG8">
            <v>0</v>
          </cell>
          <cell r="BH8">
            <v>0</v>
          </cell>
          <cell r="BI8">
            <v>0</v>
          </cell>
          <cell r="BJ8">
            <v>0</v>
          </cell>
          <cell r="BK8">
            <v>6390</v>
          </cell>
          <cell r="BL8">
            <v>367155</v>
          </cell>
          <cell r="BM8">
            <v>291525</v>
          </cell>
          <cell r="BN8">
            <v>104259</v>
          </cell>
          <cell r="BO8">
            <v>2319</v>
          </cell>
          <cell r="BP8">
            <v>153</v>
          </cell>
          <cell r="BQ8">
            <v>0</v>
          </cell>
          <cell r="BR8">
            <v>0</v>
          </cell>
          <cell r="BS8">
            <v>0</v>
          </cell>
          <cell r="BT8">
            <v>0</v>
          </cell>
          <cell r="BU8">
            <v>24577</v>
          </cell>
          <cell r="BV8">
            <v>0</v>
          </cell>
          <cell r="BW8">
            <v>-83264</v>
          </cell>
          <cell r="BX8">
            <v>459156</v>
          </cell>
          <cell r="BY8">
            <v>386397</v>
          </cell>
          <cell r="BZ8">
            <v>223176</v>
          </cell>
          <cell r="CA8">
            <v>0</v>
          </cell>
          <cell r="CB8">
            <v>0</v>
          </cell>
          <cell r="CC8">
            <v>0</v>
          </cell>
          <cell r="CD8">
            <v>0</v>
          </cell>
          <cell r="CE8">
            <v>0</v>
          </cell>
          <cell r="CF8">
            <v>0</v>
          </cell>
          <cell r="CG8">
            <v>0</v>
          </cell>
          <cell r="CH8">
            <v>0</v>
          </cell>
          <cell r="CI8">
            <v>0</v>
          </cell>
          <cell r="CJ8">
            <v>318354</v>
          </cell>
          <cell r="CK8">
            <v>234765</v>
          </cell>
          <cell r="CL8">
            <v>127008</v>
          </cell>
          <cell r="CM8">
            <v>89725</v>
          </cell>
          <cell r="CN8">
            <v>0</v>
          </cell>
          <cell r="CO8">
            <v>0</v>
          </cell>
          <cell r="CP8">
            <v>0</v>
          </cell>
          <cell r="CQ8">
            <v>0</v>
          </cell>
          <cell r="CR8">
            <v>823</v>
          </cell>
          <cell r="CS8">
            <v>0</v>
          </cell>
          <cell r="CT8">
            <v>0</v>
          </cell>
          <cell r="CU8">
            <v>0</v>
          </cell>
          <cell r="CV8">
            <v>176002</v>
          </cell>
          <cell r="CW8">
            <v>198667</v>
          </cell>
          <cell r="CX8">
            <v>98331</v>
          </cell>
          <cell r="CY8">
            <v>30832</v>
          </cell>
          <cell r="CZ8">
            <v>0</v>
          </cell>
          <cell r="DA8">
            <v>0</v>
          </cell>
          <cell r="DB8">
            <v>0</v>
          </cell>
          <cell r="DC8">
            <v>0</v>
          </cell>
          <cell r="DD8">
            <v>0</v>
          </cell>
          <cell r="DE8">
            <v>0</v>
          </cell>
          <cell r="DF8">
            <v>0</v>
          </cell>
          <cell r="DG8">
            <v>0</v>
          </cell>
        </row>
        <row r="9">
          <cell r="A9">
            <v>4073072</v>
          </cell>
          <cell r="B9">
            <v>4073072</v>
          </cell>
          <cell r="C9" t="str">
            <v>REG DR Def CIBSR Amt</v>
          </cell>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cell r="AT9"/>
          <cell r="AU9"/>
          <cell r="AV9"/>
          <cell r="AW9"/>
          <cell r="AX9"/>
          <cell r="AY9"/>
          <cell r="AZ9">
            <v>39660</v>
          </cell>
          <cell r="BA9">
            <v>39660</v>
          </cell>
          <cell r="BB9">
            <v>39660</v>
          </cell>
          <cell r="BC9">
            <v>39660</v>
          </cell>
          <cell r="BD9">
            <v>39660</v>
          </cell>
          <cell r="BE9">
            <v>39660</v>
          </cell>
          <cell r="BF9">
            <v>39660</v>
          </cell>
          <cell r="BG9">
            <v>39660</v>
          </cell>
          <cell r="BH9">
            <v>39660</v>
          </cell>
          <cell r="BI9">
            <v>39660</v>
          </cell>
          <cell r="BJ9">
            <v>39660</v>
          </cell>
          <cell r="BK9">
            <v>39659</v>
          </cell>
          <cell r="BL9">
            <v>0</v>
          </cell>
          <cell r="BM9">
            <v>0</v>
          </cell>
          <cell r="BN9">
            <v>0</v>
          </cell>
          <cell r="BO9">
            <v>0</v>
          </cell>
          <cell r="BP9">
            <v>0</v>
          </cell>
          <cell r="BQ9">
            <v>0</v>
          </cell>
          <cell r="BR9">
            <v>0</v>
          </cell>
          <cell r="BS9">
            <v>0</v>
          </cell>
          <cell r="BT9">
            <v>0</v>
          </cell>
          <cell r="BU9"/>
          <cell r="BV9"/>
          <cell r="BW9"/>
          <cell r="BX9">
            <v>179433</v>
          </cell>
          <cell r="BY9">
            <v>179433</v>
          </cell>
          <cell r="BZ9">
            <v>179433</v>
          </cell>
          <cell r="CA9">
            <v>179433</v>
          </cell>
          <cell r="CB9">
            <v>179433</v>
          </cell>
          <cell r="CC9">
            <v>179433</v>
          </cell>
          <cell r="CD9">
            <v>179433</v>
          </cell>
          <cell r="CE9">
            <v>179433</v>
          </cell>
          <cell r="CF9">
            <v>179433</v>
          </cell>
          <cell r="CG9">
            <v>179433</v>
          </cell>
          <cell r="CH9">
            <v>179433</v>
          </cell>
          <cell r="CI9">
            <v>179433</v>
          </cell>
          <cell r="CJ9">
            <v>335362</v>
          </cell>
          <cell r="CK9">
            <v>335362</v>
          </cell>
          <cell r="CL9">
            <v>335362</v>
          </cell>
          <cell r="CM9">
            <v>335362</v>
          </cell>
          <cell r="CN9">
            <v>335362</v>
          </cell>
          <cell r="CO9">
            <v>335362</v>
          </cell>
          <cell r="CP9">
            <v>335362</v>
          </cell>
          <cell r="CQ9">
            <v>335362</v>
          </cell>
          <cell r="CR9">
            <v>335362</v>
          </cell>
          <cell r="CS9">
            <v>335362</v>
          </cell>
          <cell r="CT9">
            <v>335362</v>
          </cell>
          <cell r="CU9">
            <v>335359</v>
          </cell>
          <cell r="CV9">
            <v>28739</v>
          </cell>
          <cell r="CW9">
            <v>28739</v>
          </cell>
          <cell r="CX9">
            <v>28739</v>
          </cell>
          <cell r="CY9">
            <v>28739</v>
          </cell>
          <cell r="CZ9">
            <v>28739</v>
          </cell>
          <cell r="DA9">
            <v>28739</v>
          </cell>
          <cell r="DB9">
            <v>28739</v>
          </cell>
          <cell r="DC9">
            <v>28739</v>
          </cell>
          <cell r="DD9">
            <v>28739</v>
          </cell>
          <cell r="DE9">
            <v>28739</v>
          </cell>
          <cell r="DF9">
            <v>28739</v>
          </cell>
          <cell r="DG9">
            <v>28741</v>
          </cell>
        </row>
        <row r="10">
          <cell r="A10">
            <v>4073140</v>
          </cell>
          <cell r="B10">
            <v>4073140</v>
          </cell>
          <cell r="C10" t="str">
            <v>REG DR Def Cons Gas</v>
          </cell>
          <cell r="D10">
            <v>504151</v>
          </cell>
          <cell r="E10">
            <v>824850</v>
          </cell>
          <cell r="F10">
            <v>614473</v>
          </cell>
          <cell r="G10">
            <v>360330</v>
          </cell>
          <cell r="H10">
            <v>136686</v>
          </cell>
          <cell r="I10">
            <v>102776</v>
          </cell>
          <cell r="J10">
            <v>0</v>
          </cell>
          <cell r="K10">
            <v>0</v>
          </cell>
          <cell r="L10">
            <v>0</v>
          </cell>
          <cell r="M10">
            <v>0</v>
          </cell>
          <cell r="N10">
            <v>30078</v>
          </cell>
          <cell r="O10">
            <v>552794</v>
          </cell>
          <cell r="P10">
            <v>375692</v>
          </cell>
          <cell r="Q10">
            <v>842024</v>
          </cell>
          <cell r="R10">
            <v>591629</v>
          </cell>
          <cell r="S10">
            <v>449670</v>
          </cell>
          <cell r="T10">
            <v>0</v>
          </cell>
          <cell r="U10">
            <v>64343</v>
          </cell>
          <cell r="V10">
            <v>0</v>
          </cell>
          <cell r="W10">
            <v>0</v>
          </cell>
          <cell r="X10">
            <v>0</v>
          </cell>
          <cell r="Y10">
            <v>0</v>
          </cell>
          <cell r="Z10">
            <v>179226</v>
          </cell>
          <cell r="AA10">
            <v>396429</v>
          </cell>
          <cell r="AB10">
            <v>335438</v>
          </cell>
          <cell r="AC10">
            <v>586562</v>
          </cell>
          <cell r="AD10">
            <v>312201</v>
          </cell>
          <cell r="AE10">
            <v>271437</v>
          </cell>
          <cell r="AF10">
            <v>0</v>
          </cell>
          <cell r="AG10">
            <v>0</v>
          </cell>
          <cell r="AH10">
            <v>0</v>
          </cell>
          <cell r="AI10">
            <v>0</v>
          </cell>
          <cell r="AJ10">
            <v>0</v>
          </cell>
          <cell r="AK10">
            <v>0</v>
          </cell>
          <cell r="AL10">
            <v>156370</v>
          </cell>
          <cell r="AM10">
            <v>0</v>
          </cell>
          <cell r="AN10">
            <v>945491</v>
          </cell>
          <cell r="AO10">
            <v>534613</v>
          </cell>
          <cell r="AP10">
            <v>275023</v>
          </cell>
          <cell r="AQ10">
            <v>267436</v>
          </cell>
          <cell r="AR10">
            <v>0</v>
          </cell>
          <cell r="AS10">
            <v>0</v>
          </cell>
          <cell r="AT10">
            <v>0</v>
          </cell>
          <cell r="AU10">
            <v>0</v>
          </cell>
          <cell r="AV10">
            <v>0</v>
          </cell>
          <cell r="AW10">
            <v>0</v>
          </cell>
          <cell r="AX10">
            <v>0</v>
          </cell>
          <cell r="AY10">
            <v>126390</v>
          </cell>
          <cell r="AZ10">
            <v>720522</v>
          </cell>
          <cell r="BA10">
            <v>187450</v>
          </cell>
          <cell r="BB10">
            <v>0</v>
          </cell>
          <cell r="BC10">
            <v>0</v>
          </cell>
          <cell r="BD10">
            <v>73123</v>
          </cell>
          <cell r="BE10">
            <v>0</v>
          </cell>
          <cell r="BF10">
            <v>0</v>
          </cell>
          <cell r="BG10">
            <v>0</v>
          </cell>
          <cell r="BH10">
            <v>48580</v>
          </cell>
          <cell r="BI10">
            <v>0</v>
          </cell>
          <cell r="BJ10">
            <v>0</v>
          </cell>
          <cell r="BK10">
            <v>38871</v>
          </cell>
          <cell r="BL10">
            <v>287256</v>
          </cell>
          <cell r="BM10">
            <v>1211760</v>
          </cell>
          <cell r="BN10">
            <v>547925</v>
          </cell>
          <cell r="BO10">
            <v>129935</v>
          </cell>
          <cell r="BP10">
            <v>246320</v>
          </cell>
          <cell r="BQ10">
            <v>0</v>
          </cell>
          <cell r="BR10">
            <v>0</v>
          </cell>
          <cell r="BS10">
            <v>0</v>
          </cell>
          <cell r="BT10">
            <v>82058</v>
          </cell>
          <cell r="BU10">
            <v>0</v>
          </cell>
          <cell r="BV10">
            <v>0</v>
          </cell>
          <cell r="BW10">
            <v>313854</v>
          </cell>
          <cell r="BX10">
            <v>177286</v>
          </cell>
          <cell r="BY10">
            <v>691068</v>
          </cell>
          <cell r="BZ10">
            <v>609630</v>
          </cell>
          <cell r="CA10">
            <v>0</v>
          </cell>
          <cell r="CB10">
            <v>0</v>
          </cell>
          <cell r="CC10">
            <v>0</v>
          </cell>
          <cell r="CD10">
            <v>0</v>
          </cell>
          <cell r="CE10">
            <v>0</v>
          </cell>
          <cell r="CF10">
            <v>0</v>
          </cell>
          <cell r="CG10">
            <v>0</v>
          </cell>
          <cell r="CH10">
            <v>0</v>
          </cell>
          <cell r="CI10">
            <v>157880</v>
          </cell>
          <cell r="CJ10">
            <v>899651</v>
          </cell>
          <cell r="CK10">
            <v>143341</v>
          </cell>
          <cell r="CL10">
            <v>71595</v>
          </cell>
          <cell r="CM10">
            <v>190638</v>
          </cell>
          <cell r="CN10">
            <v>10003</v>
          </cell>
          <cell r="CO10">
            <v>0</v>
          </cell>
          <cell r="CP10">
            <v>0</v>
          </cell>
          <cell r="CQ10">
            <v>53608</v>
          </cell>
          <cell r="CR10">
            <v>0</v>
          </cell>
          <cell r="CS10">
            <v>0</v>
          </cell>
          <cell r="CT10">
            <v>0</v>
          </cell>
          <cell r="CU10">
            <v>111245</v>
          </cell>
          <cell r="CV10">
            <v>878881</v>
          </cell>
          <cell r="CW10">
            <v>1403738</v>
          </cell>
          <cell r="CX10">
            <v>0</v>
          </cell>
          <cell r="CY10">
            <v>541566</v>
          </cell>
          <cell r="CZ10">
            <v>485549</v>
          </cell>
          <cell r="DA10">
            <v>704037</v>
          </cell>
          <cell r="DB10">
            <v>0</v>
          </cell>
          <cell r="DC10">
            <v>0</v>
          </cell>
          <cell r="DD10">
            <v>0</v>
          </cell>
          <cell r="DE10">
            <v>0</v>
          </cell>
          <cell r="DF10">
            <v>0</v>
          </cell>
          <cell r="DG10">
            <v>0</v>
          </cell>
        </row>
        <row r="11">
          <cell r="A11">
            <v>4073141</v>
          </cell>
          <cell r="B11">
            <v>4073141</v>
          </cell>
          <cell r="C11" t="str">
            <v>REG DR Cnsv Amtz Gas</v>
          </cell>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v>15801</v>
          </cell>
          <cell r="AO11">
            <v>15801</v>
          </cell>
          <cell r="AP11">
            <v>15801</v>
          </cell>
          <cell r="AQ11">
            <v>15801</v>
          </cell>
          <cell r="AR11">
            <v>15801</v>
          </cell>
          <cell r="AS11">
            <v>15801</v>
          </cell>
          <cell r="AT11">
            <v>15801</v>
          </cell>
          <cell r="AU11">
            <v>15801</v>
          </cell>
          <cell r="AV11">
            <v>15801</v>
          </cell>
          <cell r="AW11">
            <v>15801</v>
          </cell>
          <cell r="AX11">
            <v>15801</v>
          </cell>
          <cell r="AY11">
            <v>15801</v>
          </cell>
          <cell r="AZ11">
            <v>181164</v>
          </cell>
          <cell r="BA11">
            <v>181164</v>
          </cell>
          <cell r="BB11">
            <v>181164</v>
          </cell>
          <cell r="BC11">
            <v>181164</v>
          </cell>
          <cell r="BD11">
            <v>181164</v>
          </cell>
          <cell r="BE11">
            <v>181164</v>
          </cell>
          <cell r="BF11">
            <v>181164</v>
          </cell>
          <cell r="BG11">
            <v>181164</v>
          </cell>
          <cell r="BH11">
            <v>181164</v>
          </cell>
          <cell r="BI11">
            <v>181164</v>
          </cell>
          <cell r="BJ11">
            <v>181164</v>
          </cell>
          <cell r="BK11">
            <v>181163</v>
          </cell>
          <cell r="BL11">
            <v>119556</v>
          </cell>
          <cell r="BM11">
            <v>119556</v>
          </cell>
          <cell r="BN11">
            <v>119556</v>
          </cell>
          <cell r="BO11">
            <v>119556</v>
          </cell>
          <cell r="BP11">
            <v>119556</v>
          </cell>
          <cell r="BQ11">
            <v>119556</v>
          </cell>
          <cell r="BR11">
            <v>119556</v>
          </cell>
          <cell r="BS11">
            <v>119556</v>
          </cell>
          <cell r="BT11">
            <v>119556</v>
          </cell>
          <cell r="BU11">
            <v>119556</v>
          </cell>
          <cell r="BV11">
            <v>119556</v>
          </cell>
          <cell r="BW11">
            <v>119550</v>
          </cell>
          <cell r="BX11">
            <v>229896</v>
          </cell>
          <cell r="BY11">
            <v>229896</v>
          </cell>
          <cell r="BZ11">
            <v>229896</v>
          </cell>
          <cell r="CA11">
            <v>229896</v>
          </cell>
          <cell r="CB11">
            <v>229896</v>
          </cell>
          <cell r="CC11">
            <v>229896</v>
          </cell>
          <cell r="CD11">
            <v>229896</v>
          </cell>
          <cell r="CE11">
            <v>229896</v>
          </cell>
          <cell r="CF11">
            <v>229896</v>
          </cell>
          <cell r="CG11">
            <v>229896</v>
          </cell>
          <cell r="CH11">
            <v>229896</v>
          </cell>
          <cell r="CI11">
            <v>229891</v>
          </cell>
          <cell r="CJ11">
            <v>95892</v>
          </cell>
          <cell r="CK11">
            <v>95892</v>
          </cell>
          <cell r="CL11">
            <v>95892</v>
          </cell>
          <cell r="CM11">
            <v>95892</v>
          </cell>
          <cell r="CN11">
            <v>95892</v>
          </cell>
          <cell r="CO11">
            <v>95892</v>
          </cell>
          <cell r="CP11">
            <v>95892</v>
          </cell>
          <cell r="CQ11">
            <v>95892</v>
          </cell>
          <cell r="CR11">
            <v>95892</v>
          </cell>
          <cell r="CS11">
            <v>95892</v>
          </cell>
          <cell r="CT11">
            <v>95892</v>
          </cell>
          <cell r="CU11">
            <v>95886</v>
          </cell>
          <cell r="CV11">
            <v>234232</v>
          </cell>
          <cell r="CW11">
            <v>234232</v>
          </cell>
          <cell r="CX11">
            <v>234232</v>
          </cell>
          <cell r="CY11">
            <v>234232</v>
          </cell>
          <cell r="CZ11">
            <v>234232</v>
          </cell>
          <cell r="DA11">
            <v>234232</v>
          </cell>
          <cell r="DB11">
            <v>234232</v>
          </cell>
          <cell r="DC11">
            <v>234232</v>
          </cell>
          <cell r="DD11">
            <v>234232</v>
          </cell>
          <cell r="DE11">
            <v>234232</v>
          </cell>
          <cell r="DF11">
            <v>234232</v>
          </cell>
          <cell r="DG11">
            <v>234226</v>
          </cell>
        </row>
        <row r="12">
          <cell r="A12">
            <v>4073212</v>
          </cell>
          <cell r="B12">
            <v>4073212</v>
          </cell>
          <cell r="C12" t="str">
            <v>REG DR Tax Reform</v>
          </cell>
          <cell r="D12"/>
          <cell r="E12"/>
          <cell r="F12"/>
          <cell r="G12"/>
          <cell r="H12"/>
          <cell r="I12"/>
          <cell r="J12"/>
          <cell r="K12"/>
          <cell r="L12"/>
          <cell r="M12"/>
          <cell r="N12"/>
          <cell r="O12"/>
          <cell r="P12"/>
          <cell r="Q12"/>
          <cell r="R12"/>
          <cell r="S12"/>
          <cell r="T12"/>
          <cell r="U12"/>
          <cell r="V12"/>
          <cell r="W12"/>
          <cell r="X12"/>
          <cell r="Y12"/>
          <cell r="Z12"/>
          <cell r="AA12"/>
          <cell r="AB12"/>
          <cell r="AC12"/>
          <cell r="AD12"/>
          <cell r="AE12"/>
          <cell r="AF12"/>
          <cell r="AG12"/>
          <cell r="AH12"/>
          <cell r="AI12"/>
          <cell r="AJ12"/>
          <cell r="AK12"/>
          <cell r="AL12"/>
          <cell r="AM12"/>
          <cell r="AN12"/>
          <cell r="AO12"/>
          <cell r="AP12"/>
          <cell r="AQ12"/>
          <cell r="AR12"/>
          <cell r="AS12"/>
          <cell r="AT12"/>
          <cell r="AU12"/>
          <cell r="AV12"/>
          <cell r="AW12"/>
          <cell r="AX12"/>
          <cell r="AY12"/>
          <cell r="AZ12">
            <v>0</v>
          </cell>
          <cell r="BA12">
            <v>1338154</v>
          </cell>
          <cell r="BB12">
            <v>1131555</v>
          </cell>
          <cell r="BC12">
            <v>1167235</v>
          </cell>
          <cell r="BD12">
            <v>283526</v>
          </cell>
          <cell r="BE12">
            <v>721436</v>
          </cell>
          <cell r="BF12">
            <v>711747</v>
          </cell>
          <cell r="BG12">
            <v>700410</v>
          </cell>
          <cell r="BH12">
            <v>-6054063</v>
          </cell>
          <cell r="BI12">
            <v>0</v>
          </cell>
          <cell r="BJ12">
            <v>0</v>
          </cell>
          <cell r="BK12">
            <v>0</v>
          </cell>
          <cell r="BL12">
            <v>0</v>
          </cell>
          <cell r="BM12">
            <v>0</v>
          </cell>
          <cell r="BN12">
            <v>0</v>
          </cell>
          <cell r="BO12">
            <v>0</v>
          </cell>
          <cell r="BP12">
            <v>0</v>
          </cell>
          <cell r="BQ12">
            <v>0</v>
          </cell>
          <cell r="BR12">
            <v>0</v>
          </cell>
          <cell r="BS12">
            <v>0</v>
          </cell>
          <cell r="BT12">
            <v>0</v>
          </cell>
          <cell r="BU12"/>
          <cell r="BV12"/>
          <cell r="BW12"/>
          <cell r="BX12"/>
          <cell r="BY12"/>
          <cell r="BZ12"/>
          <cell r="CA12"/>
          <cell r="CB12"/>
          <cell r="CC12"/>
          <cell r="CD12"/>
          <cell r="CE12"/>
          <cell r="CF12"/>
          <cell r="CG12"/>
          <cell r="CH12"/>
          <cell r="CI12"/>
          <cell r="CJ12"/>
          <cell r="CK12"/>
          <cell r="CL12"/>
          <cell r="CM12"/>
          <cell r="CN12"/>
          <cell r="CO12"/>
          <cell r="CP12">
            <v>0</v>
          </cell>
          <cell r="CQ12">
            <v>0</v>
          </cell>
          <cell r="CR12">
            <v>720499.67</v>
          </cell>
          <cell r="CS12">
            <v>-31403.51</v>
          </cell>
          <cell r="CT12">
            <v>66485.61</v>
          </cell>
          <cell r="CU12">
            <v>96002.12</v>
          </cell>
          <cell r="CV12">
            <v>0</v>
          </cell>
          <cell r="CW12">
            <v>0</v>
          </cell>
          <cell r="CX12">
            <v>0</v>
          </cell>
          <cell r="CY12">
            <v>0</v>
          </cell>
          <cell r="CZ12">
            <v>-7833</v>
          </cell>
          <cell r="DA12">
            <v>0</v>
          </cell>
          <cell r="DB12">
            <v>0</v>
          </cell>
          <cell r="DC12">
            <v>0</v>
          </cell>
          <cell r="DD12">
            <v>0</v>
          </cell>
          <cell r="DE12">
            <v>0</v>
          </cell>
          <cell r="DF12">
            <v>0</v>
          </cell>
          <cell r="DG12">
            <v>7833</v>
          </cell>
        </row>
        <row r="13">
          <cell r="A13">
            <v>4074212</v>
          </cell>
          <cell r="B13">
            <v>4074212</v>
          </cell>
          <cell r="C13" t="str">
            <v>REG CR Tax Reform</v>
          </cell>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cell r="AT13"/>
          <cell r="AU13"/>
          <cell r="AV13"/>
          <cell r="AW13"/>
          <cell r="AX13"/>
          <cell r="AY13"/>
          <cell r="AZ13"/>
          <cell r="BA13"/>
          <cell r="BB13"/>
          <cell r="BC13"/>
          <cell r="BD13"/>
          <cell r="BE13"/>
          <cell r="BF13"/>
          <cell r="BG13"/>
          <cell r="BH13"/>
          <cell r="BI13"/>
          <cell r="BJ13"/>
          <cell r="BK13"/>
          <cell r="BL13"/>
          <cell r="BM13"/>
          <cell r="BN13"/>
          <cell r="BO13"/>
          <cell r="BP13"/>
          <cell r="BQ13"/>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-457013</v>
          </cell>
          <cell r="DA13">
            <v>-91402</v>
          </cell>
          <cell r="DB13">
            <v>-91402.5</v>
          </cell>
          <cell r="DC13">
            <v>-91402.5</v>
          </cell>
          <cell r="DD13">
            <v>-91402.5</v>
          </cell>
          <cell r="DE13">
            <v>-91402.5</v>
          </cell>
          <cell r="DF13">
            <v>-91402.5</v>
          </cell>
          <cell r="DG13">
            <v>-99235.5</v>
          </cell>
        </row>
        <row r="14">
          <cell r="A14">
            <v>4074060</v>
          </cell>
          <cell r="B14">
            <v>4074060</v>
          </cell>
          <cell r="C14" t="str">
            <v>REG CR Def PGA</v>
          </cell>
          <cell r="D14"/>
          <cell r="E14"/>
          <cell r="F14"/>
          <cell r="G14"/>
          <cell r="H14"/>
          <cell r="I14"/>
          <cell r="J14"/>
          <cell r="K14"/>
          <cell r="L14"/>
          <cell r="M14"/>
          <cell r="N14"/>
          <cell r="O14"/>
          <cell r="P14"/>
          <cell r="Q14"/>
          <cell r="R14"/>
          <cell r="S14">
            <v>-1620786</v>
          </cell>
          <cell r="T14">
            <v>-444631</v>
          </cell>
          <cell r="U14">
            <v>0</v>
          </cell>
          <cell r="V14">
            <v>-1162761</v>
          </cell>
          <cell r="W14">
            <v>-3</v>
          </cell>
          <cell r="X14">
            <v>-370308</v>
          </cell>
          <cell r="Y14">
            <v>-2364559</v>
          </cell>
          <cell r="Z14">
            <v>-2263247</v>
          </cell>
          <cell r="AA14">
            <v>-198332.01</v>
          </cell>
          <cell r="AB14">
            <v>0</v>
          </cell>
          <cell r="AC14">
            <v>0</v>
          </cell>
          <cell r="AD14">
            <v>0</v>
          </cell>
          <cell r="AE14">
            <v>0</v>
          </cell>
          <cell r="AF14">
            <v>0</v>
          </cell>
          <cell r="AG14">
            <v>0</v>
          </cell>
          <cell r="AH14">
            <v>0</v>
          </cell>
          <cell r="AI14">
            <v>0</v>
          </cell>
          <cell r="AJ14">
            <v>-473339</v>
          </cell>
          <cell r="AK14">
            <v>-2673097</v>
          </cell>
          <cell r="AL14">
            <v>-2821449</v>
          </cell>
          <cell r="AM14">
            <v>-414714.06</v>
          </cell>
          <cell r="AN14">
            <v>0</v>
          </cell>
          <cell r="AO14">
            <v>0</v>
          </cell>
          <cell r="AP14">
            <v>-3422244</v>
          </cell>
          <cell r="AQ14">
            <v>0</v>
          </cell>
          <cell r="AR14">
            <v>0</v>
          </cell>
          <cell r="AS14">
            <v>-837443</v>
          </cell>
          <cell r="AT14">
            <v>-1098212</v>
          </cell>
          <cell r="AU14">
            <v>-1113145</v>
          </cell>
          <cell r="AV14">
            <v>0</v>
          </cell>
          <cell r="AW14">
            <v>-3327711</v>
          </cell>
          <cell r="AX14">
            <v>-1118927</v>
          </cell>
          <cell r="AY14">
            <v>0</v>
          </cell>
          <cell r="AZ14">
            <v>0</v>
          </cell>
          <cell r="BA14">
            <v>0</v>
          </cell>
          <cell r="BB14">
            <v>-2979909</v>
          </cell>
          <cell r="BC14">
            <v>0</v>
          </cell>
          <cell r="BD14">
            <v>-429410</v>
          </cell>
          <cell r="BE14">
            <v>0</v>
          </cell>
          <cell r="BF14">
            <v>-167319</v>
          </cell>
          <cell r="BG14">
            <v>-714468</v>
          </cell>
          <cell r="BH14">
            <v>0</v>
          </cell>
          <cell r="BI14">
            <v>-3378428</v>
          </cell>
          <cell r="BJ14">
            <v>-6614016</v>
          </cell>
          <cell r="BK14">
            <v>-3537698.72</v>
          </cell>
          <cell r="BL14">
            <v>0</v>
          </cell>
          <cell r="BM14">
            <v>0</v>
          </cell>
          <cell r="BN14">
            <v>0</v>
          </cell>
          <cell r="BO14">
            <v>0</v>
          </cell>
          <cell r="BP14">
            <v>0</v>
          </cell>
          <cell r="BQ14">
            <v>0</v>
          </cell>
          <cell r="BR14">
            <v>0</v>
          </cell>
          <cell r="BS14">
            <v>-1387481</v>
          </cell>
          <cell r="BT14">
            <v>0</v>
          </cell>
          <cell r="BU14">
            <v>-2443733</v>
          </cell>
          <cell r="BV14">
            <v>-2146784</v>
          </cell>
          <cell r="BW14">
            <v>0</v>
          </cell>
          <cell r="BX14">
            <v>0</v>
          </cell>
          <cell r="BY14">
            <v>0</v>
          </cell>
          <cell r="BZ14">
            <v>0</v>
          </cell>
          <cell r="CA14">
            <v>0</v>
          </cell>
          <cell r="CB14">
            <v>-389749</v>
          </cell>
          <cell r="CC14">
            <v>0</v>
          </cell>
          <cell r="CD14">
            <v>-437706</v>
          </cell>
          <cell r="CE14">
            <v>-2362539</v>
          </cell>
          <cell r="CF14">
            <v>-657410</v>
          </cell>
          <cell r="CG14">
            <v>-3869236</v>
          </cell>
          <cell r="CH14">
            <v>-3349085</v>
          </cell>
          <cell r="CI14">
            <v>-638028.97</v>
          </cell>
          <cell r="CJ14">
            <v>0</v>
          </cell>
          <cell r="CK14">
            <v>-2433807</v>
          </cell>
          <cell r="CL14">
            <v>-1199460</v>
          </cell>
          <cell r="CM14">
            <v>0</v>
          </cell>
          <cell r="CN14">
            <v>0</v>
          </cell>
          <cell r="CO14">
            <v>-676221</v>
          </cell>
          <cell r="CP14">
            <v>0</v>
          </cell>
          <cell r="CQ14">
            <v>-903569</v>
          </cell>
          <cell r="CR14">
            <v>-1398453</v>
          </cell>
          <cell r="CS14">
            <v>-7609249</v>
          </cell>
          <cell r="CT14">
            <v>-7684861</v>
          </cell>
          <cell r="CU14">
            <v>0</v>
          </cell>
          <cell r="CV14">
            <v>0</v>
          </cell>
          <cell r="CW14">
            <v>0</v>
          </cell>
          <cell r="CX14">
            <v>-1265268</v>
          </cell>
          <cell r="CY14">
            <v>-803495</v>
          </cell>
          <cell r="CZ14">
            <v>-2238525</v>
          </cell>
          <cell r="DA14">
            <v>-345223</v>
          </cell>
          <cell r="DB14">
            <v>0</v>
          </cell>
          <cell r="DC14">
            <v>0</v>
          </cell>
          <cell r="DD14">
            <v>0</v>
          </cell>
          <cell r="DE14">
            <v>0</v>
          </cell>
          <cell r="DF14">
            <v>-10616934</v>
          </cell>
          <cell r="DG14">
            <v>-6128598</v>
          </cell>
        </row>
        <row r="15">
          <cell r="A15">
            <v>4074061</v>
          </cell>
          <cell r="B15">
            <v>4074061</v>
          </cell>
          <cell r="C15" t="str">
            <v>REG CR Def PGA Amtz</v>
          </cell>
          <cell r="D15">
            <v>-603</v>
          </cell>
          <cell r="E15">
            <v>-603</v>
          </cell>
          <cell r="F15">
            <v>-603</v>
          </cell>
          <cell r="G15">
            <v>-603</v>
          </cell>
          <cell r="H15">
            <v>-603</v>
          </cell>
          <cell r="I15">
            <v>-603</v>
          </cell>
          <cell r="J15">
            <v>-603</v>
          </cell>
          <cell r="K15">
            <v>-603</v>
          </cell>
          <cell r="L15">
            <v>-603</v>
          </cell>
          <cell r="M15">
            <v>-603</v>
          </cell>
          <cell r="N15">
            <v>-603</v>
          </cell>
          <cell r="O15">
            <v>-603</v>
          </cell>
          <cell r="P15">
            <v>-51648</v>
          </cell>
          <cell r="Q15">
            <v>-51648</v>
          </cell>
          <cell r="R15">
            <v>-51648</v>
          </cell>
          <cell r="S15">
            <v>-51648</v>
          </cell>
          <cell r="T15">
            <v>-51648</v>
          </cell>
          <cell r="U15">
            <v>-51648</v>
          </cell>
          <cell r="V15">
            <v>-51648</v>
          </cell>
          <cell r="W15">
            <v>-51648</v>
          </cell>
          <cell r="X15">
            <v>-51648</v>
          </cell>
          <cell r="Y15">
            <v>-51648</v>
          </cell>
          <cell r="Z15">
            <v>-51648</v>
          </cell>
          <cell r="AA15">
            <v>-51642</v>
          </cell>
          <cell r="AB15">
            <v>-67872</v>
          </cell>
          <cell r="AC15">
            <v>-67872</v>
          </cell>
          <cell r="AD15">
            <v>-67872</v>
          </cell>
          <cell r="AE15">
            <v>-67872</v>
          </cell>
          <cell r="AF15">
            <v>-67872</v>
          </cell>
          <cell r="AG15">
            <v>-67872</v>
          </cell>
          <cell r="AH15">
            <v>-67872</v>
          </cell>
          <cell r="AI15">
            <v>-67872</v>
          </cell>
          <cell r="AJ15">
            <v>-67872</v>
          </cell>
          <cell r="AK15">
            <v>-67872</v>
          </cell>
          <cell r="AL15">
            <v>-67872</v>
          </cell>
          <cell r="AM15">
            <v>-67866</v>
          </cell>
          <cell r="AN15">
            <v>-90557</v>
          </cell>
          <cell r="AO15">
            <v>-90557</v>
          </cell>
          <cell r="AP15">
            <v>-90557</v>
          </cell>
          <cell r="AQ15">
            <v>-90557</v>
          </cell>
          <cell r="AR15">
            <v>-90557</v>
          </cell>
          <cell r="AS15">
            <v>-90557</v>
          </cell>
          <cell r="AT15">
            <v>-90557</v>
          </cell>
          <cell r="AU15">
            <v>-90557</v>
          </cell>
          <cell r="AV15">
            <v>-90557</v>
          </cell>
          <cell r="AW15">
            <v>-90557</v>
          </cell>
          <cell r="AX15">
            <v>-90557</v>
          </cell>
          <cell r="AY15">
            <v>-90558</v>
          </cell>
          <cell r="AZ15">
            <v>0</v>
          </cell>
          <cell r="BA15">
            <v>0</v>
          </cell>
          <cell r="BB15">
            <v>0</v>
          </cell>
          <cell r="BC15">
            <v>0</v>
          </cell>
          <cell r="BD15">
            <v>0</v>
          </cell>
          <cell r="BE15">
            <v>0</v>
          </cell>
          <cell r="BF15">
            <v>0</v>
          </cell>
          <cell r="BG15">
            <v>0</v>
          </cell>
          <cell r="BH15">
            <v>0</v>
          </cell>
          <cell r="BI15"/>
          <cell r="BJ15"/>
          <cell r="BK15"/>
          <cell r="BL15">
            <v>-188849</v>
          </cell>
          <cell r="BM15">
            <v>-188849</v>
          </cell>
          <cell r="BN15">
            <v>-188849</v>
          </cell>
          <cell r="BO15">
            <v>-188849</v>
          </cell>
          <cell r="BP15">
            <v>-188849</v>
          </cell>
          <cell r="BQ15">
            <v>-188849</v>
          </cell>
          <cell r="BR15">
            <v>-188849</v>
          </cell>
          <cell r="BS15">
            <v>-188849</v>
          </cell>
          <cell r="BT15">
            <v>-188849</v>
          </cell>
          <cell r="BU15">
            <v>-188849</v>
          </cell>
          <cell r="BV15">
            <v>-188849</v>
          </cell>
          <cell r="BW15">
            <v>-188844</v>
          </cell>
          <cell r="BX15">
            <v>-147158</v>
          </cell>
          <cell r="BY15">
            <v>-147158</v>
          </cell>
          <cell r="BZ15">
            <v>-147158</v>
          </cell>
          <cell r="CA15">
            <v>-147158</v>
          </cell>
          <cell r="CB15">
            <v>-147158</v>
          </cell>
          <cell r="CC15">
            <v>-147158</v>
          </cell>
          <cell r="CD15">
            <v>-147158</v>
          </cell>
          <cell r="CE15">
            <v>-147158</v>
          </cell>
          <cell r="CF15">
            <v>-147158</v>
          </cell>
          <cell r="CG15">
            <v>-147158</v>
          </cell>
          <cell r="CH15">
            <v>-147158</v>
          </cell>
          <cell r="CI15">
            <v>-147162</v>
          </cell>
          <cell r="CJ15">
            <v>-107304</v>
          </cell>
          <cell r="CK15">
            <v>-107304</v>
          </cell>
          <cell r="CL15">
            <v>-107304</v>
          </cell>
          <cell r="CM15">
            <v>-107304</v>
          </cell>
          <cell r="CN15">
            <v>-107304</v>
          </cell>
          <cell r="CO15">
            <v>-107304</v>
          </cell>
          <cell r="CP15">
            <v>-107304</v>
          </cell>
          <cell r="CQ15">
            <v>-107304</v>
          </cell>
          <cell r="CR15">
            <v>-107304</v>
          </cell>
          <cell r="CS15">
            <v>-107304</v>
          </cell>
          <cell r="CT15">
            <v>-107304</v>
          </cell>
          <cell r="CU15">
            <v>-107299</v>
          </cell>
          <cell r="CV15">
            <v>0</v>
          </cell>
          <cell r="CW15">
            <v>0</v>
          </cell>
          <cell r="CX15">
            <v>0</v>
          </cell>
          <cell r="CY15">
            <v>0</v>
          </cell>
          <cell r="CZ15">
            <v>0</v>
          </cell>
          <cell r="DA15">
            <v>0</v>
          </cell>
          <cell r="DB15">
            <v>0</v>
          </cell>
          <cell r="DC15">
            <v>0</v>
          </cell>
          <cell r="DD15">
            <v>0</v>
          </cell>
          <cell r="DE15">
            <v>0</v>
          </cell>
          <cell r="DF15">
            <v>0</v>
          </cell>
          <cell r="DG15">
            <v>0</v>
          </cell>
        </row>
        <row r="16">
          <cell r="A16">
            <v>4074071</v>
          </cell>
          <cell r="B16">
            <v>4074071</v>
          </cell>
          <cell r="C16" t="str">
            <v>REG CR CI/BSR Rider</v>
          </cell>
          <cell r="D16">
            <v>-449</v>
          </cell>
          <cell r="E16">
            <v>0</v>
          </cell>
          <cell r="F16">
            <v>0</v>
          </cell>
          <cell r="G16">
            <v>120</v>
          </cell>
          <cell r="H16">
            <v>0</v>
          </cell>
          <cell r="I16">
            <v>-16168</v>
          </cell>
          <cell r="J16">
            <v>-39326</v>
          </cell>
          <cell r="K16">
            <v>-64938</v>
          </cell>
          <cell r="L16">
            <v>-69921</v>
          </cell>
          <cell r="M16">
            <v>-78854</v>
          </cell>
          <cell r="N16">
            <v>-71943</v>
          </cell>
          <cell r="O16">
            <v>-30478</v>
          </cell>
          <cell r="P16">
            <v>-322</v>
          </cell>
          <cell r="Q16">
            <v>0</v>
          </cell>
          <cell r="R16">
            <v>0</v>
          </cell>
          <cell r="S16">
            <v>0</v>
          </cell>
          <cell r="T16">
            <v>-48410.36</v>
          </cell>
          <cell r="U16">
            <v>-53010.63</v>
          </cell>
          <cell r="V16">
            <v>-85048.69</v>
          </cell>
          <cell r="W16">
            <v>-88295.52</v>
          </cell>
          <cell r="X16">
            <v>-102172.72</v>
          </cell>
          <cell r="Y16">
            <v>-103060.91</v>
          </cell>
          <cell r="Z16">
            <v>-91061.32</v>
          </cell>
          <cell r="AA16">
            <v>-61046.91</v>
          </cell>
          <cell r="AB16">
            <v>-436</v>
          </cell>
          <cell r="AC16">
            <v>0</v>
          </cell>
          <cell r="AD16">
            <v>0</v>
          </cell>
          <cell r="AE16">
            <v>0</v>
          </cell>
          <cell r="AF16">
            <v>-27493</v>
          </cell>
          <cell r="AG16">
            <v>-74489</v>
          </cell>
          <cell r="AH16">
            <v>-102321</v>
          </cell>
          <cell r="AI16">
            <v>-137545</v>
          </cell>
          <cell r="AJ16">
            <v>-124338</v>
          </cell>
          <cell r="AK16">
            <v>-176440</v>
          </cell>
          <cell r="AL16">
            <v>-128508</v>
          </cell>
          <cell r="AM16">
            <v>138494</v>
          </cell>
          <cell r="AN16">
            <v>-59322</v>
          </cell>
          <cell r="AO16">
            <v>-45253</v>
          </cell>
          <cell r="AP16">
            <v>-109905</v>
          </cell>
          <cell r="AQ16">
            <v>-137919</v>
          </cell>
          <cell r="AR16">
            <v>-214731</v>
          </cell>
          <cell r="AS16">
            <v>-259250</v>
          </cell>
          <cell r="AT16">
            <v>-295998</v>
          </cell>
          <cell r="AU16">
            <v>-316710</v>
          </cell>
          <cell r="AV16">
            <v>-298228</v>
          </cell>
          <cell r="AW16">
            <v>-353946</v>
          </cell>
          <cell r="AX16">
            <v>-315658</v>
          </cell>
          <cell r="AY16">
            <v>-337518</v>
          </cell>
          <cell r="AZ16">
            <v>0</v>
          </cell>
          <cell r="BA16">
            <v>0</v>
          </cell>
          <cell r="BB16">
            <v>0</v>
          </cell>
          <cell r="BC16">
            <v>0</v>
          </cell>
          <cell r="BD16">
            <v>0</v>
          </cell>
          <cell r="BE16">
            <v>-30851</v>
          </cell>
          <cell r="BF16">
            <v>-136031</v>
          </cell>
          <cell r="BG16">
            <v>-178782</v>
          </cell>
          <cell r="BH16">
            <v>-148132</v>
          </cell>
          <cell r="BI16">
            <v>-259413</v>
          </cell>
          <cell r="BJ16">
            <v>-216793</v>
          </cell>
          <cell r="BK16">
            <v>-7586</v>
          </cell>
          <cell r="BL16">
            <v>0</v>
          </cell>
          <cell r="BM16">
            <v>-55071</v>
          </cell>
          <cell r="BN16">
            <v>0</v>
          </cell>
          <cell r="BO16">
            <v>0</v>
          </cell>
          <cell r="BP16">
            <v>-117401</v>
          </cell>
          <cell r="BQ16">
            <v>-275453</v>
          </cell>
          <cell r="BR16">
            <v>-346744</v>
          </cell>
          <cell r="BS16">
            <v>-389234</v>
          </cell>
          <cell r="BT16">
            <v>-398114</v>
          </cell>
          <cell r="BU16">
            <v>-386221</v>
          </cell>
          <cell r="BV16">
            <v>-370016</v>
          </cell>
          <cell r="BW16">
            <v>-399518</v>
          </cell>
          <cell r="BX16">
            <v>0</v>
          </cell>
          <cell r="BY16">
            <v>0</v>
          </cell>
          <cell r="BZ16">
            <v>0</v>
          </cell>
          <cell r="CA16">
            <v>-280180</v>
          </cell>
          <cell r="CB16">
            <v>-459211</v>
          </cell>
          <cell r="CC16">
            <v>-484349</v>
          </cell>
          <cell r="CD16">
            <v>-616565</v>
          </cell>
          <cell r="CE16">
            <v>-651473</v>
          </cell>
          <cell r="CF16">
            <v>-688199</v>
          </cell>
          <cell r="CG16">
            <v>-636298</v>
          </cell>
          <cell r="CH16">
            <v>-473631</v>
          </cell>
          <cell r="CI16">
            <v>-115872</v>
          </cell>
          <cell r="CJ16">
            <v>0</v>
          </cell>
          <cell r="CK16">
            <v>0</v>
          </cell>
          <cell r="CL16">
            <v>0</v>
          </cell>
          <cell r="CM16">
            <v>0</v>
          </cell>
          <cell r="CN16">
            <v>-8166</v>
          </cell>
          <cell r="CO16">
            <v>-53038</v>
          </cell>
          <cell r="CP16">
            <v>-83304</v>
          </cell>
          <cell r="CQ16">
            <v>-133213</v>
          </cell>
          <cell r="CR16">
            <v>-129123</v>
          </cell>
          <cell r="CS16">
            <v>-168064</v>
          </cell>
          <cell r="CT16">
            <v>-138930</v>
          </cell>
          <cell r="CU16">
            <v>-61927</v>
          </cell>
          <cell r="CV16">
            <v>0</v>
          </cell>
          <cell r="CW16">
            <v>0</v>
          </cell>
          <cell r="CX16">
            <v>0</v>
          </cell>
          <cell r="CY16">
            <v>0</v>
          </cell>
          <cell r="CZ16">
            <v>-19463</v>
          </cell>
          <cell r="DA16">
            <v>-85175</v>
          </cell>
          <cell r="DB16">
            <v>-129179</v>
          </cell>
          <cell r="DC16">
            <v>-152449</v>
          </cell>
          <cell r="DD16">
            <v>-153110</v>
          </cell>
          <cell r="DE16">
            <v>-135564</v>
          </cell>
          <cell r="DF16">
            <v>-126151</v>
          </cell>
          <cell r="DG16">
            <v>-71532</v>
          </cell>
        </row>
        <row r="17">
          <cell r="A17">
            <v>4074072</v>
          </cell>
          <cell r="B17">
            <v>4074072</v>
          </cell>
          <cell r="C17" t="str">
            <v>REG CR Def CIBSR Amt</v>
          </cell>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v>-119764</v>
          </cell>
          <cell r="BM17">
            <v>-119764</v>
          </cell>
          <cell r="BN17">
            <v>-119764</v>
          </cell>
          <cell r="BO17">
            <v>-119764</v>
          </cell>
          <cell r="BP17">
            <v>-119764</v>
          </cell>
          <cell r="BQ17">
            <v>-119764</v>
          </cell>
          <cell r="BR17">
            <v>-119764</v>
          </cell>
          <cell r="BS17">
            <v>-119764</v>
          </cell>
          <cell r="BT17">
            <v>-119764</v>
          </cell>
          <cell r="BU17">
            <v>-119764</v>
          </cell>
          <cell r="BV17">
            <v>-119764</v>
          </cell>
          <cell r="BW17">
            <v>-119760</v>
          </cell>
          <cell r="BX17">
            <v>0</v>
          </cell>
          <cell r="BY17">
            <v>0</v>
          </cell>
          <cell r="BZ17">
            <v>0</v>
          </cell>
          <cell r="CA17">
            <v>0</v>
          </cell>
          <cell r="CB17">
            <v>0</v>
          </cell>
          <cell r="CC17">
            <v>0</v>
          </cell>
          <cell r="CD17">
            <v>0</v>
          </cell>
          <cell r="CE17">
            <v>0</v>
          </cell>
          <cell r="CF17">
            <v>0</v>
          </cell>
          <cell r="CG17"/>
          <cell r="CH17"/>
          <cell r="CI17"/>
          <cell r="CJ17"/>
          <cell r="CK17"/>
          <cell r="CL17"/>
          <cell r="CM17"/>
          <cell r="CN17"/>
          <cell r="CO17"/>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row>
        <row r="18">
          <cell r="A18">
            <v>4074140</v>
          </cell>
          <cell r="B18">
            <v>4074140</v>
          </cell>
          <cell r="C18" t="str">
            <v>REG CR Def Cons Gas</v>
          </cell>
          <cell r="D18">
            <v>0</v>
          </cell>
          <cell r="E18">
            <v>0</v>
          </cell>
          <cell r="F18">
            <v>0</v>
          </cell>
          <cell r="G18">
            <v>0</v>
          </cell>
          <cell r="H18">
            <v>0</v>
          </cell>
          <cell r="I18">
            <v>0</v>
          </cell>
          <cell r="J18">
            <v>-512011</v>
          </cell>
          <cell r="K18">
            <v>-202925</v>
          </cell>
          <cell r="L18">
            <v>-291582</v>
          </cell>
          <cell r="M18">
            <v>-108285</v>
          </cell>
          <cell r="N18">
            <v>0</v>
          </cell>
          <cell r="O18">
            <v>0</v>
          </cell>
          <cell r="P18">
            <v>0</v>
          </cell>
          <cell r="Q18">
            <v>0</v>
          </cell>
          <cell r="R18">
            <v>0</v>
          </cell>
          <cell r="S18">
            <v>0</v>
          </cell>
          <cell r="T18">
            <v>-65065</v>
          </cell>
          <cell r="U18">
            <v>0</v>
          </cell>
          <cell r="V18">
            <v>-19797</v>
          </cell>
          <cell r="W18">
            <v>-208974</v>
          </cell>
          <cell r="X18">
            <v>-90502</v>
          </cell>
          <cell r="Y18">
            <v>-380393</v>
          </cell>
          <cell r="Z18">
            <v>0</v>
          </cell>
          <cell r="AA18">
            <v>0</v>
          </cell>
          <cell r="AB18">
            <v>0</v>
          </cell>
          <cell r="AC18">
            <v>0</v>
          </cell>
          <cell r="AD18">
            <v>0</v>
          </cell>
          <cell r="AE18">
            <v>0</v>
          </cell>
          <cell r="AF18">
            <v>-144189</v>
          </cell>
          <cell r="AG18">
            <v>-195014</v>
          </cell>
          <cell r="AH18">
            <v>-128184</v>
          </cell>
          <cell r="AI18">
            <v>-619807</v>
          </cell>
          <cell r="AJ18">
            <v>-41764</v>
          </cell>
          <cell r="AK18">
            <v>-427683</v>
          </cell>
          <cell r="AL18">
            <v>0</v>
          </cell>
          <cell r="AM18">
            <v>-302247</v>
          </cell>
          <cell r="AN18">
            <v>0</v>
          </cell>
          <cell r="AO18">
            <v>0</v>
          </cell>
          <cell r="AP18">
            <v>0</v>
          </cell>
          <cell r="AQ18">
            <v>0</v>
          </cell>
          <cell r="AR18">
            <v>-454094</v>
          </cell>
          <cell r="AS18">
            <v>-640424</v>
          </cell>
          <cell r="AT18">
            <v>-672190</v>
          </cell>
          <cell r="AU18">
            <v>-842391</v>
          </cell>
          <cell r="AV18">
            <v>-414828</v>
          </cell>
          <cell r="AW18">
            <v>-1213757</v>
          </cell>
          <cell r="AX18">
            <v>-407876</v>
          </cell>
          <cell r="AY18">
            <v>0</v>
          </cell>
          <cell r="AZ18">
            <v>0</v>
          </cell>
          <cell r="BA18">
            <v>0</v>
          </cell>
          <cell r="BB18">
            <v>-472880</v>
          </cell>
          <cell r="BC18">
            <v>-1178357</v>
          </cell>
          <cell r="BD18">
            <v>0</v>
          </cell>
          <cell r="BE18">
            <v>-111104</v>
          </cell>
          <cell r="BF18">
            <v>-1268349</v>
          </cell>
          <cell r="BG18">
            <v>-712465</v>
          </cell>
          <cell r="BH18">
            <v>0</v>
          </cell>
          <cell r="BI18">
            <v>-1217780</v>
          </cell>
          <cell r="BJ18">
            <v>-51668</v>
          </cell>
          <cell r="BK18">
            <v>0</v>
          </cell>
          <cell r="BL18">
            <v>0</v>
          </cell>
          <cell r="BM18">
            <v>0</v>
          </cell>
          <cell r="BN18">
            <v>0</v>
          </cell>
          <cell r="BO18">
            <v>0</v>
          </cell>
          <cell r="BP18">
            <v>0</v>
          </cell>
          <cell r="BQ18">
            <v>-677865</v>
          </cell>
          <cell r="BR18">
            <v>-1098139</v>
          </cell>
          <cell r="BS18">
            <v>-356143</v>
          </cell>
          <cell r="BT18">
            <v>0</v>
          </cell>
          <cell r="BU18">
            <v>-563046</v>
          </cell>
          <cell r="BV18">
            <v>-209982</v>
          </cell>
          <cell r="BW18">
            <v>0</v>
          </cell>
          <cell r="BX18">
            <v>0</v>
          </cell>
          <cell r="BY18">
            <v>0</v>
          </cell>
          <cell r="BZ18">
            <v>0</v>
          </cell>
          <cell r="CA18">
            <v>-260945</v>
          </cell>
          <cell r="CB18">
            <v>-254313</v>
          </cell>
          <cell r="CC18">
            <v>-315452</v>
          </cell>
          <cell r="CD18">
            <v>-263835</v>
          </cell>
          <cell r="CE18">
            <v>-496526</v>
          </cell>
          <cell r="CF18">
            <v>-790149</v>
          </cell>
          <cell r="CG18">
            <v>-903910</v>
          </cell>
          <cell r="CH18">
            <v>-133416</v>
          </cell>
          <cell r="CI18">
            <v>0</v>
          </cell>
          <cell r="CJ18">
            <v>0</v>
          </cell>
          <cell r="CK18">
            <v>0</v>
          </cell>
          <cell r="CL18">
            <v>0</v>
          </cell>
          <cell r="CM18">
            <v>1900</v>
          </cell>
          <cell r="CN18">
            <v>0</v>
          </cell>
          <cell r="CO18">
            <v>-12226</v>
          </cell>
          <cell r="CP18">
            <v>-300183</v>
          </cell>
          <cell r="CQ18">
            <v>0</v>
          </cell>
          <cell r="CR18">
            <v>-504358</v>
          </cell>
          <cell r="CS18">
            <v>-391595</v>
          </cell>
          <cell r="CT18">
            <v>-140516</v>
          </cell>
          <cell r="CU18">
            <v>0</v>
          </cell>
          <cell r="CV18">
            <v>0</v>
          </cell>
          <cell r="CW18">
            <v>0</v>
          </cell>
          <cell r="CX18">
            <v>-627335</v>
          </cell>
          <cell r="CY18">
            <v>0</v>
          </cell>
          <cell r="CZ18">
            <v>0</v>
          </cell>
          <cell r="DA18">
            <v>0</v>
          </cell>
          <cell r="DB18">
            <v>-1622951</v>
          </cell>
          <cell r="DC18">
            <v>-525365</v>
          </cell>
          <cell r="DD18">
            <v>-891790</v>
          </cell>
          <cell r="DE18">
            <v>-480159</v>
          </cell>
          <cell r="DF18">
            <v>-470477</v>
          </cell>
          <cell r="DG18">
            <v>-96049</v>
          </cell>
        </row>
        <row r="19">
          <cell r="A19">
            <v>4074141</v>
          </cell>
          <cell r="B19">
            <v>4074141</v>
          </cell>
          <cell r="C19" t="str">
            <v>REG CR Cnsv Amtz Gas</v>
          </cell>
          <cell r="D19"/>
          <cell r="E19"/>
          <cell r="F19"/>
          <cell r="G19"/>
          <cell r="H19"/>
          <cell r="I19"/>
          <cell r="J19"/>
          <cell r="K19"/>
          <cell r="L19"/>
          <cell r="M19"/>
          <cell r="N19"/>
          <cell r="O19"/>
          <cell r="P19">
            <v>-25795</v>
          </cell>
          <cell r="Q19">
            <v>-25795</v>
          </cell>
          <cell r="R19">
            <v>-25795</v>
          </cell>
          <cell r="S19">
            <v>-25795</v>
          </cell>
          <cell r="T19">
            <v>-25795</v>
          </cell>
          <cell r="U19">
            <v>-25795</v>
          </cell>
          <cell r="V19">
            <v>-25795</v>
          </cell>
          <cell r="W19">
            <v>-25795</v>
          </cell>
          <cell r="X19">
            <v>-25795</v>
          </cell>
          <cell r="Y19">
            <v>-25795</v>
          </cell>
          <cell r="Z19">
            <v>-25795</v>
          </cell>
          <cell r="AA19">
            <v>-25799</v>
          </cell>
          <cell r="AB19">
            <v>-178038</v>
          </cell>
          <cell r="AC19">
            <v>-178038</v>
          </cell>
          <cell r="AD19">
            <v>-178038</v>
          </cell>
          <cell r="AE19">
            <v>-178038</v>
          </cell>
          <cell r="AF19">
            <v>-178038</v>
          </cell>
          <cell r="AG19">
            <v>-178038</v>
          </cell>
          <cell r="AH19">
            <v>-178038</v>
          </cell>
          <cell r="AI19">
            <v>-178038</v>
          </cell>
          <cell r="AJ19">
            <v>-178038</v>
          </cell>
          <cell r="AK19">
            <v>-178038</v>
          </cell>
          <cell r="AL19">
            <v>-178038</v>
          </cell>
          <cell r="AM19">
            <v>-178042</v>
          </cell>
          <cell r="AN19">
            <v>0</v>
          </cell>
          <cell r="AO19">
            <v>0</v>
          </cell>
          <cell r="AP19">
            <v>0</v>
          </cell>
          <cell r="AQ19">
            <v>0</v>
          </cell>
          <cell r="AR19">
            <v>0</v>
          </cell>
          <cell r="AS19">
            <v>0</v>
          </cell>
          <cell r="AT19">
            <v>0</v>
          </cell>
          <cell r="AU19">
            <v>0</v>
          </cell>
          <cell r="AV19">
            <v>0</v>
          </cell>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row>
        <row r="20">
          <cell r="A20">
            <v>4120000</v>
          </cell>
          <cell r="B20">
            <v>4120000</v>
          </cell>
          <cell r="C20" t="str">
            <v>Rev Gas Plant leased</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v>0</v>
          </cell>
          <cell r="AF20">
            <v>-235245.67</v>
          </cell>
          <cell r="AG20">
            <v>-84738.62</v>
          </cell>
          <cell r="AH20">
            <v>-84738.62</v>
          </cell>
          <cell r="AI20">
            <v>-84738.62</v>
          </cell>
          <cell r="AJ20">
            <v>-84738.62</v>
          </cell>
          <cell r="AK20">
            <v>-106698.62</v>
          </cell>
          <cell r="AL20">
            <v>-106698.62</v>
          </cell>
          <cell r="AM20">
            <v>-106698.62</v>
          </cell>
          <cell r="AN20">
            <v>-106698.62</v>
          </cell>
          <cell r="AO20">
            <v>-106698.62</v>
          </cell>
          <cell r="AP20">
            <v>-106735.81</v>
          </cell>
          <cell r="AQ20">
            <v>-193421.26</v>
          </cell>
          <cell r="AR20">
            <v>-193458.45</v>
          </cell>
          <cell r="AS20">
            <v>-193458.45</v>
          </cell>
          <cell r="AT20">
            <v>-193458.45</v>
          </cell>
          <cell r="AU20">
            <v>-193458.45</v>
          </cell>
          <cell r="AV20">
            <v>-193458.45</v>
          </cell>
          <cell r="AW20">
            <v>-223789.45</v>
          </cell>
          <cell r="AX20">
            <v>-223789.45</v>
          </cell>
          <cell r="AY20">
            <v>-223789.45</v>
          </cell>
          <cell r="AZ20">
            <v>-223789.45</v>
          </cell>
          <cell r="BA20">
            <v>-223789.45</v>
          </cell>
          <cell r="BB20">
            <v>-223789.45</v>
          </cell>
          <cell r="BC20">
            <v>-223789.45</v>
          </cell>
          <cell r="BD20">
            <v>-223789.45</v>
          </cell>
          <cell r="BE20">
            <v>-223789.45</v>
          </cell>
          <cell r="BF20">
            <v>-223789.45</v>
          </cell>
          <cell r="BG20">
            <v>-223789.45</v>
          </cell>
          <cell r="BH20">
            <v>-223789.45</v>
          </cell>
          <cell r="BI20">
            <v>-223789.45</v>
          </cell>
          <cell r="BJ20">
            <v>-223789.45</v>
          </cell>
          <cell r="BK20">
            <v>-223789.45</v>
          </cell>
          <cell r="BL20">
            <v>-223789.45</v>
          </cell>
          <cell r="BM20">
            <v>-223789.45</v>
          </cell>
          <cell r="BN20">
            <v>-255542.13</v>
          </cell>
          <cell r="BO20">
            <v>-239665.79</v>
          </cell>
          <cell r="BP20">
            <v>-239665.79</v>
          </cell>
          <cell r="BQ20">
            <v>-239665.79</v>
          </cell>
          <cell r="BR20">
            <v>-239665.79</v>
          </cell>
          <cell r="BS20">
            <v>-239665.79</v>
          </cell>
          <cell r="BT20">
            <v>-239665.79</v>
          </cell>
          <cell r="BU20">
            <v>-239665.79</v>
          </cell>
          <cell r="BV20">
            <v>-239665.79</v>
          </cell>
          <cell r="BW20">
            <v>-239665.79</v>
          </cell>
          <cell r="BX20">
            <v>-239665.79</v>
          </cell>
          <cell r="BY20">
            <v>-239665.79</v>
          </cell>
          <cell r="BZ20">
            <v>-239665.79</v>
          </cell>
          <cell r="CA20">
            <v>-239665.79</v>
          </cell>
          <cell r="CB20">
            <v>-191777.77</v>
          </cell>
          <cell r="CC20">
            <v>-215721.78</v>
          </cell>
          <cell r="CD20">
            <v>-215721.78</v>
          </cell>
          <cell r="CE20">
            <v>-215721.78</v>
          </cell>
          <cell r="CF20">
            <v>-215721.78</v>
          </cell>
          <cell r="CG20">
            <v>-207350.78</v>
          </cell>
          <cell r="CH20">
            <v>-207350.78</v>
          </cell>
          <cell r="CI20">
            <v>-207350.78</v>
          </cell>
          <cell r="CJ20">
            <v>-207350.78</v>
          </cell>
          <cell r="CK20">
            <v>-207350.78</v>
          </cell>
          <cell r="CL20">
            <v>-207350.78</v>
          </cell>
          <cell r="CM20">
            <v>-207350.78</v>
          </cell>
          <cell r="CN20">
            <v>-207350.78</v>
          </cell>
          <cell r="CO20">
            <v>-207350.78</v>
          </cell>
          <cell r="CP20">
            <v>-207350.78</v>
          </cell>
          <cell r="CQ20">
            <v>-207350.78</v>
          </cell>
          <cell r="CR20">
            <v>-207350.78</v>
          </cell>
          <cell r="CS20">
            <v>-207350.78</v>
          </cell>
          <cell r="CT20">
            <v>-207350.78</v>
          </cell>
          <cell r="CU20">
            <v>-207350.78</v>
          </cell>
          <cell r="CV20">
            <v>-207350.78</v>
          </cell>
          <cell r="CW20">
            <v>-207350.78</v>
          </cell>
          <cell r="CX20">
            <v>-207350.78</v>
          </cell>
          <cell r="CY20">
            <v>-163430.78</v>
          </cell>
          <cell r="CZ20">
            <v>-163430.78</v>
          </cell>
          <cell r="DA20">
            <v>-160597.23000000001</v>
          </cell>
          <cell r="DB20">
            <v>-139115.15</v>
          </cell>
          <cell r="DC20">
            <v>-37799.15</v>
          </cell>
          <cell r="DD20">
            <v>-37799.15</v>
          </cell>
          <cell r="DE20">
            <v>-37799.15</v>
          </cell>
          <cell r="DF20">
            <v>-37799.15</v>
          </cell>
          <cell r="DG20">
            <v>-37799.15</v>
          </cell>
        </row>
        <row r="21">
          <cell r="A21">
            <v>4120001</v>
          </cell>
          <cell r="B21">
            <v>4120001</v>
          </cell>
          <cell r="C21" t="str">
            <v>Rev Plant leasedGAAP</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v>0</v>
          </cell>
          <cell r="AF21">
            <v>0</v>
          </cell>
          <cell r="AG21">
            <v>188448</v>
          </cell>
          <cell r="AH21">
            <v>62816</v>
          </cell>
          <cell r="AI21">
            <v>62816</v>
          </cell>
          <cell r="AJ21">
            <v>62816</v>
          </cell>
          <cell r="AK21">
            <v>62816</v>
          </cell>
          <cell r="AL21">
            <v>106735</v>
          </cell>
          <cell r="AM21">
            <v>84776</v>
          </cell>
          <cell r="AN21">
            <v>84776</v>
          </cell>
          <cell r="AO21">
            <v>84776</v>
          </cell>
          <cell r="AP21">
            <v>84776</v>
          </cell>
          <cell r="AQ21">
            <v>171536</v>
          </cell>
          <cell r="AR21">
            <v>171536</v>
          </cell>
          <cell r="AS21">
            <v>171536</v>
          </cell>
          <cell r="AT21">
            <v>171536</v>
          </cell>
          <cell r="AU21">
            <v>171536</v>
          </cell>
          <cell r="AV21">
            <v>171536</v>
          </cell>
          <cell r="AW21">
            <v>201867</v>
          </cell>
          <cell r="AX21">
            <v>201867</v>
          </cell>
          <cell r="AY21">
            <v>201867</v>
          </cell>
          <cell r="AZ21">
            <v>201867</v>
          </cell>
          <cell r="BA21">
            <v>201867</v>
          </cell>
          <cell r="BB21">
            <v>201867</v>
          </cell>
          <cell r="BC21">
            <v>201867</v>
          </cell>
          <cell r="BD21">
            <v>201867</v>
          </cell>
          <cell r="BE21">
            <v>201867</v>
          </cell>
          <cell r="BF21">
            <v>201867</v>
          </cell>
          <cell r="BG21">
            <v>201867</v>
          </cell>
          <cell r="BH21">
            <v>201867</v>
          </cell>
          <cell r="BI21">
            <v>201867</v>
          </cell>
          <cell r="BJ21">
            <v>201867</v>
          </cell>
          <cell r="BK21">
            <v>201867</v>
          </cell>
          <cell r="BL21">
            <v>201867</v>
          </cell>
          <cell r="BM21">
            <v>201867</v>
          </cell>
          <cell r="BN21">
            <v>201867</v>
          </cell>
          <cell r="BO21">
            <v>201867</v>
          </cell>
          <cell r="BP21">
            <v>201867</v>
          </cell>
          <cell r="BQ21">
            <v>201867</v>
          </cell>
          <cell r="BR21">
            <v>201866</v>
          </cell>
          <cell r="BS21">
            <v>201866</v>
          </cell>
          <cell r="BT21">
            <v>201866</v>
          </cell>
          <cell r="BU21">
            <v>201866</v>
          </cell>
          <cell r="BV21">
            <v>201866</v>
          </cell>
          <cell r="BW21">
            <v>201866</v>
          </cell>
          <cell r="BX21">
            <v>201868</v>
          </cell>
          <cell r="BY21">
            <v>201868</v>
          </cell>
          <cell r="BZ21">
            <v>201869</v>
          </cell>
          <cell r="CA21">
            <v>177924</v>
          </cell>
          <cell r="CB21">
            <v>177923</v>
          </cell>
          <cell r="CC21">
            <v>177924</v>
          </cell>
          <cell r="CD21">
            <v>177924</v>
          </cell>
          <cell r="CE21">
            <v>177924</v>
          </cell>
          <cell r="CF21">
            <v>177924</v>
          </cell>
          <cell r="CG21">
            <v>169552</v>
          </cell>
          <cell r="CH21">
            <v>169552</v>
          </cell>
          <cell r="CI21">
            <v>169552</v>
          </cell>
          <cell r="CJ21">
            <v>169551</v>
          </cell>
          <cell r="CK21">
            <v>169552</v>
          </cell>
          <cell r="CL21">
            <v>169552</v>
          </cell>
          <cell r="CM21">
            <v>169552</v>
          </cell>
          <cell r="CN21">
            <v>169552</v>
          </cell>
          <cell r="CO21">
            <v>169552</v>
          </cell>
          <cell r="CP21">
            <v>169552</v>
          </cell>
          <cell r="CQ21">
            <v>169552</v>
          </cell>
          <cell r="CR21">
            <v>169552</v>
          </cell>
          <cell r="CS21">
            <v>169552</v>
          </cell>
          <cell r="CT21">
            <v>169552</v>
          </cell>
          <cell r="CU21">
            <v>169552</v>
          </cell>
          <cell r="CV21">
            <v>169552</v>
          </cell>
          <cell r="CW21">
            <v>169552</v>
          </cell>
          <cell r="CX21">
            <v>169552</v>
          </cell>
          <cell r="CY21">
            <v>125632</v>
          </cell>
          <cell r="CZ21">
            <v>125632</v>
          </cell>
          <cell r="DA21">
            <v>125632</v>
          </cell>
          <cell r="DB21">
            <v>125632</v>
          </cell>
          <cell r="DC21">
            <v>0</v>
          </cell>
          <cell r="DD21">
            <v>0</v>
          </cell>
          <cell r="DE21">
            <v>0</v>
          </cell>
          <cell r="DF21">
            <v>0</v>
          </cell>
          <cell r="DG21">
            <v>0</v>
          </cell>
        </row>
        <row r="22">
          <cell r="A22">
            <v>4120002</v>
          </cell>
          <cell r="B22">
            <v>4120002</v>
          </cell>
          <cell r="C22" t="str">
            <v>Rev Plant leased Int</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v>0</v>
          </cell>
          <cell r="AF22">
            <v>0</v>
          </cell>
          <cell r="AG22">
            <v>4207</v>
          </cell>
          <cell r="AH22">
            <v>1402</v>
          </cell>
          <cell r="AI22">
            <v>1402</v>
          </cell>
          <cell r="AJ22">
            <v>1403</v>
          </cell>
          <cell r="AK22">
            <v>1403</v>
          </cell>
          <cell r="AL22">
            <v>2372</v>
          </cell>
          <cell r="AM22">
            <v>1887</v>
          </cell>
          <cell r="AN22">
            <v>1475</v>
          </cell>
          <cell r="AO22">
            <v>1476</v>
          </cell>
          <cell r="AP22">
            <v>1476</v>
          </cell>
          <cell r="AQ22">
            <v>-55332</v>
          </cell>
          <cell r="AR22">
            <v>-55331</v>
          </cell>
          <cell r="AS22">
            <v>-55331</v>
          </cell>
          <cell r="AT22">
            <v>-55331</v>
          </cell>
          <cell r="AU22">
            <v>-55331</v>
          </cell>
          <cell r="AV22">
            <v>-55331</v>
          </cell>
          <cell r="AW22">
            <v>-75198</v>
          </cell>
          <cell r="AX22">
            <v>-75199</v>
          </cell>
          <cell r="AY22">
            <v>-75198</v>
          </cell>
          <cell r="AZ22">
            <v>-75860</v>
          </cell>
          <cell r="BA22">
            <v>-75861</v>
          </cell>
          <cell r="BB22">
            <v>-75861</v>
          </cell>
          <cell r="BC22">
            <v>-75861</v>
          </cell>
          <cell r="BD22">
            <v>-75860</v>
          </cell>
          <cell r="BE22">
            <v>-75861</v>
          </cell>
          <cell r="BF22">
            <v>-75861</v>
          </cell>
          <cell r="BG22">
            <v>-75860</v>
          </cell>
          <cell r="BH22">
            <v>-75860</v>
          </cell>
          <cell r="BI22">
            <v>-75860</v>
          </cell>
          <cell r="BJ22">
            <v>-75860</v>
          </cell>
          <cell r="BK22">
            <v>-75860</v>
          </cell>
          <cell r="BL22">
            <v>-76523</v>
          </cell>
          <cell r="BM22">
            <v>-76523</v>
          </cell>
          <cell r="BN22">
            <v>-76523</v>
          </cell>
          <cell r="BO22">
            <v>-76523</v>
          </cell>
          <cell r="BP22">
            <v>-76523</v>
          </cell>
          <cell r="BQ22">
            <v>-76523</v>
          </cell>
          <cell r="BR22">
            <v>-76522</v>
          </cell>
          <cell r="BS22">
            <v>-76522</v>
          </cell>
          <cell r="BT22">
            <v>-76522</v>
          </cell>
          <cell r="BU22">
            <v>-76524</v>
          </cell>
          <cell r="BV22">
            <v>-76523</v>
          </cell>
          <cell r="BW22">
            <v>-76523</v>
          </cell>
          <cell r="BX22">
            <v>-77186</v>
          </cell>
          <cell r="BY22">
            <v>-77185</v>
          </cell>
          <cell r="BZ22">
            <v>-77186</v>
          </cell>
          <cell r="CA22">
            <v>-61508</v>
          </cell>
          <cell r="CB22">
            <v>-61507</v>
          </cell>
          <cell r="CC22">
            <v>-61508</v>
          </cell>
          <cell r="CD22">
            <v>-61507</v>
          </cell>
          <cell r="CE22">
            <v>-61508</v>
          </cell>
          <cell r="CF22">
            <v>-61508</v>
          </cell>
          <cell r="CG22">
            <v>-56024</v>
          </cell>
          <cell r="CH22">
            <v>-56024</v>
          </cell>
          <cell r="CI22">
            <v>-56024</v>
          </cell>
          <cell r="CJ22">
            <v>-56686</v>
          </cell>
          <cell r="CK22">
            <v>-56687</v>
          </cell>
          <cell r="CL22">
            <v>-56686</v>
          </cell>
          <cell r="CM22">
            <v>-56686</v>
          </cell>
          <cell r="CN22">
            <v>-56687</v>
          </cell>
          <cell r="CO22">
            <v>-56686</v>
          </cell>
          <cell r="CP22">
            <v>-56686</v>
          </cell>
          <cell r="CQ22">
            <v>-56686</v>
          </cell>
          <cell r="CR22">
            <v>-56686</v>
          </cell>
          <cell r="CS22">
            <v>-56686</v>
          </cell>
          <cell r="CT22">
            <v>-56686</v>
          </cell>
          <cell r="CU22">
            <v>-56686</v>
          </cell>
          <cell r="CV22">
            <v>-57348</v>
          </cell>
          <cell r="CW22">
            <v>-57348</v>
          </cell>
          <cell r="CX22">
            <v>-57348</v>
          </cell>
          <cell r="CY22">
            <v>-42549</v>
          </cell>
          <cell r="CZ22">
            <v>-42549</v>
          </cell>
          <cell r="DA22">
            <v>-42549</v>
          </cell>
          <cell r="DB22">
            <v>-42549</v>
          </cell>
          <cell r="DC22">
            <v>0</v>
          </cell>
          <cell r="DD22">
            <v>0</v>
          </cell>
          <cell r="DE22">
            <v>0</v>
          </cell>
          <cell r="DF22">
            <v>0</v>
          </cell>
          <cell r="DG22">
            <v>0</v>
          </cell>
        </row>
        <row r="23">
          <cell r="A23">
            <v>4800010</v>
          </cell>
          <cell r="B23">
            <v>4800010</v>
          </cell>
          <cell r="C23" t="str">
            <v>Residential - 1</v>
          </cell>
          <cell r="D23">
            <v>-1123757.57</v>
          </cell>
          <cell r="E23">
            <v>-1108978.28</v>
          </cell>
          <cell r="F23">
            <v>-1034913.52</v>
          </cell>
          <cell r="G23">
            <v>-1000917.71</v>
          </cell>
          <cell r="H23">
            <v>-988763.96</v>
          </cell>
          <cell r="I23">
            <v>-983243.99</v>
          </cell>
          <cell r="J23">
            <v>-955649.02</v>
          </cell>
          <cell r="K23">
            <v>-962883.04</v>
          </cell>
          <cell r="L23">
            <v>-964213.07</v>
          </cell>
          <cell r="M23">
            <v>-977042.56</v>
          </cell>
          <cell r="N23">
            <v>-991025.68</v>
          </cell>
          <cell r="O23">
            <v>-1056258.95</v>
          </cell>
          <cell r="P23">
            <v>-1090069.98</v>
          </cell>
          <cell r="Q23">
            <v>-1092646.44</v>
          </cell>
          <cell r="R23">
            <v>-1082741.3400000001</v>
          </cell>
          <cell r="S23">
            <v>-1007301.09</v>
          </cell>
          <cell r="T23">
            <v>-978712.21</v>
          </cell>
          <cell r="U23">
            <v>-990341.05</v>
          </cell>
          <cell r="V23">
            <v>-1007297.72</v>
          </cell>
          <cell r="W23">
            <v>-996727.95</v>
          </cell>
          <cell r="X23">
            <v>-999472.18</v>
          </cell>
          <cell r="Y23">
            <v>-1009147.04</v>
          </cell>
          <cell r="Z23">
            <v>-1028063.33</v>
          </cell>
          <cell r="AA23">
            <v>-1066732.05</v>
          </cell>
          <cell r="AB23">
            <v>-1135715.8700000001</v>
          </cell>
          <cell r="AC23">
            <v>-1147514.45</v>
          </cell>
          <cell r="AD23">
            <v>-1102456.06</v>
          </cell>
          <cell r="AE23">
            <v>-1072272.92</v>
          </cell>
          <cell r="AF23">
            <v>-1041151.67</v>
          </cell>
          <cell r="AG23">
            <v>-1025289.49</v>
          </cell>
          <cell r="AH23">
            <v>-1198387.73</v>
          </cell>
          <cell r="AI23">
            <v>-1141902.45</v>
          </cell>
          <cell r="AJ23">
            <v>-1147790.9099999999</v>
          </cell>
          <cell r="AK23">
            <v>-1150771.1599999999</v>
          </cell>
          <cell r="AL23">
            <v>-1186605.78</v>
          </cell>
          <cell r="AM23">
            <v>-1239580.83</v>
          </cell>
          <cell r="AN23">
            <v>-1289449.42</v>
          </cell>
          <cell r="AO23">
            <v>-1258512.68</v>
          </cell>
          <cell r="AP23">
            <v>-1251539.02</v>
          </cell>
          <cell r="AQ23">
            <v>-1247043.1399999999</v>
          </cell>
          <cell r="AR23">
            <v>-1194248</v>
          </cell>
          <cell r="AS23">
            <v>-1170232.0900000001</v>
          </cell>
          <cell r="AT23">
            <v>-1421544.45</v>
          </cell>
          <cell r="AU23">
            <v>-1325841.24</v>
          </cell>
          <cell r="AV23">
            <v>-1357884.43</v>
          </cell>
          <cell r="AW23">
            <v>-1346338.45</v>
          </cell>
          <cell r="AX23">
            <v>-1393012.16</v>
          </cell>
          <cell r="AY23">
            <v>-1442612.78</v>
          </cell>
          <cell r="AZ23">
            <v>-1699603.85</v>
          </cell>
          <cell r="BA23">
            <v>-1516159.99</v>
          </cell>
          <cell r="BB23">
            <v>-1394358.8</v>
          </cell>
          <cell r="BC23">
            <v>-1454954.87</v>
          </cell>
          <cell r="BD23">
            <v>-1357513.53</v>
          </cell>
          <cell r="BE23">
            <v>-1361619.13</v>
          </cell>
          <cell r="BF23">
            <v>-1140248.82</v>
          </cell>
          <cell r="BG23">
            <v>-1207173.25</v>
          </cell>
          <cell r="BH23">
            <v>-1235488.28</v>
          </cell>
          <cell r="BI23">
            <v>-1229611.5</v>
          </cell>
          <cell r="BJ23">
            <v>-1235133.6200000001</v>
          </cell>
          <cell r="BK23">
            <v>-1312002.07</v>
          </cell>
          <cell r="BL23">
            <v>-1279160.02</v>
          </cell>
          <cell r="BM23">
            <v>-1259997.8400000001</v>
          </cell>
          <cell r="BN23">
            <v>-1244165.18</v>
          </cell>
          <cell r="BO23">
            <v>-1237461.5</v>
          </cell>
          <cell r="BP23">
            <v>-1190372.6499999999</v>
          </cell>
          <cell r="BQ23">
            <v>-1160059.42</v>
          </cell>
          <cell r="BR23">
            <v>-1249495.1299999999</v>
          </cell>
          <cell r="BS23">
            <v>-1227028.25</v>
          </cell>
          <cell r="BT23">
            <v>-1237025.74</v>
          </cell>
          <cell r="BU23">
            <v>-1232366.58</v>
          </cell>
          <cell r="BV23">
            <v>-1272527.83</v>
          </cell>
          <cell r="BW23">
            <v>-1332806.19</v>
          </cell>
          <cell r="BX23">
            <v>-1399845.78</v>
          </cell>
          <cell r="BY23">
            <v>-1351023.08</v>
          </cell>
          <cell r="BZ23">
            <v>-1317993.45</v>
          </cell>
          <cell r="CA23">
            <v>-1314006.42</v>
          </cell>
          <cell r="CB23">
            <v>-1297352.73</v>
          </cell>
          <cell r="CC23">
            <v>-1278766.0900000001</v>
          </cell>
          <cell r="CD23">
            <v>-1233667.2</v>
          </cell>
          <cell r="CE23">
            <v>-1246369.03</v>
          </cell>
          <cell r="CF23">
            <v>-1241044.3</v>
          </cell>
          <cell r="CG23">
            <v>-1255319.79</v>
          </cell>
          <cell r="CH23">
            <v>-1288495.03</v>
          </cell>
          <cell r="CI23">
            <v>-1405883.48</v>
          </cell>
          <cell r="CJ23">
            <v>-2060363.31</v>
          </cell>
          <cell r="CK23">
            <v>-1756566.78</v>
          </cell>
          <cell r="CL23">
            <v>-1745984.37</v>
          </cell>
          <cell r="CM23">
            <v>-1737212.25</v>
          </cell>
          <cell r="CN23">
            <v>-1646693.59</v>
          </cell>
          <cell r="CO23">
            <v>-1641667.89</v>
          </cell>
          <cell r="CP23">
            <v>-1723840.85</v>
          </cell>
          <cell r="CQ23">
            <v>-1687744.85</v>
          </cell>
          <cell r="CR23">
            <v>-1696247.71</v>
          </cell>
          <cell r="CS23">
            <v>-1694530.16</v>
          </cell>
          <cell r="CT23">
            <v>-1727752.61</v>
          </cell>
          <cell r="CU23">
            <v>-1812163.04</v>
          </cell>
          <cell r="CV23">
            <v>-1869175.01</v>
          </cell>
          <cell r="CW23">
            <v>-1852764.46</v>
          </cell>
          <cell r="CX23">
            <v>-1783221.62</v>
          </cell>
          <cell r="CY23">
            <v>-1761538.91</v>
          </cell>
          <cell r="CZ23">
            <v>-1728745.14</v>
          </cell>
          <cell r="DA23">
            <v>-1685993.79</v>
          </cell>
          <cell r="DB23">
            <v>-1932340.95</v>
          </cell>
          <cell r="DC23">
            <v>-1850379.74</v>
          </cell>
          <cell r="DD23">
            <v>-1844830.32</v>
          </cell>
          <cell r="DE23">
            <v>-1909712.7</v>
          </cell>
          <cell r="DF23">
            <v>-1876189.58</v>
          </cell>
          <cell r="DG23">
            <v>-1941871.02</v>
          </cell>
        </row>
        <row r="24">
          <cell r="A24">
            <v>4800011</v>
          </cell>
          <cell r="B24">
            <v>4800011</v>
          </cell>
          <cell r="C24" t="str">
            <v>Residential - 1 FUEL</v>
          </cell>
          <cell r="D24">
            <v>-770758.2</v>
          </cell>
          <cell r="E24">
            <v>-714784.27</v>
          </cell>
          <cell r="F24">
            <v>-467538.42</v>
          </cell>
          <cell r="G24">
            <v>-360765.72</v>
          </cell>
          <cell r="H24">
            <v>-335996.29</v>
          </cell>
          <cell r="I24">
            <v>-340609.68</v>
          </cell>
          <cell r="J24">
            <v>-212973.16</v>
          </cell>
          <cell r="K24">
            <v>-256646.22</v>
          </cell>
          <cell r="L24">
            <v>-254303.69</v>
          </cell>
          <cell r="M24">
            <v>-295731.59000000003</v>
          </cell>
          <cell r="N24">
            <v>-352911.14</v>
          </cell>
          <cell r="O24">
            <v>-557220.78</v>
          </cell>
          <cell r="P24">
            <v>-649630.09</v>
          </cell>
          <cell r="Q24">
            <v>-565637.94999999995</v>
          </cell>
          <cell r="R24">
            <v>-570837.39</v>
          </cell>
          <cell r="S24">
            <v>-327177.26</v>
          </cell>
          <cell r="T24">
            <v>-282907.7</v>
          </cell>
          <cell r="U24">
            <v>-335317.49</v>
          </cell>
          <cell r="V24">
            <v>-241321.86</v>
          </cell>
          <cell r="W24">
            <v>-258891.94</v>
          </cell>
          <cell r="X24">
            <v>-271385.94</v>
          </cell>
          <cell r="Y24">
            <v>-292583.88</v>
          </cell>
          <cell r="Z24">
            <v>-354467.78</v>
          </cell>
          <cell r="AA24">
            <v>-459819.36</v>
          </cell>
          <cell r="AB24">
            <v>-693091.44</v>
          </cell>
          <cell r="AC24">
            <v>-716826.16</v>
          </cell>
          <cell r="AD24">
            <v>-566894.07999999996</v>
          </cell>
          <cell r="AE24">
            <v>-448734.6</v>
          </cell>
          <cell r="AF24">
            <v>-356876.49</v>
          </cell>
          <cell r="AG24">
            <v>-285805.38</v>
          </cell>
          <cell r="AH24">
            <v>-253603.74</v>
          </cell>
          <cell r="AI24">
            <v>-273331.32</v>
          </cell>
          <cell r="AJ24">
            <v>-276329.84000000003</v>
          </cell>
          <cell r="AK24">
            <v>-285907.21999999997</v>
          </cell>
          <cell r="AL24">
            <v>-361398.83</v>
          </cell>
          <cell r="AM24">
            <v>-503085.01</v>
          </cell>
          <cell r="AN24">
            <v>-657485.02</v>
          </cell>
          <cell r="AO24">
            <v>-587978.17000000004</v>
          </cell>
          <cell r="AP24">
            <v>-530932.98</v>
          </cell>
          <cell r="AQ24">
            <v>-536744.39</v>
          </cell>
          <cell r="AR24">
            <v>-370128.54</v>
          </cell>
          <cell r="AS24">
            <v>-287172.37</v>
          </cell>
          <cell r="AT24">
            <v>-318320.84000000003</v>
          </cell>
          <cell r="AU24">
            <v>-339120.38</v>
          </cell>
          <cell r="AV24">
            <v>-454287.71</v>
          </cell>
          <cell r="AW24">
            <v>-428977.04</v>
          </cell>
          <cell r="AX24">
            <v>-583741.73</v>
          </cell>
          <cell r="AY24">
            <v>-733524.36</v>
          </cell>
          <cell r="AZ24">
            <v>-1735749.97</v>
          </cell>
          <cell r="BA24">
            <v>-1082647.8500000001</v>
          </cell>
          <cell r="BB24">
            <v>-526643.89</v>
          </cell>
          <cell r="BC24">
            <v>-754315.93</v>
          </cell>
          <cell r="BD24">
            <v>-434722.68</v>
          </cell>
          <cell r="BE24">
            <v>-416253.57</v>
          </cell>
          <cell r="BF24">
            <v>-254097.03</v>
          </cell>
          <cell r="BG24">
            <v>-296455.69</v>
          </cell>
          <cell r="BH24">
            <v>-349032.51</v>
          </cell>
          <cell r="BI24">
            <v>-296844.2</v>
          </cell>
          <cell r="BJ24">
            <v>-405213.61</v>
          </cell>
          <cell r="BK24">
            <v>-578834.14</v>
          </cell>
          <cell r="BL24">
            <v>-794965.4</v>
          </cell>
          <cell r="BM24">
            <v>-672374.49</v>
          </cell>
          <cell r="BN24">
            <v>-685534.66</v>
          </cell>
          <cell r="BO24">
            <v>-705876.81</v>
          </cell>
          <cell r="BP24">
            <v>-503851.43</v>
          </cell>
          <cell r="BQ24">
            <v>-397916.69</v>
          </cell>
          <cell r="BR24">
            <v>-360560.58</v>
          </cell>
          <cell r="BS24">
            <v>-296601.46999999997</v>
          </cell>
          <cell r="BT24">
            <v>-366116.49</v>
          </cell>
          <cell r="BU24">
            <v>-347111.69</v>
          </cell>
          <cell r="BV24">
            <v>-494186.19</v>
          </cell>
          <cell r="BW24">
            <v>-677520.63</v>
          </cell>
          <cell r="BX24">
            <v>-826459.72</v>
          </cell>
          <cell r="BY24">
            <v>-683943.06</v>
          </cell>
          <cell r="BZ24">
            <v>-559976.63</v>
          </cell>
          <cell r="CA24">
            <v>-563285.15</v>
          </cell>
          <cell r="CB24">
            <v>-513848.38</v>
          </cell>
          <cell r="CC24">
            <v>-439630.55</v>
          </cell>
          <cell r="CD24">
            <v>-327503.69</v>
          </cell>
          <cell r="CE24">
            <v>-356799.91</v>
          </cell>
          <cell r="CF24">
            <v>-346085.9</v>
          </cell>
          <cell r="CG24">
            <v>-430128.5</v>
          </cell>
          <cell r="CH24">
            <v>-576679.09</v>
          </cell>
          <cell r="CI24">
            <v>-998888.69</v>
          </cell>
          <cell r="CJ24">
            <v>-1233709.33</v>
          </cell>
          <cell r="CK24">
            <v>-879972.06</v>
          </cell>
          <cell r="CL24">
            <v>-1017595.32</v>
          </cell>
          <cell r="CM24">
            <v>-923069.27</v>
          </cell>
          <cell r="CN24">
            <v>-584730.22</v>
          </cell>
          <cell r="CO24">
            <v>-554189.86</v>
          </cell>
          <cell r="CP24">
            <v>-382192.26</v>
          </cell>
          <cell r="CQ24">
            <v>-415539.11</v>
          </cell>
          <cell r="CR24">
            <v>-455325.18</v>
          </cell>
          <cell r="CS24">
            <v>-453587.7</v>
          </cell>
          <cell r="CT24">
            <v>-584175.04</v>
          </cell>
          <cell r="CU24">
            <v>-903150.13</v>
          </cell>
          <cell r="CV24">
            <v>-1271735.78</v>
          </cell>
          <cell r="CW24">
            <v>-1144855.78</v>
          </cell>
          <cell r="CX24">
            <v>-826585.5</v>
          </cell>
          <cell r="CY24">
            <v>-755428.6</v>
          </cell>
          <cell r="CZ24">
            <v>-633417.74</v>
          </cell>
          <cell r="DA24">
            <v>-471659.36</v>
          </cell>
          <cell r="DB24">
            <v>-454697.45</v>
          </cell>
          <cell r="DC24">
            <v>-783934.44</v>
          </cell>
          <cell r="DD24">
            <v>-682876.26</v>
          </cell>
          <cell r="DE24">
            <v>-1003428.2</v>
          </cell>
          <cell r="DF24">
            <v>-336322.11</v>
          </cell>
          <cell r="DG24">
            <v>-724281.58</v>
          </cell>
        </row>
        <row r="25">
          <cell r="A25">
            <v>4800020</v>
          </cell>
          <cell r="B25">
            <v>4800020</v>
          </cell>
          <cell r="C25" t="str">
            <v>Residential - 2</v>
          </cell>
          <cell r="D25">
            <v>-3650840.93</v>
          </cell>
          <cell r="E25">
            <v>-3677647.53</v>
          </cell>
          <cell r="F25">
            <v>-2972908.65</v>
          </cell>
          <cell r="G25">
            <v>-2971772.45</v>
          </cell>
          <cell r="H25">
            <v>-2810926.02</v>
          </cell>
          <cell r="I25">
            <v>-2836539.01</v>
          </cell>
          <cell r="J25">
            <v>-2701163.3</v>
          </cell>
          <cell r="K25">
            <v>-2693952.56</v>
          </cell>
          <cell r="L25">
            <v>-2760352.52</v>
          </cell>
          <cell r="M25">
            <v>-2796087.8</v>
          </cell>
          <cell r="N25">
            <v>-2909400.92</v>
          </cell>
          <cell r="O25">
            <v>-3324127</v>
          </cell>
          <cell r="P25">
            <v>-3460385.14</v>
          </cell>
          <cell r="Q25">
            <v>-3530784.26</v>
          </cell>
          <cell r="R25">
            <v>-3324284.94</v>
          </cell>
          <cell r="S25">
            <v>-2777722.27</v>
          </cell>
          <cell r="T25">
            <v>-2797611.88</v>
          </cell>
          <cell r="U25">
            <v>-2846355.06</v>
          </cell>
          <cell r="V25">
            <v>-2626530.0499999998</v>
          </cell>
          <cell r="W25">
            <v>-2716254.15</v>
          </cell>
          <cell r="X25">
            <v>-2710252.78</v>
          </cell>
          <cell r="Y25">
            <v>-2731631.16</v>
          </cell>
          <cell r="Z25">
            <v>-2824199.01</v>
          </cell>
          <cell r="AA25">
            <v>-2942717.88</v>
          </cell>
          <cell r="AB25">
            <v>-3348226.74</v>
          </cell>
          <cell r="AC25">
            <v>-3529754.95</v>
          </cell>
          <cell r="AD25">
            <v>-3038086.41</v>
          </cell>
          <cell r="AE25">
            <v>-2866995.67</v>
          </cell>
          <cell r="AF25">
            <v>-2834519.84</v>
          </cell>
          <cell r="AG25">
            <v>-2793114.71</v>
          </cell>
          <cell r="AH25">
            <v>-2999184.04</v>
          </cell>
          <cell r="AI25">
            <v>-2926513.16</v>
          </cell>
          <cell r="AJ25">
            <v>-2970934.05</v>
          </cell>
          <cell r="AK25">
            <v>-2968329.67</v>
          </cell>
          <cell r="AL25">
            <v>-3093976.96</v>
          </cell>
          <cell r="AM25">
            <v>-3329210.97</v>
          </cell>
          <cell r="AN25">
            <v>-3557472.13</v>
          </cell>
          <cell r="AO25">
            <v>-3431936.76</v>
          </cell>
          <cell r="AP25">
            <v>-3237217.56</v>
          </cell>
          <cell r="AQ25">
            <v>-3224541.52</v>
          </cell>
          <cell r="AR25">
            <v>-3057622.32</v>
          </cell>
          <cell r="AS25">
            <v>-3033381.46</v>
          </cell>
          <cell r="AT25">
            <v>-2979018.25</v>
          </cell>
          <cell r="AU25">
            <v>-2961387.8</v>
          </cell>
          <cell r="AV25">
            <v>-3063338.64</v>
          </cell>
          <cell r="AW25">
            <v>-3017753.89</v>
          </cell>
          <cell r="AX25">
            <v>-3154432.45</v>
          </cell>
          <cell r="AY25">
            <v>-3460827.44</v>
          </cell>
          <cell r="AZ25">
            <v>-4485574.47</v>
          </cell>
          <cell r="BA25">
            <v>-3676223.9</v>
          </cell>
          <cell r="BB25">
            <v>-3110078.88</v>
          </cell>
          <cell r="BC25">
            <v>-3359639.28</v>
          </cell>
          <cell r="BD25">
            <v>-3044320.01</v>
          </cell>
          <cell r="BE25">
            <v>-3058209.74</v>
          </cell>
          <cell r="BF25">
            <v>-2897730.33</v>
          </cell>
          <cell r="BG25">
            <v>-2908617.5</v>
          </cell>
          <cell r="BH25">
            <v>-3005616.5</v>
          </cell>
          <cell r="BI25">
            <v>-2944287.06</v>
          </cell>
          <cell r="BJ25">
            <v>-3020568.92</v>
          </cell>
          <cell r="BK25">
            <v>-3415087.63</v>
          </cell>
          <cell r="BL25">
            <v>-3392815.14</v>
          </cell>
          <cell r="BM25">
            <v>-3334106.37</v>
          </cell>
          <cell r="BN25">
            <v>-2992659.11</v>
          </cell>
          <cell r="BO25">
            <v>-2974883.43</v>
          </cell>
          <cell r="BP25">
            <v>-2870009.36</v>
          </cell>
          <cell r="BQ25">
            <v>-2788627.64</v>
          </cell>
          <cell r="BR25">
            <v>-2836308.35</v>
          </cell>
          <cell r="BS25">
            <v>-2823005.96</v>
          </cell>
          <cell r="BT25">
            <v>-2880994.57</v>
          </cell>
          <cell r="BU25">
            <v>-2842735.31</v>
          </cell>
          <cell r="BV25">
            <v>-3010168.62</v>
          </cell>
          <cell r="BW25">
            <v>-3263560.11</v>
          </cell>
          <cell r="BX25">
            <v>-3443992.14</v>
          </cell>
          <cell r="BY25">
            <v>-3357032.31</v>
          </cell>
          <cell r="BZ25">
            <v>-3122587.6</v>
          </cell>
          <cell r="CA25">
            <v>-3038664.26</v>
          </cell>
          <cell r="CB25">
            <v>-3022112.46</v>
          </cell>
          <cell r="CC25">
            <v>-2979229.48</v>
          </cell>
          <cell r="CD25">
            <v>-2936592.37</v>
          </cell>
          <cell r="CE25">
            <v>-2952246.08</v>
          </cell>
          <cell r="CF25">
            <v>-2948571.11</v>
          </cell>
          <cell r="CG25">
            <v>-2978161.62</v>
          </cell>
          <cell r="CH25">
            <v>-3076992.17</v>
          </cell>
          <cell r="CI25">
            <v>-3578254.06</v>
          </cell>
          <cell r="CJ25">
            <v>-5110198.3099999996</v>
          </cell>
          <cell r="CK25">
            <v>-4169454.47</v>
          </cell>
          <cell r="CL25">
            <v>-3979312.58</v>
          </cell>
          <cell r="CM25">
            <v>-3956333.25</v>
          </cell>
          <cell r="CN25">
            <v>-3736932.5</v>
          </cell>
          <cell r="CO25">
            <v>-3728859.76</v>
          </cell>
          <cell r="CP25">
            <v>-3700434.73</v>
          </cell>
          <cell r="CQ25">
            <v>-3677722.72</v>
          </cell>
          <cell r="CR25">
            <v>-3732785.26</v>
          </cell>
          <cell r="CS25">
            <v>-3709848.29</v>
          </cell>
          <cell r="CT25">
            <v>-3834912.87</v>
          </cell>
          <cell r="CU25">
            <v>-4173628.76</v>
          </cell>
          <cell r="CV25">
            <v>-4379702.5</v>
          </cell>
          <cell r="CW25">
            <v>-4548536.16</v>
          </cell>
          <cell r="CX25">
            <v>-3856917.85</v>
          </cell>
          <cell r="CY25">
            <v>-3870970.26</v>
          </cell>
          <cell r="CZ25">
            <v>-3819385.93</v>
          </cell>
          <cell r="DA25">
            <v>-3726940.25</v>
          </cell>
          <cell r="DB25">
            <v>-3852880.37</v>
          </cell>
          <cell r="DC25">
            <v>-3829867.36</v>
          </cell>
          <cell r="DD25">
            <v>-3817165.88</v>
          </cell>
          <cell r="DE25">
            <v>-4016430.98</v>
          </cell>
          <cell r="DF25">
            <v>-3952089.92</v>
          </cell>
          <cell r="DG25">
            <v>-4187511.38</v>
          </cell>
        </row>
        <row r="26">
          <cell r="A26">
            <v>4800021</v>
          </cell>
          <cell r="B26">
            <v>4800021</v>
          </cell>
          <cell r="C26" t="str">
            <v>Residential - 2 FUEL</v>
          </cell>
          <cell r="D26">
            <v>-4241828</v>
          </cell>
          <cell r="E26">
            <v>-4268146.91</v>
          </cell>
          <cell r="F26">
            <v>-1952911.05</v>
          </cell>
          <cell r="G26">
            <v>-1932921.97</v>
          </cell>
          <cell r="H26">
            <v>-1430202.7</v>
          </cell>
          <cell r="I26">
            <v>-1597812.13</v>
          </cell>
          <cell r="J26">
            <v>-1288744.1000000001</v>
          </cell>
          <cell r="K26">
            <v>-1204265.9099999999</v>
          </cell>
          <cell r="L26">
            <v>-1380276.73</v>
          </cell>
          <cell r="M26">
            <v>-1485531.85</v>
          </cell>
          <cell r="N26">
            <v>-1844626.27</v>
          </cell>
          <cell r="O26">
            <v>-3255707.26</v>
          </cell>
          <cell r="P26">
            <v>-3554300.79</v>
          </cell>
          <cell r="Q26">
            <v>-3308954.57</v>
          </cell>
          <cell r="R26">
            <v>-2830188</v>
          </cell>
          <cell r="S26">
            <v>-1148477.22</v>
          </cell>
          <cell r="T26">
            <v>-1357190.21</v>
          </cell>
          <cell r="U26">
            <v>-1559571.87</v>
          </cell>
          <cell r="V26">
            <v>-1175282.47</v>
          </cell>
          <cell r="W26">
            <v>-1327278.55</v>
          </cell>
          <cell r="X26">
            <v>-1318245.8799999999</v>
          </cell>
          <cell r="Y26">
            <v>-1354580.88</v>
          </cell>
          <cell r="Z26">
            <v>-1639862.71</v>
          </cell>
          <cell r="AA26">
            <v>-1965290.68</v>
          </cell>
          <cell r="AB26">
            <v>-3327589.59</v>
          </cell>
          <cell r="AC26">
            <v>-3882314.14</v>
          </cell>
          <cell r="AD26">
            <v>-2202942.4300000002</v>
          </cell>
          <cell r="AE26">
            <v>-1593092.86</v>
          </cell>
          <cell r="AF26">
            <v>-1497143.84</v>
          </cell>
          <cell r="AG26">
            <v>-1295145.26</v>
          </cell>
          <cell r="AH26">
            <v>-1230097.83</v>
          </cell>
          <cell r="AI26">
            <v>-1248929.77</v>
          </cell>
          <cell r="AJ26">
            <v>-1271987.47</v>
          </cell>
          <cell r="AK26">
            <v>-1279373.77</v>
          </cell>
          <cell r="AL26">
            <v>-1495421.59</v>
          </cell>
          <cell r="AM26">
            <v>-2160227.89</v>
          </cell>
          <cell r="AN26">
            <v>-2818524.69</v>
          </cell>
          <cell r="AO26">
            <v>-2605958.7200000002</v>
          </cell>
          <cell r="AP26">
            <v>-1929065.59</v>
          </cell>
          <cell r="AQ26">
            <v>-1936665.04</v>
          </cell>
          <cell r="AR26">
            <v>-1405874.41</v>
          </cell>
          <cell r="AS26">
            <v>-1283000.73</v>
          </cell>
          <cell r="AT26">
            <v>-1323055.1200000001</v>
          </cell>
          <cell r="AU26">
            <v>-1349625.64</v>
          </cell>
          <cell r="AV26">
            <v>-1781448.4</v>
          </cell>
          <cell r="AW26">
            <v>-1614282.53</v>
          </cell>
          <cell r="AX26">
            <v>-2031804.07</v>
          </cell>
          <cell r="AY26">
            <v>-3028470.43</v>
          </cell>
          <cell r="AZ26">
            <v>-7118368.5499999998</v>
          </cell>
          <cell r="BA26">
            <v>-4185348.5</v>
          </cell>
          <cell r="BB26">
            <v>-1722364.71</v>
          </cell>
          <cell r="BC26">
            <v>-2652915.7799999998</v>
          </cell>
          <cell r="BD26">
            <v>-1588186.62</v>
          </cell>
          <cell r="BE26">
            <v>-1544913.93</v>
          </cell>
          <cell r="BF26">
            <v>-1328141.83</v>
          </cell>
          <cell r="BG26">
            <v>-1281724.2</v>
          </cell>
          <cell r="BH26">
            <v>-1510062.52</v>
          </cell>
          <cell r="BI26">
            <v>-1246101.82</v>
          </cell>
          <cell r="BJ26">
            <v>-1574414.64</v>
          </cell>
          <cell r="BK26">
            <v>-2724438.62</v>
          </cell>
          <cell r="BL26">
            <v>-3565619.04</v>
          </cell>
          <cell r="BM26">
            <v>-3224154.6</v>
          </cell>
          <cell r="BN26">
            <v>-2304365.9700000002</v>
          </cell>
          <cell r="BO26">
            <v>-2374891.5099999998</v>
          </cell>
          <cell r="BP26">
            <v>-1865932.48</v>
          </cell>
          <cell r="BQ26">
            <v>-1567937.67</v>
          </cell>
          <cell r="BR26">
            <v>-1565824.43</v>
          </cell>
          <cell r="BS26">
            <v>-1212940.32</v>
          </cell>
          <cell r="BT26">
            <v>-1523928.93</v>
          </cell>
          <cell r="BU26">
            <v>-1386024.19</v>
          </cell>
          <cell r="BV26">
            <v>-1950176.29</v>
          </cell>
          <cell r="BW26">
            <v>-2765237.68</v>
          </cell>
          <cell r="BX26">
            <v>-3184360.41</v>
          </cell>
          <cell r="BY26">
            <v>-2832867.33</v>
          </cell>
          <cell r="BZ26">
            <v>-2027038.46</v>
          </cell>
          <cell r="CA26">
            <v>-1822756.63</v>
          </cell>
          <cell r="CB26">
            <v>-1752563.81</v>
          </cell>
          <cell r="CC26">
            <v>-1574642.9</v>
          </cell>
          <cell r="CD26">
            <v>-1251360.08</v>
          </cell>
          <cell r="CE26">
            <v>-1353756.44</v>
          </cell>
          <cell r="CF26">
            <v>-1327943.3500000001</v>
          </cell>
          <cell r="CG26">
            <v>-1561634.31</v>
          </cell>
          <cell r="CH26">
            <v>-1980925.3</v>
          </cell>
          <cell r="CI26">
            <v>-3774337.14</v>
          </cell>
          <cell r="CJ26">
            <v>-5075077.84</v>
          </cell>
          <cell r="CK26">
            <v>-3234834.73</v>
          </cell>
          <cell r="CL26">
            <v>-3175034.32</v>
          </cell>
          <cell r="CM26">
            <v>-2842560.43</v>
          </cell>
          <cell r="CN26">
            <v>-2001838.84</v>
          </cell>
          <cell r="CO26">
            <v>-1936450.4</v>
          </cell>
          <cell r="CP26">
            <v>-1789648.38</v>
          </cell>
          <cell r="CQ26">
            <v>-1697839.55</v>
          </cell>
          <cell r="CR26">
            <v>-1911031.37</v>
          </cell>
          <cell r="CS26">
            <v>-1812172.92</v>
          </cell>
          <cell r="CT26">
            <v>-2288483.29</v>
          </cell>
          <cell r="CU26">
            <v>-3563484.57</v>
          </cell>
          <cell r="CV26">
            <v>-4953632.05</v>
          </cell>
          <cell r="CW26">
            <v>-5410473.21</v>
          </cell>
          <cell r="CX26">
            <v>-2466258.96</v>
          </cell>
          <cell r="CY26">
            <v>-2530796.9500000002</v>
          </cell>
          <cell r="CZ26">
            <v>-2304976.6</v>
          </cell>
          <cell r="DA26">
            <v>-1918903.92</v>
          </cell>
          <cell r="DB26">
            <v>-1836702.06</v>
          </cell>
          <cell r="DC26">
            <v>-3209575.45</v>
          </cell>
          <cell r="DD26">
            <v>-2752011.36</v>
          </cell>
          <cell r="DE26">
            <v>-3692707.39</v>
          </cell>
          <cell r="DF26">
            <v>-1396520.3</v>
          </cell>
          <cell r="DG26">
            <v>-2839896.55</v>
          </cell>
        </row>
        <row r="27">
          <cell r="A27">
            <v>4800030</v>
          </cell>
          <cell r="B27">
            <v>4800030</v>
          </cell>
          <cell r="C27" t="str">
            <v>Residential - 3</v>
          </cell>
          <cell r="D27">
            <v>-3003917.18</v>
          </cell>
          <cell r="E27">
            <v>-2927497.48</v>
          </cell>
          <cell r="F27">
            <v>-2344904.16</v>
          </cell>
          <cell r="G27">
            <v>-2258801.17</v>
          </cell>
          <cell r="H27">
            <v>-1965259.48</v>
          </cell>
          <cell r="I27">
            <v>-1964483.37</v>
          </cell>
          <cell r="J27">
            <v>-1978925.39</v>
          </cell>
          <cell r="K27">
            <v>-1913618.14</v>
          </cell>
          <cell r="L27">
            <v>-1988247.54</v>
          </cell>
          <cell r="M27">
            <v>-2048002.19</v>
          </cell>
          <cell r="N27">
            <v>-2316874.75</v>
          </cell>
          <cell r="O27">
            <v>-2832867.6</v>
          </cell>
          <cell r="P27">
            <v>-2996645.28</v>
          </cell>
          <cell r="Q27">
            <v>-3001146.36</v>
          </cell>
          <cell r="R27">
            <v>-2820240.74</v>
          </cell>
          <cell r="S27">
            <v>-2100128.46</v>
          </cell>
          <cell r="T27">
            <v>-2034966.04</v>
          </cell>
          <cell r="U27">
            <v>-2083415.54</v>
          </cell>
          <cell r="V27">
            <v>-2087047.77</v>
          </cell>
          <cell r="W27">
            <v>-2099604.88</v>
          </cell>
          <cell r="X27">
            <v>-2098977.6</v>
          </cell>
          <cell r="Y27">
            <v>-2159089.61</v>
          </cell>
          <cell r="Z27">
            <v>-2323887.7000000002</v>
          </cell>
          <cell r="AA27">
            <v>-2540867.6800000002</v>
          </cell>
          <cell r="AB27">
            <v>-3113929.27</v>
          </cell>
          <cell r="AC27">
            <v>-3334982.14</v>
          </cell>
          <cell r="AD27">
            <v>-2698632.23</v>
          </cell>
          <cell r="AE27">
            <v>-2397498.2400000002</v>
          </cell>
          <cell r="AF27">
            <v>-2287868.66</v>
          </cell>
          <cell r="AG27">
            <v>-2170062.52</v>
          </cell>
          <cell r="AH27">
            <v>-1488762.42</v>
          </cell>
          <cell r="AI27">
            <v>-1726566.77</v>
          </cell>
          <cell r="AJ27">
            <v>-1788064.03</v>
          </cell>
          <cell r="AK27">
            <v>-1804713.55</v>
          </cell>
          <cell r="AL27">
            <v>-2071440.18</v>
          </cell>
          <cell r="AM27">
            <v>-2338465.85</v>
          </cell>
          <cell r="AN27">
            <v>-2577134.0699999998</v>
          </cell>
          <cell r="AO27">
            <v>-2367034.7200000002</v>
          </cell>
          <cell r="AP27">
            <v>-2278716.88</v>
          </cell>
          <cell r="AQ27">
            <v>-2281069.02</v>
          </cell>
          <cell r="AR27">
            <v>-1994058.67</v>
          </cell>
          <cell r="AS27">
            <v>-1900042.14</v>
          </cell>
          <cell r="AT27">
            <v>-1443405.54</v>
          </cell>
          <cell r="AU27">
            <v>-1593871.16</v>
          </cell>
          <cell r="AV27">
            <v>-1718104.67</v>
          </cell>
          <cell r="AW27">
            <v>-1704381.53</v>
          </cell>
          <cell r="AX27">
            <v>-1953745.19</v>
          </cell>
          <cell r="AY27">
            <v>-2257532.61</v>
          </cell>
          <cell r="AZ27">
            <v>-3038184.22</v>
          </cell>
          <cell r="BA27">
            <v>-2344555.35</v>
          </cell>
          <cell r="BB27">
            <v>-2147861.8199999998</v>
          </cell>
          <cell r="BC27">
            <v>-2377416.69</v>
          </cell>
          <cell r="BD27">
            <v>-1897601.82</v>
          </cell>
          <cell r="BE27">
            <v>-1874079.08</v>
          </cell>
          <cell r="BF27">
            <v>-2318452.91</v>
          </cell>
          <cell r="BG27">
            <v>-2153105.27</v>
          </cell>
          <cell r="BH27">
            <v>-2267015.77</v>
          </cell>
          <cell r="BI27">
            <v>-2239649.64</v>
          </cell>
          <cell r="BJ27">
            <v>-2491818.86</v>
          </cell>
          <cell r="BK27">
            <v>-3070957.6</v>
          </cell>
          <cell r="BL27">
            <v>-3253477.36</v>
          </cell>
          <cell r="BM27">
            <v>-2969919.7</v>
          </cell>
          <cell r="BN27">
            <v>-2709469.29</v>
          </cell>
          <cell r="BO27">
            <v>-2728394.4</v>
          </cell>
          <cell r="BP27">
            <v>-2396125.0099999998</v>
          </cell>
          <cell r="BQ27">
            <v>-2207677.84</v>
          </cell>
          <cell r="BR27">
            <v>-2006666.34</v>
          </cell>
          <cell r="BS27">
            <v>-2117019.21</v>
          </cell>
          <cell r="BT27">
            <v>-2182209.58</v>
          </cell>
          <cell r="BU27">
            <v>-2229680.0099999998</v>
          </cell>
          <cell r="BV27">
            <v>-2501978.66</v>
          </cell>
          <cell r="BW27">
            <v>-3041588.2</v>
          </cell>
          <cell r="BX27">
            <v>-3234378.44</v>
          </cell>
          <cell r="BY27">
            <v>-3039074.43</v>
          </cell>
          <cell r="BZ27">
            <v>-2877904.08</v>
          </cell>
          <cell r="CA27">
            <v>-2809083.5</v>
          </cell>
          <cell r="CB27">
            <v>-2690485.07</v>
          </cell>
          <cell r="CC27">
            <v>-2558907.13</v>
          </cell>
          <cell r="CD27">
            <v>-2361553.2599999998</v>
          </cell>
          <cell r="CE27">
            <v>-2460609.71</v>
          </cell>
          <cell r="CF27">
            <v>-2479758.39</v>
          </cell>
          <cell r="CG27">
            <v>-2611692.2000000002</v>
          </cell>
          <cell r="CH27">
            <v>-2856745.61</v>
          </cell>
          <cell r="CI27">
            <v>-3639926.15</v>
          </cell>
          <cell r="CJ27">
            <v>-5148943.25</v>
          </cell>
          <cell r="CK27">
            <v>-4072084.89</v>
          </cell>
          <cell r="CL27">
            <v>-4100457.71</v>
          </cell>
          <cell r="CM27">
            <v>-4128056.56</v>
          </cell>
          <cell r="CN27">
            <v>-3542530.83</v>
          </cell>
          <cell r="CO27">
            <v>-3573687.16</v>
          </cell>
          <cell r="CP27">
            <v>-3266435.47</v>
          </cell>
          <cell r="CQ27">
            <v>-3315235.63</v>
          </cell>
          <cell r="CR27">
            <v>-3436898.46</v>
          </cell>
          <cell r="CS27">
            <v>-3533330.31</v>
          </cell>
          <cell r="CT27">
            <v>-3920277.03</v>
          </cell>
          <cell r="CU27">
            <v>-4611249.84</v>
          </cell>
          <cell r="CV27">
            <v>-4954379.0999999996</v>
          </cell>
          <cell r="CW27">
            <v>-4870371.74</v>
          </cell>
          <cell r="CX27">
            <v>-4290662.6900000004</v>
          </cell>
          <cell r="CY27">
            <v>-4211643.7699999996</v>
          </cell>
          <cell r="CZ27">
            <v>-4012826.18</v>
          </cell>
          <cell r="DA27">
            <v>-3731671.06</v>
          </cell>
          <cell r="DB27">
            <v>-3064618.37</v>
          </cell>
          <cell r="DC27">
            <v>-3385419.81</v>
          </cell>
          <cell r="DD27">
            <v>-3426024.56</v>
          </cell>
          <cell r="DE27">
            <v>-3856332.33</v>
          </cell>
          <cell r="DF27">
            <v>-3928397.52</v>
          </cell>
          <cell r="DG27">
            <v>-4414846.87</v>
          </cell>
        </row>
        <row r="28">
          <cell r="A28">
            <v>4800031</v>
          </cell>
          <cell r="B28">
            <v>4800031</v>
          </cell>
          <cell r="C28" t="str">
            <v>Residential - 3 FUEL</v>
          </cell>
          <cell r="D28">
            <v>-4889858.78</v>
          </cell>
          <cell r="E28">
            <v>-4577722.2300000004</v>
          </cell>
          <cell r="F28">
            <v>-2664808.54</v>
          </cell>
          <cell r="G28">
            <v>-2350455.69</v>
          </cell>
          <cell r="H28">
            <v>-1394585.89</v>
          </cell>
          <cell r="I28">
            <v>-1446309.31</v>
          </cell>
          <cell r="J28">
            <v>-1297688.6000000001</v>
          </cell>
          <cell r="K28">
            <v>-1130981.76</v>
          </cell>
          <cell r="L28">
            <v>-1318235.24</v>
          </cell>
          <cell r="M28">
            <v>-1514616.12</v>
          </cell>
          <cell r="N28">
            <v>-2385792.7999999998</v>
          </cell>
          <cell r="O28">
            <v>-4177449.17</v>
          </cell>
          <cell r="P28">
            <v>-4526055.6100000003</v>
          </cell>
          <cell r="Q28">
            <v>-3975966.03</v>
          </cell>
          <cell r="R28">
            <v>-3600211.42</v>
          </cell>
          <cell r="S28">
            <v>-1388281.39</v>
          </cell>
          <cell r="T28">
            <v>-1328868.5900000001</v>
          </cell>
          <cell r="U28">
            <v>-1490863.85</v>
          </cell>
          <cell r="V28">
            <v>-1239660.1499999999</v>
          </cell>
          <cell r="W28">
            <v>-1326903.1399999999</v>
          </cell>
          <cell r="X28">
            <v>-1321254.08</v>
          </cell>
          <cell r="Y28">
            <v>-1491199.52</v>
          </cell>
          <cell r="Z28">
            <v>-2023598.18</v>
          </cell>
          <cell r="AA28">
            <v>-2688150.33</v>
          </cell>
          <cell r="AB28">
            <v>-4614382.08</v>
          </cell>
          <cell r="AC28">
            <v>-5311641.12</v>
          </cell>
          <cell r="AD28">
            <v>-3164857.42</v>
          </cell>
          <cell r="AE28">
            <v>-2049301.37</v>
          </cell>
          <cell r="AF28">
            <v>-1693071.94</v>
          </cell>
          <cell r="AG28">
            <v>-1220629.99</v>
          </cell>
          <cell r="AH28">
            <v>-877376.1</v>
          </cell>
          <cell r="AI28">
            <v>-1008877.33</v>
          </cell>
          <cell r="AJ28">
            <v>-1088264.8999999999</v>
          </cell>
          <cell r="AK28">
            <v>-1132433.8999999999</v>
          </cell>
          <cell r="AL28">
            <v>-1753971.41</v>
          </cell>
          <cell r="AM28">
            <v>-2493288.37</v>
          </cell>
          <cell r="AN28">
            <v>-3178693.5</v>
          </cell>
          <cell r="AO28">
            <v>-2729167.15</v>
          </cell>
          <cell r="AP28">
            <v>-2340963.1800000002</v>
          </cell>
          <cell r="AQ28">
            <v>-2325773.98</v>
          </cell>
          <cell r="AR28">
            <v>-1410660.16</v>
          </cell>
          <cell r="AS28">
            <v>-1035027.16</v>
          </cell>
          <cell r="AT28">
            <v>-913709.86</v>
          </cell>
          <cell r="AU28">
            <v>-997039.76</v>
          </cell>
          <cell r="AV28">
            <v>-1394696.83</v>
          </cell>
          <cell r="AW28">
            <v>-1331919.1399999999</v>
          </cell>
          <cell r="AX28">
            <v>-2085118.72</v>
          </cell>
          <cell r="AY28">
            <v>-3009378.22</v>
          </cell>
          <cell r="AZ28">
            <v>-6058565.9500000002</v>
          </cell>
          <cell r="BA28">
            <v>-3541014.76</v>
          </cell>
          <cell r="BB28">
            <v>-2344767.87</v>
          </cell>
          <cell r="BC28">
            <v>-3132351.89</v>
          </cell>
          <cell r="BD28">
            <v>-1475808.63</v>
          </cell>
          <cell r="BE28">
            <v>-1217503.77</v>
          </cell>
          <cell r="BF28">
            <v>-1415446.15</v>
          </cell>
          <cell r="BG28">
            <v>-1235226.6200000001</v>
          </cell>
          <cell r="BH28">
            <v>-1499472.71</v>
          </cell>
          <cell r="BI28">
            <v>-1266829.8</v>
          </cell>
          <cell r="BJ28">
            <v>-2068130.42</v>
          </cell>
          <cell r="BK28">
            <v>-3747008.65</v>
          </cell>
          <cell r="BL28">
            <v>-5212320.2300000004</v>
          </cell>
          <cell r="BM28">
            <v>-4072976.1</v>
          </cell>
          <cell r="BN28">
            <v>-3480959.38</v>
          </cell>
          <cell r="BO28">
            <v>-3745581.75</v>
          </cell>
          <cell r="BP28">
            <v>-2236572.33</v>
          </cell>
          <cell r="BQ28">
            <v>-1427397.87</v>
          </cell>
          <cell r="BR28">
            <v>-1442436.63</v>
          </cell>
          <cell r="BS28">
            <v>-1180723.6599999999</v>
          </cell>
          <cell r="BT28">
            <v>-1463128.26</v>
          </cell>
          <cell r="BU28">
            <v>-1529065.35</v>
          </cell>
          <cell r="BV28">
            <v>-2384045.46</v>
          </cell>
          <cell r="BW28">
            <v>-4088378.1</v>
          </cell>
          <cell r="BX28">
            <v>-4570405.28</v>
          </cell>
          <cell r="BY28">
            <v>-3659445.24</v>
          </cell>
          <cell r="BZ28">
            <v>-2980431.52</v>
          </cell>
          <cell r="CA28">
            <v>-2760879.26</v>
          </cell>
          <cell r="CB28">
            <v>-2316953.0099999998</v>
          </cell>
          <cell r="CC28">
            <v>-1802490.65</v>
          </cell>
          <cell r="CD28">
            <v>-1147227.67</v>
          </cell>
          <cell r="CE28">
            <v>-1356427.73</v>
          </cell>
          <cell r="CF28">
            <v>-1347468.91</v>
          </cell>
          <cell r="CG28">
            <v>-1833625.78</v>
          </cell>
          <cell r="CH28">
            <v>-2682740.31</v>
          </cell>
          <cell r="CI28">
            <v>-5467712.4699999997</v>
          </cell>
          <cell r="CJ28">
            <v>-6798181.04</v>
          </cell>
          <cell r="CK28">
            <v>-4344107.63</v>
          </cell>
          <cell r="CL28">
            <v>-5203267.1500000004</v>
          </cell>
          <cell r="CM28">
            <v>-4875260.41</v>
          </cell>
          <cell r="CN28">
            <v>-2527972.7999999998</v>
          </cell>
          <cell r="CO28">
            <v>-2459181.06</v>
          </cell>
          <cell r="CP28">
            <v>-2190186.9300000002</v>
          </cell>
          <cell r="CQ28">
            <v>-1899548.07</v>
          </cell>
          <cell r="CR28">
            <v>-2271779.7999999998</v>
          </cell>
          <cell r="CS28">
            <v>-2428177.2599999998</v>
          </cell>
          <cell r="CT28">
            <v>-3811831.05</v>
          </cell>
          <cell r="CU28">
            <v>-6312915.1100000003</v>
          </cell>
          <cell r="CV28">
            <v>-8542997.4199999999</v>
          </cell>
          <cell r="CW28">
            <v>-7647708.21</v>
          </cell>
          <cell r="CX28">
            <v>-4976982.04</v>
          </cell>
          <cell r="CY28">
            <v>-4532973.1100000003</v>
          </cell>
          <cell r="CZ28">
            <v>-3499635.05</v>
          </cell>
          <cell r="DA28">
            <v>-2157575.63</v>
          </cell>
          <cell r="DB28">
            <v>-1815292.35</v>
          </cell>
          <cell r="DC28">
            <v>-3436436.06</v>
          </cell>
          <cell r="DD28">
            <v>-3033059.86</v>
          </cell>
          <cell r="DE28">
            <v>-4991683.1500000004</v>
          </cell>
          <cell r="DF28">
            <v>-2326095.65</v>
          </cell>
          <cell r="DG28">
            <v>-4683295.75</v>
          </cell>
        </row>
        <row r="29">
          <cell r="A29">
            <v>4800035</v>
          </cell>
          <cell r="B29">
            <v>4800035</v>
          </cell>
          <cell r="C29" t="str">
            <v>Resid StndByGen</v>
          </cell>
          <cell r="D29">
            <v>-16640.23</v>
          </cell>
          <cell r="E29">
            <v>-16499.59</v>
          </cell>
          <cell r="F29">
            <v>-16252.32</v>
          </cell>
          <cell r="G29">
            <v>-16418.45</v>
          </cell>
          <cell r="H29">
            <v>-16152.87</v>
          </cell>
          <cell r="I29">
            <v>-15784.68</v>
          </cell>
          <cell r="J29">
            <v>-15780.09</v>
          </cell>
          <cell r="K29">
            <v>-15465.55</v>
          </cell>
          <cell r="L29">
            <v>-15359.76</v>
          </cell>
          <cell r="M29">
            <v>-16329.51</v>
          </cell>
          <cell r="N29">
            <v>-16360.84</v>
          </cell>
          <cell r="O29">
            <v>-16215.5</v>
          </cell>
          <cell r="P29">
            <v>-16857.38</v>
          </cell>
          <cell r="Q29">
            <v>-16997.7</v>
          </cell>
          <cell r="R29">
            <v>-16338.06</v>
          </cell>
          <cell r="S29">
            <v>-16459.939999999999</v>
          </cell>
          <cell r="T29">
            <v>-16350.39</v>
          </cell>
          <cell r="U29">
            <v>-16532.060000000001</v>
          </cell>
          <cell r="V29">
            <v>-15731.88</v>
          </cell>
          <cell r="W29">
            <v>-16071.35</v>
          </cell>
          <cell r="X29">
            <v>-16253.03</v>
          </cell>
          <cell r="Y29">
            <v>-16162.84</v>
          </cell>
          <cell r="Z29">
            <v>-16616.23</v>
          </cell>
          <cell r="AA29">
            <v>-16331.15</v>
          </cell>
          <cell r="AB29">
            <v>-16593.93</v>
          </cell>
          <cell r="AC29">
            <v>-16570.63</v>
          </cell>
          <cell r="AD29">
            <v>-17483.68</v>
          </cell>
          <cell r="AE29">
            <v>-16102.21</v>
          </cell>
          <cell r="AF29">
            <v>-15804.87</v>
          </cell>
          <cell r="AG29">
            <v>-15697.93</v>
          </cell>
          <cell r="AH29">
            <v>-16342.6</v>
          </cell>
          <cell r="AI29">
            <v>-16473.2</v>
          </cell>
          <cell r="AJ29">
            <v>-16374.55</v>
          </cell>
          <cell r="AK29">
            <v>-16590.330000000002</v>
          </cell>
          <cell r="AL29">
            <v>-16724.900000000001</v>
          </cell>
          <cell r="AM29">
            <v>-16600</v>
          </cell>
          <cell r="AN29">
            <v>-16635.89</v>
          </cell>
          <cell r="AO29">
            <v>-16687.189999999999</v>
          </cell>
          <cell r="AP29">
            <v>-17454.66</v>
          </cell>
          <cell r="AQ29">
            <v>-17522.62</v>
          </cell>
          <cell r="AR29">
            <v>-16637.13</v>
          </cell>
          <cell r="AS29">
            <v>-17000.7</v>
          </cell>
          <cell r="AT29">
            <v>-17236.060000000001</v>
          </cell>
          <cell r="AU29">
            <v>-16708.29</v>
          </cell>
          <cell r="AV29">
            <v>-21051.91</v>
          </cell>
          <cell r="AW29">
            <v>-20084.36</v>
          </cell>
          <cell r="AX29">
            <v>-24875.98</v>
          </cell>
          <cell r="AY29">
            <v>-17019.55</v>
          </cell>
          <cell r="AZ29">
            <v>-18217.72</v>
          </cell>
          <cell r="BA29">
            <v>-17394.150000000001</v>
          </cell>
          <cell r="BB29">
            <v>-17038.900000000001</v>
          </cell>
          <cell r="BC29">
            <v>-17727.34</v>
          </cell>
          <cell r="BD29">
            <v>-16954.939999999999</v>
          </cell>
          <cell r="BE29">
            <v>-17744.599999999999</v>
          </cell>
          <cell r="BF29">
            <v>-16794.080000000002</v>
          </cell>
          <cell r="BG29">
            <v>-17169.02</v>
          </cell>
          <cell r="BH29">
            <v>-18128.55</v>
          </cell>
          <cell r="BI29">
            <v>-18450.990000000002</v>
          </cell>
          <cell r="BJ29">
            <v>-19254.03</v>
          </cell>
          <cell r="BK29">
            <v>-18769.849999999999</v>
          </cell>
          <cell r="BL29">
            <v>-17951.07</v>
          </cell>
          <cell r="BM29">
            <v>-18749.23</v>
          </cell>
          <cell r="BN29">
            <v>-18100.759999999998</v>
          </cell>
          <cell r="BO29">
            <v>-18244.82</v>
          </cell>
          <cell r="BP29">
            <v>-17882.830000000002</v>
          </cell>
          <cell r="BQ29">
            <v>-17380.68</v>
          </cell>
          <cell r="BR29">
            <v>-16987.189999999999</v>
          </cell>
          <cell r="BS29">
            <v>-17649.810000000001</v>
          </cell>
          <cell r="BT29">
            <v>-17282.599999999999</v>
          </cell>
          <cell r="BU29">
            <v>-17830.82</v>
          </cell>
          <cell r="BV29">
            <v>-17869.96</v>
          </cell>
          <cell r="BW29">
            <v>-19027.62</v>
          </cell>
          <cell r="BX29">
            <v>-19038.45</v>
          </cell>
          <cell r="BY29">
            <v>-18164.84</v>
          </cell>
          <cell r="BZ29">
            <v>-18766.48</v>
          </cell>
          <cell r="CA29">
            <v>-17882.72</v>
          </cell>
          <cell r="CB29">
            <v>-17906.07</v>
          </cell>
          <cell r="CC29">
            <v>-19021.72</v>
          </cell>
          <cell r="CD29">
            <v>-18577.79</v>
          </cell>
          <cell r="CE29">
            <v>-18465.96</v>
          </cell>
          <cell r="CF29">
            <v>-18912.650000000001</v>
          </cell>
          <cell r="CG29">
            <v>-18933.849999999999</v>
          </cell>
          <cell r="CH29">
            <v>-20050.45</v>
          </cell>
          <cell r="CI29">
            <v>-20803.23</v>
          </cell>
          <cell r="CJ29">
            <v>-26319.55</v>
          </cell>
          <cell r="CK29">
            <v>-26206.81</v>
          </cell>
          <cell r="CL29">
            <v>-26733</v>
          </cell>
          <cell r="CM29">
            <v>-26352.97</v>
          </cell>
          <cell r="CN29">
            <v>-26355.21</v>
          </cell>
          <cell r="CO29">
            <v>-25954.36</v>
          </cell>
          <cell r="CP29">
            <v>-25754.21</v>
          </cell>
          <cell r="CQ29">
            <v>-25111.29</v>
          </cell>
          <cell r="CR29">
            <v>-26211.82</v>
          </cell>
          <cell r="CS29">
            <v>-26455.05</v>
          </cell>
          <cell r="CT29">
            <v>-25961.11</v>
          </cell>
          <cell r="CU29">
            <v>-27514.42</v>
          </cell>
          <cell r="CV29">
            <v>-29180.78</v>
          </cell>
          <cell r="CW29">
            <v>-28246.78</v>
          </cell>
          <cell r="CX29">
            <v>-26837.35</v>
          </cell>
          <cell r="CY29">
            <v>-27270.9</v>
          </cell>
          <cell r="CZ29">
            <v>-26572.17</v>
          </cell>
          <cell r="DA29">
            <v>-25781.14</v>
          </cell>
          <cell r="DB29">
            <v>-25954.29</v>
          </cell>
          <cell r="DC29">
            <v>-26656.6</v>
          </cell>
          <cell r="DD29">
            <v>-26782.5</v>
          </cell>
          <cell r="DE29">
            <v>-27791.360000000001</v>
          </cell>
          <cell r="DF29">
            <v>-27193.57</v>
          </cell>
          <cell r="DG29">
            <v>-28920.13</v>
          </cell>
        </row>
        <row r="30">
          <cell r="A30">
            <v>4800036</v>
          </cell>
          <cell r="B30">
            <v>4800036</v>
          </cell>
          <cell r="C30" t="str">
            <v>Resid StndByGen Fuel</v>
          </cell>
          <cell r="D30">
            <v>-4644.59</v>
          </cell>
          <cell r="E30">
            <v>-4642.13</v>
          </cell>
          <cell r="F30">
            <v>-3659.35</v>
          </cell>
          <cell r="G30">
            <v>-3907.93</v>
          </cell>
          <cell r="H30">
            <v>-3231.71</v>
          </cell>
          <cell r="I30">
            <v>-3015.36</v>
          </cell>
          <cell r="J30">
            <v>-2683.14</v>
          </cell>
          <cell r="K30">
            <v>-2061.9899999999998</v>
          </cell>
          <cell r="L30">
            <v>-2387.5700000000002</v>
          </cell>
          <cell r="M30">
            <v>-2861.19</v>
          </cell>
          <cell r="N30">
            <v>-3317.17</v>
          </cell>
          <cell r="O30">
            <v>-4172.32</v>
          </cell>
          <cell r="P30">
            <v>-5521.95</v>
          </cell>
          <cell r="Q30">
            <v>-3974.6</v>
          </cell>
          <cell r="R30">
            <v>-3781.2</v>
          </cell>
          <cell r="S30">
            <v>-3592.19</v>
          </cell>
          <cell r="T30">
            <v>-2543.9499999999998</v>
          </cell>
          <cell r="U30">
            <v>-2551.7199999999998</v>
          </cell>
          <cell r="V30">
            <v>-2372.7199999999998</v>
          </cell>
          <cell r="W30">
            <v>-2245.88</v>
          </cell>
          <cell r="X30">
            <v>-2451.21</v>
          </cell>
          <cell r="Y30">
            <v>-2570.1799999999998</v>
          </cell>
          <cell r="Z30">
            <v>-3136.56</v>
          </cell>
          <cell r="AA30">
            <v>-3874.35</v>
          </cell>
          <cell r="AB30">
            <v>-4890.96</v>
          </cell>
          <cell r="AC30">
            <v>-3724.22</v>
          </cell>
          <cell r="AD30">
            <v>-5151.7700000000004</v>
          </cell>
          <cell r="AE30">
            <v>-3663.31</v>
          </cell>
          <cell r="AF30">
            <v>-3563.78</v>
          </cell>
          <cell r="AG30">
            <v>-2654.98</v>
          </cell>
          <cell r="AH30">
            <v>-2596.84</v>
          </cell>
          <cell r="AI30">
            <v>-2022.95</v>
          </cell>
          <cell r="AJ30">
            <v>-2094.37</v>
          </cell>
          <cell r="AK30">
            <v>-3586.71</v>
          </cell>
          <cell r="AL30">
            <v>-3578.84</v>
          </cell>
          <cell r="AM30">
            <v>-4116.74</v>
          </cell>
          <cell r="AN30">
            <v>-4188.03</v>
          </cell>
          <cell r="AO30">
            <v>-4489.76</v>
          </cell>
          <cell r="AP30">
            <v>-4279.97</v>
          </cell>
          <cell r="AQ30">
            <v>-4011.47</v>
          </cell>
          <cell r="AR30">
            <v>-3357.62</v>
          </cell>
          <cell r="AS30">
            <v>-2428.5500000000002</v>
          </cell>
          <cell r="AT30">
            <v>-2206.9299999999998</v>
          </cell>
          <cell r="AU30">
            <v>-2145.38</v>
          </cell>
          <cell r="AV30">
            <v>-19496.53</v>
          </cell>
          <cell r="AW30">
            <v>-18956.45</v>
          </cell>
          <cell r="AX30">
            <v>-33021.21</v>
          </cell>
          <cell r="AY30">
            <v>-4926.6899999999996</v>
          </cell>
          <cell r="AZ30">
            <v>-7215.05</v>
          </cell>
          <cell r="BA30">
            <v>-4883.1899999999996</v>
          </cell>
          <cell r="BB30">
            <v>-4069.52</v>
          </cell>
          <cell r="BC30">
            <v>-4836.21</v>
          </cell>
          <cell r="BD30">
            <v>-3489.54</v>
          </cell>
          <cell r="BE30">
            <v>-3720.13</v>
          </cell>
          <cell r="BF30">
            <v>-2950.6</v>
          </cell>
          <cell r="BG30">
            <v>-2204.14</v>
          </cell>
          <cell r="BH30">
            <v>-2606.65</v>
          </cell>
          <cell r="BI30">
            <v>-4430.51</v>
          </cell>
          <cell r="BJ30">
            <v>-7803.1</v>
          </cell>
          <cell r="BK30">
            <v>-4757.6499999999996</v>
          </cell>
          <cell r="BL30">
            <v>-6169.18</v>
          </cell>
          <cell r="BM30">
            <v>-5790.13</v>
          </cell>
          <cell r="BN30">
            <v>-5581.73</v>
          </cell>
          <cell r="BO30">
            <v>-5691.5</v>
          </cell>
          <cell r="BP30">
            <v>-4194.55</v>
          </cell>
          <cell r="BQ30">
            <v>-3420.51</v>
          </cell>
          <cell r="BR30">
            <v>-2938.16</v>
          </cell>
          <cell r="BS30">
            <v>-2548.2600000000002</v>
          </cell>
          <cell r="BT30">
            <v>-2497.23</v>
          </cell>
          <cell r="BU30">
            <v>-2649.73</v>
          </cell>
          <cell r="BV30">
            <v>-3422.39</v>
          </cell>
          <cell r="BW30">
            <v>-5748.23</v>
          </cell>
          <cell r="BX30">
            <v>-6019.78</v>
          </cell>
          <cell r="BY30">
            <v>-4833.3</v>
          </cell>
          <cell r="BZ30">
            <v>-4180.74</v>
          </cell>
          <cell r="CA30">
            <v>-4317.58</v>
          </cell>
          <cell r="CB30">
            <v>-3626.71</v>
          </cell>
          <cell r="CC30">
            <v>-2988.67</v>
          </cell>
          <cell r="CD30">
            <v>-2552.9699999999998</v>
          </cell>
          <cell r="CE30">
            <v>-2632.17</v>
          </cell>
          <cell r="CF30">
            <v>-2387.5500000000002</v>
          </cell>
          <cell r="CG30">
            <v>-2744.69</v>
          </cell>
          <cell r="CH30">
            <v>-4131.78</v>
          </cell>
          <cell r="CI30">
            <v>-7527.67</v>
          </cell>
          <cell r="CJ30">
            <v>-10225.200000000001</v>
          </cell>
          <cell r="CK30">
            <v>-8782.58</v>
          </cell>
          <cell r="CL30">
            <v>-8672.23</v>
          </cell>
          <cell r="CM30">
            <v>-8448.5</v>
          </cell>
          <cell r="CN30">
            <v>-5744.81</v>
          </cell>
          <cell r="CO30">
            <v>-5291.77</v>
          </cell>
          <cell r="CP30">
            <v>-4116.25</v>
          </cell>
          <cell r="CQ30">
            <v>-3702.28</v>
          </cell>
          <cell r="CR30">
            <v>-3526.78</v>
          </cell>
          <cell r="CS30">
            <v>-4245.68</v>
          </cell>
          <cell r="CT30">
            <v>-5435.36</v>
          </cell>
          <cell r="CU30">
            <v>-11995.94</v>
          </cell>
          <cell r="CV30">
            <v>-16086.59</v>
          </cell>
          <cell r="CW30">
            <v>-11942.73</v>
          </cell>
          <cell r="CX30">
            <v>-9013.15</v>
          </cell>
          <cell r="CY30">
            <v>-9059.7900000000009</v>
          </cell>
          <cell r="CZ30">
            <v>-6260.48</v>
          </cell>
          <cell r="DA30">
            <v>-4841.51</v>
          </cell>
          <cell r="DB30">
            <v>-3954.09</v>
          </cell>
          <cell r="DC30">
            <v>-5126.43</v>
          </cell>
          <cell r="DD30">
            <v>-6916.11</v>
          </cell>
          <cell r="DE30">
            <v>-21823.41</v>
          </cell>
          <cell r="DF30">
            <v>-6389.23</v>
          </cell>
          <cell r="DG30">
            <v>-8948.4599999999991</v>
          </cell>
        </row>
        <row r="31">
          <cell r="A31">
            <v>4800037</v>
          </cell>
          <cell r="B31">
            <v>4800037</v>
          </cell>
          <cell r="C31" t="str">
            <v>Resid Gas Heat Pump</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v>-13.65</v>
          </cell>
          <cell r="CC31">
            <v>-67.569999999999993</v>
          </cell>
          <cell r="CD31">
            <v>-46.93</v>
          </cell>
          <cell r="CE31">
            <v>-60.77</v>
          </cell>
          <cell r="CF31">
            <v>107.7</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row>
        <row r="32">
          <cell r="A32">
            <v>4800038</v>
          </cell>
          <cell r="B32">
            <v>4800038</v>
          </cell>
          <cell r="C32" t="str">
            <v>Resid GasHeatPp Fuel</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v>-32.97</v>
          </cell>
          <cell r="CC32">
            <v>-311.26</v>
          </cell>
          <cell r="CD32">
            <v>-222.52</v>
          </cell>
          <cell r="CE32">
            <v>-332.83</v>
          </cell>
          <cell r="CF32">
            <v>555.35</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row>
        <row r="33">
          <cell r="A33">
            <v>4800040</v>
          </cell>
          <cell r="B33">
            <v>4800040</v>
          </cell>
          <cell r="C33" t="str">
            <v>Resid GenSvc 1</v>
          </cell>
          <cell r="D33">
            <v>-226738.43</v>
          </cell>
          <cell r="E33">
            <v>-160895.51</v>
          </cell>
          <cell r="F33">
            <v>-159257.88</v>
          </cell>
          <cell r="G33">
            <v>-147172.81</v>
          </cell>
          <cell r="H33">
            <v>-81873.08</v>
          </cell>
          <cell r="I33">
            <v>-69082.06</v>
          </cell>
          <cell r="J33">
            <v>-62109.07</v>
          </cell>
          <cell r="K33">
            <v>-59162.37</v>
          </cell>
          <cell r="L33">
            <v>-66969.95</v>
          </cell>
          <cell r="M33">
            <v>-85197.48</v>
          </cell>
          <cell r="N33">
            <v>-153183.92000000001</v>
          </cell>
          <cell r="O33">
            <v>-199343.8</v>
          </cell>
          <cell r="P33">
            <v>-191167.09</v>
          </cell>
          <cell r="Q33">
            <v>-190733.52</v>
          </cell>
          <cell r="R33">
            <v>-165651.94</v>
          </cell>
          <cell r="S33">
            <v>-101502.9</v>
          </cell>
          <cell r="T33">
            <v>-67486.91</v>
          </cell>
          <cell r="U33">
            <v>-71386.14</v>
          </cell>
          <cell r="V33">
            <v>-61899.19</v>
          </cell>
          <cell r="W33">
            <v>-70995.45</v>
          </cell>
          <cell r="X33">
            <v>-66342.06</v>
          </cell>
          <cell r="Y33">
            <v>-84890.17</v>
          </cell>
          <cell r="Z33">
            <v>-114359.24</v>
          </cell>
          <cell r="AA33">
            <v>-167859.1</v>
          </cell>
          <cell r="AB33">
            <v>-208515.78</v>
          </cell>
          <cell r="AC33">
            <v>-209091.64</v>
          </cell>
          <cell r="AD33">
            <v>-167781.78</v>
          </cell>
          <cell r="AE33">
            <v>-125668.68</v>
          </cell>
          <cell r="AF33">
            <v>-94338.59</v>
          </cell>
          <cell r="AG33">
            <v>-60407.83</v>
          </cell>
          <cell r="AH33">
            <v>-59382.69</v>
          </cell>
          <cell r="AI33">
            <v>-61573.64</v>
          </cell>
          <cell r="AJ33">
            <v>-69815.990000000005</v>
          </cell>
          <cell r="AK33">
            <v>-76949.679999999993</v>
          </cell>
          <cell r="AL33">
            <v>-150592.99</v>
          </cell>
          <cell r="AM33">
            <v>-187290.81</v>
          </cell>
          <cell r="AN33">
            <v>-191210.83</v>
          </cell>
          <cell r="AO33">
            <v>-188135.69</v>
          </cell>
          <cell r="AP33">
            <v>-160008.95000000001</v>
          </cell>
          <cell r="AQ33">
            <v>-149083.91</v>
          </cell>
          <cell r="AR33">
            <v>-94853.21</v>
          </cell>
          <cell r="AS33">
            <v>-64694.68</v>
          </cell>
          <cell r="AT33">
            <v>-78668.7</v>
          </cell>
          <cell r="AU33">
            <v>-74590.52</v>
          </cell>
          <cell r="AV33">
            <v>-89591.679999999993</v>
          </cell>
          <cell r="AW33">
            <v>-89682.38</v>
          </cell>
          <cell r="AX33">
            <v>-158640.35</v>
          </cell>
          <cell r="AY33">
            <v>-207567.3</v>
          </cell>
          <cell r="AZ33">
            <v>-258653.92</v>
          </cell>
          <cell r="BA33">
            <v>-190629.98</v>
          </cell>
          <cell r="BB33">
            <v>-170998.83</v>
          </cell>
          <cell r="BC33">
            <v>-187905.51</v>
          </cell>
          <cell r="BD33">
            <v>-96663.14</v>
          </cell>
          <cell r="BE33">
            <v>-84453.23</v>
          </cell>
          <cell r="BF33">
            <v>-77823.929999999993</v>
          </cell>
          <cell r="BG33">
            <v>-78292.509999999995</v>
          </cell>
          <cell r="BH33">
            <v>-90137.61</v>
          </cell>
          <cell r="BI33">
            <v>-87283.96</v>
          </cell>
          <cell r="BJ33">
            <v>-149441.38</v>
          </cell>
          <cell r="BK33">
            <v>-219856.55</v>
          </cell>
          <cell r="BL33">
            <v>-241974.19</v>
          </cell>
          <cell r="BM33">
            <v>-187412.55</v>
          </cell>
          <cell r="BN33">
            <v>-171941.54</v>
          </cell>
          <cell r="BO33">
            <v>-169125.13</v>
          </cell>
          <cell r="BP33">
            <v>-104825.93</v>
          </cell>
          <cell r="BQ33">
            <v>-68008.44</v>
          </cell>
          <cell r="BR33">
            <v>-111506.36</v>
          </cell>
          <cell r="BS33">
            <v>-57858.5</v>
          </cell>
          <cell r="BT33">
            <v>-75267.34</v>
          </cell>
          <cell r="BU33">
            <v>-48293.07</v>
          </cell>
          <cell r="BV33">
            <v>-140033.4</v>
          </cell>
          <cell r="BW33">
            <v>-213696.32</v>
          </cell>
          <cell r="BX33">
            <v>-232478.68</v>
          </cell>
          <cell r="BY33">
            <v>-185183.18</v>
          </cell>
          <cell r="BZ33">
            <v>-169355.24</v>
          </cell>
          <cell r="CA33">
            <v>-120441.83</v>
          </cell>
          <cell r="CB33">
            <v>-99703.65</v>
          </cell>
          <cell r="CC33">
            <v>-94205.31</v>
          </cell>
          <cell r="CD33">
            <v>-63071.040000000001</v>
          </cell>
          <cell r="CE33">
            <v>-70321.179999999993</v>
          </cell>
          <cell r="CF33">
            <v>-70474.94</v>
          </cell>
          <cell r="CG33">
            <v>-91616.07</v>
          </cell>
          <cell r="CH33">
            <v>-125918.83</v>
          </cell>
          <cell r="CI33">
            <v>-223658.81</v>
          </cell>
          <cell r="CJ33">
            <v>-308661.26</v>
          </cell>
          <cell r="CK33">
            <v>-218788.53</v>
          </cell>
          <cell r="CL33">
            <v>-221169.79</v>
          </cell>
          <cell r="CM33">
            <v>-201025.99</v>
          </cell>
          <cell r="CN33">
            <v>-109305.93</v>
          </cell>
          <cell r="CO33">
            <v>-114889.54</v>
          </cell>
          <cell r="CP33">
            <v>-184326.3</v>
          </cell>
          <cell r="CQ33">
            <v>-136147.42000000001</v>
          </cell>
          <cell r="CR33">
            <v>-150155.51</v>
          </cell>
          <cell r="CS33">
            <v>-169825.48</v>
          </cell>
          <cell r="CT33">
            <v>-279051.15999999997</v>
          </cell>
          <cell r="CU33">
            <v>-384845.16</v>
          </cell>
          <cell r="CV33">
            <v>-408467.67</v>
          </cell>
          <cell r="CW33">
            <v>-344737.18</v>
          </cell>
          <cell r="CX33">
            <v>-287125.93</v>
          </cell>
          <cell r="CY33">
            <v>-263781.71999999997</v>
          </cell>
          <cell r="CZ33">
            <v>-201170.73</v>
          </cell>
          <cell r="DA33">
            <v>-135445.6</v>
          </cell>
          <cell r="DB33">
            <v>-172415.81</v>
          </cell>
          <cell r="DC33">
            <v>-155030.5</v>
          </cell>
          <cell r="DD33">
            <v>-158954.4</v>
          </cell>
          <cell r="DE33">
            <v>-232315.07</v>
          </cell>
          <cell r="DF33">
            <v>-287686.26</v>
          </cell>
          <cell r="DG33">
            <v>-393454.3</v>
          </cell>
        </row>
        <row r="34">
          <cell r="A34">
            <v>4800041</v>
          </cell>
          <cell r="B34">
            <v>4800041</v>
          </cell>
          <cell r="C34" t="str">
            <v>Resid GenSvc 1 Fuel</v>
          </cell>
          <cell r="D34">
            <v>-629150.1</v>
          </cell>
          <cell r="E34">
            <v>-362201.33</v>
          </cell>
          <cell r="F34">
            <v>-339176.58</v>
          </cell>
          <cell r="G34">
            <v>-348505.28</v>
          </cell>
          <cell r="H34">
            <v>-114894.59</v>
          </cell>
          <cell r="I34">
            <v>-90415.69</v>
          </cell>
          <cell r="J34">
            <v>-68571.13</v>
          </cell>
          <cell r="K34">
            <v>-60939.13</v>
          </cell>
          <cell r="L34">
            <v>-79337.2</v>
          </cell>
          <cell r="M34">
            <v>-128901.34</v>
          </cell>
          <cell r="N34">
            <v>-311668.34000000003</v>
          </cell>
          <cell r="O34">
            <v>-446256.36</v>
          </cell>
          <cell r="P34">
            <v>-491629.3</v>
          </cell>
          <cell r="Q34">
            <v>-445371.65</v>
          </cell>
          <cell r="R34">
            <v>-309310.98</v>
          </cell>
          <cell r="S34">
            <v>-178107.93</v>
          </cell>
          <cell r="T34">
            <v>-82203.960000000006</v>
          </cell>
          <cell r="U34">
            <v>-96294.23</v>
          </cell>
          <cell r="V34">
            <v>-59213.36</v>
          </cell>
          <cell r="W34">
            <v>-89579.66</v>
          </cell>
          <cell r="X34">
            <v>-75822.34</v>
          </cell>
          <cell r="Y34">
            <v>-125802.33</v>
          </cell>
          <cell r="Z34">
            <v>-218331.64</v>
          </cell>
          <cell r="AA34">
            <v>-385469.2</v>
          </cell>
          <cell r="AB34">
            <v>-565372.84</v>
          </cell>
          <cell r="AC34">
            <v>-563925.39</v>
          </cell>
          <cell r="AD34">
            <v>-396238.63</v>
          </cell>
          <cell r="AE34">
            <v>-283169.07</v>
          </cell>
          <cell r="AF34">
            <v>-175179.58</v>
          </cell>
          <cell r="AG34">
            <v>-57530.33</v>
          </cell>
          <cell r="AH34">
            <v>-54967.3</v>
          </cell>
          <cell r="AI34">
            <v>-62038.22</v>
          </cell>
          <cell r="AJ34">
            <v>-80987.09</v>
          </cell>
          <cell r="AK34">
            <v>-103745.89</v>
          </cell>
          <cell r="AL34">
            <v>-300844.21999999997</v>
          </cell>
          <cell r="AM34">
            <v>-406085.97</v>
          </cell>
          <cell r="AN34">
            <v>-422909.5</v>
          </cell>
          <cell r="AO34">
            <v>-437933.67</v>
          </cell>
          <cell r="AP34">
            <v>-348037.1</v>
          </cell>
          <cell r="AQ34">
            <v>-318716.65000000002</v>
          </cell>
          <cell r="AR34">
            <v>-159972.25</v>
          </cell>
          <cell r="AS34">
            <v>-65476.79</v>
          </cell>
          <cell r="AT34">
            <v>-77518.740000000005</v>
          </cell>
          <cell r="AU34">
            <v>-78679.28</v>
          </cell>
          <cell r="AV34">
            <v>-140206.31</v>
          </cell>
          <cell r="AW34">
            <v>-140376.1</v>
          </cell>
          <cell r="AX34">
            <v>-368427.61</v>
          </cell>
          <cell r="AY34">
            <v>-530497.65</v>
          </cell>
          <cell r="AZ34">
            <v>-793622.18</v>
          </cell>
          <cell r="BA34">
            <v>-530080.77</v>
          </cell>
          <cell r="BB34">
            <v>-400265.11</v>
          </cell>
          <cell r="BC34">
            <v>-467268.87</v>
          </cell>
          <cell r="BD34">
            <v>-161389.4</v>
          </cell>
          <cell r="BE34">
            <v>-109267.51</v>
          </cell>
          <cell r="BF34">
            <v>-76858.37</v>
          </cell>
          <cell r="BG34">
            <v>-83523.42</v>
          </cell>
          <cell r="BH34">
            <v>-111767.07</v>
          </cell>
          <cell r="BI34">
            <v>-101940.67</v>
          </cell>
          <cell r="BJ34">
            <v>-296301.76</v>
          </cell>
          <cell r="BK34">
            <v>-511362.66</v>
          </cell>
          <cell r="BL34">
            <v>-665692.77</v>
          </cell>
          <cell r="BM34">
            <v>-470554.65</v>
          </cell>
          <cell r="BN34">
            <v>-465084.79</v>
          </cell>
          <cell r="BO34">
            <v>-490211.31</v>
          </cell>
          <cell r="BP34">
            <v>-220552.3</v>
          </cell>
          <cell r="BQ34">
            <v>-74373.710000000006</v>
          </cell>
          <cell r="BR34">
            <v>-258981.31</v>
          </cell>
          <cell r="BS34">
            <v>-22472.9</v>
          </cell>
          <cell r="BT34">
            <v>-97829.08</v>
          </cell>
          <cell r="BU34">
            <v>8568.7000000000007</v>
          </cell>
          <cell r="BV34">
            <v>-311784.09999999998</v>
          </cell>
          <cell r="BW34">
            <v>-561662.99</v>
          </cell>
          <cell r="BX34">
            <v>-621132.6</v>
          </cell>
          <cell r="BY34">
            <v>-426827.85</v>
          </cell>
          <cell r="BZ34">
            <v>-370149.44</v>
          </cell>
          <cell r="CA34">
            <v>-227303.63</v>
          </cell>
          <cell r="CB34">
            <v>-163853.67000000001</v>
          </cell>
          <cell r="CC34">
            <v>-146547.16</v>
          </cell>
          <cell r="CD34">
            <v>-51817.03</v>
          </cell>
          <cell r="CE34">
            <v>-72913.600000000006</v>
          </cell>
          <cell r="CF34">
            <v>-73283.929999999993</v>
          </cell>
          <cell r="CG34">
            <v>-147202.42000000001</v>
          </cell>
          <cell r="CH34">
            <v>-276519.17</v>
          </cell>
          <cell r="CI34">
            <v>-633509.03</v>
          </cell>
          <cell r="CJ34">
            <v>-638205.56000000006</v>
          </cell>
          <cell r="CK34">
            <v>-457289.2</v>
          </cell>
          <cell r="CL34">
            <v>-563364.79</v>
          </cell>
          <cell r="CM34">
            <v>-464344.99</v>
          </cell>
          <cell r="CN34">
            <v>-158745.79999999999</v>
          </cell>
          <cell r="CO34">
            <v>-175959.45</v>
          </cell>
          <cell r="CP34">
            <v>-245511.46</v>
          </cell>
          <cell r="CQ34">
            <v>-138154.51999999999</v>
          </cell>
          <cell r="CR34">
            <v>-183569.78</v>
          </cell>
          <cell r="CS34">
            <v>-249827.06</v>
          </cell>
          <cell r="CT34">
            <v>-615792.06999999995</v>
          </cell>
          <cell r="CU34">
            <v>-968871.81</v>
          </cell>
          <cell r="CV34">
            <v>-1202552.01</v>
          </cell>
          <cell r="CW34">
            <v>-904859.82</v>
          </cell>
          <cell r="CX34">
            <v>-696518.21</v>
          </cell>
          <cell r="CY34">
            <v>-612618.27</v>
          </cell>
          <cell r="CZ34">
            <v>-384009.81</v>
          </cell>
          <cell r="DA34">
            <v>-144895.54999999999</v>
          </cell>
          <cell r="DB34">
            <v>-188241.51</v>
          </cell>
          <cell r="DC34">
            <v>-276705.08</v>
          </cell>
          <cell r="DD34">
            <v>-252024.52</v>
          </cell>
          <cell r="DE34">
            <v>-608016.43999999994</v>
          </cell>
          <cell r="DF34">
            <v>-442561.35</v>
          </cell>
          <cell r="DG34">
            <v>-856709.15</v>
          </cell>
        </row>
        <row r="35">
          <cell r="A35">
            <v>4800042</v>
          </cell>
          <cell r="B35">
            <v>4800042</v>
          </cell>
          <cell r="C35" t="str">
            <v>Resid GenSvc 2</v>
          </cell>
          <cell r="D35">
            <v>-48981.08</v>
          </cell>
          <cell r="E35">
            <v>-36819.26</v>
          </cell>
          <cell r="F35">
            <v>-29328.83</v>
          </cell>
          <cell r="G35">
            <v>-27509.99</v>
          </cell>
          <cell r="H35">
            <v>-17054.79</v>
          </cell>
          <cell r="I35">
            <v>-14248.66</v>
          </cell>
          <cell r="J35">
            <v>-8234.14</v>
          </cell>
          <cell r="K35">
            <v>-10676.99</v>
          </cell>
          <cell r="L35">
            <v>-11878.51</v>
          </cell>
          <cell r="M35">
            <v>-14870.91</v>
          </cell>
          <cell r="N35">
            <v>-26855.61</v>
          </cell>
          <cell r="O35">
            <v>-36553.279999999999</v>
          </cell>
          <cell r="P35">
            <v>-34796.78</v>
          </cell>
          <cell r="Q35">
            <v>-38161.69</v>
          </cell>
          <cell r="R35">
            <v>-27411.47</v>
          </cell>
          <cell r="S35">
            <v>-15051.85</v>
          </cell>
          <cell r="T35">
            <v>-10864.66</v>
          </cell>
          <cell r="U35">
            <v>-10443.99</v>
          </cell>
          <cell r="V35">
            <v>-9186.17</v>
          </cell>
          <cell r="W35">
            <v>-9305.43</v>
          </cell>
          <cell r="X35">
            <v>-9077.2099999999991</v>
          </cell>
          <cell r="Y35">
            <v>-12476.38</v>
          </cell>
          <cell r="Z35">
            <v>-18153.39</v>
          </cell>
          <cell r="AA35">
            <v>-23160.53</v>
          </cell>
          <cell r="AB35">
            <v>-28369.49</v>
          </cell>
          <cell r="AC35">
            <v>-27811.46</v>
          </cell>
          <cell r="AD35">
            <v>-19752.900000000001</v>
          </cell>
          <cell r="AE35">
            <v>-16509.2</v>
          </cell>
          <cell r="AF35">
            <v>-11181.4</v>
          </cell>
          <cell r="AG35">
            <v>-5568.88</v>
          </cell>
          <cell r="AH35">
            <v>-6467.57</v>
          </cell>
          <cell r="AI35">
            <v>-6737.42</v>
          </cell>
          <cell r="AJ35">
            <v>-8462.8799999999992</v>
          </cell>
          <cell r="AK35">
            <v>-9261.8700000000008</v>
          </cell>
          <cell r="AL35">
            <v>-17949.509999999998</v>
          </cell>
          <cell r="AM35">
            <v>-19296.150000000001</v>
          </cell>
          <cell r="AN35">
            <v>-2462.8000000000002</v>
          </cell>
          <cell r="AO35">
            <v>-41036.620000000003</v>
          </cell>
          <cell r="AP35">
            <v>-15704.2</v>
          </cell>
          <cell r="AQ35">
            <v>-16080.89</v>
          </cell>
          <cell r="AR35">
            <v>-11478.17</v>
          </cell>
          <cell r="AS35">
            <v>-8639.82</v>
          </cell>
          <cell r="AT35">
            <v>-6896.48</v>
          </cell>
          <cell r="AU35">
            <v>-7819.82</v>
          </cell>
          <cell r="AV35">
            <v>-8047.37</v>
          </cell>
          <cell r="AW35">
            <v>-10461.799999999999</v>
          </cell>
          <cell r="AX35">
            <v>-11061.35</v>
          </cell>
          <cell r="AY35">
            <v>-16269.14</v>
          </cell>
          <cell r="AZ35">
            <v>-23812.53</v>
          </cell>
          <cell r="BA35">
            <v>-17439.060000000001</v>
          </cell>
          <cell r="BB35">
            <v>-14729.31</v>
          </cell>
          <cell r="BC35">
            <v>-11337.74</v>
          </cell>
          <cell r="BD35">
            <v>-10344.219999999999</v>
          </cell>
          <cell r="BE35">
            <v>-7540.16</v>
          </cell>
          <cell r="BF35">
            <v>-6166.76</v>
          </cell>
          <cell r="BG35">
            <v>-4184.83</v>
          </cell>
          <cell r="BH35">
            <v>-6733.99</v>
          </cell>
          <cell r="BI35">
            <v>-6581.46</v>
          </cell>
          <cell r="BJ35">
            <v>-14618.04</v>
          </cell>
          <cell r="BK35">
            <v>-12829.02</v>
          </cell>
          <cell r="BL35">
            <v>-16467.48</v>
          </cell>
          <cell r="BM35">
            <v>-11889.7</v>
          </cell>
          <cell r="BN35">
            <v>-11331.01</v>
          </cell>
          <cell r="BO35">
            <v>-10911.98</v>
          </cell>
          <cell r="BP35">
            <v>-8279.07</v>
          </cell>
          <cell r="BQ35">
            <v>-5567.53</v>
          </cell>
          <cell r="BR35">
            <v>-4173.87</v>
          </cell>
          <cell r="BS35">
            <v>-4410.83</v>
          </cell>
          <cell r="BT35">
            <v>-5633.67</v>
          </cell>
          <cell r="BU35">
            <v>-8786.06</v>
          </cell>
          <cell r="BV35">
            <v>-9614.76</v>
          </cell>
          <cell r="BW35">
            <v>-15527.95</v>
          </cell>
          <cell r="BX35">
            <v>-16512.330000000002</v>
          </cell>
          <cell r="BY35">
            <v>-13961.92</v>
          </cell>
          <cell r="BZ35">
            <v>-1028.1099999999999</v>
          </cell>
          <cell r="CA35">
            <v>-10018.44</v>
          </cell>
          <cell r="CB35">
            <v>-6131.34</v>
          </cell>
          <cell r="CC35">
            <v>-6972.28</v>
          </cell>
          <cell r="CD35">
            <v>-5023.49</v>
          </cell>
          <cell r="CE35">
            <v>-5884.21</v>
          </cell>
          <cell r="CF35">
            <v>-5301.44</v>
          </cell>
          <cell r="CG35">
            <v>-7814.74</v>
          </cell>
          <cell r="CH35">
            <v>-10709.32</v>
          </cell>
          <cell r="CI35">
            <v>-15573.7</v>
          </cell>
          <cell r="CJ35">
            <v>-21786.18</v>
          </cell>
          <cell r="CK35">
            <v>-12041.11</v>
          </cell>
          <cell r="CL35">
            <v>-12366.95</v>
          </cell>
          <cell r="CM35">
            <v>-12131.96</v>
          </cell>
          <cell r="CN35">
            <v>-8125.24</v>
          </cell>
          <cell r="CO35">
            <v>-7788.24</v>
          </cell>
          <cell r="CP35">
            <v>-12466.16</v>
          </cell>
          <cell r="CQ35">
            <v>-6931.91</v>
          </cell>
          <cell r="CR35">
            <v>-8443.17</v>
          </cell>
          <cell r="CS35">
            <v>-10100.280000000001</v>
          </cell>
          <cell r="CT35">
            <v>-19616.400000000001</v>
          </cell>
          <cell r="CU35">
            <v>-23576.49</v>
          </cell>
          <cell r="CV35">
            <v>-26719.52</v>
          </cell>
          <cell r="CW35">
            <v>-25073.09</v>
          </cell>
          <cell r="CX35">
            <v>-17343.43</v>
          </cell>
          <cell r="CY35">
            <v>-17171.23</v>
          </cell>
          <cell r="CZ35">
            <v>-14673.12</v>
          </cell>
          <cell r="DA35">
            <v>-8668.14</v>
          </cell>
          <cell r="DB35">
            <v>-12457.95</v>
          </cell>
          <cell r="DC35">
            <v>-10027.469999999999</v>
          </cell>
          <cell r="DD35">
            <v>-11377.05</v>
          </cell>
          <cell r="DE35">
            <v>-15410.49</v>
          </cell>
          <cell r="DF35">
            <v>-20787.41</v>
          </cell>
          <cell r="DG35">
            <v>-26022.85</v>
          </cell>
        </row>
        <row r="36">
          <cell r="A36">
            <v>4800043</v>
          </cell>
          <cell r="B36">
            <v>4800043</v>
          </cell>
          <cell r="C36" t="str">
            <v>Resid GenSvc 2 Fuel</v>
          </cell>
          <cell r="D36">
            <v>-181955.78</v>
          </cell>
          <cell r="E36">
            <v>-118952.69</v>
          </cell>
          <cell r="F36">
            <v>-86809.91</v>
          </cell>
          <cell r="G36">
            <v>-93462.17</v>
          </cell>
          <cell r="H36">
            <v>-45507.71</v>
          </cell>
          <cell r="I36">
            <v>-39796.980000000003</v>
          </cell>
          <cell r="J36">
            <v>-19994.599999999999</v>
          </cell>
          <cell r="K36">
            <v>-28341.25</v>
          </cell>
          <cell r="L36">
            <v>-31119.11</v>
          </cell>
          <cell r="M36">
            <v>-39983.769999999997</v>
          </cell>
          <cell r="N36">
            <v>-77598.84</v>
          </cell>
          <cell r="O36">
            <v>-110874.36</v>
          </cell>
          <cell r="P36">
            <v>-123434.14</v>
          </cell>
          <cell r="Q36">
            <v>-123498.75</v>
          </cell>
          <cell r="R36">
            <v>-70377.539999999994</v>
          </cell>
          <cell r="S36">
            <v>-42242.42</v>
          </cell>
          <cell r="T36">
            <v>-27958.85</v>
          </cell>
          <cell r="U36">
            <v>-28488.38</v>
          </cell>
          <cell r="V36">
            <v>-23309.94</v>
          </cell>
          <cell r="W36">
            <v>-24804.6</v>
          </cell>
          <cell r="X36">
            <v>-24197.22</v>
          </cell>
          <cell r="Y36">
            <v>-34343.03</v>
          </cell>
          <cell r="Z36">
            <v>-55324.3</v>
          </cell>
          <cell r="AA36">
            <v>-74907.25</v>
          </cell>
          <cell r="AB36">
            <v>-104143.06</v>
          </cell>
          <cell r="AC36">
            <v>-101305.88</v>
          </cell>
          <cell r="AD36">
            <v>-64328.03</v>
          </cell>
          <cell r="AE36">
            <v>-56748.800000000003</v>
          </cell>
          <cell r="AF36">
            <v>-35338.14</v>
          </cell>
          <cell r="AG36">
            <v>-12616.08</v>
          </cell>
          <cell r="AH36">
            <v>-16386.740000000002</v>
          </cell>
          <cell r="AI36">
            <v>-17495.330000000002</v>
          </cell>
          <cell r="AJ36">
            <v>-21744.68</v>
          </cell>
          <cell r="AK36">
            <v>-25359.68</v>
          </cell>
          <cell r="AL36">
            <v>-52030.19</v>
          </cell>
          <cell r="AM36">
            <v>-56706.31</v>
          </cell>
          <cell r="AN36">
            <v>-7723.56</v>
          </cell>
          <cell r="AO36">
            <v>-127308.26</v>
          </cell>
          <cell r="AP36">
            <v>-42925.09</v>
          </cell>
          <cell r="AQ36">
            <v>-43668.53</v>
          </cell>
          <cell r="AR36">
            <v>-24832.7</v>
          </cell>
          <cell r="AS36">
            <v>-22897.18</v>
          </cell>
          <cell r="AT36">
            <v>-14640.56</v>
          </cell>
          <cell r="AU36">
            <v>-18210.39</v>
          </cell>
          <cell r="AV36">
            <v>-20762.240000000002</v>
          </cell>
          <cell r="AW36">
            <v>-30816.65</v>
          </cell>
          <cell r="AX36">
            <v>-33680.22</v>
          </cell>
          <cell r="AY36">
            <v>-52558.8</v>
          </cell>
          <cell r="AZ36">
            <v>-88884</v>
          </cell>
          <cell r="BA36">
            <v>-62855.29</v>
          </cell>
          <cell r="BB36">
            <v>-44841.31</v>
          </cell>
          <cell r="BC36">
            <v>-33685.61</v>
          </cell>
          <cell r="BD36">
            <v>-28900.45</v>
          </cell>
          <cell r="BE36">
            <v>-19859.8</v>
          </cell>
          <cell r="BF36">
            <v>-18553.47</v>
          </cell>
          <cell r="BG36">
            <v>-11086.49</v>
          </cell>
          <cell r="BH36">
            <v>-17806.72</v>
          </cell>
          <cell r="BI36">
            <v>-16620.900000000001</v>
          </cell>
          <cell r="BJ36">
            <v>-44899.360000000001</v>
          </cell>
          <cell r="BK36">
            <v>-40588.65</v>
          </cell>
          <cell r="BL36">
            <v>-60524.36</v>
          </cell>
          <cell r="BM36">
            <v>-41180.120000000003</v>
          </cell>
          <cell r="BN36">
            <v>-42963.48</v>
          </cell>
          <cell r="BO36">
            <v>-44890.05</v>
          </cell>
          <cell r="BP36">
            <v>-31001.040000000001</v>
          </cell>
          <cell r="BQ36">
            <v>-18572.71</v>
          </cell>
          <cell r="BR36">
            <v>-12570.72</v>
          </cell>
          <cell r="BS36">
            <v>-10500.17</v>
          </cell>
          <cell r="BT36">
            <v>-16380.8</v>
          </cell>
          <cell r="BU36">
            <v>-26935.64</v>
          </cell>
          <cell r="BV36">
            <v>-31345.040000000001</v>
          </cell>
          <cell r="BW36">
            <v>-54590.03</v>
          </cell>
          <cell r="BX36">
            <v>-58689.57</v>
          </cell>
          <cell r="BY36">
            <v>-44070.31</v>
          </cell>
          <cell r="BZ36">
            <v>2015.58</v>
          </cell>
          <cell r="CA36">
            <v>-29949.17</v>
          </cell>
          <cell r="CB36">
            <v>-16005.24</v>
          </cell>
          <cell r="CC36">
            <v>-18539.32</v>
          </cell>
          <cell r="CD36">
            <v>-12310.58</v>
          </cell>
          <cell r="CE36">
            <v>-14721.16</v>
          </cell>
          <cell r="CF36">
            <v>-12483.41</v>
          </cell>
          <cell r="CG36">
            <v>-22652.48</v>
          </cell>
          <cell r="CH36">
            <v>-36054.75</v>
          </cell>
          <cell r="CI36">
            <v>-58086.67</v>
          </cell>
          <cell r="CJ36">
            <v>-55306.09</v>
          </cell>
          <cell r="CK36">
            <v>-30865.09</v>
          </cell>
          <cell r="CL36">
            <v>-39095.800000000003</v>
          </cell>
          <cell r="CM36">
            <v>-35466.68</v>
          </cell>
          <cell r="CN36">
            <v>-20204.75</v>
          </cell>
          <cell r="CO36">
            <v>-18923.41</v>
          </cell>
          <cell r="CP36">
            <v>-36579.660000000003</v>
          </cell>
          <cell r="CQ36">
            <v>-15505.44</v>
          </cell>
          <cell r="CR36">
            <v>-20621.43</v>
          </cell>
          <cell r="CS36">
            <v>-27378.27</v>
          </cell>
          <cell r="CT36">
            <v>-62664.41</v>
          </cell>
          <cell r="CU36">
            <v>-79135.11</v>
          </cell>
          <cell r="CV36">
            <v>-104561.71</v>
          </cell>
          <cell r="CW36">
            <v>-91773.8</v>
          </cell>
          <cell r="CX36">
            <v>-58849.31</v>
          </cell>
          <cell r="CY36">
            <v>-58833.03</v>
          </cell>
          <cell r="CZ36">
            <v>-48012.22</v>
          </cell>
          <cell r="DA36">
            <v>-22330.720000000001</v>
          </cell>
          <cell r="DB36">
            <v>-32943.15</v>
          </cell>
          <cell r="DC36">
            <v>-42832.92</v>
          </cell>
          <cell r="DD36">
            <v>-43723.64</v>
          </cell>
          <cell r="DE36">
            <v>-64684.59</v>
          </cell>
          <cell r="DF36">
            <v>-48050.71</v>
          </cell>
          <cell r="DG36">
            <v>-77847.58</v>
          </cell>
        </row>
        <row r="37">
          <cell r="A37">
            <v>4800044</v>
          </cell>
          <cell r="B37">
            <v>4800044</v>
          </cell>
          <cell r="C37" t="str">
            <v>Resid GenSvc 3</v>
          </cell>
          <cell r="D37">
            <v>0</v>
          </cell>
          <cell r="E37">
            <v>0</v>
          </cell>
          <cell r="F37">
            <v>75</v>
          </cell>
          <cell r="G37">
            <v>0</v>
          </cell>
          <cell r="H37">
            <v>0</v>
          </cell>
          <cell r="I37">
            <v>-75</v>
          </cell>
          <cell r="J37">
            <v>-1183.26</v>
          </cell>
          <cell r="K37">
            <v>-704.1</v>
          </cell>
          <cell r="L37">
            <v>-832.6</v>
          </cell>
          <cell r="M37">
            <v>-253.7</v>
          </cell>
          <cell r="N37">
            <v>-708.66</v>
          </cell>
          <cell r="O37">
            <v>-1396.44</v>
          </cell>
          <cell r="P37">
            <v>-1232.75</v>
          </cell>
          <cell r="Q37">
            <v>-2995.95</v>
          </cell>
          <cell r="R37">
            <v>-161.72999999999999</v>
          </cell>
          <cell r="S37">
            <v>-1062.3499999999999</v>
          </cell>
          <cell r="T37">
            <v>395</v>
          </cell>
          <cell r="U37">
            <v>-75</v>
          </cell>
          <cell r="V37">
            <v>150</v>
          </cell>
          <cell r="W37">
            <v>0</v>
          </cell>
          <cell r="X37">
            <v>0</v>
          </cell>
          <cell r="Y37">
            <v>0</v>
          </cell>
          <cell r="Z37">
            <v>0</v>
          </cell>
          <cell r="AA37">
            <v>0</v>
          </cell>
          <cell r="AB37">
            <v>0</v>
          </cell>
          <cell r="AC37">
            <v>-150</v>
          </cell>
          <cell r="AD37">
            <v>0</v>
          </cell>
          <cell r="AE37">
            <v>-498.37</v>
          </cell>
          <cell r="AF37">
            <v>-215.61</v>
          </cell>
          <cell r="AG37">
            <v>-2433.2600000000002</v>
          </cell>
          <cell r="AH37">
            <v>-1552.28</v>
          </cell>
          <cell r="AI37">
            <v>-1223.99</v>
          </cell>
          <cell r="AJ37">
            <v>-1516.72</v>
          </cell>
          <cell r="AK37">
            <v>-1320.29</v>
          </cell>
          <cell r="AL37">
            <v>-1239.69</v>
          </cell>
          <cell r="AM37">
            <v>-1958.65</v>
          </cell>
          <cell r="AN37">
            <v>943</v>
          </cell>
          <cell r="AO37">
            <v>-8457.16</v>
          </cell>
          <cell r="AP37">
            <v>-15143.16</v>
          </cell>
          <cell r="AQ37">
            <v>-16131.44</v>
          </cell>
          <cell r="AR37">
            <v>-23237.82</v>
          </cell>
          <cell r="AS37">
            <v>-11139.26</v>
          </cell>
          <cell r="AT37">
            <v>3881.38</v>
          </cell>
          <cell r="AU37">
            <v>-7849.87</v>
          </cell>
          <cell r="AV37">
            <v>-12515.76</v>
          </cell>
          <cell r="AW37">
            <v>-5383.18</v>
          </cell>
          <cell r="AX37">
            <v>-7143.69</v>
          </cell>
          <cell r="AY37">
            <v>-9898.9599999999991</v>
          </cell>
          <cell r="AZ37">
            <v>22841.18</v>
          </cell>
          <cell r="BA37">
            <v>2545.1799999999998</v>
          </cell>
          <cell r="BB37">
            <v>-4813.54</v>
          </cell>
          <cell r="BC37">
            <v>-7124.74</v>
          </cell>
          <cell r="BD37">
            <v>-6639.76</v>
          </cell>
          <cell r="BE37">
            <v>-1550.59</v>
          </cell>
          <cell r="BF37">
            <v>-3017.81</v>
          </cell>
          <cell r="BG37">
            <v>-3386.88</v>
          </cell>
          <cell r="BH37">
            <v>-4224.7</v>
          </cell>
          <cell r="BI37">
            <v>-2936.59</v>
          </cell>
          <cell r="BJ37">
            <v>-3582.19</v>
          </cell>
          <cell r="BK37">
            <v>-1689.09</v>
          </cell>
          <cell r="BL37">
            <v>-733.68</v>
          </cell>
          <cell r="BM37">
            <v>-2917.87</v>
          </cell>
          <cell r="BN37">
            <v>-2942.58</v>
          </cell>
          <cell r="BO37">
            <v>-3066.76</v>
          </cell>
          <cell r="BP37">
            <v>-3061.1</v>
          </cell>
          <cell r="BQ37">
            <v>-3241.46</v>
          </cell>
          <cell r="BR37">
            <v>-1245.24</v>
          </cell>
          <cell r="BS37">
            <v>-680.02</v>
          </cell>
          <cell r="BT37">
            <v>-5281.6</v>
          </cell>
          <cell r="BU37">
            <v>413.64</v>
          </cell>
          <cell r="BV37">
            <v>-2414.91</v>
          </cell>
          <cell r="BW37">
            <v>-4571.57</v>
          </cell>
          <cell r="BX37">
            <v>-4758.22</v>
          </cell>
          <cell r="BY37">
            <v>-3827.73</v>
          </cell>
          <cell r="BZ37">
            <v>-4472.09</v>
          </cell>
          <cell r="CA37">
            <v>-3694.42</v>
          </cell>
          <cell r="CB37">
            <v>-3869.92</v>
          </cell>
          <cell r="CC37">
            <v>-3792.27</v>
          </cell>
          <cell r="CD37">
            <v>-4041.1</v>
          </cell>
          <cell r="CE37">
            <v>-4198.91</v>
          </cell>
          <cell r="CF37">
            <v>-3974.53</v>
          </cell>
          <cell r="CG37">
            <v>-4126.49</v>
          </cell>
          <cell r="CH37">
            <v>-4104.01</v>
          </cell>
          <cell r="CI37">
            <v>-4212.1499999999996</v>
          </cell>
          <cell r="CJ37">
            <v>28653.98</v>
          </cell>
          <cell r="CK37">
            <v>25566.81</v>
          </cell>
          <cell r="CL37">
            <v>-1465.57</v>
          </cell>
          <cell r="CM37">
            <v>-176</v>
          </cell>
          <cell r="CN37">
            <v>-420</v>
          </cell>
          <cell r="CO37">
            <v>-420</v>
          </cell>
          <cell r="CP37">
            <v>-210</v>
          </cell>
          <cell r="CQ37">
            <v>-39270.239999999998</v>
          </cell>
          <cell r="CR37">
            <v>-35070.720000000001</v>
          </cell>
          <cell r="CS37">
            <v>9235.7199999999993</v>
          </cell>
          <cell r="CT37">
            <v>3359.39</v>
          </cell>
          <cell r="CU37">
            <v>-293.38</v>
          </cell>
          <cell r="CV37">
            <v>-874.1</v>
          </cell>
          <cell r="CW37">
            <v>-310.91000000000003</v>
          </cell>
          <cell r="CX37">
            <v>-2530.6999999999998</v>
          </cell>
          <cell r="CY37">
            <v>-1266.01</v>
          </cell>
          <cell r="CZ37">
            <v>-1053.54</v>
          </cell>
          <cell r="DA37">
            <v>1489.88</v>
          </cell>
          <cell r="DB37">
            <v>-639.5</v>
          </cell>
          <cell r="DC37">
            <v>-2522.5500000000002</v>
          </cell>
          <cell r="DD37">
            <v>1143.01</v>
          </cell>
          <cell r="DE37">
            <v>-1568.74</v>
          </cell>
          <cell r="DF37">
            <v>-631.28</v>
          </cell>
          <cell r="DG37">
            <v>0.54</v>
          </cell>
        </row>
        <row r="38">
          <cell r="A38">
            <v>4800045</v>
          </cell>
          <cell r="B38">
            <v>4800045</v>
          </cell>
          <cell r="C38" t="str">
            <v>Resid GenSvc 3 Fuel</v>
          </cell>
          <cell r="D38">
            <v>0</v>
          </cell>
          <cell r="E38">
            <v>0</v>
          </cell>
          <cell r="F38">
            <v>0</v>
          </cell>
          <cell r="G38">
            <v>0</v>
          </cell>
          <cell r="H38">
            <v>0</v>
          </cell>
          <cell r="I38">
            <v>0</v>
          </cell>
          <cell r="J38">
            <v>-3109.49</v>
          </cell>
          <cell r="K38">
            <v>-1772.86</v>
          </cell>
          <cell r="L38">
            <v>-2498.94</v>
          </cell>
          <cell r="M38">
            <v>-1924.73</v>
          </cell>
          <cell r="N38">
            <v>-2376.98</v>
          </cell>
          <cell r="O38">
            <v>-4768.74</v>
          </cell>
          <cell r="P38">
            <v>-4835.84</v>
          </cell>
          <cell r="Q38">
            <v>-11229.51</v>
          </cell>
          <cell r="R38">
            <v>117.85</v>
          </cell>
          <cell r="S38">
            <v>-3793.57</v>
          </cell>
          <cell r="T38">
            <v>1727</v>
          </cell>
          <cell r="U38">
            <v>0</v>
          </cell>
          <cell r="V38">
            <v>0</v>
          </cell>
          <cell r="W38">
            <v>0</v>
          </cell>
          <cell r="X38">
            <v>0</v>
          </cell>
          <cell r="Y38">
            <v>0</v>
          </cell>
          <cell r="Z38">
            <v>0</v>
          </cell>
          <cell r="AA38">
            <v>0</v>
          </cell>
          <cell r="AB38">
            <v>0</v>
          </cell>
          <cell r="AC38">
            <v>0</v>
          </cell>
          <cell r="AD38">
            <v>0</v>
          </cell>
          <cell r="AE38">
            <v>-1212.67</v>
          </cell>
          <cell r="AF38">
            <v>-974.72</v>
          </cell>
          <cell r="AG38">
            <v>-9163.64</v>
          </cell>
          <cell r="AH38">
            <v>-6512.7</v>
          </cell>
          <cell r="AI38">
            <v>-4577.5200000000004</v>
          </cell>
          <cell r="AJ38">
            <v>-5027.83</v>
          </cell>
          <cell r="AK38">
            <v>-4392.58</v>
          </cell>
          <cell r="AL38">
            <v>-4605.9399999999996</v>
          </cell>
          <cell r="AM38">
            <v>-6577.72</v>
          </cell>
          <cell r="AN38">
            <v>2923</v>
          </cell>
          <cell r="AO38">
            <v>-22792.959999999999</v>
          </cell>
          <cell r="AP38">
            <v>-750.26</v>
          </cell>
          <cell r="AQ38">
            <v>262</v>
          </cell>
          <cell r="AR38">
            <v>-3473.38</v>
          </cell>
          <cell r="AS38">
            <v>-19554</v>
          </cell>
          <cell r="AT38">
            <v>-91.5</v>
          </cell>
          <cell r="AU38">
            <v>-6683.32</v>
          </cell>
          <cell r="AV38">
            <v>-5358.42</v>
          </cell>
          <cell r="AW38">
            <v>-5486.94</v>
          </cell>
          <cell r="AX38">
            <v>-7706.62</v>
          </cell>
          <cell r="AY38">
            <v>-7939.78</v>
          </cell>
          <cell r="AZ38">
            <v>-4573.5200000000004</v>
          </cell>
          <cell r="BA38">
            <v>-7851.39</v>
          </cell>
          <cell r="BB38">
            <v>-8538.93</v>
          </cell>
          <cell r="BC38">
            <v>-8591.5400000000009</v>
          </cell>
          <cell r="BD38">
            <v>-6713.16</v>
          </cell>
          <cell r="BE38">
            <v>11782.02</v>
          </cell>
          <cell r="BF38">
            <v>-2746.25</v>
          </cell>
          <cell r="BG38">
            <v>-53.62</v>
          </cell>
          <cell r="BH38">
            <v>-174.23</v>
          </cell>
          <cell r="BI38">
            <v>-44.41</v>
          </cell>
          <cell r="BJ38">
            <v>-234.91</v>
          </cell>
          <cell r="BK38">
            <v>-791.52</v>
          </cell>
          <cell r="BL38">
            <v>-1178.43</v>
          </cell>
          <cell r="BM38">
            <v>-323.12</v>
          </cell>
          <cell r="BN38">
            <v>-1182.5899999999999</v>
          </cell>
          <cell r="BO38">
            <v>-829.31</v>
          </cell>
          <cell r="BP38">
            <v>-753.91</v>
          </cell>
          <cell r="BQ38">
            <v>-953.67</v>
          </cell>
          <cell r="BR38">
            <v>-86.72</v>
          </cell>
          <cell r="BS38">
            <v>52.82</v>
          </cell>
          <cell r="BT38">
            <v>-236.68</v>
          </cell>
          <cell r="BU38">
            <v>-187.72</v>
          </cell>
          <cell r="BV38">
            <v>-284.61</v>
          </cell>
          <cell r="BW38">
            <v>-694.48</v>
          </cell>
          <cell r="BX38">
            <v>-1011.12</v>
          </cell>
          <cell r="BY38">
            <v>-346.1</v>
          </cell>
          <cell r="BZ38">
            <v>-798.15</v>
          </cell>
          <cell r="CA38">
            <v>-258.83</v>
          </cell>
          <cell r="CB38">
            <v>-388.65</v>
          </cell>
          <cell r="CC38">
            <v>-302.26</v>
          </cell>
          <cell r="CD38">
            <v>-212.56</v>
          </cell>
          <cell r="CE38">
            <v>-267.98</v>
          </cell>
          <cell r="CF38">
            <v>-228.74</v>
          </cell>
          <cell r="CG38">
            <v>-536.07000000000005</v>
          </cell>
          <cell r="CH38">
            <v>-547.73</v>
          </cell>
          <cell r="CI38">
            <v>-1077.69</v>
          </cell>
          <cell r="CJ38">
            <v>901.98</v>
          </cell>
          <cell r="CK38">
            <v>1378.33</v>
          </cell>
          <cell r="CL38">
            <v>-3881.7</v>
          </cell>
          <cell r="CM38">
            <v>1128</v>
          </cell>
          <cell r="CN38">
            <v>0</v>
          </cell>
          <cell r="CO38">
            <v>0</v>
          </cell>
          <cell r="CP38">
            <v>0</v>
          </cell>
          <cell r="CQ38">
            <v>-2.15</v>
          </cell>
          <cell r="CR38">
            <v>-4.45</v>
          </cell>
          <cell r="CS38">
            <v>-14</v>
          </cell>
          <cell r="CT38">
            <v>-6.75</v>
          </cell>
          <cell r="CU38">
            <v>-1390.29</v>
          </cell>
          <cell r="CV38">
            <v>1881.34</v>
          </cell>
          <cell r="CW38">
            <v>-536.48</v>
          </cell>
          <cell r="CX38">
            <v>-59.69</v>
          </cell>
          <cell r="CY38">
            <v>-24.06</v>
          </cell>
          <cell r="CZ38">
            <v>-21.56</v>
          </cell>
          <cell r="DA38">
            <v>105.58</v>
          </cell>
          <cell r="DB38">
            <v>-52.03</v>
          </cell>
          <cell r="DC38">
            <v>-7936.5</v>
          </cell>
          <cell r="DD38">
            <v>10190.1</v>
          </cell>
          <cell r="DE38">
            <v>-2310.7399999999998</v>
          </cell>
          <cell r="DF38">
            <v>-4.88</v>
          </cell>
          <cell r="DG38">
            <v>2.02</v>
          </cell>
        </row>
        <row r="39">
          <cell r="A39">
            <v>4810001</v>
          </cell>
          <cell r="B39">
            <v>4810001</v>
          </cell>
          <cell r="C39" t="str">
            <v>Nat Gas Vehicle</v>
          </cell>
          <cell r="D39">
            <v>-683.2</v>
          </cell>
          <cell r="E39">
            <v>-1841.39</v>
          </cell>
          <cell r="F39">
            <v>-1189.25</v>
          </cell>
          <cell r="G39">
            <v>-1978.35</v>
          </cell>
          <cell r="H39">
            <v>-3762.37</v>
          </cell>
          <cell r="I39">
            <v>-6539.25</v>
          </cell>
          <cell r="J39">
            <v>-56.35</v>
          </cell>
          <cell r="K39">
            <v>-11451.61</v>
          </cell>
          <cell r="L39">
            <v>-6944.5</v>
          </cell>
          <cell r="M39">
            <v>-2620.15</v>
          </cell>
          <cell r="N39">
            <v>-985.59</v>
          </cell>
          <cell r="O39">
            <v>-917.96</v>
          </cell>
          <cell r="P39">
            <v>-2687.53</v>
          </cell>
          <cell r="Q39">
            <v>-1504.33</v>
          </cell>
          <cell r="R39">
            <v>332.11</v>
          </cell>
          <cell r="S39">
            <v>-119.28</v>
          </cell>
          <cell r="T39">
            <v>-136.79</v>
          </cell>
          <cell r="U39">
            <v>-143.86000000000001</v>
          </cell>
          <cell r="V39">
            <v>-2738.31</v>
          </cell>
          <cell r="W39">
            <v>-137.5</v>
          </cell>
          <cell r="X39">
            <v>-111.5</v>
          </cell>
          <cell r="Y39">
            <v>-67</v>
          </cell>
          <cell r="Z39">
            <v>-109.37</v>
          </cell>
          <cell r="AA39">
            <v>-147.04</v>
          </cell>
          <cell r="AB39">
            <v>-171.44</v>
          </cell>
          <cell r="AC39">
            <v>-458.78</v>
          </cell>
          <cell r="AD39">
            <v>-255.3</v>
          </cell>
          <cell r="AE39">
            <v>-310.75</v>
          </cell>
          <cell r="AF39">
            <v>2462.87</v>
          </cell>
          <cell r="AG39">
            <v>-131.53</v>
          </cell>
          <cell r="AH39">
            <v>-2</v>
          </cell>
          <cell r="AI39">
            <v>-45</v>
          </cell>
          <cell r="AJ39">
            <v>-45</v>
          </cell>
          <cell r="AK39">
            <v>-45</v>
          </cell>
          <cell r="AL39">
            <v>-45</v>
          </cell>
          <cell r="AM39">
            <v>-45</v>
          </cell>
          <cell r="AN39">
            <v>-45</v>
          </cell>
          <cell r="AO39">
            <v>-67.5</v>
          </cell>
          <cell r="AP39">
            <v>23</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cell r="BJ39"/>
          <cell r="BK39"/>
          <cell r="BL39"/>
          <cell r="BM39"/>
          <cell r="BN39"/>
          <cell r="BO39"/>
          <cell r="BP39"/>
          <cell r="BQ39"/>
          <cell r="BR39"/>
          <cell r="BS39"/>
          <cell r="BT39"/>
          <cell r="BU39"/>
          <cell r="BV39"/>
          <cell r="BW39"/>
          <cell r="BX39"/>
          <cell r="BY39"/>
          <cell r="BZ39"/>
          <cell r="CA39"/>
          <cell r="CB39"/>
          <cell r="CC39"/>
          <cell r="CD39"/>
          <cell r="CE39"/>
          <cell r="CF39"/>
          <cell r="CG39">
            <v>0</v>
          </cell>
          <cell r="CH39">
            <v>0</v>
          </cell>
          <cell r="CI39">
            <v>-134.63</v>
          </cell>
          <cell r="CJ39">
            <v>-103.62</v>
          </cell>
          <cell r="CK39">
            <v>238.25</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row>
        <row r="40">
          <cell r="A40">
            <v>4810002</v>
          </cell>
          <cell r="B40">
            <v>4810002</v>
          </cell>
          <cell r="C40" t="str">
            <v>Nat Gas Vehicle Fuel</v>
          </cell>
          <cell r="D40">
            <v>28.97</v>
          </cell>
          <cell r="E40">
            <v>-3484.71</v>
          </cell>
          <cell r="F40">
            <v>-93.06</v>
          </cell>
          <cell r="G40">
            <v>-2040.75</v>
          </cell>
          <cell r="H40">
            <v>-4887.21</v>
          </cell>
          <cell r="I40">
            <v>-6879.48</v>
          </cell>
          <cell r="J40">
            <v>3567.96</v>
          </cell>
          <cell r="K40">
            <v>-3955.6</v>
          </cell>
          <cell r="L40">
            <v>1376.58</v>
          </cell>
          <cell r="M40">
            <v>1724.83</v>
          </cell>
          <cell r="N40">
            <v>737.94</v>
          </cell>
          <cell r="O40">
            <v>78.95</v>
          </cell>
          <cell r="P40">
            <v>-665.11</v>
          </cell>
          <cell r="Q40">
            <v>-5666.72</v>
          </cell>
          <cell r="R40">
            <v>2181.62</v>
          </cell>
          <cell r="S40">
            <v>-48.37</v>
          </cell>
          <cell r="T40">
            <v>-91.67</v>
          </cell>
          <cell r="U40">
            <v>-39.020000000000003</v>
          </cell>
          <cell r="V40">
            <v>-0.38</v>
          </cell>
          <cell r="W40">
            <v>-4.83</v>
          </cell>
          <cell r="X40">
            <v>3</v>
          </cell>
          <cell r="Y40">
            <v>0</v>
          </cell>
          <cell r="Z40">
            <v>-87.7</v>
          </cell>
          <cell r="AA40">
            <v>-252.07</v>
          </cell>
          <cell r="AB40">
            <v>-186.65</v>
          </cell>
          <cell r="AC40">
            <v>-1349.64</v>
          </cell>
          <cell r="AD40">
            <v>-657.02</v>
          </cell>
          <cell r="AE40">
            <v>-640.79</v>
          </cell>
          <cell r="AF40">
            <v>-570.86</v>
          </cell>
          <cell r="AG40">
            <v>-290.33</v>
          </cell>
          <cell r="AH40">
            <v>195</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v>0</v>
          </cell>
          <cell r="CH40">
            <v>0</v>
          </cell>
          <cell r="CI40">
            <v>-254.87</v>
          </cell>
          <cell r="CJ40">
            <v>-317.05</v>
          </cell>
          <cell r="CK40">
            <v>571.91999999999996</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row>
        <row r="41">
          <cell r="A41">
            <v>4810004</v>
          </cell>
          <cell r="B41">
            <v>4810004</v>
          </cell>
          <cell r="C41" t="str">
            <v>Comm Street Lighting</v>
          </cell>
          <cell r="D41">
            <v>-1223.76</v>
          </cell>
          <cell r="E41">
            <v>-895.08</v>
          </cell>
          <cell r="F41">
            <v>-831.56</v>
          </cell>
          <cell r="G41">
            <v>-1021.13</v>
          </cell>
          <cell r="H41">
            <v>-997.63</v>
          </cell>
          <cell r="I41">
            <v>-924.03</v>
          </cell>
          <cell r="J41">
            <v>-886.3</v>
          </cell>
          <cell r="K41">
            <v>-899.27</v>
          </cell>
          <cell r="L41">
            <v>-839.12</v>
          </cell>
          <cell r="M41">
            <v>-867.7</v>
          </cell>
          <cell r="N41">
            <v>-774.96</v>
          </cell>
          <cell r="O41">
            <v>-986.8</v>
          </cell>
          <cell r="P41">
            <v>-893.89</v>
          </cell>
          <cell r="Q41">
            <v>-603.83000000000004</v>
          </cell>
          <cell r="R41">
            <v>-871.63</v>
          </cell>
          <cell r="S41">
            <v>-689.86</v>
          </cell>
          <cell r="T41">
            <v>-647.54999999999995</v>
          </cell>
          <cell r="U41">
            <v>-1029.8</v>
          </cell>
          <cell r="V41">
            <v>-682.48</v>
          </cell>
          <cell r="W41">
            <v>-849.22</v>
          </cell>
          <cell r="X41">
            <v>-827.66</v>
          </cell>
          <cell r="Y41">
            <v>-741.75</v>
          </cell>
          <cell r="Z41">
            <v>-696.62</v>
          </cell>
          <cell r="AA41">
            <v>-630.73</v>
          </cell>
          <cell r="AB41">
            <v>-632.44000000000005</v>
          </cell>
          <cell r="AC41">
            <v>-642.4</v>
          </cell>
          <cell r="AD41">
            <v>-564.58000000000004</v>
          </cell>
          <cell r="AE41">
            <v>-698.32</v>
          </cell>
          <cell r="AF41">
            <v>-590.44000000000005</v>
          </cell>
          <cell r="AG41">
            <v>-746.49</v>
          </cell>
          <cell r="AH41">
            <v>-660.01</v>
          </cell>
          <cell r="AI41">
            <v>-643.83000000000004</v>
          </cell>
          <cell r="AJ41">
            <v>-682.25</v>
          </cell>
          <cell r="AK41">
            <v>-470.05</v>
          </cell>
          <cell r="AL41">
            <v>-639.6</v>
          </cell>
          <cell r="AM41">
            <v>-702.68</v>
          </cell>
          <cell r="AN41">
            <v>-856.46</v>
          </cell>
          <cell r="AO41">
            <v>-477.01</v>
          </cell>
          <cell r="AP41">
            <v>-532.16999999999996</v>
          </cell>
          <cell r="AQ41">
            <v>-547.92999999999995</v>
          </cell>
          <cell r="AR41">
            <v>-539.19000000000005</v>
          </cell>
          <cell r="AS41">
            <v>-551.30999999999995</v>
          </cell>
          <cell r="AT41">
            <v>-568.12</v>
          </cell>
          <cell r="AU41">
            <v>-1040.5</v>
          </cell>
          <cell r="AV41">
            <v>-469.46</v>
          </cell>
          <cell r="AW41">
            <v>-524.49</v>
          </cell>
          <cell r="AX41">
            <v>-522.27</v>
          </cell>
          <cell r="AY41">
            <v>-466.63</v>
          </cell>
          <cell r="AZ41">
            <v>-566.66</v>
          </cell>
          <cell r="BA41">
            <v>-384.6</v>
          </cell>
          <cell r="BB41">
            <v>-514.36</v>
          </cell>
          <cell r="BC41">
            <v>-490.54</v>
          </cell>
          <cell r="BD41">
            <v>-473.95</v>
          </cell>
          <cell r="BE41">
            <v>-486.51</v>
          </cell>
          <cell r="BF41">
            <v>-580.71</v>
          </cell>
          <cell r="BG41">
            <v>-590.03</v>
          </cell>
          <cell r="BH41">
            <v>-614.64</v>
          </cell>
          <cell r="BI41">
            <v>-537.5</v>
          </cell>
          <cell r="BJ41">
            <v>-651.32000000000005</v>
          </cell>
          <cell r="BK41">
            <v>-594.70000000000005</v>
          </cell>
          <cell r="BL41">
            <v>-606.54</v>
          </cell>
          <cell r="BM41">
            <v>-531.01</v>
          </cell>
          <cell r="BN41">
            <v>-584.5</v>
          </cell>
          <cell r="BO41">
            <v>-542.98</v>
          </cell>
          <cell r="BP41">
            <v>-503.35</v>
          </cell>
          <cell r="BQ41">
            <v>-535.29</v>
          </cell>
          <cell r="BR41">
            <v>-493.3</v>
          </cell>
          <cell r="BS41">
            <v>-488.14</v>
          </cell>
          <cell r="BT41">
            <v>-549.41</v>
          </cell>
          <cell r="BU41">
            <v>-431.98</v>
          </cell>
          <cell r="BV41">
            <v>-551.88</v>
          </cell>
          <cell r="BW41">
            <v>-563.70000000000005</v>
          </cell>
          <cell r="BX41">
            <v>-563.61</v>
          </cell>
          <cell r="BY41">
            <v>-489.11</v>
          </cell>
          <cell r="BZ41">
            <v>-431.48</v>
          </cell>
          <cell r="CA41">
            <v>-450.35</v>
          </cell>
          <cell r="CB41">
            <v>-465.17</v>
          </cell>
          <cell r="CC41">
            <v>-468.61</v>
          </cell>
          <cell r="CD41">
            <v>-428.6</v>
          </cell>
          <cell r="CE41">
            <v>-428.27</v>
          </cell>
          <cell r="CF41">
            <v>-424.01</v>
          </cell>
          <cell r="CG41">
            <v>-389.5</v>
          </cell>
          <cell r="CH41">
            <v>-405.59</v>
          </cell>
          <cell r="CI41">
            <v>-594.28</v>
          </cell>
          <cell r="CJ41">
            <v>-1016.44</v>
          </cell>
          <cell r="CK41">
            <v>-656.41</v>
          </cell>
          <cell r="CL41">
            <v>-887.87</v>
          </cell>
          <cell r="CM41">
            <v>-750.47</v>
          </cell>
          <cell r="CN41">
            <v>-610.26</v>
          </cell>
          <cell r="CO41">
            <v>-706.95</v>
          </cell>
          <cell r="CP41">
            <v>-609.53</v>
          </cell>
          <cell r="CQ41">
            <v>-659.08</v>
          </cell>
          <cell r="CR41">
            <v>-795.86</v>
          </cell>
          <cell r="CS41">
            <v>-673.57</v>
          </cell>
          <cell r="CT41">
            <v>-825.26</v>
          </cell>
          <cell r="CU41">
            <v>-926.59</v>
          </cell>
          <cell r="CV41">
            <v>-1016.08</v>
          </cell>
          <cell r="CW41">
            <v>-637.28</v>
          </cell>
          <cell r="CX41">
            <v>-837.7</v>
          </cell>
          <cell r="CY41">
            <v>-739.84</v>
          </cell>
          <cell r="CZ41">
            <v>-698.46</v>
          </cell>
          <cell r="DA41">
            <v>-739.12</v>
          </cell>
          <cell r="DB41">
            <v>-738.21</v>
          </cell>
          <cell r="DC41">
            <v>-655.68</v>
          </cell>
          <cell r="DD41">
            <v>-699.25</v>
          </cell>
          <cell r="DE41">
            <v>-695.44</v>
          </cell>
          <cell r="DF41">
            <v>-618.42999999999995</v>
          </cell>
          <cell r="DG41">
            <v>-733.15</v>
          </cell>
        </row>
        <row r="42">
          <cell r="A42">
            <v>4810005</v>
          </cell>
          <cell r="B42">
            <v>4810005</v>
          </cell>
          <cell r="C42" t="str">
            <v>Comm St Light Fuel</v>
          </cell>
          <cell r="D42">
            <v>-6012.12</v>
          </cell>
          <cell r="E42">
            <v>-3873.9</v>
          </cell>
          <cell r="F42">
            <v>-3411.97</v>
          </cell>
          <cell r="G42">
            <v>-4747.46</v>
          </cell>
          <cell r="H42">
            <v>-4179.24</v>
          </cell>
          <cell r="I42">
            <v>-4193.3100000000004</v>
          </cell>
          <cell r="J42">
            <v>-3961.03</v>
          </cell>
          <cell r="K42">
            <v>-4113.33</v>
          </cell>
          <cell r="L42">
            <v>-3574.25</v>
          </cell>
          <cell r="M42">
            <v>-3534.63</v>
          </cell>
          <cell r="N42">
            <v>-3022.48</v>
          </cell>
          <cell r="O42">
            <v>-3952.95</v>
          </cell>
          <cell r="P42">
            <v>-4182.41</v>
          </cell>
          <cell r="Q42">
            <v>-2543.2600000000002</v>
          </cell>
          <cell r="R42">
            <v>-3125.28</v>
          </cell>
          <cell r="S42">
            <v>-2793.83</v>
          </cell>
          <cell r="T42">
            <v>-2688.9</v>
          </cell>
          <cell r="U42">
            <v>-4440.2299999999996</v>
          </cell>
          <cell r="V42">
            <v>-2970.93</v>
          </cell>
          <cell r="W42">
            <v>-3789.16</v>
          </cell>
          <cell r="X42">
            <v>-3682.59</v>
          </cell>
          <cell r="Y42">
            <v>-3059.5</v>
          </cell>
          <cell r="Z42">
            <v>-3005.38</v>
          </cell>
          <cell r="AA42">
            <v>-2780.39</v>
          </cell>
          <cell r="AB42">
            <v>-3113.58</v>
          </cell>
          <cell r="AC42">
            <v>-3092.1</v>
          </cell>
          <cell r="AD42">
            <v>-2536.88</v>
          </cell>
          <cell r="AE42">
            <v>-3295.92</v>
          </cell>
          <cell r="AF42">
            <v>-2783.59</v>
          </cell>
          <cell r="AG42">
            <v>-3323.88</v>
          </cell>
          <cell r="AH42">
            <v>-2887.78</v>
          </cell>
          <cell r="AI42">
            <v>-2851.45</v>
          </cell>
          <cell r="AJ42">
            <v>-2770.09</v>
          </cell>
          <cell r="AK42">
            <v>-1975.55</v>
          </cell>
          <cell r="AL42">
            <v>-2479.17</v>
          </cell>
          <cell r="AM42">
            <v>-2783.57</v>
          </cell>
          <cell r="AN42">
            <v>-3402.35</v>
          </cell>
          <cell r="AO42">
            <v>-2093.36</v>
          </cell>
          <cell r="AP42">
            <v>-2226.56</v>
          </cell>
          <cell r="AQ42">
            <v>-2297.5300000000002</v>
          </cell>
          <cell r="AR42">
            <v>-2255.36</v>
          </cell>
          <cell r="AS42">
            <v>-2220.77</v>
          </cell>
          <cell r="AT42">
            <v>-2403.52</v>
          </cell>
          <cell r="AU42">
            <v>-4572.07</v>
          </cell>
          <cell r="AV42">
            <v>-2447.54</v>
          </cell>
          <cell r="AW42">
            <v>-2525.2399999999998</v>
          </cell>
          <cell r="AX42">
            <v>-2511.14</v>
          </cell>
          <cell r="AY42">
            <v>-2246.3200000000002</v>
          </cell>
          <cell r="AZ42">
            <v>-3085.46</v>
          </cell>
          <cell r="BA42">
            <v>-2053.81</v>
          </cell>
          <cell r="BB42">
            <v>-2420.75</v>
          </cell>
          <cell r="BC42">
            <v>-2344.52</v>
          </cell>
          <cell r="BD42">
            <v>-2271.52</v>
          </cell>
          <cell r="BE42">
            <v>-2194.54</v>
          </cell>
          <cell r="BF42">
            <v>-2678.39</v>
          </cell>
          <cell r="BG42">
            <v>-2720.19</v>
          </cell>
          <cell r="BH42">
            <v>-2834.77</v>
          </cell>
          <cell r="BI42">
            <v>-2257.94</v>
          </cell>
          <cell r="BJ42">
            <v>-2832.69</v>
          </cell>
          <cell r="BK42">
            <v>-2579.9</v>
          </cell>
          <cell r="BL42">
            <v>-3015.16</v>
          </cell>
          <cell r="BM42">
            <v>-2593.54</v>
          </cell>
          <cell r="BN42">
            <v>-3131.62</v>
          </cell>
          <cell r="BO42">
            <v>-3189.55</v>
          </cell>
          <cell r="BP42">
            <v>-2851.94</v>
          </cell>
          <cell r="BQ42">
            <v>-3017.86</v>
          </cell>
          <cell r="BR42">
            <v>-2794.82</v>
          </cell>
          <cell r="BS42">
            <v>-2150.84</v>
          </cell>
          <cell r="BT42">
            <v>-2638.8</v>
          </cell>
          <cell r="BU42">
            <v>-2094.42</v>
          </cell>
          <cell r="BV42">
            <v>-2637.35</v>
          </cell>
          <cell r="BW42">
            <v>-2720.7</v>
          </cell>
          <cell r="BX42">
            <v>-2708.26</v>
          </cell>
          <cell r="BY42">
            <v>-2140.2199999999998</v>
          </cell>
          <cell r="BZ42">
            <v>-1847.23</v>
          </cell>
          <cell r="CA42">
            <v>-1961.92</v>
          </cell>
          <cell r="CB42">
            <v>-2019.11</v>
          </cell>
          <cell r="CC42">
            <v>-2039.49</v>
          </cell>
          <cell r="CD42">
            <v>-1875.27</v>
          </cell>
          <cell r="CE42">
            <v>-1862.61</v>
          </cell>
          <cell r="CF42">
            <v>-1848.73</v>
          </cell>
          <cell r="CG42">
            <v>-1869.24</v>
          </cell>
          <cell r="CH42">
            <v>-2040.99</v>
          </cell>
          <cell r="CI42">
            <v>-3054.72</v>
          </cell>
          <cell r="CJ42">
            <v>-2827.85</v>
          </cell>
          <cell r="CK42">
            <v>-2184.65</v>
          </cell>
          <cell r="CL42">
            <v>-3524.35</v>
          </cell>
          <cell r="CM42">
            <v>-2857.97</v>
          </cell>
          <cell r="CN42">
            <v>-2330.62</v>
          </cell>
          <cell r="CO42">
            <v>-2685.05</v>
          </cell>
          <cell r="CP42">
            <v>-2323.9699999999998</v>
          </cell>
          <cell r="CQ42">
            <v>-2508.33</v>
          </cell>
          <cell r="CR42">
            <v>-3025.79</v>
          </cell>
          <cell r="CS42">
            <v>-2559.4</v>
          </cell>
          <cell r="CT42">
            <v>-3135.75</v>
          </cell>
          <cell r="CU42">
            <v>-3524.3</v>
          </cell>
          <cell r="CV42">
            <v>-4433.78</v>
          </cell>
          <cell r="CW42">
            <v>-2612.7600000000002</v>
          </cell>
          <cell r="CX42">
            <v>-3445.1</v>
          </cell>
          <cell r="CY42">
            <v>-3048.31</v>
          </cell>
          <cell r="CZ42">
            <v>-2871.27</v>
          </cell>
          <cell r="DA42">
            <v>-3044.31</v>
          </cell>
          <cell r="DB42">
            <v>-3046.21</v>
          </cell>
          <cell r="DC42">
            <v>-4582.24</v>
          </cell>
          <cell r="DD42">
            <v>-4185.8900000000003</v>
          </cell>
          <cell r="DE42">
            <v>-3873.03</v>
          </cell>
          <cell r="DF42">
            <v>-1368.72</v>
          </cell>
          <cell r="DG42">
            <v>-2513.29</v>
          </cell>
        </row>
        <row r="43">
          <cell r="A43">
            <v>4810008</v>
          </cell>
          <cell r="B43">
            <v>4810008</v>
          </cell>
          <cell r="C43" t="str">
            <v>GenSvc Small</v>
          </cell>
          <cell r="D43">
            <v>-427744.7</v>
          </cell>
          <cell r="E43">
            <v>-428746.82</v>
          </cell>
          <cell r="F43">
            <v>-347089.15</v>
          </cell>
          <cell r="G43">
            <v>-338523.72</v>
          </cell>
          <cell r="H43">
            <v>-314767.2</v>
          </cell>
          <cell r="I43">
            <v>-313600.05</v>
          </cell>
          <cell r="J43">
            <v>-298277.83</v>
          </cell>
          <cell r="K43">
            <v>-285995.21000000002</v>
          </cell>
          <cell r="L43">
            <v>-307859.01</v>
          </cell>
          <cell r="M43">
            <v>-303123.42</v>
          </cell>
          <cell r="N43">
            <v>-316036.01</v>
          </cell>
          <cell r="O43">
            <v>-371777.26</v>
          </cell>
          <cell r="P43">
            <v>-379536.13</v>
          </cell>
          <cell r="Q43">
            <v>-393481.42</v>
          </cell>
          <cell r="R43">
            <v>-376548.02</v>
          </cell>
          <cell r="S43">
            <v>-305252.15999999997</v>
          </cell>
          <cell r="T43">
            <v>-287186.7</v>
          </cell>
          <cell r="U43">
            <v>-313191.09000000003</v>
          </cell>
          <cell r="V43">
            <v>-286111.53000000003</v>
          </cell>
          <cell r="W43">
            <v>-296212.45</v>
          </cell>
          <cell r="X43">
            <v>-287623.42</v>
          </cell>
          <cell r="Y43">
            <v>-301128.14</v>
          </cell>
          <cell r="Z43">
            <v>-307092.65000000002</v>
          </cell>
          <cell r="AA43">
            <v>-331046.71000000002</v>
          </cell>
          <cell r="AB43">
            <v>-370625.01</v>
          </cell>
          <cell r="AC43">
            <v>-396280.57</v>
          </cell>
          <cell r="AD43">
            <v>-342217.73</v>
          </cell>
          <cell r="AE43">
            <v>-310966.46000000002</v>
          </cell>
          <cell r="AF43">
            <v>-302101.56</v>
          </cell>
          <cell r="AG43">
            <v>-294726.39</v>
          </cell>
          <cell r="AH43">
            <v>-275789.51</v>
          </cell>
          <cell r="AI43">
            <v>-278852.92</v>
          </cell>
          <cell r="AJ43">
            <v>-285377.42</v>
          </cell>
          <cell r="AK43">
            <v>-283351.03000000003</v>
          </cell>
          <cell r="AL43">
            <v>-299486.63</v>
          </cell>
          <cell r="AM43">
            <v>-327259.45</v>
          </cell>
          <cell r="AN43">
            <v>-342734.97</v>
          </cell>
          <cell r="AO43">
            <v>-329356.28000000003</v>
          </cell>
          <cell r="AP43">
            <v>-317465.06</v>
          </cell>
          <cell r="AQ43">
            <v>-311636.75</v>
          </cell>
          <cell r="AR43">
            <v>-290823.56</v>
          </cell>
          <cell r="AS43">
            <v>-283622.63</v>
          </cell>
          <cell r="AT43">
            <v>-277801.33</v>
          </cell>
          <cell r="AU43">
            <v>-278660.19</v>
          </cell>
          <cell r="AV43">
            <v>-386631.9</v>
          </cell>
          <cell r="AW43">
            <v>-164067.74</v>
          </cell>
          <cell r="AX43">
            <v>-343144.76</v>
          </cell>
          <cell r="AY43">
            <v>-361844.38</v>
          </cell>
          <cell r="AZ43">
            <v>-460618.68</v>
          </cell>
          <cell r="BA43">
            <v>-390713.59999999998</v>
          </cell>
          <cell r="BB43">
            <v>-304618.46999999997</v>
          </cell>
          <cell r="BC43">
            <v>-335179.86</v>
          </cell>
          <cell r="BD43">
            <v>-289866.95</v>
          </cell>
          <cell r="BE43">
            <v>-293450.18</v>
          </cell>
          <cell r="BF43">
            <v>-289550.89</v>
          </cell>
          <cell r="BG43">
            <v>-281826.5</v>
          </cell>
          <cell r="BH43">
            <v>-307560.73</v>
          </cell>
          <cell r="BI43">
            <v>-302892.65999999997</v>
          </cell>
          <cell r="BJ43">
            <v>-310698.96999999997</v>
          </cell>
          <cell r="BK43">
            <v>-319591.28999999998</v>
          </cell>
          <cell r="BL43">
            <v>-337807.41</v>
          </cell>
          <cell r="BM43">
            <v>-339255.68</v>
          </cell>
          <cell r="BN43">
            <v>-320061.96999999997</v>
          </cell>
          <cell r="BO43">
            <v>-302594.5</v>
          </cell>
          <cell r="BP43">
            <v>-290821.34999999998</v>
          </cell>
          <cell r="BQ43">
            <v>-280405.56</v>
          </cell>
          <cell r="BR43">
            <v>-249484.19</v>
          </cell>
          <cell r="BS43">
            <v>-261198.44</v>
          </cell>
          <cell r="BT43">
            <v>-276743.15999999997</v>
          </cell>
          <cell r="BU43">
            <v>-254104.24</v>
          </cell>
          <cell r="BV43">
            <v>-288688.33</v>
          </cell>
          <cell r="BW43">
            <v>-299825.84999999998</v>
          </cell>
          <cell r="BX43">
            <v>-324960.31</v>
          </cell>
          <cell r="BY43">
            <v>-318712.65000000002</v>
          </cell>
          <cell r="BZ43">
            <v>-294312.67</v>
          </cell>
          <cell r="CA43">
            <v>-253074.24</v>
          </cell>
          <cell r="CB43">
            <v>-249669.54</v>
          </cell>
          <cell r="CC43">
            <v>-267683.61</v>
          </cell>
          <cell r="CD43">
            <v>-253659.68</v>
          </cell>
          <cell r="CE43">
            <v>-259222.72</v>
          </cell>
          <cell r="CF43">
            <v>-254430.45</v>
          </cell>
          <cell r="CG43">
            <v>-263651.67</v>
          </cell>
          <cell r="CH43">
            <v>-274490.99</v>
          </cell>
          <cell r="CI43">
            <v>-312427.46000000002</v>
          </cell>
          <cell r="CJ43">
            <v>-456030.56</v>
          </cell>
          <cell r="CK43">
            <v>-382644.42</v>
          </cell>
          <cell r="CL43">
            <v>-376886.3</v>
          </cell>
          <cell r="CM43">
            <v>-367759.69</v>
          </cell>
          <cell r="CN43">
            <v>-339393.39</v>
          </cell>
          <cell r="CO43">
            <v>-335028.46999999997</v>
          </cell>
          <cell r="CP43">
            <v>-342380.14</v>
          </cell>
          <cell r="CQ43">
            <v>-333261.81</v>
          </cell>
          <cell r="CR43">
            <v>-470327.86</v>
          </cell>
          <cell r="CS43">
            <v>-176321.15</v>
          </cell>
          <cell r="CT43">
            <v>-398309.61</v>
          </cell>
          <cell r="CU43">
            <v>-405643.61</v>
          </cell>
          <cell r="CV43">
            <v>-425048.38</v>
          </cell>
          <cell r="CW43">
            <v>-432496.1</v>
          </cell>
          <cell r="CX43">
            <v>-380575.36</v>
          </cell>
          <cell r="CY43">
            <v>-368154.05</v>
          </cell>
          <cell r="CZ43">
            <v>-363048.46</v>
          </cell>
          <cell r="DA43">
            <v>-349372.38</v>
          </cell>
          <cell r="DB43">
            <v>-332452.58</v>
          </cell>
          <cell r="DC43">
            <v>-332650.64</v>
          </cell>
          <cell r="DD43">
            <v>-345668.54</v>
          </cell>
          <cell r="DE43">
            <v>-371932.82</v>
          </cell>
          <cell r="DF43">
            <v>-358637.24</v>
          </cell>
          <cell r="DG43">
            <v>-394264.75</v>
          </cell>
        </row>
        <row r="44">
          <cell r="A44">
            <v>4810009</v>
          </cell>
          <cell r="B44">
            <v>4810009</v>
          </cell>
          <cell r="C44" t="str">
            <v>GenSvc Small Fuel</v>
          </cell>
          <cell r="D44">
            <v>-629383.47</v>
          </cell>
          <cell r="E44">
            <v>-571235.17000000004</v>
          </cell>
          <cell r="F44">
            <v>-349287.87</v>
          </cell>
          <cell r="G44">
            <v>-380897.29</v>
          </cell>
          <cell r="H44">
            <v>-286213.93</v>
          </cell>
          <cell r="I44">
            <v>-309521.48</v>
          </cell>
          <cell r="J44">
            <v>-262200.7</v>
          </cell>
          <cell r="K44">
            <v>-242344.32000000001</v>
          </cell>
          <cell r="L44">
            <v>-279383.25</v>
          </cell>
          <cell r="M44">
            <v>-256871.96</v>
          </cell>
          <cell r="N44">
            <v>-274988.96999999997</v>
          </cell>
          <cell r="O44">
            <v>-403439.88</v>
          </cell>
          <cell r="P44">
            <v>-490375.53</v>
          </cell>
          <cell r="Q44">
            <v>-479035.44</v>
          </cell>
          <cell r="R44">
            <v>-369641.49</v>
          </cell>
          <cell r="S44">
            <v>-266559.95</v>
          </cell>
          <cell r="T44">
            <v>-232094.13</v>
          </cell>
          <cell r="U44">
            <v>-306542.5</v>
          </cell>
          <cell r="V44">
            <v>-230818.1</v>
          </cell>
          <cell r="W44">
            <v>-268749.94</v>
          </cell>
          <cell r="X44">
            <v>-250878.91</v>
          </cell>
          <cell r="Y44">
            <v>-260509.42</v>
          </cell>
          <cell r="Z44">
            <v>-296656.43</v>
          </cell>
          <cell r="AA44">
            <v>-345059.66</v>
          </cell>
          <cell r="AB44">
            <v>-497628.94</v>
          </cell>
          <cell r="AC44">
            <v>-558925.14</v>
          </cell>
          <cell r="AD44">
            <v>-385935.3</v>
          </cell>
          <cell r="AE44">
            <v>-337242.17</v>
          </cell>
          <cell r="AF44">
            <v>-308389.77</v>
          </cell>
          <cell r="AG44">
            <v>-276275.78000000003</v>
          </cell>
          <cell r="AH44">
            <v>-214287.78</v>
          </cell>
          <cell r="AI44">
            <v>-232312.45</v>
          </cell>
          <cell r="AJ44">
            <v>-229622.29</v>
          </cell>
          <cell r="AK44">
            <v>-230542.13</v>
          </cell>
          <cell r="AL44">
            <v>-251110.26</v>
          </cell>
          <cell r="AM44">
            <v>-314360.86</v>
          </cell>
          <cell r="AN44">
            <v>-355604.84</v>
          </cell>
          <cell r="AO44">
            <v>-347577.44</v>
          </cell>
          <cell r="AP44">
            <v>-313369.46000000002</v>
          </cell>
          <cell r="AQ44">
            <v>-305029.25</v>
          </cell>
          <cell r="AR44">
            <v>-251933.59</v>
          </cell>
          <cell r="AS44">
            <v>-229440.06</v>
          </cell>
          <cell r="AT44">
            <v>-215646.46</v>
          </cell>
          <cell r="AU44">
            <v>-239618.81</v>
          </cell>
          <cell r="AV44">
            <v>-541916.64</v>
          </cell>
          <cell r="AW44">
            <v>46926.53</v>
          </cell>
          <cell r="AX44">
            <v>-418441.59</v>
          </cell>
          <cell r="AY44">
            <v>-455906.44</v>
          </cell>
          <cell r="AZ44">
            <v>-811729.77</v>
          </cell>
          <cell r="BA44">
            <v>-606627.83999999997</v>
          </cell>
          <cell r="BB44">
            <v>-307416.95</v>
          </cell>
          <cell r="BC44">
            <v>-406831.82</v>
          </cell>
          <cell r="BD44">
            <v>-288257.63</v>
          </cell>
          <cell r="BE44">
            <v>-277192.25</v>
          </cell>
          <cell r="BF44">
            <v>-264752.46999999997</v>
          </cell>
          <cell r="BG44">
            <v>-252849.31</v>
          </cell>
          <cell r="BH44">
            <v>-316054.86</v>
          </cell>
          <cell r="BI44">
            <v>-281837.68</v>
          </cell>
          <cell r="BJ44">
            <v>-309509.2</v>
          </cell>
          <cell r="BK44">
            <v>-333702.94</v>
          </cell>
          <cell r="BL44">
            <v>-462712.08</v>
          </cell>
          <cell r="BM44">
            <v>-452040.11</v>
          </cell>
          <cell r="BN44">
            <v>-444503.92</v>
          </cell>
          <cell r="BO44">
            <v>-430016.99</v>
          </cell>
          <cell r="BP44">
            <v>-373860.01</v>
          </cell>
          <cell r="BQ44">
            <v>-352727.63</v>
          </cell>
          <cell r="BR44">
            <v>-258467.51</v>
          </cell>
          <cell r="BS44">
            <v>-227121.95</v>
          </cell>
          <cell r="BT44">
            <v>-286168.46000000002</v>
          </cell>
          <cell r="BU44">
            <v>-230887.63</v>
          </cell>
          <cell r="BV44">
            <v>-320531.32</v>
          </cell>
          <cell r="BW44">
            <v>-352382.59</v>
          </cell>
          <cell r="BX44">
            <v>-407826.69</v>
          </cell>
          <cell r="BY44">
            <v>-372106.28</v>
          </cell>
          <cell r="BZ44">
            <v>-303060.34000000003</v>
          </cell>
          <cell r="CA44">
            <v>-211291.28</v>
          </cell>
          <cell r="CB44">
            <v>-200168.6</v>
          </cell>
          <cell r="CC44">
            <v>-243330.7</v>
          </cell>
          <cell r="CD44">
            <v>-211906.81</v>
          </cell>
          <cell r="CE44">
            <v>-222282.64</v>
          </cell>
          <cell r="CF44">
            <v>-208996.44</v>
          </cell>
          <cell r="CG44">
            <v>-255967.33</v>
          </cell>
          <cell r="CH44">
            <v>-301029.96000000002</v>
          </cell>
          <cell r="CI44">
            <v>-416799.47</v>
          </cell>
          <cell r="CJ44">
            <v>-468534.66</v>
          </cell>
          <cell r="CK44">
            <v>-393033.29</v>
          </cell>
          <cell r="CL44">
            <v>-463685.05</v>
          </cell>
          <cell r="CM44">
            <v>-412246.02</v>
          </cell>
          <cell r="CN44">
            <v>-340158.92</v>
          </cell>
          <cell r="CO44">
            <v>-327697.23</v>
          </cell>
          <cell r="CP44">
            <v>-296359.56</v>
          </cell>
          <cell r="CQ44">
            <v>-287366.76</v>
          </cell>
          <cell r="CR44">
            <v>-654062.79</v>
          </cell>
          <cell r="CS44">
            <v>123257.36</v>
          </cell>
          <cell r="CT44">
            <v>-457334.98</v>
          </cell>
          <cell r="CU44">
            <v>-475629.01</v>
          </cell>
          <cell r="CV44">
            <v>-602612.07999999996</v>
          </cell>
          <cell r="CW44">
            <v>-600195.71</v>
          </cell>
          <cell r="CX44">
            <v>-446158.76</v>
          </cell>
          <cell r="CY44">
            <v>-409064.65</v>
          </cell>
          <cell r="CZ44">
            <v>-400810.68</v>
          </cell>
          <cell r="DA44">
            <v>-353756.58</v>
          </cell>
          <cell r="DB44">
            <v>-297075.37</v>
          </cell>
          <cell r="DC44">
            <v>-510654.98</v>
          </cell>
          <cell r="DD44">
            <v>-492371.23</v>
          </cell>
          <cell r="DE44">
            <v>-565409.31000000006</v>
          </cell>
          <cell r="DF44">
            <v>-213140.87</v>
          </cell>
          <cell r="DG44">
            <v>-402403.17</v>
          </cell>
        </row>
        <row r="45">
          <cell r="A45">
            <v>4810033</v>
          </cell>
          <cell r="B45">
            <v>4810033</v>
          </cell>
          <cell r="C45" t="str">
            <v>Comm Gas Heat Pump</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v>0</v>
          </cell>
          <cell r="BV45">
            <v>-149.66999999999999</v>
          </cell>
          <cell r="BW45">
            <v>-36.51</v>
          </cell>
          <cell r="BX45">
            <v>-45</v>
          </cell>
          <cell r="BY45">
            <v>-64.040000000000006</v>
          </cell>
          <cell r="BZ45">
            <v>-73.47</v>
          </cell>
          <cell r="CA45">
            <v>-70.2</v>
          </cell>
          <cell r="CB45">
            <v>-85.66</v>
          </cell>
          <cell r="CC45">
            <v>-102.72</v>
          </cell>
          <cell r="CD45">
            <v>-92.06</v>
          </cell>
          <cell r="CE45">
            <v>-107.64</v>
          </cell>
          <cell r="CF45">
            <v>-94.82</v>
          </cell>
          <cell r="CG45">
            <v>-85.57</v>
          </cell>
          <cell r="CH45">
            <v>-113.73</v>
          </cell>
          <cell r="CI45">
            <v>-76.260000000000005</v>
          </cell>
          <cell r="CJ45">
            <v>-50.27</v>
          </cell>
          <cell r="CK45">
            <v>-58.02</v>
          </cell>
          <cell r="CL45">
            <v>-68.569999999999993</v>
          </cell>
          <cell r="CM45">
            <v>-75.09</v>
          </cell>
          <cell r="CN45">
            <v>-88.39</v>
          </cell>
          <cell r="CO45">
            <v>-110.56</v>
          </cell>
          <cell r="CP45">
            <v>-118.38</v>
          </cell>
          <cell r="CQ45">
            <v>-103.83</v>
          </cell>
          <cell r="CR45">
            <v>-74.66</v>
          </cell>
          <cell r="CS45">
            <v>-79.86</v>
          </cell>
          <cell r="CT45">
            <v>-45</v>
          </cell>
          <cell r="CU45">
            <v>-60.43</v>
          </cell>
          <cell r="CV45">
            <v>-52.69</v>
          </cell>
          <cell r="CW45">
            <v>-58.76</v>
          </cell>
          <cell r="CX45">
            <v>-66.06</v>
          </cell>
          <cell r="CY45">
            <v>-82.23</v>
          </cell>
          <cell r="CZ45">
            <v>-94.33</v>
          </cell>
          <cell r="DA45">
            <v>-114.87</v>
          </cell>
          <cell r="DB45">
            <v>-109.62</v>
          </cell>
          <cell r="DC45">
            <v>-112.52</v>
          </cell>
          <cell r="DD45">
            <v>-113.52</v>
          </cell>
          <cell r="DE45">
            <v>-97.4</v>
          </cell>
          <cell r="DF45">
            <v>-96.23</v>
          </cell>
          <cell r="DG45">
            <v>-69.72</v>
          </cell>
        </row>
        <row r="46">
          <cell r="A46">
            <v>4810034</v>
          </cell>
          <cell r="B46">
            <v>4810034</v>
          </cell>
          <cell r="C46" t="str">
            <v>Comm GasHeatPmp Fuel</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v>0</v>
          </cell>
          <cell r="BV46">
            <v>0</v>
          </cell>
          <cell r="BW46">
            <v>-14.03</v>
          </cell>
          <cell r="BX46">
            <v>-51.55</v>
          </cell>
          <cell r="BY46">
            <v>-127.26</v>
          </cell>
          <cell r="BZ46">
            <v>-160.09</v>
          </cell>
          <cell r="CA46">
            <v>-147.06</v>
          </cell>
          <cell r="CB46">
            <v>-209.31</v>
          </cell>
          <cell r="CC46">
            <v>-282.89999999999998</v>
          </cell>
          <cell r="CD46">
            <v>-238.63</v>
          </cell>
          <cell r="CE46">
            <v>-297.01</v>
          </cell>
          <cell r="CF46">
            <v>-233.76</v>
          </cell>
          <cell r="CG46">
            <v>-221.59</v>
          </cell>
          <cell r="CH46">
            <v>-212.04</v>
          </cell>
          <cell r="CI46">
            <v>-45.51</v>
          </cell>
          <cell r="CJ46">
            <v>-24.49</v>
          </cell>
          <cell r="CK46">
            <v>-60.46</v>
          </cell>
          <cell r="CL46">
            <v>-125.84</v>
          </cell>
          <cell r="CM46">
            <v>-160.71</v>
          </cell>
          <cell r="CN46">
            <v>-231.69</v>
          </cell>
          <cell r="CO46">
            <v>-350.1</v>
          </cell>
          <cell r="CP46">
            <v>-391.87</v>
          </cell>
          <cell r="CQ46">
            <v>-314.19</v>
          </cell>
          <cell r="CR46">
            <v>-158.4</v>
          </cell>
          <cell r="CS46">
            <v>-186.15</v>
          </cell>
          <cell r="CT46">
            <v>0</v>
          </cell>
          <cell r="CU46">
            <v>-82.39</v>
          </cell>
          <cell r="CV46">
            <v>-44.42</v>
          </cell>
          <cell r="CW46">
            <v>-79.55</v>
          </cell>
          <cell r="CX46">
            <v>-121.7</v>
          </cell>
          <cell r="CY46">
            <v>-215.18</v>
          </cell>
          <cell r="CZ46">
            <v>-285.08999999999997</v>
          </cell>
          <cell r="DA46">
            <v>-403.84</v>
          </cell>
          <cell r="DB46">
            <v>-373.48</v>
          </cell>
          <cell r="DC46">
            <v>-567.02</v>
          </cell>
          <cell r="DD46">
            <v>-575.41999999999996</v>
          </cell>
          <cell r="DE46">
            <v>-418.7</v>
          </cell>
          <cell r="DF46">
            <v>-246.01</v>
          </cell>
          <cell r="DG46">
            <v>-118.72</v>
          </cell>
        </row>
        <row r="47">
          <cell r="A47">
            <v>4810035</v>
          </cell>
          <cell r="B47">
            <v>4810035</v>
          </cell>
          <cell r="C47" t="str">
            <v>Comm Standby Gen</v>
          </cell>
          <cell r="D47">
            <v>-33578.800000000003</v>
          </cell>
          <cell r="E47">
            <v>-31810.82</v>
          </cell>
          <cell r="F47">
            <v>-31323.78</v>
          </cell>
          <cell r="G47">
            <v>-31677.81</v>
          </cell>
          <cell r="H47">
            <v>-31438.35</v>
          </cell>
          <cell r="I47">
            <v>-30803.64</v>
          </cell>
          <cell r="J47">
            <v>-32243.88</v>
          </cell>
          <cell r="K47">
            <v>-31380.44</v>
          </cell>
          <cell r="L47">
            <v>-31160.62</v>
          </cell>
          <cell r="M47">
            <v>-30457.47</v>
          </cell>
          <cell r="N47">
            <v>-30982.69</v>
          </cell>
          <cell r="O47">
            <v>-31372.91</v>
          </cell>
          <cell r="P47">
            <v>-31809.23</v>
          </cell>
          <cell r="Q47">
            <v>-31830.42</v>
          </cell>
          <cell r="R47">
            <v>-32285.08</v>
          </cell>
          <cell r="S47">
            <v>-31753.91</v>
          </cell>
          <cell r="T47">
            <v>-31318.63</v>
          </cell>
          <cell r="U47">
            <v>-31992.89</v>
          </cell>
          <cell r="V47">
            <v>-30732.89</v>
          </cell>
          <cell r="W47">
            <v>-31388.35</v>
          </cell>
          <cell r="X47">
            <v>-33162.11</v>
          </cell>
          <cell r="Y47">
            <v>-34703.97</v>
          </cell>
          <cell r="Z47">
            <v>-30137.3</v>
          </cell>
          <cell r="AA47">
            <v>-30453.96</v>
          </cell>
          <cell r="AB47">
            <v>-33282.14</v>
          </cell>
          <cell r="AC47">
            <v>-30803.040000000001</v>
          </cell>
          <cell r="AD47">
            <v>-29854.06</v>
          </cell>
          <cell r="AE47">
            <v>-30220.18</v>
          </cell>
          <cell r="AF47">
            <v>-31544.959999999999</v>
          </cell>
          <cell r="AG47">
            <v>-35991.660000000003</v>
          </cell>
          <cell r="AH47">
            <v>-30360.26</v>
          </cell>
          <cell r="AI47">
            <v>-31706.720000000001</v>
          </cell>
          <cell r="AJ47">
            <v>-31537.16</v>
          </cell>
          <cell r="AK47">
            <v>-30974.74</v>
          </cell>
          <cell r="AL47">
            <v>-30374</v>
          </cell>
          <cell r="AM47">
            <v>-30283.3</v>
          </cell>
          <cell r="AN47">
            <v>-29767.67</v>
          </cell>
          <cell r="AO47">
            <v>-30246.73</v>
          </cell>
          <cell r="AP47">
            <v>-30316.16</v>
          </cell>
          <cell r="AQ47">
            <v>-30224.94</v>
          </cell>
          <cell r="AR47">
            <v>-30215.66</v>
          </cell>
          <cell r="AS47">
            <v>-30509.49</v>
          </cell>
          <cell r="AT47">
            <v>-30247.07</v>
          </cell>
          <cell r="AU47">
            <v>-31082.49</v>
          </cell>
          <cell r="AV47">
            <v>-40314.57</v>
          </cell>
          <cell r="AW47">
            <v>-42276.42</v>
          </cell>
          <cell r="AX47">
            <v>-42406.55</v>
          </cell>
          <cell r="AY47">
            <v>-31622.51</v>
          </cell>
          <cell r="AZ47">
            <v>-32297.360000000001</v>
          </cell>
          <cell r="BA47">
            <v>-33184.519999999997</v>
          </cell>
          <cell r="BB47">
            <v>-33816.36</v>
          </cell>
          <cell r="BC47">
            <v>-31785.86</v>
          </cell>
          <cell r="BD47">
            <v>-31545.69</v>
          </cell>
          <cell r="BE47">
            <v>-32872.239999999998</v>
          </cell>
          <cell r="BF47">
            <v>-31708.03</v>
          </cell>
          <cell r="BG47">
            <v>-32027.91</v>
          </cell>
          <cell r="BH47">
            <v>-33220.21</v>
          </cell>
          <cell r="BI47">
            <v>-32810.480000000003</v>
          </cell>
          <cell r="BJ47">
            <v>-37515.42</v>
          </cell>
          <cell r="BK47">
            <v>-35524.43</v>
          </cell>
          <cell r="BL47">
            <v>-32288.67</v>
          </cell>
          <cell r="BM47">
            <v>-31027.67</v>
          </cell>
          <cell r="BN47">
            <v>-31742.880000000001</v>
          </cell>
          <cell r="BO47">
            <v>-32776.71</v>
          </cell>
          <cell r="BP47">
            <v>-31696.38</v>
          </cell>
          <cell r="BQ47">
            <v>-31617.46</v>
          </cell>
          <cell r="BR47">
            <v>-32326.13</v>
          </cell>
          <cell r="BS47">
            <v>-32170.99</v>
          </cell>
          <cell r="BT47">
            <v>-34513.69</v>
          </cell>
          <cell r="BU47">
            <v>-35577.269999999997</v>
          </cell>
          <cell r="BV47">
            <v>-35289.870000000003</v>
          </cell>
          <cell r="BW47">
            <v>-35345.870000000003</v>
          </cell>
          <cell r="BX47">
            <v>-34910.050000000003</v>
          </cell>
          <cell r="BY47">
            <v>-35994.39</v>
          </cell>
          <cell r="BZ47">
            <v>-35953.449999999997</v>
          </cell>
          <cell r="CA47">
            <v>-34022.639999999999</v>
          </cell>
          <cell r="CB47">
            <v>-33264.519999999997</v>
          </cell>
          <cell r="CC47">
            <v>-34566.839999999997</v>
          </cell>
          <cell r="CD47">
            <v>-34208.46</v>
          </cell>
          <cell r="CE47">
            <v>-34551.96</v>
          </cell>
          <cell r="CF47">
            <v>-34661.839999999997</v>
          </cell>
          <cell r="CG47">
            <v>-35552.300000000003</v>
          </cell>
          <cell r="CH47">
            <v>-36038.29</v>
          </cell>
          <cell r="CI47">
            <v>-35661.69</v>
          </cell>
          <cell r="CJ47">
            <v>-49657.19</v>
          </cell>
          <cell r="CK47">
            <v>-48347.05</v>
          </cell>
          <cell r="CL47">
            <v>-49743.46</v>
          </cell>
          <cell r="CM47">
            <v>-49420.26</v>
          </cell>
          <cell r="CN47">
            <v>-48063.519999999997</v>
          </cell>
          <cell r="CO47">
            <v>-49764.92</v>
          </cell>
          <cell r="CP47">
            <v>-47157.35</v>
          </cell>
          <cell r="CQ47">
            <v>-48443.199999999997</v>
          </cell>
          <cell r="CR47">
            <v>-48899.53</v>
          </cell>
          <cell r="CS47">
            <v>-49523.45</v>
          </cell>
          <cell r="CT47">
            <v>-50595.53</v>
          </cell>
          <cell r="CU47">
            <v>-49034.63</v>
          </cell>
          <cell r="CV47">
            <v>-47454.73</v>
          </cell>
          <cell r="CW47">
            <v>-48417.93</v>
          </cell>
          <cell r="CX47">
            <v>-51155.45</v>
          </cell>
          <cell r="CY47">
            <v>-49536.86</v>
          </cell>
          <cell r="CZ47">
            <v>-50698.93</v>
          </cell>
          <cell r="DA47">
            <v>-48370.16</v>
          </cell>
          <cell r="DB47">
            <v>-47796.91</v>
          </cell>
          <cell r="DC47">
            <v>-47808.39</v>
          </cell>
          <cell r="DD47">
            <v>-48023.35</v>
          </cell>
          <cell r="DE47">
            <v>-55205.85</v>
          </cell>
          <cell r="DF47">
            <v>-58271.1</v>
          </cell>
          <cell r="DG47">
            <v>-50269.46</v>
          </cell>
        </row>
        <row r="48">
          <cell r="A48">
            <v>4810036</v>
          </cell>
          <cell r="B48">
            <v>4810036</v>
          </cell>
          <cell r="C48" t="str">
            <v>Comm Standby GenFuel</v>
          </cell>
          <cell r="D48">
            <v>-8497.65</v>
          </cell>
          <cell r="E48">
            <v>-7445.92</v>
          </cell>
          <cell r="F48">
            <v>-6342.15</v>
          </cell>
          <cell r="G48">
            <v>-7047.43</v>
          </cell>
          <cell r="H48">
            <v>-5749.5</v>
          </cell>
          <cell r="I48">
            <v>-6608.48</v>
          </cell>
          <cell r="J48">
            <v>-8919.74</v>
          </cell>
          <cell r="K48">
            <v>-7053.2</v>
          </cell>
          <cell r="L48">
            <v>-6922.81</v>
          </cell>
          <cell r="M48">
            <v>-4944.2299999999996</v>
          </cell>
          <cell r="N48">
            <v>-5135.38</v>
          </cell>
          <cell r="O48">
            <v>-5722.67</v>
          </cell>
          <cell r="P48">
            <v>-7486.43</v>
          </cell>
          <cell r="Q48">
            <v>-7031.26</v>
          </cell>
          <cell r="R48">
            <v>-6370</v>
          </cell>
          <cell r="S48">
            <v>-6566.88</v>
          </cell>
          <cell r="T48">
            <v>-5949.62</v>
          </cell>
          <cell r="U48">
            <v>-7198.06</v>
          </cell>
          <cell r="V48">
            <v>-4298.22</v>
          </cell>
          <cell r="W48">
            <v>-5459.77</v>
          </cell>
          <cell r="X48">
            <v>-11717.28</v>
          </cell>
          <cell r="Y48">
            <v>-6730.51</v>
          </cell>
          <cell r="Z48">
            <v>-5751.63</v>
          </cell>
          <cell r="AA48">
            <v>-4599.1000000000004</v>
          </cell>
          <cell r="AB48">
            <v>-13917.34</v>
          </cell>
          <cell r="AC48">
            <v>-7155.62</v>
          </cell>
          <cell r="AD48">
            <v>-4967.62</v>
          </cell>
          <cell r="AE48">
            <v>-6455.74</v>
          </cell>
          <cell r="AF48">
            <v>-9266.99</v>
          </cell>
          <cell r="AG48">
            <v>-12763.13</v>
          </cell>
          <cell r="AH48">
            <v>-6185.13</v>
          </cell>
          <cell r="AI48">
            <v>-7719.86</v>
          </cell>
          <cell r="AJ48">
            <v>-8944.44</v>
          </cell>
          <cell r="AK48">
            <v>-6525.97</v>
          </cell>
          <cell r="AL48">
            <v>-5156.84</v>
          </cell>
          <cell r="AM48">
            <v>-3988.99</v>
          </cell>
          <cell r="AN48">
            <v>-4137.57</v>
          </cell>
          <cell r="AO48">
            <v>-5592.35</v>
          </cell>
          <cell r="AP48">
            <v>-4999.3599999999997</v>
          </cell>
          <cell r="AQ48">
            <v>-6690.22</v>
          </cell>
          <cell r="AR48">
            <v>-4745.29</v>
          </cell>
          <cell r="AS48">
            <v>-5263.11</v>
          </cell>
          <cell r="AT48">
            <v>-7425.33</v>
          </cell>
          <cell r="AU48">
            <v>-6868.21</v>
          </cell>
          <cell r="AV48">
            <v>-33758.53</v>
          </cell>
          <cell r="AW48">
            <v>-41459.57</v>
          </cell>
          <cell r="AX48">
            <v>-39413.58</v>
          </cell>
          <cell r="AY48">
            <v>-6321.98</v>
          </cell>
          <cell r="AZ48">
            <v>-9112.17</v>
          </cell>
          <cell r="BA48">
            <v>-13370.81</v>
          </cell>
          <cell r="BB48">
            <v>-12282.37</v>
          </cell>
          <cell r="BC48">
            <v>-8131.96</v>
          </cell>
          <cell r="BD48">
            <v>-10203.75</v>
          </cell>
          <cell r="BE48">
            <v>-10526.12</v>
          </cell>
          <cell r="BF48">
            <v>-6183.54</v>
          </cell>
          <cell r="BG48">
            <v>-7128.79</v>
          </cell>
          <cell r="BH48">
            <v>-8504.6299999999992</v>
          </cell>
          <cell r="BI48">
            <v>-8146.05</v>
          </cell>
          <cell r="BJ48">
            <v>-19448.18</v>
          </cell>
          <cell r="BK48">
            <v>-10254.52</v>
          </cell>
          <cell r="BL48">
            <v>-10012.11</v>
          </cell>
          <cell r="BM48">
            <v>-10148.959999999999</v>
          </cell>
          <cell r="BN48">
            <v>-11130.13</v>
          </cell>
          <cell r="BO48">
            <v>-11415.81</v>
          </cell>
          <cell r="BP48">
            <v>-11693.3</v>
          </cell>
          <cell r="BQ48">
            <v>-10564.4</v>
          </cell>
          <cell r="BR48">
            <v>-11494.5</v>
          </cell>
          <cell r="BS48">
            <v>-9471.9699999999993</v>
          </cell>
          <cell r="BT48">
            <v>-11396.47</v>
          </cell>
          <cell r="BU48">
            <v>-10238.1</v>
          </cell>
          <cell r="BV48">
            <v>-11935.43</v>
          </cell>
          <cell r="BW48">
            <v>-11555.68</v>
          </cell>
          <cell r="BX48">
            <v>-11285.71</v>
          </cell>
          <cell r="BY48">
            <v>-11449.19</v>
          </cell>
          <cell r="BZ48">
            <v>-11549.33</v>
          </cell>
          <cell r="CA48">
            <v>-8276.64</v>
          </cell>
          <cell r="CB48">
            <v>-5934.78</v>
          </cell>
          <cell r="CC48">
            <v>-8221.0300000000007</v>
          </cell>
          <cell r="CD48">
            <v>-7936.38</v>
          </cell>
          <cell r="CE48">
            <v>-9480.7900000000009</v>
          </cell>
          <cell r="CF48">
            <v>-9446.0300000000007</v>
          </cell>
          <cell r="CG48">
            <v>-10759.51</v>
          </cell>
          <cell r="CH48">
            <v>-13188.52</v>
          </cell>
          <cell r="CI48">
            <v>-12994.66</v>
          </cell>
          <cell r="CJ48">
            <v>-13373.64</v>
          </cell>
          <cell r="CK48">
            <v>-13395.21</v>
          </cell>
          <cell r="CL48">
            <v>-16399.400000000001</v>
          </cell>
          <cell r="CM48">
            <v>-15934.4</v>
          </cell>
          <cell r="CN48">
            <v>-14455.51</v>
          </cell>
          <cell r="CO48">
            <v>-13585</v>
          </cell>
          <cell r="CP48">
            <v>-13199.18</v>
          </cell>
          <cell r="CQ48">
            <v>-13707.52</v>
          </cell>
          <cell r="CR48">
            <v>-13449.98</v>
          </cell>
          <cell r="CS48">
            <v>-15218.32</v>
          </cell>
          <cell r="CT48">
            <v>-14609.31</v>
          </cell>
          <cell r="CU48">
            <v>-14787.73</v>
          </cell>
          <cell r="CV48">
            <v>-15603.85</v>
          </cell>
          <cell r="CW48">
            <v>-16886.900000000001</v>
          </cell>
          <cell r="CX48">
            <v>-21791.56</v>
          </cell>
          <cell r="CY48">
            <v>-16817.169999999998</v>
          </cell>
          <cell r="CZ48">
            <v>-18436.73</v>
          </cell>
          <cell r="DA48">
            <v>-14301.18</v>
          </cell>
          <cell r="DB48">
            <v>-14176.46</v>
          </cell>
          <cell r="DC48">
            <v>-22812.1</v>
          </cell>
          <cell r="DD48">
            <v>-21925.26</v>
          </cell>
          <cell r="DE48">
            <v>-57951.199999999997</v>
          </cell>
          <cell r="DF48">
            <v>-37788.07</v>
          </cell>
          <cell r="DG48">
            <v>-18826.919999999998</v>
          </cell>
        </row>
        <row r="49">
          <cell r="A49">
            <v>4810050</v>
          </cell>
          <cell r="B49">
            <v>4810050</v>
          </cell>
          <cell r="C49" t="str">
            <v>GenSvc Lg Vol 1</v>
          </cell>
          <cell r="D49">
            <v>-619018.44999999995</v>
          </cell>
          <cell r="E49">
            <v>-572101.93000000005</v>
          </cell>
          <cell r="F49">
            <v>-492344.06</v>
          </cell>
          <cell r="G49">
            <v>-496938.94</v>
          </cell>
          <cell r="H49">
            <v>-428869.08</v>
          </cell>
          <cell r="I49">
            <v>-439232.25</v>
          </cell>
          <cell r="J49">
            <v>-409937.04</v>
          </cell>
          <cell r="K49">
            <v>-388666.61</v>
          </cell>
          <cell r="L49">
            <v>-432645.12</v>
          </cell>
          <cell r="M49">
            <v>-419023.66</v>
          </cell>
          <cell r="N49">
            <v>-429086.11</v>
          </cell>
          <cell r="O49">
            <v>-517949.4</v>
          </cell>
          <cell r="P49">
            <v>-551319.48</v>
          </cell>
          <cell r="Q49">
            <v>-551138.07999999996</v>
          </cell>
          <cell r="R49">
            <v>-517466.72</v>
          </cell>
          <cell r="S49">
            <v>-407729.54</v>
          </cell>
          <cell r="T49">
            <v>-362377.06</v>
          </cell>
          <cell r="U49">
            <v>-546809.30000000005</v>
          </cell>
          <cell r="V49">
            <v>-299701.59000000003</v>
          </cell>
          <cell r="W49">
            <v>-362568.86</v>
          </cell>
          <cell r="X49">
            <v>-344496.04</v>
          </cell>
          <cell r="Y49">
            <v>-357919.41</v>
          </cell>
          <cell r="Z49">
            <v>-362258.45</v>
          </cell>
          <cell r="AA49">
            <v>-438186.17</v>
          </cell>
          <cell r="AB49">
            <v>-494599.18</v>
          </cell>
          <cell r="AC49">
            <v>-493995.57</v>
          </cell>
          <cell r="AD49">
            <v>-428147.59</v>
          </cell>
          <cell r="AE49">
            <v>-408596.34</v>
          </cell>
          <cell r="AF49">
            <v>-360585.41</v>
          </cell>
          <cell r="AG49">
            <v>-341291.81</v>
          </cell>
          <cell r="AH49">
            <v>-320350.95</v>
          </cell>
          <cell r="AI49">
            <v>-329169.55</v>
          </cell>
          <cell r="AJ49">
            <v>-338724.26</v>
          </cell>
          <cell r="AK49">
            <v>-315806.95</v>
          </cell>
          <cell r="AL49">
            <v>-373091.23</v>
          </cell>
          <cell r="AM49">
            <v>-431427.21</v>
          </cell>
          <cell r="AN49">
            <v>-437552.21</v>
          </cell>
          <cell r="AO49">
            <v>-419468.64</v>
          </cell>
          <cell r="AP49">
            <v>-409163.93</v>
          </cell>
          <cell r="AQ49">
            <v>-409706.27</v>
          </cell>
          <cell r="AR49">
            <v>-384356.47</v>
          </cell>
          <cell r="AS49">
            <v>-375859.35</v>
          </cell>
          <cell r="AT49">
            <v>-283756.45</v>
          </cell>
          <cell r="AU49">
            <v>-330326.84000000003</v>
          </cell>
          <cell r="AV49">
            <v>-365108.2</v>
          </cell>
          <cell r="AW49">
            <v>-340297.54</v>
          </cell>
          <cell r="AX49">
            <v>-367903.54</v>
          </cell>
          <cell r="AY49">
            <v>-567930.56999999995</v>
          </cell>
          <cell r="AZ49">
            <v>-453852.51</v>
          </cell>
          <cell r="BA49">
            <v>-462722.67</v>
          </cell>
          <cell r="BB49">
            <v>-432857.45</v>
          </cell>
          <cell r="BC49">
            <v>-429482.19</v>
          </cell>
          <cell r="BD49">
            <v>-376525.62</v>
          </cell>
          <cell r="BE49">
            <v>-371302.84</v>
          </cell>
          <cell r="BF49">
            <v>-359816.74</v>
          </cell>
          <cell r="BG49">
            <v>-352971.65</v>
          </cell>
          <cell r="BH49">
            <v>-383840.87</v>
          </cell>
          <cell r="BI49">
            <v>-368672.33</v>
          </cell>
          <cell r="BJ49">
            <v>-394106.68</v>
          </cell>
          <cell r="BK49">
            <v>-449997.77</v>
          </cell>
          <cell r="BL49">
            <v>-450541.91</v>
          </cell>
          <cell r="BM49">
            <v>-413483.83</v>
          </cell>
          <cell r="BN49">
            <v>-443998.64</v>
          </cell>
          <cell r="BO49">
            <v>-426712.35</v>
          </cell>
          <cell r="BP49">
            <v>-358483.21</v>
          </cell>
          <cell r="BQ49">
            <v>-372043.02</v>
          </cell>
          <cell r="BR49">
            <v>-335248.63</v>
          </cell>
          <cell r="BS49">
            <v>-342980.7</v>
          </cell>
          <cell r="BT49">
            <v>-369421.81</v>
          </cell>
          <cell r="BU49">
            <v>-344739.61</v>
          </cell>
          <cell r="BV49">
            <v>-425531.07</v>
          </cell>
          <cell r="BW49">
            <v>-444415.5</v>
          </cell>
          <cell r="BX49">
            <v>-494880.85</v>
          </cell>
          <cell r="BY49">
            <v>-461203.63</v>
          </cell>
          <cell r="BZ49">
            <v>-420381.54</v>
          </cell>
          <cell r="CA49">
            <v>-301408.61</v>
          </cell>
          <cell r="CB49">
            <v>-292824.45</v>
          </cell>
          <cell r="CC49">
            <v>-372316.1</v>
          </cell>
          <cell r="CD49">
            <v>-348702.89</v>
          </cell>
          <cell r="CE49">
            <v>-371351.58</v>
          </cell>
          <cell r="CF49">
            <v>-387776.95</v>
          </cell>
          <cell r="CG49">
            <v>-350305.53</v>
          </cell>
          <cell r="CH49">
            <v>-435209.18</v>
          </cell>
          <cell r="CI49">
            <v>-500600.82</v>
          </cell>
          <cell r="CJ49">
            <v>-722318.24</v>
          </cell>
          <cell r="CK49">
            <v>-582107.81999999995</v>
          </cell>
          <cell r="CL49">
            <v>-622228.31999999995</v>
          </cell>
          <cell r="CM49">
            <v>-607742.31000000006</v>
          </cell>
          <cell r="CN49">
            <v>-553260.51</v>
          </cell>
          <cell r="CO49">
            <v>-532537.62</v>
          </cell>
          <cell r="CP49">
            <v>-557505.32999999996</v>
          </cell>
          <cell r="CQ49">
            <v>-525395.55000000005</v>
          </cell>
          <cell r="CR49">
            <v>-566536.68999999994</v>
          </cell>
          <cell r="CS49">
            <v>-512652.89</v>
          </cell>
          <cell r="CT49">
            <v>-564108.14</v>
          </cell>
          <cell r="CU49">
            <v>-683968.06</v>
          </cell>
          <cell r="CV49">
            <v>-717306.5</v>
          </cell>
          <cell r="CW49">
            <v>-622316.39</v>
          </cell>
          <cell r="CX49">
            <v>-618851.25</v>
          </cell>
          <cell r="CY49">
            <v>-612421.86</v>
          </cell>
          <cell r="CZ49">
            <v>-603546.77</v>
          </cell>
          <cell r="DA49">
            <v>-548348.87</v>
          </cell>
          <cell r="DB49">
            <v>-514085.26</v>
          </cell>
          <cell r="DC49">
            <v>-520706.68</v>
          </cell>
          <cell r="DD49">
            <v>-533898.93999999994</v>
          </cell>
          <cell r="DE49">
            <v>-577339.34</v>
          </cell>
          <cell r="DF49">
            <v>-588102.27</v>
          </cell>
          <cell r="DG49">
            <v>-655814.01</v>
          </cell>
        </row>
        <row r="50">
          <cell r="A50">
            <v>4810051</v>
          </cell>
          <cell r="B50">
            <v>4810051</v>
          </cell>
          <cell r="C50" t="str">
            <v>GenSvc Lg Vol 1 Fuel</v>
          </cell>
          <cell r="D50">
            <v>-1675890.12</v>
          </cell>
          <cell r="E50">
            <v>-1349822.34</v>
          </cell>
          <cell r="F50">
            <v>-1044824.94</v>
          </cell>
          <cell r="G50">
            <v>-1212610.51</v>
          </cell>
          <cell r="H50">
            <v>-884320.71</v>
          </cell>
          <cell r="I50">
            <v>-993146.4</v>
          </cell>
          <cell r="J50">
            <v>-901728.9</v>
          </cell>
          <cell r="K50">
            <v>-853799.45</v>
          </cell>
          <cell r="L50">
            <v>-932244.91</v>
          </cell>
          <cell r="M50">
            <v>-851257.32</v>
          </cell>
          <cell r="N50">
            <v>-843499.1</v>
          </cell>
          <cell r="O50">
            <v>-1114399.77</v>
          </cell>
          <cell r="P50">
            <v>-1399803.3</v>
          </cell>
          <cell r="Q50">
            <v>-1274621.81</v>
          </cell>
          <cell r="R50">
            <v>-987233.65</v>
          </cell>
          <cell r="S50">
            <v>-832573.52</v>
          </cell>
          <cell r="T50">
            <v>-721102.32</v>
          </cell>
          <cell r="U50">
            <v>-1308773.08</v>
          </cell>
          <cell r="V50">
            <v>-597024.97</v>
          </cell>
          <cell r="W50">
            <v>-799105.44</v>
          </cell>
          <cell r="X50">
            <v>-742367.59</v>
          </cell>
          <cell r="Y50">
            <v>-727027.4</v>
          </cell>
          <cell r="Z50">
            <v>-820631.65</v>
          </cell>
          <cell r="AA50">
            <v>-972391.32</v>
          </cell>
          <cell r="AB50">
            <v>-1323826.69</v>
          </cell>
          <cell r="AC50">
            <v>-1302433.31</v>
          </cell>
          <cell r="AD50">
            <v>-1007751.17</v>
          </cell>
          <cell r="AE50">
            <v>-1006387.22</v>
          </cell>
          <cell r="AF50">
            <v>-839592.33</v>
          </cell>
          <cell r="AG50">
            <v>-739668.88</v>
          </cell>
          <cell r="AH50">
            <v>-672593.35</v>
          </cell>
          <cell r="AI50">
            <v>-706111.86</v>
          </cell>
          <cell r="AJ50">
            <v>-674654.3</v>
          </cell>
          <cell r="AK50">
            <v>-631530.98</v>
          </cell>
          <cell r="AL50">
            <v>-738349.33</v>
          </cell>
          <cell r="AM50">
            <v>-917845.07</v>
          </cell>
          <cell r="AN50">
            <v>-945021.31</v>
          </cell>
          <cell r="AO50">
            <v>-945889.26</v>
          </cell>
          <cell r="AP50">
            <v>-887544.48</v>
          </cell>
          <cell r="AQ50">
            <v>-890567.65</v>
          </cell>
          <cell r="AR50">
            <v>-795343.81</v>
          </cell>
          <cell r="AS50">
            <v>-742168.47</v>
          </cell>
          <cell r="AT50">
            <v>-580112.72</v>
          </cell>
          <cell r="AU50">
            <v>-740521.83</v>
          </cell>
          <cell r="AV50">
            <v>-914106.88</v>
          </cell>
          <cell r="AW50">
            <v>-806944.24</v>
          </cell>
          <cell r="AX50">
            <v>-886955.32</v>
          </cell>
          <cell r="AY50">
            <v>-1467633.14</v>
          </cell>
          <cell r="AZ50">
            <v>-1318168.04</v>
          </cell>
          <cell r="BA50">
            <v>-1328191.54</v>
          </cell>
          <cell r="BB50">
            <v>-1060003.1599999999</v>
          </cell>
          <cell r="BC50">
            <v>-1077285.1599999999</v>
          </cell>
          <cell r="BD50">
            <v>-910873.39</v>
          </cell>
          <cell r="BE50">
            <v>-835826.31</v>
          </cell>
          <cell r="BF50">
            <v>-830196.81</v>
          </cell>
          <cell r="BG50">
            <v>-797054.28</v>
          </cell>
          <cell r="BH50">
            <v>-886253.25</v>
          </cell>
          <cell r="BI50">
            <v>-764519.57</v>
          </cell>
          <cell r="BJ50">
            <v>-865712.24</v>
          </cell>
          <cell r="BK50">
            <v>-1033331.81</v>
          </cell>
          <cell r="BL50">
            <v>-1210111.8899999999</v>
          </cell>
          <cell r="BM50">
            <v>-1050827.17</v>
          </cell>
          <cell r="BN50">
            <v>-1272507.6599999999</v>
          </cell>
          <cell r="BO50">
            <v>-1304969.27</v>
          </cell>
          <cell r="BP50">
            <v>-1008152.37</v>
          </cell>
          <cell r="BQ50">
            <v>-1044020.27</v>
          </cell>
          <cell r="BR50">
            <v>-922520.88</v>
          </cell>
          <cell r="BS50">
            <v>-738480.06</v>
          </cell>
          <cell r="BT50">
            <v>-880216.6</v>
          </cell>
          <cell r="BU50">
            <v>-797882.19</v>
          </cell>
          <cell r="BV50">
            <v>-1058590.82</v>
          </cell>
          <cell r="BW50">
            <v>-1124268.48</v>
          </cell>
          <cell r="BX50">
            <v>-1281209.52</v>
          </cell>
          <cell r="BY50">
            <v>-1073689.72</v>
          </cell>
          <cell r="BZ50">
            <v>-918962.76</v>
          </cell>
          <cell r="CA50">
            <v>-572056.75</v>
          </cell>
          <cell r="CB50">
            <v>-538626.02</v>
          </cell>
          <cell r="CC50">
            <v>-770135.98</v>
          </cell>
          <cell r="CD50">
            <v>-698796.45</v>
          </cell>
          <cell r="CE50">
            <v>-761868.27</v>
          </cell>
          <cell r="CF50">
            <v>-804387.54</v>
          </cell>
          <cell r="CG50">
            <v>-761136.23</v>
          </cell>
          <cell r="CH50">
            <v>-1088796.8899999999</v>
          </cell>
          <cell r="CI50">
            <v>-1360044.9</v>
          </cell>
          <cell r="CJ50">
            <v>-1389458.23</v>
          </cell>
          <cell r="CK50">
            <v>-1195580.5900000001</v>
          </cell>
          <cell r="CL50">
            <v>-1591808.95</v>
          </cell>
          <cell r="CM50">
            <v>-1457542.99</v>
          </cell>
          <cell r="CN50">
            <v>-1264723.5</v>
          </cell>
          <cell r="CO50">
            <v>-1202940.21</v>
          </cell>
          <cell r="CP50">
            <v>-1344273.35</v>
          </cell>
          <cell r="CQ50">
            <v>-1214170.3799999999</v>
          </cell>
          <cell r="CR50">
            <v>-1349048.18</v>
          </cell>
          <cell r="CS50">
            <v>-1165052.1000000001</v>
          </cell>
          <cell r="CT50">
            <v>-1331961.77</v>
          </cell>
          <cell r="CU50">
            <v>-1726476.56</v>
          </cell>
          <cell r="CV50">
            <v>-2110521.5299999998</v>
          </cell>
          <cell r="CW50">
            <v>-1631164.13</v>
          </cell>
          <cell r="CX50">
            <v>-1625384</v>
          </cell>
          <cell r="CY50">
            <v>-1580886.49</v>
          </cell>
          <cell r="CZ50">
            <v>-1558645.11</v>
          </cell>
          <cell r="DA50">
            <v>-1355753.96</v>
          </cell>
          <cell r="DB50">
            <v>-1266136.8700000001</v>
          </cell>
          <cell r="DC50">
            <v>-2151593.41</v>
          </cell>
          <cell r="DD50">
            <v>-1914180.57</v>
          </cell>
          <cell r="DE50">
            <v>-1992713.06</v>
          </cell>
          <cell r="DF50">
            <v>-871360.55</v>
          </cell>
          <cell r="DG50">
            <v>-1465436.38</v>
          </cell>
        </row>
        <row r="51">
          <cell r="A51">
            <v>4810052</v>
          </cell>
          <cell r="B51">
            <v>4810052</v>
          </cell>
          <cell r="C51" t="str">
            <v>GenSvc Lg Vol 2</v>
          </cell>
          <cell r="D51">
            <v>-336652.22</v>
          </cell>
          <cell r="E51">
            <v>-310869.46000000002</v>
          </cell>
          <cell r="F51">
            <v>-259738.13</v>
          </cell>
          <cell r="G51">
            <v>-249733.88</v>
          </cell>
          <cell r="H51">
            <v>-204175.47</v>
          </cell>
          <cell r="I51">
            <v>-217637.23</v>
          </cell>
          <cell r="J51">
            <v>-207765.34</v>
          </cell>
          <cell r="K51">
            <v>-179200</v>
          </cell>
          <cell r="L51">
            <v>-211255.63</v>
          </cell>
          <cell r="M51">
            <v>-199895.36</v>
          </cell>
          <cell r="N51">
            <v>-223111.66</v>
          </cell>
          <cell r="O51">
            <v>-268054.65999999997</v>
          </cell>
          <cell r="P51">
            <v>-282875.92</v>
          </cell>
          <cell r="Q51">
            <v>-279159.8</v>
          </cell>
          <cell r="R51">
            <v>-255545.85</v>
          </cell>
          <cell r="S51">
            <v>-207350.53</v>
          </cell>
          <cell r="T51">
            <v>-166151.04000000001</v>
          </cell>
          <cell r="U51">
            <v>-204278.89</v>
          </cell>
          <cell r="V51">
            <v>-179821.49</v>
          </cell>
          <cell r="W51">
            <v>-179523.97</v>
          </cell>
          <cell r="X51">
            <v>-164993.49</v>
          </cell>
          <cell r="Y51">
            <v>-172629.87</v>
          </cell>
          <cell r="Z51">
            <v>-179974.08</v>
          </cell>
          <cell r="AA51">
            <v>-226009.57</v>
          </cell>
          <cell r="AB51">
            <v>-242098.53</v>
          </cell>
          <cell r="AC51">
            <v>-231533.86</v>
          </cell>
          <cell r="AD51">
            <v>-210031.91</v>
          </cell>
          <cell r="AE51">
            <v>-249560.31</v>
          </cell>
          <cell r="AF51">
            <v>-121974.18</v>
          </cell>
          <cell r="AG51">
            <v>-139107.96</v>
          </cell>
          <cell r="AH51">
            <v>-154810.82999999999</v>
          </cell>
          <cell r="AI51">
            <v>-151611.59</v>
          </cell>
          <cell r="AJ51">
            <v>-151135.94</v>
          </cell>
          <cell r="AK51">
            <v>-146911.1</v>
          </cell>
          <cell r="AL51">
            <v>-163257.04</v>
          </cell>
          <cell r="AM51">
            <v>-195914.61</v>
          </cell>
          <cell r="AN51">
            <v>-217357.78</v>
          </cell>
          <cell r="AO51">
            <v>-198283.25</v>
          </cell>
          <cell r="AP51">
            <v>-187932.6</v>
          </cell>
          <cell r="AQ51">
            <v>-174383.6</v>
          </cell>
          <cell r="AR51">
            <v>-173844.86</v>
          </cell>
          <cell r="AS51">
            <v>-151004.07999999999</v>
          </cell>
          <cell r="AT51">
            <v>-150435.18</v>
          </cell>
          <cell r="AU51">
            <v>-146474.23999999999</v>
          </cell>
          <cell r="AV51">
            <v>-182930.46</v>
          </cell>
          <cell r="AW51">
            <v>-149866.37</v>
          </cell>
          <cell r="AX51">
            <v>-212633.01</v>
          </cell>
          <cell r="AY51">
            <v>-256680.66</v>
          </cell>
          <cell r="AZ51">
            <v>-307926.31</v>
          </cell>
          <cell r="BA51">
            <v>-229388.68</v>
          </cell>
          <cell r="BB51">
            <v>-176641.71</v>
          </cell>
          <cell r="BC51">
            <v>-200101.41</v>
          </cell>
          <cell r="BD51">
            <v>-181418.73</v>
          </cell>
          <cell r="BE51">
            <v>-181546.25</v>
          </cell>
          <cell r="BF51">
            <v>-165454.01999999999</v>
          </cell>
          <cell r="BG51">
            <v>-150216.99</v>
          </cell>
          <cell r="BH51">
            <v>-176120.09</v>
          </cell>
          <cell r="BI51">
            <v>-157723.32999999999</v>
          </cell>
          <cell r="BJ51">
            <v>-182277.82</v>
          </cell>
          <cell r="BK51">
            <v>-238303.95</v>
          </cell>
          <cell r="BL51">
            <v>-207137.95</v>
          </cell>
          <cell r="BM51">
            <v>-215007.16</v>
          </cell>
          <cell r="BN51">
            <v>-210733.22</v>
          </cell>
          <cell r="BO51">
            <v>-212619.53</v>
          </cell>
          <cell r="BP51">
            <v>-158122.26</v>
          </cell>
          <cell r="BQ51">
            <v>-156686.96</v>
          </cell>
          <cell r="BR51">
            <v>-195217.08</v>
          </cell>
          <cell r="BS51">
            <v>-122521</v>
          </cell>
          <cell r="BT51">
            <v>-200887.78</v>
          </cell>
          <cell r="BU51">
            <v>-160743.39000000001</v>
          </cell>
          <cell r="BV51">
            <v>-232860.81</v>
          </cell>
          <cell r="BW51">
            <v>-242929.08</v>
          </cell>
          <cell r="BX51">
            <v>-284043.11</v>
          </cell>
          <cell r="BY51">
            <v>-238675.36</v>
          </cell>
          <cell r="BZ51">
            <v>-230342.57</v>
          </cell>
          <cell r="CA51">
            <v>-130655.91</v>
          </cell>
          <cell r="CB51">
            <v>-116417.85</v>
          </cell>
          <cell r="CC51">
            <v>-174184.71</v>
          </cell>
          <cell r="CD51">
            <v>-169340.53</v>
          </cell>
          <cell r="CE51">
            <v>-171220.83</v>
          </cell>
          <cell r="CF51">
            <v>-181914.72</v>
          </cell>
          <cell r="CG51">
            <v>-185274.83</v>
          </cell>
          <cell r="CH51">
            <v>-218619.24</v>
          </cell>
          <cell r="CI51">
            <v>-294851.14</v>
          </cell>
          <cell r="CJ51">
            <v>-445148.63</v>
          </cell>
          <cell r="CK51">
            <v>-351189.59</v>
          </cell>
          <cell r="CL51">
            <v>-342525.03</v>
          </cell>
          <cell r="CM51">
            <v>-346089</v>
          </cell>
          <cell r="CN51">
            <v>-283532.59000000003</v>
          </cell>
          <cell r="CO51">
            <v>-293155.44</v>
          </cell>
          <cell r="CP51">
            <v>-280938.39</v>
          </cell>
          <cell r="CQ51">
            <v>-267543.27</v>
          </cell>
          <cell r="CR51">
            <v>-264872.12</v>
          </cell>
          <cell r="CS51">
            <v>-264608.51</v>
          </cell>
          <cell r="CT51">
            <v>-306436.82</v>
          </cell>
          <cell r="CU51">
            <v>-384647.9</v>
          </cell>
          <cell r="CV51">
            <v>-427720.05</v>
          </cell>
          <cell r="CW51">
            <v>-373284.7</v>
          </cell>
          <cell r="CX51">
            <v>-357455.96</v>
          </cell>
          <cell r="CY51">
            <v>-341420.26</v>
          </cell>
          <cell r="CZ51">
            <v>-327479.95</v>
          </cell>
          <cell r="DA51">
            <v>-293471.64</v>
          </cell>
          <cell r="DB51">
            <v>-307794.12</v>
          </cell>
          <cell r="DC51">
            <v>-306653.53999999998</v>
          </cell>
          <cell r="DD51">
            <v>-308236.81</v>
          </cell>
          <cell r="DE51">
            <v>-344133.53</v>
          </cell>
          <cell r="DF51">
            <v>-375129.37</v>
          </cell>
          <cell r="DG51">
            <v>-415482.13</v>
          </cell>
        </row>
        <row r="52">
          <cell r="A52">
            <v>4810053</v>
          </cell>
          <cell r="B52">
            <v>4810053</v>
          </cell>
          <cell r="C52" t="str">
            <v>GenSvc Lg Vol 2 Fuel</v>
          </cell>
          <cell r="D52">
            <v>-1228261.3</v>
          </cell>
          <cell r="E52">
            <v>-1002180.76</v>
          </cell>
          <cell r="F52">
            <v>-772167.43</v>
          </cell>
          <cell r="G52">
            <v>-847108.63</v>
          </cell>
          <cell r="H52">
            <v>-595852.78</v>
          </cell>
          <cell r="I52">
            <v>-698182.22</v>
          </cell>
          <cell r="J52">
            <v>-661025.98</v>
          </cell>
          <cell r="K52">
            <v>-570756.75</v>
          </cell>
          <cell r="L52">
            <v>-643519.54</v>
          </cell>
          <cell r="M52">
            <v>-573520.17000000004</v>
          </cell>
          <cell r="N52">
            <v>-627897.39</v>
          </cell>
          <cell r="O52">
            <v>-794798.51</v>
          </cell>
          <cell r="P52">
            <v>-977693.73</v>
          </cell>
          <cell r="Q52">
            <v>-874036.04</v>
          </cell>
          <cell r="R52">
            <v>-666124.21</v>
          </cell>
          <cell r="S52">
            <v>-605273.47</v>
          </cell>
          <cell r="T52">
            <v>-479876.88</v>
          </cell>
          <cell r="U52">
            <v>-637147.19999999995</v>
          </cell>
          <cell r="V52">
            <v>-551299.31999999995</v>
          </cell>
          <cell r="W52">
            <v>-569422.54</v>
          </cell>
          <cell r="X52">
            <v>-516977.3</v>
          </cell>
          <cell r="Y52">
            <v>-504083.56</v>
          </cell>
          <cell r="Z52">
            <v>-581627.22</v>
          </cell>
          <cell r="AA52">
            <v>-695496.48</v>
          </cell>
          <cell r="AB52">
            <v>-872549.06</v>
          </cell>
          <cell r="AC52">
            <v>-819495.3</v>
          </cell>
          <cell r="AD52">
            <v>-682651.45</v>
          </cell>
          <cell r="AE52">
            <v>-869169.03</v>
          </cell>
          <cell r="AF52">
            <v>-378848.1</v>
          </cell>
          <cell r="AG52">
            <v>-423512.75</v>
          </cell>
          <cell r="AH52">
            <v>-480616.43</v>
          </cell>
          <cell r="AI52">
            <v>-470666.43</v>
          </cell>
          <cell r="AJ52">
            <v>-429091.72</v>
          </cell>
          <cell r="AK52">
            <v>-429493.91</v>
          </cell>
          <cell r="AL52">
            <v>-450044.19</v>
          </cell>
          <cell r="AM52">
            <v>-564316.13</v>
          </cell>
          <cell r="AN52">
            <v>-644634.88</v>
          </cell>
          <cell r="AO52">
            <v>-612098.99</v>
          </cell>
          <cell r="AP52">
            <v>-560465.71</v>
          </cell>
          <cell r="AQ52">
            <v>-516498.47</v>
          </cell>
          <cell r="AR52">
            <v>-505110.22</v>
          </cell>
          <cell r="AS52">
            <v>-416712.9</v>
          </cell>
          <cell r="AT52">
            <v>-450875.24</v>
          </cell>
          <cell r="AU52">
            <v>-461539.88</v>
          </cell>
          <cell r="AV52">
            <v>-638153.07999999996</v>
          </cell>
          <cell r="AW52">
            <v>-496579.45</v>
          </cell>
          <cell r="AX52">
            <v>-726107.63</v>
          </cell>
          <cell r="AY52">
            <v>-879051.57</v>
          </cell>
          <cell r="AZ52">
            <v>-1231480.3899999999</v>
          </cell>
          <cell r="BA52">
            <v>-884776.46</v>
          </cell>
          <cell r="BB52">
            <v>-578951.71</v>
          </cell>
          <cell r="BC52">
            <v>-689867.06</v>
          </cell>
          <cell r="BD52">
            <v>-607981.09</v>
          </cell>
          <cell r="BE52">
            <v>-578771.07999999996</v>
          </cell>
          <cell r="BF52">
            <v>-528192.93999999994</v>
          </cell>
          <cell r="BG52">
            <v>-480571.87</v>
          </cell>
          <cell r="BH52">
            <v>-567044.43999999994</v>
          </cell>
          <cell r="BI52">
            <v>-454915.1</v>
          </cell>
          <cell r="BJ52">
            <v>-557755.82999999996</v>
          </cell>
          <cell r="BK52">
            <v>-758436.63</v>
          </cell>
          <cell r="BL52">
            <v>-754248.87</v>
          </cell>
          <cell r="BM52">
            <v>-757027.07</v>
          </cell>
          <cell r="BN52">
            <v>-819824.29</v>
          </cell>
          <cell r="BO52">
            <v>-841510.25</v>
          </cell>
          <cell r="BP52">
            <v>-667597.51</v>
          </cell>
          <cell r="BQ52">
            <v>-604805.12</v>
          </cell>
          <cell r="BR52">
            <v>-781483.47</v>
          </cell>
          <cell r="BS52">
            <v>-310650.45</v>
          </cell>
          <cell r="BT52">
            <v>-679445.26</v>
          </cell>
          <cell r="BU52">
            <v>-524612.38</v>
          </cell>
          <cell r="BV52">
            <v>-801690.28</v>
          </cell>
          <cell r="BW52">
            <v>-846791.31</v>
          </cell>
          <cell r="BX52">
            <v>-1004279.72</v>
          </cell>
          <cell r="BY52">
            <v>-762476.54</v>
          </cell>
          <cell r="BZ52">
            <v>-710142.55</v>
          </cell>
          <cell r="CA52">
            <v>-361786.79</v>
          </cell>
          <cell r="CB52">
            <v>-308499.07</v>
          </cell>
          <cell r="CC52">
            <v>-502104.74</v>
          </cell>
          <cell r="CD52">
            <v>-480792.85</v>
          </cell>
          <cell r="CE52">
            <v>-484371.04</v>
          </cell>
          <cell r="CF52">
            <v>-518225.91</v>
          </cell>
          <cell r="CG52">
            <v>-583354.25</v>
          </cell>
          <cell r="CH52">
            <v>-746783.25</v>
          </cell>
          <cell r="CI52">
            <v>-1094298.01</v>
          </cell>
          <cell r="CJ52">
            <v>-1130879.04</v>
          </cell>
          <cell r="CK52">
            <v>-971693.29</v>
          </cell>
          <cell r="CL52">
            <v>-1148802.0900000001</v>
          </cell>
          <cell r="CM52">
            <v>-1090347.4099999999</v>
          </cell>
          <cell r="CN52">
            <v>-855983.22</v>
          </cell>
          <cell r="CO52">
            <v>-882985.05</v>
          </cell>
          <cell r="CP52">
            <v>-883659.27</v>
          </cell>
          <cell r="CQ52">
            <v>-813415.47</v>
          </cell>
          <cell r="CR52">
            <v>-810183.49</v>
          </cell>
          <cell r="CS52">
            <v>-799977.08</v>
          </cell>
          <cell r="CT52">
            <v>-960808.24</v>
          </cell>
          <cell r="CU52">
            <v>-1264192.82</v>
          </cell>
          <cell r="CV52">
            <v>-1628077.79</v>
          </cell>
          <cell r="CW52">
            <v>-1316156.43</v>
          </cell>
          <cell r="CX52">
            <v>-1234135.22</v>
          </cell>
          <cell r="CY52">
            <v>-1180244.49</v>
          </cell>
          <cell r="CZ52">
            <v>-1107097.9099999999</v>
          </cell>
          <cell r="DA52">
            <v>-958153.6</v>
          </cell>
          <cell r="DB52">
            <v>-1026668.95</v>
          </cell>
          <cell r="DC52">
            <v>-1700473.47</v>
          </cell>
          <cell r="DD52">
            <v>-1477062.01</v>
          </cell>
          <cell r="DE52">
            <v>-1584726.05</v>
          </cell>
          <cell r="DF52">
            <v>-783284.38</v>
          </cell>
          <cell r="DG52">
            <v>-1223181.3799999999</v>
          </cell>
        </row>
        <row r="53">
          <cell r="A53">
            <v>4810054</v>
          </cell>
          <cell r="B53">
            <v>4810054</v>
          </cell>
          <cell r="C53" t="str">
            <v>GenSvc Lg Vol 3</v>
          </cell>
          <cell r="D53">
            <v>-90938.86</v>
          </cell>
          <cell r="E53">
            <v>-75128.7</v>
          </cell>
          <cell r="F53">
            <v>-68514.649999999994</v>
          </cell>
          <cell r="G53">
            <v>-54286.71</v>
          </cell>
          <cell r="H53">
            <v>-27577.53</v>
          </cell>
          <cell r="I53">
            <v>-51102.83</v>
          </cell>
          <cell r="J53">
            <v>-64304.65</v>
          </cell>
          <cell r="K53">
            <v>-43973.279999999999</v>
          </cell>
          <cell r="L53">
            <v>-53488.14</v>
          </cell>
          <cell r="M53">
            <v>-45022.21</v>
          </cell>
          <cell r="N53">
            <v>-69797.039999999994</v>
          </cell>
          <cell r="O53">
            <v>-69353.509999999995</v>
          </cell>
          <cell r="P53">
            <v>-84412.05</v>
          </cell>
          <cell r="Q53">
            <v>-95393.34</v>
          </cell>
          <cell r="R53">
            <v>-83336.81</v>
          </cell>
          <cell r="S53">
            <v>-46759.54</v>
          </cell>
          <cell r="T53">
            <v>-41521.72</v>
          </cell>
          <cell r="U53">
            <v>-55811.360000000001</v>
          </cell>
          <cell r="V53">
            <v>-64091.47</v>
          </cell>
          <cell r="W53">
            <v>-39302.839999999997</v>
          </cell>
          <cell r="X53">
            <v>-48795.81</v>
          </cell>
          <cell r="Y53">
            <v>-45166.57</v>
          </cell>
          <cell r="Z53">
            <v>-35022.449999999997</v>
          </cell>
          <cell r="AA53">
            <v>-59090.82</v>
          </cell>
          <cell r="AB53">
            <v>-70908.12</v>
          </cell>
          <cell r="AC53">
            <v>-77797.33</v>
          </cell>
          <cell r="AD53">
            <v>-56812.2</v>
          </cell>
          <cell r="AE53">
            <v>-52101.46</v>
          </cell>
          <cell r="AF53">
            <v>-36364.879999999997</v>
          </cell>
          <cell r="AG53">
            <v>-38533.089999999997</v>
          </cell>
          <cell r="AH53">
            <v>-43764.4</v>
          </cell>
          <cell r="AI53">
            <v>-49089.39</v>
          </cell>
          <cell r="AJ53">
            <v>-45116.46</v>
          </cell>
          <cell r="AK53">
            <v>-42361.98</v>
          </cell>
          <cell r="AL53">
            <v>-58618.83</v>
          </cell>
          <cell r="AM53">
            <v>-56477.06</v>
          </cell>
          <cell r="AN53">
            <v>-74295.73</v>
          </cell>
          <cell r="AO53">
            <v>-79164.479999999996</v>
          </cell>
          <cell r="AP53">
            <v>-29697.73</v>
          </cell>
          <cell r="AQ53">
            <v>-66487.91</v>
          </cell>
          <cell r="AR53">
            <v>-88955.57</v>
          </cell>
          <cell r="AS53">
            <v>-54004.41</v>
          </cell>
          <cell r="AT53">
            <v>-64674.91</v>
          </cell>
          <cell r="AU53">
            <v>-35227.129999999997</v>
          </cell>
          <cell r="AV53">
            <v>-70885.39</v>
          </cell>
          <cell r="AW53">
            <v>-54286.11</v>
          </cell>
          <cell r="AX53">
            <v>-111041.62</v>
          </cell>
          <cell r="AY53">
            <v>-43606.34</v>
          </cell>
          <cell r="AZ53">
            <v>-98780.29</v>
          </cell>
          <cell r="BA53">
            <v>-48579.26</v>
          </cell>
          <cell r="BB53">
            <v>-52066.34</v>
          </cell>
          <cell r="BC53">
            <v>-91688.18</v>
          </cell>
          <cell r="BD53">
            <v>-29982.92</v>
          </cell>
          <cell r="BE53">
            <v>-102221.43</v>
          </cell>
          <cell r="BF53">
            <v>-43036.28</v>
          </cell>
          <cell r="BG53">
            <v>-51609.64</v>
          </cell>
          <cell r="BH53">
            <v>-47711.23</v>
          </cell>
          <cell r="BI53">
            <v>-61517.85</v>
          </cell>
          <cell r="BJ53">
            <v>-61374.51</v>
          </cell>
          <cell r="BK53">
            <v>-55502.38</v>
          </cell>
          <cell r="BL53">
            <v>-56489.96</v>
          </cell>
          <cell r="BM53">
            <v>-95634.66</v>
          </cell>
          <cell r="BN53">
            <v>-82092.62</v>
          </cell>
          <cell r="BO53">
            <v>-15504.96</v>
          </cell>
          <cell r="BP53">
            <v>-70581.8</v>
          </cell>
          <cell r="BQ53">
            <v>8522</v>
          </cell>
          <cell r="BR53">
            <v>-43872.91</v>
          </cell>
          <cell r="BS53">
            <v>-55906.01</v>
          </cell>
          <cell r="BT53">
            <v>-21881.67</v>
          </cell>
          <cell r="BU53">
            <v>-63070.17</v>
          </cell>
          <cell r="BV53">
            <v>-35694.589999999997</v>
          </cell>
          <cell r="BW53">
            <v>-76599.12</v>
          </cell>
          <cell r="BX53">
            <v>-77290.13</v>
          </cell>
          <cell r="BY53">
            <v>-73344.38</v>
          </cell>
          <cell r="BZ53">
            <v>-53376.07</v>
          </cell>
          <cell r="CA53">
            <v>-27169.68</v>
          </cell>
          <cell r="CB53">
            <v>-30895.93</v>
          </cell>
          <cell r="CC53">
            <v>-26352.09</v>
          </cell>
          <cell r="CD53">
            <v>-35371.1</v>
          </cell>
          <cell r="CE53">
            <v>-42699.28</v>
          </cell>
          <cell r="CF53">
            <v>-27859.13</v>
          </cell>
          <cell r="CG53">
            <v>-36403.56</v>
          </cell>
          <cell r="CH53">
            <v>-45018.720000000001</v>
          </cell>
          <cell r="CI53">
            <v>39822.29</v>
          </cell>
          <cell r="CJ53">
            <v>-134905.99</v>
          </cell>
          <cell r="CK53">
            <v>-72075.179999999993</v>
          </cell>
          <cell r="CL53">
            <v>-68332.36</v>
          </cell>
          <cell r="CM53">
            <v>-73726.899999999994</v>
          </cell>
          <cell r="CN53">
            <v>-56320.959999999999</v>
          </cell>
          <cell r="CO53">
            <v>-53135.69</v>
          </cell>
          <cell r="CP53">
            <v>-68005.08</v>
          </cell>
          <cell r="CQ53">
            <v>-51565.32</v>
          </cell>
          <cell r="CR53">
            <v>-65039.56</v>
          </cell>
          <cell r="CS53">
            <v>-64169.95</v>
          </cell>
          <cell r="CT53">
            <v>-81730.710000000006</v>
          </cell>
          <cell r="CU53">
            <v>-112714.14</v>
          </cell>
          <cell r="CV53">
            <v>-103541.35</v>
          </cell>
          <cell r="CW53">
            <v>-100470.23</v>
          </cell>
          <cell r="CX53">
            <v>-77633.320000000007</v>
          </cell>
          <cell r="CY53">
            <v>-86831.34</v>
          </cell>
          <cell r="CZ53">
            <v>-88117.35</v>
          </cell>
          <cell r="DA53">
            <v>-49031.92</v>
          </cell>
          <cell r="DB53">
            <v>-49647.14</v>
          </cell>
          <cell r="DC53">
            <v>-46754.1</v>
          </cell>
          <cell r="DD53">
            <v>-51101.01</v>
          </cell>
          <cell r="DE53">
            <v>-51724.7</v>
          </cell>
          <cell r="DF53">
            <v>-42948.77</v>
          </cell>
          <cell r="DG53">
            <v>-72464.100000000006</v>
          </cell>
        </row>
        <row r="54">
          <cell r="A54">
            <v>4810055</v>
          </cell>
          <cell r="B54">
            <v>4810055</v>
          </cell>
          <cell r="C54" t="str">
            <v>GenSvc Lg Vol 3 Fuel</v>
          </cell>
          <cell r="D54">
            <v>-389235.69</v>
          </cell>
          <cell r="E54">
            <v>-279755.15999999997</v>
          </cell>
          <cell r="F54">
            <v>-240136.47</v>
          </cell>
          <cell r="G54">
            <v>-214225.97</v>
          </cell>
          <cell r="H54">
            <v>-77303.48</v>
          </cell>
          <cell r="I54">
            <v>-186793.36</v>
          </cell>
          <cell r="J54">
            <v>-211922.79</v>
          </cell>
          <cell r="K54">
            <v>-166724.94</v>
          </cell>
          <cell r="L54">
            <v>-194499.68</v>
          </cell>
          <cell r="M54">
            <v>-154155.25</v>
          </cell>
          <cell r="N54">
            <v>-237185.67</v>
          </cell>
          <cell r="O54">
            <v>-244190.95</v>
          </cell>
          <cell r="P54">
            <v>-347324.41</v>
          </cell>
          <cell r="Q54">
            <v>-351714.83</v>
          </cell>
          <cell r="R54">
            <v>-262073.66</v>
          </cell>
          <cell r="S54">
            <v>-162380.10999999999</v>
          </cell>
          <cell r="T54">
            <v>-142221.93</v>
          </cell>
          <cell r="U54">
            <v>-198425.19</v>
          </cell>
          <cell r="V54">
            <v>-232133.97</v>
          </cell>
          <cell r="W54">
            <v>-141041.62</v>
          </cell>
          <cell r="X54">
            <v>-183779.95</v>
          </cell>
          <cell r="Y54">
            <v>-153075.73000000001</v>
          </cell>
          <cell r="Z54">
            <v>-127192.53</v>
          </cell>
          <cell r="AA54">
            <v>-209810.31</v>
          </cell>
          <cell r="AB54">
            <v>-299911.46999999997</v>
          </cell>
          <cell r="AC54">
            <v>-322746.77</v>
          </cell>
          <cell r="AD54">
            <v>-215976.05</v>
          </cell>
          <cell r="AE54">
            <v>-207975.75</v>
          </cell>
          <cell r="AF54">
            <v>-143604.99</v>
          </cell>
          <cell r="AG54">
            <v>-137249.17000000001</v>
          </cell>
          <cell r="AH54">
            <v>-166661.81</v>
          </cell>
          <cell r="AI54">
            <v>-175880.88</v>
          </cell>
          <cell r="AJ54">
            <v>-153579.46</v>
          </cell>
          <cell r="AK54">
            <v>-148029.04</v>
          </cell>
          <cell r="AL54">
            <v>-199643.84</v>
          </cell>
          <cell r="AM54">
            <v>-195165.21</v>
          </cell>
          <cell r="AN54">
            <v>-210390.31</v>
          </cell>
          <cell r="AO54">
            <v>-298738.42</v>
          </cell>
          <cell r="AP54">
            <v>-95987.16</v>
          </cell>
          <cell r="AQ54">
            <v>-241350.32</v>
          </cell>
          <cell r="AR54">
            <v>-322816.44</v>
          </cell>
          <cell r="AS54">
            <v>-179860.05</v>
          </cell>
          <cell r="AT54">
            <v>-230149.16</v>
          </cell>
          <cell r="AU54">
            <v>-139229.06</v>
          </cell>
          <cell r="AV54">
            <v>-292359.69</v>
          </cell>
          <cell r="AW54">
            <v>-229061.45</v>
          </cell>
          <cell r="AX54">
            <v>-474125.93</v>
          </cell>
          <cell r="AY54">
            <v>-160821.15</v>
          </cell>
          <cell r="AZ54">
            <v>-467151.53</v>
          </cell>
          <cell r="BA54">
            <v>-211667.55</v>
          </cell>
          <cell r="BB54">
            <v>-204606.1</v>
          </cell>
          <cell r="BC54">
            <v>-385447.77</v>
          </cell>
          <cell r="BD54">
            <v>-109595.88</v>
          </cell>
          <cell r="BE54">
            <v>-423836.8</v>
          </cell>
          <cell r="BF54">
            <v>-168184.83</v>
          </cell>
          <cell r="BG54">
            <v>-204807.52</v>
          </cell>
          <cell r="BH54">
            <v>-188289.1</v>
          </cell>
          <cell r="BI54">
            <v>-229425.98</v>
          </cell>
          <cell r="BJ54">
            <v>-226618.91</v>
          </cell>
          <cell r="BK54">
            <v>-194363.4</v>
          </cell>
          <cell r="BL54">
            <v>-248808.94</v>
          </cell>
          <cell r="BM54">
            <v>-408057.05</v>
          </cell>
          <cell r="BN54">
            <v>-392023.4</v>
          </cell>
          <cell r="BO54">
            <v>-76657.960000000006</v>
          </cell>
          <cell r="BP54">
            <v>-343037.16</v>
          </cell>
          <cell r="BQ54">
            <v>53478.12</v>
          </cell>
          <cell r="BR54">
            <v>-219529.60000000001</v>
          </cell>
          <cell r="BS54">
            <v>-220861.19</v>
          </cell>
          <cell r="BT54">
            <v>-65992.39</v>
          </cell>
          <cell r="BU54">
            <v>-254385.66</v>
          </cell>
          <cell r="BV54">
            <v>-137205.85</v>
          </cell>
          <cell r="BW54">
            <v>-312889.46000000002</v>
          </cell>
          <cell r="BX54">
            <v>-318441.01</v>
          </cell>
          <cell r="BY54">
            <v>-275499.25</v>
          </cell>
          <cell r="BZ54">
            <v>-188551.7</v>
          </cell>
          <cell r="CA54">
            <v>-81707.179999999993</v>
          </cell>
          <cell r="CB54">
            <v>-99929.600000000006</v>
          </cell>
          <cell r="CC54">
            <v>-81581.070000000007</v>
          </cell>
          <cell r="CD54">
            <v>-116176.97</v>
          </cell>
          <cell r="CE54">
            <v>-135794.25</v>
          </cell>
          <cell r="CF54">
            <v>-81781.990000000005</v>
          </cell>
          <cell r="CG54">
            <v>-127388.18</v>
          </cell>
          <cell r="CH54">
            <v>-174165.36</v>
          </cell>
          <cell r="CI54">
            <v>198208.78</v>
          </cell>
          <cell r="CJ54">
            <v>-430055.79</v>
          </cell>
          <cell r="CK54">
            <v>-185739.09</v>
          </cell>
          <cell r="CL54">
            <v>-232601.32</v>
          </cell>
          <cell r="CM54">
            <v>-230731.56</v>
          </cell>
          <cell r="CN54">
            <v>-158534.47</v>
          </cell>
          <cell r="CO54">
            <v>-143837.04999999999</v>
          </cell>
          <cell r="CP54">
            <v>-244966.11</v>
          </cell>
          <cell r="CQ54">
            <v>-154773.25</v>
          </cell>
          <cell r="CR54">
            <v>-209421.87</v>
          </cell>
          <cell r="CS54">
            <v>-209392.79</v>
          </cell>
          <cell r="CT54">
            <v>-291815.90999999997</v>
          </cell>
          <cell r="CU54">
            <v>-435570.93</v>
          </cell>
          <cell r="CV54">
            <v>-453938.92</v>
          </cell>
          <cell r="CW54">
            <v>-405365.2</v>
          </cell>
          <cell r="CX54">
            <v>-284993.32</v>
          </cell>
          <cell r="CY54">
            <v>-330408.37</v>
          </cell>
          <cell r="CZ54">
            <v>-355928.22</v>
          </cell>
          <cell r="DA54">
            <v>-140148.31</v>
          </cell>
          <cell r="DB54">
            <v>-164022.45000000001</v>
          </cell>
          <cell r="DC54">
            <v>-257721.34</v>
          </cell>
          <cell r="DD54">
            <v>-217993.87</v>
          </cell>
          <cell r="DE54">
            <v>-261097.97</v>
          </cell>
          <cell r="DF54">
            <v>-38278.9</v>
          </cell>
          <cell r="DG54">
            <v>-243802.5</v>
          </cell>
        </row>
        <row r="55">
          <cell r="A55">
            <v>4810056</v>
          </cell>
          <cell r="B55">
            <v>4810056</v>
          </cell>
          <cell r="C55" t="str">
            <v>GenSvc Lg Vol 4</v>
          </cell>
          <cell r="D55">
            <v>-4811.1099999999997</v>
          </cell>
          <cell r="E55">
            <v>-4735.33</v>
          </cell>
          <cell r="F55">
            <v>-8284.2000000000007</v>
          </cell>
          <cell r="G55">
            <v>-11401.26</v>
          </cell>
          <cell r="H55">
            <v>-9491.98</v>
          </cell>
          <cell r="I55">
            <v>-10712.02</v>
          </cell>
          <cell r="J55">
            <v>-12202.71</v>
          </cell>
          <cell r="K55">
            <v>-4803.49</v>
          </cell>
          <cell r="L55">
            <v>-13258.45</v>
          </cell>
          <cell r="M55">
            <v>-13705.09</v>
          </cell>
          <cell r="N55">
            <v>-13058.87</v>
          </cell>
          <cell r="O55">
            <v>-18011.47</v>
          </cell>
          <cell r="P55">
            <v>-19784.61</v>
          </cell>
          <cell r="Q55">
            <v>-24933.58</v>
          </cell>
          <cell r="R55">
            <v>-20626.72</v>
          </cell>
          <cell r="S55">
            <v>-21539.65</v>
          </cell>
          <cell r="T55">
            <v>-23951.08</v>
          </cell>
          <cell r="U55">
            <v>-25507.32</v>
          </cell>
          <cell r="V55">
            <v>-12683.62</v>
          </cell>
          <cell r="W55">
            <v>-14189.79</v>
          </cell>
          <cell r="X55">
            <v>-13371.53</v>
          </cell>
          <cell r="Y55">
            <v>-13344.03</v>
          </cell>
          <cell r="Z55">
            <v>-12858.07</v>
          </cell>
          <cell r="AA55">
            <v>-17201.900000000001</v>
          </cell>
          <cell r="AB55">
            <v>-18790.3</v>
          </cell>
          <cell r="AC55">
            <v>-21207.52</v>
          </cell>
          <cell r="AD55">
            <v>-24151.17</v>
          </cell>
          <cell r="AE55">
            <v>-19818.63</v>
          </cell>
          <cell r="AF55">
            <v>-23217.4</v>
          </cell>
          <cell r="AG55">
            <v>-19094.490000000002</v>
          </cell>
          <cell r="AH55">
            <v>-17710.86</v>
          </cell>
          <cell r="AI55">
            <v>-17706.560000000001</v>
          </cell>
          <cell r="AJ55">
            <v>-17684.16</v>
          </cell>
          <cell r="AK55">
            <v>-20208.759999999998</v>
          </cell>
          <cell r="AL55">
            <v>-19050.490000000002</v>
          </cell>
          <cell r="AM55">
            <v>-20151.45</v>
          </cell>
          <cell r="AN55">
            <v>-23862.01</v>
          </cell>
          <cell r="AO55">
            <v>-28029.57</v>
          </cell>
          <cell r="AP55">
            <v>-21777.16</v>
          </cell>
          <cell r="AQ55">
            <v>-26416.52</v>
          </cell>
          <cell r="AR55">
            <v>-22373.279999999999</v>
          </cell>
          <cell r="AS55">
            <v>-31241.1</v>
          </cell>
          <cell r="AT55">
            <v>-17335.8</v>
          </cell>
          <cell r="AU55">
            <v>0</v>
          </cell>
          <cell r="AV55">
            <v>-5288.21</v>
          </cell>
          <cell r="AW55">
            <v>-5413.21</v>
          </cell>
          <cell r="AX55">
            <v>5256</v>
          </cell>
          <cell r="AY55">
            <v>-2258.13</v>
          </cell>
          <cell r="AZ55">
            <v>0</v>
          </cell>
          <cell r="BA55">
            <v>-594.41</v>
          </cell>
          <cell r="BB55">
            <v>0</v>
          </cell>
          <cell r="BC55">
            <v>0</v>
          </cell>
          <cell r="BD55">
            <v>-250</v>
          </cell>
          <cell r="BE55">
            <v>-301.20999999999998</v>
          </cell>
          <cell r="BF55">
            <v>-8200.81</v>
          </cell>
          <cell r="BG55">
            <v>-1529.28</v>
          </cell>
          <cell r="BH55">
            <v>-251.58</v>
          </cell>
          <cell r="BI55">
            <v>-500</v>
          </cell>
          <cell r="BJ55">
            <v>-14799.18</v>
          </cell>
          <cell r="BK55">
            <v>-5856.22</v>
          </cell>
          <cell r="BL55">
            <v>-2837.6</v>
          </cell>
          <cell r="BM55">
            <v>-4803.3500000000004</v>
          </cell>
          <cell r="BN55">
            <v>-2924.52</v>
          </cell>
          <cell r="BO55">
            <v>-21547.4</v>
          </cell>
          <cell r="BP55">
            <v>-421.28</v>
          </cell>
          <cell r="BQ55">
            <v>-283.33</v>
          </cell>
          <cell r="BR55">
            <v>-3248.73</v>
          </cell>
          <cell r="BS55">
            <v>208.44</v>
          </cell>
          <cell r="BT55">
            <v>-1460.05</v>
          </cell>
          <cell r="BU55">
            <v>-2704.85</v>
          </cell>
          <cell r="BV55">
            <v>-13747.47</v>
          </cell>
          <cell r="BW55">
            <v>-9293.77</v>
          </cell>
          <cell r="BX55">
            <v>-20776.2</v>
          </cell>
          <cell r="BY55">
            <v>-17713.29</v>
          </cell>
          <cell r="BZ55">
            <v>-18029.900000000001</v>
          </cell>
          <cell r="CA55">
            <v>-17244.02</v>
          </cell>
          <cell r="CB55">
            <v>-16945.150000000001</v>
          </cell>
          <cell r="CC55">
            <v>-5387.37</v>
          </cell>
          <cell r="CD55">
            <v>-9602.86</v>
          </cell>
          <cell r="CE55">
            <v>-10635.59</v>
          </cell>
          <cell r="CF55">
            <v>-7411.54</v>
          </cell>
          <cell r="CG55">
            <v>-8912.1200000000008</v>
          </cell>
          <cell r="CH55">
            <v>-23354.55</v>
          </cell>
          <cell r="CI55">
            <v>-16856.95</v>
          </cell>
          <cell r="CJ55">
            <v>-2319.7800000000002</v>
          </cell>
          <cell r="CK55">
            <v>-7992.95</v>
          </cell>
          <cell r="CL55">
            <v>-34684.04</v>
          </cell>
          <cell r="CM55">
            <v>-9129</v>
          </cell>
          <cell r="CN55">
            <v>-8863.8700000000008</v>
          </cell>
          <cell r="CO55">
            <v>-7372.7</v>
          </cell>
          <cell r="CP55">
            <v>-1984.3</v>
          </cell>
          <cell r="CQ55">
            <v>-1751.14</v>
          </cell>
          <cell r="CR55">
            <v>-12194.51</v>
          </cell>
          <cell r="CS55">
            <v>-2450.09</v>
          </cell>
          <cell r="CT55">
            <v>-1780.47</v>
          </cell>
          <cell r="CU55">
            <v>-5802.17</v>
          </cell>
          <cell r="CV55">
            <v>-5564.34</v>
          </cell>
          <cell r="CW55">
            <v>-9543.77</v>
          </cell>
          <cell r="CX55">
            <v>-2577.75</v>
          </cell>
          <cell r="CY55">
            <v>-40986.65</v>
          </cell>
          <cell r="CZ55">
            <v>-5177.95</v>
          </cell>
          <cell r="DA55">
            <v>-10541.78</v>
          </cell>
          <cell r="DB55">
            <v>-8984.07</v>
          </cell>
          <cell r="DC55">
            <v>-11729.85</v>
          </cell>
          <cell r="DD55">
            <v>-8743.49</v>
          </cell>
          <cell r="DE55">
            <v>-13807.41</v>
          </cell>
          <cell r="DF55">
            <v>-7494.19</v>
          </cell>
          <cell r="DG55">
            <v>-18064.79</v>
          </cell>
        </row>
        <row r="56">
          <cell r="A56">
            <v>4810057</v>
          </cell>
          <cell r="B56">
            <v>4810057</v>
          </cell>
          <cell r="C56" t="str">
            <v>GenSvc Lg Vol 4 Fuel</v>
          </cell>
          <cell r="D56">
            <v>-24938.13</v>
          </cell>
          <cell r="E56">
            <v>-24133</v>
          </cell>
          <cell r="F56">
            <v>-37417.589999999997</v>
          </cell>
          <cell r="G56">
            <v>-58371.48</v>
          </cell>
          <cell r="H56">
            <v>-44602.6</v>
          </cell>
          <cell r="I56">
            <v>-54315.98</v>
          </cell>
          <cell r="J56">
            <v>-63054.14</v>
          </cell>
          <cell r="K56">
            <v>-23407.26</v>
          </cell>
          <cell r="L56">
            <v>-68942.899999999994</v>
          </cell>
          <cell r="M56">
            <v>-66368.92</v>
          </cell>
          <cell r="N56">
            <v>-60407.8</v>
          </cell>
          <cell r="O56">
            <v>-86168</v>
          </cell>
          <cell r="P56">
            <v>-105150.91</v>
          </cell>
          <cell r="Q56">
            <v>-116650.97</v>
          </cell>
          <cell r="R56">
            <v>-94528.4</v>
          </cell>
          <cell r="S56">
            <v>-101709.41</v>
          </cell>
          <cell r="T56">
            <v>-117212.68</v>
          </cell>
          <cell r="U56">
            <v>-132297.97</v>
          </cell>
          <cell r="V56">
            <v>-65727.929999999993</v>
          </cell>
          <cell r="W56">
            <v>-74943.38</v>
          </cell>
          <cell r="X56">
            <v>-71525.77</v>
          </cell>
          <cell r="Y56">
            <v>-68703.42</v>
          </cell>
          <cell r="Z56">
            <v>-67567.7</v>
          </cell>
          <cell r="AA56">
            <v>-88284.36</v>
          </cell>
          <cell r="AB56">
            <v>-107356.8</v>
          </cell>
          <cell r="AC56">
            <v>-119119.05</v>
          </cell>
          <cell r="AD56">
            <v>-124214.64</v>
          </cell>
          <cell r="AE56">
            <v>-110932.65</v>
          </cell>
          <cell r="AF56">
            <v>-128523.56</v>
          </cell>
          <cell r="AG56">
            <v>-101697.86</v>
          </cell>
          <cell r="AH56">
            <v>-91112.16</v>
          </cell>
          <cell r="AI56">
            <v>-92387.19</v>
          </cell>
          <cell r="AJ56">
            <v>-87672.52</v>
          </cell>
          <cell r="AK56">
            <v>-99514.6</v>
          </cell>
          <cell r="AL56">
            <v>-90050.71</v>
          </cell>
          <cell r="AM56">
            <v>-94956.97</v>
          </cell>
          <cell r="AN56">
            <v>-114100.27</v>
          </cell>
          <cell r="AO56">
            <v>-130681.14</v>
          </cell>
          <cell r="AP56">
            <v>-109086.95</v>
          </cell>
          <cell r="AQ56">
            <v>-121661.9</v>
          </cell>
          <cell r="AR56">
            <v>-112088.8</v>
          </cell>
          <cell r="AS56">
            <v>-148144.20000000001</v>
          </cell>
          <cell r="AT56">
            <v>-86116.15</v>
          </cell>
          <cell r="AU56">
            <v>0</v>
          </cell>
          <cell r="AV56">
            <v>-28463.33</v>
          </cell>
          <cell r="AW56">
            <v>-28463.33</v>
          </cell>
          <cell r="AX56">
            <v>28372.02</v>
          </cell>
          <cell r="AY56">
            <v>-8923.0499999999993</v>
          </cell>
          <cell r="AZ56">
            <v>0</v>
          </cell>
          <cell r="BA56">
            <v>-2392.7399999999998</v>
          </cell>
          <cell r="BB56">
            <v>0</v>
          </cell>
          <cell r="BC56">
            <v>0</v>
          </cell>
          <cell r="BD56">
            <v>0</v>
          </cell>
          <cell r="BE56">
            <v>-292.54000000000002</v>
          </cell>
          <cell r="BF56">
            <v>-43988.52</v>
          </cell>
          <cell r="BG56">
            <v>-7307.48</v>
          </cell>
          <cell r="BH56">
            <v>-6.25</v>
          </cell>
          <cell r="BI56">
            <v>0</v>
          </cell>
          <cell r="BJ56">
            <v>-15957.27</v>
          </cell>
          <cell r="BK56">
            <v>-48291.9</v>
          </cell>
          <cell r="BL56">
            <v>-12681.57</v>
          </cell>
          <cell r="BM56">
            <v>-19078.810000000001</v>
          </cell>
          <cell r="BN56">
            <v>-11953.74</v>
          </cell>
          <cell r="BO56">
            <v>-17354.72</v>
          </cell>
          <cell r="BP56">
            <v>-66.489999999999995</v>
          </cell>
          <cell r="BQ56">
            <v>-977.53</v>
          </cell>
          <cell r="BR56">
            <v>17007.63</v>
          </cell>
          <cell r="BS56">
            <v>4856.72</v>
          </cell>
          <cell r="BT56">
            <v>-3753.94</v>
          </cell>
          <cell r="BU56">
            <v>-11898.2</v>
          </cell>
          <cell r="BV56">
            <v>-71042.8</v>
          </cell>
          <cell r="BW56">
            <v>-47701.22</v>
          </cell>
          <cell r="BX56">
            <v>-112814.03</v>
          </cell>
          <cell r="BY56">
            <v>-90313.62</v>
          </cell>
          <cell r="BZ56">
            <v>-89936.06</v>
          </cell>
          <cell r="CA56">
            <v>-84753.06</v>
          </cell>
          <cell r="CB56">
            <v>-69877.5</v>
          </cell>
          <cell r="CC56">
            <v>-22546.560000000001</v>
          </cell>
          <cell r="CD56">
            <v>-29398.34</v>
          </cell>
          <cell r="CE56">
            <v>-43815.25</v>
          </cell>
          <cell r="CF56">
            <v>-32956.22</v>
          </cell>
          <cell r="CG56">
            <v>-39859.82</v>
          </cell>
          <cell r="CH56">
            <v>-109195.82</v>
          </cell>
          <cell r="CI56">
            <v>-81091.98</v>
          </cell>
          <cell r="CJ56">
            <v>46282.6</v>
          </cell>
          <cell r="CK56">
            <v>-28210.79</v>
          </cell>
          <cell r="CL56">
            <v>-124654.11</v>
          </cell>
          <cell r="CM56">
            <v>-33677.339999999997</v>
          </cell>
          <cell r="CN56">
            <v>-35266.74</v>
          </cell>
          <cell r="CO56">
            <v>-30448.6</v>
          </cell>
          <cell r="CP56">
            <v>-3792.75</v>
          </cell>
          <cell r="CQ56">
            <v>-2420.21</v>
          </cell>
          <cell r="CR56">
            <v>-40066.449999999997</v>
          </cell>
          <cell r="CS56">
            <v>-4765.0200000000004</v>
          </cell>
          <cell r="CT56">
            <v>-2592.85</v>
          </cell>
          <cell r="CU56">
            <v>-16980.150000000001</v>
          </cell>
          <cell r="CV56">
            <v>-17051.96</v>
          </cell>
          <cell r="CW56">
            <v>-38532.86</v>
          </cell>
          <cell r="CX56">
            <v>-3617.27</v>
          </cell>
          <cell r="CY56">
            <v>-170856.51</v>
          </cell>
          <cell r="CZ56">
            <v>-18222.849999999999</v>
          </cell>
          <cell r="DA56">
            <v>-44268.33</v>
          </cell>
          <cell r="DB56">
            <v>-44433.26</v>
          </cell>
          <cell r="DC56">
            <v>-28976.84</v>
          </cell>
          <cell r="DD56">
            <v>-59232.73</v>
          </cell>
          <cell r="DE56">
            <v>-91734.73</v>
          </cell>
          <cell r="DF56">
            <v>-9445</v>
          </cell>
          <cell r="DG56">
            <v>-77407.72</v>
          </cell>
        </row>
        <row r="57">
          <cell r="A57">
            <v>4810058</v>
          </cell>
          <cell r="B57">
            <v>4810058</v>
          </cell>
          <cell r="C57" t="str">
            <v>GenSvc Lg Vol 5</v>
          </cell>
          <cell r="D57">
            <v>-3669.97</v>
          </cell>
          <cell r="E57">
            <v>-3595.61</v>
          </cell>
          <cell r="F57">
            <v>-3329.02</v>
          </cell>
          <cell r="G57">
            <v>-5372</v>
          </cell>
          <cell r="H57">
            <v>-2247.1999999999998</v>
          </cell>
          <cell r="I57">
            <v>-2786.77</v>
          </cell>
          <cell r="J57">
            <v>-2519.61</v>
          </cell>
          <cell r="K57">
            <v>-5494.08</v>
          </cell>
          <cell r="L57">
            <v>-2817.53</v>
          </cell>
          <cell r="M57">
            <v>0</v>
          </cell>
          <cell r="N57">
            <v>-6589.65</v>
          </cell>
          <cell r="O57">
            <v>-8227.4500000000007</v>
          </cell>
          <cell r="P57">
            <v>-7011.7</v>
          </cell>
          <cell r="Q57">
            <v>-4298.9399999999996</v>
          </cell>
          <cell r="R57">
            <v>-3964.99</v>
          </cell>
          <cell r="S57">
            <v>-2420.17</v>
          </cell>
          <cell r="T57">
            <v>-5507.13</v>
          </cell>
          <cell r="U57">
            <v>-2714.7</v>
          </cell>
          <cell r="V57">
            <v>-24975.5</v>
          </cell>
          <cell r="W57">
            <v>-8503.86</v>
          </cell>
          <cell r="X57">
            <v>-9100.35</v>
          </cell>
          <cell r="Y57">
            <v>-11566.56</v>
          </cell>
          <cell r="Z57">
            <v>-15079.25</v>
          </cell>
          <cell r="AA57">
            <v>-18217.41</v>
          </cell>
          <cell r="AB57">
            <v>-14329.62</v>
          </cell>
          <cell r="AC57">
            <v>-13469.93</v>
          </cell>
          <cell r="AD57">
            <v>-11065.4</v>
          </cell>
          <cell r="AE57">
            <v>-2211.25</v>
          </cell>
          <cell r="AF57">
            <v>-3774.53</v>
          </cell>
          <cell r="AG57">
            <v>-4595.49</v>
          </cell>
          <cell r="AH57">
            <v>-5519.99</v>
          </cell>
          <cell r="AI57">
            <v>-2692.64</v>
          </cell>
          <cell r="AJ57">
            <v>0</v>
          </cell>
          <cell r="AK57">
            <v>-7766.28</v>
          </cell>
          <cell r="AL57">
            <v>-3943.64</v>
          </cell>
          <cell r="AM57">
            <v>-4062.18</v>
          </cell>
          <cell r="AN57">
            <v>-3551.55</v>
          </cell>
          <cell r="AO57">
            <v>-4656.6099999999997</v>
          </cell>
          <cell r="AP57">
            <v>-4803.6499999999996</v>
          </cell>
          <cell r="AQ57">
            <v>-6969.46</v>
          </cell>
          <cell r="AR57">
            <v>-2644.61</v>
          </cell>
          <cell r="AS57">
            <v>-2647.92</v>
          </cell>
          <cell r="AT57">
            <v>-6052.49</v>
          </cell>
          <cell r="AU57">
            <v>-15321.8</v>
          </cell>
          <cell r="AV57">
            <v>-14898.17</v>
          </cell>
          <cell r="AW57">
            <v>-17578.509999999998</v>
          </cell>
          <cell r="AX57">
            <v>-33407.83</v>
          </cell>
          <cell r="AY57">
            <v>-49647.1</v>
          </cell>
          <cell r="AZ57">
            <v>5035.26</v>
          </cell>
          <cell r="BA57">
            <v>-19422.27</v>
          </cell>
          <cell r="BB57">
            <v>-18335.13</v>
          </cell>
          <cell r="BC57">
            <v>-19578.169999999998</v>
          </cell>
          <cell r="BD57">
            <v>-27626.880000000001</v>
          </cell>
          <cell r="BE57">
            <v>-5732.15</v>
          </cell>
          <cell r="BF57">
            <v>-2707.46</v>
          </cell>
          <cell r="BG57">
            <v>-3395.06</v>
          </cell>
          <cell r="BH57">
            <v>-437.19</v>
          </cell>
          <cell r="BI57">
            <v>-385.65</v>
          </cell>
          <cell r="BJ57">
            <v>-2955.46</v>
          </cell>
          <cell r="BK57">
            <v>-21762.42</v>
          </cell>
          <cell r="BL57">
            <v>-4315.05</v>
          </cell>
          <cell r="BM57">
            <v>-3675.9</v>
          </cell>
          <cell r="BN57">
            <v>-6521.56</v>
          </cell>
          <cell r="BO57">
            <v>-4329.57</v>
          </cell>
          <cell r="BP57">
            <v>-296.36</v>
          </cell>
          <cell r="BQ57">
            <v>-2685.06</v>
          </cell>
          <cell r="BR57">
            <v>-7055.58</v>
          </cell>
          <cell r="BS57">
            <v>-328.99</v>
          </cell>
          <cell r="BT57">
            <v>-17982.23</v>
          </cell>
          <cell r="BU57">
            <v>-4462</v>
          </cell>
          <cell r="BV57">
            <v>-7088.93</v>
          </cell>
          <cell r="BW57">
            <v>-11295.2</v>
          </cell>
          <cell r="BX57">
            <v>-15026.47</v>
          </cell>
          <cell r="BY57">
            <v>-21012.66</v>
          </cell>
          <cell r="BZ57">
            <v>-17619.009999999998</v>
          </cell>
          <cell r="CA57">
            <v>-18963.060000000001</v>
          </cell>
          <cell r="CB57">
            <v>-19589.23</v>
          </cell>
          <cell r="CC57">
            <v>-24569.01</v>
          </cell>
          <cell r="CD57">
            <v>-19851.13</v>
          </cell>
          <cell r="CE57">
            <v>-19268.560000000001</v>
          </cell>
          <cell r="CF57">
            <v>-15870.46</v>
          </cell>
          <cell r="CG57">
            <v>-17174.560000000001</v>
          </cell>
          <cell r="CH57">
            <v>-18484.36</v>
          </cell>
          <cell r="CI57">
            <v>-9004.18</v>
          </cell>
          <cell r="CJ57">
            <v>-66451.08</v>
          </cell>
          <cell r="CK57">
            <v>-83318.25</v>
          </cell>
          <cell r="CL57">
            <v>-67469.899999999994</v>
          </cell>
          <cell r="CM57">
            <v>-62184.4</v>
          </cell>
          <cell r="CN57">
            <v>-55039.57</v>
          </cell>
          <cell r="CO57">
            <v>-49382.49</v>
          </cell>
          <cell r="CP57">
            <v>-49729.57</v>
          </cell>
          <cell r="CQ57">
            <v>-44175.199999999997</v>
          </cell>
          <cell r="CR57">
            <v>-63635.95</v>
          </cell>
          <cell r="CS57">
            <v>-57157.85</v>
          </cell>
          <cell r="CT57">
            <v>-34556.17</v>
          </cell>
          <cell r="CU57">
            <v>-48308.28</v>
          </cell>
          <cell r="CV57">
            <v>-87336.86</v>
          </cell>
          <cell r="CW57">
            <v>11471.84</v>
          </cell>
          <cell r="CX57">
            <v>-49376.21</v>
          </cell>
          <cell r="CY57">
            <v>-60494.46</v>
          </cell>
          <cell r="CZ57">
            <v>-58697.440000000002</v>
          </cell>
          <cell r="DA57">
            <v>-133161.29</v>
          </cell>
          <cell r="DB57">
            <v>59825.15</v>
          </cell>
          <cell r="DC57">
            <v>-45988.160000000003</v>
          </cell>
          <cell r="DD57">
            <v>-37922.25</v>
          </cell>
          <cell r="DE57">
            <v>-42004.33</v>
          </cell>
          <cell r="DF57">
            <v>-38054.050000000003</v>
          </cell>
          <cell r="DG57">
            <v>-35500.67</v>
          </cell>
        </row>
        <row r="58">
          <cell r="A58">
            <v>4810059</v>
          </cell>
          <cell r="B58">
            <v>4810059</v>
          </cell>
          <cell r="C58" t="str">
            <v>GenSvc Lg Vol 5 Fuel</v>
          </cell>
          <cell r="D58">
            <v>-28349.75</v>
          </cell>
          <cell r="E58">
            <v>-25919.71</v>
          </cell>
          <cell r="F58">
            <v>-23077.94</v>
          </cell>
          <cell r="G58">
            <v>-34664.5</v>
          </cell>
          <cell r="H58">
            <v>-15065.79</v>
          </cell>
          <cell r="I58">
            <v>-19548.560000000001</v>
          </cell>
          <cell r="J58">
            <v>-17869.59</v>
          </cell>
          <cell r="K58">
            <v>-35586.14</v>
          </cell>
          <cell r="L58">
            <v>-19779.55</v>
          </cell>
          <cell r="M58">
            <v>0</v>
          </cell>
          <cell r="N58">
            <v>-40747.410000000003</v>
          </cell>
          <cell r="O58">
            <v>-52175.199999999997</v>
          </cell>
          <cell r="P58">
            <v>-44021.88</v>
          </cell>
          <cell r="Q58">
            <v>-31153.91</v>
          </cell>
          <cell r="R58">
            <v>-24135.75</v>
          </cell>
          <cell r="S58">
            <v>-15182.64</v>
          </cell>
          <cell r="T58">
            <v>-34838.74</v>
          </cell>
          <cell r="U58">
            <v>-17168.669999999998</v>
          </cell>
          <cell r="V58">
            <v>-173361.5</v>
          </cell>
          <cell r="W58">
            <v>-49249.27</v>
          </cell>
          <cell r="X58">
            <v>-73978.75</v>
          </cell>
          <cell r="Y58">
            <v>-77719.63</v>
          </cell>
          <cell r="Z58">
            <v>-102059.06</v>
          </cell>
          <cell r="AA58">
            <v>-106660.81</v>
          </cell>
          <cell r="AB58">
            <v>-101836.36</v>
          </cell>
          <cell r="AC58">
            <v>-99553.18</v>
          </cell>
          <cell r="AD58">
            <v>-77262.8</v>
          </cell>
          <cell r="AE58">
            <v>-16646.47</v>
          </cell>
          <cell r="AF58">
            <v>-11691.14</v>
          </cell>
          <cell r="AG58">
            <v>-24982.75</v>
          </cell>
          <cell r="AH58">
            <v>-35174.89</v>
          </cell>
          <cell r="AI58">
            <v>-17640.98</v>
          </cell>
          <cell r="AJ58">
            <v>0</v>
          </cell>
          <cell r="AK58">
            <v>-44042.61</v>
          </cell>
          <cell r="AL58">
            <v>-21049.55</v>
          </cell>
          <cell r="AM58">
            <v>-22096.03</v>
          </cell>
          <cell r="AN58">
            <v>-19301.13</v>
          </cell>
          <cell r="AO58">
            <v>-26721.040000000001</v>
          </cell>
          <cell r="AP58">
            <v>-29219.08</v>
          </cell>
          <cell r="AQ58">
            <v>-34321.39</v>
          </cell>
          <cell r="AR58">
            <v>-15962.09</v>
          </cell>
          <cell r="AS58">
            <v>-15649.53</v>
          </cell>
          <cell r="AT58">
            <v>-30775.13</v>
          </cell>
          <cell r="AU58">
            <v>-108467.5</v>
          </cell>
          <cell r="AV58">
            <v>-113687.82</v>
          </cell>
          <cell r="AW58">
            <v>-133643.32999999999</v>
          </cell>
          <cell r="AX58">
            <v>-209694.74</v>
          </cell>
          <cell r="AY58">
            <v>-310950.90999999997</v>
          </cell>
          <cell r="AZ58">
            <v>-38084.68</v>
          </cell>
          <cell r="BA58">
            <v>-158031.63</v>
          </cell>
          <cell r="BB58">
            <v>-138858.66</v>
          </cell>
          <cell r="BC58">
            <v>-151095.10999999999</v>
          </cell>
          <cell r="BD58">
            <v>-215338.92</v>
          </cell>
          <cell r="BE58">
            <v>-35516.89</v>
          </cell>
          <cell r="BF58">
            <v>-15641.6</v>
          </cell>
          <cell r="BG58">
            <v>-14819.91</v>
          </cell>
          <cell r="BH58">
            <v>-1136.69</v>
          </cell>
          <cell r="BI58">
            <v>-345.21</v>
          </cell>
          <cell r="BJ58">
            <v>-12038.11</v>
          </cell>
          <cell r="BK58">
            <v>-128743.62</v>
          </cell>
          <cell r="BL58">
            <v>-26477.17</v>
          </cell>
          <cell r="BM58">
            <v>-9626.27</v>
          </cell>
          <cell r="BN58">
            <v>-45638.94</v>
          </cell>
          <cell r="BO58">
            <v>-70292.31</v>
          </cell>
          <cell r="BP58">
            <v>-1356.15</v>
          </cell>
          <cell r="BQ58">
            <v>-10884.1</v>
          </cell>
          <cell r="BR58">
            <v>-28009.27</v>
          </cell>
          <cell r="BS58">
            <v>-352.43</v>
          </cell>
          <cell r="BT58">
            <v>-144427.99</v>
          </cell>
          <cell r="BU58">
            <v>-31241.32</v>
          </cell>
          <cell r="BV58">
            <v>-45168.62</v>
          </cell>
          <cell r="BW58">
            <v>-70161.33</v>
          </cell>
          <cell r="BX58">
            <v>-88543.15</v>
          </cell>
          <cell r="BY58">
            <v>-149068.54999999999</v>
          </cell>
          <cell r="BZ58">
            <v>-119561.29</v>
          </cell>
          <cell r="CA58">
            <v>-129313.09</v>
          </cell>
          <cell r="CB58">
            <v>-131787.99</v>
          </cell>
          <cell r="CC58">
            <v>-161332.46</v>
          </cell>
          <cell r="CD58">
            <v>-132029.51999999999</v>
          </cell>
          <cell r="CE58">
            <v>-109928.41</v>
          </cell>
          <cell r="CF58">
            <v>-104268.86</v>
          </cell>
          <cell r="CG58">
            <v>-119698.18</v>
          </cell>
          <cell r="CH58">
            <v>-130293.01</v>
          </cell>
          <cell r="CI58">
            <v>-39545.58</v>
          </cell>
          <cell r="CJ58">
            <v>-367436.11</v>
          </cell>
          <cell r="CK58">
            <v>-506615.34</v>
          </cell>
          <cell r="CL58">
            <v>-489984.36</v>
          </cell>
          <cell r="CM58">
            <v>-425273.78</v>
          </cell>
          <cell r="CN58">
            <v>-309068.88</v>
          </cell>
          <cell r="CO58">
            <v>-361411.72</v>
          </cell>
          <cell r="CP58">
            <v>-296723.52</v>
          </cell>
          <cell r="CQ58">
            <v>-328492.40999999997</v>
          </cell>
          <cell r="CR58">
            <v>-466885.97</v>
          </cell>
          <cell r="CS58">
            <v>-397354.72</v>
          </cell>
          <cell r="CT58">
            <v>-255304.72</v>
          </cell>
          <cell r="CU58">
            <v>-359323.55</v>
          </cell>
          <cell r="CV58">
            <v>-683115.55</v>
          </cell>
          <cell r="CW58">
            <v>90677.69</v>
          </cell>
          <cell r="CX58">
            <v>-405140.04</v>
          </cell>
          <cell r="CY58">
            <v>-464569.98</v>
          </cell>
          <cell r="CZ58">
            <v>-373929.75</v>
          </cell>
          <cell r="DA58">
            <v>-1064698.1499999999</v>
          </cell>
          <cell r="DB58">
            <v>368143.61</v>
          </cell>
          <cell r="DC58">
            <v>-390083.52</v>
          </cell>
          <cell r="DD58">
            <v>-342207.94</v>
          </cell>
          <cell r="DE58">
            <v>-441535.64</v>
          </cell>
          <cell r="DF58">
            <v>-235959.33</v>
          </cell>
          <cell r="DG58">
            <v>-235237.85</v>
          </cell>
        </row>
        <row r="59">
          <cell r="A59">
            <v>4810060</v>
          </cell>
          <cell r="B59">
            <v>4810060</v>
          </cell>
          <cell r="C59" t="str">
            <v>Intrpt Small</v>
          </cell>
          <cell r="D59">
            <v>-3565.88</v>
          </cell>
          <cell r="E59">
            <v>-7376.13</v>
          </cell>
          <cell r="F59">
            <v>-4169.6499999999996</v>
          </cell>
          <cell r="G59">
            <v>-6643.39</v>
          </cell>
          <cell r="H59">
            <v>-304.7</v>
          </cell>
          <cell r="I59">
            <v>0</v>
          </cell>
          <cell r="J59">
            <v>-4081.91</v>
          </cell>
          <cell r="K59">
            <v>0</v>
          </cell>
          <cell r="L59">
            <v>-6048.42</v>
          </cell>
          <cell r="M59">
            <v>-300</v>
          </cell>
          <cell r="N59">
            <v>-113.03</v>
          </cell>
          <cell r="O59">
            <v>-8802.81</v>
          </cell>
          <cell r="P59">
            <v>-1498.17</v>
          </cell>
          <cell r="Q59">
            <v>-2430.37</v>
          </cell>
          <cell r="R59">
            <v>-12239.28</v>
          </cell>
          <cell r="S59">
            <v>-3180.92</v>
          </cell>
          <cell r="T59">
            <v>-2573.15</v>
          </cell>
          <cell r="U59">
            <v>-466.98</v>
          </cell>
          <cell r="V59">
            <v>-6667.96</v>
          </cell>
          <cell r="W59">
            <v>-3629.1</v>
          </cell>
          <cell r="X59">
            <v>-1057.43</v>
          </cell>
          <cell r="Y59">
            <v>-300</v>
          </cell>
          <cell r="Z59">
            <v>-1167.18</v>
          </cell>
          <cell r="AA59">
            <v>-307.24</v>
          </cell>
          <cell r="AB59">
            <v>-1478.15</v>
          </cell>
          <cell r="AC59">
            <v>-9730.94</v>
          </cell>
          <cell r="AD59">
            <v>-2484.04</v>
          </cell>
          <cell r="AE59">
            <v>-2836.03</v>
          </cell>
          <cell r="AF59">
            <v>0</v>
          </cell>
          <cell r="AG59">
            <v>-2671.51</v>
          </cell>
          <cell r="AH59">
            <v>-9163.34</v>
          </cell>
          <cell r="AI59">
            <v>-18612.89</v>
          </cell>
          <cell r="AJ59">
            <v>-87.86</v>
          </cell>
          <cell r="AK59">
            <v>-3931.39</v>
          </cell>
          <cell r="AL59">
            <v>-8297.9</v>
          </cell>
          <cell r="AM59">
            <v>-6805.8</v>
          </cell>
          <cell r="AN59">
            <v>-7956.87</v>
          </cell>
          <cell r="AO59">
            <v>-3460.37</v>
          </cell>
          <cell r="AP59">
            <v>-4860.3500000000004</v>
          </cell>
          <cell r="AQ59">
            <v>-3657.85</v>
          </cell>
          <cell r="AR59">
            <v>-2373.5100000000002</v>
          </cell>
          <cell r="AS59">
            <v>-300</v>
          </cell>
          <cell r="AT59">
            <v>-1065.58</v>
          </cell>
          <cell r="AU59">
            <v>-2814.13</v>
          </cell>
          <cell r="AV59">
            <v>-1674.43</v>
          </cell>
          <cell r="AW59">
            <v>-14905.45</v>
          </cell>
          <cell r="AX59">
            <v>-6791.85</v>
          </cell>
          <cell r="AY59">
            <v>-3858.31</v>
          </cell>
          <cell r="AZ59">
            <v>-4556.78</v>
          </cell>
          <cell r="BA59">
            <v>-908.83</v>
          </cell>
          <cell r="BB59">
            <v>-304.43</v>
          </cell>
          <cell r="BC59">
            <v>-799.34</v>
          </cell>
          <cell r="BD59">
            <v>-1575.7</v>
          </cell>
          <cell r="BE59">
            <v>-318.01</v>
          </cell>
          <cell r="BF59">
            <v>-308.58</v>
          </cell>
          <cell r="BG59">
            <v>-36.340000000000003</v>
          </cell>
          <cell r="BH59">
            <v>0</v>
          </cell>
          <cell r="BI59">
            <v>-93.86</v>
          </cell>
          <cell r="BJ59">
            <v>-357.83</v>
          </cell>
          <cell r="BK59">
            <v>-14223.88</v>
          </cell>
          <cell r="BL59">
            <v>-633.22</v>
          </cell>
          <cell r="BM59">
            <v>-1422.89</v>
          </cell>
          <cell r="BN59">
            <v>0</v>
          </cell>
          <cell r="BO59">
            <v>-1025.94</v>
          </cell>
          <cell r="BP59">
            <v>0</v>
          </cell>
          <cell r="BQ59">
            <v>0</v>
          </cell>
          <cell r="BR59">
            <v>-437.35</v>
          </cell>
          <cell r="BS59">
            <v>0</v>
          </cell>
          <cell r="BT59">
            <v>0</v>
          </cell>
          <cell r="BU59">
            <v>0</v>
          </cell>
          <cell r="BV59">
            <v>0</v>
          </cell>
          <cell r="BW59">
            <v>-2302.5500000000002</v>
          </cell>
          <cell r="BX59">
            <v>0</v>
          </cell>
          <cell r="BY59">
            <v>0</v>
          </cell>
          <cell r="BZ59">
            <v>0</v>
          </cell>
          <cell r="CA59">
            <v>0</v>
          </cell>
          <cell r="CB59">
            <v>0</v>
          </cell>
          <cell r="CC59">
            <v>0</v>
          </cell>
          <cell r="CD59">
            <v>0</v>
          </cell>
          <cell r="CE59">
            <v>0</v>
          </cell>
          <cell r="CF59">
            <v>0</v>
          </cell>
          <cell r="CG59">
            <v>0</v>
          </cell>
          <cell r="CH59">
            <v>-3336.05</v>
          </cell>
          <cell r="CI59">
            <v>0</v>
          </cell>
          <cell r="CJ59">
            <v>-3083.7</v>
          </cell>
          <cell r="CK59">
            <v>0</v>
          </cell>
          <cell r="CL59">
            <v>0</v>
          </cell>
          <cell r="CM59">
            <v>0</v>
          </cell>
          <cell r="CN59">
            <v>-449.53</v>
          </cell>
          <cell r="CO59">
            <v>0</v>
          </cell>
          <cell r="CP59">
            <v>-157.44999999999999</v>
          </cell>
          <cell r="CQ59">
            <v>157.44999999999999</v>
          </cell>
          <cell r="CR59">
            <v>-2144.85</v>
          </cell>
          <cell r="CS59">
            <v>-4701.42</v>
          </cell>
          <cell r="CT59">
            <v>-456.73</v>
          </cell>
          <cell r="CU59">
            <v>-3535.43</v>
          </cell>
          <cell r="CV59">
            <v>0.05</v>
          </cell>
          <cell r="CW59">
            <v>-18655.099999999999</v>
          </cell>
          <cell r="CX59">
            <v>0</v>
          </cell>
          <cell r="CY59">
            <v>0</v>
          </cell>
          <cell r="CZ59">
            <v>-24057.22</v>
          </cell>
          <cell r="DA59">
            <v>0</v>
          </cell>
          <cell r="DB59">
            <v>0</v>
          </cell>
          <cell r="DC59">
            <v>-3097.61</v>
          </cell>
          <cell r="DD59">
            <v>0</v>
          </cell>
          <cell r="DE59">
            <v>-26000.55</v>
          </cell>
          <cell r="DF59">
            <v>0</v>
          </cell>
          <cell r="DG59">
            <v>0</v>
          </cell>
        </row>
        <row r="60">
          <cell r="A60">
            <v>4810061</v>
          </cell>
          <cell r="B60">
            <v>4810061</v>
          </cell>
          <cell r="C60" t="str">
            <v>Intrpt Small Fuel</v>
          </cell>
          <cell r="D60">
            <v>-40522.01</v>
          </cell>
          <cell r="E60">
            <v>-69973.929999999993</v>
          </cell>
          <cell r="F60">
            <v>-43225.49</v>
          </cell>
          <cell r="G60">
            <v>-56383.199999999997</v>
          </cell>
          <cell r="H60">
            <v>-53.45</v>
          </cell>
          <cell r="I60">
            <v>0</v>
          </cell>
          <cell r="J60">
            <v>-41098.65</v>
          </cell>
          <cell r="K60">
            <v>0</v>
          </cell>
          <cell r="L60">
            <v>-62760.35</v>
          </cell>
          <cell r="M60">
            <v>-3524.86</v>
          </cell>
          <cell r="N60">
            <v>-708.26</v>
          </cell>
          <cell r="O60">
            <v>-71054.59</v>
          </cell>
          <cell r="P60">
            <v>-14143.17</v>
          </cell>
          <cell r="Q60">
            <v>-24224.62</v>
          </cell>
          <cell r="R60">
            <v>-82533.81</v>
          </cell>
          <cell r="S60">
            <v>-30119.55</v>
          </cell>
          <cell r="T60">
            <v>-24487.59</v>
          </cell>
          <cell r="U60">
            <v>-1882.01</v>
          </cell>
          <cell r="V60">
            <v>-48851.18</v>
          </cell>
          <cell r="W60">
            <v>-32339.97</v>
          </cell>
          <cell r="X60">
            <v>-16800.37</v>
          </cell>
          <cell r="Y60">
            <v>0</v>
          </cell>
          <cell r="Z60">
            <v>-4249.54</v>
          </cell>
          <cell r="AA60">
            <v>-76.92</v>
          </cell>
          <cell r="AB60">
            <v>-14017.64</v>
          </cell>
          <cell r="AC60">
            <v>-65974.03</v>
          </cell>
          <cell r="AD60">
            <v>-28328.59</v>
          </cell>
          <cell r="AE60">
            <v>-31478.59</v>
          </cell>
          <cell r="AF60">
            <v>0</v>
          </cell>
          <cell r="AG60">
            <v>-79822.48</v>
          </cell>
          <cell r="AH60">
            <v>-93360.71</v>
          </cell>
          <cell r="AI60">
            <v>-99240.39</v>
          </cell>
          <cell r="AJ60">
            <v>-432.74</v>
          </cell>
          <cell r="AK60">
            <v>-40113.85</v>
          </cell>
          <cell r="AL60">
            <v>-76067.94</v>
          </cell>
          <cell r="AM60">
            <v>-34268.28</v>
          </cell>
          <cell r="AN60">
            <v>-70497.81</v>
          </cell>
          <cell r="AO60">
            <v>-132775.82</v>
          </cell>
          <cell r="AP60">
            <v>-32584.74</v>
          </cell>
          <cell r="AQ60">
            <v>-34609.300000000003</v>
          </cell>
          <cell r="AR60">
            <v>-22951.98</v>
          </cell>
          <cell r="AS60">
            <v>0</v>
          </cell>
          <cell r="AT60">
            <v>-8474.2800000000007</v>
          </cell>
          <cell r="AU60">
            <v>-29407.63</v>
          </cell>
          <cell r="AV60">
            <v>-16713.3</v>
          </cell>
          <cell r="AW60">
            <v>-2812.38</v>
          </cell>
          <cell r="AX60">
            <v>-58351.7</v>
          </cell>
          <cell r="AY60">
            <v>-31247.1</v>
          </cell>
          <cell r="AZ60">
            <v>-51036.959999999999</v>
          </cell>
          <cell r="BA60">
            <v>-9769.34</v>
          </cell>
          <cell r="BB60">
            <v>-56.11</v>
          </cell>
          <cell r="BC60">
            <v>-2551.98</v>
          </cell>
          <cell r="BD60">
            <v>-16136.51</v>
          </cell>
          <cell r="BE60">
            <v>-219.45</v>
          </cell>
          <cell r="BF60">
            <v>-104.55</v>
          </cell>
          <cell r="BG60">
            <v>-296.31</v>
          </cell>
          <cell r="BH60">
            <v>0</v>
          </cell>
          <cell r="BI60">
            <v>-599.42999999999995</v>
          </cell>
          <cell r="BJ60">
            <v>-2986.47</v>
          </cell>
          <cell r="BK60">
            <v>-104716.09</v>
          </cell>
          <cell r="BL60">
            <v>-5238.54</v>
          </cell>
          <cell r="BM60">
            <v>-9905.57</v>
          </cell>
          <cell r="BN60">
            <v>0</v>
          </cell>
          <cell r="BO60">
            <v>-7243.21</v>
          </cell>
          <cell r="BP60">
            <v>0</v>
          </cell>
          <cell r="BQ60">
            <v>0</v>
          </cell>
          <cell r="BR60">
            <v>-2630.6</v>
          </cell>
          <cell r="BS60">
            <v>0</v>
          </cell>
          <cell r="BT60">
            <v>0</v>
          </cell>
          <cell r="BU60">
            <v>0</v>
          </cell>
          <cell r="BV60">
            <v>0</v>
          </cell>
          <cell r="BW60">
            <v>-15055.62</v>
          </cell>
          <cell r="BX60">
            <v>0</v>
          </cell>
          <cell r="BY60">
            <v>0</v>
          </cell>
          <cell r="BZ60">
            <v>0</v>
          </cell>
          <cell r="CA60">
            <v>0</v>
          </cell>
          <cell r="CB60">
            <v>0</v>
          </cell>
          <cell r="CC60">
            <v>-0.02</v>
          </cell>
          <cell r="CD60">
            <v>0</v>
          </cell>
          <cell r="CE60">
            <v>0</v>
          </cell>
          <cell r="CF60">
            <v>0</v>
          </cell>
          <cell r="CG60">
            <v>0</v>
          </cell>
          <cell r="CH60">
            <v>-18808</v>
          </cell>
          <cell r="CI60">
            <v>0</v>
          </cell>
          <cell r="CJ60">
            <v>-19220.259999999998</v>
          </cell>
          <cell r="CK60">
            <v>0</v>
          </cell>
          <cell r="CL60">
            <v>0</v>
          </cell>
          <cell r="CM60">
            <v>0</v>
          </cell>
          <cell r="CN60">
            <v>-2174.3200000000002</v>
          </cell>
          <cell r="CO60">
            <v>0</v>
          </cell>
          <cell r="CP60">
            <v>-1194.78</v>
          </cell>
          <cell r="CQ60">
            <v>1194.78</v>
          </cell>
          <cell r="CR60">
            <v>-13395.81</v>
          </cell>
          <cell r="CS60">
            <v>-43093.33</v>
          </cell>
          <cell r="CT60">
            <v>-3888.07</v>
          </cell>
          <cell r="CU60">
            <v>-33660.43</v>
          </cell>
          <cell r="CV60">
            <v>0.33</v>
          </cell>
          <cell r="CW60">
            <v>-158226.07</v>
          </cell>
          <cell r="CX60">
            <v>0</v>
          </cell>
          <cell r="CY60">
            <v>0</v>
          </cell>
          <cell r="CZ60">
            <v>-176597.62</v>
          </cell>
          <cell r="DA60">
            <v>0</v>
          </cell>
          <cell r="DB60">
            <v>0</v>
          </cell>
          <cell r="DC60">
            <v>-50387.73</v>
          </cell>
          <cell r="DD60">
            <v>0</v>
          </cell>
          <cell r="DE60">
            <v>-295158.42</v>
          </cell>
          <cell r="DF60">
            <v>0</v>
          </cell>
          <cell r="DG60">
            <v>0</v>
          </cell>
        </row>
        <row r="61">
          <cell r="A61">
            <v>4810070</v>
          </cell>
          <cell r="B61">
            <v>4810070</v>
          </cell>
          <cell r="C61" t="str">
            <v>Intrpt Lg Vol 1</v>
          </cell>
          <cell r="D61">
            <v>0</v>
          </cell>
          <cell r="E61">
            <v>0</v>
          </cell>
          <cell r="F61">
            <v>-179.43</v>
          </cell>
          <cell r="G61">
            <v>-872.06</v>
          </cell>
          <cell r="H61">
            <v>-2714.57</v>
          </cell>
          <cell r="I61">
            <v>0</v>
          </cell>
          <cell r="J61">
            <v>-386.85</v>
          </cell>
          <cell r="K61">
            <v>-2495.41</v>
          </cell>
          <cell r="L61">
            <v>0</v>
          </cell>
          <cell r="M61">
            <v>-3764.32</v>
          </cell>
          <cell r="N61">
            <v>-250.39</v>
          </cell>
          <cell r="O61">
            <v>-8166.58</v>
          </cell>
          <cell r="P61">
            <v>0</v>
          </cell>
          <cell r="Q61">
            <v>0</v>
          </cell>
          <cell r="R61">
            <v>-5046.88</v>
          </cell>
          <cell r="S61">
            <v>5046.88</v>
          </cell>
          <cell r="T61">
            <v>0</v>
          </cell>
          <cell r="U61">
            <v>-3066.06</v>
          </cell>
          <cell r="V61">
            <v>-119.83</v>
          </cell>
          <cell r="W61">
            <v>0</v>
          </cell>
          <cell r="X61">
            <v>0</v>
          </cell>
          <cell r="Y61">
            <v>-2689.08</v>
          </cell>
          <cell r="Z61">
            <v>0</v>
          </cell>
          <cell r="AA61">
            <v>-1135.8599999999999</v>
          </cell>
          <cell r="AB61">
            <v>-51</v>
          </cell>
          <cell r="AC61">
            <v>0</v>
          </cell>
          <cell r="AD61">
            <v>-77.040000000000006</v>
          </cell>
          <cell r="AE61">
            <v>-1484.3</v>
          </cell>
          <cell r="AF61">
            <v>-347.14</v>
          </cell>
          <cell r="AG61">
            <v>-6376.31</v>
          </cell>
          <cell r="AH61">
            <v>-673.67</v>
          </cell>
          <cell r="AI61">
            <v>-5438.06</v>
          </cell>
          <cell r="AJ61">
            <v>0</v>
          </cell>
          <cell r="AK61">
            <v>-3677.17</v>
          </cell>
          <cell r="AL61">
            <v>-990.64</v>
          </cell>
          <cell r="AM61">
            <v>-8120.17</v>
          </cell>
          <cell r="AN61">
            <v>0</v>
          </cell>
          <cell r="AO61">
            <v>-7444.03</v>
          </cell>
          <cell r="AP61">
            <v>-331.12</v>
          </cell>
          <cell r="AQ61">
            <v>-4711.2700000000004</v>
          </cell>
          <cell r="AR61">
            <v>-649.04</v>
          </cell>
          <cell r="AS61">
            <v>-1031.83</v>
          </cell>
          <cell r="AT61">
            <v>-1709.06</v>
          </cell>
          <cell r="AU61">
            <v>-227.63</v>
          </cell>
          <cell r="AV61">
            <v>-1098.0999999999999</v>
          </cell>
          <cell r="AW61">
            <v>4154.5200000000004</v>
          </cell>
          <cell r="AX61">
            <v>-2056.19</v>
          </cell>
          <cell r="AY61">
            <v>-7217.55</v>
          </cell>
          <cell r="AZ61">
            <v>-11655.37</v>
          </cell>
          <cell r="BA61">
            <v>-1677.72</v>
          </cell>
          <cell r="BB61">
            <v>-537.29999999999995</v>
          </cell>
          <cell r="BC61">
            <v>-4793.24</v>
          </cell>
          <cell r="BD61">
            <v>-5931.54</v>
          </cell>
          <cell r="BE61">
            <v>0</v>
          </cell>
          <cell r="BF61">
            <v>0</v>
          </cell>
          <cell r="BG61">
            <v>-1482.3</v>
          </cell>
          <cell r="BH61">
            <v>-3464.92</v>
          </cell>
          <cell r="BI61">
            <v>-4844.83</v>
          </cell>
          <cell r="BJ61">
            <v>-11042.32</v>
          </cell>
          <cell r="BK61">
            <v>-580.37</v>
          </cell>
          <cell r="BL61">
            <v>-2700.66</v>
          </cell>
          <cell r="BM61">
            <v>0</v>
          </cell>
          <cell r="BN61">
            <v>-246.66</v>
          </cell>
          <cell r="BO61">
            <v>449.67</v>
          </cell>
          <cell r="BP61">
            <v>-846.91</v>
          </cell>
          <cell r="BQ61">
            <v>-1087.94</v>
          </cell>
          <cell r="BR61">
            <v>0</v>
          </cell>
          <cell r="BS61">
            <v>-228.35</v>
          </cell>
          <cell r="BT61">
            <v>0</v>
          </cell>
          <cell r="BU61">
            <v>0</v>
          </cell>
          <cell r="BV61">
            <v>-443.01</v>
          </cell>
          <cell r="BW61">
            <v>-1942.57</v>
          </cell>
          <cell r="BX61">
            <v>-0.2</v>
          </cell>
          <cell r="BY61">
            <v>-7088.86</v>
          </cell>
          <cell r="BZ61">
            <v>-12632.28</v>
          </cell>
          <cell r="CA61">
            <v>0</v>
          </cell>
          <cell r="CB61">
            <v>0</v>
          </cell>
          <cell r="CC61">
            <v>0</v>
          </cell>
          <cell r="CD61">
            <v>-2003.92</v>
          </cell>
          <cell r="CE61">
            <v>0</v>
          </cell>
          <cell r="CF61">
            <v>-870.92</v>
          </cell>
          <cell r="CG61">
            <v>-764.29</v>
          </cell>
          <cell r="CH61">
            <v>-305</v>
          </cell>
          <cell r="CI61">
            <v>-21.72</v>
          </cell>
          <cell r="CJ61">
            <v>-13469.96</v>
          </cell>
          <cell r="CK61">
            <v>-4555.75</v>
          </cell>
          <cell r="CL61">
            <v>-0.13</v>
          </cell>
          <cell r="CM61">
            <v>0</v>
          </cell>
          <cell r="CN61">
            <v>-1054.5</v>
          </cell>
          <cell r="CO61">
            <v>-1477.51</v>
          </cell>
          <cell r="CP61">
            <v>-1763.71</v>
          </cell>
          <cell r="CQ61">
            <v>-234.36</v>
          </cell>
          <cell r="CR61">
            <v>-7253.03</v>
          </cell>
          <cell r="CS61">
            <v>-5210.3100000000004</v>
          </cell>
          <cell r="CT61">
            <v>-8568.68</v>
          </cell>
          <cell r="CU61">
            <v>-3011.88</v>
          </cell>
          <cell r="CV61">
            <v>-2084.42</v>
          </cell>
          <cell r="CW61">
            <v>-4483.2700000000004</v>
          </cell>
          <cell r="CX61">
            <v>-5855.55</v>
          </cell>
          <cell r="CY61">
            <v>0</v>
          </cell>
          <cell r="CZ61">
            <v>-2827.68</v>
          </cell>
          <cell r="DA61">
            <v>0</v>
          </cell>
          <cell r="DB61">
            <v>-6130.88</v>
          </cell>
          <cell r="DC61">
            <v>-198.17</v>
          </cell>
          <cell r="DD61">
            <v>-208.26</v>
          </cell>
          <cell r="DE61">
            <v>0</v>
          </cell>
          <cell r="DF61">
            <v>-1310.3499999999999</v>
          </cell>
          <cell r="DG61">
            <v>-4680.62</v>
          </cell>
        </row>
        <row r="62">
          <cell r="A62">
            <v>4810071</v>
          </cell>
          <cell r="B62">
            <v>4810071</v>
          </cell>
          <cell r="C62" t="str">
            <v>Intrpt Lg Vol 1 Fuel</v>
          </cell>
          <cell r="D62">
            <v>0</v>
          </cell>
          <cell r="E62">
            <v>0</v>
          </cell>
          <cell r="F62">
            <v>-3471.48</v>
          </cell>
          <cell r="G62">
            <v>-13965.47</v>
          </cell>
          <cell r="H62">
            <v>-41269.629999999997</v>
          </cell>
          <cell r="I62">
            <v>6088.25</v>
          </cell>
          <cell r="J62">
            <v>-5931.58</v>
          </cell>
          <cell r="K62">
            <v>-34382.25</v>
          </cell>
          <cell r="L62">
            <v>-17285.27</v>
          </cell>
          <cell r="M62">
            <v>-33965.72</v>
          </cell>
          <cell r="N62">
            <v>-3245.42</v>
          </cell>
          <cell r="O62">
            <v>-113221.29</v>
          </cell>
          <cell r="P62">
            <v>0</v>
          </cell>
          <cell r="Q62">
            <v>0</v>
          </cell>
          <cell r="R62">
            <v>0</v>
          </cell>
          <cell r="S62">
            <v>0</v>
          </cell>
          <cell r="T62">
            <v>0</v>
          </cell>
          <cell r="U62">
            <v>-32618.71</v>
          </cell>
          <cell r="V62">
            <v>-1227.99</v>
          </cell>
          <cell r="W62">
            <v>0</v>
          </cell>
          <cell r="X62">
            <v>0</v>
          </cell>
          <cell r="Y62">
            <v>-26131.65</v>
          </cell>
          <cell r="Z62">
            <v>0</v>
          </cell>
          <cell r="AA62">
            <v>-8931.91</v>
          </cell>
          <cell r="AB62">
            <v>-432.91</v>
          </cell>
          <cell r="AC62">
            <v>0</v>
          </cell>
          <cell r="AD62">
            <v>-604.49</v>
          </cell>
          <cell r="AE62">
            <v>-10316.719999999999</v>
          </cell>
          <cell r="AF62">
            <v>-2523.91</v>
          </cell>
          <cell r="AG62">
            <v>0</v>
          </cell>
          <cell r="AH62">
            <v>-2437.6</v>
          </cell>
          <cell r="AI62">
            <v>-61228.78</v>
          </cell>
          <cell r="AJ62">
            <v>0</v>
          </cell>
          <cell r="AK62">
            <v>-42694.79</v>
          </cell>
          <cell r="AL62">
            <v>0</v>
          </cell>
          <cell r="AM62">
            <v>-69406.19</v>
          </cell>
          <cell r="AN62">
            <v>0</v>
          </cell>
          <cell r="AO62">
            <v>-7143.27</v>
          </cell>
          <cell r="AP62">
            <v>-4007.77</v>
          </cell>
          <cell r="AQ62">
            <v>-63835.86</v>
          </cell>
          <cell r="AR62">
            <v>-8472.49</v>
          </cell>
          <cell r="AS62">
            <v>-13723.54</v>
          </cell>
          <cell r="AT62">
            <v>-22484.560000000001</v>
          </cell>
          <cell r="AU62">
            <v>-2932.82</v>
          </cell>
          <cell r="AV62">
            <v>-13813.57</v>
          </cell>
          <cell r="AW62">
            <v>-38440.230000000003</v>
          </cell>
          <cell r="AX62">
            <v>-27104.69</v>
          </cell>
          <cell r="AY62">
            <v>-97993.63</v>
          </cell>
          <cell r="AZ62">
            <v>-151996.53</v>
          </cell>
          <cell r="BA62">
            <v>-27649.24</v>
          </cell>
          <cell r="BB62">
            <v>-7783.33</v>
          </cell>
          <cell r="BC62">
            <v>-64969.62</v>
          </cell>
          <cell r="BD62">
            <v>-77277.960000000006</v>
          </cell>
          <cell r="BE62">
            <v>0</v>
          </cell>
          <cell r="BF62">
            <v>0</v>
          </cell>
          <cell r="BG62">
            <v>-19658.169999999998</v>
          </cell>
          <cell r="BH62">
            <v>-46377.01</v>
          </cell>
          <cell r="BI62">
            <v>-64469.05</v>
          </cell>
          <cell r="BJ62">
            <v>-166704.07999999999</v>
          </cell>
          <cell r="BK62">
            <v>-9536.83</v>
          </cell>
          <cell r="BL62">
            <v>-47954.46</v>
          </cell>
          <cell r="BM62">
            <v>0</v>
          </cell>
          <cell r="BN62">
            <v>-3081.29</v>
          </cell>
          <cell r="BO62">
            <v>-6065.5</v>
          </cell>
          <cell r="BP62">
            <v>-23838.42</v>
          </cell>
          <cell r="BQ62">
            <v>10425.370000000001</v>
          </cell>
          <cell r="BR62">
            <v>0</v>
          </cell>
          <cell r="BS62">
            <v>-1819.32</v>
          </cell>
          <cell r="BT62">
            <v>-803.29</v>
          </cell>
          <cell r="BU62">
            <v>0</v>
          </cell>
          <cell r="BV62">
            <v>-5133.91</v>
          </cell>
          <cell r="BW62">
            <v>-24327.55</v>
          </cell>
          <cell r="BX62">
            <v>0</v>
          </cell>
          <cell r="BY62">
            <v>-79051.039999999994</v>
          </cell>
          <cell r="BZ62">
            <v>-136633.73000000001</v>
          </cell>
          <cell r="CA62">
            <v>0</v>
          </cell>
          <cell r="CB62">
            <v>0</v>
          </cell>
          <cell r="CC62">
            <v>0</v>
          </cell>
          <cell r="CD62">
            <v>-18273.189999999999</v>
          </cell>
          <cell r="CE62">
            <v>0</v>
          </cell>
          <cell r="CF62">
            <v>-9709.17</v>
          </cell>
          <cell r="CG62">
            <v>-8520.4699999999993</v>
          </cell>
          <cell r="CH62">
            <v>-3316.11</v>
          </cell>
          <cell r="CI62">
            <v>-236.16</v>
          </cell>
          <cell r="CJ62">
            <v>-204143.41</v>
          </cell>
          <cell r="CK62">
            <v>-44954.52</v>
          </cell>
          <cell r="CL62">
            <v>-4.2699999999999996</v>
          </cell>
          <cell r="CM62">
            <v>0</v>
          </cell>
          <cell r="CN62">
            <v>-9875.9</v>
          </cell>
          <cell r="CO62">
            <v>-13793.61</v>
          </cell>
          <cell r="CP62">
            <v>-18697.57</v>
          </cell>
          <cell r="CQ62">
            <v>-2862.56</v>
          </cell>
          <cell r="CR62">
            <v>-98615.84</v>
          </cell>
          <cell r="CS62">
            <v>-75999.81</v>
          </cell>
          <cell r="CT62">
            <v>-149584.63</v>
          </cell>
          <cell r="CU62">
            <v>-45090.05</v>
          </cell>
          <cell r="CV62">
            <v>-26125.07</v>
          </cell>
          <cell r="CW62">
            <v>-66236.47</v>
          </cell>
          <cell r="CX62">
            <v>-95623.9</v>
          </cell>
          <cell r="CY62">
            <v>0</v>
          </cell>
          <cell r="CZ62">
            <v>-56213.25</v>
          </cell>
          <cell r="DA62">
            <v>41.68</v>
          </cell>
          <cell r="DB62">
            <v>-157792.01</v>
          </cell>
          <cell r="DC62">
            <v>-6172.41</v>
          </cell>
          <cell r="DD62">
            <v>-5507.2</v>
          </cell>
          <cell r="DE62">
            <v>0</v>
          </cell>
          <cell r="DF62">
            <v>-22139.82</v>
          </cell>
          <cell r="DG62">
            <v>-146425.10999999999</v>
          </cell>
        </row>
        <row r="63">
          <cell r="A63">
            <v>4810080</v>
          </cell>
          <cell r="B63">
            <v>4810080</v>
          </cell>
          <cell r="C63" t="str">
            <v>Intrpt Lg Vol 2</v>
          </cell>
          <cell r="D63">
            <v>-895.72</v>
          </cell>
          <cell r="E63">
            <v>0</v>
          </cell>
          <cell r="F63">
            <v>-304.75</v>
          </cell>
          <cell r="G63">
            <v>0</v>
          </cell>
          <cell r="H63">
            <v>-1088.24</v>
          </cell>
          <cell r="I63">
            <v>0</v>
          </cell>
          <cell r="J63">
            <v>-585.04999999999995</v>
          </cell>
          <cell r="K63">
            <v>0</v>
          </cell>
          <cell r="L63">
            <v>0</v>
          </cell>
          <cell r="M63">
            <v>-57.19</v>
          </cell>
          <cell r="N63">
            <v>0</v>
          </cell>
          <cell r="O63">
            <v>0</v>
          </cell>
          <cell r="P63">
            <v>0</v>
          </cell>
          <cell r="Q63">
            <v>0</v>
          </cell>
          <cell r="R63">
            <v>-175.93</v>
          </cell>
          <cell r="S63">
            <v>-1168.42</v>
          </cell>
          <cell r="T63">
            <v>0</v>
          </cell>
          <cell r="U63">
            <v>0</v>
          </cell>
          <cell r="V63">
            <v>-2357.4699999999998</v>
          </cell>
          <cell r="W63">
            <v>0</v>
          </cell>
          <cell r="X63">
            <v>-232.82</v>
          </cell>
          <cell r="Y63">
            <v>-1063.1300000000001</v>
          </cell>
          <cell r="Z63">
            <v>0</v>
          </cell>
          <cell r="AA63">
            <v>-392.44</v>
          </cell>
          <cell r="AB63">
            <v>-538.05999999999995</v>
          </cell>
          <cell r="AC63">
            <v>-2660.61</v>
          </cell>
          <cell r="AD63">
            <v>-1511.43</v>
          </cell>
          <cell r="AE63">
            <v>-18.23</v>
          </cell>
          <cell r="AF63">
            <v>0</v>
          </cell>
          <cell r="AG63">
            <v>0</v>
          </cell>
          <cell r="AH63">
            <v>0</v>
          </cell>
          <cell r="AI63">
            <v>0</v>
          </cell>
          <cell r="AJ63">
            <v>0</v>
          </cell>
          <cell r="AK63">
            <v>-49.45</v>
          </cell>
          <cell r="AL63">
            <v>0</v>
          </cell>
          <cell r="AM63">
            <v>0</v>
          </cell>
          <cell r="AN63">
            <v>-138.05000000000001</v>
          </cell>
          <cell r="AO63">
            <v>0</v>
          </cell>
          <cell r="AP63">
            <v>0</v>
          </cell>
          <cell r="AQ63">
            <v>0</v>
          </cell>
          <cell r="AR63">
            <v>0</v>
          </cell>
          <cell r="AS63">
            <v>0</v>
          </cell>
          <cell r="AT63">
            <v>0</v>
          </cell>
          <cell r="AU63">
            <v>-2387.61</v>
          </cell>
          <cell r="AV63">
            <v>-890.39</v>
          </cell>
          <cell r="AW63">
            <v>2387.61</v>
          </cell>
          <cell r="AX63">
            <v>-1980.84</v>
          </cell>
          <cell r="AY63">
            <v>1980.84</v>
          </cell>
          <cell r="AZ63">
            <v>0</v>
          </cell>
          <cell r="BA63">
            <v>-120.91</v>
          </cell>
          <cell r="BB63">
            <v>0</v>
          </cell>
          <cell r="BC63">
            <v>0</v>
          </cell>
          <cell r="BD63">
            <v>0</v>
          </cell>
          <cell r="BE63">
            <v>0</v>
          </cell>
          <cell r="BF63">
            <v>0</v>
          </cell>
          <cell r="BG63">
            <v>0</v>
          </cell>
          <cell r="BH63">
            <v>0</v>
          </cell>
          <cell r="BI63">
            <v>0</v>
          </cell>
          <cell r="BJ63">
            <v>-465.16</v>
          </cell>
          <cell r="BK63">
            <v>-216.06</v>
          </cell>
          <cell r="BL63">
            <v>0</v>
          </cell>
          <cell r="BM63">
            <v>0</v>
          </cell>
          <cell r="BN63">
            <v>0</v>
          </cell>
          <cell r="BO63">
            <v>0</v>
          </cell>
          <cell r="BP63">
            <v>0</v>
          </cell>
          <cell r="BQ63">
            <v>0</v>
          </cell>
          <cell r="BR63">
            <v>0</v>
          </cell>
          <cell r="BS63">
            <v>0</v>
          </cell>
          <cell r="BT63">
            <v>0</v>
          </cell>
          <cell r="BU63"/>
          <cell r="BV63"/>
          <cell r="BW63"/>
          <cell r="BX63"/>
          <cell r="BY63"/>
          <cell r="BZ63"/>
          <cell r="CA63"/>
          <cell r="CB63"/>
          <cell r="CC63"/>
          <cell r="CD63"/>
          <cell r="CE63"/>
          <cell r="CF63"/>
          <cell r="CG63"/>
          <cell r="CH63"/>
          <cell r="CI63"/>
          <cell r="CJ63"/>
          <cell r="CK63"/>
          <cell r="CL63"/>
          <cell r="CM63"/>
          <cell r="CN63"/>
          <cell r="CO63"/>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row>
        <row r="64">
          <cell r="A64">
            <v>4810081</v>
          </cell>
          <cell r="B64">
            <v>4810081</v>
          </cell>
          <cell r="C64" t="str">
            <v>Intrpt Lg Vol 2 Fuel</v>
          </cell>
          <cell r="D64">
            <v>10022.32</v>
          </cell>
          <cell r="E64">
            <v>55000</v>
          </cell>
          <cell r="F64">
            <v>34407.19</v>
          </cell>
          <cell r="G64">
            <v>55000</v>
          </cell>
          <cell r="H64">
            <v>-2785.72</v>
          </cell>
          <cell r="I64">
            <v>55000</v>
          </cell>
          <cell r="J64">
            <v>23668.45</v>
          </cell>
          <cell r="K64">
            <v>55000</v>
          </cell>
          <cell r="L64">
            <v>55000</v>
          </cell>
          <cell r="M64">
            <v>52378.55</v>
          </cell>
          <cell r="N64">
            <v>55000</v>
          </cell>
          <cell r="O64">
            <v>55000</v>
          </cell>
          <cell r="P64">
            <v>55000</v>
          </cell>
          <cell r="Q64">
            <v>55000</v>
          </cell>
          <cell r="R64">
            <v>48416.23</v>
          </cell>
          <cell r="S64">
            <v>14477.73</v>
          </cell>
          <cell r="T64">
            <v>55000</v>
          </cell>
          <cell r="U64">
            <v>55000</v>
          </cell>
          <cell r="V64">
            <v>-36415.94</v>
          </cell>
          <cell r="W64">
            <v>55000</v>
          </cell>
          <cell r="X64">
            <v>46608.4</v>
          </cell>
          <cell r="Y64">
            <v>18915.669999999998</v>
          </cell>
          <cell r="Z64">
            <v>55000</v>
          </cell>
          <cell r="AA64">
            <v>44221.43</v>
          </cell>
          <cell r="AB64">
            <v>39047.69</v>
          </cell>
          <cell r="AC64">
            <v>-30037.759999999998</v>
          </cell>
          <cell r="AD64">
            <v>13576.61</v>
          </cell>
          <cell r="AE64">
            <v>54557.46</v>
          </cell>
          <cell r="AF64">
            <v>55000</v>
          </cell>
          <cell r="AG64">
            <v>55000</v>
          </cell>
          <cell r="AH64">
            <v>55000</v>
          </cell>
          <cell r="AI64">
            <v>55000</v>
          </cell>
          <cell r="AJ64">
            <v>55000</v>
          </cell>
          <cell r="AK64">
            <v>53147.75</v>
          </cell>
          <cell r="AL64">
            <v>55000</v>
          </cell>
          <cell r="AM64">
            <v>55000</v>
          </cell>
          <cell r="AN64">
            <v>3085.86</v>
          </cell>
          <cell r="AO64">
            <v>16914.14</v>
          </cell>
          <cell r="AP64">
            <v>10000</v>
          </cell>
          <cell r="AQ64">
            <v>10000</v>
          </cell>
          <cell r="AR64">
            <v>10000</v>
          </cell>
          <cell r="AS64">
            <v>10000</v>
          </cell>
          <cell r="AT64">
            <v>10000</v>
          </cell>
          <cell r="AU64">
            <v>10000</v>
          </cell>
          <cell r="AV64">
            <v>10000</v>
          </cell>
          <cell r="AW64">
            <v>10000</v>
          </cell>
          <cell r="AX64">
            <v>10000</v>
          </cell>
          <cell r="AY64">
            <v>10000</v>
          </cell>
          <cell r="AZ64">
            <v>10000</v>
          </cell>
          <cell r="BA64">
            <v>1946.82</v>
          </cell>
          <cell r="BB64">
            <v>10000</v>
          </cell>
          <cell r="BC64">
            <v>10000</v>
          </cell>
          <cell r="BD64">
            <v>10000</v>
          </cell>
          <cell r="BE64">
            <v>10000</v>
          </cell>
          <cell r="BF64">
            <v>10000</v>
          </cell>
          <cell r="BG64">
            <v>10000</v>
          </cell>
          <cell r="BH64">
            <v>10000</v>
          </cell>
          <cell r="BI64">
            <v>10000</v>
          </cell>
          <cell r="BJ64">
            <v>-12446.53</v>
          </cell>
          <cell r="BK64">
            <v>-2443.84</v>
          </cell>
          <cell r="BL64">
            <v>10000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cell r="CH64"/>
          <cell r="CI64"/>
          <cell r="CJ64"/>
          <cell r="CK64"/>
          <cell r="CL64"/>
          <cell r="CM64"/>
          <cell r="CN64"/>
          <cell r="CO64"/>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row>
        <row r="65">
          <cell r="A65">
            <v>4810090</v>
          </cell>
          <cell r="B65">
            <v>4810090</v>
          </cell>
          <cell r="C65" t="str">
            <v>Interruptible Contract Service</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v>0</v>
          </cell>
          <cell r="AF65">
            <v>0</v>
          </cell>
          <cell r="AG65">
            <v>0</v>
          </cell>
          <cell r="AH65">
            <v>0</v>
          </cell>
          <cell r="AI65">
            <v>0</v>
          </cell>
          <cell r="AJ65">
            <v>0</v>
          </cell>
          <cell r="AK65"/>
          <cell r="AL65"/>
          <cell r="AM65"/>
          <cell r="AN65"/>
          <cell r="AO65"/>
          <cell r="AP65"/>
          <cell r="AQ65"/>
          <cell r="AR65"/>
          <cell r="AS65"/>
          <cell r="AT65">
            <v>0</v>
          </cell>
          <cell r="AU65">
            <v>-478.65</v>
          </cell>
          <cell r="AV65">
            <v>0</v>
          </cell>
          <cell r="AW65">
            <v>-1519.7</v>
          </cell>
          <cell r="AX65">
            <v>0</v>
          </cell>
          <cell r="AY65">
            <v>-2824.45</v>
          </cell>
          <cell r="AZ65">
            <v>0</v>
          </cell>
          <cell r="BA65">
            <v>0</v>
          </cell>
          <cell r="BB65">
            <v>0</v>
          </cell>
          <cell r="BC65">
            <v>0</v>
          </cell>
          <cell r="BD65">
            <v>0</v>
          </cell>
          <cell r="BE65">
            <v>0</v>
          </cell>
          <cell r="BF65">
            <v>-574.19000000000005</v>
          </cell>
          <cell r="BG65">
            <v>0</v>
          </cell>
          <cell r="BH65">
            <v>0</v>
          </cell>
          <cell r="BI65">
            <v>-242.03</v>
          </cell>
          <cell r="BJ65">
            <v>0</v>
          </cell>
          <cell r="BK65">
            <v>-6257.7</v>
          </cell>
          <cell r="BL65">
            <v>-2118.4899999999998</v>
          </cell>
          <cell r="BM65">
            <v>-93.82</v>
          </cell>
          <cell r="BN65">
            <v>-3854.33</v>
          </cell>
          <cell r="BO65">
            <v>-2634.32</v>
          </cell>
          <cell r="BP65">
            <v>0</v>
          </cell>
          <cell r="BQ65">
            <v>-386.95</v>
          </cell>
          <cell r="BR65">
            <v>-1.94</v>
          </cell>
          <cell r="BS65">
            <v>-42464.1</v>
          </cell>
          <cell r="BT65">
            <v>-8818.6299999999992</v>
          </cell>
          <cell r="BU65">
            <v>23801.759999999998</v>
          </cell>
          <cell r="BV65">
            <v>-2346.81</v>
          </cell>
          <cell r="BW65">
            <v>-1049.69</v>
          </cell>
          <cell r="BX65">
            <v>-381.94</v>
          </cell>
          <cell r="BY65">
            <v>-19000.39</v>
          </cell>
          <cell r="BZ65">
            <v>-895.75</v>
          </cell>
          <cell r="CA65">
            <v>0</v>
          </cell>
          <cell r="CB65">
            <v>-112.97</v>
          </cell>
          <cell r="CC65">
            <v>-84.55</v>
          </cell>
          <cell r="CD65">
            <v>-27299.07</v>
          </cell>
          <cell r="CE65">
            <v>-1416.84</v>
          </cell>
          <cell r="CF65">
            <v>-2438.7800000000002</v>
          </cell>
          <cell r="CG65">
            <v>-748.78</v>
          </cell>
          <cell r="CH65">
            <v>-197.7</v>
          </cell>
          <cell r="CI65">
            <v>-1987.7</v>
          </cell>
          <cell r="CJ65">
            <v>-13695.05</v>
          </cell>
          <cell r="CK65">
            <v>0</v>
          </cell>
          <cell r="CL65">
            <v>0</v>
          </cell>
          <cell r="CM65">
            <v>0</v>
          </cell>
          <cell r="CN65">
            <v>0</v>
          </cell>
          <cell r="CO65">
            <v>-486.59</v>
          </cell>
          <cell r="CP65">
            <v>0</v>
          </cell>
          <cell r="CQ65">
            <v>0</v>
          </cell>
          <cell r="CR65">
            <v>0</v>
          </cell>
          <cell r="CS65">
            <v>-1448.13</v>
          </cell>
          <cell r="CT65">
            <v>-907.54</v>
          </cell>
          <cell r="CU65">
            <v>-230.08</v>
          </cell>
          <cell r="CV65">
            <v>0.11</v>
          </cell>
          <cell r="CW65">
            <v>-320.47000000000003</v>
          </cell>
          <cell r="CX65">
            <v>-2209.8200000000002</v>
          </cell>
          <cell r="CY65">
            <v>0</v>
          </cell>
          <cell r="CZ65">
            <v>-147.27000000000001</v>
          </cell>
          <cell r="DA65">
            <v>0</v>
          </cell>
          <cell r="DB65">
            <v>-312.41000000000003</v>
          </cell>
          <cell r="DC65">
            <v>0</v>
          </cell>
          <cell r="DD65">
            <v>-89.37</v>
          </cell>
          <cell r="DE65">
            <v>0</v>
          </cell>
          <cell r="DF65">
            <v>-2585.63</v>
          </cell>
          <cell r="DG65">
            <v>0</v>
          </cell>
        </row>
        <row r="66">
          <cell r="A66">
            <v>4810091</v>
          </cell>
          <cell r="B66">
            <v>4810091</v>
          </cell>
          <cell r="C66" t="str">
            <v>Intrpt Con Svc Fuel</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v>53786.91</v>
          </cell>
          <cell r="AO66">
            <v>103333.35</v>
          </cell>
          <cell r="AP66">
            <v>103333.34</v>
          </cell>
          <cell r="AQ66">
            <v>100313.86</v>
          </cell>
          <cell r="AR66">
            <v>103333.34</v>
          </cell>
          <cell r="AS66">
            <v>103333.34</v>
          </cell>
          <cell r="AT66">
            <v>103333.34</v>
          </cell>
          <cell r="AU66">
            <v>-12228.4</v>
          </cell>
          <cell r="AV66">
            <v>64212.04</v>
          </cell>
          <cell r="AW66">
            <v>144999.64000000001</v>
          </cell>
          <cell r="AX66">
            <v>17849.91</v>
          </cell>
          <cell r="AY66">
            <v>65703.19</v>
          </cell>
          <cell r="AZ66">
            <v>103333.34</v>
          </cell>
          <cell r="BA66">
            <v>103333.34</v>
          </cell>
          <cell r="BB66">
            <v>103333.34</v>
          </cell>
          <cell r="BC66">
            <v>103333.34</v>
          </cell>
          <cell r="BD66">
            <v>103333.34</v>
          </cell>
          <cell r="BE66">
            <v>103333.34</v>
          </cell>
          <cell r="BF66">
            <v>77679.740000000005</v>
          </cell>
          <cell r="BG66">
            <v>103333.34</v>
          </cell>
          <cell r="BH66">
            <v>103333.34</v>
          </cell>
          <cell r="BI66">
            <v>92305.15</v>
          </cell>
          <cell r="BJ66">
            <v>103333.34</v>
          </cell>
          <cell r="BK66">
            <v>-311751.57</v>
          </cell>
          <cell r="BL66">
            <v>-20389.11</v>
          </cell>
          <cell r="BM66">
            <v>98513.919999999998</v>
          </cell>
          <cell r="BN66">
            <v>-66166.62</v>
          </cell>
          <cell r="BO66">
            <v>-19761.810000000001</v>
          </cell>
          <cell r="BP66">
            <v>123333.34</v>
          </cell>
          <cell r="BQ66">
            <v>110997.65</v>
          </cell>
          <cell r="BR66">
            <v>113328.1</v>
          </cell>
          <cell r="BS66">
            <v>-155716.6</v>
          </cell>
          <cell r="BT66">
            <v>76535.67</v>
          </cell>
          <cell r="BU66">
            <v>340717.09</v>
          </cell>
          <cell r="BV66">
            <v>100018.02</v>
          </cell>
          <cell r="BW66">
            <v>106924.86</v>
          </cell>
          <cell r="BX66">
            <v>111230.37</v>
          </cell>
          <cell r="BY66">
            <v>77622.679999999993</v>
          </cell>
          <cell r="BZ66">
            <v>65429.33</v>
          </cell>
          <cell r="CA66">
            <v>148704.6</v>
          </cell>
          <cell r="CB66">
            <v>109736.15</v>
          </cell>
          <cell r="CC66">
            <v>110533.32</v>
          </cell>
          <cell r="CD66">
            <v>68130.78</v>
          </cell>
          <cell r="CE66">
            <v>106123.87</v>
          </cell>
          <cell r="CF66">
            <v>87320.02</v>
          </cell>
          <cell r="CG66">
            <v>84072.61</v>
          </cell>
          <cell r="CH66">
            <v>112818.27</v>
          </cell>
          <cell r="CI66">
            <v>109016.23</v>
          </cell>
          <cell r="CJ66">
            <v>104008.58</v>
          </cell>
          <cell r="CK66">
            <v>87538.559999999998</v>
          </cell>
          <cell r="CL66">
            <v>106292.24</v>
          </cell>
          <cell r="CM66">
            <v>103333.34</v>
          </cell>
          <cell r="CN66">
            <v>103333.34</v>
          </cell>
          <cell r="CO66">
            <v>101560.72</v>
          </cell>
          <cell r="CP66">
            <v>97219.85</v>
          </cell>
          <cell r="CQ66">
            <v>103333.34</v>
          </cell>
          <cell r="CR66">
            <v>103333.34</v>
          </cell>
          <cell r="CS66">
            <v>11371.54</v>
          </cell>
          <cell r="CT66">
            <v>11893.84</v>
          </cell>
          <cell r="CU66">
            <v>90687.72</v>
          </cell>
          <cell r="CV66">
            <v>102400.42</v>
          </cell>
          <cell r="CW66">
            <v>85805.15</v>
          </cell>
          <cell r="CX66">
            <v>86540.479999999996</v>
          </cell>
          <cell r="CY66">
            <v>22262.61</v>
          </cell>
          <cell r="CZ66">
            <v>89537.65</v>
          </cell>
          <cell r="DA66">
            <v>103344.11</v>
          </cell>
          <cell r="DB66">
            <v>74438.63</v>
          </cell>
          <cell r="DC66">
            <v>73587.02</v>
          </cell>
          <cell r="DD66">
            <v>94218.04</v>
          </cell>
          <cell r="DE66">
            <v>-84685.38</v>
          </cell>
          <cell r="DF66">
            <v>-65174.42</v>
          </cell>
          <cell r="DG66">
            <v>103333.34</v>
          </cell>
        </row>
        <row r="67">
          <cell r="A67">
            <v>4810500</v>
          </cell>
          <cell r="B67">
            <v>4810500</v>
          </cell>
          <cell r="C67" t="str">
            <v>Mut Ben NonRP Reslr</v>
          </cell>
          <cell r="D67">
            <v>-697975.33</v>
          </cell>
          <cell r="E67">
            <v>-31668.17</v>
          </cell>
          <cell r="F67">
            <v>-356025</v>
          </cell>
          <cell r="G67">
            <v>-1909918.9</v>
          </cell>
          <cell r="H67">
            <v>-1070387.6599999999</v>
          </cell>
          <cell r="I67">
            <v>-1219047.94</v>
          </cell>
          <cell r="J67">
            <v>-1128094.53</v>
          </cell>
          <cell r="K67">
            <v>-1513926.17</v>
          </cell>
          <cell r="L67">
            <v>-18488.150000000001</v>
          </cell>
          <cell r="M67">
            <v>10318.5</v>
          </cell>
          <cell r="N67">
            <v>0</v>
          </cell>
          <cell r="O67">
            <v>0</v>
          </cell>
          <cell r="P67">
            <v>-3110.04</v>
          </cell>
          <cell r="Q67">
            <v>-10726.8</v>
          </cell>
          <cell r="R67">
            <v>-744.75</v>
          </cell>
          <cell r="S67">
            <v>-20792.34</v>
          </cell>
          <cell r="T67">
            <v>2.68</v>
          </cell>
          <cell r="U67">
            <v>-357029.05</v>
          </cell>
          <cell r="V67">
            <v>25875</v>
          </cell>
          <cell r="W67">
            <v>0</v>
          </cell>
          <cell r="X67">
            <v>-33650.660000000003</v>
          </cell>
          <cell r="Y67">
            <v>0</v>
          </cell>
          <cell r="Z67">
            <v>0</v>
          </cell>
          <cell r="AA67">
            <v>0</v>
          </cell>
          <cell r="AB67">
            <v>-170477.75</v>
          </cell>
          <cell r="AC67">
            <v>-20496</v>
          </cell>
          <cell r="AD67">
            <v>0</v>
          </cell>
          <cell r="AE67">
            <v>0</v>
          </cell>
          <cell r="AF67">
            <v>-34410</v>
          </cell>
          <cell r="AG67">
            <v>-69916.289999999994</v>
          </cell>
          <cell r="AH67">
            <v>-42928.26</v>
          </cell>
          <cell r="AI67">
            <v>-87752.37</v>
          </cell>
          <cell r="AJ67">
            <v>0</v>
          </cell>
          <cell r="AK67">
            <v>0</v>
          </cell>
          <cell r="AL67">
            <v>0</v>
          </cell>
          <cell r="AM67">
            <v>0</v>
          </cell>
          <cell r="AN67">
            <v>0</v>
          </cell>
          <cell r="AO67">
            <v>-392257.45</v>
          </cell>
          <cell r="AP67">
            <v>-11780.03</v>
          </cell>
          <cell r="AQ67">
            <v>0</v>
          </cell>
          <cell r="AR67">
            <v>-97310.05</v>
          </cell>
          <cell r="AS67">
            <v>0</v>
          </cell>
          <cell r="AT67">
            <v>-11906.4</v>
          </cell>
          <cell r="AU67">
            <v>0</v>
          </cell>
          <cell r="AV67">
            <v>-62986.11</v>
          </cell>
          <cell r="AW67">
            <v>-139738.5</v>
          </cell>
          <cell r="AX67">
            <v>-794169.76</v>
          </cell>
          <cell r="AY67">
            <v>-3668.96</v>
          </cell>
          <cell r="AZ67">
            <v>0</v>
          </cell>
          <cell r="BA67">
            <v>-1212.96</v>
          </cell>
          <cell r="BB67">
            <v>0</v>
          </cell>
          <cell r="BC67">
            <v>-1183.5999999999999</v>
          </cell>
          <cell r="BD67">
            <v>0</v>
          </cell>
          <cell r="BE67">
            <v>-975</v>
          </cell>
          <cell r="BF67">
            <v>-316924.71000000002</v>
          </cell>
          <cell r="BG67">
            <v>-40874.730000000003</v>
          </cell>
          <cell r="BH67">
            <v>0</v>
          </cell>
          <cell r="BI67">
            <v>0</v>
          </cell>
          <cell r="BJ67">
            <v>0</v>
          </cell>
          <cell r="BK67">
            <v>0</v>
          </cell>
          <cell r="BL67">
            <v>-440000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-939847.09</v>
          </cell>
          <cell r="CC67">
            <v>-462368.03</v>
          </cell>
          <cell r="CD67">
            <v>-890245.97</v>
          </cell>
          <cell r="CE67">
            <v>0</v>
          </cell>
          <cell r="CF67">
            <v>0</v>
          </cell>
          <cell r="CG67">
            <v>-16453.16</v>
          </cell>
          <cell r="CH67">
            <v>0</v>
          </cell>
          <cell r="CI67">
            <v>0</v>
          </cell>
          <cell r="CJ67">
            <v>0</v>
          </cell>
          <cell r="CK67">
            <v>-284314.19</v>
          </cell>
          <cell r="CL67">
            <v>-13501.6</v>
          </cell>
          <cell r="CM67">
            <v>-25465</v>
          </cell>
          <cell r="CN67">
            <v>0</v>
          </cell>
          <cell r="CO67">
            <v>0</v>
          </cell>
          <cell r="CP67">
            <v>0</v>
          </cell>
          <cell r="CQ67">
            <v>0</v>
          </cell>
          <cell r="CR67">
            <v>-204155.14</v>
          </cell>
          <cell r="CS67">
            <v>0</v>
          </cell>
          <cell r="CT67">
            <v>0</v>
          </cell>
          <cell r="CU67">
            <v>0</v>
          </cell>
          <cell r="CV67">
            <v>0</v>
          </cell>
          <cell r="CW67">
            <v>0</v>
          </cell>
          <cell r="CX67">
            <v>0</v>
          </cell>
          <cell r="CY67">
            <v>0</v>
          </cell>
          <cell r="CZ67">
            <v>0</v>
          </cell>
          <cell r="DA67">
            <v>-18812.18</v>
          </cell>
          <cell r="DB67">
            <v>-7391.67</v>
          </cell>
          <cell r="DC67">
            <v>-82928.45</v>
          </cell>
          <cell r="DD67">
            <v>-12479.4</v>
          </cell>
          <cell r="DE67">
            <v>0</v>
          </cell>
          <cell r="DF67">
            <v>0</v>
          </cell>
          <cell r="DG67">
            <v>0</v>
          </cell>
        </row>
        <row r="68">
          <cell r="A68">
            <v>4810600</v>
          </cell>
          <cell r="B68">
            <v>4810600</v>
          </cell>
          <cell r="C68" t="str">
            <v>OSS PGA NonRP Reslr</v>
          </cell>
          <cell r="D68">
            <v>-2960101.84</v>
          </cell>
          <cell r="E68">
            <v>-1006812.2</v>
          </cell>
          <cell r="F68">
            <v>-2100955.4300000002</v>
          </cell>
          <cell r="G68">
            <v>-3847841.15</v>
          </cell>
          <cell r="H68">
            <v>569043.78</v>
          </cell>
          <cell r="I68">
            <v>192166.28</v>
          </cell>
          <cell r="J68">
            <v>-2488342.86</v>
          </cell>
          <cell r="K68">
            <v>-4551295.17</v>
          </cell>
          <cell r="L68">
            <v>-2729809.2</v>
          </cell>
          <cell r="M68">
            <v>-3286319.65</v>
          </cell>
          <cell r="N68">
            <v>-2685982.12</v>
          </cell>
          <cell r="O68">
            <v>6884389.1200000001</v>
          </cell>
          <cell r="P68">
            <v>-1192954.74</v>
          </cell>
          <cell r="Q68">
            <v>-1463246.26</v>
          </cell>
          <cell r="R68">
            <v>-880261.24</v>
          </cell>
          <cell r="S68">
            <v>-5458941.4199999999</v>
          </cell>
          <cell r="T68">
            <v>1210999.5900000001</v>
          </cell>
          <cell r="U68">
            <v>-3602090.94</v>
          </cell>
          <cell r="V68">
            <v>-1642659.8400000001</v>
          </cell>
          <cell r="W68">
            <v>-4710306.9400000004</v>
          </cell>
          <cell r="X68">
            <v>-874199.14</v>
          </cell>
          <cell r="Y68">
            <v>-2270685.38</v>
          </cell>
          <cell r="Z68">
            <v>-5054804.8600000003</v>
          </cell>
          <cell r="AA68">
            <v>2526459.5499999998</v>
          </cell>
          <cell r="AB68">
            <v>-3143793.38</v>
          </cell>
          <cell r="AC68">
            <v>-3303712.4</v>
          </cell>
          <cell r="AD68">
            <v>-4147901.99</v>
          </cell>
          <cell r="AE68">
            <v>-4952470.47</v>
          </cell>
          <cell r="AF68">
            <v>-512821.38</v>
          </cell>
          <cell r="AG68">
            <v>-2886229.81</v>
          </cell>
          <cell r="AH68">
            <v>-5567031.8799999999</v>
          </cell>
          <cell r="AI68">
            <v>-995251.71</v>
          </cell>
          <cell r="AJ68">
            <v>-918980.19</v>
          </cell>
          <cell r="AK68">
            <v>-1960396.63</v>
          </cell>
          <cell r="AL68">
            <v>1692219.78</v>
          </cell>
          <cell r="AM68">
            <v>-2336523.15</v>
          </cell>
          <cell r="AN68">
            <v>-3136818.11</v>
          </cell>
          <cell r="AO68">
            <v>-1806265.82</v>
          </cell>
          <cell r="AP68">
            <v>-2524413.23</v>
          </cell>
          <cell r="AQ68">
            <v>-4898465.49</v>
          </cell>
          <cell r="AR68">
            <v>-4217242.3499999996</v>
          </cell>
          <cell r="AS68">
            <v>-2168530.61</v>
          </cell>
          <cell r="AT68">
            <v>-5110199.37</v>
          </cell>
          <cell r="AU68">
            <v>-9367992.5500000007</v>
          </cell>
          <cell r="AV68">
            <v>-7142139.79</v>
          </cell>
          <cell r="AW68">
            <v>-2385673.9900000002</v>
          </cell>
          <cell r="AX68">
            <v>-1318042.05</v>
          </cell>
          <cell r="AY68">
            <v>-4010891.38</v>
          </cell>
          <cell r="AZ68">
            <v>-7235523.1100000003</v>
          </cell>
          <cell r="BA68">
            <v>-1551145.2</v>
          </cell>
          <cell r="BB68">
            <v>-2477322.9700000002</v>
          </cell>
          <cell r="BC68">
            <v>-3167035.4</v>
          </cell>
          <cell r="BD68">
            <v>-4290901.74</v>
          </cell>
          <cell r="BE68">
            <v>-6203315.8899999997</v>
          </cell>
          <cell r="BF68">
            <v>-7298364.5899999999</v>
          </cell>
          <cell r="BG68">
            <v>-2220540.2200000002</v>
          </cell>
          <cell r="BH68">
            <v>-5079355.62</v>
          </cell>
          <cell r="BI68">
            <v>-8476893.8699999992</v>
          </cell>
          <cell r="BJ68">
            <v>-3994055.83</v>
          </cell>
          <cell r="BK68">
            <v>-2892368.16</v>
          </cell>
          <cell r="BL68">
            <v>-4718673.55</v>
          </cell>
          <cell r="BM68">
            <v>-2365626.79</v>
          </cell>
          <cell r="BN68">
            <v>-3742122.22</v>
          </cell>
          <cell r="BO68">
            <v>-3628534.08</v>
          </cell>
          <cell r="BP68">
            <v>-5516300.9699999997</v>
          </cell>
          <cell r="BQ68">
            <v>-1930938.51</v>
          </cell>
          <cell r="BR68">
            <v>-1995341.15</v>
          </cell>
          <cell r="BS68">
            <v>-2780807.59</v>
          </cell>
          <cell r="BT68">
            <v>-5757290.1799999997</v>
          </cell>
          <cell r="BU68">
            <v>-3646795.87</v>
          </cell>
          <cell r="BV68">
            <v>-1772617.2</v>
          </cell>
          <cell r="BW68">
            <v>-1681102.87</v>
          </cell>
          <cell r="BX68">
            <v>-3750683.19</v>
          </cell>
          <cell r="BY68">
            <v>-2230016.41</v>
          </cell>
          <cell r="BZ68">
            <v>-2585747.5099999998</v>
          </cell>
          <cell r="CA68">
            <v>-1286578.3400000001</v>
          </cell>
          <cell r="CB68">
            <v>-1668.67</v>
          </cell>
          <cell r="CC68">
            <v>-1889489.61</v>
          </cell>
          <cell r="CD68">
            <v>-1209050.73</v>
          </cell>
          <cell r="CE68">
            <v>-73981.100000000006</v>
          </cell>
          <cell r="CF68">
            <v>-1903661.84</v>
          </cell>
          <cell r="CG68">
            <v>-890394.53</v>
          </cell>
          <cell r="CH68">
            <v>-1499788.72</v>
          </cell>
          <cell r="CI68">
            <v>-2024936.52</v>
          </cell>
          <cell r="CJ68">
            <v>-1384063.25</v>
          </cell>
          <cell r="CK68">
            <v>-1699253.1</v>
          </cell>
          <cell r="CL68">
            <v>-1373227.09</v>
          </cell>
          <cell r="CM68">
            <v>-536911.77</v>
          </cell>
          <cell r="CN68">
            <v>-1048843.8</v>
          </cell>
          <cell r="CO68">
            <v>-691384.48</v>
          </cell>
          <cell r="CP68">
            <v>-2358873.1800000002</v>
          </cell>
          <cell r="CQ68">
            <v>-2519350.4700000002</v>
          </cell>
          <cell r="CR68">
            <v>-1183878.04</v>
          </cell>
          <cell r="CS68">
            <v>-4844834.05</v>
          </cell>
          <cell r="CT68">
            <v>3032790.76</v>
          </cell>
          <cell r="CU68">
            <v>-27435.7</v>
          </cell>
          <cell r="CV68">
            <v>-5199706.53</v>
          </cell>
          <cell r="CW68">
            <v>-119414.94</v>
          </cell>
          <cell r="CX68">
            <v>-1567222.31</v>
          </cell>
          <cell r="CY68">
            <v>-867797.2</v>
          </cell>
          <cell r="CZ68">
            <v>-7941351.79</v>
          </cell>
          <cell r="DA68">
            <v>-6527326.2800000003</v>
          </cell>
          <cell r="DB68">
            <v>-7689383.4500000002</v>
          </cell>
          <cell r="DC68">
            <v>-2609000.9300000002</v>
          </cell>
          <cell r="DD68">
            <v>-153713.79</v>
          </cell>
          <cell r="DE68">
            <v>1690628.4</v>
          </cell>
          <cell r="DF68">
            <v>-194558.45</v>
          </cell>
          <cell r="DG68">
            <v>-2021779.48</v>
          </cell>
        </row>
        <row r="69">
          <cell r="A69">
            <v>4810601</v>
          </cell>
          <cell r="B69">
            <v>4810601</v>
          </cell>
          <cell r="C69" t="str">
            <v>OSS PGA NonRP EndUsr</v>
          </cell>
          <cell r="D69">
            <v>0</v>
          </cell>
          <cell r="E69">
            <v>-1100618.1100000001</v>
          </cell>
          <cell r="F69">
            <v>0</v>
          </cell>
          <cell r="G69">
            <v>-42589.16</v>
          </cell>
          <cell r="H69">
            <v>-1370351.33</v>
          </cell>
          <cell r="I69">
            <v>0</v>
          </cell>
          <cell r="J69">
            <v>-246032.92</v>
          </cell>
          <cell r="K69">
            <v>0</v>
          </cell>
          <cell r="L69">
            <v>0</v>
          </cell>
          <cell r="M69">
            <v>0</v>
          </cell>
          <cell r="N69">
            <v>0</v>
          </cell>
          <cell r="O69">
            <v>-8786642.0899999999</v>
          </cell>
          <cell r="P69">
            <v>-919239.31</v>
          </cell>
          <cell r="Q69">
            <v>-1242955.5900000001</v>
          </cell>
          <cell r="R69">
            <v>-943938.54</v>
          </cell>
          <cell r="S69">
            <v>-18503.650000000001</v>
          </cell>
          <cell r="T69">
            <v>-4417517.07</v>
          </cell>
          <cell r="U69">
            <v>-1109691.9099999999</v>
          </cell>
          <cell r="V69">
            <v>-1456089.48</v>
          </cell>
          <cell r="W69">
            <v>-1069964.6200000001</v>
          </cell>
          <cell r="X69">
            <v>-3357849.47</v>
          </cell>
          <cell r="Y69">
            <v>-2267449.5299999998</v>
          </cell>
          <cell r="Z69">
            <v>-2084395.7</v>
          </cell>
          <cell r="AA69">
            <v>-4507608.57</v>
          </cell>
          <cell r="AB69">
            <v>-628417.53</v>
          </cell>
          <cell r="AC69">
            <v>-475110.38</v>
          </cell>
          <cell r="AD69">
            <v>-580176.25</v>
          </cell>
          <cell r="AE69">
            <v>-1797717.79</v>
          </cell>
          <cell r="AF69">
            <v>-4033798.23</v>
          </cell>
          <cell r="AG69">
            <v>-3318090.06</v>
          </cell>
          <cell r="AH69">
            <v>-4605756.21</v>
          </cell>
          <cell r="AI69">
            <v>-7897457.46</v>
          </cell>
          <cell r="AJ69">
            <v>-6539169.9699999997</v>
          </cell>
          <cell r="AK69">
            <v>-5803758.0999999996</v>
          </cell>
          <cell r="AL69">
            <v>-4304687.46</v>
          </cell>
          <cell r="AM69">
            <v>-623602.86</v>
          </cell>
          <cell r="AN69">
            <v>-624123.12</v>
          </cell>
          <cell r="AO69">
            <v>-907239.75</v>
          </cell>
          <cell r="AP69">
            <v>-525942.62</v>
          </cell>
          <cell r="AQ69">
            <v>-519468.45</v>
          </cell>
          <cell r="AR69">
            <v>-2023226.36</v>
          </cell>
          <cell r="AS69">
            <v>-2387836.81</v>
          </cell>
          <cell r="AT69">
            <v>-1745048.69</v>
          </cell>
          <cell r="AU69">
            <v>-2487358.96</v>
          </cell>
          <cell r="AV69">
            <v>-2025158.98</v>
          </cell>
          <cell r="AW69">
            <v>-2078420.95</v>
          </cell>
          <cell r="AX69">
            <v>-1536882.3</v>
          </cell>
          <cell r="AY69">
            <v>-1492422.08</v>
          </cell>
          <cell r="AZ69">
            <v>-884711.27</v>
          </cell>
          <cell r="BA69">
            <v>-2245333.0499999998</v>
          </cell>
          <cell r="BB69">
            <v>0</v>
          </cell>
          <cell r="BC69">
            <v>-112321.46</v>
          </cell>
          <cell r="BD69">
            <v>-448281.99</v>
          </cell>
          <cell r="BE69">
            <v>-1603135.15</v>
          </cell>
          <cell r="BF69">
            <v>-2160233.2999999998</v>
          </cell>
          <cell r="BG69">
            <v>-4608732.4000000004</v>
          </cell>
          <cell r="BH69">
            <v>-3041675.1</v>
          </cell>
          <cell r="BI69">
            <v>-2035339.21</v>
          </cell>
          <cell r="BJ69">
            <v>-2743306.74</v>
          </cell>
          <cell r="BK69">
            <v>-983535.89</v>
          </cell>
          <cell r="BL69">
            <v>-476081.36</v>
          </cell>
          <cell r="BM69">
            <v>-584373.06000000006</v>
          </cell>
          <cell r="BN69">
            <v>0</v>
          </cell>
          <cell r="BO69">
            <v>-226101.28</v>
          </cell>
          <cell r="BP69">
            <v>-965912.7</v>
          </cell>
          <cell r="BQ69">
            <v>-2020746.46</v>
          </cell>
          <cell r="BR69">
            <v>-1603333.36</v>
          </cell>
          <cell r="BS69">
            <v>-1062501.24</v>
          </cell>
          <cell r="BT69">
            <v>-1231996.04</v>
          </cell>
          <cell r="BU69">
            <v>-2429141.4500000002</v>
          </cell>
          <cell r="BV69">
            <v>-1936601.4</v>
          </cell>
          <cell r="BW69">
            <v>-1417597.66</v>
          </cell>
          <cell r="BX69">
            <v>-199010.44</v>
          </cell>
          <cell r="BY69">
            <v>-193144.94</v>
          </cell>
          <cell r="BZ69">
            <v>-318370.65999999997</v>
          </cell>
          <cell r="CA69">
            <v>-767481.33</v>
          </cell>
          <cell r="CB69">
            <v>-1019898</v>
          </cell>
          <cell r="CC69">
            <v>-885211.04</v>
          </cell>
          <cell r="CD69">
            <v>-1444712.59</v>
          </cell>
          <cell r="CE69">
            <v>-1607795.18</v>
          </cell>
          <cell r="CF69">
            <v>-161435.69</v>
          </cell>
          <cell r="CG69">
            <v>-554884.9</v>
          </cell>
          <cell r="CH69">
            <v>-174565.93</v>
          </cell>
          <cell r="CI69">
            <v>-0.43</v>
          </cell>
          <cell r="CJ69">
            <v>-257332.47</v>
          </cell>
          <cell r="CK69">
            <v>-194793.88</v>
          </cell>
          <cell r="CL69">
            <v>-339288.73</v>
          </cell>
          <cell r="CM69">
            <v>-13170</v>
          </cell>
          <cell r="CN69">
            <v>-406157.37</v>
          </cell>
          <cell r="CO69">
            <v>-966677.15</v>
          </cell>
          <cell r="CP69">
            <v>-164416.32999999999</v>
          </cell>
          <cell r="CQ69">
            <v>0</v>
          </cell>
          <cell r="CR69">
            <v>-179135.51</v>
          </cell>
          <cell r="CS69">
            <v>-218918.45</v>
          </cell>
          <cell r="CT69">
            <v>-3449897.36</v>
          </cell>
          <cell r="CU69">
            <v>-202767</v>
          </cell>
          <cell r="CV69">
            <v>0</v>
          </cell>
          <cell r="CW69">
            <v>-2937389.71</v>
          </cell>
          <cell r="CX69">
            <v>-2717783.86</v>
          </cell>
          <cell r="CY69">
            <v>-3193265.89</v>
          </cell>
          <cell r="CZ69">
            <v>-3910769.5</v>
          </cell>
          <cell r="DA69">
            <v>-7333681.1200000001</v>
          </cell>
          <cell r="DB69">
            <v>-7143329.8600000003</v>
          </cell>
          <cell r="DC69">
            <v>-10400496.460000001</v>
          </cell>
          <cell r="DD69">
            <v>-8359855.2599999998</v>
          </cell>
          <cell r="DE69">
            <v>-5463363.6399999997</v>
          </cell>
          <cell r="DF69">
            <v>-3445277.75</v>
          </cell>
          <cell r="DG69">
            <v>-3303314.79</v>
          </cell>
        </row>
        <row r="70">
          <cell r="A70">
            <v>4810602</v>
          </cell>
          <cell r="B70">
            <v>4810602</v>
          </cell>
          <cell r="C70" t="str">
            <v>OSS PGS Receipt Pnt</v>
          </cell>
          <cell r="D70">
            <v>0</v>
          </cell>
          <cell r="E70">
            <v>-34438.94</v>
          </cell>
          <cell r="F70">
            <v>0</v>
          </cell>
          <cell r="G70">
            <v>0</v>
          </cell>
          <cell r="H70">
            <v>-10255.25</v>
          </cell>
          <cell r="I70">
            <v>-629850</v>
          </cell>
          <cell r="J70">
            <v>0</v>
          </cell>
          <cell r="K70">
            <v>-154572.67000000001</v>
          </cell>
          <cell r="L70">
            <v>-12759.64</v>
          </cell>
          <cell r="M70">
            <v>0</v>
          </cell>
          <cell r="N70">
            <v>-319290.15999999997</v>
          </cell>
          <cell r="O70">
            <v>-269035.38</v>
          </cell>
          <cell r="P70">
            <v>-331941.21999999997</v>
          </cell>
          <cell r="Q70">
            <v>-341092.52</v>
          </cell>
          <cell r="R70">
            <v>-245638.21</v>
          </cell>
          <cell r="S70">
            <v>-90214.84</v>
          </cell>
          <cell r="T70">
            <v>0</v>
          </cell>
          <cell r="U70">
            <v>-22376.38</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cell r="AL70"/>
          <cell r="AM70"/>
          <cell r="AN70"/>
          <cell r="AO70"/>
          <cell r="AP70"/>
          <cell r="AQ70">
            <v>-45700.52</v>
          </cell>
          <cell r="AR70">
            <v>0</v>
          </cell>
          <cell r="AS70">
            <v>0</v>
          </cell>
          <cell r="AT70">
            <v>0</v>
          </cell>
          <cell r="AU70">
            <v>0</v>
          </cell>
          <cell r="AV70">
            <v>0</v>
          </cell>
          <cell r="AW70">
            <v>0</v>
          </cell>
          <cell r="AX70">
            <v>0</v>
          </cell>
          <cell r="AY70">
            <v>0</v>
          </cell>
          <cell r="AZ70">
            <v>0</v>
          </cell>
          <cell r="BA70">
            <v>-54521.53</v>
          </cell>
          <cell r="BB70">
            <v>0</v>
          </cell>
          <cell r="BC70">
            <v>0</v>
          </cell>
          <cell r="BD70">
            <v>0</v>
          </cell>
          <cell r="BE70">
            <v>0</v>
          </cell>
          <cell r="BF70">
            <v>0</v>
          </cell>
          <cell r="BG70">
            <v>0</v>
          </cell>
          <cell r="BH70">
            <v>0</v>
          </cell>
          <cell r="BI70">
            <v>-15077.56</v>
          </cell>
          <cell r="BJ70">
            <v>0</v>
          </cell>
          <cell r="BK70">
            <v>-96.52</v>
          </cell>
          <cell r="BL70">
            <v>0</v>
          </cell>
          <cell r="BM70">
            <v>0</v>
          </cell>
          <cell r="BN70">
            <v>0</v>
          </cell>
          <cell r="BO70">
            <v>0</v>
          </cell>
          <cell r="BP70">
            <v>0</v>
          </cell>
          <cell r="BQ70">
            <v>0</v>
          </cell>
          <cell r="BR70">
            <v>0</v>
          </cell>
          <cell r="BS70">
            <v>0</v>
          </cell>
          <cell r="BT70">
            <v>0</v>
          </cell>
          <cell r="BU70"/>
          <cell r="BV70"/>
          <cell r="BW70"/>
          <cell r="BX70"/>
          <cell r="BY70"/>
          <cell r="BZ70"/>
          <cell r="CA70"/>
          <cell r="CB70"/>
          <cell r="CC70"/>
          <cell r="CD70"/>
          <cell r="CE70"/>
          <cell r="CF70"/>
          <cell r="CG70"/>
          <cell r="CH70"/>
          <cell r="CI70"/>
          <cell r="CJ70"/>
          <cell r="CK70"/>
          <cell r="CL70"/>
          <cell r="CM70"/>
          <cell r="CN70"/>
          <cell r="CO70"/>
          <cell r="CP70">
            <v>0</v>
          </cell>
          <cell r="CQ70">
            <v>0</v>
          </cell>
          <cell r="CR70">
            <v>0</v>
          </cell>
          <cell r="CS70">
            <v>0</v>
          </cell>
          <cell r="CT70">
            <v>0</v>
          </cell>
          <cell r="CU70">
            <v>0</v>
          </cell>
          <cell r="CV70">
            <v>-47640.14</v>
          </cell>
          <cell r="CW70">
            <v>-930643.9</v>
          </cell>
          <cell r="CX70">
            <v>-659351</v>
          </cell>
          <cell r="CY70">
            <v>0</v>
          </cell>
          <cell r="CZ70">
            <v>0</v>
          </cell>
          <cell r="DA70">
            <v>0</v>
          </cell>
          <cell r="DB70">
            <v>0</v>
          </cell>
          <cell r="DC70">
            <v>0</v>
          </cell>
          <cell r="DD70">
            <v>0</v>
          </cell>
          <cell r="DE70">
            <v>0</v>
          </cell>
          <cell r="DF70">
            <v>0</v>
          </cell>
          <cell r="DG70">
            <v>0</v>
          </cell>
        </row>
        <row r="71">
          <cell r="A71">
            <v>4810610</v>
          </cell>
          <cell r="B71">
            <v>4810610</v>
          </cell>
          <cell r="C71" t="str">
            <v>OSS Marg NonRP Reslr</v>
          </cell>
          <cell r="D71">
            <v>-79762.490000000005</v>
          </cell>
          <cell r="E71">
            <v>-22325.69</v>
          </cell>
          <cell r="F71">
            <v>-33190.81</v>
          </cell>
          <cell r="G71">
            <v>-35887.61</v>
          </cell>
          <cell r="H71">
            <v>21720.17</v>
          </cell>
          <cell r="I71">
            <v>-341.14</v>
          </cell>
          <cell r="J71">
            <v>-40951.94</v>
          </cell>
          <cell r="K71">
            <v>-83223.02</v>
          </cell>
          <cell r="L71">
            <v>-28235.919999999998</v>
          </cell>
          <cell r="M71">
            <v>-31409.53</v>
          </cell>
          <cell r="N71">
            <v>-29777.79</v>
          </cell>
          <cell r="O71">
            <v>75488.53</v>
          </cell>
          <cell r="P71">
            <v>-36665.870000000003</v>
          </cell>
          <cell r="Q71">
            <v>-66069.69</v>
          </cell>
          <cell r="R71">
            <v>9336.91</v>
          </cell>
          <cell r="S71">
            <v>-192674.69</v>
          </cell>
          <cell r="T71">
            <v>88452.15</v>
          </cell>
          <cell r="U71">
            <v>-192179.07</v>
          </cell>
          <cell r="V71">
            <v>-34270.629999999997</v>
          </cell>
          <cell r="W71">
            <v>-156225.5</v>
          </cell>
          <cell r="X71">
            <v>-58836.56</v>
          </cell>
          <cell r="Y71">
            <v>-41409.24</v>
          </cell>
          <cell r="Z71">
            <v>-268875.36</v>
          </cell>
          <cell r="AA71">
            <v>150686.18</v>
          </cell>
          <cell r="AB71">
            <v>-96563.13</v>
          </cell>
          <cell r="AC71">
            <v>-118517.79</v>
          </cell>
          <cell r="AD71">
            <v>-161934.60999999999</v>
          </cell>
          <cell r="AE71">
            <v>-191345.68</v>
          </cell>
          <cell r="AF71">
            <v>-83402.399999999994</v>
          </cell>
          <cell r="AG71">
            <v>-158601.09</v>
          </cell>
          <cell r="AH71">
            <v>-240429.32</v>
          </cell>
          <cell r="AI71">
            <v>-17627.48</v>
          </cell>
          <cell r="AJ71">
            <v>50339.05</v>
          </cell>
          <cell r="AK71">
            <v>-57307.79</v>
          </cell>
          <cell r="AL71">
            <v>37409.129999999997</v>
          </cell>
          <cell r="AM71">
            <v>-61994.11</v>
          </cell>
          <cell r="AN71">
            <v>-106230.12</v>
          </cell>
          <cell r="AO71">
            <v>-81512</v>
          </cell>
          <cell r="AP71">
            <v>-87399.12</v>
          </cell>
          <cell r="AQ71">
            <v>-106188.93</v>
          </cell>
          <cell r="AR71">
            <v>-145275.15</v>
          </cell>
          <cell r="AS71">
            <v>-74552.929999999993</v>
          </cell>
          <cell r="AT71">
            <v>-134915.99</v>
          </cell>
          <cell r="AU71">
            <v>-228125.6</v>
          </cell>
          <cell r="AV71">
            <v>-165703.92000000001</v>
          </cell>
          <cell r="AW71">
            <v>-106773.92</v>
          </cell>
          <cell r="AX71">
            <v>-19630.61</v>
          </cell>
          <cell r="AY71">
            <v>-132013.9</v>
          </cell>
          <cell r="AZ71">
            <v>-443321.58</v>
          </cell>
          <cell r="BA71">
            <v>13367.43</v>
          </cell>
          <cell r="BB71">
            <v>-74617.91</v>
          </cell>
          <cell r="BC71">
            <v>-75802.91</v>
          </cell>
          <cell r="BD71">
            <v>-120529.23</v>
          </cell>
          <cell r="BE71">
            <v>-165561.26999999999</v>
          </cell>
          <cell r="BF71">
            <v>-205041.79</v>
          </cell>
          <cell r="BG71">
            <v>-96156.67</v>
          </cell>
          <cell r="BH71">
            <v>-206455.6</v>
          </cell>
          <cell r="BI71">
            <v>-236894.72</v>
          </cell>
          <cell r="BJ71">
            <v>17124.71</v>
          </cell>
          <cell r="BK71">
            <v>-51906.39</v>
          </cell>
          <cell r="BL71">
            <v>-79679.06</v>
          </cell>
          <cell r="BM71">
            <v>-50769.53</v>
          </cell>
          <cell r="BN71">
            <v>-75137.490000000005</v>
          </cell>
          <cell r="BO71">
            <v>-71912.490000000005</v>
          </cell>
          <cell r="BP71">
            <v>-173857.47</v>
          </cell>
          <cell r="BQ71">
            <v>-74509.66</v>
          </cell>
          <cell r="BR71">
            <v>-58902.2</v>
          </cell>
          <cell r="BS71">
            <v>-50547.24</v>
          </cell>
          <cell r="BT71">
            <v>-137057.75</v>
          </cell>
          <cell r="BU71">
            <v>-97155.08</v>
          </cell>
          <cell r="BV71">
            <v>-36407.19</v>
          </cell>
          <cell r="BW71">
            <v>-89735.98</v>
          </cell>
          <cell r="BX71">
            <v>-87654.94</v>
          </cell>
          <cell r="BY71">
            <v>-80933.53</v>
          </cell>
          <cell r="BZ71">
            <v>-62951.839999999997</v>
          </cell>
          <cell r="CA71">
            <v>-46665.9</v>
          </cell>
          <cell r="CB71">
            <v>-56972.17</v>
          </cell>
          <cell r="CC71">
            <v>-102829.58</v>
          </cell>
          <cell r="CD71">
            <v>-40303.68</v>
          </cell>
          <cell r="CE71">
            <v>-42611.82</v>
          </cell>
          <cell r="CF71">
            <v>-97756.77</v>
          </cell>
          <cell r="CG71">
            <v>-69689.81</v>
          </cell>
          <cell r="CH71">
            <v>-105608.9</v>
          </cell>
          <cell r="CI71">
            <v>-119559.55</v>
          </cell>
          <cell r="CJ71">
            <v>-84356.3</v>
          </cell>
          <cell r="CK71">
            <v>-121443.33</v>
          </cell>
          <cell r="CL71">
            <v>-97206.86</v>
          </cell>
          <cell r="CM71">
            <v>-60487.39</v>
          </cell>
          <cell r="CN71">
            <v>-68703.47</v>
          </cell>
          <cell r="CO71">
            <v>-62842.81</v>
          </cell>
          <cell r="CP71">
            <v>-82875.039999999994</v>
          </cell>
          <cell r="CQ71">
            <v>-89557.81</v>
          </cell>
          <cell r="CR71">
            <v>-79649.570000000007</v>
          </cell>
          <cell r="CS71">
            <v>-121428.09</v>
          </cell>
          <cell r="CT71">
            <v>-48627.46</v>
          </cell>
          <cell r="CU71">
            <v>-59742.71</v>
          </cell>
          <cell r="CV71">
            <v>-299104.86</v>
          </cell>
          <cell r="CW71">
            <v>-67929.41</v>
          </cell>
          <cell r="CX71">
            <v>-155727.35</v>
          </cell>
          <cell r="CY71">
            <v>-41827.64</v>
          </cell>
          <cell r="CZ71">
            <v>-133846.75</v>
          </cell>
          <cell r="DA71">
            <v>-294726.48</v>
          </cell>
          <cell r="DB71">
            <v>-275521.49</v>
          </cell>
          <cell r="DC71">
            <v>-1244598.98</v>
          </cell>
          <cell r="DD71">
            <v>217346.63</v>
          </cell>
          <cell r="DE71">
            <v>-29030.09</v>
          </cell>
          <cell r="DF71">
            <v>-99960.04</v>
          </cell>
          <cell r="DG71">
            <v>-241894.89</v>
          </cell>
        </row>
        <row r="72">
          <cell r="A72">
            <v>4810611</v>
          </cell>
          <cell r="B72">
            <v>4810611</v>
          </cell>
          <cell r="C72" t="str">
            <v>OSS Margin Non RP EU</v>
          </cell>
          <cell r="D72">
            <v>0</v>
          </cell>
          <cell r="E72">
            <v>-25481.89</v>
          </cell>
          <cell r="F72">
            <v>0</v>
          </cell>
          <cell r="G72">
            <v>-387.08</v>
          </cell>
          <cell r="H72">
            <v>-23375.17</v>
          </cell>
          <cell r="I72">
            <v>0</v>
          </cell>
          <cell r="J72">
            <v>-979.58</v>
          </cell>
          <cell r="K72">
            <v>0</v>
          </cell>
          <cell r="L72">
            <v>0</v>
          </cell>
          <cell r="M72">
            <v>0</v>
          </cell>
          <cell r="N72">
            <v>0</v>
          </cell>
          <cell r="O72">
            <v>-93253.77</v>
          </cell>
          <cell r="P72">
            <v>-53670.74</v>
          </cell>
          <cell r="Q72">
            <v>-32452.89</v>
          </cell>
          <cell r="R72">
            <v>-46636.27</v>
          </cell>
          <cell r="S72">
            <v>-288.35000000000002</v>
          </cell>
          <cell r="T72">
            <v>-169372.38</v>
          </cell>
          <cell r="U72">
            <v>-23660.98</v>
          </cell>
          <cell r="V72">
            <v>-40020.53</v>
          </cell>
          <cell r="W72">
            <v>-13450.21</v>
          </cell>
          <cell r="X72">
            <v>-97678.48</v>
          </cell>
          <cell r="Y72">
            <v>-83068.320000000007</v>
          </cell>
          <cell r="Z72">
            <v>-67487.42</v>
          </cell>
          <cell r="AA72">
            <v>-154896.95999999999</v>
          </cell>
          <cell r="AB72">
            <v>-11399</v>
          </cell>
          <cell r="AC72">
            <v>-8838.27</v>
          </cell>
          <cell r="AD72">
            <v>-14957.36</v>
          </cell>
          <cell r="AE72">
            <v>-62125.93</v>
          </cell>
          <cell r="AF72">
            <v>-137469.35</v>
          </cell>
          <cell r="AG72">
            <v>-154242.60999999999</v>
          </cell>
          <cell r="AH72">
            <v>-218013.41</v>
          </cell>
          <cell r="AI72">
            <v>-361209.47</v>
          </cell>
          <cell r="AJ72">
            <v>-256102.94</v>
          </cell>
          <cell r="AK72">
            <v>-169100.02</v>
          </cell>
          <cell r="AL72">
            <v>-126300.92</v>
          </cell>
          <cell r="AM72">
            <v>-16687.14</v>
          </cell>
          <cell r="AN72">
            <v>-13436.88</v>
          </cell>
          <cell r="AO72">
            <v>-19494.55</v>
          </cell>
          <cell r="AP72">
            <v>-14597.38</v>
          </cell>
          <cell r="AQ72">
            <v>-18383.55</v>
          </cell>
          <cell r="AR72">
            <v>-30220.97</v>
          </cell>
          <cell r="AS72">
            <v>-60618.7</v>
          </cell>
          <cell r="AT72">
            <v>-47376.23</v>
          </cell>
          <cell r="AU72">
            <v>-58032.07</v>
          </cell>
          <cell r="AV72">
            <v>-37632.93</v>
          </cell>
          <cell r="AW72">
            <v>-36464.699999999997</v>
          </cell>
          <cell r="AX72">
            <v>-49050.44</v>
          </cell>
          <cell r="AY72">
            <v>-20827.919999999998</v>
          </cell>
          <cell r="AZ72">
            <v>-23238.73</v>
          </cell>
          <cell r="BA72">
            <v>-118246.12</v>
          </cell>
          <cell r="BB72">
            <v>0</v>
          </cell>
          <cell r="BC72">
            <v>-1778.54</v>
          </cell>
          <cell r="BD72">
            <v>-4159.55</v>
          </cell>
          <cell r="BE72">
            <v>-17005.259999999998</v>
          </cell>
          <cell r="BF72">
            <v>-37272.03</v>
          </cell>
          <cell r="BG72">
            <v>-84479.41</v>
          </cell>
          <cell r="BH72">
            <v>-60345.71</v>
          </cell>
          <cell r="BI72">
            <v>-63467.4</v>
          </cell>
          <cell r="BJ72">
            <v>-93810.62</v>
          </cell>
          <cell r="BK72">
            <v>-7563.86</v>
          </cell>
          <cell r="BL72">
            <v>-6076.39</v>
          </cell>
          <cell r="BM72">
            <v>-8999.1299999999992</v>
          </cell>
          <cell r="BN72">
            <v>0</v>
          </cell>
          <cell r="BO72">
            <v>-2822.23</v>
          </cell>
          <cell r="BP72">
            <v>-12301.22</v>
          </cell>
          <cell r="BQ72">
            <v>-59896.22</v>
          </cell>
          <cell r="BR72">
            <v>-51816.09</v>
          </cell>
          <cell r="BS72">
            <v>-28979.48</v>
          </cell>
          <cell r="BT72">
            <v>-21806.14</v>
          </cell>
          <cell r="BU72">
            <v>-61399.78</v>
          </cell>
          <cell r="BV72">
            <v>-44642.22</v>
          </cell>
          <cell r="BW72">
            <v>-18303.63</v>
          </cell>
          <cell r="BX72">
            <v>-2243.56</v>
          </cell>
          <cell r="BY72">
            <v>-3322.44</v>
          </cell>
          <cell r="BZ72">
            <v>-2935.72</v>
          </cell>
          <cell r="CA72">
            <v>-4232.8999999999996</v>
          </cell>
          <cell r="CB72">
            <v>-9360.67</v>
          </cell>
          <cell r="CC72">
            <v>-6938.97</v>
          </cell>
          <cell r="CD72">
            <v>-45157.63</v>
          </cell>
          <cell r="CE72">
            <v>-42181.56</v>
          </cell>
          <cell r="CF72">
            <v>-3060.04</v>
          </cell>
          <cell r="CG72">
            <v>-6091.77</v>
          </cell>
          <cell r="CH72">
            <v>-1169.28</v>
          </cell>
          <cell r="CI72">
            <v>0.43</v>
          </cell>
          <cell r="CJ72">
            <v>-1753.17</v>
          </cell>
          <cell r="CK72">
            <v>-4676.12</v>
          </cell>
          <cell r="CL72">
            <v>-2966.67</v>
          </cell>
          <cell r="CM72">
            <v>-130</v>
          </cell>
          <cell r="CN72">
            <v>-3126.98</v>
          </cell>
          <cell r="CO72">
            <v>-7778.58</v>
          </cell>
          <cell r="CP72">
            <v>-2083.67</v>
          </cell>
          <cell r="CQ72">
            <v>0</v>
          </cell>
          <cell r="CR72">
            <v>-944.76</v>
          </cell>
          <cell r="CS72">
            <v>-456.55</v>
          </cell>
          <cell r="CT72">
            <v>-18830.61</v>
          </cell>
          <cell r="CU72">
            <v>-1043</v>
          </cell>
          <cell r="CV72">
            <v>0</v>
          </cell>
          <cell r="CW72">
            <v>-91577.9</v>
          </cell>
          <cell r="CX72">
            <v>-68481.67</v>
          </cell>
          <cell r="CY72">
            <v>-132857.91</v>
          </cell>
          <cell r="CZ72">
            <v>-84947.33</v>
          </cell>
          <cell r="DA72">
            <v>-100655.63</v>
          </cell>
          <cell r="DB72">
            <v>-137891.53</v>
          </cell>
          <cell r="DC72">
            <v>-223728.46</v>
          </cell>
          <cell r="DD72">
            <v>-570688.39</v>
          </cell>
          <cell r="DE72">
            <v>-145749.63</v>
          </cell>
          <cell r="DF72">
            <v>-81025.919999999998</v>
          </cell>
          <cell r="DG72">
            <v>-88727.3</v>
          </cell>
        </row>
        <row r="73">
          <cell r="A73">
            <v>4810612</v>
          </cell>
          <cell r="B73">
            <v>4810612</v>
          </cell>
          <cell r="C73" t="str">
            <v>OSS Margin RP</v>
          </cell>
          <cell r="D73">
            <v>0</v>
          </cell>
          <cell r="E73">
            <v>-1214.31</v>
          </cell>
          <cell r="F73">
            <v>0</v>
          </cell>
          <cell r="G73">
            <v>0</v>
          </cell>
          <cell r="H73">
            <v>-4.75</v>
          </cell>
          <cell r="I73">
            <v>-1300</v>
          </cell>
          <cell r="J73">
            <v>0</v>
          </cell>
          <cell r="K73">
            <v>-53.33</v>
          </cell>
          <cell r="L73">
            <v>-12.36</v>
          </cell>
          <cell r="M73">
            <v>0</v>
          </cell>
          <cell r="N73">
            <v>-349.91</v>
          </cell>
          <cell r="O73">
            <v>-101.28</v>
          </cell>
          <cell r="P73">
            <v>-97.73</v>
          </cell>
          <cell r="Q73">
            <v>-267.61</v>
          </cell>
          <cell r="R73">
            <v>-641.11</v>
          </cell>
          <cell r="S73">
            <v>-271.24</v>
          </cell>
          <cell r="T73">
            <v>0</v>
          </cell>
          <cell r="U73">
            <v>-10.89</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cell r="AL73"/>
          <cell r="AM73"/>
          <cell r="AN73"/>
          <cell r="AO73"/>
          <cell r="AP73"/>
          <cell r="AQ73">
            <v>-49.48</v>
          </cell>
          <cell r="AR73">
            <v>0</v>
          </cell>
          <cell r="AS73">
            <v>0</v>
          </cell>
          <cell r="AT73">
            <v>0</v>
          </cell>
          <cell r="AU73">
            <v>0</v>
          </cell>
          <cell r="AV73">
            <v>0</v>
          </cell>
          <cell r="AW73">
            <v>0</v>
          </cell>
          <cell r="AX73">
            <v>0</v>
          </cell>
          <cell r="AY73">
            <v>0</v>
          </cell>
          <cell r="AZ73">
            <v>0</v>
          </cell>
          <cell r="BA73">
            <v>-9.9499999999999993</v>
          </cell>
          <cell r="BB73">
            <v>0</v>
          </cell>
          <cell r="BC73">
            <v>0</v>
          </cell>
          <cell r="BD73">
            <v>0</v>
          </cell>
          <cell r="BE73">
            <v>0</v>
          </cell>
          <cell r="BF73">
            <v>0</v>
          </cell>
          <cell r="BG73">
            <v>0</v>
          </cell>
          <cell r="BH73">
            <v>0</v>
          </cell>
          <cell r="BI73">
            <v>-33.14</v>
          </cell>
          <cell r="BJ73">
            <v>0</v>
          </cell>
          <cell r="BK73">
            <v>-0.98</v>
          </cell>
          <cell r="BL73">
            <v>0</v>
          </cell>
          <cell r="BM73">
            <v>0</v>
          </cell>
          <cell r="BN73">
            <v>0</v>
          </cell>
          <cell r="BO73">
            <v>0</v>
          </cell>
          <cell r="BP73">
            <v>0</v>
          </cell>
          <cell r="BQ73">
            <v>0</v>
          </cell>
          <cell r="BR73">
            <v>0</v>
          </cell>
          <cell r="BS73">
            <v>0</v>
          </cell>
          <cell r="BT73">
            <v>0</v>
          </cell>
          <cell r="BU73"/>
          <cell r="BV73"/>
          <cell r="BW73"/>
          <cell r="BX73"/>
          <cell r="BY73"/>
          <cell r="BZ73"/>
          <cell r="CA73"/>
          <cell r="CB73"/>
          <cell r="CC73"/>
          <cell r="CD73"/>
          <cell r="CE73"/>
          <cell r="CF73"/>
          <cell r="CG73"/>
          <cell r="CH73"/>
          <cell r="CI73"/>
          <cell r="CJ73"/>
          <cell r="CK73"/>
          <cell r="CL73"/>
          <cell r="CM73"/>
          <cell r="CN73"/>
          <cell r="CO73"/>
          <cell r="CP73">
            <v>0</v>
          </cell>
          <cell r="CQ73">
            <v>0</v>
          </cell>
          <cell r="CR73">
            <v>0</v>
          </cell>
          <cell r="CS73">
            <v>0</v>
          </cell>
          <cell r="CT73">
            <v>0</v>
          </cell>
          <cell r="CU73">
            <v>0</v>
          </cell>
          <cell r="CV73">
            <v>-64.86</v>
          </cell>
          <cell r="CW73">
            <v>-66974.3</v>
          </cell>
          <cell r="CX73">
            <v>46</v>
          </cell>
          <cell r="CY73">
            <v>0</v>
          </cell>
          <cell r="CZ73">
            <v>0</v>
          </cell>
          <cell r="DA73">
            <v>0</v>
          </cell>
          <cell r="DB73">
            <v>0</v>
          </cell>
          <cell r="DC73">
            <v>0</v>
          </cell>
          <cell r="DD73">
            <v>0</v>
          </cell>
          <cell r="DE73">
            <v>0</v>
          </cell>
          <cell r="DF73">
            <v>0</v>
          </cell>
          <cell r="DG73">
            <v>0</v>
          </cell>
        </row>
        <row r="74">
          <cell r="A74">
            <v>4830091</v>
          </cell>
          <cell r="B74">
            <v>4830091</v>
          </cell>
          <cell r="C74" t="str">
            <v>Wholesale for Resale</v>
          </cell>
          <cell r="D74">
            <v>-21717.45</v>
          </cell>
          <cell r="E74">
            <v>-22831.200000000001</v>
          </cell>
          <cell r="F74">
            <v>-16632.11</v>
          </cell>
          <cell r="G74">
            <v>-14818.73</v>
          </cell>
          <cell r="H74">
            <v>-11830.95</v>
          </cell>
          <cell r="I74">
            <v>-13421.83</v>
          </cell>
          <cell r="J74">
            <v>-10372.18</v>
          </cell>
          <cell r="K74">
            <v>-9677.58</v>
          </cell>
          <cell r="L74">
            <v>-10937.04</v>
          </cell>
          <cell r="M74">
            <v>-9949.44</v>
          </cell>
          <cell r="N74">
            <v>-11966.81</v>
          </cell>
          <cell r="O74">
            <v>-18629.82</v>
          </cell>
          <cell r="P74">
            <v>-21372.05</v>
          </cell>
          <cell r="Q74">
            <v>-23403.08</v>
          </cell>
          <cell r="R74">
            <v>-22368.32</v>
          </cell>
          <cell r="S74">
            <v>-13395.28</v>
          </cell>
          <cell r="T74">
            <v>-7623.44</v>
          </cell>
          <cell r="U74">
            <v>-8296.82</v>
          </cell>
          <cell r="V74">
            <v>-8301.4699999999993</v>
          </cell>
          <cell r="W74">
            <v>-15477.14</v>
          </cell>
          <cell r="X74">
            <v>-9442.3700000000008</v>
          </cell>
          <cell r="Y74">
            <v>-12352.09</v>
          </cell>
          <cell r="Z74">
            <v>-10668.59</v>
          </cell>
          <cell r="AA74">
            <v>-13801.37</v>
          </cell>
          <cell r="AB74">
            <v>-19903.990000000002</v>
          </cell>
          <cell r="AC74">
            <v>-24880.41</v>
          </cell>
          <cell r="AD74">
            <v>-17784.04</v>
          </cell>
          <cell r="AE74">
            <v>-16215.14</v>
          </cell>
          <cell r="AF74">
            <v>-14635.46</v>
          </cell>
          <cell r="AG74">
            <v>-10694.15</v>
          </cell>
          <cell r="AH74">
            <v>-9689.64</v>
          </cell>
          <cell r="AI74">
            <v>-12211.45</v>
          </cell>
          <cell r="AJ74">
            <v>-12941.36</v>
          </cell>
          <cell r="AK74">
            <v>-16319.19</v>
          </cell>
          <cell r="AL74">
            <v>-11871.12</v>
          </cell>
          <cell r="AM74">
            <v>-12111.75</v>
          </cell>
          <cell r="AN74">
            <v>-30366.21</v>
          </cell>
          <cell r="AO74">
            <v>-1906.51</v>
          </cell>
          <cell r="AP74">
            <v>-26330.47</v>
          </cell>
          <cell r="AQ74">
            <v>-10320.209999999999</v>
          </cell>
          <cell r="AR74">
            <v>-10552.95</v>
          </cell>
          <cell r="AS74">
            <v>-10291.58</v>
          </cell>
          <cell r="AT74">
            <v>-23841.98</v>
          </cell>
          <cell r="AU74">
            <v>38562.379999999997</v>
          </cell>
          <cell r="AV74">
            <v>-51133.35</v>
          </cell>
          <cell r="AW74">
            <v>-10419.81</v>
          </cell>
          <cell r="AX74">
            <v>-15829.37</v>
          </cell>
          <cell r="AY74">
            <v>-18632.55</v>
          </cell>
          <cell r="AZ74">
            <v>-35718.699999999997</v>
          </cell>
          <cell r="BA74">
            <v>-24685.360000000001</v>
          </cell>
          <cell r="BB74">
            <v>-14417.56</v>
          </cell>
          <cell r="BC74">
            <v>-19440.55</v>
          </cell>
          <cell r="BD74">
            <v>-14692.28</v>
          </cell>
          <cell r="BE74">
            <v>-13649.38</v>
          </cell>
          <cell r="BF74">
            <v>-11404.46</v>
          </cell>
          <cell r="BG74">
            <v>-2664</v>
          </cell>
          <cell r="BH74">
            <v>-8620.6299999999992</v>
          </cell>
          <cell r="BI74">
            <v>-7887.7</v>
          </cell>
          <cell r="BJ74">
            <v>-296.38</v>
          </cell>
          <cell r="BK74">
            <v>-35035.870000000003</v>
          </cell>
          <cell r="BL74">
            <v>-18947.37</v>
          </cell>
          <cell r="BM74">
            <v>-22529.38</v>
          </cell>
          <cell r="BN74">
            <v>-11598.88</v>
          </cell>
          <cell r="BO74">
            <v>-11314.5</v>
          </cell>
          <cell r="BP74">
            <v>-9508.84</v>
          </cell>
          <cell r="BQ74">
            <v>-7911.68</v>
          </cell>
          <cell r="BR74">
            <v>-7227.45</v>
          </cell>
          <cell r="BS74">
            <v>-6546.7</v>
          </cell>
          <cell r="BT74">
            <v>-11602.69</v>
          </cell>
          <cell r="BU74">
            <v>-7679.78</v>
          </cell>
          <cell r="BV74">
            <v>-9417.41</v>
          </cell>
          <cell r="BW74">
            <v>-40019.72</v>
          </cell>
          <cell r="BX74">
            <v>-23403.69</v>
          </cell>
          <cell r="BY74">
            <v>-31655.54</v>
          </cell>
          <cell r="BZ74">
            <v>-24297.25</v>
          </cell>
          <cell r="CA74">
            <v>-15616.06</v>
          </cell>
          <cell r="CB74">
            <v>-15655.27</v>
          </cell>
          <cell r="CC74">
            <v>-13872.08</v>
          </cell>
          <cell r="CD74">
            <v>-13565.74</v>
          </cell>
          <cell r="CE74">
            <v>-13841.94</v>
          </cell>
          <cell r="CF74">
            <v>-15568.16</v>
          </cell>
          <cell r="CG74">
            <v>-16398.41</v>
          </cell>
          <cell r="CH74">
            <v>-23805.57</v>
          </cell>
          <cell r="CI74">
            <v>-26258.18</v>
          </cell>
          <cell r="CJ74">
            <v>-53387.94</v>
          </cell>
          <cell r="CK74">
            <v>-48066.67</v>
          </cell>
          <cell r="CL74">
            <v>-29713.65</v>
          </cell>
          <cell r="CM74">
            <v>-37203.32</v>
          </cell>
          <cell r="CN74">
            <v>-31498.02</v>
          </cell>
          <cell r="CO74">
            <v>-26319.69</v>
          </cell>
          <cell r="CP74">
            <v>-18917.419999999998</v>
          </cell>
          <cell r="CQ74">
            <v>-32849.089999999997</v>
          </cell>
          <cell r="CR74">
            <v>-27587.54</v>
          </cell>
          <cell r="CS74">
            <v>-27818.66</v>
          </cell>
          <cell r="CT74">
            <v>-29404.71</v>
          </cell>
          <cell r="CU74">
            <v>-33557.86</v>
          </cell>
          <cell r="CV74">
            <v>-36283.24</v>
          </cell>
          <cell r="CW74">
            <v>-81376.289999999994</v>
          </cell>
          <cell r="CX74">
            <v>-36266.36</v>
          </cell>
          <cell r="CY74">
            <v>-38376.79</v>
          </cell>
          <cell r="CZ74">
            <v>-28921.69</v>
          </cell>
          <cell r="DA74">
            <v>-27113.62</v>
          </cell>
          <cell r="DB74">
            <v>-19905.77</v>
          </cell>
          <cell r="DC74">
            <v>-19896.78</v>
          </cell>
          <cell r="DD74">
            <v>-22663.759999999998</v>
          </cell>
          <cell r="DE74">
            <v>-28267.68</v>
          </cell>
          <cell r="DF74">
            <v>-38061.43</v>
          </cell>
          <cell r="DG74">
            <v>-35440.699999999997</v>
          </cell>
        </row>
        <row r="75">
          <cell r="A75">
            <v>4830092</v>
          </cell>
          <cell r="B75">
            <v>4830092</v>
          </cell>
          <cell r="C75" t="str">
            <v>Whsl for Resale Fuel</v>
          </cell>
          <cell r="D75">
            <v>-122347.1</v>
          </cell>
          <cell r="E75">
            <v>-125397.66</v>
          </cell>
          <cell r="F75">
            <v>-83613.06</v>
          </cell>
          <cell r="G75">
            <v>-79399.5</v>
          </cell>
          <cell r="H75">
            <v>-59284.84</v>
          </cell>
          <cell r="I75">
            <v>-84221.96</v>
          </cell>
          <cell r="J75">
            <v>-53577.79</v>
          </cell>
          <cell r="K75">
            <v>-50639.37</v>
          </cell>
          <cell r="L75">
            <v>-55870.14</v>
          </cell>
          <cell r="M75">
            <v>-47384.88</v>
          </cell>
          <cell r="N75">
            <v>-55759.08</v>
          </cell>
          <cell r="O75">
            <v>-89565.43</v>
          </cell>
          <cell r="P75">
            <v>-115388.95</v>
          </cell>
          <cell r="Q75">
            <v>-122429.48</v>
          </cell>
          <cell r="R75">
            <v>-103381.17</v>
          </cell>
          <cell r="S75">
            <v>-62557.89</v>
          </cell>
          <cell r="T75">
            <v>-34815.08</v>
          </cell>
          <cell r="U75">
            <v>-40163.93</v>
          </cell>
          <cell r="V75">
            <v>-40173.25</v>
          </cell>
          <cell r="W75">
            <v>-81254.820000000007</v>
          </cell>
          <cell r="X75">
            <v>-47758.73</v>
          </cell>
          <cell r="Y75">
            <v>-61015.22</v>
          </cell>
          <cell r="Z75">
            <v>-52655.68</v>
          </cell>
          <cell r="AA75">
            <v>-70834.47</v>
          </cell>
          <cell r="AB75">
            <v>-112861.47</v>
          </cell>
          <cell r="AC75">
            <v>-144487.29999999999</v>
          </cell>
          <cell r="AD75">
            <v>-97359.34</v>
          </cell>
          <cell r="AE75">
            <v>-90351.69</v>
          </cell>
          <cell r="AF75">
            <v>-80688.27</v>
          </cell>
          <cell r="AG75">
            <v>-55803.75</v>
          </cell>
          <cell r="AH75">
            <v>-48909.17</v>
          </cell>
          <cell r="AI75">
            <v>-62932.57</v>
          </cell>
          <cell r="AJ75">
            <v>-63198.98</v>
          </cell>
          <cell r="AK75">
            <v>-80931.289999999994</v>
          </cell>
          <cell r="AL75">
            <v>-54733.84</v>
          </cell>
          <cell r="AM75">
            <v>-54630.92</v>
          </cell>
          <cell r="AN75">
            <v>-145513.70000000001</v>
          </cell>
          <cell r="AO75">
            <v>-10002.1</v>
          </cell>
          <cell r="AP75">
            <v>-130908.62</v>
          </cell>
          <cell r="AQ75">
            <v>-51360.15</v>
          </cell>
          <cell r="AR75">
            <v>-52185.55</v>
          </cell>
          <cell r="AS75">
            <v>-48094.59</v>
          </cell>
          <cell r="AT75">
            <v>-121049.34</v>
          </cell>
          <cell r="AU75">
            <v>191292.34</v>
          </cell>
          <cell r="AV75">
            <v>-259208.07</v>
          </cell>
          <cell r="AW75">
            <v>-57389.38</v>
          </cell>
          <cell r="AX75">
            <v>-89283.89</v>
          </cell>
          <cell r="AY75">
            <v>-106218.25</v>
          </cell>
          <cell r="AZ75">
            <v>-227660.9</v>
          </cell>
          <cell r="BA75">
            <v>-160197.32</v>
          </cell>
          <cell r="BB75">
            <v>-81327.55</v>
          </cell>
          <cell r="BC75">
            <v>-110521.77</v>
          </cell>
          <cell r="BD75">
            <v>-81986.16</v>
          </cell>
          <cell r="BE75">
            <v>-72924.350000000006</v>
          </cell>
          <cell r="BF75">
            <v>-59920.74</v>
          </cell>
          <cell r="BG75">
            <v>-10214.56</v>
          </cell>
          <cell r="BH75">
            <v>-42969.5</v>
          </cell>
          <cell r="BI75">
            <v>-37316.04</v>
          </cell>
          <cell r="BJ75">
            <v>-1881.49</v>
          </cell>
          <cell r="BK75">
            <v>-187698.16</v>
          </cell>
          <cell r="BL75">
            <v>-111874.25</v>
          </cell>
          <cell r="BM75">
            <v>-133724.71</v>
          </cell>
          <cell r="BN75">
            <v>-72573.84</v>
          </cell>
          <cell r="BO75">
            <v>-76351.73</v>
          </cell>
          <cell r="BP75">
            <v>-63016.02</v>
          </cell>
          <cell r="BQ75">
            <v>-52170.54</v>
          </cell>
          <cell r="BR75">
            <v>-47308.06</v>
          </cell>
          <cell r="BS75">
            <v>-36185.31</v>
          </cell>
          <cell r="BT75">
            <v>-56479.09</v>
          </cell>
          <cell r="BU75">
            <v>-41885.65</v>
          </cell>
          <cell r="BV75">
            <v>-53566.38</v>
          </cell>
          <cell r="BW75">
            <v>-237125.17</v>
          </cell>
          <cell r="BX75">
            <v>-136259.73000000001</v>
          </cell>
          <cell r="BY75">
            <v>-175838.86</v>
          </cell>
          <cell r="BZ75">
            <v>-129063.36</v>
          </cell>
          <cell r="CA75">
            <v>-81269.73</v>
          </cell>
          <cell r="CB75">
            <v>-81771.11</v>
          </cell>
          <cell r="CC75">
            <v>-71804.86</v>
          </cell>
          <cell r="CD75">
            <v>-70492.429999999993</v>
          </cell>
          <cell r="CE75">
            <v>-71847.97</v>
          </cell>
          <cell r="CF75">
            <v>-81294.41</v>
          </cell>
          <cell r="CG75">
            <v>-91336.26</v>
          </cell>
          <cell r="CH75">
            <v>-133473.60000000001</v>
          </cell>
          <cell r="CI75">
            <v>-163603.73000000001</v>
          </cell>
          <cell r="CJ75">
            <v>-272469.07</v>
          </cell>
          <cell r="CK75">
            <v>-244199.62</v>
          </cell>
          <cell r="CL75">
            <v>-168670.92</v>
          </cell>
          <cell r="CM75">
            <v>-214419.68</v>
          </cell>
          <cell r="CN75">
            <v>-171019.38</v>
          </cell>
          <cell r="CO75">
            <v>-138628.84</v>
          </cell>
          <cell r="CP75">
            <v>-100986.53</v>
          </cell>
          <cell r="CQ75">
            <v>-187822.88</v>
          </cell>
          <cell r="CR75">
            <v>-155655.59</v>
          </cell>
          <cell r="CS75">
            <v>-157095.85999999999</v>
          </cell>
          <cell r="CT75">
            <v>-166783.76</v>
          </cell>
          <cell r="CU75">
            <v>-192152.4</v>
          </cell>
          <cell r="CV75">
            <v>-225987.44</v>
          </cell>
          <cell r="CW75">
            <v>-517726.13</v>
          </cell>
          <cell r="CX75">
            <v>-225875.93</v>
          </cell>
          <cell r="CY75">
            <v>-239466.18</v>
          </cell>
          <cell r="CZ75">
            <v>-176716.76</v>
          </cell>
          <cell r="DA75">
            <v>-169443.42</v>
          </cell>
          <cell r="DB75">
            <v>-121661.68</v>
          </cell>
          <cell r="DC75">
            <v>-170700.93</v>
          </cell>
          <cell r="DD75">
            <v>-193822.02</v>
          </cell>
          <cell r="DE75">
            <v>-230336.54</v>
          </cell>
          <cell r="DF75">
            <v>-193446.06</v>
          </cell>
          <cell r="DG75">
            <v>-183053.3</v>
          </cell>
        </row>
        <row r="76">
          <cell r="A76">
            <v>4833091</v>
          </cell>
          <cell r="B76">
            <v>4833091</v>
          </cell>
          <cell r="C76" t="str">
            <v>Whsl for Resale Trnp</v>
          </cell>
          <cell r="D76">
            <v>-21883.94</v>
          </cell>
          <cell r="E76">
            <v>-18653.25</v>
          </cell>
          <cell r="F76">
            <v>-21064.37</v>
          </cell>
          <cell r="G76">
            <v>-18023.66</v>
          </cell>
          <cell r="H76">
            <v>-16939.95</v>
          </cell>
          <cell r="I76">
            <v>-15589.49</v>
          </cell>
          <cell r="J76">
            <v>-15668.39</v>
          </cell>
          <cell r="K76">
            <v>-15255.51</v>
          </cell>
          <cell r="L76">
            <v>-14564.19</v>
          </cell>
          <cell r="M76">
            <v>-17293.3</v>
          </cell>
          <cell r="N76">
            <v>-19693.8</v>
          </cell>
          <cell r="O76">
            <v>-20331.84</v>
          </cell>
          <cell r="P76">
            <v>-22601.96</v>
          </cell>
          <cell r="Q76">
            <v>-21078.83</v>
          </cell>
          <cell r="R76">
            <v>-20184.12</v>
          </cell>
          <cell r="S76">
            <v>-17822.34</v>
          </cell>
          <cell r="T76">
            <v>-17403.689999999999</v>
          </cell>
          <cell r="U76">
            <v>-15810.03</v>
          </cell>
          <cell r="V76">
            <v>-16304.6</v>
          </cell>
          <cell r="W76">
            <v>-16134.22</v>
          </cell>
          <cell r="X76">
            <v>-15611.63</v>
          </cell>
          <cell r="Y76">
            <v>-18169.47</v>
          </cell>
          <cell r="Z76">
            <v>-18110.89</v>
          </cell>
          <cell r="AA76">
            <v>-19573.169999999998</v>
          </cell>
          <cell r="AB76">
            <v>-24128.63</v>
          </cell>
          <cell r="AC76">
            <v>-22204.05</v>
          </cell>
          <cell r="AD76">
            <v>-20705.21</v>
          </cell>
          <cell r="AE76">
            <v>-19513.43</v>
          </cell>
          <cell r="AF76">
            <v>-18266.14</v>
          </cell>
          <cell r="AG76">
            <v>-16656.59</v>
          </cell>
          <cell r="AH76">
            <v>-16731.45</v>
          </cell>
          <cell r="AI76">
            <v>-16264.15</v>
          </cell>
          <cell r="AJ76">
            <v>-15910.62</v>
          </cell>
          <cell r="AK76">
            <v>-16984.830000000002</v>
          </cell>
          <cell r="AL76">
            <v>-19334.95</v>
          </cell>
          <cell r="AM76">
            <v>-20919.55</v>
          </cell>
          <cell r="AN76">
            <v>-22685.19</v>
          </cell>
          <cell r="AO76">
            <v>-19221.09</v>
          </cell>
          <cell r="AP76">
            <v>-22663.53</v>
          </cell>
          <cell r="AQ76">
            <v>-18990.38</v>
          </cell>
          <cell r="AR76">
            <v>-17901.71</v>
          </cell>
          <cell r="AS76">
            <v>-16661.64</v>
          </cell>
          <cell r="AT76">
            <v>-18374.669999999998</v>
          </cell>
          <cell r="AU76">
            <v>-15617.18</v>
          </cell>
          <cell r="AV76">
            <v>-14843.49</v>
          </cell>
          <cell r="AW76">
            <v>-19111.46</v>
          </cell>
          <cell r="AX76">
            <v>-20227.91</v>
          </cell>
          <cell r="AY76">
            <v>-24379.42</v>
          </cell>
          <cell r="AZ76">
            <v>-25354.05</v>
          </cell>
          <cell r="BA76">
            <v>-19653.240000000002</v>
          </cell>
          <cell r="BB76">
            <v>-23521.52</v>
          </cell>
          <cell r="BC76">
            <v>-20175.22</v>
          </cell>
          <cell r="BD76">
            <v>-18808.150000000001</v>
          </cell>
          <cell r="BE76">
            <v>-17332.580000000002</v>
          </cell>
          <cell r="BF76">
            <v>-17791.14</v>
          </cell>
          <cell r="BG76">
            <v>-16456.59</v>
          </cell>
          <cell r="BH76">
            <v>-16115.17</v>
          </cell>
          <cell r="BI76">
            <v>-18339.5</v>
          </cell>
          <cell r="BJ76">
            <v>-26818.400000000001</v>
          </cell>
          <cell r="BK76">
            <v>-29473.200000000001</v>
          </cell>
          <cell r="BL76">
            <v>-30389.88</v>
          </cell>
          <cell r="BM76">
            <v>-26515.14</v>
          </cell>
          <cell r="BN76">
            <v>-28336.85</v>
          </cell>
          <cell r="BO76">
            <v>-25632.959999999999</v>
          </cell>
          <cell r="BP76">
            <v>-23177.8</v>
          </cell>
          <cell r="BQ76">
            <v>-22277.919999999998</v>
          </cell>
          <cell r="BR76">
            <v>-22006.6</v>
          </cell>
          <cell r="BS76">
            <v>-21749.7</v>
          </cell>
          <cell r="BT76">
            <v>-20855.490000000002</v>
          </cell>
          <cell r="BU76">
            <v>-22983.360000000001</v>
          </cell>
          <cell r="BV76">
            <v>-24254.95</v>
          </cell>
          <cell r="BW76">
            <v>-29401.4</v>
          </cell>
          <cell r="BX76">
            <v>-28762.09</v>
          </cell>
          <cell r="BY76">
            <v>-26980.71</v>
          </cell>
          <cell r="BZ76">
            <v>-22578.97</v>
          </cell>
          <cell r="CA76">
            <v>-17452.13</v>
          </cell>
          <cell r="CB76">
            <v>-19436.509999999998</v>
          </cell>
          <cell r="CC76">
            <v>-19704.009999999998</v>
          </cell>
          <cell r="CD76">
            <v>-18783.560000000001</v>
          </cell>
          <cell r="CE76">
            <v>-19300.73</v>
          </cell>
          <cell r="CF76">
            <v>-19422.32</v>
          </cell>
          <cell r="CG76">
            <v>-22695.58</v>
          </cell>
          <cell r="CH76">
            <v>-20343.810000000001</v>
          </cell>
          <cell r="CI76">
            <v>-33321.230000000003</v>
          </cell>
          <cell r="CJ76">
            <v>-23913.52</v>
          </cell>
          <cell r="CK76">
            <v>-30235.87</v>
          </cell>
          <cell r="CL76">
            <v>-32172.63</v>
          </cell>
          <cell r="CM76">
            <v>-33513.31</v>
          </cell>
          <cell r="CN76">
            <v>-27958.95</v>
          </cell>
          <cell r="CO76">
            <v>-18843.16</v>
          </cell>
          <cell r="CP76">
            <v>-20378.8</v>
          </cell>
          <cell r="CQ76">
            <v>-21184.400000000001</v>
          </cell>
          <cell r="CR76">
            <v>-19744.060000000001</v>
          </cell>
          <cell r="CS76">
            <v>-21823.15</v>
          </cell>
          <cell r="CT76">
            <v>-25095.11</v>
          </cell>
          <cell r="CU76">
            <v>-25768.59</v>
          </cell>
          <cell r="CV76">
            <v>-28753.27</v>
          </cell>
          <cell r="CW76">
            <v>-18611.599999999999</v>
          </cell>
          <cell r="CX76">
            <v>-33443.22</v>
          </cell>
          <cell r="CY76">
            <v>-27248.54</v>
          </cell>
          <cell r="CZ76">
            <v>-22448.37</v>
          </cell>
          <cell r="DA76">
            <v>-19332.48</v>
          </cell>
          <cell r="DB76">
            <v>-17835.509999999998</v>
          </cell>
          <cell r="DC76">
            <v>-19021.990000000002</v>
          </cell>
          <cell r="DD76">
            <v>-18212.13</v>
          </cell>
          <cell r="DE76">
            <v>-20767.849999999999</v>
          </cell>
          <cell r="DF76">
            <v>-20890.07</v>
          </cell>
          <cell r="DG76">
            <v>-29583.57</v>
          </cell>
        </row>
        <row r="77">
          <cell r="A77">
            <v>4870000</v>
          </cell>
          <cell r="B77">
            <v>4870000</v>
          </cell>
          <cell r="C77" t="str">
            <v>Forfeited Discounts</v>
          </cell>
          <cell r="D77">
            <v>-87247.01</v>
          </cell>
          <cell r="E77">
            <v>-96255.7</v>
          </cell>
          <cell r="F77">
            <v>-92056.61</v>
          </cell>
          <cell r="G77">
            <v>-89213.83</v>
          </cell>
          <cell r="H77">
            <v>-77492.5</v>
          </cell>
          <cell r="I77">
            <v>-61370.03</v>
          </cell>
          <cell r="J77">
            <v>-83041.899999999994</v>
          </cell>
          <cell r="K77">
            <v>-63714.47</v>
          </cell>
          <cell r="L77">
            <v>-66933.72</v>
          </cell>
          <cell r="M77">
            <v>-65930.600000000006</v>
          </cell>
          <cell r="N77">
            <v>-55364.42</v>
          </cell>
          <cell r="O77">
            <v>-84632.61</v>
          </cell>
          <cell r="P77">
            <v>-87423.9</v>
          </cell>
          <cell r="Q77">
            <v>-89152.35</v>
          </cell>
          <cell r="R77">
            <v>-84691.04</v>
          </cell>
          <cell r="S77">
            <v>-80392.259999999995</v>
          </cell>
          <cell r="T77">
            <v>-72940.820000000007</v>
          </cell>
          <cell r="U77">
            <v>-61978.98</v>
          </cell>
          <cell r="V77">
            <v>-67374.3</v>
          </cell>
          <cell r="W77">
            <v>-65541.210000000006</v>
          </cell>
          <cell r="X77">
            <v>-64531.85</v>
          </cell>
          <cell r="Y77">
            <v>-67554.8</v>
          </cell>
          <cell r="Z77">
            <v>-55547.86</v>
          </cell>
          <cell r="AA77">
            <v>-85259.37</v>
          </cell>
          <cell r="AB77">
            <v>-83397.03</v>
          </cell>
          <cell r="AC77">
            <v>-83231.009999999995</v>
          </cell>
          <cell r="AD77">
            <v>-101891.83</v>
          </cell>
          <cell r="AE77">
            <v>-82907.240000000005</v>
          </cell>
          <cell r="AF77">
            <v>-74399.78</v>
          </cell>
          <cell r="AG77">
            <v>-88287.29</v>
          </cell>
          <cell r="AH77">
            <v>-71623.55</v>
          </cell>
          <cell r="AI77">
            <v>-67213.05</v>
          </cell>
          <cell r="AJ77">
            <v>-66750.03</v>
          </cell>
          <cell r="AK77">
            <v>-72295.350000000006</v>
          </cell>
          <cell r="AL77">
            <v>-72659.210000000006</v>
          </cell>
          <cell r="AM77">
            <v>-77624.399999999994</v>
          </cell>
          <cell r="AN77">
            <v>-59316.46</v>
          </cell>
          <cell r="AO77">
            <v>-151333.35999999999</v>
          </cell>
          <cell r="AP77">
            <v>-128907.76</v>
          </cell>
          <cell r="AQ77">
            <v>-124259.41</v>
          </cell>
          <cell r="AR77">
            <v>-124490.84</v>
          </cell>
          <cell r="AS77">
            <v>-113303.96</v>
          </cell>
          <cell r="AT77">
            <v>-96809.73</v>
          </cell>
          <cell r="AU77">
            <v>-85436.47</v>
          </cell>
          <cell r="AV77">
            <v>-58089.18</v>
          </cell>
          <cell r="AW77">
            <v>-87568.86</v>
          </cell>
          <cell r="AX77">
            <v>-92341.759999999995</v>
          </cell>
          <cell r="AY77">
            <v>-100712.94</v>
          </cell>
          <cell r="AZ77">
            <v>-136915.21</v>
          </cell>
          <cell r="BA77">
            <v>-152350.26</v>
          </cell>
          <cell r="BB77">
            <v>-135306.41</v>
          </cell>
          <cell r="BC77">
            <v>-120362.92</v>
          </cell>
          <cell r="BD77">
            <v>-107479.67999999999</v>
          </cell>
          <cell r="BE77">
            <v>-108178.03</v>
          </cell>
          <cell r="BF77">
            <v>-81021.48</v>
          </cell>
          <cell r="BG77">
            <v>-93145.66</v>
          </cell>
          <cell r="BH77">
            <v>-93797.8</v>
          </cell>
          <cell r="BI77">
            <v>-92860.57</v>
          </cell>
          <cell r="BJ77">
            <v>-92318.16</v>
          </cell>
          <cell r="BK77">
            <v>-102418.29</v>
          </cell>
          <cell r="BL77">
            <v>-122474.71</v>
          </cell>
          <cell r="BM77">
            <v>-104745.17</v>
          </cell>
          <cell r="BN77">
            <v>-101191.82</v>
          </cell>
          <cell r="BO77">
            <v>-90192.52</v>
          </cell>
          <cell r="BP77">
            <v>-95436.56</v>
          </cell>
          <cell r="BQ77">
            <v>-81788.81</v>
          </cell>
          <cell r="BR77">
            <v>-79095.179999999993</v>
          </cell>
          <cell r="BS77">
            <v>-82562.100000000006</v>
          </cell>
          <cell r="BT77">
            <v>-80215.199999999997</v>
          </cell>
          <cell r="BU77">
            <v>-78789.2</v>
          </cell>
          <cell r="BV77">
            <v>-75675.8</v>
          </cell>
          <cell r="BW77">
            <v>-86066.92</v>
          </cell>
          <cell r="BX77">
            <v>-109351.41</v>
          </cell>
          <cell r="BY77">
            <v>-96150.71</v>
          </cell>
          <cell r="BZ77">
            <v>-95243.34</v>
          </cell>
          <cell r="CA77">
            <v>-125154.01</v>
          </cell>
          <cell r="CB77">
            <v>-125404.42</v>
          </cell>
          <cell r="CC77">
            <v>-118230.31</v>
          </cell>
          <cell r="CD77">
            <v>-111280.65</v>
          </cell>
          <cell r="CE77">
            <v>-107101.89</v>
          </cell>
          <cell r="CF77">
            <v>-77071.8</v>
          </cell>
          <cell r="CG77">
            <v>-100031.24</v>
          </cell>
          <cell r="CH77">
            <v>-96374.31</v>
          </cell>
          <cell r="CI77">
            <v>-96654.77</v>
          </cell>
          <cell r="CJ77">
            <v>-119228.77</v>
          </cell>
          <cell r="CK77">
            <v>-130606.05</v>
          </cell>
          <cell r="CL77">
            <v>-133259.43</v>
          </cell>
          <cell r="CM77">
            <v>-103588.7</v>
          </cell>
          <cell r="CN77">
            <v>-116765.87</v>
          </cell>
          <cell r="CO77">
            <v>-114304.89</v>
          </cell>
          <cell r="CP77">
            <v>-88348.87</v>
          </cell>
          <cell r="CQ77">
            <v>-97463.65</v>
          </cell>
          <cell r="CR77">
            <v>-98512.4</v>
          </cell>
          <cell r="CS77">
            <v>-86061.9</v>
          </cell>
          <cell r="CT77">
            <v>-95425.25</v>
          </cell>
          <cell r="CU77">
            <v>-112683.27</v>
          </cell>
          <cell r="CV77">
            <v>-129742.77</v>
          </cell>
          <cell r="CW77">
            <v>-126915.26</v>
          </cell>
          <cell r="CX77">
            <v>-129695.91</v>
          </cell>
          <cell r="CY77">
            <v>-110652.56</v>
          </cell>
          <cell r="CZ77">
            <v>-113565.37</v>
          </cell>
          <cell r="DA77">
            <v>-112833.55</v>
          </cell>
          <cell r="DB77">
            <v>-108117.42</v>
          </cell>
          <cell r="DC77">
            <v>-105940.48</v>
          </cell>
          <cell r="DD77">
            <v>-117793.88</v>
          </cell>
          <cell r="DE77">
            <v>-111403.97</v>
          </cell>
          <cell r="DF77">
            <v>-118920.17</v>
          </cell>
          <cell r="DG77">
            <v>-118443.07</v>
          </cell>
        </row>
        <row r="78">
          <cell r="A78">
            <v>4880101</v>
          </cell>
          <cell r="B78">
            <v>4880101</v>
          </cell>
          <cell r="C78" t="str">
            <v>Res ConnectReconnect</v>
          </cell>
          <cell r="D78">
            <v>-168080</v>
          </cell>
          <cell r="E78">
            <v>-178935</v>
          </cell>
          <cell r="F78">
            <v>-161149</v>
          </cell>
          <cell r="G78">
            <v>-149500</v>
          </cell>
          <cell r="H78">
            <v>-133854</v>
          </cell>
          <cell r="I78">
            <v>-156498</v>
          </cell>
          <cell r="J78">
            <v>-156827</v>
          </cell>
          <cell r="K78">
            <v>-156588</v>
          </cell>
          <cell r="L78">
            <v>-164014</v>
          </cell>
          <cell r="M78">
            <v>-184115</v>
          </cell>
          <cell r="N78">
            <v>-194620</v>
          </cell>
          <cell r="O78">
            <v>-167467</v>
          </cell>
          <cell r="P78">
            <v>-148441</v>
          </cell>
          <cell r="Q78">
            <v>-172306</v>
          </cell>
          <cell r="R78">
            <v>-151190</v>
          </cell>
          <cell r="S78">
            <v>-133400</v>
          </cell>
          <cell r="T78">
            <v>-134342</v>
          </cell>
          <cell r="U78">
            <v>-148043</v>
          </cell>
          <cell r="V78">
            <v>-144408</v>
          </cell>
          <cell r="W78">
            <v>-159878.5</v>
          </cell>
          <cell r="X78">
            <v>-147367</v>
          </cell>
          <cell r="Y78">
            <v>-168114</v>
          </cell>
          <cell r="Z78">
            <v>-165254</v>
          </cell>
          <cell r="AA78">
            <v>-159111</v>
          </cell>
          <cell r="AB78">
            <v>-140982</v>
          </cell>
          <cell r="AC78">
            <v>-152279</v>
          </cell>
          <cell r="AD78">
            <v>-144915</v>
          </cell>
          <cell r="AE78">
            <v>-126819</v>
          </cell>
          <cell r="AF78">
            <v>-140271</v>
          </cell>
          <cell r="AG78">
            <v>-139381</v>
          </cell>
          <cell r="AH78">
            <v>-147642.12</v>
          </cell>
          <cell r="AI78">
            <v>-152780</v>
          </cell>
          <cell r="AJ78">
            <v>-142345</v>
          </cell>
          <cell r="AK78">
            <v>-147621</v>
          </cell>
          <cell r="AL78">
            <v>-168511</v>
          </cell>
          <cell r="AM78">
            <v>-166487.95000000001</v>
          </cell>
          <cell r="AN78">
            <v>-183513.75</v>
          </cell>
          <cell r="AO78">
            <v>-200948</v>
          </cell>
          <cell r="AP78">
            <v>-297045</v>
          </cell>
          <cell r="AQ78">
            <v>-290126</v>
          </cell>
          <cell r="AR78">
            <v>-343949</v>
          </cell>
          <cell r="AS78">
            <v>-360254</v>
          </cell>
          <cell r="AT78">
            <v>-312453.46999999997</v>
          </cell>
          <cell r="AU78">
            <v>-339317</v>
          </cell>
          <cell r="AV78">
            <v>-212107.83</v>
          </cell>
          <cell r="AW78">
            <v>-304069</v>
          </cell>
          <cell r="AX78">
            <v>-305808</v>
          </cell>
          <cell r="AY78">
            <v>-288234</v>
          </cell>
          <cell r="AZ78">
            <v>-293501</v>
          </cell>
          <cell r="BA78">
            <v>-300335</v>
          </cell>
          <cell r="BB78">
            <v>-357282</v>
          </cell>
          <cell r="BC78">
            <v>-326040</v>
          </cell>
          <cell r="BD78">
            <v>-337061</v>
          </cell>
          <cell r="BE78">
            <v>-348710</v>
          </cell>
          <cell r="BF78">
            <v>-353783</v>
          </cell>
          <cell r="BG78">
            <v>-371700</v>
          </cell>
          <cell r="BH78">
            <v>-285574.34000000003</v>
          </cell>
          <cell r="BI78">
            <v>-321772.44</v>
          </cell>
          <cell r="BJ78">
            <v>-306494</v>
          </cell>
          <cell r="BK78">
            <v>-287027.34000000003</v>
          </cell>
          <cell r="BL78">
            <v>-363135.5</v>
          </cell>
          <cell r="BM78">
            <v>-346695</v>
          </cell>
          <cell r="BN78">
            <v>-377137</v>
          </cell>
          <cell r="BO78">
            <v>-347337</v>
          </cell>
          <cell r="BP78">
            <v>-352342</v>
          </cell>
          <cell r="BQ78">
            <v>-248049</v>
          </cell>
          <cell r="BR78">
            <v>-261755</v>
          </cell>
          <cell r="BS78">
            <v>-269635</v>
          </cell>
          <cell r="BT78">
            <v>-220137</v>
          </cell>
          <cell r="BU78">
            <v>-272617</v>
          </cell>
          <cell r="BV78">
            <v>-237675</v>
          </cell>
          <cell r="BW78">
            <v>-221017</v>
          </cell>
          <cell r="BX78">
            <v>-231138.39</v>
          </cell>
          <cell r="BY78">
            <v>-243915</v>
          </cell>
          <cell r="BZ78">
            <v>-235889</v>
          </cell>
          <cell r="CA78">
            <v>-159902</v>
          </cell>
          <cell r="CB78">
            <v>-158420</v>
          </cell>
          <cell r="CC78">
            <v>-167550</v>
          </cell>
          <cell r="CD78">
            <v>-172082</v>
          </cell>
          <cell r="CE78">
            <v>-166410</v>
          </cell>
          <cell r="CF78">
            <v>-182935</v>
          </cell>
          <cell r="CG78">
            <v>-216865</v>
          </cell>
          <cell r="CH78">
            <v>-179693.35</v>
          </cell>
          <cell r="CI78">
            <v>-209355</v>
          </cell>
          <cell r="CJ78">
            <v>-250411</v>
          </cell>
          <cell r="CK78">
            <v>-268527.94</v>
          </cell>
          <cell r="CL78">
            <v>-301065</v>
          </cell>
          <cell r="CM78">
            <v>-257501.5</v>
          </cell>
          <cell r="CN78">
            <v>-255770</v>
          </cell>
          <cell r="CO78">
            <v>-272964.5</v>
          </cell>
          <cell r="CP78">
            <v>-252084</v>
          </cell>
          <cell r="CQ78">
            <v>-281769</v>
          </cell>
          <cell r="CR78">
            <v>-267606.5</v>
          </cell>
          <cell r="CS78">
            <v>-285745</v>
          </cell>
          <cell r="CT78">
            <v>-290448.5</v>
          </cell>
          <cell r="CU78">
            <v>-247672</v>
          </cell>
          <cell r="CV78">
            <v>-259798</v>
          </cell>
          <cell r="CW78">
            <v>-304454</v>
          </cell>
          <cell r="CX78">
            <v>-333004</v>
          </cell>
          <cell r="CY78">
            <v>-304855</v>
          </cell>
          <cell r="CZ78">
            <v>-285831</v>
          </cell>
          <cell r="DA78">
            <v>-335489.5</v>
          </cell>
          <cell r="DB78">
            <v>-305636.5</v>
          </cell>
          <cell r="DC78">
            <v>-331911.5</v>
          </cell>
          <cell r="DD78">
            <v>-288352</v>
          </cell>
          <cell r="DE78">
            <v>-341053.5</v>
          </cell>
          <cell r="DF78">
            <v>-344285.5</v>
          </cell>
          <cell r="DG78">
            <v>-288225.5</v>
          </cell>
        </row>
        <row r="79">
          <cell r="A79">
            <v>4880102</v>
          </cell>
          <cell r="B79">
            <v>4880102</v>
          </cell>
          <cell r="C79" t="str">
            <v>Com ConnectReconnect</v>
          </cell>
          <cell r="D79">
            <v>-17516.5</v>
          </cell>
          <cell r="E79">
            <v>-15855</v>
          </cell>
          <cell r="F79">
            <v>-14550</v>
          </cell>
          <cell r="G79">
            <v>-17670</v>
          </cell>
          <cell r="H79">
            <v>-14250</v>
          </cell>
          <cell r="I79">
            <v>-17025</v>
          </cell>
          <cell r="J79">
            <v>-13380</v>
          </cell>
          <cell r="K79">
            <v>-16117.5</v>
          </cell>
          <cell r="L79">
            <v>-18187.5</v>
          </cell>
          <cell r="M79">
            <v>-19042.5</v>
          </cell>
          <cell r="N79">
            <v>-21075</v>
          </cell>
          <cell r="O79">
            <v>-14730</v>
          </cell>
          <cell r="P79">
            <v>-13980</v>
          </cell>
          <cell r="Q79">
            <v>-15862.5</v>
          </cell>
          <cell r="R79">
            <v>-12984.5</v>
          </cell>
          <cell r="S79">
            <v>-12375</v>
          </cell>
          <cell r="T79">
            <v>-13155</v>
          </cell>
          <cell r="U79">
            <v>-12797</v>
          </cell>
          <cell r="V79">
            <v>-14212.5</v>
          </cell>
          <cell r="W79">
            <v>-13930</v>
          </cell>
          <cell r="X79">
            <v>-14947.5</v>
          </cell>
          <cell r="Y79">
            <v>-17850</v>
          </cell>
          <cell r="Z79">
            <v>-16935</v>
          </cell>
          <cell r="AA79">
            <v>-14180</v>
          </cell>
          <cell r="AB79">
            <v>-14647.5</v>
          </cell>
          <cell r="AC79">
            <v>-14212.5</v>
          </cell>
          <cell r="AD79">
            <v>-12669.5</v>
          </cell>
          <cell r="AE79">
            <v>-12337.5</v>
          </cell>
          <cell r="AF79">
            <v>-13887.5</v>
          </cell>
          <cell r="AG79">
            <v>-15191.5</v>
          </cell>
          <cell r="AH79">
            <v>-14337</v>
          </cell>
          <cell r="AI79">
            <v>-14110</v>
          </cell>
          <cell r="AJ79">
            <v>-12405</v>
          </cell>
          <cell r="AK79">
            <v>-15862.5</v>
          </cell>
          <cell r="AL79">
            <v>-17732</v>
          </cell>
          <cell r="AM79">
            <v>-16761</v>
          </cell>
          <cell r="AN79">
            <v>-13188</v>
          </cell>
          <cell r="AO79">
            <v>-15778</v>
          </cell>
          <cell r="AP79">
            <v>-27329.5</v>
          </cell>
          <cell r="AQ79">
            <v>-23577.5</v>
          </cell>
          <cell r="AR79">
            <v>-24875.5</v>
          </cell>
          <cell r="AS79">
            <v>-28866.5</v>
          </cell>
          <cell r="AT79">
            <v>-24171</v>
          </cell>
          <cell r="AU79">
            <v>-29294.5</v>
          </cell>
          <cell r="AV79">
            <v>-12828</v>
          </cell>
          <cell r="AW79">
            <v>-27715</v>
          </cell>
          <cell r="AX79">
            <v>-18998</v>
          </cell>
          <cell r="AY79">
            <v>-21020</v>
          </cell>
          <cell r="AZ79">
            <v>-31608.5</v>
          </cell>
          <cell r="BA79">
            <v>-20799</v>
          </cell>
          <cell r="BB79">
            <v>-28179.5</v>
          </cell>
          <cell r="BC79">
            <v>-27918.5</v>
          </cell>
          <cell r="BD79">
            <v>-23689</v>
          </cell>
          <cell r="BE79">
            <v>-22846.5</v>
          </cell>
          <cell r="BF79">
            <v>-24395</v>
          </cell>
          <cell r="BG79">
            <v>-26008</v>
          </cell>
          <cell r="BH79">
            <v>-22683.5</v>
          </cell>
          <cell r="BI79">
            <v>-25803</v>
          </cell>
          <cell r="BJ79">
            <v>-22844</v>
          </cell>
          <cell r="BK79">
            <v>-23790.5</v>
          </cell>
          <cell r="BL79">
            <v>-61154</v>
          </cell>
          <cell r="BM79">
            <v>-40440</v>
          </cell>
          <cell r="BN79">
            <v>-43447.5</v>
          </cell>
          <cell r="BO79">
            <v>-38340.5</v>
          </cell>
          <cell r="BP79">
            <v>-34620.5</v>
          </cell>
          <cell r="BQ79">
            <v>-26237</v>
          </cell>
          <cell r="BR79">
            <v>-24429.5</v>
          </cell>
          <cell r="BS79">
            <v>-26019</v>
          </cell>
          <cell r="BT79">
            <v>-25670</v>
          </cell>
          <cell r="BU79">
            <v>-30997.5</v>
          </cell>
          <cell r="BV79">
            <v>-29567.5</v>
          </cell>
          <cell r="BW79">
            <v>-24460</v>
          </cell>
          <cell r="BX79">
            <v>-22442.5</v>
          </cell>
          <cell r="BY79">
            <v>-24205</v>
          </cell>
          <cell r="BZ79">
            <v>-17322.5</v>
          </cell>
          <cell r="CA79">
            <v>-10350</v>
          </cell>
          <cell r="CB79">
            <v>-16550</v>
          </cell>
          <cell r="CC79">
            <v>-16727.5</v>
          </cell>
          <cell r="CD79">
            <v>-14140</v>
          </cell>
          <cell r="CE79">
            <v>-15180</v>
          </cell>
          <cell r="CF79">
            <v>-20555</v>
          </cell>
          <cell r="CG79">
            <v>-30920</v>
          </cell>
          <cell r="CH79">
            <v>-24545</v>
          </cell>
          <cell r="CI79">
            <v>-23605</v>
          </cell>
          <cell r="CJ79">
            <v>-25530</v>
          </cell>
          <cell r="CK79">
            <v>-22975</v>
          </cell>
          <cell r="CL79">
            <v>-28900</v>
          </cell>
          <cell r="CM79">
            <v>-19210</v>
          </cell>
          <cell r="CN79">
            <v>-22975</v>
          </cell>
          <cell r="CO79">
            <v>-29920</v>
          </cell>
          <cell r="CP79">
            <v>-25168</v>
          </cell>
          <cell r="CQ79">
            <v>-28715</v>
          </cell>
          <cell r="CR79">
            <v>-28615</v>
          </cell>
          <cell r="CS79">
            <v>-28840</v>
          </cell>
          <cell r="CT79">
            <v>-23448</v>
          </cell>
          <cell r="CU79">
            <v>-23415</v>
          </cell>
          <cell r="CV79">
            <v>-22665</v>
          </cell>
          <cell r="CW79">
            <v>-24400</v>
          </cell>
          <cell r="CX79">
            <v>-29760</v>
          </cell>
          <cell r="CY79">
            <v>-29180</v>
          </cell>
          <cell r="CZ79">
            <v>-27168</v>
          </cell>
          <cell r="DA79">
            <v>-25728</v>
          </cell>
          <cell r="DB79">
            <v>-20145</v>
          </cell>
          <cell r="DC79">
            <v>-24640</v>
          </cell>
          <cell r="DD79">
            <v>-23574</v>
          </cell>
          <cell r="DE79">
            <v>-25920</v>
          </cell>
          <cell r="DF79">
            <v>-28640</v>
          </cell>
          <cell r="DG79">
            <v>-21299</v>
          </cell>
        </row>
        <row r="80">
          <cell r="A80">
            <v>4880103</v>
          </cell>
          <cell r="B80">
            <v>4880103</v>
          </cell>
          <cell r="C80" t="str">
            <v>MiscSv-Change Out</v>
          </cell>
          <cell r="D80">
            <v>-55046</v>
          </cell>
          <cell r="E80">
            <v>-58632</v>
          </cell>
          <cell r="F80">
            <v>-68043</v>
          </cell>
          <cell r="G80">
            <v>-67928</v>
          </cell>
          <cell r="H80">
            <v>-66640</v>
          </cell>
          <cell r="I80">
            <v>-77989</v>
          </cell>
          <cell r="J80">
            <v>-77028</v>
          </cell>
          <cell r="K80">
            <v>-72091</v>
          </cell>
          <cell r="L80">
            <v>-69972</v>
          </cell>
          <cell r="M80">
            <v>-75273</v>
          </cell>
          <cell r="N80">
            <v>-60711.95</v>
          </cell>
          <cell r="O80">
            <v>-65668</v>
          </cell>
          <cell r="P80">
            <v>-54294.05</v>
          </cell>
          <cell r="Q80">
            <v>-62698</v>
          </cell>
          <cell r="R80">
            <v>-74730</v>
          </cell>
          <cell r="S80">
            <v>-70448</v>
          </cell>
          <cell r="T80">
            <v>-82731.22</v>
          </cell>
          <cell r="U80">
            <v>-89855</v>
          </cell>
          <cell r="V80">
            <v>-82793</v>
          </cell>
          <cell r="W80">
            <v>-85635</v>
          </cell>
          <cell r="X80">
            <v>-72514</v>
          </cell>
          <cell r="Y80">
            <v>-67458</v>
          </cell>
          <cell r="Z80">
            <v>-67623</v>
          </cell>
          <cell r="AA80">
            <v>-70778.210000000006</v>
          </cell>
          <cell r="AB80">
            <v>-57969</v>
          </cell>
          <cell r="AC80">
            <v>-68695.47</v>
          </cell>
          <cell r="AD80">
            <v>-87086</v>
          </cell>
          <cell r="AE80">
            <v>-79492</v>
          </cell>
          <cell r="AF80">
            <v>-89186</v>
          </cell>
          <cell r="AG80">
            <v>-90160</v>
          </cell>
          <cell r="AH80">
            <v>-98396.77</v>
          </cell>
          <cell r="AI80">
            <v>-84289</v>
          </cell>
          <cell r="AJ80">
            <v>-80548</v>
          </cell>
          <cell r="AK80">
            <v>-75740</v>
          </cell>
          <cell r="AL80">
            <v>-77694</v>
          </cell>
          <cell r="AM80">
            <v>-71459</v>
          </cell>
          <cell r="AN80">
            <v>0</v>
          </cell>
          <cell r="AO80">
            <v>0</v>
          </cell>
          <cell r="AP80">
            <v>0</v>
          </cell>
          <cell r="AQ80">
            <v>0</v>
          </cell>
          <cell r="AR80">
            <v>0</v>
          </cell>
          <cell r="AS80">
            <v>0</v>
          </cell>
          <cell r="AT80">
            <v>0</v>
          </cell>
          <cell r="AU80">
            <v>0</v>
          </cell>
          <cell r="AV80">
            <v>0</v>
          </cell>
          <cell r="AW80"/>
          <cell r="AX80"/>
          <cell r="AY80"/>
          <cell r="AZ80"/>
          <cell r="BA80"/>
          <cell r="BB80"/>
          <cell r="BC80"/>
          <cell r="BD80"/>
          <cell r="BE80"/>
          <cell r="BF80"/>
          <cell r="BG80"/>
          <cell r="BH80"/>
          <cell r="BI80">
            <v>0</v>
          </cell>
          <cell r="BJ80">
            <v>-29736</v>
          </cell>
          <cell r="BK80">
            <v>224</v>
          </cell>
          <cell r="BL80">
            <v>56</v>
          </cell>
          <cell r="BM80">
            <v>28</v>
          </cell>
          <cell r="BN80">
            <v>0</v>
          </cell>
          <cell r="BO80">
            <v>0</v>
          </cell>
          <cell r="BP80">
            <v>-18424</v>
          </cell>
          <cell r="BQ80">
            <v>-100128</v>
          </cell>
          <cell r="BR80">
            <v>-105896</v>
          </cell>
          <cell r="BS80">
            <v>-104356</v>
          </cell>
          <cell r="BT80">
            <v>-80396</v>
          </cell>
          <cell r="BU80">
            <v>-89516</v>
          </cell>
          <cell r="BV80">
            <v>-82320</v>
          </cell>
          <cell r="BW80">
            <v>-94388</v>
          </cell>
          <cell r="BX80">
            <v>-80024</v>
          </cell>
          <cell r="BY80">
            <v>-78456</v>
          </cell>
          <cell r="BZ80">
            <v>-95088</v>
          </cell>
          <cell r="CA80">
            <v>-85288</v>
          </cell>
          <cell r="CB80">
            <v>-88291.13</v>
          </cell>
          <cell r="CC80">
            <v>-116256</v>
          </cell>
          <cell r="CD80">
            <v>-141260</v>
          </cell>
          <cell r="CE80">
            <v>-125272</v>
          </cell>
          <cell r="CF80">
            <v>-121100</v>
          </cell>
          <cell r="CG80">
            <v>-124768</v>
          </cell>
          <cell r="CH80">
            <v>-110796</v>
          </cell>
          <cell r="CI80">
            <v>-132216</v>
          </cell>
          <cell r="CJ80">
            <v>-79856</v>
          </cell>
          <cell r="CK80">
            <v>-90984</v>
          </cell>
          <cell r="CL80">
            <v>-113412</v>
          </cell>
          <cell r="CM80">
            <v>-118918.68</v>
          </cell>
          <cell r="CN80">
            <v>-115248</v>
          </cell>
          <cell r="CO80">
            <v>-128152</v>
          </cell>
          <cell r="CP80">
            <v>-105236</v>
          </cell>
          <cell r="CQ80">
            <v>-110816</v>
          </cell>
          <cell r="CR80">
            <v>-95776</v>
          </cell>
          <cell r="CS80">
            <v>-99836</v>
          </cell>
          <cell r="CT80">
            <v>-97440</v>
          </cell>
          <cell r="CU80">
            <v>-110616</v>
          </cell>
          <cell r="CV80">
            <v>-91416</v>
          </cell>
          <cell r="CW80">
            <v>-89976</v>
          </cell>
          <cell r="CX80">
            <v>-108192</v>
          </cell>
          <cell r="CY80">
            <v>-110952</v>
          </cell>
          <cell r="CZ80">
            <v>-114572</v>
          </cell>
          <cell r="DA80">
            <v>-118796</v>
          </cell>
          <cell r="DB80">
            <v>-113712</v>
          </cell>
          <cell r="DC80">
            <v>-108264</v>
          </cell>
          <cell r="DD80">
            <v>-91776</v>
          </cell>
          <cell r="DE80">
            <v>-87336</v>
          </cell>
          <cell r="DF80">
            <v>-85820</v>
          </cell>
          <cell r="DG80">
            <v>-104208</v>
          </cell>
        </row>
        <row r="81">
          <cell r="A81">
            <v>4880104</v>
          </cell>
          <cell r="B81">
            <v>4880104</v>
          </cell>
          <cell r="C81" t="str">
            <v>MiscSv-Trip Charge</v>
          </cell>
          <cell r="D81">
            <v>-109140</v>
          </cell>
          <cell r="E81">
            <v>-148320</v>
          </cell>
          <cell r="F81">
            <v>-154795</v>
          </cell>
          <cell r="G81">
            <v>-121001.05</v>
          </cell>
          <cell r="H81">
            <v>-131550</v>
          </cell>
          <cell r="I81">
            <v>-140074</v>
          </cell>
          <cell r="J81">
            <v>-105727</v>
          </cell>
          <cell r="K81">
            <v>-113990</v>
          </cell>
          <cell r="L81">
            <v>-114040</v>
          </cell>
          <cell r="M81">
            <v>-107714.5</v>
          </cell>
          <cell r="N81">
            <v>-78074.5</v>
          </cell>
          <cell r="O81">
            <v>-80359.149999999994</v>
          </cell>
          <cell r="P81">
            <v>-133237</v>
          </cell>
          <cell r="Q81">
            <v>-127717.5</v>
          </cell>
          <cell r="R81">
            <v>-116206</v>
          </cell>
          <cell r="S81">
            <v>-116226</v>
          </cell>
          <cell r="T81">
            <v>-125200.55</v>
          </cell>
          <cell r="U81">
            <v>-102492</v>
          </cell>
          <cell r="V81">
            <v>-102033</v>
          </cell>
          <cell r="W81">
            <v>-95900</v>
          </cell>
          <cell r="X81">
            <v>-81298</v>
          </cell>
          <cell r="Y81">
            <v>-93501</v>
          </cell>
          <cell r="Z81">
            <v>-79369</v>
          </cell>
          <cell r="AA81">
            <v>-65750.5</v>
          </cell>
          <cell r="AB81">
            <v>-80515</v>
          </cell>
          <cell r="AC81">
            <v>-78733.5</v>
          </cell>
          <cell r="AD81">
            <v>-97792</v>
          </cell>
          <cell r="AE81">
            <v>-96841.59</v>
          </cell>
          <cell r="AF81">
            <v>-82624</v>
          </cell>
          <cell r="AG81">
            <v>-80754</v>
          </cell>
          <cell r="AH81">
            <v>-84057</v>
          </cell>
          <cell r="AI81">
            <v>-87145</v>
          </cell>
          <cell r="AJ81">
            <v>-71674</v>
          </cell>
          <cell r="AK81">
            <v>-71195</v>
          </cell>
          <cell r="AL81">
            <v>-76887</v>
          </cell>
          <cell r="AM81">
            <v>-39625</v>
          </cell>
          <cell r="AN81">
            <v>40</v>
          </cell>
          <cell r="AO81">
            <v>0</v>
          </cell>
          <cell r="AP81">
            <v>-1480</v>
          </cell>
          <cell r="AQ81">
            <v>-2000</v>
          </cell>
          <cell r="AR81">
            <v>-5040</v>
          </cell>
          <cell r="AS81">
            <v>-6260</v>
          </cell>
          <cell r="AT81">
            <v>-4180</v>
          </cell>
          <cell r="AU81">
            <v>-6340</v>
          </cell>
          <cell r="AV81">
            <v>-360</v>
          </cell>
          <cell r="AW81">
            <v>-2660</v>
          </cell>
          <cell r="AX81">
            <v>-1220</v>
          </cell>
          <cell r="AY81">
            <v>-780</v>
          </cell>
          <cell r="AZ81">
            <v>-2760</v>
          </cell>
          <cell r="BA81">
            <v>-2560</v>
          </cell>
          <cell r="BB81">
            <v>-3440</v>
          </cell>
          <cell r="BC81">
            <v>-2900</v>
          </cell>
          <cell r="BD81">
            <v>-3800</v>
          </cell>
          <cell r="BE81">
            <v>-3840</v>
          </cell>
          <cell r="BF81">
            <v>-2860</v>
          </cell>
          <cell r="BG81">
            <v>-2640</v>
          </cell>
          <cell r="BH81">
            <v>-3300</v>
          </cell>
          <cell r="BI81">
            <v>-2580</v>
          </cell>
          <cell r="BJ81">
            <v>-1320</v>
          </cell>
          <cell r="BK81">
            <v>-2200</v>
          </cell>
          <cell r="BL81">
            <v>-8060</v>
          </cell>
          <cell r="BM81">
            <v>-8980</v>
          </cell>
          <cell r="BN81">
            <v>-6460</v>
          </cell>
          <cell r="BO81">
            <v>-6580</v>
          </cell>
          <cell r="BP81">
            <v>-6700</v>
          </cell>
          <cell r="BQ81">
            <v>-4480</v>
          </cell>
          <cell r="BR81">
            <v>-2260</v>
          </cell>
          <cell r="BS81">
            <v>-2500</v>
          </cell>
          <cell r="BT81">
            <v>-2360</v>
          </cell>
          <cell r="BU81">
            <v>-4420</v>
          </cell>
          <cell r="BV81">
            <v>-2320</v>
          </cell>
          <cell r="BW81">
            <v>-3680</v>
          </cell>
          <cell r="BX81">
            <v>-2840</v>
          </cell>
          <cell r="BY81">
            <v>-6320</v>
          </cell>
          <cell r="BZ81">
            <v>-1360</v>
          </cell>
          <cell r="CA81">
            <v>60</v>
          </cell>
          <cell r="CB81">
            <v>0</v>
          </cell>
          <cell r="CC81">
            <v>0</v>
          </cell>
          <cell r="CD81">
            <v>0</v>
          </cell>
          <cell r="CE81">
            <v>0</v>
          </cell>
          <cell r="CF81">
            <v>-480</v>
          </cell>
          <cell r="CG81">
            <v>-240</v>
          </cell>
          <cell r="CH81">
            <v>-640</v>
          </cell>
          <cell r="CI81">
            <v>-300</v>
          </cell>
          <cell r="CJ81">
            <v>-875</v>
          </cell>
          <cell r="CK81">
            <v>-1050</v>
          </cell>
          <cell r="CL81">
            <v>-1530</v>
          </cell>
          <cell r="CM81">
            <v>-675</v>
          </cell>
          <cell r="CN81">
            <v>-1325</v>
          </cell>
          <cell r="CO81">
            <v>-1825</v>
          </cell>
          <cell r="CP81">
            <v>-1375</v>
          </cell>
          <cell r="CQ81">
            <v>-1100</v>
          </cell>
          <cell r="CR81">
            <v>-1800</v>
          </cell>
          <cell r="CS81">
            <v>-2325</v>
          </cell>
          <cell r="CT81">
            <v>-1725</v>
          </cell>
          <cell r="CU81">
            <v>-980</v>
          </cell>
          <cell r="CV81">
            <v>-2150</v>
          </cell>
          <cell r="CW81">
            <v>-3950</v>
          </cell>
          <cell r="CX81">
            <v>-5650</v>
          </cell>
          <cell r="CY81">
            <v>-3350</v>
          </cell>
          <cell r="CZ81">
            <v>-4350</v>
          </cell>
          <cell r="DA81">
            <v>-4100</v>
          </cell>
          <cell r="DB81">
            <v>-3025</v>
          </cell>
          <cell r="DC81">
            <v>-4575</v>
          </cell>
          <cell r="DD81">
            <v>-5225</v>
          </cell>
          <cell r="DE81">
            <v>-7075</v>
          </cell>
          <cell r="DF81">
            <v>-6250</v>
          </cell>
          <cell r="DG81">
            <v>-6750</v>
          </cell>
        </row>
        <row r="82">
          <cell r="A82">
            <v>4880105</v>
          </cell>
          <cell r="B82">
            <v>4880105</v>
          </cell>
          <cell r="C82" t="str">
            <v>MiscSv-NSF Fee</v>
          </cell>
          <cell r="D82">
            <v>-18777.830000000002</v>
          </cell>
          <cell r="E82">
            <v>-18166.349999999999</v>
          </cell>
          <cell r="F82">
            <v>-15035.4</v>
          </cell>
          <cell r="G82">
            <v>-16875.23</v>
          </cell>
          <cell r="H82">
            <v>-16193.32</v>
          </cell>
          <cell r="I82">
            <v>-18991.64</v>
          </cell>
          <cell r="J82">
            <v>-17500.71</v>
          </cell>
          <cell r="K82">
            <v>-19087.32</v>
          </cell>
          <cell r="L82">
            <v>-19321.560000000001</v>
          </cell>
          <cell r="M82">
            <v>-19248.7</v>
          </cell>
          <cell r="N82">
            <v>-18749.3</v>
          </cell>
          <cell r="O82">
            <v>-19966.099999999999</v>
          </cell>
          <cell r="P82">
            <v>-18845.849999999999</v>
          </cell>
          <cell r="Q82">
            <v>-18656.330000000002</v>
          </cell>
          <cell r="R82">
            <v>-18485.240000000002</v>
          </cell>
          <cell r="S82">
            <v>-17388.52</v>
          </cell>
          <cell r="T82">
            <v>-15709.4</v>
          </cell>
          <cell r="U82">
            <v>-17152.79</v>
          </cell>
          <cell r="V82">
            <v>-17676.84</v>
          </cell>
          <cell r="W82">
            <v>-17067.97</v>
          </cell>
          <cell r="X82">
            <v>-19544.16</v>
          </cell>
          <cell r="Y82">
            <v>-18756.66</v>
          </cell>
          <cell r="Z82">
            <v>-19905.72</v>
          </cell>
          <cell r="AA82">
            <v>-19733.84</v>
          </cell>
          <cell r="AB82">
            <v>-21853.9</v>
          </cell>
          <cell r="AC82">
            <v>-19058.71</v>
          </cell>
          <cell r="AD82">
            <v>-18778.05</v>
          </cell>
          <cell r="AE82">
            <v>-16710.560000000001</v>
          </cell>
          <cell r="AF82">
            <v>-17469.86</v>
          </cell>
          <cell r="AG82">
            <v>-20207.060000000001</v>
          </cell>
          <cell r="AH82">
            <v>-17938.57</v>
          </cell>
          <cell r="AI82">
            <v>-20711.23</v>
          </cell>
          <cell r="AJ82">
            <v>-20405.330000000002</v>
          </cell>
          <cell r="AK82">
            <v>-17596.54</v>
          </cell>
          <cell r="AL82">
            <v>-19380.240000000002</v>
          </cell>
          <cell r="AM82">
            <v>-26086.14</v>
          </cell>
          <cell r="AN82">
            <v>-21363</v>
          </cell>
          <cell r="AO82">
            <v>-15040.64</v>
          </cell>
          <cell r="AP82">
            <v>-9411.41</v>
          </cell>
          <cell r="AQ82">
            <v>-13341.25</v>
          </cell>
          <cell r="AR82">
            <v>-13699.85</v>
          </cell>
          <cell r="AS82">
            <v>-17195.39</v>
          </cell>
          <cell r="AT82">
            <v>-16052.34</v>
          </cell>
          <cell r="AU82">
            <v>-14922.44</v>
          </cell>
          <cell r="AV82">
            <v>-11911.87</v>
          </cell>
          <cell r="AW82">
            <v>-14980.95</v>
          </cell>
          <cell r="AX82">
            <v>-17140.05</v>
          </cell>
          <cell r="AY82">
            <v>-7175.06</v>
          </cell>
          <cell r="AZ82">
            <v>-16507.080000000002</v>
          </cell>
          <cell r="BA82">
            <v>-15825.7</v>
          </cell>
          <cell r="BB82">
            <v>-16037.63</v>
          </cell>
          <cell r="BC82">
            <v>-13416.9</v>
          </cell>
          <cell r="BD82">
            <v>-17107.650000000001</v>
          </cell>
          <cell r="BE82">
            <v>-14521.51</v>
          </cell>
          <cell r="BF82">
            <v>-17082.05</v>
          </cell>
          <cell r="BG82">
            <v>-16848.29</v>
          </cell>
          <cell r="BH82">
            <v>-15027.48</v>
          </cell>
          <cell r="BI82">
            <v>-18418.95</v>
          </cell>
          <cell r="BJ82">
            <v>-12486.04</v>
          </cell>
          <cell r="BK82">
            <v>-15140.78</v>
          </cell>
          <cell r="BL82">
            <v>-18595.259999999998</v>
          </cell>
          <cell r="BM82">
            <v>-17093.14</v>
          </cell>
          <cell r="BN82">
            <v>-12896.52</v>
          </cell>
          <cell r="BO82">
            <v>-12843.94</v>
          </cell>
          <cell r="BP82">
            <v>-15596.65</v>
          </cell>
          <cell r="BQ82">
            <v>-15654.17</v>
          </cell>
          <cell r="BR82">
            <v>-18864.54</v>
          </cell>
          <cell r="BS82">
            <v>-15242.28</v>
          </cell>
          <cell r="BT82">
            <v>-15403.24</v>
          </cell>
          <cell r="BU82">
            <v>-19309.38</v>
          </cell>
          <cell r="BV82">
            <v>-14429.89</v>
          </cell>
          <cell r="BW82">
            <v>-20890.91</v>
          </cell>
          <cell r="BX82">
            <v>-19362.68</v>
          </cell>
          <cell r="BY82">
            <v>-16902.810000000001</v>
          </cell>
          <cell r="BZ82">
            <v>-15658.44</v>
          </cell>
          <cell r="CA82">
            <v>-15000.56</v>
          </cell>
          <cell r="CB82">
            <v>-9837.09</v>
          </cell>
          <cell r="CC82">
            <v>-9094.69</v>
          </cell>
          <cell r="CD82">
            <v>-11052.97</v>
          </cell>
          <cell r="CE82">
            <v>-8229.6299999999992</v>
          </cell>
          <cell r="CF82">
            <v>-11184.87</v>
          </cell>
          <cell r="CG82">
            <v>-13906.26</v>
          </cell>
          <cell r="CH82">
            <v>-14102.69</v>
          </cell>
          <cell r="CI82">
            <v>-16740.11</v>
          </cell>
          <cell r="CJ82">
            <v>-13290.81</v>
          </cell>
          <cell r="CK82">
            <v>-13374.89</v>
          </cell>
          <cell r="CL82">
            <v>-14618.87</v>
          </cell>
          <cell r="CM82">
            <v>-13548.39</v>
          </cell>
          <cell r="CN82">
            <v>-12712.41</v>
          </cell>
          <cell r="CO82">
            <v>-15053.43</v>
          </cell>
          <cell r="CP82">
            <v>-14449.93</v>
          </cell>
          <cell r="CQ82">
            <v>-16590</v>
          </cell>
          <cell r="CR82">
            <v>-16221.17</v>
          </cell>
          <cell r="CS82">
            <v>-16417.099999999999</v>
          </cell>
          <cell r="CT82">
            <v>-17005.490000000002</v>
          </cell>
          <cell r="CU82">
            <v>-19413.47</v>
          </cell>
          <cell r="CV82">
            <v>-21359.42</v>
          </cell>
          <cell r="CW82">
            <v>-22998.76</v>
          </cell>
          <cell r="CX82">
            <v>-21489.81</v>
          </cell>
          <cell r="CY82">
            <v>-26172.37</v>
          </cell>
          <cell r="CZ82">
            <v>-19752.27</v>
          </cell>
          <cell r="DA82">
            <v>-22988.23</v>
          </cell>
          <cell r="DB82">
            <v>-24755.25</v>
          </cell>
          <cell r="DC82">
            <v>-21781.67</v>
          </cell>
          <cell r="DD82">
            <v>-25449.439999999999</v>
          </cell>
          <cell r="DE82">
            <v>-23804.77</v>
          </cell>
          <cell r="DF82">
            <v>-27564.04</v>
          </cell>
          <cell r="DG82">
            <v>-25783.01</v>
          </cell>
        </row>
        <row r="83">
          <cell r="A83">
            <v>4880106</v>
          </cell>
          <cell r="B83">
            <v>4880106</v>
          </cell>
          <cell r="C83" t="str">
            <v>MiscSv-FailedTripChg</v>
          </cell>
          <cell r="D83">
            <v>-5750</v>
          </cell>
          <cell r="E83">
            <v>-7460</v>
          </cell>
          <cell r="F83">
            <v>-6655</v>
          </cell>
          <cell r="G83">
            <v>-5710</v>
          </cell>
          <cell r="H83">
            <v>-7250</v>
          </cell>
          <cell r="I83">
            <v>-8250</v>
          </cell>
          <cell r="J83">
            <v>-7405</v>
          </cell>
          <cell r="K83">
            <v>-8375</v>
          </cell>
          <cell r="L83">
            <v>-6575</v>
          </cell>
          <cell r="M83">
            <v>-8175</v>
          </cell>
          <cell r="N83">
            <v>-6150</v>
          </cell>
          <cell r="O83">
            <v>-7450</v>
          </cell>
          <cell r="P83">
            <v>-6225</v>
          </cell>
          <cell r="Q83">
            <v>-8275</v>
          </cell>
          <cell r="R83">
            <v>-7825</v>
          </cell>
          <cell r="S83">
            <v>-5925</v>
          </cell>
          <cell r="T83">
            <v>-6580</v>
          </cell>
          <cell r="U83">
            <v>-5935</v>
          </cell>
          <cell r="V83">
            <v>-5900</v>
          </cell>
          <cell r="W83">
            <v>-6350</v>
          </cell>
          <cell r="X83">
            <v>-6925</v>
          </cell>
          <cell r="Y83">
            <v>-8010</v>
          </cell>
          <cell r="Z83">
            <v>-6100</v>
          </cell>
          <cell r="AA83">
            <v>-6000</v>
          </cell>
          <cell r="AB83">
            <v>-5925</v>
          </cell>
          <cell r="AC83">
            <v>-6700</v>
          </cell>
          <cell r="AD83">
            <v>-6875</v>
          </cell>
          <cell r="AE83">
            <v>-6025</v>
          </cell>
          <cell r="AF83">
            <v>-6150</v>
          </cell>
          <cell r="AG83">
            <v>-7247</v>
          </cell>
          <cell r="AH83">
            <v>-5645</v>
          </cell>
          <cell r="AI83">
            <v>-7715</v>
          </cell>
          <cell r="AJ83">
            <v>-6415</v>
          </cell>
          <cell r="AK83">
            <v>-6375</v>
          </cell>
          <cell r="AL83">
            <v>-7250</v>
          </cell>
          <cell r="AM83">
            <v>-7030</v>
          </cell>
          <cell r="AN83">
            <v>-7550</v>
          </cell>
          <cell r="AO83">
            <v>-6575</v>
          </cell>
          <cell r="AP83">
            <v>-6800</v>
          </cell>
          <cell r="AQ83">
            <v>-4625</v>
          </cell>
          <cell r="AR83">
            <v>-6475</v>
          </cell>
          <cell r="AS83">
            <v>-5675</v>
          </cell>
          <cell r="AT83">
            <v>-4875</v>
          </cell>
          <cell r="AU83">
            <v>-6300</v>
          </cell>
          <cell r="AV83">
            <v>-5450</v>
          </cell>
          <cell r="AW83">
            <v>-5300</v>
          </cell>
          <cell r="AX83">
            <v>-4625</v>
          </cell>
          <cell r="AY83">
            <v>-4425</v>
          </cell>
          <cell r="AZ83">
            <v>-4825</v>
          </cell>
          <cell r="BA83">
            <v>-5875</v>
          </cell>
          <cell r="BB83">
            <v>-6725</v>
          </cell>
          <cell r="BC83">
            <v>-6075</v>
          </cell>
          <cell r="BD83">
            <v>-5975</v>
          </cell>
          <cell r="BE83">
            <v>-6500</v>
          </cell>
          <cell r="BF83">
            <v>-6350</v>
          </cell>
          <cell r="BG83">
            <v>-7050</v>
          </cell>
          <cell r="BH83">
            <v>-5925</v>
          </cell>
          <cell r="BI83">
            <v>-6350</v>
          </cell>
          <cell r="BJ83">
            <v>-6275</v>
          </cell>
          <cell r="BK83">
            <v>-5050</v>
          </cell>
          <cell r="BL83">
            <v>-4600</v>
          </cell>
          <cell r="BM83">
            <v>-5300</v>
          </cell>
          <cell r="BN83">
            <v>-6500</v>
          </cell>
          <cell r="BO83">
            <v>-6250</v>
          </cell>
          <cell r="BP83">
            <v>-6825</v>
          </cell>
          <cell r="BQ83">
            <v>-5300</v>
          </cell>
          <cell r="BR83">
            <v>-6950</v>
          </cell>
          <cell r="BS83">
            <v>-6750</v>
          </cell>
          <cell r="BT83">
            <v>-5925</v>
          </cell>
          <cell r="BU83">
            <v>-5675</v>
          </cell>
          <cell r="BV83">
            <v>-5925</v>
          </cell>
          <cell r="BW83">
            <v>-5700</v>
          </cell>
          <cell r="BX83">
            <v>-5200</v>
          </cell>
          <cell r="BY83">
            <v>-4625</v>
          </cell>
          <cell r="BZ83">
            <v>-5000</v>
          </cell>
          <cell r="CA83">
            <v>-2300</v>
          </cell>
          <cell r="CB83">
            <v>-2500</v>
          </cell>
          <cell r="CC83">
            <v>-3075</v>
          </cell>
          <cell r="CD83">
            <v>-3275</v>
          </cell>
          <cell r="CE83">
            <v>-2700</v>
          </cell>
          <cell r="CF83">
            <v>-3175</v>
          </cell>
          <cell r="CG83">
            <v>-3375</v>
          </cell>
          <cell r="CH83">
            <v>-3300</v>
          </cell>
          <cell r="CI83">
            <v>-3250</v>
          </cell>
          <cell r="CJ83">
            <v>-2575</v>
          </cell>
          <cell r="CK83">
            <v>-3350</v>
          </cell>
          <cell r="CL83">
            <v>-4125</v>
          </cell>
          <cell r="CM83">
            <v>-4800</v>
          </cell>
          <cell r="CN83">
            <v>-3700</v>
          </cell>
          <cell r="CO83">
            <v>-4275</v>
          </cell>
          <cell r="CP83">
            <v>-3950</v>
          </cell>
          <cell r="CQ83">
            <v>-4725</v>
          </cell>
          <cell r="CR83">
            <v>-3800</v>
          </cell>
          <cell r="CS83">
            <v>-4050</v>
          </cell>
          <cell r="CT83">
            <v>-3675</v>
          </cell>
          <cell r="CU83">
            <v>-3475</v>
          </cell>
          <cell r="CV83">
            <v>-2225</v>
          </cell>
          <cell r="CW83">
            <v>-3225</v>
          </cell>
          <cell r="CX83">
            <v>-3375</v>
          </cell>
          <cell r="CY83">
            <v>-2750</v>
          </cell>
          <cell r="CZ83">
            <v>-3125</v>
          </cell>
          <cell r="DA83">
            <v>-4225</v>
          </cell>
          <cell r="DB83">
            <v>-4075</v>
          </cell>
          <cell r="DC83">
            <v>-4225</v>
          </cell>
          <cell r="DD83">
            <v>-3450</v>
          </cell>
          <cell r="DE83">
            <v>-4025</v>
          </cell>
          <cell r="DF83">
            <v>-3700</v>
          </cell>
          <cell r="DG83">
            <v>-3950</v>
          </cell>
        </row>
        <row r="84">
          <cell r="A84">
            <v>4880107</v>
          </cell>
          <cell r="B84">
            <v>4880107</v>
          </cell>
          <cell r="C84" t="str">
            <v>MiscSv-TempDisconect</v>
          </cell>
          <cell r="D84">
            <v>-1780</v>
          </cell>
          <cell r="E84">
            <v>-1760</v>
          </cell>
          <cell r="F84">
            <v>-5195</v>
          </cell>
          <cell r="G84">
            <v>-13200</v>
          </cell>
          <cell r="H84">
            <v>-7740</v>
          </cell>
          <cell r="I84">
            <v>-4975</v>
          </cell>
          <cell r="J84">
            <v>-4738.49</v>
          </cell>
          <cell r="K84">
            <v>-3040</v>
          </cell>
          <cell r="L84">
            <v>-2600</v>
          </cell>
          <cell r="M84">
            <v>-2680</v>
          </cell>
          <cell r="N84">
            <v>-2130</v>
          </cell>
          <cell r="O84">
            <v>-1050</v>
          </cell>
          <cell r="P84">
            <v>-1120</v>
          </cell>
          <cell r="Q84">
            <v>-1800</v>
          </cell>
          <cell r="R84">
            <v>-6880</v>
          </cell>
          <cell r="S84">
            <v>-11500</v>
          </cell>
          <cell r="T84">
            <v>-7970</v>
          </cell>
          <cell r="U84">
            <v>-7510</v>
          </cell>
          <cell r="V84">
            <v>-3470</v>
          </cell>
          <cell r="W84">
            <v>-3385</v>
          </cell>
          <cell r="X84">
            <v>-2851.22</v>
          </cell>
          <cell r="Y84">
            <v>-2240</v>
          </cell>
          <cell r="Z84">
            <v>-2260</v>
          </cell>
          <cell r="AA84">
            <v>-1700</v>
          </cell>
          <cell r="AB84">
            <v>-1895</v>
          </cell>
          <cell r="AC84">
            <v>-1950</v>
          </cell>
          <cell r="AD84">
            <v>-5660</v>
          </cell>
          <cell r="AE84">
            <v>-10155</v>
          </cell>
          <cell r="AF84">
            <v>-7530</v>
          </cell>
          <cell r="AG84">
            <v>-5255</v>
          </cell>
          <cell r="AH84">
            <v>-4680</v>
          </cell>
          <cell r="AI84">
            <v>-4440</v>
          </cell>
          <cell r="AJ84">
            <v>-3819.18</v>
          </cell>
          <cell r="AK84">
            <v>-3260</v>
          </cell>
          <cell r="AL84">
            <v>-2534.4499999999998</v>
          </cell>
          <cell r="AM84">
            <v>-1320</v>
          </cell>
          <cell r="AN84">
            <v>-300</v>
          </cell>
          <cell r="AO84">
            <v>-320</v>
          </cell>
          <cell r="AP84">
            <v>-760</v>
          </cell>
          <cell r="AQ84">
            <v>-1160</v>
          </cell>
          <cell r="AR84">
            <v>-1300</v>
          </cell>
          <cell r="AS84">
            <v>-1060</v>
          </cell>
          <cell r="AT84">
            <v>-920</v>
          </cell>
          <cell r="AU84">
            <v>-800</v>
          </cell>
          <cell r="AV84">
            <v>-460</v>
          </cell>
          <cell r="AW84">
            <v>-440</v>
          </cell>
          <cell r="AX84">
            <v>-360</v>
          </cell>
          <cell r="AY84">
            <v>-160</v>
          </cell>
          <cell r="AZ84">
            <v>-300</v>
          </cell>
          <cell r="BA84">
            <v>-280</v>
          </cell>
          <cell r="BB84">
            <v>-400</v>
          </cell>
          <cell r="BC84">
            <v>-1200</v>
          </cell>
          <cell r="BD84">
            <v>-780</v>
          </cell>
          <cell r="BE84">
            <v>-580</v>
          </cell>
          <cell r="BF84">
            <v>-620</v>
          </cell>
          <cell r="BG84">
            <v>-680</v>
          </cell>
          <cell r="BH84">
            <v>-320</v>
          </cell>
          <cell r="BI84">
            <v>-600</v>
          </cell>
          <cell r="BJ84">
            <v>-240</v>
          </cell>
          <cell r="BK84">
            <v>-140</v>
          </cell>
          <cell r="BL84">
            <v>-180</v>
          </cell>
          <cell r="BM84">
            <v>-160</v>
          </cell>
          <cell r="BN84">
            <v>-260</v>
          </cell>
          <cell r="BO84">
            <v>-880</v>
          </cell>
          <cell r="BP84">
            <v>-840</v>
          </cell>
          <cell r="BQ84">
            <v>-480</v>
          </cell>
          <cell r="BR84">
            <v>-300</v>
          </cell>
          <cell r="BS84">
            <v>-320</v>
          </cell>
          <cell r="BT84">
            <v>-220</v>
          </cell>
          <cell r="BU84">
            <v>-400</v>
          </cell>
          <cell r="BV84">
            <v>-220</v>
          </cell>
          <cell r="BW84">
            <v>-160</v>
          </cell>
          <cell r="BX84">
            <v>-160</v>
          </cell>
          <cell r="BY84">
            <v>-180</v>
          </cell>
          <cell r="BZ84">
            <v>-580</v>
          </cell>
          <cell r="CA84">
            <v>-300</v>
          </cell>
          <cell r="CB84">
            <v>-540</v>
          </cell>
          <cell r="CC84">
            <v>-620</v>
          </cell>
          <cell r="CD84">
            <v>-1580</v>
          </cell>
          <cell r="CE84">
            <v>-1240</v>
          </cell>
          <cell r="CF84">
            <v>-1020</v>
          </cell>
          <cell r="CG84">
            <v>-880</v>
          </cell>
          <cell r="CH84">
            <v>-1240</v>
          </cell>
          <cell r="CI84">
            <v>-700</v>
          </cell>
          <cell r="CJ84">
            <v>-1200</v>
          </cell>
          <cell r="CK84">
            <v>-810</v>
          </cell>
          <cell r="CL84">
            <v>-1230</v>
          </cell>
          <cell r="CM84">
            <v>-1710</v>
          </cell>
          <cell r="CN84">
            <v>-2204</v>
          </cell>
          <cell r="CO84">
            <v>-2920</v>
          </cell>
          <cell r="CP84">
            <v>-2160</v>
          </cell>
          <cell r="CQ84">
            <v>-3170</v>
          </cell>
          <cell r="CR84">
            <v>-2635</v>
          </cell>
          <cell r="CS84">
            <v>-2010</v>
          </cell>
          <cell r="CT84">
            <v>-1155</v>
          </cell>
          <cell r="CU84">
            <v>-1740</v>
          </cell>
          <cell r="CV84">
            <v>-1320</v>
          </cell>
          <cell r="CW84">
            <v>-1215</v>
          </cell>
          <cell r="CX84">
            <v>-1525</v>
          </cell>
          <cell r="CY84">
            <v>-2250</v>
          </cell>
          <cell r="CZ84">
            <v>-3450</v>
          </cell>
          <cell r="DA84">
            <v>-3290</v>
          </cell>
          <cell r="DB84">
            <v>-2860</v>
          </cell>
          <cell r="DC84">
            <v>-2975</v>
          </cell>
          <cell r="DD84">
            <v>-1755</v>
          </cell>
          <cell r="DE84">
            <v>-2120</v>
          </cell>
          <cell r="DF84">
            <v>-1585</v>
          </cell>
          <cell r="DG84">
            <v>-520</v>
          </cell>
        </row>
        <row r="85">
          <cell r="A85">
            <v>4880108</v>
          </cell>
          <cell r="B85">
            <v>4880108</v>
          </cell>
          <cell r="C85" t="str">
            <v>MiscSv-CRM LegacyAdj</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v>43141.08</v>
          </cell>
          <cell r="AO85">
            <v>5300.78</v>
          </cell>
          <cell r="AP85">
            <v>-3369.24</v>
          </cell>
          <cell r="AQ85">
            <v>10065.379999999999</v>
          </cell>
          <cell r="AR85">
            <v>-10494.58</v>
          </cell>
          <cell r="AS85">
            <v>2927.67</v>
          </cell>
          <cell r="AT85">
            <v>3739.84</v>
          </cell>
          <cell r="AU85">
            <v>4000.89</v>
          </cell>
          <cell r="AV85">
            <v>5351.32</v>
          </cell>
          <cell r="AW85">
            <v>3986.59</v>
          </cell>
          <cell r="AX85">
            <v>3746.65</v>
          </cell>
          <cell r="AY85">
            <v>-5127.8599999999997</v>
          </cell>
          <cell r="AZ85">
            <v>462.15</v>
          </cell>
          <cell r="BA85">
            <v>455.19</v>
          </cell>
          <cell r="BB85">
            <v>6768.89</v>
          </cell>
          <cell r="BC85">
            <v>285.07</v>
          </cell>
          <cell r="BD85">
            <v>7701.63</v>
          </cell>
          <cell r="BE85">
            <v>276.94</v>
          </cell>
          <cell r="BF85">
            <v>7690.41</v>
          </cell>
          <cell r="BG85">
            <v>3285.86</v>
          </cell>
          <cell r="BH85">
            <v>5640.79</v>
          </cell>
          <cell r="BI85">
            <v>56371.31</v>
          </cell>
          <cell r="BJ85">
            <v>406.59</v>
          </cell>
          <cell r="BK85">
            <v>587.4</v>
          </cell>
          <cell r="BL85">
            <v>802.93</v>
          </cell>
          <cell r="BM85">
            <v>941.18</v>
          </cell>
          <cell r="BN85">
            <v>2210.5500000000002</v>
          </cell>
          <cell r="BO85">
            <v>779.32</v>
          </cell>
          <cell r="BP85">
            <v>2425.86</v>
          </cell>
          <cell r="BQ85">
            <v>-47.52</v>
          </cell>
          <cell r="BR85">
            <v>2244.39</v>
          </cell>
          <cell r="BS85">
            <v>266.66000000000003</v>
          </cell>
          <cell r="BT85">
            <v>167.98</v>
          </cell>
          <cell r="BU85">
            <v>8298.49</v>
          </cell>
          <cell r="BV85">
            <v>104.96</v>
          </cell>
          <cell r="BW85">
            <v>165.76</v>
          </cell>
          <cell r="BX85">
            <v>904.96</v>
          </cell>
          <cell r="BY85">
            <v>-512.39</v>
          </cell>
          <cell r="BZ85">
            <v>128.82</v>
          </cell>
          <cell r="CA85">
            <v>0</v>
          </cell>
          <cell r="CB85">
            <v>108.84</v>
          </cell>
          <cell r="CC85">
            <v>165.73</v>
          </cell>
          <cell r="CD85">
            <v>28.5</v>
          </cell>
          <cell r="CE85">
            <v>2427.14</v>
          </cell>
          <cell r="CF85">
            <v>-904.61</v>
          </cell>
          <cell r="CG85">
            <v>146.11000000000001</v>
          </cell>
          <cell r="CH85">
            <v>12.66</v>
          </cell>
          <cell r="CI85">
            <v>1390.05</v>
          </cell>
          <cell r="CJ85">
            <v>-2023.98</v>
          </cell>
          <cell r="CK85">
            <v>16274.57</v>
          </cell>
          <cell r="CL85">
            <v>387519.35</v>
          </cell>
          <cell r="CM85">
            <v>2839.05</v>
          </cell>
          <cell r="CN85">
            <v>66599</v>
          </cell>
          <cell r="CO85">
            <v>-9436.89</v>
          </cell>
          <cell r="CP85">
            <v>104.99</v>
          </cell>
          <cell r="CQ85">
            <v>-1605.09</v>
          </cell>
          <cell r="CR85">
            <v>90.72</v>
          </cell>
          <cell r="CS85">
            <v>3890.09</v>
          </cell>
          <cell r="CT85">
            <v>18641.72</v>
          </cell>
          <cell r="CU85">
            <v>195.41</v>
          </cell>
          <cell r="CV85">
            <v>1946.49</v>
          </cell>
          <cell r="CW85">
            <v>122.7</v>
          </cell>
          <cell r="CX85">
            <v>470.56</v>
          </cell>
          <cell r="CY85">
            <v>3177.92</v>
          </cell>
          <cell r="CZ85">
            <v>1300.46</v>
          </cell>
          <cell r="DA85">
            <v>6143.8</v>
          </cell>
          <cell r="DB85">
            <v>801.51</v>
          </cell>
          <cell r="DC85">
            <v>230.84</v>
          </cell>
          <cell r="DD85">
            <v>203.22</v>
          </cell>
          <cell r="DE85">
            <v>89.78</v>
          </cell>
          <cell r="DF85">
            <v>430.17</v>
          </cell>
          <cell r="DG85">
            <v>0</v>
          </cell>
        </row>
        <row r="86">
          <cell r="A86">
            <v>4880111</v>
          </cell>
          <cell r="B86">
            <v>4880111</v>
          </cell>
          <cell r="C86" t="str">
            <v>MiscSv-ITSFee</v>
          </cell>
          <cell r="D86">
            <v>-44928</v>
          </cell>
          <cell r="E86">
            <v>-46656</v>
          </cell>
          <cell r="F86">
            <v>-45792</v>
          </cell>
          <cell r="G86">
            <v>-46080</v>
          </cell>
          <cell r="H86">
            <v>-46656</v>
          </cell>
          <cell r="I86">
            <v>-46800</v>
          </cell>
          <cell r="J86">
            <v>-43920</v>
          </cell>
          <cell r="K86">
            <v>-44784</v>
          </cell>
          <cell r="L86">
            <v>-47664</v>
          </cell>
          <cell r="M86">
            <v>-46080</v>
          </cell>
          <cell r="N86">
            <v>-44784</v>
          </cell>
          <cell r="O86">
            <v>-47088</v>
          </cell>
          <cell r="P86">
            <v>-46224</v>
          </cell>
          <cell r="Q86">
            <v>-45216</v>
          </cell>
          <cell r="R86">
            <v>-46944</v>
          </cell>
          <cell r="S86">
            <v>-45360</v>
          </cell>
          <cell r="T86">
            <v>-47088</v>
          </cell>
          <cell r="U86">
            <v>-42624</v>
          </cell>
          <cell r="V86">
            <v>-45360</v>
          </cell>
          <cell r="W86">
            <v>-46512</v>
          </cell>
          <cell r="X86">
            <v>-45936</v>
          </cell>
          <cell r="Y86">
            <v>-45504</v>
          </cell>
          <cell r="Z86">
            <v>-46368</v>
          </cell>
          <cell r="AA86">
            <v>-45792</v>
          </cell>
          <cell r="AB86">
            <v>-46368</v>
          </cell>
          <cell r="AC86">
            <v>-46368</v>
          </cell>
          <cell r="AD86">
            <v>-45936</v>
          </cell>
          <cell r="AE86">
            <v>-45504</v>
          </cell>
          <cell r="AF86">
            <v>-45792</v>
          </cell>
          <cell r="AG86">
            <v>-45648</v>
          </cell>
          <cell r="AH86">
            <v>-45648</v>
          </cell>
          <cell r="AI86">
            <v>-45648</v>
          </cell>
          <cell r="AJ86">
            <v>-45648</v>
          </cell>
          <cell r="AK86">
            <v>-45360</v>
          </cell>
          <cell r="AL86">
            <v>-44496</v>
          </cell>
          <cell r="AM86">
            <v>-48096</v>
          </cell>
          <cell r="AN86">
            <v>-44928</v>
          </cell>
          <cell r="AO86">
            <v>-43488</v>
          </cell>
          <cell r="AP86">
            <v>-50256</v>
          </cell>
          <cell r="AQ86">
            <v>-46815.33</v>
          </cell>
          <cell r="AR86">
            <v>-45615.33</v>
          </cell>
          <cell r="AS86">
            <v>-47107.199999999997</v>
          </cell>
          <cell r="AT86">
            <v>-46425.599999999999</v>
          </cell>
          <cell r="AU86">
            <v>-46593.599999999999</v>
          </cell>
          <cell r="AV86">
            <v>-46800</v>
          </cell>
          <cell r="AW86">
            <v>-46387.199999999997</v>
          </cell>
          <cell r="AX86">
            <v>-47529.599999999999</v>
          </cell>
          <cell r="AY86">
            <v>-47222.400000000001</v>
          </cell>
          <cell r="AZ86">
            <v>-46800</v>
          </cell>
          <cell r="BA86">
            <v>-46656</v>
          </cell>
          <cell r="BB86">
            <v>-48384</v>
          </cell>
          <cell r="BC86">
            <v>-56064</v>
          </cell>
          <cell r="BD86">
            <v>-48960</v>
          </cell>
          <cell r="BE86">
            <v>-48566.400000000001</v>
          </cell>
          <cell r="BF86">
            <v>-48384</v>
          </cell>
          <cell r="BG86">
            <v>-48672</v>
          </cell>
          <cell r="BH86">
            <v>-47232</v>
          </cell>
          <cell r="BI86">
            <v>-48709.16</v>
          </cell>
          <cell r="BJ86">
            <v>-48240</v>
          </cell>
          <cell r="BK86">
            <v>-46027.199999999997</v>
          </cell>
          <cell r="BL86">
            <v>-50256</v>
          </cell>
          <cell r="BM86">
            <v>-48163.05</v>
          </cell>
          <cell r="BN86">
            <v>-46656</v>
          </cell>
          <cell r="BO86">
            <v>-47668.800000000003</v>
          </cell>
          <cell r="BP86">
            <v>-49080.46</v>
          </cell>
          <cell r="BQ86">
            <v>-47664</v>
          </cell>
          <cell r="BR86">
            <v>-47952</v>
          </cell>
          <cell r="BS86">
            <v>-46656</v>
          </cell>
          <cell r="BT86">
            <v>-50140.800000000003</v>
          </cell>
          <cell r="BU86">
            <v>-48384</v>
          </cell>
          <cell r="BV86">
            <v>-48912</v>
          </cell>
          <cell r="BW86">
            <v>-48590.400000000001</v>
          </cell>
          <cell r="BX86">
            <v>-45984</v>
          </cell>
          <cell r="BY86">
            <v>-47371.040000000001</v>
          </cell>
          <cell r="BZ86">
            <v>-46512</v>
          </cell>
          <cell r="CA86">
            <v>-46512</v>
          </cell>
          <cell r="CB86">
            <v>-48277.78</v>
          </cell>
          <cell r="CC86">
            <v>-45504</v>
          </cell>
          <cell r="CD86">
            <v>-47232</v>
          </cell>
          <cell r="CE86">
            <v>-46512</v>
          </cell>
          <cell r="CF86">
            <v>-47808</v>
          </cell>
          <cell r="CG86">
            <v>-46684.800000000003</v>
          </cell>
          <cell r="CH86">
            <v>-47851.199999999997</v>
          </cell>
          <cell r="CI86">
            <v>-45873.75</v>
          </cell>
          <cell r="CJ86">
            <v>-70560</v>
          </cell>
          <cell r="CK86">
            <v>-74793.600000000006</v>
          </cell>
          <cell r="CL86">
            <v>-69760.800000000003</v>
          </cell>
          <cell r="CM86">
            <v>-79982.009999999995</v>
          </cell>
          <cell r="CN86">
            <v>-66384</v>
          </cell>
          <cell r="CO86">
            <v>-70848</v>
          </cell>
          <cell r="CP86">
            <v>-73656</v>
          </cell>
          <cell r="CQ86">
            <v>-71589.600000000006</v>
          </cell>
          <cell r="CR86">
            <v>-71064</v>
          </cell>
          <cell r="CS86">
            <v>-72187.199999999997</v>
          </cell>
          <cell r="CT86">
            <v>-71064</v>
          </cell>
          <cell r="CU86">
            <v>-71280</v>
          </cell>
          <cell r="CV86">
            <v>-72332.13</v>
          </cell>
          <cell r="CW86">
            <v>-72576</v>
          </cell>
          <cell r="CX86">
            <v>-72144</v>
          </cell>
          <cell r="CY86">
            <v>-72360</v>
          </cell>
          <cell r="CZ86">
            <v>-71928</v>
          </cell>
          <cell r="DA86">
            <v>-73656</v>
          </cell>
          <cell r="DB86">
            <v>-73008</v>
          </cell>
          <cell r="DC86">
            <v>-72360</v>
          </cell>
          <cell r="DD86">
            <v>-73051.199999999997</v>
          </cell>
          <cell r="DE86">
            <v>-72144</v>
          </cell>
          <cell r="DF86">
            <v>-72576</v>
          </cell>
          <cell r="DG86">
            <v>-73656</v>
          </cell>
        </row>
        <row r="87">
          <cell r="A87">
            <v>4880800</v>
          </cell>
          <cell r="B87">
            <v>4880800</v>
          </cell>
          <cell r="C87" t="str">
            <v>Misc Svc Rev Other</v>
          </cell>
          <cell r="D87">
            <v>0</v>
          </cell>
          <cell r="E87">
            <v>0</v>
          </cell>
          <cell r="F87">
            <v>2.95</v>
          </cell>
          <cell r="G87">
            <v>0</v>
          </cell>
          <cell r="H87">
            <v>0</v>
          </cell>
          <cell r="I87">
            <v>0</v>
          </cell>
          <cell r="J87">
            <v>0</v>
          </cell>
          <cell r="K87">
            <v>-94012.5</v>
          </cell>
          <cell r="L87">
            <v>0</v>
          </cell>
          <cell r="M87">
            <v>-17030.16</v>
          </cell>
          <cell r="N87">
            <v>-17077.64</v>
          </cell>
          <cell r="O87">
            <v>-12520.89</v>
          </cell>
          <cell r="P87">
            <v>-17080.490000000002</v>
          </cell>
          <cell r="Q87">
            <v>-17083.34</v>
          </cell>
          <cell r="R87">
            <v>-14062.84</v>
          </cell>
          <cell r="S87">
            <v>-8906.76</v>
          </cell>
          <cell r="T87">
            <v>-16494.98</v>
          </cell>
          <cell r="U87">
            <v>-16494.98</v>
          </cell>
          <cell r="V87">
            <v>-16494.98</v>
          </cell>
          <cell r="W87">
            <v>-14087.47</v>
          </cell>
          <cell r="X87">
            <v>-15987.52</v>
          </cell>
          <cell r="Y87">
            <v>-14042.66</v>
          </cell>
          <cell r="Z87">
            <v>-17228.63</v>
          </cell>
          <cell r="AA87">
            <v>-17083.34</v>
          </cell>
          <cell r="AB87">
            <v>-17185.89</v>
          </cell>
          <cell r="AC87">
            <v>-17083.34</v>
          </cell>
          <cell r="AD87">
            <v>-16468.099999999999</v>
          </cell>
          <cell r="AE87">
            <v>-8870.89</v>
          </cell>
          <cell r="AF87">
            <v>-16683.55</v>
          </cell>
          <cell r="AG87">
            <v>-15200.46</v>
          </cell>
          <cell r="AH87">
            <v>-16334.28</v>
          </cell>
          <cell r="AI87">
            <v>-16591.03</v>
          </cell>
          <cell r="AJ87">
            <v>-16654.61</v>
          </cell>
          <cell r="AK87">
            <v>-16395.849999999999</v>
          </cell>
          <cell r="AL87">
            <v>-17597.88</v>
          </cell>
          <cell r="AM87">
            <v>-13581.41</v>
          </cell>
          <cell r="AN87">
            <v>-15749.36</v>
          </cell>
          <cell r="AO87">
            <v>-17328.82</v>
          </cell>
          <cell r="AP87">
            <v>-16943.2</v>
          </cell>
          <cell r="AQ87">
            <v>-17266.3</v>
          </cell>
          <cell r="AR87">
            <v>-15729</v>
          </cell>
          <cell r="AS87">
            <v>-13498.29</v>
          </cell>
          <cell r="AT87">
            <v>-17954.55</v>
          </cell>
          <cell r="AU87">
            <v>-17310.88</v>
          </cell>
          <cell r="AV87">
            <v>-17317.740000000002</v>
          </cell>
          <cell r="AW87">
            <v>-16178.85</v>
          </cell>
          <cell r="AX87">
            <v>-17097.169999999998</v>
          </cell>
          <cell r="AY87">
            <v>-16865.71</v>
          </cell>
          <cell r="AZ87">
            <v>-17050.87</v>
          </cell>
          <cell r="BA87">
            <v>-17079.16</v>
          </cell>
          <cell r="BB87">
            <v>-9528.9</v>
          </cell>
          <cell r="BC87">
            <v>-11905.97</v>
          </cell>
          <cell r="BD87">
            <v>-17223.689999999999</v>
          </cell>
          <cell r="BE87">
            <v>-10940.7</v>
          </cell>
          <cell r="BF87">
            <v>-12527.32</v>
          </cell>
          <cell r="BG87">
            <v>-16047.81</v>
          </cell>
          <cell r="BH87">
            <v>-9286.64</v>
          </cell>
          <cell r="BI87">
            <v>-16598.990000000002</v>
          </cell>
          <cell r="BJ87">
            <v>-15333.17</v>
          </cell>
          <cell r="BK87">
            <v>-14663.94</v>
          </cell>
          <cell r="BL87">
            <v>32692.36</v>
          </cell>
          <cell r="BM87">
            <v>-16959.28</v>
          </cell>
          <cell r="BN87">
            <v>-15816.87</v>
          </cell>
          <cell r="BO87">
            <v>-7565.87</v>
          </cell>
          <cell r="BP87">
            <v>-17071.55</v>
          </cell>
          <cell r="BQ87">
            <v>-16055.25</v>
          </cell>
          <cell r="BR87">
            <v>-16775.189999999999</v>
          </cell>
          <cell r="BS87">
            <v>-16043.09</v>
          </cell>
          <cell r="BT87">
            <v>-16919.04</v>
          </cell>
          <cell r="BU87">
            <v>-16463.580000000002</v>
          </cell>
          <cell r="BV87">
            <v>-14820.91</v>
          </cell>
          <cell r="BW87">
            <v>-17083.73</v>
          </cell>
          <cell r="BX87">
            <v>-17021.96</v>
          </cell>
          <cell r="BY87">
            <v>-16586.12</v>
          </cell>
          <cell r="BZ87">
            <v>-9152.36</v>
          </cell>
          <cell r="CA87">
            <v>-16373.33</v>
          </cell>
          <cell r="CB87">
            <v>1445.02</v>
          </cell>
          <cell r="CC87">
            <v>-15762.82</v>
          </cell>
          <cell r="CD87">
            <v>-14238.9</v>
          </cell>
          <cell r="CE87">
            <v>-13642.9</v>
          </cell>
          <cell r="CF87">
            <v>-16001.26</v>
          </cell>
          <cell r="CG87">
            <v>-6963.02</v>
          </cell>
          <cell r="CH87">
            <v>-14979.13</v>
          </cell>
          <cell r="CI87">
            <v>-16631.16</v>
          </cell>
          <cell r="CJ87">
            <v>-15916.69</v>
          </cell>
          <cell r="CK87">
            <v>-16395.63</v>
          </cell>
          <cell r="CL87">
            <v>-16510.310000000001</v>
          </cell>
          <cell r="CM87">
            <v>-7667.17</v>
          </cell>
          <cell r="CN87">
            <v>-16764.93</v>
          </cell>
          <cell r="CO87">
            <v>-16169.4</v>
          </cell>
          <cell r="CP87">
            <v>-16397.16</v>
          </cell>
          <cell r="CQ87">
            <v>-14264.46</v>
          </cell>
          <cell r="CR87">
            <v>-17027.099999999999</v>
          </cell>
          <cell r="CS87">
            <v>-16644.73</v>
          </cell>
          <cell r="CT87">
            <v>-15733.86</v>
          </cell>
          <cell r="CU87">
            <v>-16411.73</v>
          </cell>
          <cell r="CV87">
            <v>-16396.03</v>
          </cell>
          <cell r="CW87">
            <v>-17580.150000000001</v>
          </cell>
          <cell r="CX87">
            <v>-17040.43</v>
          </cell>
          <cell r="CY87">
            <v>-16474.12</v>
          </cell>
          <cell r="CZ87">
            <v>-16772.36</v>
          </cell>
          <cell r="DA87">
            <v>-7756.64</v>
          </cell>
          <cell r="DB87">
            <v>-16799.54</v>
          </cell>
          <cell r="DC87">
            <v>-9997.34</v>
          </cell>
          <cell r="DD87">
            <v>-13159</v>
          </cell>
          <cell r="DE87">
            <v>-17461.77</v>
          </cell>
          <cell r="DF87">
            <v>-17265.099999999999</v>
          </cell>
          <cell r="DG87">
            <v>-16970.63</v>
          </cell>
        </row>
        <row r="88">
          <cell r="A88">
            <v>4880850</v>
          </cell>
          <cell r="B88">
            <v>4880850</v>
          </cell>
          <cell r="C88" t="str">
            <v>MiscSv-NGVS-2 Facil</v>
          </cell>
          <cell r="D88"/>
          <cell r="E88"/>
          <cell r="F88"/>
          <cell r="G88"/>
          <cell r="H88"/>
          <cell r="I88"/>
          <cell r="J88"/>
          <cell r="K88"/>
          <cell r="L88"/>
          <cell r="M88"/>
          <cell r="N88"/>
          <cell r="O88"/>
          <cell r="P88"/>
          <cell r="Q88"/>
          <cell r="R88"/>
          <cell r="S88"/>
          <cell r="T88"/>
          <cell r="U88"/>
          <cell r="V88"/>
          <cell r="W88"/>
          <cell r="X88"/>
          <cell r="Y88"/>
          <cell r="Z88"/>
          <cell r="AA88"/>
          <cell r="AB88"/>
          <cell r="AC88"/>
          <cell r="AD88"/>
          <cell r="AE88">
            <v>-21922.81</v>
          </cell>
          <cell r="AF88">
            <v>87691.24</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cell r="CC88"/>
          <cell r="CD88"/>
          <cell r="CE88"/>
          <cell r="CF88"/>
          <cell r="CG88"/>
          <cell r="CH88"/>
          <cell r="CI88"/>
          <cell r="CJ88"/>
          <cell r="CK88"/>
          <cell r="CL88"/>
          <cell r="CM88"/>
          <cell r="CN88"/>
          <cell r="CO88"/>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row>
        <row r="89">
          <cell r="A89">
            <v>4893001</v>
          </cell>
          <cell r="B89">
            <v>4893001</v>
          </cell>
          <cell r="C89" t="str">
            <v>NatGas Vehicle Trnsp</v>
          </cell>
          <cell r="D89">
            <v>-2880.87</v>
          </cell>
          <cell r="E89">
            <v>-2761.82</v>
          </cell>
          <cell r="F89">
            <v>-3020.96</v>
          </cell>
          <cell r="G89">
            <v>-2984.65</v>
          </cell>
          <cell r="H89">
            <v>-3816.45</v>
          </cell>
          <cell r="I89">
            <v>-2562.9699999999998</v>
          </cell>
          <cell r="J89">
            <v>-3591.43</v>
          </cell>
          <cell r="K89">
            <v>-1625.24</v>
          </cell>
          <cell r="L89">
            <v>-1740.49</v>
          </cell>
          <cell r="M89">
            <v>-3575.98</v>
          </cell>
          <cell r="N89">
            <v>-2726.13</v>
          </cell>
          <cell r="O89">
            <v>-2927.85</v>
          </cell>
          <cell r="P89">
            <v>-3451.05</v>
          </cell>
          <cell r="Q89">
            <v>-4005.76</v>
          </cell>
          <cell r="R89">
            <v>-3531.26</v>
          </cell>
          <cell r="S89">
            <v>-3505.34</v>
          </cell>
          <cell r="T89">
            <v>-2914.33</v>
          </cell>
          <cell r="U89">
            <v>-3710.83</v>
          </cell>
          <cell r="V89">
            <v>-3092.84</v>
          </cell>
          <cell r="W89">
            <v>-3474.39</v>
          </cell>
          <cell r="X89">
            <v>-3548.57</v>
          </cell>
          <cell r="Y89">
            <v>-2076.67</v>
          </cell>
          <cell r="Z89">
            <v>-1956.25</v>
          </cell>
          <cell r="AA89">
            <v>-2353.85</v>
          </cell>
          <cell r="AB89">
            <v>-2675.02</v>
          </cell>
          <cell r="AC89">
            <v>-2119.2399999999998</v>
          </cell>
          <cell r="AD89">
            <v>-2226.3200000000002</v>
          </cell>
          <cell r="AE89">
            <v>-3150.59</v>
          </cell>
          <cell r="AF89">
            <v>-2717.24</v>
          </cell>
          <cell r="AG89">
            <v>-2722.08</v>
          </cell>
          <cell r="AH89">
            <v>-1600.88</v>
          </cell>
          <cell r="AI89">
            <v>-877.5</v>
          </cell>
          <cell r="AJ89">
            <v>-725.12</v>
          </cell>
          <cell r="AK89">
            <v>-595.88</v>
          </cell>
          <cell r="AL89">
            <v>-716.1</v>
          </cell>
          <cell r="AM89">
            <v>-726.63</v>
          </cell>
          <cell r="AN89">
            <v>-796.99</v>
          </cell>
          <cell r="AO89">
            <v>-662.14</v>
          </cell>
          <cell r="AP89">
            <v>-517.26</v>
          </cell>
          <cell r="AQ89">
            <v>-586.28</v>
          </cell>
          <cell r="AR89">
            <v>-860.36</v>
          </cell>
          <cell r="AS89">
            <v>-721.85</v>
          </cell>
          <cell r="AT89">
            <v>-662.73</v>
          </cell>
          <cell r="AU89">
            <v>-1444.75</v>
          </cell>
          <cell r="AV89">
            <v>-1120.04</v>
          </cell>
          <cell r="AW89">
            <v>-692.57</v>
          </cell>
          <cell r="AX89">
            <v>-984.14</v>
          </cell>
          <cell r="AY89">
            <v>-925.31</v>
          </cell>
          <cell r="AZ89">
            <v>-873</v>
          </cell>
          <cell r="BA89">
            <v>-919.9</v>
          </cell>
          <cell r="BB89">
            <v>-1032.07</v>
          </cell>
          <cell r="BC89">
            <v>-978.17</v>
          </cell>
          <cell r="BD89">
            <v>-954.77</v>
          </cell>
          <cell r="BE89">
            <v>-1108.55</v>
          </cell>
          <cell r="BF89">
            <v>-1054.3800000000001</v>
          </cell>
          <cell r="BG89">
            <v>-1026.99</v>
          </cell>
          <cell r="BH89">
            <v>-1188.33</v>
          </cell>
          <cell r="BI89">
            <v>-1150.5999999999999</v>
          </cell>
          <cell r="BJ89">
            <v>-967.27</v>
          </cell>
          <cell r="BK89">
            <v>-904.21</v>
          </cell>
          <cell r="BL89">
            <v>-527.69000000000005</v>
          </cell>
          <cell r="BM89">
            <v>-816.22</v>
          </cell>
          <cell r="BN89">
            <v>-907.4</v>
          </cell>
          <cell r="BO89">
            <v>-861.65</v>
          </cell>
          <cell r="BP89">
            <v>-870.04</v>
          </cell>
          <cell r="BQ89">
            <v>-1054.52</v>
          </cell>
          <cell r="BR89">
            <v>-863.36</v>
          </cell>
          <cell r="BS89">
            <v>-710.78</v>
          </cell>
          <cell r="BT89">
            <v>-814.87</v>
          </cell>
          <cell r="BU89">
            <v>-966.51</v>
          </cell>
          <cell r="BV89">
            <v>-912.63</v>
          </cell>
          <cell r="BW89">
            <v>-968.15</v>
          </cell>
          <cell r="BX89">
            <v>-863.03</v>
          </cell>
          <cell r="BY89">
            <v>-835.32</v>
          </cell>
          <cell r="BZ89">
            <v>-1043.23</v>
          </cell>
          <cell r="CA89">
            <v>-1030.25</v>
          </cell>
          <cell r="CB89">
            <v>-922.2</v>
          </cell>
          <cell r="CC89">
            <v>-746.75</v>
          </cell>
          <cell r="CD89">
            <v>-836.3</v>
          </cell>
          <cell r="CE89">
            <v>-927.08</v>
          </cell>
          <cell r="CF89">
            <v>-789.61</v>
          </cell>
          <cell r="CG89">
            <v>-756.83</v>
          </cell>
          <cell r="CH89">
            <v>-948.63</v>
          </cell>
          <cell r="CI89">
            <v>-704.44</v>
          </cell>
          <cell r="CJ89">
            <v>-726.36</v>
          </cell>
          <cell r="CK89">
            <v>726.36</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row>
        <row r="90">
          <cell r="A90">
            <v>4893002</v>
          </cell>
          <cell r="B90">
            <v>4893002</v>
          </cell>
          <cell r="C90" t="str">
            <v>NGas Veh Trnsp Swing</v>
          </cell>
          <cell r="D90">
            <v>-376.19</v>
          </cell>
          <cell r="E90">
            <v>-357.43</v>
          </cell>
          <cell r="F90">
            <v>-398.28</v>
          </cell>
          <cell r="G90">
            <v>-399.64</v>
          </cell>
          <cell r="H90">
            <v>-530.83000000000004</v>
          </cell>
          <cell r="I90">
            <v>-336.72</v>
          </cell>
          <cell r="J90">
            <v>-491.8</v>
          </cell>
          <cell r="K90">
            <v>-199.49</v>
          </cell>
          <cell r="L90">
            <v>-224.7</v>
          </cell>
          <cell r="M90">
            <v>-496.43</v>
          </cell>
          <cell r="N90">
            <v>-358.89</v>
          </cell>
          <cell r="O90">
            <v>-390.7</v>
          </cell>
          <cell r="P90">
            <v>-473.2</v>
          </cell>
          <cell r="Q90">
            <v>-560.66999999999996</v>
          </cell>
          <cell r="R90">
            <v>-485.84</v>
          </cell>
          <cell r="S90">
            <v>-481.76</v>
          </cell>
          <cell r="T90">
            <v>-388.57</v>
          </cell>
          <cell r="U90">
            <v>-514.16</v>
          </cell>
          <cell r="V90">
            <v>-416.71</v>
          </cell>
          <cell r="W90">
            <v>-469.8</v>
          </cell>
          <cell r="X90">
            <v>-492.13</v>
          </cell>
          <cell r="Y90">
            <v>-299.07</v>
          </cell>
          <cell r="Z90">
            <v>-280.07</v>
          </cell>
          <cell r="AA90">
            <v>-514.15</v>
          </cell>
          <cell r="AB90">
            <v>-600.76</v>
          </cell>
          <cell r="AC90">
            <v>-469.31</v>
          </cell>
          <cell r="AD90">
            <v>-494.63</v>
          </cell>
          <cell r="AE90">
            <v>-713.23</v>
          </cell>
          <cell r="AF90">
            <v>-610.74</v>
          </cell>
          <cell r="AG90">
            <v>-606.57000000000005</v>
          </cell>
          <cell r="AH90">
            <v>-336.07</v>
          </cell>
          <cell r="AI90">
            <v>-164.96</v>
          </cell>
          <cell r="AJ90">
            <v>-128.93</v>
          </cell>
          <cell r="AK90">
            <v>-98.36</v>
          </cell>
          <cell r="AL90">
            <v>-126.79</v>
          </cell>
          <cell r="AM90">
            <v>-129.28</v>
          </cell>
          <cell r="AN90">
            <v>-143.81</v>
          </cell>
          <cell r="AO90">
            <v>-114.03</v>
          </cell>
          <cell r="AP90">
            <v>-79.77</v>
          </cell>
          <cell r="AQ90">
            <v>-96.09</v>
          </cell>
          <cell r="AR90">
            <v>-160.91999999999999</v>
          </cell>
          <cell r="AS90">
            <v>-128.15</v>
          </cell>
          <cell r="AT90">
            <v>-114.17</v>
          </cell>
          <cell r="AU90">
            <v>-299.13</v>
          </cell>
          <cell r="AV90">
            <v>-220.2</v>
          </cell>
          <cell r="AW90">
            <v>-121.23</v>
          </cell>
          <cell r="AX90">
            <v>-190.19</v>
          </cell>
          <cell r="AY90">
            <v>-176.27</v>
          </cell>
          <cell r="AZ90">
            <v>-163.91</v>
          </cell>
          <cell r="BA90">
            <v>-175</v>
          </cell>
          <cell r="BB90">
            <v>-201.53</v>
          </cell>
          <cell r="BC90">
            <v>-188.79</v>
          </cell>
          <cell r="BD90">
            <v>-183.25</v>
          </cell>
          <cell r="BE90">
            <v>-219.63</v>
          </cell>
          <cell r="BF90">
            <v>-206.81</v>
          </cell>
          <cell r="BG90">
            <v>-202.46</v>
          </cell>
          <cell r="BH90">
            <v>-238.48</v>
          </cell>
          <cell r="BI90">
            <v>-229.56</v>
          </cell>
          <cell r="BJ90">
            <v>-188.33</v>
          </cell>
          <cell r="BK90">
            <v>-171.28</v>
          </cell>
          <cell r="BL90">
            <v>-86.64</v>
          </cell>
          <cell r="BM90">
            <v>-160.57</v>
          </cell>
          <cell r="BN90">
            <v>-183.27</v>
          </cell>
          <cell r="BO90">
            <v>-171.88</v>
          </cell>
          <cell r="BP90">
            <v>-173.98</v>
          </cell>
          <cell r="BQ90">
            <v>-219.88</v>
          </cell>
          <cell r="BR90">
            <v>-172.31</v>
          </cell>
          <cell r="BS90">
            <v>-134.33000000000001</v>
          </cell>
          <cell r="BT90">
            <v>-160.25</v>
          </cell>
          <cell r="BU90">
            <v>-197.99</v>
          </cell>
          <cell r="BV90">
            <v>-184.56</v>
          </cell>
          <cell r="BW90">
            <v>-198.38</v>
          </cell>
          <cell r="BX90">
            <v>-172.23</v>
          </cell>
          <cell r="BY90">
            <v>-165.33</v>
          </cell>
          <cell r="BZ90">
            <v>-217.08</v>
          </cell>
          <cell r="CA90">
            <v>-213.84</v>
          </cell>
          <cell r="CB90">
            <v>-186.95</v>
          </cell>
          <cell r="CC90">
            <v>-143.29</v>
          </cell>
          <cell r="CD90">
            <v>-165.58</v>
          </cell>
          <cell r="CE90">
            <v>-188.17</v>
          </cell>
          <cell r="CF90">
            <v>-153.94999999999999</v>
          </cell>
          <cell r="CG90">
            <v>-145.79</v>
          </cell>
          <cell r="CH90">
            <v>-182.89</v>
          </cell>
          <cell r="CI90">
            <v>-143.4</v>
          </cell>
          <cell r="CJ90">
            <v>-138.19999999999999</v>
          </cell>
          <cell r="CK90">
            <v>138.19999999999999</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row>
        <row r="91">
          <cell r="A91">
            <v>4893004</v>
          </cell>
          <cell r="B91">
            <v>4893004</v>
          </cell>
          <cell r="C91" t="str">
            <v>Comm StLgt Transp</v>
          </cell>
          <cell r="D91">
            <v>-8916.49</v>
          </cell>
          <cell r="E91">
            <v>-8543.76</v>
          </cell>
          <cell r="F91">
            <v>-8118.67</v>
          </cell>
          <cell r="G91">
            <v>-8327.84</v>
          </cell>
          <cell r="H91">
            <v>-8236.23</v>
          </cell>
          <cell r="I91">
            <v>-9108.69</v>
          </cell>
          <cell r="J91">
            <v>-8457.65</v>
          </cell>
          <cell r="K91">
            <v>-8451.11</v>
          </cell>
          <cell r="L91">
            <v>-9185.48</v>
          </cell>
          <cell r="M91">
            <v>-8812.6200000000008</v>
          </cell>
          <cell r="N91">
            <v>-8481.9599999999991</v>
          </cell>
          <cell r="O91">
            <v>-7969.9</v>
          </cell>
          <cell r="P91">
            <v>-9377</v>
          </cell>
          <cell r="Q91">
            <v>-8818.67</v>
          </cell>
          <cell r="R91">
            <v>-8788.3700000000008</v>
          </cell>
          <cell r="S91">
            <v>-8337.4500000000007</v>
          </cell>
          <cell r="T91">
            <v>-8420.36</v>
          </cell>
          <cell r="U91">
            <v>-9618.86</v>
          </cell>
          <cell r="V91">
            <v>-8306.57</v>
          </cell>
          <cell r="W91">
            <v>-9332.07</v>
          </cell>
          <cell r="X91">
            <v>-8565.8700000000008</v>
          </cell>
          <cell r="Y91">
            <v>-8661.02</v>
          </cell>
          <cell r="Z91">
            <v>-7739.33</v>
          </cell>
          <cell r="AA91">
            <v>-8256.19</v>
          </cell>
          <cell r="AB91">
            <v>-9093.9500000000007</v>
          </cell>
          <cell r="AC91">
            <v>-8345.36</v>
          </cell>
          <cell r="AD91">
            <v>-7995.39</v>
          </cell>
          <cell r="AE91">
            <v>-8549.64</v>
          </cell>
          <cell r="AF91">
            <v>-8613.32</v>
          </cell>
          <cell r="AG91">
            <v>-8387.7199999999993</v>
          </cell>
          <cell r="AH91">
            <v>-8202.4699999999993</v>
          </cell>
          <cell r="AI91">
            <v>-8043.75</v>
          </cell>
          <cell r="AJ91">
            <v>-8705.99</v>
          </cell>
          <cell r="AK91">
            <v>-7951.1</v>
          </cell>
          <cell r="AL91">
            <v>-7440.99</v>
          </cell>
          <cell r="AM91">
            <v>-7323.84</v>
          </cell>
          <cell r="AN91">
            <v>-8549.18</v>
          </cell>
          <cell r="AO91">
            <v>-8260.81</v>
          </cell>
          <cell r="AP91">
            <v>-8117.22</v>
          </cell>
          <cell r="AQ91">
            <v>-7778.92</v>
          </cell>
          <cell r="AR91">
            <v>-8720.4599999999991</v>
          </cell>
          <cell r="AS91">
            <v>-8323.86</v>
          </cell>
          <cell r="AT91">
            <v>-8097.24</v>
          </cell>
          <cell r="AU91">
            <v>-8189.12</v>
          </cell>
          <cell r="AV91">
            <v>-8084.54</v>
          </cell>
          <cell r="AW91">
            <v>-7009.16</v>
          </cell>
          <cell r="AX91">
            <v>-7749.26</v>
          </cell>
          <cell r="AY91">
            <v>-8394.5</v>
          </cell>
          <cell r="AZ91">
            <v>-11314.42</v>
          </cell>
          <cell r="BA91">
            <v>-8609.52</v>
          </cell>
          <cell r="BB91">
            <v>-7899.92</v>
          </cell>
          <cell r="BC91">
            <v>-8561.59</v>
          </cell>
          <cell r="BD91">
            <v>-8213.3700000000008</v>
          </cell>
          <cell r="BE91">
            <v>-9120.93</v>
          </cell>
          <cell r="BF91">
            <v>-8352.1299999999992</v>
          </cell>
          <cell r="BG91">
            <v>3736.7</v>
          </cell>
          <cell r="BH91">
            <v>-8618.32</v>
          </cell>
          <cell r="BI91">
            <v>-7439.72</v>
          </cell>
          <cell r="BJ91">
            <v>-8319.09</v>
          </cell>
          <cell r="BK91">
            <v>-7911.63</v>
          </cell>
          <cell r="BL91">
            <v>-8173.68</v>
          </cell>
          <cell r="BM91">
            <v>-7287.76</v>
          </cell>
          <cell r="BN91">
            <v>-7506.67</v>
          </cell>
          <cell r="BO91">
            <v>-3697.05</v>
          </cell>
          <cell r="BP91">
            <v>-7719.95</v>
          </cell>
          <cell r="BQ91">
            <v>-7200.67</v>
          </cell>
          <cell r="BR91">
            <v>-7021.51</v>
          </cell>
          <cell r="BS91">
            <v>-7229.42</v>
          </cell>
          <cell r="BT91">
            <v>-7013.7</v>
          </cell>
          <cell r="BU91">
            <v>-6831.33</v>
          </cell>
          <cell r="BV91">
            <v>-7087.23</v>
          </cell>
          <cell r="BW91">
            <v>-6845.63</v>
          </cell>
          <cell r="BX91">
            <v>-7915.55</v>
          </cell>
          <cell r="BY91">
            <v>-6919.67</v>
          </cell>
          <cell r="BZ91">
            <v>-7014.38</v>
          </cell>
          <cell r="CA91">
            <v>-6253.05</v>
          </cell>
          <cell r="CB91">
            <v>-6836.29</v>
          </cell>
          <cell r="CC91">
            <v>-6656.33</v>
          </cell>
          <cell r="CD91">
            <v>-7003.7</v>
          </cell>
          <cell r="CE91">
            <v>-7001.09</v>
          </cell>
          <cell r="CF91">
            <v>-6681.5</v>
          </cell>
          <cell r="CG91">
            <v>-6896.75</v>
          </cell>
          <cell r="CH91">
            <v>-7143.4</v>
          </cell>
          <cell r="CI91">
            <v>-7323.21</v>
          </cell>
          <cell r="CJ91">
            <v>-11154.56</v>
          </cell>
          <cell r="CK91">
            <v>-9698.0400000000009</v>
          </cell>
          <cell r="CL91">
            <v>-10544.07</v>
          </cell>
          <cell r="CM91">
            <v>-10793.16</v>
          </cell>
          <cell r="CN91">
            <v>-10079.66</v>
          </cell>
          <cell r="CO91">
            <v>-9966.93</v>
          </cell>
          <cell r="CP91">
            <v>-10549.44</v>
          </cell>
          <cell r="CQ91">
            <v>-10475.83</v>
          </cell>
          <cell r="CR91">
            <v>-11165.05</v>
          </cell>
          <cell r="CS91">
            <v>-10147.950000000001</v>
          </cell>
          <cell r="CT91">
            <v>-10867.84</v>
          </cell>
          <cell r="CU91">
            <v>-10353.17</v>
          </cell>
          <cell r="CV91">
            <v>-11104.06</v>
          </cell>
          <cell r="CW91">
            <v>-9805.8700000000008</v>
          </cell>
          <cell r="CX91">
            <v>-10034.67</v>
          </cell>
          <cell r="CY91">
            <v>-9991.59</v>
          </cell>
          <cell r="CZ91">
            <v>-11206.67</v>
          </cell>
          <cell r="DA91">
            <v>-9504</v>
          </cell>
          <cell r="DB91">
            <v>-10084.67</v>
          </cell>
          <cell r="DC91">
            <v>-10182</v>
          </cell>
          <cell r="DD91">
            <v>-10722.25</v>
          </cell>
          <cell r="DE91">
            <v>-11798.16</v>
          </cell>
          <cell r="DF91">
            <v>-9468.82</v>
          </cell>
          <cell r="DG91">
            <v>-10760.09</v>
          </cell>
        </row>
        <row r="92">
          <cell r="A92">
            <v>4893005</v>
          </cell>
          <cell r="B92">
            <v>4893005</v>
          </cell>
          <cell r="C92" t="str">
            <v>Comm StLgt Trn Swing</v>
          </cell>
          <cell r="D92">
            <v>-557.91</v>
          </cell>
          <cell r="E92">
            <v>-534.58000000000004</v>
          </cell>
          <cell r="F92">
            <v>-507.97</v>
          </cell>
          <cell r="G92">
            <v>-521.04999999999995</v>
          </cell>
          <cell r="H92">
            <v>-515.33000000000004</v>
          </cell>
          <cell r="I92">
            <v>-569.94000000000005</v>
          </cell>
          <cell r="J92">
            <v>-529.20000000000005</v>
          </cell>
          <cell r="K92">
            <v>-528.76</v>
          </cell>
          <cell r="L92">
            <v>-574.71</v>
          </cell>
          <cell r="M92">
            <v>-551.39</v>
          </cell>
          <cell r="N92">
            <v>-530.71</v>
          </cell>
          <cell r="O92">
            <v>-498.66</v>
          </cell>
          <cell r="P92">
            <v>-586.72</v>
          </cell>
          <cell r="Q92">
            <v>-551.79</v>
          </cell>
          <cell r="R92">
            <v>-549.91999999999996</v>
          </cell>
          <cell r="S92">
            <v>-521.65</v>
          </cell>
          <cell r="T92">
            <v>-526.85</v>
          </cell>
          <cell r="U92">
            <v>-601.84</v>
          </cell>
          <cell r="V92">
            <v>-519.73</v>
          </cell>
          <cell r="W92">
            <v>-583.91999999999996</v>
          </cell>
          <cell r="X92">
            <v>-535.95000000000005</v>
          </cell>
          <cell r="Y92">
            <v>-541.9</v>
          </cell>
          <cell r="Z92">
            <v>-484.25</v>
          </cell>
          <cell r="AA92">
            <v>-310.85000000000002</v>
          </cell>
          <cell r="AB92">
            <v>-342.35</v>
          </cell>
          <cell r="AC92">
            <v>-314.18</v>
          </cell>
          <cell r="AD92">
            <v>-301</v>
          </cell>
          <cell r="AE92">
            <v>-321.87</v>
          </cell>
          <cell r="AF92">
            <v>-324.27</v>
          </cell>
          <cell r="AG92">
            <v>-315.77999999999997</v>
          </cell>
          <cell r="AH92">
            <v>-308.83</v>
          </cell>
          <cell r="AI92">
            <v>-302.83999999999997</v>
          </cell>
          <cell r="AJ92">
            <v>-327.78</v>
          </cell>
          <cell r="AK92">
            <v>-299.33999999999997</v>
          </cell>
          <cell r="AL92">
            <v>-280.12</v>
          </cell>
          <cell r="AM92">
            <v>-275.70999999999998</v>
          </cell>
          <cell r="AN92">
            <v>-321.86</v>
          </cell>
          <cell r="AO92">
            <v>-311.01</v>
          </cell>
          <cell r="AP92">
            <v>-305.58</v>
          </cell>
          <cell r="AQ92">
            <v>-292.85000000000002</v>
          </cell>
          <cell r="AR92">
            <v>-328.31</v>
          </cell>
          <cell r="AS92">
            <v>-313.35000000000002</v>
          </cell>
          <cell r="AT92">
            <v>-304.85000000000002</v>
          </cell>
          <cell r="AU92">
            <v>-308.27999999999997</v>
          </cell>
          <cell r="AV92">
            <v>-304.33999999999997</v>
          </cell>
          <cell r="AW92">
            <v>-263.88</v>
          </cell>
          <cell r="AX92">
            <v>-291.70999999999998</v>
          </cell>
          <cell r="AY92">
            <v>-316.02999999999997</v>
          </cell>
          <cell r="AZ92">
            <v>-425.91</v>
          </cell>
          <cell r="BA92">
            <v>-324.14</v>
          </cell>
          <cell r="BB92">
            <v>-297.41000000000003</v>
          </cell>
          <cell r="BC92">
            <v>-322.31</v>
          </cell>
          <cell r="BD92">
            <v>-309.19</v>
          </cell>
          <cell r="BE92">
            <v>-343.37</v>
          </cell>
          <cell r="BF92">
            <v>-314.41000000000003</v>
          </cell>
          <cell r="BG92">
            <v>140.72999999999999</v>
          </cell>
          <cell r="BH92">
            <v>-324.45999999999998</v>
          </cell>
          <cell r="BI92">
            <v>-280.06</v>
          </cell>
          <cell r="BJ92">
            <v>-313.20999999999998</v>
          </cell>
          <cell r="BK92">
            <v>-297.86</v>
          </cell>
          <cell r="BL92">
            <v>-323.82</v>
          </cell>
          <cell r="BM92">
            <v>-288.70999999999998</v>
          </cell>
          <cell r="BN92">
            <v>-297.36</v>
          </cell>
          <cell r="BO92">
            <v>-150.41</v>
          </cell>
          <cell r="BP92">
            <v>-305.85000000000002</v>
          </cell>
          <cell r="BQ92">
            <v>-285.25</v>
          </cell>
          <cell r="BR92">
            <v>-278.18</v>
          </cell>
          <cell r="BS92">
            <v>-286.41000000000003</v>
          </cell>
          <cell r="BT92">
            <v>-277.85000000000002</v>
          </cell>
          <cell r="BU92">
            <v>-270.63</v>
          </cell>
          <cell r="BV92">
            <v>-280.77</v>
          </cell>
          <cell r="BW92">
            <v>-271.2</v>
          </cell>
          <cell r="BX92">
            <v>-313.57</v>
          </cell>
          <cell r="BY92">
            <v>-274.13</v>
          </cell>
          <cell r="BZ92">
            <v>-277.88</v>
          </cell>
          <cell r="CA92">
            <v>-247.69</v>
          </cell>
          <cell r="CB92">
            <v>-270.8</v>
          </cell>
          <cell r="CC92">
            <v>-263.66000000000003</v>
          </cell>
          <cell r="CD92">
            <v>-277.45999999999998</v>
          </cell>
          <cell r="CE92">
            <v>-277.35000000000002</v>
          </cell>
          <cell r="CF92">
            <v>-264.67</v>
          </cell>
          <cell r="CG92">
            <v>-273.2</v>
          </cell>
          <cell r="CH92">
            <v>-282.97000000000003</v>
          </cell>
          <cell r="CI92">
            <v>-290.13</v>
          </cell>
          <cell r="CJ92">
            <v>-287.83999999999997</v>
          </cell>
          <cell r="CK92">
            <v>-250.25</v>
          </cell>
          <cell r="CL92">
            <v>-272.10000000000002</v>
          </cell>
          <cell r="CM92">
            <v>-278.51</v>
          </cell>
          <cell r="CN92">
            <v>-260.08999999999997</v>
          </cell>
          <cell r="CO92">
            <v>-257.2</v>
          </cell>
          <cell r="CP92">
            <v>-272.23</v>
          </cell>
          <cell r="CQ92">
            <v>-270.33</v>
          </cell>
          <cell r="CR92">
            <v>-288.13</v>
          </cell>
          <cell r="CS92">
            <v>-261.87</v>
          </cell>
          <cell r="CT92">
            <v>-280.44</v>
          </cell>
          <cell r="CU92">
            <v>-267.18</v>
          </cell>
          <cell r="CV92">
            <v>-286.54000000000002</v>
          </cell>
          <cell r="CW92">
            <v>-253.05</v>
          </cell>
          <cell r="CX92">
            <v>-258.95999999999998</v>
          </cell>
          <cell r="CY92">
            <v>-257.83999999999997</v>
          </cell>
          <cell r="CZ92">
            <v>-289.18</v>
          </cell>
          <cell r="DA92">
            <v>-245.24</v>
          </cell>
          <cell r="DB92">
            <v>-260.24</v>
          </cell>
          <cell r="DC92">
            <v>-262.75</v>
          </cell>
          <cell r="DD92">
            <v>-276.72000000000003</v>
          </cell>
          <cell r="DE92">
            <v>-304.45999999999998</v>
          </cell>
          <cell r="DF92">
            <v>-244.33</v>
          </cell>
          <cell r="DG92">
            <v>-277.64</v>
          </cell>
        </row>
        <row r="93">
          <cell r="A93">
            <v>4893008</v>
          </cell>
          <cell r="B93">
            <v>4893008</v>
          </cell>
          <cell r="C93" t="str">
            <v>GenSvc Sm Transp</v>
          </cell>
          <cell r="D93">
            <v>-214782.13</v>
          </cell>
          <cell r="E93">
            <v>-226778.46</v>
          </cell>
          <cell r="F93">
            <v>-173185.36</v>
          </cell>
          <cell r="G93">
            <v>-162219.87</v>
          </cell>
          <cell r="H93">
            <v>-147631.44</v>
          </cell>
          <cell r="I93">
            <v>-148427.9</v>
          </cell>
          <cell r="J93">
            <v>-144141.73000000001</v>
          </cell>
          <cell r="K93">
            <v>-140776.07999999999</v>
          </cell>
          <cell r="L93">
            <v>-169753.13</v>
          </cell>
          <cell r="M93">
            <v>-158558.37</v>
          </cell>
          <cell r="N93">
            <v>-170359.07</v>
          </cell>
          <cell r="O93">
            <v>-196211.59</v>
          </cell>
          <cell r="P93">
            <v>-212254.83</v>
          </cell>
          <cell r="Q93">
            <v>-214154.92</v>
          </cell>
          <cell r="R93">
            <v>-214938.26</v>
          </cell>
          <cell r="S93">
            <v>-162775.67999999999</v>
          </cell>
          <cell r="T93">
            <v>-159541.35999999999</v>
          </cell>
          <cell r="U93">
            <v>-170169.31</v>
          </cell>
          <cell r="V93">
            <v>-170784.88</v>
          </cell>
          <cell r="W93">
            <v>-175544.92</v>
          </cell>
          <cell r="X93">
            <v>-172813.55</v>
          </cell>
          <cell r="Y93">
            <v>-194074.1</v>
          </cell>
          <cell r="Z93">
            <v>-210498.4</v>
          </cell>
          <cell r="AA93">
            <v>-223321.05</v>
          </cell>
          <cell r="AB93">
            <v>-244937.91</v>
          </cell>
          <cell r="AC93">
            <v>-264200.46000000002</v>
          </cell>
          <cell r="AD93">
            <v>-194041.71</v>
          </cell>
          <cell r="AE93">
            <v>-197031.82</v>
          </cell>
          <cell r="AF93">
            <v>-187324.7</v>
          </cell>
          <cell r="AG93">
            <v>-178801.28</v>
          </cell>
          <cell r="AH93">
            <v>-164664.84</v>
          </cell>
          <cell r="AI93">
            <v>-172234.95</v>
          </cell>
          <cell r="AJ93">
            <v>-198834.05</v>
          </cell>
          <cell r="AK93">
            <v>-180899.57</v>
          </cell>
          <cell r="AL93">
            <v>-200886.05</v>
          </cell>
          <cell r="AM93">
            <v>-225276.54</v>
          </cell>
          <cell r="AN93">
            <v>-246317.87</v>
          </cell>
          <cell r="AO93">
            <v>-233514.62</v>
          </cell>
          <cell r="AP93">
            <v>-224400.66</v>
          </cell>
          <cell r="AQ93">
            <v>-240682.81</v>
          </cell>
          <cell r="AR93">
            <v>-205576.91</v>
          </cell>
          <cell r="AS93">
            <v>-199237.87</v>
          </cell>
          <cell r="AT93">
            <v>-189731.63</v>
          </cell>
          <cell r="AU93">
            <v>-192187</v>
          </cell>
          <cell r="AV93">
            <v>-214291.05</v>
          </cell>
          <cell r="AW93">
            <v>-205160.82</v>
          </cell>
          <cell r="AX93">
            <v>-230356.91</v>
          </cell>
          <cell r="AY93">
            <v>-243315.68</v>
          </cell>
          <cell r="AZ93">
            <v>-394720.39</v>
          </cell>
          <cell r="BA93">
            <v>-431613.74</v>
          </cell>
          <cell r="BB93">
            <v>-49830.17</v>
          </cell>
          <cell r="BC93">
            <v>-323707.03999999998</v>
          </cell>
          <cell r="BD93">
            <v>-218309.43</v>
          </cell>
          <cell r="BE93">
            <v>-220947.22</v>
          </cell>
          <cell r="BF93">
            <v>-211569.69</v>
          </cell>
          <cell r="BG93">
            <v>-204858.22</v>
          </cell>
          <cell r="BH93">
            <v>-235226.09</v>
          </cell>
          <cell r="BI93">
            <v>-220505.83</v>
          </cell>
          <cell r="BJ93">
            <v>-235971.18</v>
          </cell>
          <cell r="BK93">
            <v>-274952.15000000002</v>
          </cell>
          <cell r="BL93">
            <v>-294072.65000000002</v>
          </cell>
          <cell r="BM93">
            <v>-259927.02</v>
          </cell>
          <cell r="BN93">
            <v>-253285.42</v>
          </cell>
          <cell r="BO93">
            <v>-242645.86</v>
          </cell>
          <cell r="BP93">
            <v>-222011.06</v>
          </cell>
          <cell r="BQ93">
            <v>-219233.51</v>
          </cell>
          <cell r="BR93">
            <v>-189394.38</v>
          </cell>
          <cell r="BS93">
            <v>-254771.13</v>
          </cell>
          <cell r="BT93">
            <v>-128509.64</v>
          </cell>
          <cell r="BU93">
            <v>-230078.32</v>
          </cell>
          <cell r="BV93">
            <v>-243311.3</v>
          </cell>
          <cell r="BW93">
            <v>-252043.5</v>
          </cell>
          <cell r="BX93">
            <v>-273257.46000000002</v>
          </cell>
          <cell r="BY93">
            <v>-274315.11</v>
          </cell>
          <cell r="BZ93">
            <v>-245075.52</v>
          </cell>
          <cell r="CA93">
            <v>-177018.47</v>
          </cell>
          <cell r="CB93">
            <v>-168049.7</v>
          </cell>
          <cell r="CC93">
            <v>-193633.33</v>
          </cell>
          <cell r="CD93">
            <v>-183879.33</v>
          </cell>
          <cell r="CE93">
            <v>-188469.98</v>
          </cell>
          <cell r="CF93">
            <v>-186178.27</v>
          </cell>
          <cell r="CG93">
            <v>-198882.35</v>
          </cell>
          <cell r="CH93">
            <v>-210275.26</v>
          </cell>
          <cell r="CI93">
            <v>-263941.28999999998</v>
          </cell>
          <cell r="CJ93">
            <v>-388576.5</v>
          </cell>
          <cell r="CK93">
            <v>-329605.43</v>
          </cell>
          <cell r="CL93">
            <v>-340813.67</v>
          </cell>
          <cell r="CM93">
            <v>-283031.46000000002</v>
          </cell>
          <cell r="CN93">
            <v>-266287.78000000003</v>
          </cell>
          <cell r="CO93">
            <v>-253522.06</v>
          </cell>
          <cell r="CP93">
            <v>-295481.86</v>
          </cell>
          <cell r="CQ93">
            <v>-277514.45</v>
          </cell>
          <cell r="CR93">
            <v>-309065.09000000003</v>
          </cell>
          <cell r="CS93">
            <v>-301593.17</v>
          </cell>
          <cell r="CT93">
            <v>-345307.64</v>
          </cell>
          <cell r="CU93">
            <v>-385592.86</v>
          </cell>
          <cell r="CV93">
            <v>-377351.61</v>
          </cell>
          <cell r="CW93">
            <v>-420721.69</v>
          </cell>
          <cell r="CX93">
            <v>-348172.23</v>
          </cell>
          <cell r="CY93">
            <v>-342325.21</v>
          </cell>
          <cell r="CZ93">
            <v>-329838.73</v>
          </cell>
          <cell r="DA93">
            <v>-287571.86</v>
          </cell>
          <cell r="DB93">
            <v>-242056.53</v>
          </cell>
          <cell r="DC93">
            <v>-257461.77</v>
          </cell>
          <cell r="DD93">
            <v>-274203.13</v>
          </cell>
          <cell r="DE93">
            <v>-311189.09999999998</v>
          </cell>
          <cell r="DF93">
            <v>-293549.31</v>
          </cell>
          <cell r="DG93">
            <v>-339968.09</v>
          </cell>
        </row>
        <row r="94">
          <cell r="A94">
            <v>4893009</v>
          </cell>
          <cell r="B94">
            <v>4893009</v>
          </cell>
          <cell r="C94" t="str">
            <v>GS Sm Transp Swing</v>
          </cell>
          <cell r="D94">
            <v>-10661.03</v>
          </cell>
          <cell r="E94">
            <v>-12313.61</v>
          </cell>
          <cell r="F94">
            <v>-9839.6299999999992</v>
          </cell>
          <cell r="G94">
            <v>-8462.9699999999993</v>
          </cell>
          <cell r="H94">
            <v>-7238.07</v>
          </cell>
          <cell r="I94">
            <v>-6831.51</v>
          </cell>
          <cell r="J94">
            <v>-5824.96</v>
          </cell>
          <cell r="K94">
            <v>-5513.33</v>
          </cell>
          <cell r="L94">
            <v>-7032.35</v>
          </cell>
          <cell r="M94">
            <v>-6918.63</v>
          </cell>
          <cell r="N94">
            <v>-7544.24</v>
          </cell>
          <cell r="O94">
            <v>-9174.48</v>
          </cell>
          <cell r="P94">
            <v>-10595.86</v>
          </cell>
          <cell r="Q94">
            <v>-11173.42</v>
          </cell>
          <cell r="R94">
            <v>-11426.91</v>
          </cell>
          <cell r="S94">
            <v>-8603.4</v>
          </cell>
          <cell r="T94">
            <v>-7485.97</v>
          </cell>
          <cell r="U94">
            <v>-7685.84</v>
          </cell>
          <cell r="V94">
            <v>-6131.62</v>
          </cell>
          <cell r="W94">
            <v>-6575.88</v>
          </cell>
          <cell r="X94">
            <v>-6737.64</v>
          </cell>
          <cell r="Y94">
            <v>-7276.66</v>
          </cell>
          <cell r="Z94">
            <v>-7814.59</v>
          </cell>
          <cell r="AA94">
            <v>-12708.24</v>
          </cell>
          <cell r="AB94">
            <v>-14864.28</v>
          </cell>
          <cell r="AC94">
            <v>-18376.13</v>
          </cell>
          <cell r="AD94">
            <v>-15856.57</v>
          </cell>
          <cell r="AE94">
            <v>-13493.62</v>
          </cell>
          <cell r="AF94">
            <v>-12324.57</v>
          </cell>
          <cell r="AG94">
            <v>-11298.72</v>
          </cell>
          <cell r="AH94">
            <v>-8868.09</v>
          </cell>
          <cell r="AI94">
            <v>-8982.98</v>
          </cell>
          <cell r="AJ94">
            <v>-11030.21</v>
          </cell>
          <cell r="AK94">
            <v>-10319.31</v>
          </cell>
          <cell r="AL94">
            <v>-11594.29</v>
          </cell>
          <cell r="AM94">
            <v>-13893.95</v>
          </cell>
          <cell r="AN94">
            <v>-16289.82</v>
          </cell>
          <cell r="AO94">
            <v>-16092.97</v>
          </cell>
          <cell r="AP94">
            <v>-15244.12</v>
          </cell>
          <cell r="AQ94">
            <v>-16191.11</v>
          </cell>
          <cell r="AR94">
            <v>-13886.13</v>
          </cell>
          <cell r="AS94">
            <v>-12602.78</v>
          </cell>
          <cell r="AT94">
            <v>-9993.27</v>
          </cell>
          <cell r="AU94">
            <v>-9921.17</v>
          </cell>
          <cell r="AV94">
            <v>-11763.62</v>
          </cell>
          <cell r="AW94">
            <v>-11169.37</v>
          </cell>
          <cell r="AX94">
            <v>-13647.07</v>
          </cell>
          <cell r="AY94">
            <v>-15630.72</v>
          </cell>
          <cell r="AZ94">
            <v>-27204.400000000001</v>
          </cell>
          <cell r="BA94">
            <v>-34050.129999999997</v>
          </cell>
          <cell r="BB94">
            <v>-7224.65</v>
          </cell>
          <cell r="BC94">
            <v>-19197.349999999999</v>
          </cell>
          <cell r="BD94">
            <v>-15061.96</v>
          </cell>
          <cell r="BE94">
            <v>-14394.88</v>
          </cell>
          <cell r="BF94">
            <v>-11739.44</v>
          </cell>
          <cell r="BG94">
            <v>-11096.12</v>
          </cell>
          <cell r="BH94">
            <v>-13524.38</v>
          </cell>
          <cell r="BI94">
            <v>-12444.07</v>
          </cell>
          <cell r="BJ94">
            <v>-13474.12</v>
          </cell>
          <cell r="BK94">
            <v>-17698.07</v>
          </cell>
          <cell r="BL94">
            <v>-21628.97</v>
          </cell>
          <cell r="BM94">
            <v>-21398.23</v>
          </cell>
          <cell r="BN94">
            <v>-17814.599999999999</v>
          </cell>
          <cell r="BO94">
            <v>-17290.810000000001</v>
          </cell>
          <cell r="BP94">
            <v>-15525.64</v>
          </cell>
          <cell r="BQ94">
            <v>-14641.9</v>
          </cell>
          <cell r="BR94">
            <v>-11514.78</v>
          </cell>
          <cell r="BS94">
            <v>-15885.21</v>
          </cell>
          <cell r="BT94">
            <v>-7331.6</v>
          </cell>
          <cell r="BU94">
            <v>-12551.75</v>
          </cell>
          <cell r="BV94">
            <v>-14134.63</v>
          </cell>
          <cell r="BW94">
            <v>-17811.79</v>
          </cell>
          <cell r="BX94">
            <v>-19336.59</v>
          </cell>
          <cell r="BY94">
            <v>-20230.919999999998</v>
          </cell>
          <cell r="BZ94">
            <v>-18781.05</v>
          </cell>
          <cell r="CA94">
            <v>-11563.74</v>
          </cell>
          <cell r="CB94">
            <v>-9130.68</v>
          </cell>
          <cell r="CC94">
            <v>-10389.64</v>
          </cell>
          <cell r="CD94">
            <v>-10073.36</v>
          </cell>
          <cell r="CE94">
            <v>-10343.61</v>
          </cell>
          <cell r="CF94">
            <v>-10342.69</v>
          </cell>
          <cell r="CG94">
            <v>-11248.19</v>
          </cell>
          <cell r="CH94">
            <v>-12787.82</v>
          </cell>
          <cell r="CI94">
            <v>-16153.44</v>
          </cell>
          <cell r="CJ94">
            <v>-21863.26</v>
          </cell>
          <cell r="CK94">
            <v>-21928.9</v>
          </cell>
          <cell r="CL94">
            <v>-20542.11</v>
          </cell>
          <cell r="CM94">
            <v>-17198.8</v>
          </cell>
          <cell r="CN94">
            <v>-14955.61</v>
          </cell>
          <cell r="CO94">
            <v>-13433.27</v>
          </cell>
          <cell r="CP94">
            <v>-12769.54</v>
          </cell>
          <cell r="CQ94">
            <v>-12422.68</v>
          </cell>
          <cell r="CR94">
            <v>-14427.63</v>
          </cell>
          <cell r="CS94">
            <v>-14517.69</v>
          </cell>
          <cell r="CT94">
            <v>-17773.62</v>
          </cell>
          <cell r="CU94">
            <v>-21534.94</v>
          </cell>
          <cell r="CV94">
            <v>-20935.650000000001</v>
          </cell>
          <cell r="CW94">
            <v>-26294.880000000001</v>
          </cell>
          <cell r="CX94">
            <v>-21876.35</v>
          </cell>
          <cell r="CY94">
            <v>-20125.89</v>
          </cell>
          <cell r="CZ94">
            <v>-18655.580000000002</v>
          </cell>
          <cell r="DA94">
            <v>-15504.47</v>
          </cell>
          <cell r="DB94">
            <v>-11084.8</v>
          </cell>
          <cell r="DC94">
            <v>-10867.48</v>
          </cell>
          <cell r="DD94">
            <v>-12575.29</v>
          </cell>
          <cell r="DE94">
            <v>-14335.97</v>
          </cell>
          <cell r="DF94">
            <v>-14393.76</v>
          </cell>
          <cell r="DG94">
            <v>-17488.09</v>
          </cell>
        </row>
        <row r="95">
          <cell r="A95">
            <v>4893033</v>
          </cell>
          <cell r="B95">
            <v>4893033</v>
          </cell>
          <cell r="C95" t="str">
            <v>Commercial Gas Heat Pump Transportation</v>
          </cell>
          <cell r="D95"/>
          <cell r="E95"/>
          <cell r="F95"/>
          <cell r="G95"/>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cell r="CC95"/>
          <cell r="CD95"/>
          <cell r="CE95"/>
          <cell r="CF95"/>
          <cell r="CG95"/>
          <cell r="CH95"/>
          <cell r="CI95"/>
          <cell r="CJ95">
            <v>-45</v>
          </cell>
          <cell r="CK95">
            <v>-45</v>
          </cell>
          <cell r="CL95">
            <v>-45</v>
          </cell>
          <cell r="CM95">
            <v>-48.88</v>
          </cell>
          <cell r="CN95">
            <v>-48.2</v>
          </cell>
          <cell r="CO95">
            <v>-45.45</v>
          </cell>
          <cell r="CP95">
            <v>-47.06</v>
          </cell>
          <cell r="CQ95">
            <v>-47.06</v>
          </cell>
          <cell r="CR95">
            <v>-45.24</v>
          </cell>
          <cell r="CS95">
            <v>-45.24</v>
          </cell>
          <cell r="CT95">
            <v>-45.45</v>
          </cell>
          <cell r="CU95">
            <v>-53.69</v>
          </cell>
          <cell r="CV95">
            <v>-59.57</v>
          </cell>
          <cell r="CW95">
            <v>-61.17</v>
          </cell>
          <cell r="CX95">
            <v>-64.61</v>
          </cell>
          <cell r="CY95">
            <v>-52.29</v>
          </cell>
          <cell r="CZ95">
            <v>-45</v>
          </cell>
          <cell r="DA95">
            <v>-48.86</v>
          </cell>
          <cell r="DB95">
            <v>-46.14</v>
          </cell>
          <cell r="DC95">
            <v>-45</v>
          </cell>
          <cell r="DD95">
            <v>-45</v>
          </cell>
          <cell r="DE95">
            <v>-87.97</v>
          </cell>
          <cell r="DF95">
            <v>-189.61</v>
          </cell>
          <cell r="DG95">
            <v>-302.12</v>
          </cell>
        </row>
        <row r="96">
          <cell r="A96">
            <v>4893034</v>
          </cell>
          <cell r="B96">
            <v>4893034</v>
          </cell>
          <cell r="C96" t="str">
            <v>Commercial Gas Heat Pump Transportation-Swing</v>
          </cell>
          <cell r="D96"/>
          <cell r="E96"/>
          <cell r="F96"/>
          <cell r="G96"/>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cell r="CC96"/>
          <cell r="CD96"/>
          <cell r="CE96"/>
          <cell r="CF96"/>
          <cell r="CG96"/>
          <cell r="CH96"/>
          <cell r="CI96"/>
          <cell r="CJ96"/>
          <cell r="CK96"/>
          <cell r="CL96"/>
          <cell r="CM96">
            <v>-0.41</v>
          </cell>
          <cell r="CN96">
            <v>-0.34</v>
          </cell>
          <cell r="CO96">
            <v>-0.05</v>
          </cell>
          <cell r="CP96">
            <v>-0.22</v>
          </cell>
          <cell r="CQ96">
            <v>-0.22</v>
          </cell>
          <cell r="CR96">
            <v>-0.02</v>
          </cell>
          <cell r="CS96">
            <v>-0.02</v>
          </cell>
          <cell r="CT96">
            <v>-0.05</v>
          </cell>
          <cell r="CU96">
            <v>-0.92</v>
          </cell>
          <cell r="CV96">
            <v>-1.55</v>
          </cell>
          <cell r="CW96">
            <v>-1.72</v>
          </cell>
          <cell r="CX96">
            <v>-2.08</v>
          </cell>
          <cell r="CY96">
            <v>-0.77</v>
          </cell>
          <cell r="CZ96">
            <v>0</v>
          </cell>
          <cell r="DA96">
            <v>-0.41</v>
          </cell>
          <cell r="DB96">
            <v>-0.12</v>
          </cell>
          <cell r="DC96">
            <v>0</v>
          </cell>
          <cell r="DD96">
            <v>0</v>
          </cell>
          <cell r="DE96">
            <v>-4.5599999999999996</v>
          </cell>
          <cell r="DF96">
            <v>-15.34</v>
          </cell>
          <cell r="DG96">
            <v>-27.28</v>
          </cell>
        </row>
        <row r="97">
          <cell r="A97">
            <v>4893035</v>
          </cell>
          <cell r="B97">
            <v>4893035</v>
          </cell>
          <cell r="C97" t="str">
            <v>Comm TrnspStandbyGen</v>
          </cell>
          <cell r="D97">
            <v>-4066.82</v>
          </cell>
          <cell r="E97">
            <v>-4112.2700000000004</v>
          </cell>
          <cell r="F97">
            <v>-4011.36</v>
          </cell>
          <cell r="G97">
            <v>-4033.34</v>
          </cell>
          <cell r="H97">
            <v>-4182.9399999999996</v>
          </cell>
          <cell r="I97">
            <v>-4353.8999999999996</v>
          </cell>
          <cell r="J97">
            <v>-4118.38</v>
          </cell>
          <cell r="K97">
            <v>-4267.87</v>
          </cell>
          <cell r="L97">
            <v>-4549.04</v>
          </cell>
          <cell r="M97">
            <v>-4871.57</v>
          </cell>
          <cell r="N97">
            <v>-5005.38</v>
          </cell>
          <cell r="O97">
            <v>-5518.28</v>
          </cell>
          <cell r="P97">
            <v>-4960.3100000000004</v>
          </cell>
          <cell r="Q97">
            <v>-5079.29</v>
          </cell>
          <cell r="R97">
            <v>-5537.25</v>
          </cell>
          <cell r="S97">
            <v>-5064.75</v>
          </cell>
          <cell r="T97">
            <v>-5182.05</v>
          </cell>
          <cell r="U97">
            <v>-5009.9799999999996</v>
          </cell>
          <cell r="V97">
            <v>-4948.8999999999996</v>
          </cell>
          <cell r="W97">
            <v>-4657.43</v>
          </cell>
          <cell r="X97">
            <v>-4620.1000000000004</v>
          </cell>
          <cell r="Y97">
            <v>-4806.76</v>
          </cell>
          <cell r="Z97">
            <v>-5526.98</v>
          </cell>
          <cell r="AA97">
            <v>-5817.22</v>
          </cell>
          <cell r="AB97">
            <v>-6136.79</v>
          </cell>
          <cell r="AC97">
            <v>-6541.69</v>
          </cell>
          <cell r="AD97">
            <v>-6580.02</v>
          </cell>
          <cell r="AE97">
            <v>-6571.03</v>
          </cell>
          <cell r="AF97">
            <v>-6746.62</v>
          </cell>
          <cell r="AG97">
            <v>-6600.13</v>
          </cell>
          <cell r="AH97">
            <v>-6793.27</v>
          </cell>
          <cell r="AI97">
            <v>-6603.01</v>
          </cell>
          <cell r="AJ97">
            <v>-6447.51</v>
          </cell>
          <cell r="AK97">
            <v>-6501.12</v>
          </cell>
          <cell r="AL97">
            <v>-6567</v>
          </cell>
          <cell r="AM97">
            <v>-5844.79</v>
          </cell>
          <cell r="AN97">
            <v>-5894.07</v>
          </cell>
          <cell r="AO97">
            <v>-6711.93</v>
          </cell>
          <cell r="AP97">
            <v>-6186.94</v>
          </cell>
          <cell r="AQ97">
            <v>-6270.72</v>
          </cell>
          <cell r="AR97">
            <v>-6302.84</v>
          </cell>
          <cell r="AS97">
            <v>-6110.5</v>
          </cell>
          <cell r="AT97">
            <v>-6270.49</v>
          </cell>
          <cell r="AU97">
            <v>-6289.9</v>
          </cell>
          <cell r="AV97">
            <v>-7048.02</v>
          </cell>
          <cell r="AW97">
            <v>-6667.72</v>
          </cell>
          <cell r="AX97">
            <v>-7938.26</v>
          </cell>
          <cell r="AY97">
            <v>-5305.7</v>
          </cell>
          <cell r="AZ97">
            <v>-5974.62</v>
          </cell>
          <cell r="BA97">
            <v>-6005.62</v>
          </cell>
          <cell r="BB97">
            <v>-9399.19</v>
          </cell>
          <cell r="BC97">
            <v>-13586.84</v>
          </cell>
          <cell r="BD97">
            <v>-12521.68</v>
          </cell>
          <cell r="BE97">
            <v>-8579.8799999999992</v>
          </cell>
          <cell r="BF97">
            <v>-9160.7000000000007</v>
          </cell>
          <cell r="BG97">
            <v>-9233.59</v>
          </cell>
          <cell r="BH97">
            <v>-8611.6299999999992</v>
          </cell>
          <cell r="BI97">
            <v>-8747.66</v>
          </cell>
          <cell r="BJ97">
            <v>-250.19</v>
          </cell>
          <cell r="BK97">
            <v>-7732.14</v>
          </cell>
          <cell r="BL97">
            <v>-8227.2199999999993</v>
          </cell>
          <cell r="BM97">
            <v>-8067.59</v>
          </cell>
          <cell r="BN97">
            <v>-8433.85</v>
          </cell>
          <cell r="BO97">
            <v>-7616.84</v>
          </cell>
          <cell r="BP97">
            <v>-7708.6</v>
          </cell>
          <cell r="BQ97">
            <v>-7718.37</v>
          </cell>
          <cell r="BR97">
            <v>-8227.81</v>
          </cell>
          <cell r="BS97">
            <v>-8428.76</v>
          </cell>
          <cell r="BT97">
            <v>-9057.4599999999991</v>
          </cell>
          <cell r="BU97">
            <v>-7513.35</v>
          </cell>
          <cell r="BV97">
            <v>-8162.23</v>
          </cell>
          <cell r="BW97">
            <v>-9786.09</v>
          </cell>
          <cell r="BX97">
            <v>-8841.6299999999992</v>
          </cell>
          <cell r="BY97">
            <v>-8688.67</v>
          </cell>
          <cell r="BZ97">
            <v>-14756.15</v>
          </cell>
          <cell r="CA97">
            <v>-10004.780000000001</v>
          </cell>
          <cell r="CB97">
            <v>-10375.16</v>
          </cell>
          <cell r="CC97">
            <v>-8814.25</v>
          </cell>
          <cell r="CD97">
            <v>-9499.41</v>
          </cell>
          <cell r="CE97">
            <v>-9787.9</v>
          </cell>
          <cell r="CF97">
            <v>-10100.85</v>
          </cell>
          <cell r="CG97">
            <v>-10474.52</v>
          </cell>
          <cell r="CH97">
            <v>-10885.53</v>
          </cell>
          <cell r="CI97">
            <v>-12455.7</v>
          </cell>
          <cell r="CJ97">
            <v>-18989.810000000001</v>
          </cell>
          <cell r="CK97">
            <v>-18173.37</v>
          </cell>
          <cell r="CL97">
            <v>-17512.86</v>
          </cell>
          <cell r="CM97">
            <v>-18017.759999999998</v>
          </cell>
          <cell r="CN97">
            <v>-16459.45</v>
          </cell>
          <cell r="CO97">
            <v>-14731.2</v>
          </cell>
          <cell r="CP97">
            <v>-14204.18</v>
          </cell>
          <cell r="CQ97">
            <v>-13370.51</v>
          </cell>
          <cell r="CR97">
            <v>-13819.62</v>
          </cell>
          <cell r="CS97">
            <v>-14221.55</v>
          </cell>
          <cell r="CT97">
            <v>-15178.19</v>
          </cell>
          <cell r="CU97">
            <v>-16440.11</v>
          </cell>
          <cell r="CV97">
            <v>-17969.830000000002</v>
          </cell>
          <cell r="CW97">
            <v>-16996.259999999998</v>
          </cell>
          <cell r="CX97">
            <v>-17000.099999999999</v>
          </cell>
          <cell r="CY97">
            <v>-15897.56</v>
          </cell>
          <cell r="CZ97">
            <v>-14913.89</v>
          </cell>
          <cell r="DA97">
            <v>-15566.27</v>
          </cell>
          <cell r="DB97">
            <v>-14196.31</v>
          </cell>
          <cell r="DC97">
            <v>-15880.52</v>
          </cell>
          <cell r="DD97">
            <v>-13742.85</v>
          </cell>
          <cell r="DE97">
            <v>-21122.7</v>
          </cell>
          <cell r="DF97">
            <v>-24709.72</v>
          </cell>
          <cell r="DG97">
            <v>-18819.099999999999</v>
          </cell>
        </row>
        <row r="98">
          <cell r="A98">
            <v>4893036</v>
          </cell>
          <cell r="B98">
            <v>4893036</v>
          </cell>
          <cell r="C98" t="str">
            <v>Com TrpStByGen Swing</v>
          </cell>
          <cell r="D98">
            <v>-145.75</v>
          </cell>
          <cell r="E98">
            <v>-145.84</v>
          </cell>
          <cell r="F98">
            <v>-130.66999999999999</v>
          </cell>
          <cell r="G98">
            <v>-134.43</v>
          </cell>
          <cell r="H98">
            <v>-146.77000000000001</v>
          </cell>
          <cell r="I98">
            <v>-160.38</v>
          </cell>
          <cell r="J98">
            <v>-121.29</v>
          </cell>
          <cell r="K98">
            <v>-121.82</v>
          </cell>
          <cell r="L98">
            <v>-144.1</v>
          </cell>
          <cell r="M98">
            <v>-162.08000000000001</v>
          </cell>
          <cell r="N98">
            <v>-172.98</v>
          </cell>
          <cell r="O98">
            <v>-218.6</v>
          </cell>
          <cell r="P98">
            <v>-171.31</v>
          </cell>
          <cell r="Q98">
            <v>-183.94</v>
          </cell>
          <cell r="R98">
            <v>-223.72</v>
          </cell>
          <cell r="S98">
            <v>-178.08</v>
          </cell>
          <cell r="T98">
            <v>-177.17</v>
          </cell>
          <cell r="U98">
            <v>-171.47</v>
          </cell>
          <cell r="V98">
            <v>-163.82</v>
          </cell>
          <cell r="W98">
            <v>-142.72</v>
          </cell>
          <cell r="X98">
            <v>-140.52000000000001</v>
          </cell>
          <cell r="Y98">
            <v>-148.32</v>
          </cell>
          <cell r="Z98">
            <v>-176.16</v>
          </cell>
          <cell r="AA98">
            <v>-262.60000000000002</v>
          </cell>
          <cell r="AB98">
            <v>-285.14999999999998</v>
          </cell>
          <cell r="AC98">
            <v>-333.2</v>
          </cell>
          <cell r="AD98">
            <v>-332.28</v>
          </cell>
          <cell r="AE98">
            <v>-330.73</v>
          </cell>
          <cell r="AF98">
            <v>-343.31</v>
          </cell>
          <cell r="AG98">
            <v>-331.29</v>
          </cell>
          <cell r="AH98">
            <v>-349</v>
          </cell>
          <cell r="AI98">
            <v>-328.21</v>
          </cell>
          <cell r="AJ98">
            <v>-301.16000000000003</v>
          </cell>
          <cell r="AK98">
            <v>-304.52999999999997</v>
          </cell>
          <cell r="AL98">
            <v>-317.64</v>
          </cell>
          <cell r="AM98">
            <v>-240.81</v>
          </cell>
          <cell r="AN98">
            <v>-262.83999999999997</v>
          </cell>
          <cell r="AO98">
            <v>-307.95999999999998</v>
          </cell>
          <cell r="AP98">
            <v>-267.31</v>
          </cell>
          <cell r="AQ98">
            <v>-282.13</v>
          </cell>
          <cell r="AR98">
            <v>-257.41000000000003</v>
          </cell>
          <cell r="AS98">
            <v>-260.37</v>
          </cell>
          <cell r="AT98">
            <v>-239.64</v>
          </cell>
          <cell r="AU98">
            <v>-206.07</v>
          </cell>
          <cell r="AV98">
            <v>-383.14</v>
          </cell>
          <cell r="AW98">
            <v>-345.76</v>
          </cell>
          <cell r="AX98">
            <v>-473.28</v>
          </cell>
          <cell r="AY98">
            <v>-212.93</v>
          </cell>
          <cell r="AZ98">
            <v>-248.95</v>
          </cell>
          <cell r="BA98">
            <v>-260.99</v>
          </cell>
          <cell r="BB98">
            <v>-620.66</v>
          </cell>
          <cell r="BC98">
            <v>-607</v>
          </cell>
          <cell r="BD98">
            <v>-870.1</v>
          </cell>
          <cell r="BE98">
            <v>-536.72</v>
          </cell>
          <cell r="BF98">
            <v>-604.79999999999995</v>
          </cell>
          <cell r="BG98">
            <v>-590.37</v>
          </cell>
          <cell r="BH98">
            <v>-523.32000000000005</v>
          </cell>
          <cell r="BI98">
            <v>-540.49</v>
          </cell>
          <cell r="BJ98">
            <v>410.52</v>
          </cell>
          <cell r="BK98">
            <v>-414.21</v>
          </cell>
          <cell r="BL98">
            <v>-262.24</v>
          </cell>
          <cell r="BM98">
            <v>-238.75</v>
          </cell>
          <cell r="BN98">
            <v>-259.87</v>
          </cell>
          <cell r="BO98">
            <v>-215.26</v>
          </cell>
          <cell r="BP98">
            <v>-221.24</v>
          </cell>
          <cell r="BQ98">
            <v>-218.23</v>
          </cell>
          <cell r="BR98">
            <v>-245.43</v>
          </cell>
          <cell r="BS98">
            <v>-256.82</v>
          </cell>
          <cell r="BT98">
            <v>-294.75</v>
          </cell>
          <cell r="BU98">
            <v>-191.75</v>
          </cell>
          <cell r="BV98">
            <v>-226.5</v>
          </cell>
          <cell r="BW98">
            <v>-308.47000000000003</v>
          </cell>
          <cell r="BX98">
            <v>-259.52</v>
          </cell>
          <cell r="BY98">
            <v>-260.79000000000002</v>
          </cell>
          <cell r="BZ98">
            <v>-630.44000000000005</v>
          </cell>
          <cell r="CA98">
            <v>-341.55</v>
          </cell>
          <cell r="CB98">
            <v>-334.27</v>
          </cell>
          <cell r="CC98">
            <v>-264.24</v>
          </cell>
          <cell r="CD98">
            <v>-303.05</v>
          </cell>
          <cell r="CE98">
            <v>-321.62</v>
          </cell>
          <cell r="CF98">
            <v>-340.8</v>
          </cell>
          <cell r="CG98">
            <v>-315.48</v>
          </cell>
          <cell r="CH98">
            <v>-387.4</v>
          </cell>
          <cell r="CI98">
            <v>-493.12</v>
          </cell>
          <cell r="CJ98">
            <v>-609</v>
          </cell>
          <cell r="CK98">
            <v>-555.14</v>
          </cell>
          <cell r="CL98">
            <v>-539.37</v>
          </cell>
          <cell r="CM98">
            <v>-564.79999999999995</v>
          </cell>
          <cell r="CN98">
            <v>-488.62</v>
          </cell>
          <cell r="CO98">
            <v>-376.36</v>
          </cell>
          <cell r="CP98">
            <v>-376.43</v>
          </cell>
          <cell r="CQ98">
            <v>-337.18</v>
          </cell>
          <cell r="CR98">
            <v>-358.27</v>
          </cell>
          <cell r="CS98">
            <v>-360.17</v>
          </cell>
          <cell r="CT98">
            <v>-419.25</v>
          </cell>
          <cell r="CU98">
            <v>-486.71</v>
          </cell>
          <cell r="CV98">
            <v>-560</v>
          </cell>
          <cell r="CW98">
            <v>-499.37</v>
          </cell>
          <cell r="CX98">
            <v>-505.8</v>
          </cell>
          <cell r="CY98">
            <v>-456.35</v>
          </cell>
          <cell r="CZ98">
            <v>-390.8</v>
          </cell>
          <cell r="DA98">
            <v>-437.55</v>
          </cell>
          <cell r="DB98">
            <v>-363.35</v>
          </cell>
          <cell r="DC98">
            <v>-432.7</v>
          </cell>
          <cell r="DD98">
            <v>-349.74</v>
          </cell>
          <cell r="DE98">
            <v>-724.69</v>
          </cell>
          <cell r="DF98">
            <v>-885.5</v>
          </cell>
          <cell r="DG98">
            <v>-582.41999999999996</v>
          </cell>
        </row>
        <row r="99">
          <cell r="A99">
            <v>4893037</v>
          </cell>
          <cell r="B99">
            <v>4893037</v>
          </cell>
          <cell r="C99" t="str">
            <v>Residential Transportation Gas Heat Pump</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-162.19</v>
          </cell>
          <cell r="CG99">
            <v>-49.39</v>
          </cell>
          <cell r="CH99">
            <v>-51.75</v>
          </cell>
          <cell r="CI99">
            <v>-41.61</v>
          </cell>
          <cell r="CJ99">
            <v>-35.57</v>
          </cell>
          <cell r="CK99">
            <v>-32.22</v>
          </cell>
          <cell r="CL99">
            <v>-41.72</v>
          </cell>
          <cell r="CM99">
            <v>-42.41</v>
          </cell>
          <cell r="CN99">
            <v>-49.73</v>
          </cell>
          <cell r="CO99">
            <v>-54.92</v>
          </cell>
          <cell r="CP99">
            <v>-181.64</v>
          </cell>
          <cell r="CQ99">
            <v>-86.54</v>
          </cell>
          <cell r="CR99">
            <v>-145.44</v>
          </cell>
          <cell r="CS99">
            <v>-116.33</v>
          </cell>
          <cell r="CT99">
            <v>-107.39</v>
          </cell>
          <cell r="CU99">
            <v>-96.61</v>
          </cell>
          <cell r="CV99">
            <v>-89.11</v>
          </cell>
          <cell r="CW99">
            <v>-73.3</v>
          </cell>
          <cell r="CX99">
            <v>-83.57</v>
          </cell>
          <cell r="CY99">
            <v>-97.13</v>
          </cell>
          <cell r="CZ99">
            <v>-101.99</v>
          </cell>
          <cell r="DA99">
            <v>-119.85</v>
          </cell>
          <cell r="DB99">
            <v>-120.19</v>
          </cell>
          <cell r="DC99">
            <v>-123.83</v>
          </cell>
          <cell r="DD99">
            <v>-125.93</v>
          </cell>
          <cell r="DE99">
            <v>-107.84</v>
          </cell>
          <cell r="DF99">
            <v>-103.41</v>
          </cell>
          <cell r="DG99">
            <v>-94.54</v>
          </cell>
        </row>
        <row r="100">
          <cell r="A100">
            <v>4893038</v>
          </cell>
          <cell r="B100">
            <v>4893038</v>
          </cell>
          <cell r="C100" t="str">
            <v>Residential Transportation Gas Heat Pump-Swing</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-42.51</v>
          </cell>
          <cell r="CG100">
            <v>-12.28</v>
          </cell>
          <cell r="CH100">
            <v>-13.23</v>
          </cell>
          <cell r="CI100">
            <v>-9.14</v>
          </cell>
          <cell r="CJ100">
            <v>-4.43</v>
          </cell>
          <cell r="CK100">
            <v>-3.08</v>
          </cell>
          <cell r="CL100">
            <v>-6.92</v>
          </cell>
          <cell r="CM100">
            <v>-7.2</v>
          </cell>
          <cell r="CN100">
            <v>-10.16</v>
          </cell>
          <cell r="CO100">
            <v>-12.26</v>
          </cell>
          <cell r="CP100">
            <v>-23.7</v>
          </cell>
          <cell r="CQ100">
            <v>-15.09</v>
          </cell>
          <cell r="CR100">
            <v>-38.909999999999997</v>
          </cell>
          <cell r="CS100">
            <v>-27.14</v>
          </cell>
          <cell r="CT100">
            <v>-23.53</v>
          </cell>
          <cell r="CU100">
            <v>-19.170000000000002</v>
          </cell>
          <cell r="CV100">
            <v>-16.13</v>
          </cell>
          <cell r="CW100">
            <v>-9.74</v>
          </cell>
          <cell r="CX100">
            <v>-13.89</v>
          </cell>
          <cell r="CY100">
            <v>-19.38</v>
          </cell>
          <cell r="CZ100">
            <v>-21.34</v>
          </cell>
          <cell r="DA100">
            <v>-28.56</v>
          </cell>
          <cell r="DB100">
            <v>-28.69</v>
          </cell>
          <cell r="DC100">
            <v>-30.17</v>
          </cell>
          <cell r="DD100">
            <v>-31.02</v>
          </cell>
          <cell r="DE100">
            <v>-23.71</v>
          </cell>
          <cell r="DF100">
            <v>-21.92</v>
          </cell>
          <cell r="DG100">
            <v>-18.329999999999998</v>
          </cell>
        </row>
        <row r="101">
          <cell r="A101">
            <v>4893040</v>
          </cell>
          <cell r="B101">
            <v>4893040</v>
          </cell>
          <cell r="C101" t="str">
            <v>Resid Trsp GenSvc 1</v>
          </cell>
          <cell r="D101">
            <v>-87226.22</v>
          </cell>
          <cell r="E101">
            <v>-70954.070000000007</v>
          </cell>
          <cell r="F101">
            <v>-54346.74</v>
          </cell>
          <cell r="G101">
            <v>-52355.13</v>
          </cell>
          <cell r="H101">
            <v>-27061.9</v>
          </cell>
          <cell r="I101">
            <v>-20278.27</v>
          </cell>
          <cell r="J101">
            <v>-18302.810000000001</v>
          </cell>
          <cell r="K101">
            <v>-18205.580000000002</v>
          </cell>
          <cell r="L101">
            <v>-19801.150000000001</v>
          </cell>
          <cell r="M101">
            <v>-27105.91</v>
          </cell>
          <cell r="N101">
            <v>-57776.45</v>
          </cell>
          <cell r="O101">
            <v>-82604.2</v>
          </cell>
          <cell r="P101">
            <v>-76296.13</v>
          </cell>
          <cell r="Q101">
            <v>-84130.44</v>
          </cell>
          <cell r="R101">
            <v>-65827.41</v>
          </cell>
          <cell r="S101">
            <v>-29699.58</v>
          </cell>
          <cell r="T101">
            <v>-22228.92</v>
          </cell>
          <cell r="U101">
            <v>-20949.07</v>
          </cell>
          <cell r="V101">
            <v>-20092.07</v>
          </cell>
          <cell r="W101">
            <v>-21867.56</v>
          </cell>
          <cell r="X101">
            <v>-44566.2</v>
          </cell>
          <cell r="Y101">
            <v>-21965.34</v>
          </cell>
          <cell r="Z101">
            <v>-44193.04</v>
          </cell>
          <cell r="AA101">
            <v>-76346.31</v>
          </cell>
          <cell r="AB101">
            <v>-91658.63</v>
          </cell>
          <cell r="AC101">
            <v>-108943.36</v>
          </cell>
          <cell r="AD101">
            <v>-72443.83</v>
          </cell>
          <cell r="AE101">
            <v>-50313.09</v>
          </cell>
          <cell r="AF101">
            <v>-33398.370000000003</v>
          </cell>
          <cell r="AG101">
            <v>-20189.13</v>
          </cell>
          <cell r="AH101">
            <v>-20404.68</v>
          </cell>
          <cell r="AI101">
            <v>-22076.77</v>
          </cell>
          <cell r="AJ101">
            <v>-25307.22</v>
          </cell>
          <cell r="AK101">
            <v>-28711.71</v>
          </cell>
          <cell r="AL101">
            <v>-82502.259999999995</v>
          </cell>
          <cell r="AM101">
            <v>-90333.07</v>
          </cell>
          <cell r="AN101">
            <v>-94229.52</v>
          </cell>
          <cell r="AO101">
            <v>-94520.75</v>
          </cell>
          <cell r="AP101">
            <v>-71559.789999999994</v>
          </cell>
          <cell r="AQ101">
            <v>-73397.95</v>
          </cell>
          <cell r="AR101">
            <v>-37092.17</v>
          </cell>
          <cell r="AS101">
            <v>-24482.57</v>
          </cell>
          <cell r="AT101">
            <v>-22194.75</v>
          </cell>
          <cell r="AU101">
            <v>-22472.63</v>
          </cell>
          <cell r="AV101">
            <v>-26453.96</v>
          </cell>
          <cell r="AW101">
            <v>-30021.25</v>
          </cell>
          <cell r="AX101">
            <v>-68373.98</v>
          </cell>
          <cell r="AY101">
            <v>-90052.39</v>
          </cell>
          <cell r="AZ101">
            <v>-129753.60000000001</v>
          </cell>
          <cell r="BA101">
            <v>-107282.59</v>
          </cell>
          <cell r="BB101">
            <v>-62329.83</v>
          </cell>
          <cell r="BC101">
            <v>-82905.240000000005</v>
          </cell>
          <cell r="BD101">
            <v>-40131.11</v>
          </cell>
          <cell r="BE101">
            <v>-33106.35</v>
          </cell>
          <cell r="BF101">
            <v>-20636.560000000001</v>
          </cell>
          <cell r="BG101">
            <v>-26011.8</v>
          </cell>
          <cell r="BH101">
            <v>-30892.11</v>
          </cell>
          <cell r="BI101">
            <v>-28650.81</v>
          </cell>
          <cell r="BJ101">
            <v>-49031.11</v>
          </cell>
          <cell r="BK101">
            <v>-100247.02</v>
          </cell>
          <cell r="BL101">
            <v>-115702.04</v>
          </cell>
          <cell r="BM101">
            <v>-92765.31</v>
          </cell>
          <cell r="BN101">
            <v>-69576.44</v>
          </cell>
          <cell r="BO101">
            <v>-68677.23</v>
          </cell>
          <cell r="BP101">
            <v>-40960.28</v>
          </cell>
          <cell r="BQ101">
            <v>-25818.15</v>
          </cell>
          <cell r="BR101">
            <v>-21953.37</v>
          </cell>
          <cell r="BS101">
            <v>-25627.72</v>
          </cell>
          <cell r="BT101">
            <v>-26397.73</v>
          </cell>
          <cell r="BU101">
            <v>-33131.89</v>
          </cell>
          <cell r="BV101">
            <v>-49926.42</v>
          </cell>
          <cell r="BW101">
            <v>-100196.09</v>
          </cell>
          <cell r="BX101">
            <v>-106586.22</v>
          </cell>
          <cell r="BY101">
            <v>-90724.39</v>
          </cell>
          <cell r="BZ101">
            <v>-76928.52</v>
          </cell>
          <cell r="CA101">
            <v>-28696.12</v>
          </cell>
          <cell r="CB101">
            <v>-27866.37</v>
          </cell>
          <cell r="CC101">
            <v>-30022.13</v>
          </cell>
          <cell r="CD101">
            <v>-21742.43</v>
          </cell>
          <cell r="CE101">
            <v>-25072.97</v>
          </cell>
          <cell r="CF101">
            <v>-24563.71</v>
          </cell>
          <cell r="CG101">
            <v>-33607.370000000003</v>
          </cell>
          <cell r="CH101">
            <v>-56003.29</v>
          </cell>
          <cell r="CI101">
            <v>-110352.48</v>
          </cell>
          <cell r="CJ101">
            <v>-156015.32</v>
          </cell>
          <cell r="CK101">
            <v>-104128.2</v>
          </cell>
          <cell r="CL101">
            <v>-96666.26</v>
          </cell>
          <cell r="CM101">
            <v>-81313.539999999994</v>
          </cell>
          <cell r="CN101">
            <v>-47125.279999999999</v>
          </cell>
          <cell r="CO101">
            <v>-44149.32</v>
          </cell>
          <cell r="CP101">
            <v>-36278.400000000001</v>
          </cell>
          <cell r="CQ101">
            <v>-30586.26</v>
          </cell>
          <cell r="CR101">
            <v>-36588.92</v>
          </cell>
          <cell r="CS101">
            <v>-40766.19</v>
          </cell>
          <cell r="CT101">
            <v>-82334.759999999995</v>
          </cell>
          <cell r="CU101">
            <v>-121032.76</v>
          </cell>
          <cell r="CV101">
            <v>-123729.12</v>
          </cell>
          <cell r="CW101">
            <v>-133991.74</v>
          </cell>
          <cell r="CX101">
            <v>-77508.78</v>
          </cell>
          <cell r="CY101">
            <v>-77697.509999999995</v>
          </cell>
          <cell r="CZ101">
            <v>-50473.93</v>
          </cell>
          <cell r="DA101">
            <v>-31991.19</v>
          </cell>
          <cell r="DB101">
            <v>-28533.68</v>
          </cell>
          <cell r="DC101">
            <v>-31008.11</v>
          </cell>
          <cell r="DD101">
            <v>-31256.76</v>
          </cell>
          <cell r="DE101">
            <v>-45940.11</v>
          </cell>
          <cell r="DF101">
            <v>-70127.13</v>
          </cell>
          <cell r="DG101">
            <v>-92344.76</v>
          </cell>
        </row>
        <row r="102">
          <cell r="A102">
            <v>4893041</v>
          </cell>
          <cell r="B102">
            <v>4893041</v>
          </cell>
          <cell r="C102" t="str">
            <v>Resid Trsp GS1 Swing</v>
          </cell>
          <cell r="D102">
            <v>-3651.54</v>
          </cell>
          <cell r="E102">
            <v>-3412.79</v>
          </cell>
          <cell r="F102">
            <v>-2733.92</v>
          </cell>
          <cell r="G102">
            <v>-2428.2199999999998</v>
          </cell>
          <cell r="H102">
            <v>-1408.33</v>
          </cell>
          <cell r="I102">
            <v>-819.38</v>
          </cell>
          <cell r="J102">
            <v>-541.28</v>
          </cell>
          <cell r="K102">
            <v>-447.51</v>
          </cell>
          <cell r="L102">
            <v>-476.82</v>
          </cell>
          <cell r="M102">
            <v>-749.98</v>
          </cell>
          <cell r="N102">
            <v>-1953.09</v>
          </cell>
          <cell r="O102">
            <v>-3249.98</v>
          </cell>
          <cell r="P102">
            <v>-3458.39</v>
          </cell>
          <cell r="Q102">
            <v>-3804.02</v>
          </cell>
          <cell r="R102">
            <v>-3254.49</v>
          </cell>
          <cell r="S102">
            <v>-1752.26</v>
          </cell>
          <cell r="T102">
            <v>-995.38</v>
          </cell>
          <cell r="U102">
            <v>-686.5</v>
          </cell>
          <cell r="V102">
            <v>-523.79999999999995</v>
          </cell>
          <cell r="W102">
            <v>-541.65</v>
          </cell>
          <cell r="X102">
            <v>-1372.9</v>
          </cell>
          <cell r="Y102">
            <v>-827.53</v>
          </cell>
          <cell r="Z102">
            <v>-1439.82</v>
          </cell>
          <cell r="AA102">
            <v>-3986.19</v>
          </cell>
          <cell r="AB102">
            <v>-5464.92</v>
          </cell>
          <cell r="AC102">
            <v>-6835.55</v>
          </cell>
          <cell r="AD102">
            <v>-5394.82</v>
          </cell>
          <cell r="AE102">
            <v>-3759.5</v>
          </cell>
          <cell r="AF102">
            <v>-2344.79</v>
          </cell>
          <cell r="AG102">
            <v>-1180.33</v>
          </cell>
          <cell r="AH102">
            <v>-769.17</v>
          </cell>
          <cell r="AI102">
            <v>-725.82</v>
          </cell>
          <cell r="AJ102">
            <v>-874.54</v>
          </cell>
          <cell r="AK102">
            <v>-1098.68</v>
          </cell>
          <cell r="AL102">
            <v>-3929.02</v>
          </cell>
          <cell r="AM102">
            <v>-5310.42</v>
          </cell>
          <cell r="AN102">
            <v>-5975.66</v>
          </cell>
          <cell r="AO102">
            <v>-6190.57</v>
          </cell>
          <cell r="AP102">
            <v>-5090.12</v>
          </cell>
          <cell r="AQ102">
            <v>-4794.5200000000004</v>
          </cell>
          <cell r="AR102">
            <v>-2825.8</v>
          </cell>
          <cell r="AS102">
            <v>-1516.04</v>
          </cell>
          <cell r="AT102">
            <v>-950.51</v>
          </cell>
          <cell r="AU102">
            <v>-791.5</v>
          </cell>
          <cell r="AV102">
            <v>-952.99</v>
          </cell>
          <cell r="AW102">
            <v>-1107.92</v>
          </cell>
          <cell r="AX102">
            <v>-3241.82</v>
          </cell>
          <cell r="AY102">
            <v>-5058.22</v>
          </cell>
          <cell r="AZ102">
            <v>-7686.65</v>
          </cell>
          <cell r="BA102">
            <v>-7395.2</v>
          </cell>
          <cell r="BB102">
            <v>-4973.84</v>
          </cell>
          <cell r="BC102">
            <v>-5234.8599999999997</v>
          </cell>
          <cell r="BD102">
            <v>-3103.14</v>
          </cell>
          <cell r="BE102">
            <v>-2103</v>
          </cell>
          <cell r="BF102">
            <v>-1027.2</v>
          </cell>
          <cell r="BG102">
            <v>-998.32</v>
          </cell>
          <cell r="BH102">
            <v>-1269.92</v>
          </cell>
          <cell r="BI102">
            <v>-1167.55</v>
          </cell>
          <cell r="BJ102">
            <v>-2157.39</v>
          </cell>
          <cell r="BK102">
            <v>-5285.98</v>
          </cell>
          <cell r="BL102">
            <v>-7458.6</v>
          </cell>
          <cell r="BM102">
            <v>-7381.01</v>
          </cell>
          <cell r="BN102">
            <v>-5005.62</v>
          </cell>
          <cell r="BO102">
            <v>-4707.83</v>
          </cell>
          <cell r="BP102">
            <v>-3095.09</v>
          </cell>
          <cell r="BQ102">
            <v>-1733.01</v>
          </cell>
          <cell r="BR102">
            <v>-1023.21</v>
          </cell>
          <cell r="BS102">
            <v>-997.6</v>
          </cell>
          <cell r="BT102">
            <v>-1024.58</v>
          </cell>
          <cell r="BU102">
            <v>-1409.4</v>
          </cell>
          <cell r="BV102">
            <v>-2253.96</v>
          </cell>
          <cell r="BW102">
            <v>-5661.79</v>
          </cell>
          <cell r="BX102">
            <v>-6941.35</v>
          </cell>
          <cell r="BY102">
            <v>-6514.54</v>
          </cell>
          <cell r="BZ102">
            <v>-5811.28</v>
          </cell>
          <cell r="CA102">
            <v>-2567.65</v>
          </cell>
          <cell r="CB102">
            <v>-1633.35</v>
          </cell>
          <cell r="CC102">
            <v>-1439.51</v>
          </cell>
          <cell r="CD102">
            <v>-929.67</v>
          </cell>
          <cell r="CE102">
            <v>-935.27</v>
          </cell>
          <cell r="CF102">
            <v>-910.38</v>
          </cell>
          <cell r="CG102">
            <v>-1393.47</v>
          </cell>
          <cell r="CH102">
            <v>-2774.9</v>
          </cell>
          <cell r="CI102">
            <v>-5733.93</v>
          </cell>
          <cell r="CJ102">
            <v>-7949.54</v>
          </cell>
          <cell r="CK102">
            <v>-6833.61</v>
          </cell>
          <cell r="CL102">
            <v>-5390.72</v>
          </cell>
          <cell r="CM102">
            <v>-4595.68</v>
          </cell>
          <cell r="CN102">
            <v>-2810.53</v>
          </cell>
          <cell r="CO102">
            <v>-2081.48</v>
          </cell>
          <cell r="CP102">
            <v>-1493.31</v>
          </cell>
          <cell r="CQ102">
            <v>-1054.28</v>
          </cell>
          <cell r="CR102">
            <v>-1167.8900000000001</v>
          </cell>
          <cell r="CS102">
            <v>-1387.78</v>
          </cell>
          <cell r="CT102">
            <v>-3313.85</v>
          </cell>
          <cell r="CU102">
            <v>-5672.37</v>
          </cell>
          <cell r="CV102">
            <v>-6167.3</v>
          </cell>
          <cell r="CW102">
            <v>-7615.7</v>
          </cell>
          <cell r="CX102">
            <v>-5172.2700000000004</v>
          </cell>
          <cell r="CY102">
            <v>-4363.2299999999996</v>
          </cell>
          <cell r="CZ102">
            <v>-2888.14</v>
          </cell>
          <cell r="DA102">
            <v>-1569.74</v>
          </cell>
          <cell r="DB102">
            <v>-980.46</v>
          </cell>
          <cell r="DC102">
            <v>-890.05</v>
          </cell>
          <cell r="DD102">
            <v>-917.93</v>
          </cell>
          <cell r="DE102">
            <v>-1500.28</v>
          </cell>
          <cell r="DF102">
            <v>-2812.55</v>
          </cell>
          <cell r="DG102">
            <v>-4235.46</v>
          </cell>
        </row>
        <row r="103">
          <cell r="A103">
            <v>4893042</v>
          </cell>
          <cell r="B103">
            <v>4893042</v>
          </cell>
          <cell r="C103" t="str">
            <v>Resid Trsp GenSvc 2</v>
          </cell>
          <cell r="D103">
            <v>-168684.59</v>
          </cell>
          <cell r="E103">
            <v>-137462.20000000001</v>
          </cell>
          <cell r="F103">
            <v>-111898.39</v>
          </cell>
          <cell r="G103">
            <v>-108996.72</v>
          </cell>
          <cell r="H103">
            <v>-78191.5</v>
          </cell>
          <cell r="I103">
            <v>-60890.63</v>
          </cell>
          <cell r="J103">
            <v>-45006.86</v>
          </cell>
          <cell r="K103">
            <v>-48727.27</v>
          </cell>
          <cell r="L103">
            <v>-56090.82</v>
          </cell>
          <cell r="M103">
            <v>-71328.39</v>
          </cell>
          <cell r="N103">
            <v>-117811.69</v>
          </cell>
          <cell r="O103">
            <v>-154020.35</v>
          </cell>
          <cell r="P103">
            <v>-154610.76</v>
          </cell>
          <cell r="Q103">
            <v>-164678.35</v>
          </cell>
          <cell r="R103">
            <v>-134671.1</v>
          </cell>
          <cell r="S103">
            <v>-78486.22</v>
          </cell>
          <cell r="T103">
            <v>-57328.959999999999</v>
          </cell>
          <cell r="U103">
            <v>-68505.88</v>
          </cell>
          <cell r="V103">
            <v>-50253.75</v>
          </cell>
          <cell r="W103">
            <v>-56851.38</v>
          </cell>
          <cell r="X103">
            <v>-55015.48</v>
          </cell>
          <cell r="Y103">
            <v>-71133.06</v>
          </cell>
          <cell r="Z103">
            <v>-96149.62</v>
          </cell>
          <cell r="AA103">
            <v>-139230.74</v>
          </cell>
          <cell r="AB103">
            <v>-158645.79999999999</v>
          </cell>
          <cell r="AC103">
            <v>-182068.94</v>
          </cell>
          <cell r="AD103">
            <v>-137279.84</v>
          </cell>
          <cell r="AE103">
            <v>-106038.27</v>
          </cell>
          <cell r="AF103">
            <v>-84860.83</v>
          </cell>
          <cell r="AG103">
            <v>-62518.92</v>
          </cell>
          <cell r="AH103">
            <v>-50239.360000000001</v>
          </cell>
          <cell r="AI103">
            <v>-52363.12</v>
          </cell>
          <cell r="AJ103">
            <v>-60457.760000000002</v>
          </cell>
          <cell r="AK103">
            <v>-71448.639999999999</v>
          </cell>
          <cell r="AL103">
            <v>-128068.47</v>
          </cell>
          <cell r="AM103">
            <v>-153442.10999999999</v>
          </cell>
          <cell r="AN103">
            <v>-150444.37</v>
          </cell>
          <cell r="AO103">
            <v>-167041.78</v>
          </cell>
          <cell r="AP103">
            <v>-131585.62</v>
          </cell>
          <cell r="AQ103">
            <v>-130990.13</v>
          </cell>
          <cell r="AR103">
            <v>-86171.91</v>
          </cell>
          <cell r="AS103">
            <v>-68412.61</v>
          </cell>
          <cell r="AT103">
            <v>-62972.79</v>
          </cell>
          <cell r="AU103">
            <v>-67808.84</v>
          </cell>
          <cell r="AV103">
            <v>-69746.89</v>
          </cell>
          <cell r="AW103">
            <v>-77065.919999999998</v>
          </cell>
          <cell r="AX103">
            <v>-137098.68</v>
          </cell>
          <cell r="AY103">
            <v>-176462.56</v>
          </cell>
          <cell r="AZ103">
            <v>-229184.44</v>
          </cell>
          <cell r="BA103">
            <v>-174675.39</v>
          </cell>
          <cell r="BB103">
            <v>-143859.04999999999</v>
          </cell>
          <cell r="BC103">
            <v>-158805.35</v>
          </cell>
          <cell r="BD103">
            <v>-102541.43</v>
          </cell>
          <cell r="BE103">
            <v>-85952.6</v>
          </cell>
          <cell r="BF103">
            <v>-53672.56</v>
          </cell>
          <cell r="BG103">
            <v>-63968.28</v>
          </cell>
          <cell r="BH103">
            <v>-78127.600000000006</v>
          </cell>
          <cell r="BI103">
            <v>-77330.92</v>
          </cell>
          <cell r="BJ103">
            <v>-116228.83</v>
          </cell>
          <cell r="BK103">
            <v>-175170.53</v>
          </cell>
          <cell r="BL103">
            <v>-211056.37</v>
          </cell>
          <cell r="BM103">
            <v>-167775.2</v>
          </cell>
          <cell r="BN103">
            <v>-144696.87</v>
          </cell>
          <cell r="BO103">
            <v>-141033.03</v>
          </cell>
          <cell r="BP103">
            <v>-92849.51</v>
          </cell>
          <cell r="BQ103">
            <v>-69563.88</v>
          </cell>
          <cell r="BR103">
            <v>-60947.43</v>
          </cell>
          <cell r="BS103">
            <v>-66705.08</v>
          </cell>
          <cell r="BT103">
            <v>-71683.86</v>
          </cell>
          <cell r="BU103">
            <v>-81560.7</v>
          </cell>
          <cell r="BV103">
            <v>-111755.92</v>
          </cell>
          <cell r="BW103">
            <v>-167656.91</v>
          </cell>
          <cell r="BX103">
            <v>-207586.89</v>
          </cell>
          <cell r="BY103">
            <v>-163581.07999999999</v>
          </cell>
          <cell r="BZ103">
            <v>-150500.54999999999</v>
          </cell>
          <cell r="CA103">
            <v>-61261.45</v>
          </cell>
          <cell r="CB103">
            <v>-64081.13</v>
          </cell>
          <cell r="CC103">
            <v>-80772.55</v>
          </cell>
          <cell r="CD103">
            <v>-56489.66</v>
          </cell>
          <cell r="CE103">
            <v>-64506.81</v>
          </cell>
          <cell r="CF103">
            <v>-63144.63</v>
          </cell>
          <cell r="CG103">
            <v>-89643.41</v>
          </cell>
          <cell r="CH103">
            <v>-123603.14</v>
          </cell>
          <cell r="CI103">
            <v>-195233.35</v>
          </cell>
          <cell r="CJ103">
            <v>-264968.68</v>
          </cell>
          <cell r="CK103">
            <v>-197782.87</v>
          </cell>
          <cell r="CL103">
            <v>-197046.73</v>
          </cell>
          <cell r="CM103">
            <v>-174430.37</v>
          </cell>
          <cell r="CN103">
            <v>-125720.6</v>
          </cell>
          <cell r="CO103">
            <v>-117309.62</v>
          </cell>
          <cell r="CP103">
            <v>-86432.06</v>
          </cell>
          <cell r="CQ103">
            <v>-76608.69</v>
          </cell>
          <cell r="CR103">
            <v>-87945.84</v>
          </cell>
          <cell r="CS103">
            <v>-101752.81</v>
          </cell>
          <cell r="CT103">
            <v>-155892.63</v>
          </cell>
          <cell r="CU103">
            <v>-202264.04</v>
          </cell>
          <cell r="CV103">
            <v>-192239.33</v>
          </cell>
          <cell r="CW103">
            <v>-205852.48</v>
          </cell>
          <cell r="CX103">
            <v>-161702.12</v>
          </cell>
          <cell r="CY103">
            <v>-148863.98000000001</v>
          </cell>
          <cell r="CZ103">
            <v>-132155.71</v>
          </cell>
          <cell r="DA103">
            <v>-88159.03</v>
          </cell>
          <cell r="DB103">
            <v>-78756.22</v>
          </cell>
          <cell r="DC103">
            <v>-78623.11</v>
          </cell>
          <cell r="DD103">
            <v>-83384.05</v>
          </cell>
          <cell r="DE103">
            <v>-108682.52</v>
          </cell>
          <cell r="DF103">
            <v>-148086.01999999999</v>
          </cell>
          <cell r="DG103">
            <v>-183845.78</v>
          </cell>
        </row>
        <row r="104">
          <cell r="A104">
            <v>4893043</v>
          </cell>
          <cell r="B104">
            <v>4893043</v>
          </cell>
          <cell r="C104" t="str">
            <v>Resid Trsp GS2 Swing</v>
          </cell>
          <cell r="D104">
            <v>-7989.84</v>
          </cell>
          <cell r="E104">
            <v>-7370.5</v>
          </cell>
          <cell r="F104">
            <v>-6212.5</v>
          </cell>
          <cell r="G104">
            <v>-5718.58</v>
          </cell>
          <cell r="H104">
            <v>-4405.3</v>
          </cell>
          <cell r="I104">
            <v>-3332.9</v>
          </cell>
          <cell r="J104">
            <v>-2387.04</v>
          </cell>
          <cell r="K104">
            <v>-2207.42</v>
          </cell>
          <cell r="L104">
            <v>-2421.66</v>
          </cell>
          <cell r="M104">
            <v>-3057.46</v>
          </cell>
          <cell r="N104">
            <v>-4999.59</v>
          </cell>
          <cell r="O104">
            <v>-6993.84</v>
          </cell>
          <cell r="P104">
            <v>-7675.95</v>
          </cell>
          <cell r="Q104">
            <v>-8279.2000000000007</v>
          </cell>
          <cell r="R104">
            <v>-7361.23</v>
          </cell>
          <cell r="S104">
            <v>-4960.17</v>
          </cell>
          <cell r="T104">
            <v>-3368.62</v>
          </cell>
          <cell r="U104">
            <v>-3250.34</v>
          </cell>
          <cell r="V104">
            <v>-2541.77</v>
          </cell>
          <cell r="W104">
            <v>-2542.75</v>
          </cell>
          <cell r="X104">
            <v>-2472.08</v>
          </cell>
          <cell r="Y104">
            <v>-3047.42</v>
          </cell>
          <cell r="Z104">
            <v>-4168.51</v>
          </cell>
          <cell r="AA104">
            <v>-10397.09</v>
          </cell>
          <cell r="AB104">
            <v>-12855.75</v>
          </cell>
          <cell r="AC104">
            <v>-15125.71</v>
          </cell>
          <cell r="AD104">
            <v>-13026.01</v>
          </cell>
          <cell r="AE104">
            <v>-10320.700000000001</v>
          </cell>
          <cell r="AF104">
            <v>-8071.08</v>
          </cell>
          <cell r="AG104">
            <v>-5889.15</v>
          </cell>
          <cell r="AH104">
            <v>-4430.09</v>
          </cell>
          <cell r="AI104">
            <v>-4067.62</v>
          </cell>
          <cell r="AJ104">
            <v>-4463.3</v>
          </cell>
          <cell r="AK104">
            <v>-5286.27</v>
          </cell>
          <cell r="AL104">
            <v>-9152.1299999999992</v>
          </cell>
          <cell r="AM104">
            <v>-12056.06</v>
          </cell>
          <cell r="AN104">
            <v>-12881.46</v>
          </cell>
          <cell r="AO104">
            <v>-14113.94</v>
          </cell>
          <cell r="AP104">
            <v>-12309.37</v>
          </cell>
          <cell r="AQ104">
            <v>-11663.13</v>
          </cell>
          <cell r="AR104">
            <v>-8616.57</v>
          </cell>
          <cell r="AS104">
            <v>-6426.69</v>
          </cell>
          <cell r="AT104">
            <v>-5334.91</v>
          </cell>
          <cell r="AU104">
            <v>-5288.07</v>
          </cell>
          <cell r="AV104">
            <v>-5717.55</v>
          </cell>
          <cell r="AW104">
            <v>-5362.24</v>
          </cell>
          <cell r="AX104">
            <v>-10016.34</v>
          </cell>
          <cell r="AY104">
            <v>-13744.68</v>
          </cell>
          <cell r="AZ104">
            <v>-18337.04</v>
          </cell>
          <cell r="BA104">
            <v>-16421.45</v>
          </cell>
          <cell r="BB104">
            <v>-13806.12</v>
          </cell>
          <cell r="BC104">
            <v>-13873.5</v>
          </cell>
          <cell r="BD104">
            <v>-10320.129999999999</v>
          </cell>
          <cell r="BE104">
            <v>-8366.77</v>
          </cell>
          <cell r="BF104">
            <v>-5028.47</v>
          </cell>
          <cell r="BG104">
            <v>-4871.34</v>
          </cell>
          <cell r="BH104">
            <v>-5916.3</v>
          </cell>
          <cell r="BI104">
            <v>-5819.32</v>
          </cell>
          <cell r="BJ104">
            <v>-8191.49</v>
          </cell>
          <cell r="BK104">
            <v>-13260.86</v>
          </cell>
          <cell r="BL104">
            <v>-17911.73</v>
          </cell>
          <cell r="BM104">
            <v>-17599.669999999998</v>
          </cell>
          <cell r="BN104">
            <v>-13382.41</v>
          </cell>
          <cell r="BO104">
            <v>-12988.64</v>
          </cell>
          <cell r="BP104">
            <v>-9674.5300000000007</v>
          </cell>
          <cell r="BQ104">
            <v>-6993.43</v>
          </cell>
          <cell r="BR104">
            <v>-5599.89</v>
          </cell>
          <cell r="BS104">
            <v>-5486.84</v>
          </cell>
          <cell r="BT104">
            <v>-5793.62</v>
          </cell>
          <cell r="BU104">
            <v>-6583.54</v>
          </cell>
          <cell r="BV104">
            <v>-8154.76</v>
          </cell>
          <cell r="BW104">
            <v>-13825.26</v>
          </cell>
          <cell r="BX104">
            <v>-17667.599999999999</v>
          </cell>
          <cell r="BY104">
            <v>-16021.71</v>
          </cell>
          <cell r="BZ104">
            <v>-15045.06</v>
          </cell>
          <cell r="CA104">
            <v>-7780.37</v>
          </cell>
          <cell r="CB104">
            <v>-6069.63</v>
          </cell>
          <cell r="CC104">
            <v>-6606.47</v>
          </cell>
          <cell r="CD104">
            <v>-5163.9799999999996</v>
          </cell>
          <cell r="CE104">
            <v>-5205.43</v>
          </cell>
          <cell r="CF104">
            <v>-5139.25</v>
          </cell>
          <cell r="CG104">
            <v>-6900.27</v>
          </cell>
          <cell r="CH104">
            <v>-9763.19</v>
          </cell>
          <cell r="CI104">
            <v>-14346.51</v>
          </cell>
          <cell r="CJ104">
            <v>-17823.98</v>
          </cell>
          <cell r="CK104">
            <v>-16423.62</v>
          </cell>
          <cell r="CL104">
            <v>-14146.75</v>
          </cell>
          <cell r="CM104">
            <v>-13037.4</v>
          </cell>
          <cell r="CN104">
            <v>-10021.44</v>
          </cell>
          <cell r="CO104">
            <v>-8557.26</v>
          </cell>
          <cell r="CP104">
            <v>-6400.58</v>
          </cell>
          <cell r="CQ104">
            <v>-5139.1400000000003</v>
          </cell>
          <cell r="CR104">
            <v>-5347.94</v>
          </cell>
          <cell r="CS104">
            <v>-6163.16</v>
          </cell>
          <cell r="CT104">
            <v>-9389.17</v>
          </cell>
          <cell r="CU104">
            <v>-12981.41</v>
          </cell>
          <cell r="CV104">
            <v>-12899.16</v>
          </cell>
          <cell r="CW104">
            <v>-15226.3</v>
          </cell>
          <cell r="CX104">
            <v>-12759.33</v>
          </cell>
          <cell r="CY104">
            <v>-11232.75</v>
          </cell>
          <cell r="CZ104">
            <v>-9805.23</v>
          </cell>
          <cell r="DA104">
            <v>-6941.59</v>
          </cell>
          <cell r="DB104">
            <v>-5465.12</v>
          </cell>
          <cell r="DC104">
            <v>-4963.55</v>
          </cell>
          <cell r="DD104">
            <v>-5323.36</v>
          </cell>
          <cell r="DE104">
            <v>-6298.51</v>
          </cell>
          <cell r="DF104">
            <v>-9008.1</v>
          </cell>
          <cell r="DG104">
            <v>-11884.99</v>
          </cell>
        </row>
        <row r="105">
          <cell r="A105">
            <v>4893044</v>
          </cell>
          <cell r="B105">
            <v>4893044</v>
          </cell>
          <cell r="C105" t="str">
            <v>Resid Trsp GenSvc 3</v>
          </cell>
          <cell r="D105">
            <v>-92585.67</v>
          </cell>
          <cell r="E105">
            <v>-72770.080000000002</v>
          </cell>
          <cell r="F105">
            <v>-66295.61</v>
          </cell>
          <cell r="G105">
            <v>-65928.81</v>
          </cell>
          <cell r="H105">
            <v>-59139.5</v>
          </cell>
          <cell r="I105">
            <v>-47267.18</v>
          </cell>
          <cell r="J105">
            <v>-33067.22</v>
          </cell>
          <cell r="K105">
            <v>-41703.43</v>
          </cell>
          <cell r="L105">
            <v>-42045.14</v>
          </cell>
          <cell r="M105">
            <v>-42361.01</v>
          </cell>
          <cell r="N105">
            <v>-59288.18</v>
          </cell>
          <cell r="O105">
            <v>-68231.45</v>
          </cell>
          <cell r="P105">
            <v>-79344.86</v>
          </cell>
          <cell r="Q105">
            <v>-92389.11</v>
          </cell>
          <cell r="R105">
            <v>-81252.28</v>
          </cell>
          <cell r="S105">
            <v>-54147.45</v>
          </cell>
          <cell r="T105">
            <v>-40737.910000000003</v>
          </cell>
          <cell r="U105">
            <v>-56781.65</v>
          </cell>
          <cell r="V105">
            <v>-30764.720000000001</v>
          </cell>
          <cell r="W105">
            <v>-39091.83</v>
          </cell>
          <cell r="X105">
            <v>-35706.129999999997</v>
          </cell>
          <cell r="Y105">
            <v>-41805.040000000001</v>
          </cell>
          <cell r="Z105">
            <v>-49708.31</v>
          </cell>
          <cell r="AA105">
            <v>-68244.94</v>
          </cell>
          <cell r="AB105">
            <v>-79241.66</v>
          </cell>
          <cell r="AC105">
            <v>-75781.06</v>
          </cell>
          <cell r="AD105">
            <v>-61852.71</v>
          </cell>
          <cell r="AE105">
            <v>-53921.93</v>
          </cell>
          <cell r="AF105">
            <v>-46949.88</v>
          </cell>
          <cell r="AG105">
            <v>-33851.879999999997</v>
          </cell>
          <cell r="AH105">
            <v>-36536.01</v>
          </cell>
          <cell r="AI105">
            <v>-35384.92</v>
          </cell>
          <cell r="AJ105">
            <v>-39846.019999999997</v>
          </cell>
          <cell r="AK105">
            <v>-39384.35</v>
          </cell>
          <cell r="AL105">
            <v>-59078.82</v>
          </cell>
          <cell r="AM105">
            <v>-66244.11</v>
          </cell>
          <cell r="AN105">
            <v>-13499.3</v>
          </cell>
          <cell r="AO105">
            <v>-138018.47</v>
          </cell>
          <cell r="AP105">
            <v>-50351.42</v>
          </cell>
          <cell r="AQ105">
            <v>-69890.429999999993</v>
          </cell>
          <cell r="AR105">
            <v>-47543.49</v>
          </cell>
          <cell r="AS105">
            <v>-38067.25</v>
          </cell>
          <cell r="AT105">
            <v>-30956.25</v>
          </cell>
          <cell r="AU105">
            <v>-31975.11</v>
          </cell>
          <cell r="AV105">
            <v>-34809.129999999997</v>
          </cell>
          <cell r="AW105">
            <v>-39606.68</v>
          </cell>
          <cell r="AX105">
            <v>-48253.67</v>
          </cell>
          <cell r="AY105">
            <v>-52562.41</v>
          </cell>
          <cell r="AZ105">
            <v>-70578.03</v>
          </cell>
          <cell r="BA105">
            <v>-55406.1</v>
          </cell>
          <cell r="BB105">
            <v>-60205.66</v>
          </cell>
          <cell r="BC105">
            <v>-73436.28</v>
          </cell>
          <cell r="BD105">
            <v>-37572.9</v>
          </cell>
          <cell r="BE105">
            <v>-46128.1</v>
          </cell>
          <cell r="BF105">
            <v>-34931.370000000003</v>
          </cell>
          <cell r="BG105">
            <v>-40378.639999999999</v>
          </cell>
          <cell r="BH105">
            <v>-46109.99</v>
          </cell>
          <cell r="BI105">
            <v>-48095.32</v>
          </cell>
          <cell r="BJ105">
            <v>-55759.58</v>
          </cell>
          <cell r="BK105">
            <v>-72449.84</v>
          </cell>
          <cell r="BL105">
            <v>-83101.820000000007</v>
          </cell>
          <cell r="BM105">
            <v>-68951</v>
          </cell>
          <cell r="BN105">
            <v>-65485.52</v>
          </cell>
          <cell r="BO105">
            <v>-63896.71</v>
          </cell>
          <cell r="BP105">
            <v>-55204.7</v>
          </cell>
          <cell r="BQ105">
            <v>-44460.3</v>
          </cell>
          <cell r="BR105">
            <v>-37939.870000000003</v>
          </cell>
          <cell r="BS105">
            <v>-40042.03</v>
          </cell>
          <cell r="BT105">
            <v>-44387.87</v>
          </cell>
          <cell r="BU105">
            <v>-54556.76</v>
          </cell>
          <cell r="BV105">
            <v>-55504.34</v>
          </cell>
          <cell r="BW105">
            <v>-73537.210000000006</v>
          </cell>
          <cell r="BX105">
            <v>-89131.88</v>
          </cell>
          <cell r="BY105">
            <v>-73096.69</v>
          </cell>
          <cell r="BZ105">
            <v>-67935.42</v>
          </cell>
          <cell r="CA105">
            <v>-37312.58</v>
          </cell>
          <cell r="CB105">
            <v>-33497.57</v>
          </cell>
          <cell r="CC105">
            <v>-46598.05</v>
          </cell>
          <cell r="CD105">
            <v>-38098.71</v>
          </cell>
          <cell r="CE105">
            <v>-44535.98</v>
          </cell>
          <cell r="CF105">
            <v>-38700.36</v>
          </cell>
          <cell r="CG105">
            <v>-46703.839999999997</v>
          </cell>
          <cell r="CH105">
            <v>-63103.33</v>
          </cell>
          <cell r="CI105">
            <v>-73226.45</v>
          </cell>
          <cell r="CJ105">
            <v>-122324.19</v>
          </cell>
          <cell r="CK105">
            <v>-87442.48</v>
          </cell>
          <cell r="CL105">
            <v>-89752.37</v>
          </cell>
          <cell r="CM105">
            <v>-90963.199999999997</v>
          </cell>
          <cell r="CN105">
            <v>-74060.92</v>
          </cell>
          <cell r="CO105">
            <v>-73371.38</v>
          </cell>
          <cell r="CP105">
            <v>-75460.2</v>
          </cell>
          <cell r="CQ105">
            <v>-59166.71</v>
          </cell>
          <cell r="CR105">
            <v>-69435.95</v>
          </cell>
          <cell r="CS105">
            <v>-74003.679999999993</v>
          </cell>
          <cell r="CT105">
            <v>-94220.63</v>
          </cell>
          <cell r="CU105">
            <v>-112360.77</v>
          </cell>
          <cell r="CV105">
            <v>-117713.82</v>
          </cell>
          <cell r="CW105">
            <v>-105057.53</v>
          </cell>
          <cell r="CX105">
            <v>-102422.27</v>
          </cell>
          <cell r="CY105">
            <v>-85518.42</v>
          </cell>
          <cell r="CZ105">
            <v>-85717.95</v>
          </cell>
          <cell r="DA105">
            <v>-65502.63</v>
          </cell>
          <cell r="DB105">
            <v>-73732.800000000003</v>
          </cell>
          <cell r="DC105">
            <v>-60074.62</v>
          </cell>
          <cell r="DD105">
            <v>-70028.47</v>
          </cell>
          <cell r="DE105">
            <v>-75154.149999999994</v>
          </cell>
          <cell r="DF105">
            <v>-91166.46</v>
          </cell>
          <cell r="DG105">
            <v>-104200.13</v>
          </cell>
        </row>
        <row r="106">
          <cell r="A106">
            <v>4893045</v>
          </cell>
          <cell r="B106">
            <v>4893045</v>
          </cell>
          <cell r="C106" t="str">
            <v>Resid Trsp GS3 Swing</v>
          </cell>
          <cell r="D106">
            <v>-5037.63</v>
          </cell>
          <cell r="E106">
            <v>-4540.32</v>
          </cell>
          <cell r="F106">
            <v>-4095.87</v>
          </cell>
          <cell r="G106">
            <v>-3931.94</v>
          </cell>
          <cell r="H106">
            <v>-3575.31</v>
          </cell>
          <cell r="I106">
            <v>-2948.7</v>
          </cell>
          <cell r="J106">
            <v>-2138.31</v>
          </cell>
          <cell r="K106">
            <v>-2236.63</v>
          </cell>
          <cell r="L106">
            <v>-2284.17</v>
          </cell>
          <cell r="M106">
            <v>-2313.6</v>
          </cell>
          <cell r="N106">
            <v>-3042.31</v>
          </cell>
          <cell r="O106">
            <v>-3673.42</v>
          </cell>
          <cell r="P106">
            <v>-4352.75</v>
          </cell>
          <cell r="Q106">
            <v>-5138.95</v>
          </cell>
          <cell r="R106">
            <v>-4926.43</v>
          </cell>
          <cell r="S106">
            <v>-3685.54</v>
          </cell>
          <cell r="T106">
            <v>-2691.48</v>
          </cell>
          <cell r="U106">
            <v>-3050.68</v>
          </cell>
          <cell r="V106">
            <v>-2108.6799999999998</v>
          </cell>
          <cell r="W106">
            <v>-2143.44</v>
          </cell>
          <cell r="X106">
            <v>-2006.06</v>
          </cell>
          <cell r="Y106">
            <v>-2213.14</v>
          </cell>
          <cell r="Z106">
            <v>-2625.52</v>
          </cell>
          <cell r="AA106">
            <v>-6560.93</v>
          </cell>
          <cell r="AB106">
            <v>-8007.55</v>
          </cell>
          <cell r="AC106">
            <v>-8215.34</v>
          </cell>
          <cell r="AD106">
            <v>-7179.96</v>
          </cell>
          <cell r="AE106">
            <v>-6217.7</v>
          </cell>
          <cell r="AF106">
            <v>-5344.02</v>
          </cell>
          <cell r="AG106">
            <v>-3990.23</v>
          </cell>
          <cell r="AH106">
            <v>-3716.13</v>
          </cell>
          <cell r="AI106">
            <v>-3527.59</v>
          </cell>
          <cell r="AJ106">
            <v>-3824.41</v>
          </cell>
          <cell r="AK106">
            <v>-3868.97</v>
          </cell>
          <cell r="AL106">
            <v>-5451.67</v>
          </cell>
          <cell r="AM106">
            <v>-6547.5</v>
          </cell>
          <cell r="AN106">
            <v>-3080.59</v>
          </cell>
          <cell r="AO106">
            <v>-11122.34</v>
          </cell>
          <cell r="AP106">
            <v>-7117.84</v>
          </cell>
          <cell r="AQ106">
            <v>-7386.14</v>
          </cell>
          <cell r="AR106">
            <v>-5715.13</v>
          </cell>
          <cell r="AS106">
            <v>-4329.33</v>
          </cell>
          <cell r="AT106">
            <v>-3481.85</v>
          </cell>
          <cell r="AU106">
            <v>-3226.62</v>
          </cell>
          <cell r="AV106">
            <v>-3566.73</v>
          </cell>
          <cell r="AW106">
            <v>-3520.3</v>
          </cell>
          <cell r="AX106">
            <v>-4691.63</v>
          </cell>
          <cell r="AY106">
            <v>-5310.17</v>
          </cell>
          <cell r="AZ106">
            <v>-6867.88</v>
          </cell>
          <cell r="BA106">
            <v>-6231.4</v>
          </cell>
          <cell r="BB106">
            <v>-6359.13</v>
          </cell>
          <cell r="BC106">
            <v>-7477.42</v>
          </cell>
          <cell r="BD106">
            <v>-4999.26</v>
          </cell>
          <cell r="BE106">
            <v>-4985.38</v>
          </cell>
          <cell r="BF106">
            <v>-3730.62</v>
          </cell>
          <cell r="BG106">
            <v>-3886.82</v>
          </cell>
          <cell r="BH106">
            <v>-4573.1899999999996</v>
          </cell>
          <cell r="BI106">
            <v>-4651.04</v>
          </cell>
          <cell r="BJ106">
            <v>-5244.53</v>
          </cell>
          <cell r="BK106">
            <v>-7121.68</v>
          </cell>
          <cell r="BL106">
            <v>-8877.81</v>
          </cell>
          <cell r="BM106">
            <v>-8773.83</v>
          </cell>
          <cell r="BN106">
            <v>-7175.53</v>
          </cell>
          <cell r="BO106">
            <v>-7155.82</v>
          </cell>
          <cell r="BP106">
            <v>-6397.7</v>
          </cell>
          <cell r="BQ106">
            <v>-5313.76</v>
          </cell>
          <cell r="BR106">
            <v>-4396.3</v>
          </cell>
          <cell r="BS106">
            <v>-4260.04</v>
          </cell>
          <cell r="BT106">
            <v>-4577.3100000000004</v>
          </cell>
          <cell r="BU106">
            <v>-5531.72</v>
          </cell>
          <cell r="BV106">
            <v>-5456.03</v>
          </cell>
          <cell r="BW106">
            <v>-7881.55</v>
          </cell>
          <cell r="BX106">
            <v>-9518.68</v>
          </cell>
          <cell r="BY106">
            <v>-8726.2199999999993</v>
          </cell>
          <cell r="BZ106">
            <v>-8308.2000000000007</v>
          </cell>
          <cell r="CA106">
            <v>-5059.2</v>
          </cell>
          <cell r="CB106">
            <v>-3934.8</v>
          </cell>
          <cell r="CC106">
            <v>-4653.28</v>
          </cell>
          <cell r="CD106">
            <v>-4171.59</v>
          </cell>
          <cell r="CE106">
            <v>-4542.34</v>
          </cell>
          <cell r="CF106">
            <v>-4184.83</v>
          </cell>
          <cell r="CG106">
            <v>-4733.6099999999997</v>
          </cell>
          <cell r="CH106">
            <v>-6285.26</v>
          </cell>
          <cell r="CI106">
            <v>-7080.77</v>
          </cell>
          <cell r="CJ106">
            <v>-9379.86</v>
          </cell>
          <cell r="CK106">
            <v>-8466.91</v>
          </cell>
          <cell r="CL106">
            <v>-7385.2</v>
          </cell>
          <cell r="CM106">
            <v>-7562.88</v>
          </cell>
          <cell r="CN106">
            <v>-6411.5</v>
          </cell>
          <cell r="CO106">
            <v>-5978.39</v>
          </cell>
          <cell r="CP106">
            <v>-5848.23</v>
          </cell>
          <cell r="CQ106">
            <v>-4682.9799999999996</v>
          </cell>
          <cell r="CR106">
            <v>-5030.1400000000003</v>
          </cell>
          <cell r="CS106">
            <v>-5472.91</v>
          </cell>
          <cell r="CT106">
            <v>-7068.48</v>
          </cell>
          <cell r="CU106">
            <v>-8899.6299999999992</v>
          </cell>
          <cell r="CV106">
            <v>-9274.99</v>
          </cell>
          <cell r="CW106">
            <v>-9730.3700000000008</v>
          </cell>
          <cell r="CX106">
            <v>-9075.11</v>
          </cell>
          <cell r="CY106">
            <v>-7645.97</v>
          </cell>
          <cell r="CZ106">
            <v>-7183.93</v>
          </cell>
          <cell r="DA106">
            <v>-5581.97</v>
          </cell>
          <cell r="DB106">
            <v>-5577.37</v>
          </cell>
          <cell r="DC106">
            <v>-4672.76</v>
          </cell>
          <cell r="DD106">
            <v>-5272.55</v>
          </cell>
          <cell r="DE106">
            <v>-5342.46</v>
          </cell>
          <cell r="DF106">
            <v>-6776.2</v>
          </cell>
          <cell r="DG106">
            <v>-8187.59</v>
          </cell>
        </row>
        <row r="107">
          <cell r="A107">
            <v>4893050</v>
          </cell>
          <cell r="B107">
            <v>4893050</v>
          </cell>
          <cell r="C107" t="str">
            <v>GenSvc Lg Vol1 Trnsp</v>
          </cell>
          <cell r="D107">
            <v>-2031612.74</v>
          </cell>
          <cell r="E107">
            <v>-1781386.76</v>
          </cell>
          <cell r="F107">
            <v>-1783532.65</v>
          </cell>
          <cell r="G107">
            <v>-1695469.43</v>
          </cell>
          <cell r="H107">
            <v>-1522375.86</v>
          </cell>
          <cell r="I107">
            <v>-1609840.85</v>
          </cell>
          <cell r="J107">
            <v>-1426095.55</v>
          </cell>
          <cell r="K107">
            <v>-1421401.99</v>
          </cell>
          <cell r="L107">
            <v>-1568297.96</v>
          </cell>
          <cell r="M107">
            <v>-1537018.47</v>
          </cell>
          <cell r="N107">
            <v>-1589676.93</v>
          </cell>
          <cell r="O107">
            <v>-1841779.11</v>
          </cell>
          <cell r="P107">
            <v>-2021826.86</v>
          </cell>
          <cell r="Q107">
            <v>-1928857.58</v>
          </cell>
          <cell r="R107">
            <v>-1997059.79</v>
          </cell>
          <cell r="S107">
            <v>-1720935.48</v>
          </cell>
          <cell r="T107">
            <v>-1522375.83</v>
          </cell>
          <cell r="U107">
            <v>-1592332.83</v>
          </cell>
          <cell r="V107">
            <v>-1593975.59</v>
          </cell>
          <cell r="W107">
            <v>-1629768.9</v>
          </cell>
          <cell r="X107">
            <v>-1571848.36</v>
          </cell>
          <cell r="Y107">
            <v>-1622928.46</v>
          </cell>
          <cell r="Z107">
            <v>-1736121.36</v>
          </cell>
          <cell r="AA107">
            <v>-1880799.89</v>
          </cell>
          <cell r="AB107">
            <v>-2142882.1</v>
          </cell>
          <cell r="AC107">
            <v>-2068268.42</v>
          </cell>
          <cell r="AD107">
            <v>-1961986.06</v>
          </cell>
          <cell r="AE107">
            <v>-1911790</v>
          </cell>
          <cell r="AF107">
            <v>-1780275.29</v>
          </cell>
          <cell r="AG107">
            <v>-1704166.33</v>
          </cell>
          <cell r="AH107">
            <v>-1614186.49</v>
          </cell>
          <cell r="AI107">
            <v>-1655740.83</v>
          </cell>
          <cell r="AJ107">
            <v>-1708372.49</v>
          </cell>
          <cell r="AK107">
            <v>-1642001.36</v>
          </cell>
          <cell r="AL107">
            <v>-1874045.58</v>
          </cell>
          <cell r="AM107">
            <v>-2048365.84</v>
          </cell>
          <cell r="AN107">
            <v>-2226712.7200000002</v>
          </cell>
          <cell r="AO107">
            <v>-1981775.97</v>
          </cell>
          <cell r="AP107">
            <v>-1957755.71</v>
          </cell>
          <cell r="AQ107">
            <v>-2030083.88</v>
          </cell>
          <cell r="AR107">
            <v>-1769185.12</v>
          </cell>
          <cell r="AS107">
            <v>-1779864.27</v>
          </cell>
          <cell r="AT107">
            <v>-1720054.72</v>
          </cell>
          <cell r="AU107">
            <v>-1725163.14</v>
          </cell>
          <cell r="AV107">
            <v>-1808337.74</v>
          </cell>
          <cell r="AW107">
            <v>-1679457.72</v>
          </cell>
          <cell r="AX107">
            <v>-1847424.64</v>
          </cell>
          <cell r="AY107">
            <v>-1989890.83</v>
          </cell>
          <cell r="AZ107">
            <v>-2544457.5099999998</v>
          </cell>
          <cell r="BA107">
            <v>-2120682.85</v>
          </cell>
          <cell r="BB107">
            <v>-2030638.31</v>
          </cell>
          <cell r="BC107">
            <v>-2152599.63</v>
          </cell>
          <cell r="BD107">
            <v>-1857300.26</v>
          </cell>
          <cell r="BE107">
            <v>-1862099.6</v>
          </cell>
          <cell r="BF107">
            <v>-1788356.62</v>
          </cell>
          <cell r="BG107">
            <v>-1749691.19</v>
          </cell>
          <cell r="BH107">
            <v>-1910560.37</v>
          </cell>
          <cell r="BI107">
            <v>-1744216.92</v>
          </cell>
          <cell r="BJ107">
            <v>-1898580.68</v>
          </cell>
          <cell r="BK107">
            <v>-2159059.37</v>
          </cell>
          <cell r="BL107">
            <v>-2191844.08</v>
          </cell>
          <cell r="BM107">
            <v>-1940560.57</v>
          </cell>
          <cell r="BN107">
            <v>-2153181.63</v>
          </cell>
          <cell r="BO107">
            <v>-2019802.11</v>
          </cell>
          <cell r="BP107">
            <v>-1840751.07</v>
          </cell>
          <cell r="BQ107">
            <v>-1754656.05</v>
          </cell>
          <cell r="BR107">
            <v>-1670379</v>
          </cell>
          <cell r="BS107">
            <v>-1706655.51</v>
          </cell>
          <cell r="BT107">
            <v>-1783260.67</v>
          </cell>
          <cell r="BU107">
            <v>-1695464.19</v>
          </cell>
          <cell r="BV107">
            <v>-2034790.44</v>
          </cell>
          <cell r="BW107">
            <v>-1997520.8</v>
          </cell>
          <cell r="BX107">
            <v>-2264940.39</v>
          </cell>
          <cell r="BY107">
            <v>-2117273.2400000002</v>
          </cell>
          <cell r="BZ107">
            <v>-1939260.2</v>
          </cell>
          <cell r="CA107">
            <v>-1349206.52</v>
          </cell>
          <cell r="CB107">
            <v>-1291496.6299999999</v>
          </cell>
          <cell r="CC107">
            <v>-1682770.23</v>
          </cell>
          <cell r="CD107">
            <v>-1582252.56</v>
          </cell>
          <cell r="CE107">
            <v>-1613325.36</v>
          </cell>
          <cell r="CF107">
            <v>-1609308.36</v>
          </cell>
          <cell r="CG107">
            <v>-1616782.84</v>
          </cell>
          <cell r="CH107">
            <v>-1813562.6</v>
          </cell>
          <cell r="CI107">
            <v>-2200275.6</v>
          </cell>
          <cell r="CJ107">
            <v>-3006129.33</v>
          </cell>
          <cell r="CK107">
            <v>-2445627.0699999998</v>
          </cell>
          <cell r="CL107">
            <v>-2612261.08</v>
          </cell>
          <cell r="CM107">
            <v>-2598146.6</v>
          </cell>
          <cell r="CN107">
            <v>-2287846.84</v>
          </cell>
          <cell r="CO107">
            <v>-2300903.86</v>
          </cell>
          <cell r="CP107">
            <v>-2409971.39</v>
          </cell>
          <cell r="CQ107">
            <v>-2300701.5499999998</v>
          </cell>
          <cell r="CR107">
            <v>-2390296.63</v>
          </cell>
          <cell r="CS107">
            <v>-2283980.9900000002</v>
          </cell>
          <cell r="CT107">
            <v>-2494914.1</v>
          </cell>
          <cell r="CU107">
            <v>-2975911.41</v>
          </cell>
          <cell r="CV107">
            <v>-3158645.42</v>
          </cell>
          <cell r="CW107">
            <v>-2653235.75</v>
          </cell>
          <cell r="CX107">
            <v>-2703567.92</v>
          </cell>
          <cell r="CY107">
            <v>-2627558.2200000002</v>
          </cell>
          <cell r="CZ107">
            <v>-2557768.9900000002</v>
          </cell>
          <cell r="DA107">
            <v>-2361173.7799999998</v>
          </cell>
          <cell r="DB107">
            <v>-2160650.92</v>
          </cell>
          <cell r="DC107">
            <v>-2199760.0299999998</v>
          </cell>
          <cell r="DD107">
            <v>-2187343.7000000002</v>
          </cell>
          <cell r="DE107">
            <v>-2381258.0499999998</v>
          </cell>
          <cell r="DF107">
            <v>-2355276.85</v>
          </cell>
          <cell r="DG107">
            <v>-2665153.19</v>
          </cell>
        </row>
        <row r="108">
          <cell r="A108">
            <v>4893051</v>
          </cell>
          <cell r="B108">
            <v>4893051</v>
          </cell>
          <cell r="C108" t="str">
            <v>GS Lg V1 Trnsp Swing</v>
          </cell>
          <cell r="D108">
            <v>-83586.559999999998</v>
          </cell>
          <cell r="E108">
            <v>-79581.25</v>
          </cell>
          <cell r="F108">
            <v>-77961.990000000005</v>
          </cell>
          <cell r="G108">
            <v>-73906.850000000006</v>
          </cell>
          <cell r="H108">
            <v>-66809.14</v>
          </cell>
          <cell r="I108">
            <v>-67379.600000000006</v>
          </cell>
          <cell r="J108">
            <v>-61510.22</v>
          </cell>
          <cell r="K108">
            <v>-59011.03</v>
          </cell>
          <cell r="L108">
            <v>-63421.53</v>
          </cell>
          <cell r="M108">
            <v>-63610.35</v>
          </cell>
          <cell r="N108">
            <v>-65543.83</v>
          </cell>
          <cell r="O108">
            <v>-75168.259999999995</v>
          </cell>
          <cell r="P108">
            <v>-84893.37</v>
          </cell>
          <cell r="Q108">
            <v>-84671.2</v>
          </cell>
          <cell r="R108">
            <v>-86924.17</v>
          </cell>
          <cell r="S108">
            <v>-77488.97</v>
          </cell>
          <cell r="T108">
            <v>-67078.94</v>
          </cell>
          <cell r="U108">
            <v>-69214.789999999994</v>
          </cell>
          <cell r="V108">
            <v>-66015.210000000006</v>
          </cell>
          <cell r="W108">
            <v>-67059.990000000005</v>
          </cell>
          <cell r="X108">
            <v>-65305.48</v>
          </cell>
          <cell r="Y108">
            <v>-66327.350000000006</v>
          </cell>
          <cell r="Z108">
            <v>-70172.88</v>
          </cell>
          <cell r="AA108">
            <v>-110709.18</v>
          </cell>
          <cell r="AB108">
            <v>-127004.24</v>
          </cell>
          <cell r="AC108">
            <v>-128514.11</v>
          </cell>
          <cell r="AD108">
            <v>-123368.86</v>
          </cell>
          <cell r="AE108">
            <v>-118965.16</v>
          </cell>
          <cell r="AF108">
            <v>-110594.79</v>
          </cell>
          <cell r="AG108">
            <v>-103607.01</v>
          </cell>
          <cell r="AH108">
            <v>-97082.8</v>
          </cell>
          <cell r="AI108">
            <v>-96808.82</v>
          </cell>
          <cell r="AJ108">
            <v>-99383.07</v>
          </cell>
          <cell r="AK108">
            <v>-96577.01</v>
          </cell>
          <cell r="AL108">
            <v>-107477.83</v>
          </cell>
          <cell r="AM108">
            <v>-120084.85</v>
          </cell>
          <cell r="AN108">
            <v>-133632.48000000001</v>
          </cell>
          <cell r="AO108">
            <v>-125365.29</v>
          </cell>
          <cell r="AP108">
            <v>-121219.73</v>
          </cell>
          <cell r="AQ108">
            <v>-123373.73</v>
          </cell>
          <cell r="AR108">
            <v>-110829.1</v>
          </cell>
          <cell r="AS108">
            <v>-106860.47</v>
          </cell>
          <cell r="AT108">
            <v>-103034.81</v>
          </cell>
          <cell r="AU108">
            <v>-101583.83</v>
          </cell>
          <cell r="AV108">
            <v>-107228.19</v>
          </cell>
          <cell r="AW108">
            <v>-96638.25</v>
          </cell>
          <cell r="AX108">
            <v>-108128.89</v>
          </cell>
          <cell r="AY108">
            <v>-118565.73</v>
          </cell>
          <cell r="AZ108">
            <v>-148524.13</v>
          </cell>
          <cell r="BA108">
            <v>-137379.38</v>
          </cell>
          <cell r="BB108">
            <v>-128627.08</v>
          </cell>
          <cell r="BC108">
            <v>-131996.56</v>
          </cell>
          <cell r="BD108">
            <v>-117660.69</v>
          </cell>
          <cell r="BE108">
            <v>-116943.52</v>
          </cell>
          <cell r="BF108">
            <v>-105531.64</v>
          </cell>
          <cell r="BG108">
            <v>-103394.86</v>
          </cell>
          <cell r="BH108">
            <v>-114490.35</v>
          </cell>
          <cell r="BI108">
            <v>-102190.43</v>
          </cell>
          <cell r="BJ108">
            <v>-106631.7</v>
          </cell>
          <cell r="BK108">
            <v>-128096.31</v>
          </cell>
          <cell r="BL108">
            <v>-141908.64000000001</v>
          </cell>
          <cell r="BM108">
            <v>-140612.81</v>
          </cell>
          <cell r="BN108">
            <v>-131006.11</v>
          </cell>
          <cell r="BO108">
            <v>-130843.58</v>
          </cell>
          <cell r="BP108">
            <v>-120857.38</v>
          </cell>
          <cell r="BQ108">
            <v>-112887.09</v>
          </cell>
          <cell r="BR108">
            <v>-105785.45</v>
          </cell>
          <cell r="BS108">
            <v>-105057.25</v>
          </cell>
          <cell r="BT108">
            <v>-109202.46</v>
          </cell>
          <cell r="BU108">
            <v>-105632.65</v>
          </cell>
          <cell r="BV108">
            <v>-113015.74</v>
          </cell>
          <cell r="BW108">
            <v>-132826.69</v>
          </cell>
          <cell r="BX108">
            <v>-143673.13</v>
          </cell>
          <cell r="BY108">
            <v>-139768.73000000001</v>
          </cell>
          <cell r="BZ108">
            <v>-132967.04000000001</v>
          </cell>
          <cell r="CA108">
            <v>-89866.77</v>
          </cell>
          <cell r="CB108">
            <v>-76847.92</v>
          </cell>
          <cell r="CC108">
            <v>-93703.47</v>
          </cell>
          <cell r="CD108">
            <v>-93949.759999999995</v>
          </cell>
          <cell r="CE108">
            <v>-95691.68</v>
          </cell>
          <cell r="CF108">
            <v>-96116.07</v>
          </cell>
          <cell r="CG108">
            <v>-96946.29</v>
          </cell>
          <cell r="CH108">
            <v>-107484.07</v>
          </cell>
          <cell r="CI108">
            <v>-122126.97</v>
          </cell>
          <cell r="CJ108">
            <v>-145318.64000000001</v>
          </cell>
          <cell r="CK108">
            <v>-138670.04999999999</v>
          </cell>
          <cell r="CL108">
            <v>-128607.83</v>
          </cell>
          <cell r="CM108">
            <v>-131924.26</v>
          </cell>
          <cell r="CN108">
            <v>-119354.22</v>
          </cell>
          <cell r="CO108">
            <v>-115383.91</v>
          </cell>
          <cell r="CP108">
            <v>-119182.18</v>
          </cell>
          <cell r="CQ108">
            <v>-115327.97</v>
          </cell>
          <cell r="CR108">
            <v>-117995.68</v>
          </cell>
          <cell r="CS108">
            <v>-113976.41</v>
          </cell>
          <cell r="CT108">
            <v>-121914.48</v>
          </cell>
          <cell r="CU108">
            <v>-145795.72</v>
          </cell>
          <cell r="CV108">
            <v>-151680.6</v>
          </cell>
          <cell r="CW108">
            <v>-151592.1</v>
          </cell>
          <cell r="CX108">
            <v>-143452.6</v>
          </cell>
          <cell r="CY108">
            <v>-137396.91</v>
          </cell>
          <cell r="CZ108">
            <v>-132066.76</v>
          </cell>
          <cell r="DA108">
            <v>-121415.16</v>
          </cell>
          <cell r="DB108">
            <v>-110134.69</v>
          </cell>
          <cell r="DC108">
            <v>-107550.6</v>
          </cell>
          <cell r="DD108">
            <v>-111909.5</v>
          </cell>
          <cell r="DE108">
            <v>-110602.67</v>
          </cell>
          <cell r="DF108">
            <v>-114613.01</v>
          </cell>
          <cell r="DG108">
            <v>-129762.9</v>
          </cell>
        </row>
        <row r="109">
          <cell r="A109">
            <v>4893052</v>
          </cell>
          <cell r="B109">
            <v>4893052</v>
          </cell>
          <cell r="C109" t="str">
            <v>GenSvc Lg Vol2 Trnsp</v>
          </cell>
          <cell r="D109">
            <v>-3169115.56</v>
          </cell>
          <cell r="E109">
            <v>-2722977.8</v>
          </cell>
          <cell r="F109">
            <v>-2632045.66</v>
          </cell>
          <cell r="G109">
            <v>-2536088.19</v>
          </cell>
          <cell r="H109">
            <v>-2197587.41</v>
          </cell>
          <cell r="I109">
            <v>-2382424.79</v>
          </cell>
          <cell r="J109">
            <v>-2151658.4300000002</v>
          </cell>
          <cell r="K109">
            <v>-2058293.63</v>
          </cell>
          <cell r="L109">
            <v>-2279914.5099999998</v>
          </cell>
          <cell r="M109">
            <v>-2223317</v>
          </cell>
          <cell r="N109">
            <v>-2393503.67</v>
          </cell>
          <cell r="O109">
            <v>-2884907.6</v>
          </cell>
          <cell r="P109">
            <v>-3178693.54</v>
          </cell>
          <cell r="Q109">
            <v>-2967169.84</v>
          </cell>
          <cell r="R109">
            <v>-3044512.03</v>
          </cell>
          <cell r="S109">
            <v>-2528590.2400000002</v>
          </cell>
          <cell r="T109">
            <v>-2096133.57</v>
          </cell>
          <cell r="U109">
            <v>-2484417.25</v>
          </cell>
          <cell r="V109">
            <v>-2198779.4</v>
          </cell>
          <cell r="W109">
            <v>-2321720.29</v>
          </cell>
          <cell r="X109">
            <v>-2208328.37</v>
          </cell>
          <cell r="Y109">
            <v>-2273201.3199999998</v>
          </cell>
          <cell r="Z109">
            <v>-2459750.59</v>
          </cell>
          <cell r="AA109">
            <v>-2804316.59</v>
          </cell>
          <cell r="AB109">
            <v>-3319998.74</v>
          </cell>
          <cell r="AC109">
            <v>-3106741.32</v>
          </cell>
          <cell r="AD109">
            <v>-2891324.98</v>
          </cell>
          <cell r="AE109">
            <v>-2758115.84</v>
          </cell>
          <cell r="AF109">
            <v>-2484531.9</v>
          </cell>
          <cell r="AG109">
            <v>-2375119.33</v>
          </cell>
          <cell r="AH109">
            <v>-2234437.02</v>
          </cell>
          <cell r="AI109">
            <v>-2304659.9300000002</v>
          </cell>
          <cell r="AJ109">
            <v>-2340030.5499999998</v>
          </cell>
          <cell r="AK109">
            <v>-2229160.66</v>
          </cell>
          <cell r="AL109">
            <v>-2623955.06</v>
          </cell>
          <cell r="AM109">
            <v>-2997096.27</v>
          </cell>
          <cell r="AN109">
            <v>-3290097.45</v>
          </cell>
          <cell r="AO109">
            <v>-2786643.61</v>
          </cell>
          <cell r="AP109">
            <v>-2828621.4</v>
          </cell>
          <cell r="AQ109">
            <v>-2849359.74</v>
          </cell>
          <cell r="AR109">
            <v>-2455692.98</v>
          </cell>
          <cell r="AS109">
            <v>-2400214.46</v>
          </cell>
          <cell r="AT109">
            <v>-2272706.62</v>
          </cell>
          <cell r="AU109">
            <v>-2331103.9</v>
          </cell>
          <cell r="AV109">
            <v>-2422069.17</v>
          </cell>
          <cell r="AW109">
            <v>-2167675.5699999998</v>
          </cell>
          <cell r="AX109">
            <v>-2538876.5499999998</v>
          </cell>
          <cell r="AY109">
            <v>-2935263.26</v>
          </cell>
          <cell r="AZ109">
            <v>-3563094.21</v>
          </cell>
          <cell r="BA109">
            <v>-2912738.76</v>
          </cell>
          <cell r="BB109">
            <v>-2836582.15</v>
          </cell>
          <cell r="BC109">
            <v>-3049595.55</v>
          </cell>
          <cell r="BD109">
            <v>-2447775.34</v>
          </cell>
          <cell r="BE109">
            <v>-2483399.0099999998</v>
          </cell>
          <cell r="BF109">
            <v>-2430676.29</v>
          </cell>
          <cell r="BG109">
            <v>-2325052.88</v>
          </cell>
          <cell r="BH109">
            <v>-2526846.67</v>
          </cell>
          <cell r="BI109">
            <v>-2264487.08</v>
          </cell>
          <cell r="BJ109">
            <v>-2606426.14</v>
          </cell>
          <cell r="BK109">
            <v>-3012097.84</v>
          </cell>
          <cell r="BL109">
            <v>-3112169.3</v>
          </cell>
          <cell r="BM109">
            <v>-2740391.67</v>
          </cell>
          <cell r="BN109">
            <v>-2912645.95</v>
          </cell>
          <cell r="BO109">
            <v>-2677598.73</v>
          </cell>
          <cell r="BP109">
            <v>-2517528.09</v>
          </cell>
          <cell r="BQ109">
            <v>-2224418.0099999998</v>
          </cell>
          <cell r="BR109">
            <v>-2264408.7400000002</v>
          </cell>
          <cell r="BS109">
            <v>-2250924.92</v>
          </cell>
          <cell r="BT109">
            <v>-2359857.42</v>
          </cell>
          <cell r="BU109">
            <v>-2242231.58</v>
          </cell>
          <cell r="BV109">
            <v>-2781817.38</v>
          </cell>
          <cell r="BW109">
            <v>-2789859.18</v>
          </cell>
          <cell r="BX109">
            <v>-3219590.72</v>
          </cell>
          <cell r="BY109">
            <v>-2884666.04</v>
          </cell>
          <cell r="BZ109">
            <v>-2645741.8199999998</v>
          </cell>
          <cell r="CA109">
            <v>-1641544.54</v>
          </cell>
          <cell r="CB109">
            <v>-1388567.83</v>
          </cell>
          <cell r="CC109">
            <v>-1989914.8</v>
          </cell>
          <cell r="CD109">
            <v>-1892105.91</v>
          </cell>
          <cell r="CE109">
            <v>-1919561.7</v>
          </cell>
          <cell r="CF109">
            <v>-1889349.74</v>
          </cell>
          <cell r="CG109">
            <v>-2006213.78</v>
          </cell>
          <cell r="CH109">
            <v>-2278444.4500000002</v>
          </cell>
          <cell r="CI109">
            <v>-2816489.53</v>
          </cell>
          <cell r="CJ109">
            <v>-4108181.56</v>
          </cell>
          <cell r="CK109">
            <v>-3191157.84</v>
          </cell>
          <cell r="CL109">
            <v>-3394582.62</v>
          </cell>
          <cell r="CM109">
            <v>-3495693.75</v>
          </cell>
          <cell r="CN109">
            <v>-2930093.11</v>
          </cell>
          <cell r="CO109">
            <v>-2881350.77</v>
          </cell>
          <cell r="CP109">
            <v>-2793571.34</v>
          </cell>
          <cell r="CQ109">
            <v>-2704952.57</v>
          </cell>
          <cell r="CR109">
            <v>-2851367.88</v>
          </cell>
          <cell r="CS109">
            <v>-2744432.32</v>
          </cell>
          <cell r="CT109">
            <v>-2984501.87</v>
          </cell>
          <cell r="CU109">
            <v>-3833669.1</v>
          </cell>
          <cell r="CV109">
            <v>-3960647.21</v>
          </cell>
          <cell r="CW109">
            <v>-3395014.08</v>
          </cell>
          <cell r="CX109">
            <v>-3346830.84</v>
          </cell>
          <cell r="CY109">
            <v>-3178082.27</v>
          </cell>
          <cell r="CZ109">
            <v>-3052741.39</v>
          </cell>
          <cell r="DA109">
            <v>-2723737.6000000001</v>
          </cell>
          <cell r="DB109">
            <v>-2841248</v>
          </cell>
          <cell r="DC109">
            <v>-2741439.89</v>
          </cell>
          <cell r="DD109">
            <v>-2765059.57</v>
          </cell>
          <cell r="DE109">
            <v>-3053300.35</v>
          </cell>
          <cell r="DF109">
            <v>-3179375.94</v>
          </cell>
          <cell r="DG109">
            <v>-3616385.98</v>
          </cell>
        </row>
        <row r="110">
          <cell r="A110">
            <v>4893053</v>
          </cell>
          <cell r="B110">
            <v>4893053</v>
          </cell>
          <cell r="C110" t="str">
            <v>GS Lg V2 Trnsp Swing</v>
          </cell>
          <cell r="D110">
            <v>-147152.93</v>
          </cell>
          <cell r="E110">
            <v>-139405.64000000001</v>
          </cell>
          <cell r="F110">
            <v>-133341.82</v>
          </cell>
          <cell r="G110">
            <v>-127734.21</v>
          </cell>
          <cell r="H110">
            <v>-113229.68</v>
          </cell>
          <cell r="I110">
            <v>-115050.5</v>
          </cell>
          <cell r="J110">
            <v>-107123.65</v>
          </cell>
          <cell r="K110">
            <v>-100915.38</v>
          </cell>
          <cell r="L110">
            <v>-107087.22</v>
          </cell>
          <cell r="M110">
            <v>-106924.45</v>
          </cell>
          <cell r="N110">
            <v>-113173.94</v>
          </cell>
          <cell r="O110">
            <v>-133481.51</v>
          </cell>
          <cell r="P110">
            <v>-151109.60999999999</v>
          </cell>
          <cell r="Q110">
            <v>-149106.76</v>
          </cell>
          <cell r="R110">
            <v>-151223.54</v>
          </cell>
          <cell r="S110">
            <v>-132663.98000000001</v>
          </cell>
          <cell r="T110">
            <v>-110307.06</v>
          </cell>
          <cell r="U110">
            <v>-117350.86</v>
          </cell>
          <cell r="V110">
            <v>-109311.38</v>
          </cell>
          <cell r="W110">
            <v>-111035.1</v>
          </cell>
          <cell r="X110">
            <v>-107311.3</v>
          </cell>
          <cell r="Y110">
            <v>-108456.34</v>
          </cell>
          <cell r="Z110">
            <v>-115371.18</v>
          </cell>
          <cell r="AA110">
            <v>-224025.7</v>
          </cell>
          <cell r="AB110">
            <v>-258234.34</v>
          </cell>
          <cell r="AC110">
            <v>-262808.8</v>
          </cell>
          <cell r="AD110">
            <v>-250668.43</v>
          </cell>
          <cell r="AE110">
            <v>-237958.34</v>
          </cell>
          <cell r="AF110">
            <v>-216586.14</v>
          </cell>
          <cell r="AG110">
            <v>-202329.74</v>
          </cell>
          <cell r="AH110">
            <v>-188990.11</v>
          </cell>
          <cell r="AI110">
            <v>-188747.11</v>
          </cell>
          <cell r="AJ110">
            <v>-191142.33</v>
          </cell>
          <cell r="AK110">
            <v>-184582.55</v>
          </cell>
          <cell r="AL110">
            <v>-207421.72</v>
          </cell>
          <cell r="AM110">
            <v>-238801.23</v>
          </cell>
          <cell r="AN110">
            <v>-267967.84000000003</v>
          </cell>
          <cell r="AO110">
            <v>-245572.06</v>
          </cell>
          <cell r="AP110">
            <v>-240548.86</v>
          </cell>
          <cell r="AQ110">
            <v>-240231.51</v>
          </cell>
          <cell r="AR110">
            <v>-215367.63</v>
          </cell>
          <cell r="AS110">
            <v>-203116.48</v>
          </cell>
          <cell r="AT110">
            <v>-191838.51</v>
          </cell>
          <cell r="AU110">
            <v>-191241.34</v>
          </cell>
          <cell r="AV110">
            <v>-203287.86</v>
          </cell>
          <cell r="AW110">
            <v>-171934.95</v>
          </cell>
          <cell r="AX110">
            <v>-204751.87</v>
          </cell>
          <cell r="AY110">
            <v>-234736.11</v>
          </cell>
          <cell r="AZ110">
            <v>-283544.67</v>
          </cell>
          <cell r="BA110">
            <v>-259045.13</v>
          </cell>
          <cell r="BB110">
            <v>-245621.01</v>
          </cell>
          <cell r="BC110">
            <v>-254650.77</v>
          </cell>
          <cell r="BD110">
            <v>-219353.81</v>
          </cell>
          <cell r="BE110">
            <v>-217090.59</v>
          </cell>
          <cell r="BF110">
            <v>-198697.23</v>
          </cell>
          <cell r="BG110">
            <v>-192904.41</v>
          </cell>
          <cell r="BH110">
            <v>-210621.15</v>
          </cell>
          <cell r="BI110">
            <v>-186022</v>
          </cell>
          <cell r="BJ110">
            <v>-199795.23</v>
          </cell>
          <cell r="BK110">
            <v>-243568.84</v>
          </cell>
          <cell r="BL110">
            <v>-272578.67</v>
          </cell>
          <cell r="BM110">
            <v>-272772.28999999998</v>
          </cell>
          <cell r="BN110">
            <v>-244230.76</v>
          </cell>
          <cell r="BO110">
            <v>-239692.24</v>
          </cell>
          <cell r="BP110">
            <v>-225697.07</v>
          </cell>
          <cell r="BQ110">
            <v>-202823.16</v>
          </cell>
          <cell r="BR110">
            <v>-197529.4</v>
          </cell>
          <cell r="BS110">
            <v>-194671.96</v>
          </cell>
          <cell r="BT110">
            <v>-201075.21</v>
          </cell>
          <cell r="BU110">
            <v>-195155.36</v>
          </cell>
          <cell r="BV110">
            <v>-211098.9</v>
          </cell>
          <cell r="BW110">
            <v>-253457.52</v>
          </cell>
          <cell r="BX110">
            <v>-277420.90000000002</v>
          </cell>
          <cell r="BY110">
            <v>-263385.59999999998</v>
          </cell>
          <cell r="BZ110">
            <v>-251199.29</v>
          </cell>
          <cell r="CA110">
            <v>-163111.67999999999</v>
          </cell>
          <cell r="CB110">
            <v>-125539.17</v>
          </cell>
          <cell r="CC110">
            <v>-153091.42000000001</v>
          </cell>
          <cell r="CD110">
            <v>-155937.68</v>
          </cell>
          <cell r="CE110">
            <v>-158757.96</v>
          </cell>
          <cell r="CF110">
            <v>-157660.98000000001</v>
          </cell>
          <cell r="CG110">
            <v>-165209.44</v>
          </cell>
          <cell r="CH110">
            <v>-185831.26</v>
          </cell>
          <cell r="CI110">
            <v>-211778.76</v>
          </cell>
          <cell r="CJ110">
            <v>-257153.82</v>
          </cell>
          <cell r="CK110">
            <v>-241625.68</v>
          </cell>
          <cell r="CL110">
            <v>-221095.84</v>
          </cell>
          <cell r="CM110">
            <v>-232996.06</v>
          </cell>
          <cell r="CN110">
            <v>-206223.57</v>
          </cell>
          <cell r="CO110">
            <v>-194600.53</v>
          </cell>
          <cell r="CP110">
            <v>-191287.15</v>
          </cell>
          <cell r="CQ110">
            <v>-183487.33</v>
          </cell>
          <cell r="CR110">
            <v>-188781.84</v>
          </cell>
          <cell r="CS110">
            <v>-184586.13</v>
          </cell>
          <cell r="CT110">
            <v>-196254.82</v>
          </cell>
          <cell r="CU110">
            <v>-246151.35</v>
          </cell>
          <cell r="CV110">
            <v>-252710.7</v>
          </cell>
          <cell r="CW110">
            <v>-257915.38</v>
          </cell>
          <cell r="CX110">
            <v>-240207.63</v>
          </cell>
          <cell r="CY110">
            <v>-225022.13</v>
          </cell>
          <cell r="CZ110">
            <v>-213053.11</v>
          </cell>
          <cell r="DA110">
            <v>-191195.5</v>
          </cell>
          <cell r="DB110">
            <v>-188146.47</v>
          </cell>
          <cell r="DC110">
            <v>-182342.18</v>
          </cell>
          <cell r="DD110">
            <v>-191237.73</v>
          </cell>
          <cell r="DE110">
            <v>-190850.86</v>
          </cell>
          <cell r="DF110">
            <v>-206928.49</v>
          </cell>
          <cell r="DG110">
            <v>-235909.85</v>
          </cell>
        </row>
        <row r="111">
          <cell r="A111">
            <v>4893054</v>
          </cell>
          <cell r="B111">
            <v>4893054</v>
          </cell>
          <cell r="C111" t="str">
            <v>GenSvc Lg Vol3 Trnsp</v>
          </cell>
          <cell r="D111">
            <v>-1796485.87</v>
          </cell>
          <cell r="E111">
            <v>-1628373.76</v>
          </cell>
          <cell r="F111">
            <v>-1478954.64</v>
          </cell>
          <cell r="G111">
            <v>-1471714.33</v>
          </cell>
          <cell r="H111">
            <v>-1256161.6499999999</v>
          </cell>
          <cell r="I111">
            <v>-1268470.04</v>
          </cell>
          <cell r="J111">
            <v>-1128552.52</v>
          </cell>
          <cell r="K111">
            <v>-1098229.98</v>
          </cell>
          <cell r="L111">
            <v>-1295997.01</v>
          </cell>
          <cell r="M111">
            <v>-1241890.78</v>
          </cell>
          <cell r="N111">
            <v>-1347264.82</v>
          </cell>
          <cell r="O111">
            <v>-1581692.25</v>
          </cell>
          <cell r="P111">
            <v>-1681816.14</v>
          </cell>
          <cell r="Q111">
            <v>-1590647</v>
          </cell>
          <cell r="R111">
            <v>-1639112.61</v>
          </cell>
          <cell r="S111">
            <v>-1386065.47</v>
          </cell>
          <cell r="T111">
            <v>-1132367.98</v>
          </cell>
          <cell r="U111">
            <v>-1300670.6200000001</v>
          </cell>
          <cell r="V111">
            <v>-1214163.8500000001</v>
          </cell>
          <cell r="W111">
            <v>-1256266.58</v>
          </cell>
          <cell r="X111">
            <v>-1112293.03</v>
          </cell>
          <cell r="Y111">
            <v>-1232863.6499999999</v>
          </cell>
          <cell r="Z111">
            <v>-1311451.3899999999</v>
          </cell>
          <cell r="AA111">
            <v>-1455649.68</v>
          </cell>
          <cell r="AB111">
            <v>-1666771.56</v>
          </cell>
          <cell r="AC111">
            <v>-1695873.68</v>
          </cell>
          <cell r="AD111">
            <v>-1512121.24</v>
          </cell>
          <cell r="AE111">
            <v>-1469644.94</v>
          </cell>
          <cell r="AF111">
            <v>-1318348</v>
          </cell>
          <cell r="AG111">
            <v>-1219971.78</v>
          </cell>
          <cell r="AH111">
            <v>-1103391.1200000001</v>
          </cell>
          <cell r="AI111">
            <v>-1127562.21</v>
          </cell>
          <cell r="AJ111">
            <v>-1193366.6599999999</v>
          </cell>
          <cell r="AK111">
            <v>-1089902.22</v>
          </cell>
          <cell r="AL111">
            <v>-1347421.31</v>
          </cell>
          <cell r="AM111">
            <v>-1533363.53</v>
          </cell>
          <cell r="AN111">
            <v>-1600533.91</v>
          </cell>
          <cell r="AO111">
            <v>-1405565.9</v>
          </cell>
          <cell r="AP111">
            <v>-1415908.97</v>
          </cell>
          <cell r="AQ111">
            <v>-1382912.97</v>
          </cell>
          <cell r="AR111">
            <v>-1224903.3</v>
          </cell>
          <cell r="AS111">
            <v>-1138786.08</v>
          </cell>
          <cell r="AT111">
            <v>-1081579.8799999999</v>
          </cell>
          <cell r="AU111">
            <v>-1123899.5</v>
          </cell>
          <cell r="AV111">
            <v>-1181574</v>
          </cell>
          <cell r="AW111">
            <v>-1163031.3700000001</v>
          </cell>
          <cell r="AX111">
            <v>-1216500.97</v>
          </cell>
          <cell r="AY111">
            <v>-1497737.47</v>
          </cell>
          <cell r="AZ111">
            <v>-1747586.85</v>
          </cell>
          <cell r="BA111">
            <v>-1555399.95</v>
          </cell>
          <cell r="BB111">
            <v>-1331590.81</v>
          </cell>
          <cell r="BC111">
            <v>-1534128.29</v>
          </cell>
          <cell r="BD111">
            <v>-1208985.78</v>
          </cell>
          <cell r="BE111">
            <v>-1168832.27</v>
          </cell>
          <cell r="BF111">
            <v>-1199757.82</v>
          </cell>
          <cell r="BG111">
            <v>-1167748.8700000001</v>
          </cell>
          <cell r="BH111">
            <v>-1231079.05</v>
          </cell>
          <cell r="BI111">
            <v>-1143943.19</v>
          </cell>
          <cell r="BJ111">
            <v>-1329940.8600000001</v>
          </cell>
          <cell r="BK111">
            <v>-1495304.68</v>
          </cell>
          <cell r="BL111">
            <v>-1557255.92</v>
          </cell>
          <cell r="BM111">
            <v>-1336867.74</v>
          </cell>
          <cell r="BN111">
            <v>-1825246</v>
          </cell>
          <cell r="BO111">
            <v>-865608.81</v>
          </cell>
          <cell r="BP111">
            <v>-1333126.6599999999</v>
          </cell>
          <cell r="BQ111">
            <v>-1100374.67</v>
          </cell>
          <cell r="BR111">
            <v>-1111323.32</v>
          </cell>
          <cell r="BS111">
            <v>-1085068.25</v>
          </cell>
          <cell r="BT111">
            <v>-1130446.19</v>
          </cell>
          <cell r="BU111">
            <v>-1114860.75</v>
          </cell>
          <cell r="BV111">
            <v>-1413246.76</v>
          </cell>
          <cell r="BW111">
            <v>-1389502.72</v>
          </cell>
          <cell r="BX111">
            <v>-1588346.19</v>
          </cell>
          <cell r="BY111">
            <v>-1409032.03</v>
          </cell>
          <cell r="BZ111">
            <v>-1341248.7</v>
          </cell>
          <cell r="CA111">
            <v>-926917.24</v>
          </cell>
          <cell r="CB111">
            <v>-886369.97</v>
          </cell>
          <cell r="CC111">
            <v>-1048864.03</v>
          </cell>
          <cell r="CD111">
            <v>-1015188.39</v>
          </cell>
          <cell r="CE111">
            <v>-1012932.5</v>
          </cell>
          <cell r="CF111">
            <v>-911181.26</v>
          </cell>
          <cell r="CG111">
            <v>-993904.8</v>
          </cell>
          <cell r="CH111">
            <v>-1209596.8</v>
          </cell>
          <cell r="CI111">
            <v>-1387708.68</v>
          </cell>
          <cell r="CJ111">
            <v>-2104835.0699999998</v>
          </cell>
          <cell r="CK111">
            <v>-1732523.76</v>
          </cell>
          <cell r="CL111">
            <v>-1763334.55</v>
          </cell>
          <cell r="CM111">
            <v>-1520208.61</v>
          </cell>
          <cell r="CN111">
            <v>-1497132.74</v>
          </cell>
          <cell r="CO111">
            <v>-1463302.34</v>
          </cell>
          <cell r="CP111">
            <v>-1431867.97</v>
          </cell>
          <cell r="CQ111">
            <v>-1112373.6200000001</v>
          </cell>
          <cell r="CR111">
            <v>-1377029.65</v>
          </cell>
          <cell r="CS111">
            <v>-1286104.98</v>
          </cell>
          <cell r="CT111">
            <v>-1521130.24</v>
          </cell>
          <cell r="CU111">
            <v>-1838015.33</v>
          </cell>
          <cell r="CV111">
            <v>-1975683.83</v>
          </cell>
          <cell r="CW111">
            <v>-1564268.53</v>
          </cell>
          <cell r="CX111">
            <v>-1682681.82</v>
          </cell>
          <cell r="CY111">
            <v>-1435769.47</v>
          </cell>
          <cell r="CZ111">
            <v>-1475360.05</v>
          </cell>
          <cell r="DA111">
            <v>-1346701.07</v>
          </cell>
          <cell r="DB111">
            <v>-1448377.81</v>
          </cell>
          <cell r="DC111">
            <v>-1331872.04</v>
          </cell>
          <cell r="DD111">
            <v>-1333112.1200000001</v>
          </cell>
          <cell r="DE111">
            <v>-1642061.62</v>
          </cell>
          <cell r="DF111">
            <v>-1605506.07</v>
          </cell>
          <cell r="DG111">
            <v>-1776670</v>
          </cell>
        </row>
        <row r="112">
          <cell r="A112">
            <v>4893055</v>
          </cell>
          <cell r="B112">
            <v>4893055</v>
          </cell>
          <cell r="C112" t="str">
            <v>GS Lg V3 Trnsp Swing</v>
          </cell>
          <cell r="D112">
            <v>-88450.48</v>
          </cell>
          <cell r="E112">
            <v>-88933.99</v>
          </cell>
          <cell r="F112">
            <v>-81068.62</v>
          </cell>
          <cell r="G112">
            <v>-79168.53</v>
          </cell>
          <cell r="H112">
            <v>-70145.179999999993</v>
          </cell>
          <cell r="I112">
            <v>-67192.58</v>
          </cell>
          <cell r="J112">
            <v>-61556.68</v>
          </cell>
          <cell r="K112">
            <v>-57813.53</v>
          </cell>
          <cell r="L112">
            <v>-60069.77</v>
          </cell>
          <cell r="M112">
            <v>-62624.21</v>
          </cell>
          <cell r="N112">
            <v>-68663.009999999995</v>
          </cell>
          <cell r="O112">
            <v>-79284.800000000003</v>
          </cell>
          <cell r="P112">
            <v>-86846.23</v>
          </cell>
          <cell r="Q112">
            <v>-86453.55</v>
          </cell>
          <cell r="R112">
            <v>-87799.2</v>
          </cell>
          <cell r="S112">
            <v>-77810.83</v>
          </cell>
          <cell r="T112">
            <v>-62666.99</v>
          </cell>
          <cell r="U112">
            <v>-66633.52</v>
          </cell>
          <cell r="V112">
            <v>-64103.76</v>
          </cell>
          <cell r="W112">
            <v>-65336.92</v>
          </cell>
          <cell r="X112">
            <v>-60468.09</v>
          </cell>
          <cell r="Y112">
            <v>-61423.13</v>
          </cell>
          <cell r="Z112">
            <v>-67425.09</v>
          </cell>
          <cell r="AA112">
            <v>-137451.69</v>
          </cell>
          <cell r="AB112">
            <v>-157352.39000000001</v>
          </cell>
          <cell r="AC112">
            <v>-167792.39</v>
          </cell>
          <cell r="AD112">
            <v>-155809.22</v>
          </cell>
          <cell r="AE112">
            <v>-148655.93</v>
          </cell>
          <cell r="AF112">
            <v>-134134.26999999999</v>
          </cell>
          <cell r="AG112">
            <v>-123170.78</v>
          </cell>
          <cell r="AH112">
            <v>-113105.51</v>
          </cell>
          <cell r="AI112">
            <v>-111005.73</v>
          </cell>
          <cell r="AJ112">
            <v>-114935.78</v>
          </cell>
          <cell r="AK112">
            <v>-105655.41</v>
          </cell>
          <cell r="AL112">
            <v>-123596.8</v>
          </cell>
          <cell r="AM112">
            <v>-140595.60999999999</v>
          </cell>
          <cell r="AN112">
            <v>-155510.26</v>
          </cell>
          <cell r="AO112">
            <v>-144928.69</v>
          </cell>
          <cell r="AP112">
            <v>-140828.31</v>
          </cell>
          <cell r="AQ112">
            <v>-139992.12</v>
          </cell>
          <cell r="AR112">
            <v>-125841.31</v>
          </cell>
          <cell r="AS112">
            <v>-115021.98</v>
          </cell>
          <cell r="AT112">
            <v>-107797.03</v>
          </cell>
          <cell r="AU112">
            <v>-102493.36</v>
          </cell>
          <cell r="AV112">
            <v>-127985.96</v>
          </cell>
          <cell r="AW112">
            <v>-95491.08</v>
          </cell>
          <cell r="AX112">
            <v>-118519.13</v>
          </cell>
          <cell r="AY112">
            <v>-137833.12</v>
          </cell>
          <cell r="AZ112">
            <v>-163189.66</v>
          </cell>
          <cell r="BA112">
            <v>-159524.48000000001</v>
          </cell>
          <cell r="BB112">
            <v>-137673.23000000001</v>
          </cell>
          <cell r="BC112">
            <v>-149373.34</v>
          </cell>
          <cell r="BD112">
            <v>-127799.25</v>
          </cell>
          <cell r="BE112">
            <v>-122357.35</v>
          </cell>
          <cell r="BF112">
            <v>-114677.16</v>
          </cell>
          <cell r="BG112">
            <v>-113050.62</v>
          </cell>
          <cell r="BH112">
            <v>-123469.11</v>
          </cell>
          <cell r="BI112">
            <v>-109035.59</v>
          </cell>
          <cell r="BJ112">
            <v>-119085.68</v>
          </cell>
          <cell r="BK112">
            <v>-145133.26</v>
          </cell>
          <cell r="BL112">
            <v>-160301.51999999999</v>
          </cell>
          <cell r="BM112">
            <v>-160997.23000000001</v>
          </cell>
          <cell r="BN112">
            <v>-174550.08</v>
          </cell>
          <cell r="BO112">
            <v>-112451.28</v>
          </cell>
          <cell r="BP112">
            <v>-132630.14000000001</v>
          </cell>
          <cell r="BQ112">
            <v>-119883.95</v>
          </cell>
          <cell r="BR112">
            <v>-115230.68</v>
          </cell>
          <cell r="BS112">
            <v>-112377.77</v>
          </cell>
          <cell r="BT112">
            <v>-114657.93</v>
          </cell>
          <cell r="BU112">
            <v>-113727.03999999999</v>
          </cell>
          <cell r="BV112">
            <v>-124710.8</v>
          </cell>
          <cell r="BW112">
            <v>-150561.14000000001</v>
          </cell>
          <cell r="BX112">
            <v>-165100.51</v>
          </cell>
          <cell r="BY112">
            <v>-156135.75</v>
          </cell>
          <cell r="BZ112">
            <v>-152901.16</v>
          </cell>
          <cell r="CA112">
            <v>-109420.13</v>
          </cell>
          <cell r="CB112">
            <v>-94788.1</v>
          </cell>
          <cell r="CC112">
            <v>-104181.5</v>
          </cell>
          <cell r="CD112">
            <v>-100942.29</v>
          </cell>
          <cell r="CE112">
            <v>-103781.13</v>
          </cell>
          <cell r="CF112">
            <v>-95974.32</v>
          </cell>
          <cell r="CG112">
            <v>-98672.8</v>
          </cell>
          <cell r="CH112">
            <v>-117650.17</v>
          </cell>
          <cell r="CI112">
            <v>-127855.26</v>
          </cell>
          <cell r="CJ112">
            <v>-161461.20000000001</v>
          </cell>
          <cell r="CK112">
            <v>-158054.07999999999</v>
          </cell>
          <cell r="CL112">
            <v>-140873.21</v>
          </cell>
          <cell r="CM112">
            <v>-121294.26</v>
          </cell>
          <cell r="CN112">
            <v>-120387.89</v>
          </cell>
          <cell r="CO112">
            <v>-115219.04</v>
          </cell>
          <cell r="CP112">
            <v>-118150.78</v>
          </cell>
          <cell r="CQ112">
            <v>-93560.78</v>
          </cell>
          <cell r="CR112">
            <v>-104885.52</v>
          </cell>
          <cell r="CS112">
            <v>-100714.57</v>
          </cell>
          <cell r="CT112">
            <v>-115018.16</v>
          </cell>
          <cell r="CU112">
            <v>-143764.32</v>
          </cell>
          <cell r="CV112">
            <v>-150668.56</v>
          </cell>
          <cell r="CW112">
            <v>-147294.5</v>
          </cell>
          <cell r="CX112">
            <v>-140467.73000000001</v>
          </cell>
          <cell r="CY112">
            <v>-125280.7</v>
          </cell>
          <cell r="CZ112">
            <v>-119652.6</v>
          </cell>
          <cell r="DA112">
            <v>-110203.26</v>
          </cell>
          <cell r="DB112">
            <v>-109311.65</v>
          </cell>
          <cell r="DC112">
            <v>-101884.12</v>
          </cell>
          <cell r="DD112">
            <v>-107737.06</v>
          </cell>
          <cell r="DE112">
            <v>-115784.85</v>
          </cell>
          <cell r="DF112">
            <v>-122920.29</v>
          </cell>
          <cell r="DG112">
            <v>-134658.84</v>
          </cell>
        </row>
        <row r="113">
          <cell r="A113">
            <v>4893056</v>
          </cell>
          <cell r="B113">
            <v>4893056</v>
          </cell>
          <cell r="C113" t="str">
            <v>GenSvc Lg Vol4 Trnsp</v>
          </cell>
          <cell r="D113">
            <v>-805978.25</v>
          </cell>
          <cell r="E113">
            <v>-786078.39</v>
          </cell>
          <cell r="F113">
            <v>-806125.72</v>
          </cell>
          <cell r="G113">
            <v>-790370.4</v>
          </cell>
          <cell r="H113">
            <v>-705844.8</v>
          </cell>
          <cell r="I113">
            <v>-733404.2</v>
          </cell>
          <cell r="J113">
            <v>-775103.64</v>
          </cell>
          <cell r="K113">
            <v>-721315.87</v>
          </cell>
          <cell r="L113">
            <v>-774160.64</v>
          </cell>
          <cell r="M113">
            <v>-793566.11</v>
          </cell>
          <cell r="N113">
            <v>-814323.74</v>
          </cell>
          <cell r="O113">
            <v>-838736.59</v>
          </cell>
          <cell r="P113">
            <v>-903386.67</v>
          </cell>
          <cell r="Q113">
            <v>-861009.59</v>
          </cell>
          <cell r="R113">
            <v>-887852.57</v>
          </cell>
          <cell r="S113">
            <v>-839700.56</v>
          </cell>
          <cell r="T113">
            <v>-737942.7</v>
          </cell>
          <cell r="U113">
            <v>-820687.12</v>
          </cell>
          <cell r="V113">
            <v>-785267.11</v>
          </cell>
          <cell r="W113">
            <v>-879568.18</v>
          </cell>
          <cell r="X113">
            <v>-813176.64</v>
          </cell>
          <cell r="Y113">
            <v>-813528.4</v>
          </cell>
          <cell r="Z113">
            <v>-797070.33</v>
          </cell>
          <cell r="AA113">
            <v>-864584.47</v>
          </cell>
          <cell r="AB113">
            <v>-994792.3</v>
          </cell>
          <cell r="AC113">
            <v>-998149.22</v>
          </cell>
          <cell r="AD113">
            <v>-986524.19</v>
          </cell>
          <cell r="AE113">
            <v>-929552.25</v>
          </cell>
          <cell r="AF113">
            <v>-860843.75</v>
          </cell>
          <cell r="AG113">
            <v>-860169.62</v>
          </cell>
          <cell r="AH113">
            <v>-1187458.1200000001</v>
          </cell>
          <cell r="AI113">
            <v>-573063.35</v>
          </cell>
          <cell r="AJ113">
            <v>-935252.18</v>
          </cell>
          <cell r="AK113">
            <v>-879166.15</v>
          </cell>
          <cell r="AL113">
            <v>-886030.51</v>
          </cell>
          <cell r="AM113">
            <v>-929297.11</v>
          </cell>
          <cell r="AN113">
            <v>-1042235.77</v>
          </cell>
          <cell r="AO113">
            <v>-873599.34</v>
          </cell>
          <cell r="AP113">
            <v>-956999.94</v>
          </cell>
          <cell r="AQ113">
            <v>-951388.19</v>
          </cell>
          <cell r="AR113">
            <v>-891462.18</v>
          </cell>
          <cell r="AS113">
            <v>-900859.79</v>
          </cell>
          <cell r="AT113">
            <v>-847184.88</v>
          </cell>
          <cell r="AU113">
            <v>-856777.83</v>
          </cell>
          <cell r="AV113">
            <v>-964607.79</v>
          </cell>
          <cell r="AW113">
            <v>-870100.58</v>
          </cell>
          <cell r="AX113">
            <v>-913785.11</v>
          </cell>
          <cell r="AY113">
            <v>-1022172.11</v>
          </cell>
          <cell r="AZ113">
            <v>-930325.7</v>
          </cell>
          <cell r="BA113">
            <v>-855524.75</v>
          </cell>
          <cell r="BB113">
            <v>-1069307.8600000001</v>
          </cell>
          <cell r="BC113">
            <v>-920235.71</v>
          </cell>
          <cell r="BD113">
            <v>-880366.24</v>
          </cell>
          <cell r="BE113">
            <v>-898288.72</v>
          </cell>
          <cell r="BF113">
            <v>-903412.06</v>
          </cell>
          <cell r="BG113">
            <v>-882117.93</v>
          </cell>
          <cell r="BH113">
            <v>-934961.47</v>
          </cell>
          <cell r="BI113">
            <v>-891723.44</v>
          </cell>
          <cell r="BJ113">
            <v>-818702.23</v>
          </cell>
          <cell r="BK113">
            <v>-941583.77</v>
          </cell>
          <cell r="BL113">
            <v>-1002243.17</v>
          </cell>
          <cell r="BM113">
            <v>-923160.09</v>
          </cell>
          <cell r="BN113">
            <v>-934108.92</v>
          </cell>
          <cell r="BO113">
            <v>-803039.24</v>
          </cell>
          <cell r="BP113">
            <v>-830670.73</v>
          </cell>
          <cell r="BQ113">
            <v>-820529.12</v>
          </cell>
          <cell r="BR113">
            <v>-880509.08</v>
          </cell>
          <cell r="BS113">
            <v>-937548.08</v>
          </cell>
          <cell r="BT113">
            <v>-879449.78</v>
          </cell>
          <cell r="BU113">
            <v>-823841.43</v>
          </cell>
          <cell r="BV113">
            <v>-893858.07</v>
          </cell>
          <cell r="BW113">
            <v>-1088454.77</v>
          </cell>
          <cell r="BX113">
            <v>-813869.67</v>
          </cell>
          <cell r="BY113">
            <v>-911147.67</v>
          </cell>
          <cell r="BZ113">
            <v>-894383.69</v>
          </cell>
          <cell r="CA113">
            <v>-789669.22</v>
          </cell>
          <cell r="CB113">
            <v>-865090.53</v>
          </cell>
          <cell r="CC113">
            <v>-849962.21</v>
          </cell>
          <cell r="CD113">
            <v>-850610.01</v>
          </cell>
          <cell r="CE113">
            <v>-837734.14</v>
          </cell>
          <cell r="CF113">
            <v>-878875.79</v>
          </cell>
          <cell r="CG113">
            <v>-959068.49</v>
          </cell>
          <cell r="CH113">
            <v>-985413.18</v>
          </cell>
          <cell r="CI113">
            <v>-934050.23</v>
          </cell>
          <cell r="CJ113">
            <v>-1343972.12</v>
          </cell>
          <cell r="CK113">
            <v>-1213513.71</v>
          </cell>
          <cell r="CL113">
            <v>-1133652.06</v>
          </cell>
          <cell r="CM113">
            <v>-1275897.45</v>
          </cell>
          <cell r="CN113">
            <v>-1142449.5900000001</v>
          </cell>
          <cell r="CO113">
            <v>-1181937.24</v>
          </cell>
          <cell r="CP113">
            <v>-1011380.24</v>
          </cell>
          <cell r="CQ113">
            <v>-994267.38</v>
          </cell>
          <cell r="CR113">
            <v>-1005608.36</v>
          </cell>
          <cell r="CS113">
            <v>-1031080.72</v>
          </cell>
          <cell r="CT113">
            <v>-977910.7</v>
          </cell>
          <cell r="CU113">
            <v>-990000.96</v>
          </cell>
          <cell r="CV113">
            <v>-1078955.54</v>
          </cell>
          <cell r="CW113">
            <v>-1028632.12</v>
          </cell>
          <cell r="CX113">
            <v>-1073577.1299999999</v>
          </cell>
          <cell r="CY113">
            <v>-926194.57</v>
          </cell>
          <cell r="CZ113">
            <v>-1011490.62</v>
          </cell>
          <cell r="DA113">
            <v>-977768.76</v>
          </cell>
          <cell r="DB113">
            <v>-877737.11</v>
          </cell>
          <cell r="DC113">
            <v>-899501.71</v>
          </cell>
          <cell r="DD113">
            <v>-841047.18</v>
          </cell>
          <cell r="DE113">
            <v>-935481.54</v>
          </cell>
          <cell r="DF113">
            <v>-840201.14</v>
          </cell>
          <cell r="DG113">
            <v>-979257.59</v>
          </cell>
        </row>
        <row r="114">
          <cell r="A114">
            <v>4893057</v>
          </cell>
          <cell r="B114">
            <v>4893057</v>
          </cell>
          <cell r="C114" t="str">
            <v>GS Lg V4 Trnsp Swing</v>
          </cell>
          <cell r="D114">
            <v>-35769.199999999997</v>
          </cell>
          <cell r="E114">
            <v>-34731.22</v>
          </cell>
          <cell r="F114">
            <v>-34528.53</v>
          </cell>
          <cell r="G114">
            <v>-34876.06</v>
          </cell>
          <cell r="H114">
            <v>-30512.61</v>
          </cell>
          <cell r="I114">
            <v>-32270.400000000001</v>
          </cell>
          <cell r="J114">
            <v>-32149.45</v>
          </cell>
          <cell r="K114">
            <v>-32437.42</v>
          </cell>
          <cell r="L114">
            <v>-33462.660000000003</v>
          </cell>
          <cell r="M114">
            <v>-34346.800000000003</v>
          </cell>
          <cell r="N114">
            <v>-36572.42</v>
          </cell>
          <cell r="O114">
            <v>-36809.949999999997</v>
          </cell>
          <cell r="P114">
            <v>-39486.82</v>
          </cell>
          <cell r="Q114">
            <v>-37449.519999999997</v>
          </cell>
          <cell r="R114">
            <v>-39555.040000000001</v>
          </cell>
          <cell r="S114">
            <v>-37759.15</v>
          </cell>
          <cell r="T114">
            <v>-29928.1</v>
          </cell>
          <cell r="U114">
            <v>-37349.69</v>
          </cell>
          <cell r="V114">
            <v>-33611.81</v>
          </cell>
          <cell r="W114">
            <v>-39608.53</v>
          </cell>
          <cell r="X114">
            <v>-34056.959999999999</v>
          </cell>
          <cell r="Y114">
            <v>-32781.72</v>
          </cell>
          <cell r="Z114">
            <v>-33228.5</v>
          </cell>
          <cell r="AA114">
            <v>-22169.83</v>
          </cell>
          <cell r="AB114">
            <v>-27168.05</v>
          </cell>
          <cell r="AC114">
            <v>-26761.79</v>
          </cell>
          <cell r="AD114">
            <v>-26348.91</v>
          </cell>
          <cell r="AE114">
            <v>-25471.58</v>
          </cell>
          <cell r="AF114">
            <v>-20207</v>
          </cell>
          <cell r="AG114">
            <v>-21567.74</v>
          </cell>
          <cell r="AH114">
            <v>-39341.15</v>
          </cell>
          <cell r="AI114">
            <v>-5827.52</v>
          </cell>
          <cell r="AJ114">
            <v>-24498.880000000001</v>
          </cell>
          <cell r="AK114">
            <v>-21825.26</v>
          </cell>
          <cell r="AL114">
            <v>-22274.93</v>
          </cell>
          <cell r="AM114">
            <v>-23938.46</v>
          </cell>
          <cell r="AN114">
            <v>-28986.44</v>
          </cell>
          <cell r="AO114">
            <v>-22779.05</v>
          </cell>
          <cell r="AP114">
            <v>-24197.63</v>
          </cell>
          <cell r="AQ114">
            <v>-25197.41</v>
          </cell>
          <cell r="AR114">
            <v>-21935.81</v>
          </cell>
          <cell r="AS114">
            <v>-21987.1</v>
          </cell>
          <cell r="AT114">
            <v>-20246.73</v>
          </cell>
          <cell r="AU114">
            <v>-19423.95</v>
          </cell>
          <cell r="AV114">
            <v>-25985.66</v>
          </cell>
          <cell r="AW114">
            <v>-18266.310000000001</v>
          </cell>
          <cell r="AX114">
            <v>-20568.439999999999</v>
          </cell>
          <cell r="AY114">
            <v>-27279.67</v>
          </cell>
          <cell r="AZ114">
            <v>-18938.16</v>
          </cell>
          <cell r="BA114">
            <v>-22876.59</v>
          </cell>
          <cell r="BB114">
            <v>-20700.310000000001</v>
          </cell>
          <cell r="BC114">
            <v>-21281.91</v>
          </cell>
          <cell r="BD114">
            <v>-18972.939999999999</v>
          </cell>
          <cell r="BE114">
            <v>-20623.18</v>
          </cell>
          <cell r="BF114">
            <v>-20339.57</v>
          </cell>
          <cell r="BG114">
            <v>-19065.939999999999</v>
          </cell>
          <cell r="BH114">
            <v>-22846.880000000001</v>
          </cell>
          <cell r="BI114">
            <v>-20086.86</v>
          </cell>
          <cell r="BJ114">
            <v>-18225.87</v>
          </cell>
          <cell r="BK114">
            <v>-23639.86</v>
          </cell>
          <cell r="BL114">
            <v>-27093.919999999998</v>
          </cell>
          <cell r="BM114">
            <v>-25680.38</v>
          </cell>
          <cell r="BN114">
            <v>-23269.41</v>
          </cell>
          <cell r="BO114">
            <v>-22770.03</v>
          </cell>
          <cell r="BP114">
            <v>-21053.11</v>
          </cell>
          <cell r="BQ114">
            <v>-21601.56</v>
          </cell>
          <cell r="BR114">
            <v>-23056.16</v>
          </cell>
          <cell r="BS114">
            <v>-24050.12</v>
          </cell>
          <cell r="BT114">
            <v>-24174.09</v>
          </cell>
          <cell r="BU114">
            <v>-18133.810000000001</v>
          </cell>
          <cell r="BV114">
            <v>-22155.49</v>
          </cell>
          <cell r="BW114">
            <v>-33072</v>
          </cell>
          <cell r="BX114">
            <v>-17864.810000000001</v>
          </cell>
          <cell r="BY114">
            <v>-23361.05</v>
          </cell>
          <cell r="BZ114">
            <v>-24110.1</v>
          </cell>
          <cell r="CA114">
            <v>-20253.63</v>
          </cell>
          <cell r="CB114">
            <v>-22164.12</v>
          </cell>
          <cell r="CC114">
            <v>-21407.09</v>
          </cell>
          <cell r="CD114">
            <v>-22377.59</v>
          </cell>
          <cell r="CE114">
            <v>-21608.16</v>
          </cell>
          <cell r="CF114">
            <v>-21184.48</v>
          </cell>
          <cell r="CG114">
            <v>-21985.06</v>
          </cell>
          <cell r="CH114">
            <v>-23041.08</v>
          </cell>
          <cell r="CI114">
            <v>-23011.45</v>
          </cell>
          <cell r="CJ114">
            <v>-27835.01</v>
          </cell>
          <cell r="CK114">
            <v>-23593.94</v>
          </cell>
          <cell r="CL114">
            <v>-22947.07</v>
          </cell>
          <cell r="CM114">
            <v>-24363.82</v>
          </cell>
          <cell r="CN114">
            <v>-23446.73</v>
          </cell>
          <cell r="CO114">
            <v>-22835.16</v>
          </cell>
          <cell r="CP114">
            <v>-24106.11</v>
          </cell>
          <cell r="CQ114">
            <v>-23975.53</v>
          </cell>
          <cell r="CR114">
            <v>-26057.88</v>
          </cell>
          <cell r="CS114">
            <v>-25091.119999999999</v>
          </cell>
          <cell r="CT114">
            <v>-22601.81</v>
          </cell>
          <cell r="CU114">
            <v>-23379.21</v>
          </cell>
          <cell r="CV114">
            <v>-24722.62</v>
          </cell>
          <cell r="CW114">
            <v>-23300.86</v>
          </cell>
          <cell r="CX114">
            <v>-24086.78</v>
          </cell>
          <cell r="CY114">
            <v>-20754.77</v>
          </cell>
          <cell r="CZ114">
            <v>-21888.87</v>
          </cell>
          <cell r="DA114">
            <v>-21975.38</v>
          </cell>
          <cell r="DB114">
            <v>-23412.2</v>
          </cell>
          <cell r="DC114">
            <v>-23472.23</v>
          </cell>
          <cell r="DD114">
            <v>-22171.67</v>
          </cell>
          <cell r="DE114">
            <v>-23826.46</v>
          </cell>
          <cell r="DF114">
            <v>-22639.77</v>
          </cell>
          <cell r="DG114">
            <v>-25552.38</v>
          </cell>
        </row>
        <row r="115">
          <cell r="A115">
            <v>4893058</v>
          </cell>
          <cell r="B115">
            <v>4893058</v>
          </cell>
          <cell r="C115" t="str">
            <v>GenSvc Lg Vol5 Trnsp</v>
          </cell>
          <cell r="D115">
            <v>-1128971.97</v>
          </cell>
          <cell r="E115">
            <v>-1061864.6200000001</v>
          </cell>
          <cell r="F115">
            <v>-1126492.28</v>
          </cell>
          <cell r="G115">
            <v>-1095755.8600000001</v>
          </cell>
          <cell r="H115">
            <v>-1038169.43</v>
          </cell>
          <cell r="I115">
            <v>-1065402.1399999999</v>
          </cell>
          <cell r="J115">
            <v>-1018485.39</v>
          </cell>
          <cell r="K115">
            <v>-985029.13</v>
          </cell>
          <cell r="L115">
            <v>-1001340.98</v>
          </cell>
          <cell r="M115">
            <v>-1094381.68</v>
          </cell>
          <cell r="N115">
            <v>-1090222.76</v>
          </cell>
          <cell r="O115">
            <v>-1124779.8</v>
          </cell>
          <cell r="P115">
            <v>-1216865.1000000001</v>
          </cell>
          <cell r="Q115">
            <v>-1132293.3500000001</v>
          </cell>
          <cell r="R115">
            <v>-1225355.44</v>
          </cell>
          <cell r="S115">
            <v>-1071428.77</v>
          </cell>
          <cell r="T115">
            <v>-1067929.24</v>
          </cell>
          <cell r="U115">
            <v>-1013504.09</v>
          </cell>
          <cell r="V115">
            <v>-1038088.25</v>
          </cell>
          <cell r="W115">
            <v>-1048677.99</v>
          </cell>
          <cell r="X115">
            <v>-1026166.32</v>
          </cell>
          <cell r="Y115">
            <v>-1111196.93</v>
          </cell>
          <cell r="Z115">
            <v>-1043585.65</v>
          </cell>
          <cell r="AA115">
            <v>-1215810.49</v>
          </cell>
          <cell r="AB115">
            <v>-1304919.6200000001</v>
          </cell>
          <cell r="AC115">
            <v>-1240727.33</v>
          </cell>
          <cell r="AD115">
            <v>-1294281.29</v>
          </cell>
          <cell r="AE115">
            <v>-1130562.06</v>
          </cell>
          <cell r="AF115">
            <v>-1160868.24</v>
          </cell>
          <cell r="AG115">
            <v>-1128723.28</v>
          </cell>
          <cell r="AH115">
            <v>-1080550.24</v>
          </cell>
          <cell r="AI115">
            <v>-1105872.18</v>
          </cell>
          <cell r="AJ115">
            <v>-1112995.21</v>
          </cell>
          <cell r="AK115">
            <v>-1183318.58</v>
          </cell>
          <cell r="AL115">
            <v>-1210293.78</v>
          </cell>
          <cell r="AM115">
            <v>-1195703.95</v>
          </cell>
          <cell r="AN115">
            <v>-1276585.81</v>
          </cell>
          <cell r="AO115">
            <v>-1131886.45</v>
          </cell>
          <cell r="AP115">
            <v>-1322839.97</v>
          </cell>
          <cell r="AQ115">
            <v>-1202824.8700000001</v>
          </cell>
          <cell r="AR115">
            <v>-1207442.19</v>
          </cell>
          <cell r="AS115">
            <v>-1175330.1100000001</v>
          </cell>
          <cell r="AT115">
            <v>-1214807.93</v>
          </cell>
          <cell r="AU115">
            <v>-1205128.1200000001</v>
          </cell>
          <cell r="AV115">
            <v>-1183897.05</v>
          </cell>
          <cell r="AW115">
            <v>-1169397.96</v>
          </cell>
          <cell r="AX115">
            <v>-1255662.22</v>
          </cell>
          <cell r="AY115">
            <v>-1312710.3</v>
          </cell>
          <cell r="AZ115">
            <v>-1488437.17</v>
          </cell>
          <cell r="BA115">
            <v>-1245426.08</v>
          </cell>
          <cell r="BB115">
            <v>-1391671.27</v>
          </cell>
          <cell r="BC115">
            <v>-1374811.46</v>
          </cell>
          <cell r="BD115">
            <v>-1170458.1100000001</v>
          </cell>
          <cell r="BE115">
            <v>-1298893.51</v>
          </cell>
          <cell r="BF115">
            <v>-1266229.8500000001</v>
          </cell>
          <cell r="BG115">
            <v>-1260504.67</v>
          </cell>
          <cell r="BH115">
            <v>-1197070.43</v>
          </cell>
          <cell r="BI115">
            <v>-1321483.6599999999</v>
          </cell>
          <cell r="BJ115">
            <v>-1332077.6200000001</v>
          </cell>
          <cell r="BK115">
            <v>-1365630.92</v>
          </cell>
          <cell r="BL115">
            <v>-1361998.37</v>
          </cell>
          <cell r="BM115">
            <v>-1295328.3</v>
          </cell>
          <cell r="BN115">
            <v>-1340330.75</v>
          </cell>
          <cell r="BO115">
            <v>-1343029.32</v>
          </cell>
          <cell r="BP115">
            <v>-1310472.43</v>
          </cell>
          <cell r="BQ115">
            <v>-1217886.92</v>
          </cell>
          <cell r="BR115">
            <v>-1209752.6200000001</v>
          </cell>
          <cell r="BS115">
            <v>-1222785.75</v>
          </cell>
          <cell r="BT115">
            <v>-1188353.6100000001</v>
          </cell>
          <cell r="BU115">
            <v>-1308779.6100000001</v>
          </cell>
          <cell r="BV115">
            <v>-1315400.68</v>
          </cell>
          <cell r="BW115">
            <v>-1424764.73</v>
          </cell>
          <cell r="BX115">
            <v>-1497323.42</v>
          </cell>
          <cell r="BY115">
            <v>-1408549.33</v>
          </cell>
          <cell r="BZ115">
            <v>-1383859.34</v>
          </cell>
          <cell r="CA115">
            <v>-1192303.73</v>
          </cell>
          <cell r="CB115">
            <v>-1216783.97</v>
          </cell>
          <cell r="CC115">
            <v>-1170963.93</v>
          </cell>
          <cell r="CD115">
            <v>-1282491.52</v>
          </cell>
          <cell r="CE115">
            <v>-1193283.04</v>
          </cell>
          <cell r="CF115">
            <v>-1161680.1599999999</v>
          </cell>
          <cell r="CG115">
            <v>-1278742.19</v>
          </cell>
          <cell r="CH115">
            <v>-1214648.72</v>
          </cell>
          <cell r="CI115">
            <v>-1343247.26</v>
          </cell>
          <cell r="CJ115">
            <v>-1636485.86</v>
          </cell>
          <cell r="CK115">
            <v>-1528912.89</v>
          </cell>
          <cell r="CL115">
            <v>-1661704.73</v>
          </cell>
          <cell r="CM115">
            <v>-1797699.71</v>
          </cell>
          <cell r="CN115">
            <v>-1505845.36</v>
          </cell>
          <cell r="CO115">
            <v>-1634362.19</v>
          </cell>
          <cell r="CP115">
            <v>-1747802.84</v>
          </cell>
          <cell r="CQ115">
            <v>-1683797.17</v>
          </cell>
          <cell r="CR115">
            <v>-1689003.82</v>
          </cell>
          <cell r="CS115">
            <v>-1750971.97</v>
          </cell>
          <cell r="CT115">
            <v>-1767988.72</v>
          </cell>
          <cell r="CU115">
            <v>-1832900.17</v>
          </cell>
          <cell r="CV115">
            <v>-1824771.17</v>
          </cell>
          <cell r="CW115">
            <v>-1937601.74</v>
          </cell>
          <cell r="CX115">
            <v>-1916860.21</v>
          </cell>
          <cell r="CY115">
            <v>-1879915.84</v>
          </cell>
          <cell r="CZ115">
            <v>-1810920.13</v>
          </cell>
          <cell r="DA115">
            <v>-1868641.91</v>
          </cell>
          <cell r="DB115">
            <v>-1943190.53</v>
          </cell>
          <cell r="DC115">
            <v>-1832228.26</v>
          </cell>
          <cell r="DD115">
            <v>-1837342.95</v>
          </cell>
          <cell r="DE115">
            <v>-1968257.41</v>
          </cell>
          <cell r="DF115">
            <v>-1920003.09</v>
          </cell>
          <cell r="DG115">
            <v>-2050296.38</v>
          </cell>
        </row>
        <row r="116">
          <cell r="A116">
            <v>4893059</v>
          </cell>
          <cell r="B116">
            <v>4893059</v>
          </cell>
          <cell r="C116" t="str">
            <v>GS Lg V5 Trnsp Swing</v>
          </cell>
          <cell r="D116">
            <v>-17166.14</v>
          </cell>
          <cell r="E116">
            <v>-18406.29</v>
          </cell>
          <cell r="F116">
            <v>-16769.68</v>
          </cell>
          <cell r="G116">
            <v>-17288.84</v>
          </cell>
          <cell r="H116">
            <v>-15401.94</v>
          </cell>
          <cell r="I116">
            <v>-21076.86</v>
          </cell>
          <cell r="J116">
            <v>-17306.88</v>
          </cell>
          <cell r="K116">
            <v>-12736.84</v>
          </cell>
          <cell r="L116">
            <v>-15060.75</v>
          </cell>
          <cell r="M116">
            <v>-15027.99</v>
          </cell>
          <cell r="N116">
            <v>-15428.14</v>
          </cell>
          <cell r="O116">
            <v>-17002.060000000001</v>
          </cell>
          <cell r="P116">
            <v>-18841.27</v>
          </cell>
          <cell r="Q116">
            <v>-18311.75</v>
          </cell>
          <cell r="R116">
            <v>-18848.71</v>
          </cell>
          <cell r="S116">
            <v>-18257.29</v>
          </cell>
          <cell r="T116">
            <v>-15522.11</v>
          </cell>
          <cell r="U116">
            <v>-16915.349999999999</v>
          </cell>
          <cell r="V116">
            <v>-17150.310000000001</v>
          </cell>
          <cell r="W116">
            <v>-17054.060000000001</v>
          </cell>
          <cell r="X116">
            <v>-15954.6</v>
          </cell>
          <cell r="Y116">
            <v>-16022.58</v>
          </cell>
          <cell r="Z116">
            <v>-13317.79</v>
          </cell>
          <cell r="AA116">
            <v>-16743.52</v>
          </cell>
          <cell r="AB116">
            <v>-10113.799999999999</v>
          </cell>
          <cell r="AC116">
            <v>-12780.55</v>
          </cell>
          <cell r="AD116">
            <v>-13392.28</v>
          </cell>
          <cell r="AE116">
            <v>-10709.62</v>
          </cell>
          <cell r="AF116">
            <v>-12704.36</v>
          </cell>
          <cell r="AG116">
            <v>-13084.59</v>
          </cell>
          <cell r="AH116">
            <v>-11648.68</v>
          </cell>
          <cell r="AI116">
            <v>-11997.61</v>
          </cell>
          <cell r="AJ116">
            <v>-13078.71</v>
          </cell>
          <cell r="AK116">
            <v>-11579.45</v>
          </cell>
          <cell r="AL116">
            <v>-12386.83</v>
          </cell>
          <cell r="AM116">
            <v>-12707.82</v>
          </cell>
          <cell r="AN116">
            <v>-14673.08</v>
          </cell>
          <cell r="AO116">
            <v>-12368.91</v>
          </cell>
          <cell r="AP116">
            <v>-13083.75</v>
          </cell>
          <cell r="AQ116">
            <v>-12731.67</v>
          </cell>
          <cell r="AR116">
            <v>-12483.34</v>
          </cell>
          <cell r="AS116">
            <v>-13214.04</v>
          </cell>
          <cell r="AT116">
            <v>-15417.06</v>
          </cell>
          <cell r="AU116">
            <v>-11461.7</v>
          </cell>
          <cell r="AV116">
            <v>-17713.400000000001</v>
          </cell>
          <cell r="AW116">
            <v>-7446.24</v>
          </cell>
          <cell r="AX116">
            <v>-13188.23</v>
          </cell>
          <cell r="AY116">
            <v>-13194.88</v>
          </cell>
          <cell r="AZ116">
            <v>-14993.46</v>
          </cell>
          <cell r="BA116">
            <v>-12283.62</v>
          </cell>
          <cell r="BB116">
            <v>-12909.29</v>
          </cell>
          <cell r="BC116">
            <v>-17743.3</v>
          </cell>
          <cell r="BD116">
            <v>-5881.3</v>
          </cell>
          <cell r="BE116">
            <v>-10960.93</v>
          </cell>
          <cell r="BF116">
            <v>-10339.26</v>
          </cell>
          <cell r="BG116">
            <v>-10677.04</v>
          </cell>
          <cell r="BH116">
            <v>-11593.21</v>
          </cell>
          <cell r="BI116">
            <v>-11115.86</v>
          </cell>
          <cell r="BJ116">
            <v>-11076.05</v>
          </cell>
          <cell r="BK116">
            <v>-12365.68</v>
          </cell>
          <cell r="BL116">
            <v>-12972.76</v>
          </cell>
          <cell r="BM116">
            <v>-12815.97</v>
          </cell>
          <cell r="BN116">
            <v>-12240.85</v>
          </cell>
          <cell r="BO116">
            <v>-12298.93</v>
          </cell>
          <cell r="BP116">
            <v>-12659.92</v>
          </cell>
          <cell r="BQ116">
            <v>-10857.77</v>
          </cell>
          <cell r="BR116">
            <v>-9987.9500000000007</v>
          </cell>
          <cell r="BS116">
            <v>-10434.549999999999</v>
          </cell>
          <cell r="BT116">
            <v>-10060.870000000001</v>
          </cell>
          <cell r="BU116">
            <v>-14220.85</v>
          </cell>
          <cell r="BV116">
            <v>-10814.22</v>
          </cell>
          <cell r="BW116">
            <v>-18726.63</v>
          </cell>
          <cell r="BX116">
            <v>-15550.88</v>
          </cell>
          <cell r="BY116">
            <v>-14465.68</v>
          </cell>
          <cell r="BZ116">
            <v>-13703.24</v>
          </cell>
          <cell r="CA116">
            <v>-12409.08</v>
          </cell>
          <cell r="CB116">
            <v>-12373.43</v>
          </cell>
          <cell r="CC116">
            <v>-12380.47</v>
          </cell>
          <cell r="CD116">
            <v>-13837.62</v>
          </cell>
          <cell r="CE116">
            <v>-10639.84</v>
          </cell>
          <cell r="CF116">
            <v>-10078.1</v>
          </cell>
          <cell r="CG116">
            <v>-11846.88</v>
          </cell>
          <cell r="CH116">
            <v>-11412.79</v>
          </cell>
          <cell r="CI116">
            <v>-14562.76</v>
          </cell>
          <cell r="CJ116">
            <v>-14334.65</v>
          </cell>
          <cell r="CK116">
            <v>-13155.81</v>
          </cell>
          <cell r="CL116">
            <v>-11248.59</v>
          </cell>
          <cell r="CM116">
            <v>-16374.63</v>
          </cell>
          <cell r="CN116">
            <v>-10279.77</v>
          </cell>
          <cell r="CO116">
            <v>-13252.49</v>
          </cell>
          <cell r="CP116">
            <v>-14860.49</v>
          </cell>
          <cell r="CQ116">
            <v>-9259.26</v>
          </cell>
          <cell r="CR116">
            <v>-11248.04</v>
          </cell>
          <cell r="CS116">
            <v>-10895.62</v>
          </cell>
          <cell r="CT116">
            <v>-11689.33</v>
          </cell>
          <cell r="CU116">
            <v>-12738.33</v>
          </cell>
          <cell r="CV116">
            <v>-10831.06</v>
          </cell>
          <cell r="CW116">
            <v>-10964.36</v>
          </cell>
          <cell r="CX116">
            <v>-10844.74</v>
          </cell>
          <cell r="CY116">
            <v>-10904.98</v>
          </cell>
          <cell r="CZ116">
            <v>-12735.7</v>
          </cell>
          <cell r="DA116">
            <v>-10158.5</v>
          </cell>
          <cell r="DB116">
            <v>-11716.66</v>
          </cell>
          <cell r="DC116">
            <v>-12388.62</v>
          </cell>
          <cell r="DD116">
            <v>-11857.2</v>
          </cell>
          <cell r="DE116">
            <v>-12491.18</v>
          </cell>
          <cell r="DF116">
            <v>-13394.19</v>
          </cell>
          <cell r="DG116">
            <v>-12678.7</v>
          </cell>
        </row>
        <row r="117">
          <cell r="A117">
            <v>4893060</v>
          </cell>
          <cell r="B117">
            <v>4893060</v>
          </cell>
          <cell r="C117" t="str">
            <v>Intrpt Small Transp</v>
          </cell>
          <cell r="D117">
            <v>-533186</v>
          </cell>
          <cell r="E117">
            <v>-476666.31</v>
          </cell>
          <cell r="F117">
            <v>-514447.95</v>
          </cell>
          <cell r="G117">
            <v>-473757.07</v>
          </cell>
          <cell r="H117">
            <v>-476908.04</v>
          </cell>
          <cell r="I117">
            <v>-440271.54</v>
          </cell>
          <cell r="J117">
            <v>-436960.49</v>
          </cell>
          <cell r="K117">
            <v>-431194.32</v>
          </cell>
          <cell r="L117">
            <v>-419661.01</v>
          </cell>
          <cell r="M117">
            <v>-447279.19</v>
          </cell>
          <cell r="N117">
            <v>-461896.2</v>
          </cell>
          <cell r="O117">
            <v>-454137.83</v>
          </cell>
          <cell r="P117">
            <v>-496630.24</v>
          </cell>
          <cell r="Q117">
            <v>-487004.77</v>
          </cell>
          <cell r="R117">
            <v>-450076.29</v>
          </cell>
          <cell r="S117">
            <v>-435811.7</v>
          </cell>
          <cell r="T117">
            <v>-430015.27</v>
          </cell>
          <cell r="U117">
            <v>-431218.19</v>
          </cell>
          <cell r="V117">
            <v>-416448.14</v>
          </cell>
          <cell r="W117">
            <v>-424156.58</v>
          </cell>
          <cell r="X117">
            <v>-430324.7</v>
          </cell>
          <cell r="Y117">
            <v>-418315.81</v>
          </cell>
          <cell r="Z117">
            <v>-421903.03</v>
          </cell>
          <cell r="AA117">
            <v>-428192.93</v>
          </cell>
          <cell r="AB117">
            <v>-483151.1</v>
          </cell>
          <cell r="AC117">
            <v>-460570.16</v>
          </cell>
          <cell r="AD117">
            <v>-461757.74</v>
          </cell>
          <cell r="AE117">
            <v>-450026.78</v>
          </cell>
          <cell r="AF117">
            <v>-440006.04</v>
          </cell>
          <cell r="AG117">
            <v>-427545.09</v>
          </cell>
          <cell r="AH117">
            <v>-419351.73</v>
          </cell>
          <cell r="AI117">
            <v>-405979.42</v>
          </cell>
          <cell r="AJ117">
            <v>-409123.49</v>
          </cell>
          <cell r="AK117">
            <v>-428536.34</v>
          </cell>
          <cell r="AL117">
            <v>-425153.35</v>
          </cell>
          <cell r="AM117">
            <v>-466232.1</v>
          </cell>
          <cell r="AN117">
            <v>-451036.08</v>
          </cell>
          <cell r="AO117">
            <v>-432789.14</v>
          </cell>
          <cell r="AP117">
            <v>-441487.68</v>
          </cell>
          <cell r="AQ117">
            <v>-403945.53</v>
          </cell>
          <cell r="AR117">
            <v>-399018.8</v>
          </cell>
          <cell r="AS117">
            <v>-390760.53</v>
          </cell>
          <cell r="AT117">
            <v>-387819.42</v>
          </cell>
          <cell r="AU117">
            <v>-403601.54</v>
          </cell>
          <cell r="AV117">
            <v>-364144.13</v>
          </cell>
          <cell r="AW117">
            <v>-395070.4</v>
          </cell>
          <cell r="AX117">
            <v>-419376.54</v>
          </cell>
          <cell r="AY117">
            <v>-563414.99</v>
          </cell>
          <cell r="AZ117">
            <v>-481004.2</v>
          </cell>
          <cell r="BA117">
            <v>-409931.39</v>
          </cell>
          <cell r="BB117">
            <v>-449243.71</v>
          </cell>
          <cell r="BC117">
            <v>-418790.44</v>
          </cell>
          <cell r="BD117">
            <v>-412764.26</v>
          </cell>
          <cell r="BE117">
            <v>-409035.31</v>
          </cell>
          <cell r="BF117">
            <v>-409418.81</v>
          </cell>
          <cell r="BG117">
            <v>-413538.49</v>
          </cell>
          <cell r="BH117">
            <v>-396633.17</v>
          </cell>
          <cell r="BI117">
            <v>-400171.62</v>
          </cell>
          <cell r="BJ117">
            <v>-399145.29</v>
          </cell>
          <cell r="BK117">
            <v>-423234.55</v>
          </cell>
          <cell r="BL117">
            <v>-444881.47</v>
          </cell>
          <cell r="BM117">
            <v>-232331.24</v>
          </cell>
          <cell r="BN117">
            <v>-252903.52</v>
          </cell>
          <cell r="BO117">
            <v>-234351.01</v>
          </cell>
          <cell r="BP117">
            <v>-221827.57</v>
          </cell>
          <cell r="BQ117">
            <v>-205803.28</v>
          </cell>
          <cell r="BR117">
            <v>-218658.51</v>
          </cell>
          <cell r="BS117">
            <v>-217094.43</v>
          </cell>
          <cell r="BT117">
            <v>-209945.97</v>
          </cell>
          <cell r="BU117">
            <v>-225321.78</v>
          </cell>
          <cell r="BV117">
            <v>-252303.85</v>
          </cell>
          <cell r="BW117">
            <v>-231892.55</v>
          </cell>
          <cell r="BX117">
            <v>-260242.92</v>
          </cell>
          <cell r="BY117">
            <v>-234084.45</v>
          </cell>
          <cell r="BZ117">
            <v>-210589.39</v>
          </cell>
          <cell r="CA117">
            <v>-248777.57</v>
          </cell>
          <cell r="CB117">
            <v>-309712.8</v>
          </cell>
          <cell r="CC117">
            <v>-184368.55</v>
          </cell>
          <cell r="CD117">
            <v>-246818.42</v>
          </cell>
          <cell r="CE117">
            <v>-231374.44</v>
          </cell>
          <cell r="CF117">
            <v>-231025.27</v>
          </cell>
          <cell r="CG117">
            <v>-262343.31</v>
          </cell>
          <cell r="CH117">
            <v>-238376.78</v>
          </cell>
          <cell r="CI117">
            <v>-271902.78000000003</v>
          </cell>
          <cell r="CJ117">
            <v>-346229.64</v>
          </cell>
          <cell r="CK117">
            <v>-323645.49</v>
          </cell>
          <cell r="CL117">
            <v>-347519.3</v>
          </cell>
          <cell r="CM117">
            <v>-316243.92</v>
          </cell>
          <cell r="CN117">
            <v>-307697.11</v>
          </cell>
          <cell r="CO117">
            <v>-293141.14</v>
          </cell>
          <cell r="CP117">
            <v>-289741.18</v>
          </cell>
          <cell r="CQ117">
            <v>-290710.59999999998</v>
          </cell>
          <cell r="CR117">
            <v>-288428.38</v>
          </cell>
          <cell r="CS117">
            <v>-279834.08</v>
          </cell>
          <cell r="CT117">
            <v>-288853.49</v>
          </cell>
          <cell r="CU117">
            <v>-279454.98</v>
          </cell>
          <cell r="CV117">
            <v>-356296.85</v>
          </cell>
          <cell r="CW117">
            <v>-298983.42</v>
          </cell>
          <cell r="CX117">
            <v>-331312.11</v>
          </cell>
          <cell r="CY117">
            <v>-351208.09</v>
          </cell>
          <cell r="CZ117">
            <v>-329321</v>
          </cell>
          <cell r="DA117">
            <v>-296117.98</v>
          </cell>
          <cell r="DB117">
            <v>-339044.54</v>
          </cell>
          <cell r="DC117">
            <v>-257987.98</v>
          </cell>
          <cell r="DD117">
            <v>-313896.98</v>
          </cell>
          <cell r="DE117">
            <v>-307881.43</v>
          </cell>
          <cell r="DF117">
            <v>-322622.09999999998</v>
          </cell>
          <cell r="DG117">
            <v>-346021.88</v>
          </cell>
        </row>
        <row r="118">
          <cell r="A118">
            <v>4893070</v>
          </cell>
          <cell r="B118">
            <v>4893070</v>
          </cell>
          <cell r="C118" t="str">
            <v>Intrpt Lg Vol1 Trnsp</v>
          </cell>
          <cell r="D118">
            <v>-709076.54</v>
          </cell>
          <cell r="E118">
            <v>-667305.18999999994</v>
          </cell>
          <cell r="F118">
            <v>-594203.28</v>
          </cell>
          <cell r="G118">
            <v>-659938.19999999995</v>
          </cell>
          <cell r="H118">
            <v>-633364.62</v>
          </cell>
          <cell r="I118">
            <v>-633504.18999999994</v>
          </cell>
          <cell r="J118">
            <v>-673197.75</v>
          </cell>
          <cell r="K118">
            <v>-652853.34</v>
          </cell>
          <cell r="L118">
            <v>-647313.92000000004</v>
          </cell>
          <cell r="M118">
            <v>-604848.86</v>
          </cell>
          <cell r="N118">
            <v>-526188.97</v>
          </cell>
          <cell r="O118">
            <v>-529007.73</v>
          </cell>
          <cell r="P118">
            <v>-577494.81000000006</v>
          </cell>
          <cell r="Q118">
            <v>-566076.23</v>
          </cell>
          <cell r="R118">
            <v>-620129.05000000005</v>
          </cell>
          <cell r="S118">
            <v>-638339.99</v>
          </cell>
          <cell r="T118">
            <v>-624575.13</v>
          </cell>
          <cell r="U118">
            <v>-799680.82</v>
          </cell>
          <cell r="V118">
            <v>-685490.34</v>
          </cell>
          <cell r="W118">
            <v>-699002.41</v>
          </cell>
          <cell r="X118">
            <v>-757601.55</v>
          </cell>
          <cell r="Y118">
            <v>-762299.45</v>
          </cell>
          <cell r="Z118">
            <v>-712985.92</v>
          </cell>
          <cell r="AA118">
            <v>-556569.56000000006</v>
          </cell>
          <cell r="AB118">
            <v>-592442.88</v>
          </cell>
          <cell r="AC118">
            <v>-559249.38</v>
          </cell>
          <cell r="AD118">
            <v>-653853.81999999995</v>
          </cell>
          <cell r="AE118">
            <v>-697600.61</v>
          </cell>
          <cell r="AF118">
            <v>-743559.93</v>
          </cell>
          <cell r="AG118">
            <v>-689815.61</v>
          </cell>
          <cell r="AH118">
            <v>-734956.03</v>
          </cell>
          <cell r="AI118">
            <v>-712430.78</v>
          </cell>
          <cell r="AJ118">
            <v>-759340.47</v>
          </cell>
          <cell r="AK118">
            <v>-673846.38</v>
          </cell>
          <cell r="AL118">
            <v>-687767.74</v>
          </cell>
          <cell r="AM118">
            <v>-539033.11</v>
          </cell>
          <cell r="AN118">
            <v>-591232.04</v>
          </cell>
          <cell r="AO118">
            <v>-578847.51</v>
          </cell>
          <cell r="AP118">
            <v>-626224.15</v>
          </cell>
          <cell r="AQ118">
            <v>-641536.9</v>
          </cell>
          <cell r="AR118">
            <v>-726815</v>
          </cell>
          <cell r="AS118">
            <v>-757827.81</v>
          </cell>
          <cell r="AT118">
            <v>-290868.14</v>
          </cell>
          <cell r="AU118">
            <v>-334610.28999999998</v>
          </cell>
          <cell r="AV118">
            <v>-440164.14</v>
          </cell>
          <cell r="AW118">
            <v>-390157</v>
          </cell>
          <cell r="AX118">
            <v>-813742.35</v>
          </cell>
          <cell r="AY118">
            <v>35609.339999999997</v>
          </cell>
          <cell r="AZ118">
            <v>-388530.27</v>
          </cell>
          <cell r="BA118">
            <v>-372462.53</v>
          </cell>
          <cell r="BB118">
            <v>-392270.98</v>
          </cell>
          <cell r="BC118">
            <v>-410858.62</v>
          </cell>
          <cell r="BD118">
            <v>-381530.37</v>
          </cell>
          <cell r="BE118">
            <v>-376276.36</v>
          </cell>
          <cell r="BF118">
            <v>-367962.47</v>
          </cell>
          <cell r="BG118">
            <v>-340408.55</v>
          </cell>
          <cell r="BH118">
            <v>-339527.37</v>
          </cell>
          <cell r="BI118">
            <v>-351206.28</v>
          </cell>
          <cell r="BJ118">
            <v>-376564.4</v>
          </cell>
          <cell r="BK118">
            <v>-357196.29</v>
          </cell>
          <cell r="BL118">
            <v>-403887.19</v>
          </cell>
          <cell r="BM118">
            <v>-343534.62</v>
          </cell>
          <cell r="BN118">
            <v>-330691.73</v>
          </cell>
          <cell r="BO118">
            <v>-357726.6</v>
          </cell>
          <cell r="BP118">
            <v>-348456.48</v>
          </cell>
          <cell r="BQ118">
            <v>-271999.35999999999</v>
          </cell>
          <cell r="BR118">
            <v>-316543.56</v>
          </cell>
          <cell r="BS118">
            <v>-209983.07</v>
          </cell>
          <cell r="BT118">
            <v>-419220.97</v>
          </cell>
          <cell r="BU118">
            <v>-353491.52</v>
          </cell>
          <cell r="BV118">
            <v>-353319.59</v>
          </cell>
          <cell r="BW118">
            <v>-409461.54</v>
          </cell>
          <cell r="BX118">
            <v>-401487.39</v>
          </cell>
          <cell r="BY118">
            <v>-387590.22</v>
          </cell>
          <cell r="BZ118">
            <v>-319867.67</v>
          </cell>
          <cell r="CA118">
            <v>-447278.77</v>
          </cell>
          <cell r="CB118">
            <v>-461157.72</v>
          </cell>
          <cell r="CC118">
            <v>-323948.03999999998</v>
          </cell>
          <cell r="CD118">
            <v>-312571.38</v>
          </cell>
          <cell r="CE118">
            <v>-400566.51</v>
          </cell>
          <cell r="CF118">
            <v>-383293.55</v>
          </cell>
          <cell r="CG118">
            <v>-392798.26</v>
          </cell>
          <cell r="CH118">
            <v>-404174.99</v>
          </cell>
          <cell r="CI118">
            <v>-392234.14</v>
          </cell>
          <cell r="CJ118">
            <v>-429329.34</v>
          </cell>
          <cell r="CK118">
            <v>-415632.55</v>
          </cell>
          <cell r="CL118">
            <v>-565423.07999999996</v>
          </cell>
          <cell r="CM118">
            <v>-826124.39</v>
          </cell>
          <cell r="CN118">
            <v>-269593.39</v>
          </cell>
          <cell r="CO118">
            <v>-510389.13</v>
          </cell>
          <cell r="CP118">
            <v>-493050</v>
          </cell>
          <cell r="CQ118">
            <v>-468802.25</v>
          </cell>
          <cell r="CR118">
            <v>-441228.72</v>
          </cell>
          <cell r="CS118">
            <v>-493307.64</v>
          </cell>
          <cell r="CT118">
            <v>-460213.59</v>
          </cell>
          <cell r="CU118">
            <v>-540710.57999999996</v>
          </cell>
          <cell r="CV118">
            <v>-648512.02</v>
          </cell>
          <cell r="CW118">
            <v>-544673.01</v>
          </cell>
          <cell r="CX118">
            <v>-652403.49</v>
          </cell>
          <cell r="CY118">
            <v>-570640.93000000005</v>
          </cell>
          <cell r="CZ118">
            <v>-499470.53</v>
          </cell>
          <cell r="DA118">
            <v>-492176.5</v>
          </cell>
          <cell r="DB118">
            <v>-510610.54</v>
          </cell>
          <cell r="DC118">
            <v>-565909.54</v>
          </cell>
          <cell r="DD118">
            <v>-435278.21</v>
          </cell>
          <cell r="DE118">
            <v>-542204.18999999994</v>
          </cell>
          <cell r="DF118">
            <v>-433534.63</v>
          </cell>
          <cell r="DG118">
            <v>-668130.61</v>
          </cell>
        </row>
        <row r="119">
          <cell r="A119">
            <v>4893080</v>
          </cell>
          <cell r="B119">
            <v>4893080</v>
          </cell>
          <cell r="C119" t="str">
            <v>Intrpt Lg Vol2 Trnsp</v>
          </cell>
          <cell r="D119">
            <v>-789137.07</v>
          </cell>
          <cell r="E119">
            <v>-497925.9</v>
          </cell>
          <cell r="F119">
            <v>-680849.44</v>
          </cell>
          <cell r="G119">
            <v>-497491.20000000001</v>
          </cell>
          <cell r="H119">
            <v>-549589</v>
          </cell>
          <cell r="I119">
            <v>-574242.71</v>
          </cell>
          <cell r="J119">
            <v>-614330.89</v>
          </cell>
          <cell r="K119">
            <v>-606208.63</v>
          </cell>
          <cell r="L119">
            <v>-493838.62</v>
          </cell>
          <cell r="M119">
            <v>-469749.23</v>
          </cell>
          <cell r="N119">
            <v>-547274.43000000005</v>
          </cell>
          <cell r="O119">
            <v>-267649.39</v>
          </cell>
          <cell r="P119">
            <v>-794409.93</v>
          </cell>
          <cell r="Q119">
            <v>-628707.97</v>
          </cell>
          <cell r="R119">
            <v>-574505.99</v>
          </cell>
          <cell r="S119">
            <v>-577904.38</v>
          </cell>
          <cell r="T119">
            <v>-663151.98</v>
          </cell>
          <cell r="U119">
            <v>-579620.73</v>
          </cell>
          <cell r="V119">
            <v>-567052.07999999996</v>
          </cell>
          <cell r="W119">
            <v>-531546.43000000005</v>
          </cell>
          <cell r="X119">
            <v>-517334.14</v>
          </cell>
          <cell r="Y119">
            <v>-525344.56999999995</v>
          </cell>
          <cell r="Z119">
            <v>-447728.22</v>
          </cell>
          <cell r="AA119">
            <v>-568003.55000000005</v>
          </cell>
          <cell r="AB119">
            <v>-866349.32</v>
          </cell>
          <cell r="AC119">
            <v>-715339.17</v>
          </cell>
          <cell r="AD119">
            <v>-485266.15</v>
          </cell>
          <cell r="AE119">
            <v>145596.84</v>
          </cell>
          <cell r="AF119">
            <v>477290.71</v>
          </cell>
          <cell r="AG119">
            <v>-663294.97</v>
          </cell>
          <cell r="AH119">
            <v>-705982.64</v>
          </cell>
          <cell r="AI119">
            <v>-519452</v>
          </cell>
          <cell r="AJ119">
            <v>-484968.04</v>
          </cell>
          <cell r="AK119">
            <v>-520494.43</v>
          </cell>
          <cell r="AL119">
            <v>-309826.8</v>
          </cell>
          <cell r="AM119">
            <v>-647100.79</v>
          </cell>
          <cell r="AN119">
            <v>-35861.949999999997</v>
          </cell>
          <cell r="AO119">
            <v>-36000</v>
          </cell>
          <cell r="AP119">
            <v>-36000</v>
          </cell>
          <cell r="AQ119">
            <v>-36000</v>
          </cell>
          <cell r="AR119">
            <v>-36000</v>
          </cell>
          <cell r="AS119">
            <v>-36000</v>
          </cell>
          <cell r="AT119">
            <v>-36000</v>
          </cell>
          <cell r="AU119">
            <v>-33612.39</v>
          </cell>
          <cell r="AV119">
            <v>-35109.61</v>
          </cell>
          <cell r="AW119">
            <v>-38387.61</v>
          </cell>
          <cell r="AX119">
            <v>394854.38</v>
          </cell>
          <cell r="AY119">
            <v>-469564.09</v>
          </cell>
          <cell r="AZ119">
            <v>-37191.519999999997</v>
          </cell>
          <cell r="BA119">
            <v>-41989.62</v>
          </cell>
          <cell r="BB119">
            <v>-36730.04</v>
          </cell>
          <cell r="BC119">
            <v>-38957.47</v>
          </cell>
          <cell r="BD119">
            <v>-46528.78</v>
          </cell>
          <cell r="BE119">
            <v>-40563.040000000001</v>
          </cell>
          <cell r="BF119">
            <v>-36000</v>
          </cell>
          <cell r="BG119">
            <v>-51130.23</v>
          </cell>
          <cell r="BH119">
            <v>-44768.38</v>
          </cell>
          <cell r="BI119">
            <v>-47502.8</v>
          </cell>
          <cell r="BJ119">
            <v>-45954.720000000001</v>
          </cell>
          <cell r="BK119">
            <v>-234980.03</v>
          </cell>
          <cell r="BL119">
            <v>-46719.45</v>
          </cell>
          <cell r="BM119">
            <v>10719.45</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cell r="CH119"/>
          <cell r="CI119"/>
          <cell r="CJ119"/>
          <cell r="CK119"/>
          <cell r="CL119"/>
          <cell r="CM119"/>
          <cell r="CN119"/>
          <cell r="CO119"/>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row>
        <row r="120">
          <cell r="A120">
            <v>4893090</v>
          </cell>
          <cell r="B120">
            <v>4893090</v>
          </cell>
          <cell r="C120" t="str">
            <v>Intrpt Con Svc Trnsp</v>
          </cell>
          <cell r="D120"/>
          <cell r="E120"/>
          <cell r="F120"/>
          <cell r="G120"/>
          <cell r="H120"/>
          <cell r="I120"/>
          <cell r="J120"/>
          <cell r="K120"/>
          <cell r="L120"/>
          <cell r="M120"/>
          <cell r="N120"/>
          <cell r="O120"/>
          <cell r="P120"/>
          <cell r="Q120"/>
          <cell r="R120"/>
          <cell r="S120"/>
          <cell r="T120"/>
          <cell r="U120"/>
          <cell r="V120"/>
          <cell r="W120"/>
          <cell r="X120"/>
          <cell r="Y120"/>
          <cell r="Z120"/>
          <cell r="AA120"/>
          <cell r="AB120"/>
          <cell r="AC120"/>
          <cell r="AD120"/>
          <cell r="AE120"/>
          <cell r="AF120"/>
          <cell r="AG120"/>
          <cell r="AH120"/>
          <cell r="AI120"/>
          <cell r="AJ120"/>
          <cell r="AK120"/>
          <cell r="AL120"/>
          <cell r="AM120"/>
          <cell r="AN120">
            <v>-466654.27</v>
          </cell>
          <cell r="AO120">
            <v>-394539.45</v>
          </cell>
          <cell r="AP120">
            <v>-554465.63</v>
          </cell>
          <cell r="AQ120">
            <v>-634305.98</v>
          </cell>
          <cell r="AR120">
            <v>-675985.8</v>
          </cell>
          <cell r="AS120">
            <v>-636059.61</v>
          </cell>
          <cell r="AT120">
            <v>-1052232.94</v>
          </cell>
          <cell r="AU120">
            <v>-1010769.12</v>
          </cell>
          <cell r="AV120">
            <v>-725543.42</v>
          </cell>
          <cell r="AW120">
            <v>-863130.43</v>
          </cell>
          <cell r="AX120">
            <v>-810940.23</v>
          </cell>
          <cell r="AY120">
            <v>-974725.78</v>
          </cell>
          <cell r="AZ120">
            <v>-836852.86</v>
          </cell>
          <cell r="BA120">
            <v>-816206.95</v>
          </cell>
          <cell r="BB120">
            <v>-991175.84</v>
          </cell>
          <cell r="BC120">
            <v>-984965.22</v>
          </cell>
          <cell r="BD120">
            <v>-1088467.31</v>
          </cell>
          <cell r="BE120">
            <v>-1014759.98</v>
          </cell>
          <cell r="BF120">
            <v>-999056.37</v>
          </cell>
          <cell r="BG120">
            <v>-879595.98</v>
          </cell>
          <cell r="BH120">
            <v>-931980.83</v>
          </cell>
          <cell r="BI120">
            <v>-909430.68</v>
          </cell>
          <cell r="BJ120">
            <v>-841804.4</v>
          </cell>
          <cell r="BK120">
            <v>-738268.85</v>
          </cell>
          <cell r="BL120">
            <v>-844108.6</v>
          </cell>
          <cell r="BM120">
            <v>-1059129.3500000001</v>
          </cell>
          <cell r="BN120">
            <v>-1322565.29</v>
          </cell>
          <cell r="BO120">
            <v>-1405078.75</v>
          </cell>
          <cell r="BP120">
            <v>-1455993.49</v>
          </cell>
          <cell r="BQ120">
            <v>-1349730.52</v>
          </cell>
          <cell r="BR120">
            <v>-1181847.51</v>
          </cell>
          <cell r="BS120">
            <v>-1140673.3500000001</v>
          </cell>
          <cell r="BT120">
            <v>-1153446.3400000001</v>
          </cell>
          <cell r="BU120">
            <v>-1259815.1499999999</v>
          </cell>
          <cell r="BV120">
            <v>-1207129.02</v>
          </cell>
          <cell r="BW120">
            <v>-974343.22</v>
          </cell>
          <cell r="BX120">
            <v>-1253806.6599999999</v>
          </cell>
          <cell r="BY120">
            <v>-1149832.68</v>
          </cell>
          <cell r="BZ120">
            <v>-1488391.12</v>
          </cell>
          <cell r="CA120">
            <v>-1465415.3</v>
          </cell>
          <cell r="CB120">
            <v>-1537838.83</v>
          </cell>
          <cell r="CC120">
            <v>-1400969.26</v>
          </cell>
          <cell r="CD120">
            <v>-1287614.18</v>
          </cell>
          <cell r="CE120">
            <v>-1321797.8999999999</v>
          </cell>
          <cell r="CF120">
            <v>-1376810.97</v>
          </cell>
          <cell r="CG120">
            <v>-1387730.97</v>
          </cell>
          <cell r="CH120">
            <v>-1270542.3600000001</v>
          </cell>
          <cell r="CI120">
            <v>-1186111.57</v>
          </cell>
          <cell r="CJ120">
            <v>-1356081.42</v>
          </cell>
          <cell r="CK120">
            <v>-1199098.6399999999</v>
          </cell>
          <cell r="CL120">
            <v>-1364601.87</v>
          </cell>
          <cell r="CM120">
            <v>-1123822.6299999999</v>
          </cell>
          <cell r="CN120">
            <v>-1704139.42</v>
          </cell>
          <cell r="CO120">
            <v>-1305661.18</v>
          </cell>
          <cell r="CP120">
            <v>-1310658.44</v>
          </cell>
          <cell r="CQ120">
            <v>-1230416.29</v>
          </cell>
          <cell r="CR120">
            <v>-1237458.95</v>
          </cell>
          <cell r="CS120">
            <v>-1312413.04</v>
          </cell>
          <cell r="CT120">
            <v>-1394456.87</v>
          </cell>
          <cell r="CU120">
            <v>-1217184.3899999999</v>
          </cell>
          <cell r="CV120">
            <v>-1407574.84</v>
          </cell>
          <cell r="CW120">
            <v>-1323278.2</v>
          </cell>
          <cell r="CX120">
            <v>-1351601.95</v>
          </cell>
          <cell r="CY120">
            <v>-1956358.28</v>
          </cell>
          <cell r="CZ120">
            <v>-1991052.4</v>
          </cell>
          <cell r="DA120">
            <v>-1573794.39</v>
          </cell>
          <cell r="DB120">
            <v>-1455889.24</v>
          </cell>
          <cell r="DC120">
            <v>-1418943.33</v>
          </cell>
          <cell r="DD120">
            <v>-1442318.89</v>
          </cell>
          <cell r="DE120">
            <v>-1987990.95</v>
          </cell>
          <cell r="DF120">
            <v>-2001245.65</v>
          </cell>
          <cell r="DG120">
            <v>-1853630.74</v>
          </cell>
        </row>
        <row r="121">
          <cell r="A121">
            <v>4930000</v>
          </cell>
          <cell r="B121">
            <v>4930000</v>
          </cell>
          <cell r="C121" t="str">
            <v>Rent Revenue</v>
          </cell>
          <cell r="D121">
            <v>-5300</v>
          </cell>
          <cell r="E121">
            <v>-4300</v>
          </cell>
          <cell r="F121">
            <v>-2300</v>
          </cell>
          <cell r="G121">
            <v>-76987.39</v>
          </cell>
          <cell r="H121">
            <v>-2300</v>
          </cell>
          <cell r="I121">
            <v>-2300</v>
          </cell>
          <cell r="J121">
            <v>-5300</v>
          </cell>
          <cell r="K121">
            <v>-2300</v>
          </cell>
          <cell r="L121">
            <v>-2300</v>
          </cell>
          <cell r="M121">
            <v>-2300</v>
          </cell>
          <cell r="N121">
            <v>-2300</v>
          </cell>
          <cell r="O121">
            <v>-5300</v>
          </cell>
          <cell r="P121">
            <v>-2583.83</v>
          </cell>
          <cell r="Q121">
            <v>-4405</v>
          </cell>
          <cell r="R121">
            <v>-2400</v>
          </cell>
          <cell r="S121">
            <v>-2300</v>
          </cell>
          <cell r="T121">
            <v>-76182.539999999994</v>
          </cell>
          <cell r="U121">
            <v>-5400</v>
          </cell>
          <cell r="V121">
            <v>-2400</v>
          </cell>
          <cell r="W121">
            <v>-2243.1999999999998</v>
          </cell>
          <cell r="X121">
            <v>-2243.1999999999998</v>
          </cell>
          <cell r="Y121">
            <v>-2243.1999999999998</v>
          </cell>
          <cell r="Z121">
            <v>-2243.1999999999998</v>
          </cell>
          <cell r="AA121">
            <v>-2243.1999999999998</v>
          </cell>
          <cell r="AB121">
            <v>-5047.0600000000004</v>
          </cell>
          <cell r="AC121">
            <v>-2243.1999999999998</v>
          </cell>
          <cell r="AD121">
            <v>-2243.1999999999998</v>
          </cell>
          <cell r="AE121">
            <v>-10582.84</v>
          </cell>
          <cell r="AF121">
            <v>-86285.86</v>
          </cell>
          <cell r="AG121">
            <v>-2243.1999999999998</v>
          </cell>
          <cell r="AH121">
            <v>-11981.55</v>
          </cell>
          <cell r="AI121">
            <v>-9177.82</v>
          </cell>
          <cell r="AJ121">
            <v>-9177.82</v>
          </cell>
          <cell r="AK121">
            <v>-9177.82</v>
          </cell>
          <cell r="AL121">
            <v>-11981.56</v>
          </cell>
          <cell r="AM121">
            <v>-9177.83</v>
          </cell>
          <cell r="AN121">
            <v>-10377.83</v>
          </cell>
          <cell r="AO121">
            <v>-11177.83</v>
          </cell>
          <cell r="AP121">
            <v>-13149.08</v>
          </cell>
          <cell r="AQ121">
            <v>-9177.83</v>
          </cell>
          <cell r="AR121">
            <v>-93048.11</v>
          </cell>
          <cell r="AS121">
            <v>-9177.83</v>
          </cell>
          <cell r="AT121">
            <v>-4953.26</v>
          </cell>
          <cell r="AU121">
            <v>-2149.5300000000002</v>
          </cell>
          <cell r="AV121">
            <v>-2149.5300000000002</v>
          </cell>
          <cell r="AW121">
            <v>-2149.5300000000002</v>
          </cell>
          <cell r="AX121">
            <v>-4953.26</v>
          </cell>
          <cell r="AY121">
            <v>-2149.5300000000002</v>
          </cell>
          <cell r="AZ121">
            <v>-2149.5300000000002</v>
          </cell>
          <cell r="BA121">
            <v>-2149.5300000000002</v>
          </cell>
          <cell r="BB121">
            <v>-2507.31</v>
          </cell>
          <cell r="BC121">
            <v>-2149.5300000000002</v>
          </cell>
          <cell r="BD121">
            <v>-85655.03</v>
          </cell>
          <cell r="BE121">
            <v>-4953.26</v>
          </cell>
          <cell r="BF121">
            <v>-2149.5300000000002</v>
          </cell>
          <cell r="BG121">
            <v>-2149.5300000000002</v>
          </cell>
          <cell r="BH121">
            <v>-2149.5300000000002</v>
          </cell>
          <cell r="BI121">
            <v>-2149.5300000000002</v>
          </cell>
          <cell r="BJ121">
            <v>-2149.5300000000002</v>
          </cell>
          <cell r="BK121">
            <v>-2149.5300000000002</v>
          </cell>
          <cell r="BL121">
            <v>-4953.26</v>
          </cell>
          <cell r="BM121">
            <v>-2000</v>
          </cell>
          <cell r="BN121">
            <v>-205.79</v>
          </cell>
          <cell r="BO121">
            <v>0</v>
          </cell>
          <cell r="BP121">
            <v>0</v>
          </cell>
          <cell r="BQ121">
            <v>-102062.03</v>
          </cell>
          <cell r="BR121">
            <v>0</v>
          </cell>
          <cell r="BS121">
            <v>-3951.46</v>
          </cell>
          <cell r="BT121">
            <v>0</v>
          </cell>
          <cell r="BU121">
            <v>0</v>
          </cell>
          <cell r="BV121">
            <v>0</v>
          </cell>
          <cell r="BW121">
            <v>0</v>
          </cell>
          <cell r="BX121">
            <v>-2803.73</v>
          </cell>
          <cell r="BY121">
            <v>-2000</v>
          </cell>
          <cell r="BZ121">
            <v>0</v>
          </cell>
          <cell r="CA121">
            <v>0</v>
          </cell>
          <cell r="CB121">
            <v>-106541.55</v>
          </cell>
          <cell r="CC121">
            <v>0</v>
          </cell>
          <cell r="CD121">
            <v>-2803.73</v>
          </cell>
          <cell r="CE121">
            <v>0</v>
          </cell>
          <cell r="CF121">
            <v>0</v>
          </cell>
          <cell r="CG121">
            <v>0</v>
          </cell>
          <cell r="CH121">
            <v>0</v>
          </cell>
          <cell r="CI121">
            <v>0</v>
          </cell>
          <cell r="CJ121">
            <v>-2803.73</v>
          </cell>
          <cell r="CK121">
            <v>-2000</v>
          </cell>
          <cell r="CL121">
            <v>0</v>
          </cell>
          <cell r="CM121">
            <v>0</v>
          </cell>
          <cell r="CN121">
            <v>-108531.81</v>
          </cell>
          <cell r="CO121">
            <v>0</v>
          </cell>
          <cell r="CP121">
            <v>-2803.74</v>
          </cell>
          <cell r="CQ121">
            <v>0</v>
          </cell>
          <cell r="CR121">
            <v>0</v>
          </cell>
          <cell r="CS121">
            <v>0</v>
          </cell>
          <cell r="CT121">
            <v>0</v>
          </cell>
          <cell r="CU121">
            <v>0</v>
          </cell>
          <cell r="CV121">
            <v>-2803.74</v>
          </cell>
          <cell r="CW121">
            <v>-2000</v>
          </cell>
          <cell r="CX121">
            <v>0</v>
          </cell>
          <cell r="CY121">
            <v>0</v>
          </cell>
          <cell r="CZ121">
            <v>-117796</v>
          </cell>
          <cell r="DA121">
            <v>0</v>
          </cell>
          <cell r="DB121">
            <v>-2803.74</v>
          </cell>
          <cell r="DC121">
            <v>0</v>
          </cell>
          <cell r="DD121">
            <v>0</v>
          </cell>
          <cell r="DE121">
            <v>0</v>
          </cell>
          <cell r="DF121">
            <v>0</v>
          </cell>
          <cell r="DG121">
            <v>0</v>
          </cell>
        </row>
        <row r="122">
          <cell r="A122">
            <v>4930700</v>
          </cell>
          <cell r="B122">
            <v>4930700</v>
          </cell>
          <cell r="C122" t="str">
            <v>IC Rent Revenue</v>
          </cell>
          <cell r="D122">
            <v>-23554.44</v>
          </cell>
          <cell r="E122">
            <v>-23554.44</v>
          </cell>
          <cell r="F122">
            <v>-23554.44</v>
          </cell>
          <cell r="G122">
            <v>-23554.44</v>
          </cell>
          <cell r="H122">
            <v>-23554.44</v>
          </cell>
          <cell r="I122">
            <v>-23554.44</v>
          </cell>
          <cell r="J122">
            <v>-23554.44</v>
          </cell>
          <cell r="K122">
            <v>-23554.44</v>
          </cell>
          <cell r="L122">
            <v>-23554.44</v>
          </cell>
          <cell r="M122">
            <v>-23554.44</v>
          </cell>
          <cell r="N122">
            <v>-23554.44</v>
          </cell>
          <cell r="O122">
            <v>-23554.44</v>
          </cell>
          <cell r="P122">
            <v>-23554.44</v>
          </cell>
          <cell r="Q122">
            <v>-23554.44</v>
          </cell>
          <cell r="R122">
            <v>-23554.44</v>
          </cell>
          <cell r="S122">
            <v>-23554.44</v>
          </cell>
          <cell r="T122">
            <v>-23554.44</v>
          </cell>
          <cell r="U122">
            <v>-23554.44</v>
          </cell>
          <cell r="V122">
            <v>-23554.44</v>
          </cell>
          <cell r="W122">
            <v>-23554.44</v>
          </cell>
          <cell r="X122">
            <v>-17541</v>
          </cell>
          <cell r="Y122">
            <v>-17541</v>
          </cell>
          <cell r="Z122">
            <v>-17541</v>
          </cell>
          <cell r="AA122">
            <v>-17541</v>
          </cell>
          <cell r="AB122">
            <v>-17541</v>
          </cell>
          <cell r="AC122">
            <v>-17541</v>
          </cell>
          <cell r="AD122">
            <v>-17541</v>
          </cell>
          <cell r="AE122">
            <v>-17541</v>
          </cell>
          <cell r="AF122">
            <v>-17541</v>
          </cell>
          <cell r="AG122">
            <v>-17541</v>
          </cell>
          <cell r="AH122">
            <v>-17541</v>
          </cell>
          <cell r="AI122">
            <v>-17541</v>
          </cell>
          <cell r="AJ122">
            <v>-17541</v>
          </cell>
          <cell r="AK122">
            <v>-17541</v>
          </cell>
          <cell r="AL122">
            <v>-17541</v>
          </cell>
          <cell r="AM122">
            <v>-17541</v>
          </cell>
          <cell r="AN122">
            <v>-17541</v>
          </cell>
          <cell r="AO122">
            <v>-17541</v>
          </cell>
          <cell r="AP122">
            <v>-17541</v>
          </cell>
          <cell r="AQ122">
            <v>-17541</v>
          </cell>
          <cell r="AR122">
            <v>-17541</v>
          </cell>
          <cell r="AS122">
            <v>-17541</v>
          </cell>
          <cell r="AT122">
            <v>-17541</v>
          </cell>
          <cell r="AU122">
            <v>-17541</v>
          </cell>
          <cell r="AV122">
            <v>-17541</v>
          </cell>
          <cell r="AW122">
            <v>-17541</v>
          </cell>
          <cell r="AX122">
            <v>-17541</v>
          </cell>
          <cell r="AY122">
            <v>-17541</v>
          </cell>
          <cell r="AZ122">
            <v>-17541</v>
          </cell>
          <cell r="BA122">
            <v>-17541</v>
          </cell>
          <cell r="BB122">
            <v>-17541</v>
          </cell>
          <cell r="BC122">
            <v>-17541</v>
          </cell>
          <cell r="BD122">
            <v>-17541</v>
          </cell>
          <cell r="BE122">
            <v>-17541</v>
          </cell>
          <cell r="BF122">
            <v>-17541</v>
          </cell>
          <cell r="BG122">
            <v>-17541</v>
          </cell>
          <cell r="BH122">
            <v>-17541</v>
          </cell>
          <cell r="BI122">
            <v>-17541</v>
          </cell>
          <cell r="BJ122">
            <v>-17541</v>
          </cell>
          <cell r="BK122">
            <v>-17541</v>
          </cell>
          <cell r="BL122">
            <v>-7684</v>
          </cell>
          <cell r="BM122">
            <v>-7684</v>
          </cell>
          <cell r="BN122">
            <v>-7684</v>
          </cell>
          <cell r="BO122">
            <v>-7684</v>
          </cell>
          <cell r="BP122">
            <v>-7684</v>
          </cell>
          <cell r="BQ122">
            <v>-7684</v>
          </cell>
          <cell r="BR122">
            <v>-7684</v>
          </cell>
          <cell r="BS122">
            <v>-7684</v>
          </cell>
          <cell r="BT122">
            <v>-7684</v>
          </cell>
          <cell r="BU122">
            <v>-7684</v>
          </cell>
          <cell r="BV122">
            <v>-7684</v>
          </cell>
          <cell r="BW122">
            <v>-7684</v>
          </cell>
          <cell r="BX122">
            <v>-7684</v>
          </cell>
          <cell r="BY122">
            <v>-7684</v>
          </cell>
          <cell r="BZ122">
            <v>-7684</v>
          </cell>
          <cell r="CA122">
            <v>-7684</v>
          </cell>
          <cell r="CB122">
            <v>-7684</v>
          </cell>
          <cell r="CC122">
            <v>-7684</v>
          </cell>
          <cell r="CD122">
            <v>-7684</v>
          </cell>
          <cell r="CE122">
            <v>-7684</v>
          </cell>
          <cell r="CF122">
            <v>-7684</v>
          </cell>
          <cell r="CG122">
            <v>-7684</v>
          </cell>
          <cell r="CH122">
            <v>-7684</v>
          </cell>
          <cell r="CI122">
            <v>-7684</v>
          </cell>
          <cell r="CJ122">
            <v>-7684</v>
          </cell>
          <cell r="CK122">
            <v>-7684</v>
          </cell>
          <cell r="CL122">
            <v>-7684</v>
          </cell>
          <cell r="CM122">
            <v>-7684</v>
          </cell>
          <cell r="CN122">
            <v>-7684</v>
          </cell>
          <cell r="CO122">
            <v>-7684</v>
          </cell>
          <cell r="CP122">
            <v>-7684</v>
          </cell>
          <cell r="CQ122">
            <v>-7684</v>
          </cell>
          <cell r="CR122">
            <v>-7684</v>
          </cell>
          <cell r="CS122">
            <v>-7684</v>
          </cell>
          <cell r="CT122">
            <v>-7684</v>
          </cell>
          <cell r="CU122">
            <v>-7684</v>
          </cell>
          <cell r="CV122">
            <v>-7684</v>
          </cell>
          <cell r="CW122">
            <v>-7684</v>
          </cell>
          <cell r="CX122">
            <v>-7684</v>
          </cell>
          <cell r="CY122">
            <v>-7684</v>
          </cell>
          <cell r="CZ122">
            <v>-7684</v>
          </cell>
          <cell r="DA122">
            <v>-7684</v>
          </cell>
          <cell r="DB122">
            <v>-7684</v>
          </cell>
          <cell r="DC122">
            <v>-7684</v>
          </cell>
          <cell r="DD122">
            <v>-7684</v>
          </cell>
          <cell r="DE122">
            <v>-7684</v>
          </cell>
          <cell r="DF122">
            <v>-7684</v>
          </cell>
          <cell r="DG122">
            <v>-7684</v>
          </cell>
        </row>
        <row r="123">
          <cell r="A123">
            <v>4950203</v>
          </cell>
          <cell r="B123">
            <v>4950203</v>
          </cell>
          <cell r="C123" t="str">
            <v>OthRev-EnergyConserv</v>
          </cell>
          <cell r="D123">
            <v>-1549250.45</v>
          </cell>
          <cell r="E123">
            <v>-1623259.76</v>
          </cell>
          <cell r="F123">
            <v>-1335215.47</v>
          </cell>
          <cell r="G123">
            <v>-1188737.49</v>
          </cell>
          <cell r="H123">
            <v>-976794.97</v>
          </cell>
          <cell r="I123">
            <v>-932785.45</v>
          </cell>
          <cell r="J123">
            <v>-847463.24</v>
          </cell>
          <cell r="K123">
            <v>-775059.97</v>
          </cell>
          <cell r="L123">
            <v>-831360.03</v>
          </cell>
          <cell r="M123">
            <v>-869635.27</v>
          </cell>
          <cell r="N123">
            <v>-995788.41</v>
          </cell>
          <cell r="O123">
            <v>-1315195.6399999999</v>
          </cell>
          <cell r="P123">
            <v>-1664229.92</v>
          </cell>
          <cell r="Q123">
            <v>-1725776.62</v>
          </cell>
          <cell r="R123">
            <v>-1673290.71</v>
          </cell>
          <cell r="S123">
            <v>-1229117.07</v>
          </cell>
          <cell r="T123">
            <v>-975666.7</v>
          </cell>
          <cell r="U123">
            <v>-1002205.77</v>
          </cell>
          <cell r="V123">
            <v>-912708.83</v>
          </cell>
          <cell r="W123">
            <v>-928091.8</v>
          </cell>
          <cell r="X123">
            <v>-891243.46</v>
          </cell>
          <cell r="Y123">
            <v>-927213.1</v>
          </cell>
          <cell r="Z123">
            <v>-1021815.52</v>
          </cell>
          <cell r="AA123">
            <v>-1208624.43</v>
          </cell>
          <cell r="AB123">
            <v>-1198343.2</v>
          </cell>
          <cell r="AC123">
            <v>-1351333.36</v>
          </cell>
          <cell r="AD123">
            <v>-1165896.1399999999</v>
          </cell>
          <cell r="AE123">
            <v>-994559.98</v>
          </cell>
          <cell r="AF123">
            <v>-867720.71</v>
          </cell>
          <cell r="AG123">
            <v>-775616.31</v>
          </cell>
          <cell r="AH123">
            <v>-723092.11</v>
          </cell>
          <cell r="AI123">
            <v>-667736.4</v>
          </cell>
          <cell r="AJ123">
            <v>-709221.41</v>
          </cell>
          <cell r="AK123">
            <v>-711384.4</v>
          </cell>
          <cell r="AL123">
            <v>-835820.76</v>
          </cell>
          <cell r="AM123">
            <v>-1011650.27</v>
          </cell>
          <cell r="AN123">
            <v>-1348015.55</v>
          </cell>
          <cell r="AO123">
            <v>-1266415.22</v>
          </cell>
          <cell r="AP123">
            <v>-1184675.03</v>
          </cell>
          <cell r="AQ123">
            <v>-1151187.1599999999</v>
          </cell>
          <cell r="AR123">
            <v>-1006057.14</v>
          </cell>
          <cell r="AS123">
            <v>-877961.3</v>
          </cell>
          <cell r="AT123">
            <v>-808505.35</v>
          </cell>
          <cell r="AU123">
            <v>-781210.08</v>
          </cell>
          <cell r="AV123">
            <v>-870712.38</v>
          </cell>
          <cell r="AW123">
            <v>-784132.92</v>
          </cell>
          <cell r="AX123">
            <v>-963086.35</v>
          </cell>
          <cell r="AY123">
            <v>-1194601.32</v>
          </cell>
          <cell r="AZ123">
            <v>-2221479.5499999998</v>
          </cell>
          <cell r="BA123">
            <v>-1945466.55</v>
          </cell>
          <cell r="BB123">
            <v>-1555578.29</v>
          </cell>
          <cell r="BC123">
            <v>-1615273.59</v>
          </cell>
          <cell r="BD123">
            <v>-1279309.1399999999</v>
          </cell>
          <cell r="BE123">
            <v>-1206047.2</v>
          </cell>
          <cell r="BF123">
            <v>-1074509.8500000001</v>
          </cell>
          <cell r="BG123">
            <v>-1025720.95</v>
          </cell>
          <cell r="BH123">
            <v>-1124485.47</v>
          </cell>
          <cell r="BI123">
            <v>-1038104.84</v>
          </cell>
          <cell r="BJ123">
            <v>-1156692.9099999999</v>
          </cell>
          <cell r="BK123">
            <v>-1592775.22</v>
          </cell>
          <cell r="BL123">
            <v>-2089639.75</v>
          </cell>
          <cell r="BM123">
            <v>-2114741.98</v>
          </cell>
          <cell r="BN123">
            <v>-1727079.1</v>
          </cell>
          <cell r="BO123">
            <v>-1612990.88</v>
          </cell>
          <cell r="BP123">
            <v>-1426900.47</v>
          </cell>
          <cell r="BQ123">
            <v>-1214039.6299999999</v>
          </cell>
          <cell r="BR123">
            <v>-1145227.18</v>
          </cell>
          <cell r="BS123">
            <v>-1126014.02</v>
          </cell>
          <cell r="BT123">
            <v>-1157081</v>
          </cell>
          <cell r="BU123">
            <v>-1157449.17</v>
          </cell>
          <cell r="BV123">
            <v>-1310429.8799999999</v>
          </cell>
          <cell r="BW123">
            <v>-1821342.98</v>
          </cell>
          <cell r="BX123">
            <v>-2104825.4500000002</v>
          </cell>
          <cell r="BY123">
            <v>-2074223.39</v>
          </cell>
          <cell r="BZ123">
            <v>-1925868.4</v>
          </cell>
          <cell r="CA123">
            <v>-1475823.06</v>
          </cell>
          <cell r="CB123">
            <v>-1319818.31</v>
          </cell>
          <cell r="CC123">
            <v>-1290794.52</v>
          </cell>
          <cell r="CD123">
            <v>-1160864.19</v>
          </cell>
          <cell r="CE123">
            <v>-1139760.6399999999</v>
          </cell>
          <cell r="CF123">
            <v>-1129050.83</v>
          </cell>
          <cell r="CG123">
            <v>-1206659.72</v>
          </cell>
          <cell r="CH123">
            <v>-1403783.48</v>
          </cell>
          <cell r="CI123">
            <v>-1842772.29</v>
          </cell>
          <cell r="CJ123">
            <v>-2271144.79</v>
          </cell>
          <cell r="CK123">
            <v>-2037720.8</v>
          </cell>
          <cell r="CL123">
            <v>-1735252.44</v>
          </cell>
          <cell r="CM123">
            <v>-1728972.43</v>
          </cell>
          <cell r="CN123">
            <v>-1389625.1</v>
          </cell>
          <cell r="CO123">
            <v>-1277426.24</v>
          </cell>
          <cell r="CP123">
            <v>-1220044.76</v>
          </cell>
          <cell r="CQ123">
            <v>-1116595.76</v>
          </cell>
          <cell r="CR123">
            <v>-1182011.53</v>
          </cell>
          <cell r="CS123">
            <v>-1158411.58</v>
          </cell>
          <cell r="CT123">
            <v>-1356875</v>
          </cell>
          <cell r="CU123">
            <v>-1807593.46</v>
          </cell>
          <cell r="CV123">
            <v>-2748932.99</v>
          </cell>
          <cell r="CW123">
            <v>-3060083.48</v>
          </cell>
          <cell r="CX123">
            <v>-2532865.42</v>
          </cell>
          <cell r="CY123">
            <v>-2248845.23</v>
          </cell>
          <cell r="CZ123">
            <v>-2029055.71</v>
          </cell>
          <cell r="DA123">
            <v>-1735395.72</v>
          </cell>
          <cell r="DB123">
            <v>-1562281.34</v>
          </cell>
          <cell r="DC123">
            <v>-1508194.91</v>
          </cell>
          <cell r="DD123">
            <v>-1565727.69</v>
          </cell>
          <cell r="DE123">
            <v>-1770138.56</v>
          </cell>
          <cell r="DF123">
            <v>-1881459.29</v>
          </cell>
          <cell r="DG123">
            <v>-2292092.62</v>
          </cell>
        </row>
        <row r="124">
          <cell r="A124">
            <v>4950205</v>
          </cell>
          <cell r="B124">
            <v>4950205</v>
          </cell>
          <cell r="C124" t="str">
            <v>OthRev-Franchise Fee</v>
          </cell>
          <cell r="D124">
            <v>-962488.02</v>
          </cell>
          <cell r="E124">
            <v>-970766.68</v>
          </cell>
          <cell r="F124">
            <v>-818115.57</v>
          </cell>
          <cell r="G124">
            <v>-765780.78</v>
          </cell>
          <cell r="H124">
            <v>-634682.4</v>
          </cell>
          <cell r="I124">
            <v>-659680.96</v>
          </cell>
          <cell r="J124">
            <v>-611352.59</v>
          </cell>
          <cell r="K124">
            <v>-579391.89</v>
          </cell>
          <cell r="L124">
            <v>-612396.09</v>
          </cell>
          <cell r="M124">
            <v>-613588.09</v>
          </cell>
          <cell r="N124">
            <v>-654532.75</v>
          </cell>
          <cell r="O124">
            <v>-821418.82</v>
          </cell>
          <cell r="P124">
            <v>-921564.01</v>
          </cell>
          <cell r="Q124">
            <v>-930701.6</v>
          </cell>
          <cell r="R124">
            <v>-876713.12</v>
          </cell>
          <cell r="S124">
            <v>-716711.79</v>
          </cell>
          <cell r="T124">
            <v>-628787.68999999994</v>
          </cell>
          <cell r="U124">
            <v>-659683.54</v>
          </cell>
          <cell r="V124">
            <v>-731931.03</v>
          </cell>
          <cell r="W124">
            <v>-555618.9</v>
          </cell>
          <cell r="X124">
            <v>-659420.37</v>
          </cell>
          <cell r="Y124">
            <v>-663224.89</v>
          </cell>
          <cell r="Z124">
            <v>-711130.29</v>
          </cell>
          <cell r="AA124">
            <v>-786432.01</v>
          </cell>
          <cell r="AB124">
            <v>-944707.49</v>
          </cell>
          <cell r="AC124">
            <v>-1061673.83</v>
          </cell>
          <cell r="AD124">
            <v>-932956.59</v>
          </cell>
          <cell r="AE124">
            <v>-853197.85</v>
          </cell>
          <cell r="AF124">
            <v>-771462.93</v>
          </cell>
          <cell r="AG124">
            <v>-715451.39</v>
          </cell>
          <cell r="AH124">
            <v>-671022.66</v>
          </cell>
          <cell r="AI124">
            <v>-666345.05000000005</v>
          </cell>
          <cell r="AJ124">
            <v>-666261.43999999994</v>
          </cell>
          <cell r="AK124">
            <v>-662989.31999999995</v>
          </cell>
          <cell r="AL124">
            <v>-721183.81</v>
          </cell>
          <cell r="AM124">
            <v>-827905.41</v>
          </cell>
          <cell r="AN124">
            <v>-912988.68</v>
          </cell>
          <cell r="AO124">
            <v>-878265.25</v>
          </cell>
          <cell r="AP124">
            <v>-848096.58</v>
          </cell>
          <cell r="AQ124">
            <v>-830109.35</v>
          </cell>
          <cell r="AR124">
            <v>-750287.94</v>
          </cell>
          <cell r="AS124">
            <v>-711474.39</v>
          </cell>
          <cell r="AT124">
            <v>-667979.71</v>
          </cell>
          <cell r="AU124">
            <v>-675093.16</v>
          </cell>
          <cell r="AV124">
            <v>-699827.49</v>
          </cell>
          <cell r="AW124">
            <v>-730169.45</v>
          </cell>
          <cell r="AX124">
            <v>-791687.72</v>
          </cell>
          <cell r="AY124">
            <v>-901652.99</v>
          </cell>
          <cell r="AZ124">
            <v>-1210510.42</v>
          </cell>
          <cell r="BA124">
            <v>-1081911.23</v>
          </cell>
          <cell r="BB124">
            <v>-950880.62</v>
          </cell>
          <cell r="BC124">
            <v>-946344.62</v>
          </cell>
          <cell r="BD124">
            <v>-859547.34</v>
          </cell>
          <cell r="BE124">
            <v>-820483.76</v>
          </cell>
          <cell r="BF124">
            <v>-755180.56</v>
          </cell>
          <cell r="BG124">
            <v>-735693.34</v>
          </cell>
          <cell r="BH124">
            <v>-780565.78</v>
          </cell>
          <cell r="BI124">
            <v>-724571.55</v>
          </cell>
          <cell r="BJ124">
            <v>-778025.56</v>
          </cell>
          <cell r="BK124">
            <v>-949940.66</v>
          </cell>
          <cell r="BL124">
            <v>-1077455.75</v>
          </cell>
          <cell r="BM124">
            <v>-1049655.22</v>
          </cell>
          <cell r="BN124">
            <v>-976425.94</v>
          </cell>
          <cell r="BO124">
            <v>-944434.86</v>
          </cell>
          <cell r="BP124">
            <v>-814908.7</v>
          </cell>
          <cell r="BQ124">
            <v>-782183.36</v>
          </cell>
          <cell r="BR124">
            <v>-760420.2</v>
          </cell>
          <cell r="BS124">
            <v>-726605.6</v>
          </cell>
          <cell r="BT124">
            <v>-766395.44</v>
          </cell>
          <cell r="BU124">
            <v>-746665.18</v>
          </cell>
          <cell r="BV124">
            <v>-829620.68</v>
          </cell>
          <cell r="BW124">
            <v>-1001016.06</v>
          </cell>
          <cell r="BX124">
            <v>-1107892.52</v>
          </cell>
          <cell r="BY124">
            <v>-1064792.08</v>
          </cell>
          <cell r="BZ124">
            <v>-1000768.77</v>
          </cell>
          <cell r="CA124">
            <v>-861987.17</v>
          </cell>
          <cell r="CB124">
            <v>-761201.88</v>
          </cell>
          <cell r="CC124">
            <v>-707180.78</v>
          </cell>
          <cell r="CD124">
            <v>-739814.08</v>
          </cell>
          <cell r="CE124">
            <v>-732428.55</v>
          </cell>
          <cell r="CF124">
            <v>-719516.08</v>
          </cell>
          <cell r="CG124">
            <v>-759171.86</v>
          </cell>
          <cell r="CH124">
            <v>-852819.9</v>
          </cell>
          <cell r="CI124">
            <v>-986412.7</v>
          </cell>
          <cell r="CJ124">
            <v>-1347921.56</v>
          </cell>
          <cell r="CK124">
            <v>-1255574.45</v>
          </cell>
          <cell r="CL124">
            <v>-1176632.71</v>
          </cell>
          <cell r="CM124">
            <v>-1182701.1299999999</v>
          </cell>
          <cell r="CN124">
            <v>-1055107.24</v>
          </cell>
          <cell r="CO124">
            <v>-994597.45</v>
          </cell>
          <cell r="CP124">
            <v>-997341.73</v>
          </cell>
          <cell r="CQ124">
            <v>-928115.15</v>
          </cell>
          <cell r="CR124">
            <v>-980203.27</v>
          </cell>
          <cell r="CS124">
            <v>-931959.41</v>
          </cell>
          <cell r="CT124">
            <v>-1052791.18</v>
          </cell>
          <cell r="CU124">
            <v>-1274558.2</v>
          </cell>
          <cell r="CV124">
            <v>-1448910.88</v>
          </cell>
          <cell r="CW124">
            <v>-1529552.96</v>
          </cell>
          <cell r="CX124">
            <v>-1370392.34</v>
          </cell>
          <cell r="CY124">
            <v>-1259490.8799999999</v>
          </cell>
          <cell r="CZ124">
            <v>-1191620.17</v>
          </cell>
          <cell r="DA124">
            <v>-1091400.44</v>
          </cell>
          <cell r="DB124">
            <v>-1018216.2</v>
          </cell>
          <cell r="DC124">
            <v>-1130553.42</v>
          </cell>
          <cell r="DD124">
            <v>-1166932</v>
          </cell>
          <cell r="DE124">
            <v>-1226121.8</v>
          </cell>
          <cell r="DF124">
            <v>-1127298.28</v>
          </cell>
          <cell r="DG124">
            <v>-1254323.27</v>
          </cell>
        </row>
        <row r="125">
          <cell r="A125">
            <v>4950206</v>
          </cell>
          <cell r="B125">
            <v>4950206</v>
          </cell>
          <cell r="C125" t="str">
            <v>OthRev-Gross Receipt</v>
          </cell>
          <cell r="D125">
            <v>-1465731.05</v>
          </cell>
          <cell r="E125">
            <v>-1421595.38</v>
          </cell>
          <cell r="F125">
            <v>-1286642.43</v>
          </cell>
          <cell r="G125">
            <v>-1142563.07</v>
          </cell>
          <cell r="H125">
            <v>-973728.84</v>
          </cell>
          <cell r="I125">
            <v>-877486.41</v>
          </cell>
          <cell r="J125">
            <v>-810814.72</v>
          </cell>
          <cell r="K125">
            <v>-823589.01</v>
          </cell>
          <cell r="L125">
            <v>-877702.84</v>
          </cell>
          <cell r="M125">
            <v>-906182.37</v>
          </cell>
          <cell r="N125">
            <v>-1020693.12</v>
          </cell>
          <cell r="O125">
            <v>-1299279.1100000001</v>
          </cell>
          <cell r="P125">
            <v>-1442235.87</v>
          </cell>
          <cell r="Q125">
            <v>-1486286.69</v>
          </cell>
          <cell r="R125">
            <v>-1457304.46</v>
          </cell>
          <cell r="S125">
            <v>-1148076.8</v>
          </cell>
          <cell r="T125">
            <v>-937863.33</v>
          </cell>
          <cell r="U125">
            <v>-958209.06</v>
          </cell>
          <cell r="V125">
            <v>-1195531.6200000001</v>
          </cell>
          <cell r="W125">
            <v>-686270.15</v>
          </cell>
          <cell r="X125">
            <v>-909597.35</v>
          </cell>
          <cell r="Y125">
            <v>-950741.2</v>
          </cell>
          <cell r="Z125">
            <v>-1034527.47</v>
          </cell>
          <cell r="AA125">
            <v>-1206266.96</v>
          </cell>
          <cell r="AB125">
            <v>-1498909.7</v>
          </cell>
          <cell r="AC125">
            <v>-1616852.72</v>
          </cell>
          <cell r="AD125">
            <v>-1429511.29</v>
          </cell>
          <cell r="AE125">
            <v>-1127332.1000000001</v>
          </cell>
          <cell r="AF125">
            <v>-1110115.95</v>
          </cell>
          <cell r="AG125">
            <v>-967475.79</v>
          </cell>
          <cell r="AH125">
            <v>-931908.86</v>
          </cell>
          <cell r="AI125">
            <v>-821047.49</v>
          </cell>
          <cell r="AJ125">
            <v>-915385.39</v>
          </cell>
          <cell r="AK125">
            <v>-897013.57</v>
          </cell>
          <cell r="AL125">
            <v>-1056768.1499999999</v>
          </cell>
          <cell r="AM125">
            <v>-1254297.95</v>
          </cell>
          <cell r="AN125">
            <v>-1428833.5</v>
          </cell>
          <cell r="AO125">
            <v>-1331291.83</v>
          </cell>
          <cell r="AP125">
            <v>-1304620.72</v>
          </cell>
          <cell r="AQ125">
            <v>-1256682.8</v>
          </cell>
          <cell r="AR125">
            <v>-1083308.08</v>
          </cell>
          <cell r="AS125">
            <v>-956412.46</v>
          </cell>
          <cell r="AT125">
            <v>-781953.93</v>
          </cell>
          <cell r="AU125">
            <v>-882707.38</v>
          </cell>
          <cell r="AV125">
            <v>-882685.75</v>
          </cell>
          <cell r="AW125">
            <v>-943974.85</v>
          </cell>
          <cell r="AX125">
            <v>-1056539.08</v>
          </cell>
          <cell r="AY125">
            <v>-1285409.1499999999</v>
          </cell>
          <cell r="AZ125">
            <v>-1708204.03</v>
          </cell>
          <cell r="BA125">
            <v>-1517623.77</v>
          </cell>
          <cell r="BB125">
            <v>-1285616.07</v>
          </cell>
          <cell r="BC125">
            <v>-1347277.44</v>
          </cell>
          <cell r="BD125">
            <v>-1083546.55</v>
          </cell>
          <cell r="BE125">
            <v>-1040489.85</v>
          </cell>
          <cell r="BF125">
            <v>-901115.17</v>
          </cell>
          <cell r="BG125">
            <v>-843863.63</v>
          </cell>
          <cell r="BH125">
            <v>-992990.1</v>
          </cell>
          <cell r="BI125">
            <v>-897678.51</v>
          </cell>
          <cell r="BJ125">
            <v>-1016239.82</v>
          </cell>
          <cell r="BK125">
            <v>-1402489.24</v>
          </cell>
          <cell r="BL125">
            <v>-1665864.94</v>
          </cell>
          <cell r="BM125">
            <v>-1640421.41</v>
          </cell>
          <cell r="BN125">
            <v>-1434294.15</v>
          </cell>
          <cell r="BO125">
            <v>-1134539.23</v>
          </cell>
          <cell r="BP125">
            <v>-1185315.3999999999</v>
          </cell>
          <cell r="BQ125">
            <v>-1023382.27</v>
          </cell>
          <cell r="BR125">
            <v>-990882.96</v>
          </cell>
          <cell r="BS125">
            <v>-938493.94</v>
          </cell>
          <cell r="BT125">
            <v>-959936.59</v>
          </cell>
          <cell r="BU125">
            <v>-942398.3</v>
          </cell>
          <cell r="BV125">
            <v>-1118971.45</v>
          </cell>
          <cell r="BW125">
            <v>-1513136.83</v>
          </cell>
          <cell r="BX125">
            <v>-1628543.84</v>
          </cell>
          <cell r="BY125">
            <v>-1581269.81</v>
          </cell>
          <cell r="BZ125">
            <v>-1360686.35</v>
          </cell>
          <cell r="CA125">
            <v>-1067229.21</v>
          </cell>
          <cell r="CB125">
            <v>-959002.58</v>
          </cell>
          <cell r="CC125">
            <v>-972001.62</v>
          </cell>
          <cell r="CD125">
            <v>-857883.31</v>
          </cell>
          <cell r="CE125">
            <v>-916574.94</v>
          </cell>
          <cell r="CF125">
            <v>-877380.33</v>
          </cell>
          <cell r="CG125">
            <v>-967926.02</v>
          </cell>
          <cell r="CH125">
            <v>-1102359.0900000001</v>
          </cell>
          <cell r="CI125">
            <v>-1409825.73</v>
          </cell>
          <cell r="CJ125">
            <v>-1837558.54</v>
          </cell>
          <cell r="CK125">
            <v>-1657676.57</v>
          </cell>
          <cell r="CL125">
            <v>-1456490.32</v>
          </cell>
          <cell r="CM125">
            <v>-1436211.98</v>
          </cell>
          <cell r="CN125">
            <v>-1208611.94</v>
          </cell>
          <cell r="CO125">
            <v>-1116474.1299999999</v>
          </cell>
          <cell r="CP125">
            <v>-1142086.17</v>
          </cell>
          <cell r="CQ125">
            <v>-1017929.49</v>
          </cell>
          <cell r="CR125">
            <v>-1078486.3799999999</v>
          </cell>
          <cell r="CS125">
            <v>-1080685.17</v>
          </cell>
          <cell r="CT125">
            <v>-1242017.5900000001</v>
          </cell>
          <cell r="CU125">
            <v>-1619789.26</v>
          </cell>
          <cell r="CV125">
            <v>-1747412.92</v>
          </cell>
          <cell r="CW125">
            <v>-1892978.9</v>
          </cell>
          <cell r="CX125">
            <v>-1640029.05</v>
          </cell>
          <cell r="CY125">
            <v>-1468301.53</v>
          </cell>
          <cell r="CZ125">
            <v>-1331047.67</v>
          </cell>
          <cell r="DA125">
            <v>-1173483.29</v>
          </cell>
          <cell r="DB125">
            <v>-1072143.94</v>
          </cell>
          <cell r="DC125">
            <v>-1019030.03</v>
          </cell>
          <cell r="DD125">
            <v>-1081406.97</v>
          </cell>
          <cell r="DE125">
            <v>-1184872.05</v>
          </cell>
          <cell r="DF125">
            <v>-1256626.96</v>
          </cell>
          <cell r="DG125">
            <v>-1564803.32</v>
          </cell>
        </row>
        <row r="126">
          <cell r="A126">
            <v>4950207</v>
          </cell>
          <cell r="B126">
            <v>4950207</v>
          </cell>
          <cell r="C126" t="str">
            <v>OthRev-Comm SalesTax</v>
          </cell>
          <cell r="D126">
            <v>-787.94</v>
          </cell>
          <cell r="E126">
            <v>-996.97</v>
          </cell>
          <cell r="F126">
            <v>-1039.98</v>
          </cell>
          <cell r="G126">
            <v>-535.63</v>
          </cell>
          <cell r="H126">
            <v>-843</v>
          </cell>
          <cell r="I126">
            <v>-795.34</v>
          </cell>
          <cell r="J126">
            <v>-778.56</v>
          </cell>
          <cell r="K126">
            <v>-776.67</v>
          </cell>
          <cell r="L126">
            <v>-488.78</v>
          </cell>
          <cell r="M126">
            <v>-731.56</v>
          </cell>
          <cell r="N126">
            <v>-764.03</v>
          </cell>
          <cell r="O126">
            <v>-823.47</v>
          </cell>
          <cell r="P126">
            <v>-911.56</v>
          </cell>
          <cell r="Q126">
            <v>-994.84</v>
          </cell>
          <cell r="R126">
            <v>-999.97</v>
          </cell>
          <cell r="S126">
            <v>-1022.3</v>
          </cell>
          <cell r="T126">
            <v>-795.2</v>
          </cell>
          <cell r="U126">
            <v>-774.76</v>
          </cell>
          <cell r="V126">
            <v>-772.26</v>
          </cell>
          <cell r="W126">
            <v>-493.2</v>
          </cell>
          <cell r="X126">
            <v>-760.36</v>
          </cell>
          <cell r="Y126">
            <v>-754.17</v>
          </cell>
          <cell r="Z126">
            <v>-759.62</v>
          </cell>
          <cell r="AA126">
            <v>-782.37</v>
          </cell>
          <cell r="AB126">
            <v>-825.35</v>
          </cell>
          <cell r="AC126">
            <v>-910.22</v>
          </cell>
          <cell r="AD126">
            <v>-1018.26</v>
          </cell>
          <cell r="AE126">
            <v>-936.7</v>
          </cell>
          <cell r="AF126">
            <v>-851.11</v>
          </cell>
          <cell r="AG126">
            <v>-809.47</v>
          </cell>
          <cell r="AH126">
            <v>-759.98</v>
          </cell>
          <cell r="AI126">
            <v>-739.04</v>
          </cell>
          <cell r="AJ126">
            <v>-745.24</v>
          </cell>
          <cell r="AK126">
            <v>-747.45</v>
          </cell>
          <cell r="AL126">
            <v>-753.97</v>
          </cell>
          <cell r="AM126">
            <v>-795.01</v>
          </cell>
          <cell r="AN126">
            <v>-857.75</v>
          </cell>
          <cell r="AO126">
            <v>-947.8</v>
          </cell>
          <cell r="AP126">
            <v>-925.97</v>
          </cell>
          <cell r="AQ126">
            <v>-865.43</v>
          </cell>
          <cell r="AR126">
            <v>-867.62</v>
          </cell>
          <cell r="AS126">
            <v>-839.39</v>
          </cell>
          <cell r="AT126">
            <v>-750.31</v>
          </cell>
          <cell r="AU126">
            <v>-757.75</v>
          </cell>
          <cell r="AV126">
            <v>-747.19</v>
          </cell>
          <cell r="AW126">
            <v>-759.56</v>
          </cell>
          <cell r="AX126">
            <v>-777.9</v>
          </cell>
          <cell r="AY126">
            <v>-820.17</v>
          </cell>
          <cell r="AZ126">
            <v>-902.33</v>
          </cell>
          <cell r="BA126">
            <v>-1154.53</v>
          </cell>
          <cell r="BB126">
            <v>-1086.17</v>
          </cell>
          <cell r="BC126">
            <v>-910.21</v>
          </cell>
          <cell r="BD126">
            <v>-992.76</v>
          </cell>
          <cell r="BE126">
            <v>-859.08</v>
          </cell>
          <cell r="BF126">
            <v>-909.7</v>
          </cell>
          <cell r="BG126">
            <v>-844.06</v>
          </cell>
          <cell r="BH126">
            <v>-772.33</v>
          </cell>
          <cell r="BI126">
            <v>-778.41</v>
          </cell>
          <cell r="BJ126">
            <v>-759.15</v>
          </cell>
          <cell r="BK126">
            <v>-805.51</v>
          </cell>
          <cell r="BL126">
            <v>-957.21</v>
          </cell>
          <cell r="BM126">
            <v>-1072.44</v>
          </cell>
          <cell r="BN126">
            <v>-1081.33</v>
          </cell>
          <cell r="BO126">
            <v>-944.85</v>
          </cell>
          <cell r="BP126">
            <v>-965.72</v>
          </cell>
          <cell r="BQ126">
            <v>-895.24</v>
          </cell>
          <cell r="BR126">
            <v>-806.91</v>
          </cell>
          <cell r="BS126">
            <v>-807.41</v>
          </cell>
          <cell r="BT126">
            <v>-797.53</v>
          </cell>
          <cell r="BU126">
            <v>-806.1</v>
          </cell>
          <cell r="BV126">
            <v>-804.04</v>
          </cell>
          <cell r="BW126">
            <v>-855.28</v>
          </cell>
          <cell r="BX126">
            <v>-1018.31</v>
          </cell>
          <cell r="BY126">
            <v>-1101.8900000000001</v>
          </cell>
          <cell r="BZ126">
            <v>-1089.4000000000001</v>
          </cell>
          <cell r="CA126">
            <v>-1053.68</v>
          </cell>
          <cell r="CB126">
            <v>-913.04</v>
          </cell>
          <cell r="CC126">
            <v>-837.92</v>
          </cell>
          <cell r="CD126">
            <v>-846.73</v>
          </cell>
          <cell r="CE126">
            <v>-841.2</v>
          </cell>
          <cell r="CF126">
            <v>-813.59</v>
          </cell>
          <cell r="CG126">
            <v>-805.14</v>
          </cell>
          <cell r="CH126">
            <v>-830.87</v>
          </cell>
          <cell r="CI126">
            <v>-871.78</v>
          </cell>
          <cell r="CJ126">
            <v>-1008.63</v>
          </cell>
          <cell r="CK126">
            <v>-1295.1300000000001</v>
          </cell>
          <cell r="CL126">
            <v>-1242.57</v>
          </cell>
          <cell r="CM126">
            <v>-1104.81</v>
          </cell>
          <cell r="CN126">
            <v>-1134.1199999999999</v>
          </cell>
          <cell r="CO126">
            <v>-1011.73</v>
          </cell>
          <cell r="CP126">
            <v>-978.11</v>
          </cell>
          <cell r="CQ126">
            <v>-970.69</v>
          </cell>
          <cell r="CR126">
            <v>-934.75</v>
          </cell>
          <cell r="CS126">
            <v>-946.47</v>
          </cell>
          <cell r="CT126">
            <v>-953.54</v>
          </cell>
          <cell r="CU126">
            <v>-1015.64</v>
          </cell>
          <cell r="CV126">
            <v>-1202.07</v>
          </cell>
          <cell r="CW126">
            <v>-1247.26</v>
          </cell>
          <cell r="CX126">
            <v>-1410.21</v>
          </cell>
          <cell r="CY126">
            <v>-1220.6600000000001</v>
          </cell>
          <cell r="CZ126">
            <v>-1168.5999999999999</v>
          </cell>
          <cell r="DA126">
            <v>-1083.1600000000001</v>
          </cell>
          <cell r="DB126">
            <v>-1007.39</v>
          </cell>
          <cell r="DC126">
            <v>-960.09</v>
          </cell>
          <cell r="DD126">
            <v>-965</v>
          </cell>
          <cell r="DE126">
            <v>-959.62</v>
          </cell>
          <cell r="DF126">
            <v>-1002.42</v>
          </cell>
          <cell r="DG126">
            <v>-1061.6400000000001</v>
          </cell>
        </row>
        <row r="127">
          <cell r="A127">
            <v>4950208</v>
          </cell>
          <cell r="B127">
            <v>4950208</v>
          </cell>
          <cell r="C127" t="str">
            <v>OthRev-PoolMgrHist</v>
          </cell>
          <cell r="D127">
            <v>-140</v>
          </cell>
          <cell r="E127">
            <v>-160</v>
          </cell>
          <cell r="F127">
            <v>-60</v>
          </cell>
          <cell r="G127">
            <v>-180</v>
          </cell>
          <cell r="H127">
            <v>0</v>
          </cell>
          <cell r="I127">
            <v>-1100</v>
          </cell>
          <cell r="J127">
            <v>-1060</v>
          </cell>
          <cell r="K127">
            <v>-1560</v>
          </cell>
          <cell r="L127">
            <v>-1320</v>
          </cell>
          <cell r="M127">
            <v>-1300</v>
          </cell>
          <cell r="N127">
            <v>-1380</v>
          </cell>
          <cell r="O127">
            <v>-760</v>
          </cell>
          <cell r="P127">
            <v>-1180</v>
          </cell>
          <cell r="Q127">
            <v>-700</v>
          </cell>
          <cell r="R127">
            <v>-1300</v>
          </cell>
          <cell r="S127">
            <v>-1600</v>
          </cell>
          <cell r="T127">
            <v>0</v>
          </cell>
          <cell r="U127">
            <v>-3780</v>
          </cell>
          <cell r="V127">
            <v>-2100</v>
          </cell>
          <cell r="W127">
            <v>-2300</v>
          </cell>
          <cell r="X127">
            <v>-460</v>
          </cell>
          <cell r="Y127">
            <v>-160</v>
          </cell>
          <cell r="Z127">
            <v>-120</v>
          </cell>
          <cell r="AA127">
            <v>-180</v>
          </cell>
          <cell r="AB127">
            <v>-300</v>
          </cell>
          <cell r="AC127">
            <v>-100</v>
          </cell>
          <cell r="AD127">
            <v>-360</v>
          </cell>
          <cell r="AE127">
            <v>-640</v>
          </cell>
          <cell r="AF127">
            <v>-380</v>
          </cell>
          <cell r="AG127">
            <v>-620</v>
          </cell>
          <cell r="AH127">
            <v>-1140</v>
          </cell>
          <cell r="AI127">
            <v>0</v>
          </cell>
          <cell r="AJ127">
            <v>-360</v>
          </cell>
          <cell r="AK127">
            <v>-280</v>
          </cell>
          <cell r="AL127">
            <v>-200</v>
          </cell>
          <cell r="AM127">
            <v>-80</v>
          </cell>
          <cell r="AN127">
            <v>-160</v>
          </cell>
          <cell r="AO127">
            <v>0</v>
          </cell>
          <cell r="AP127">
            <v>-380</v>
          </cell>
          <cell r="AQ127">
            <v>-80</v>
          </cell>
          <cell r="AR127">
            <v>-180</v>
          </cell>
          <cell r="AS127">
            <v>-280</v>
          </cell>
          <cell r="AT127">
            <v>-740</v>
          </cell>
          <cell r="AU127">
            <v>-80</v>
          </cell>
          <cell r="AV127">
            <v>-120</v>
          </cell>
          <cell r="AW127">
            <v>-100</v>
          </cell>
          <cell r="AX127">
            <v>-40</v>
          </cell>
          <cell r="AY127">
            <v>-60</v>
          </cell>
          <cell r="AZ127">
            <v>-60</v>
          </cell>
          <cell r="BA127">
            <v>-40</v>
          </cell>
          <cell r="BB127">
            <v>-60</v>
          </cell>
          <cell r="BC127">
            <v>0</v>
          </cell>
          <cell r="BD127">
            <v>-20</v>
          </cell>
          <cell r="BE127">
            <v>-100</v>
          </cell>
          <cell r="BF127">
            <v>0</v>
          </cell>
          <cell r="BG127">
            <v>-760</v>
          </cell>
          <cell r="BH127">
            <v>-20</v>
          </cell>
          <cell r="BI127">
            <v>0</v>
          </cell>
          <cell r="BJ127">
            <v>-20</v>
          </cell>
          <cell r="BK127">
            <v>-40</v>
          </cell>
          <cell r="BL127">
            <v>0</v>
          </cell>
          <cell r="BM127">
            <v>-220</v>
          </cell>
          <cell r="BN127">
            <v>-40</v>
          </cell>
          <cell r="BO127">
            <v>-220</v>
          </cell>
          <cell r="BP127">
            <v>0</v>
          </cell>
          <cell r="BQ127">
            <v>-320</v>
          </cell>
          <cell r="BR127">
            <v>-160</v>
          </cell>
          <cell r="BS127">
            <v>-180</v>
          </cell>
          <cell r="BT127">
            <v>-100</v>
          </cell>
          <cell r="BU127">
            <v>0</v>
          </cell>
          <cell r="BV127">
            <v>-60</v>
          </cell>
          <cell r="BW127">
            <v>-40</v>
          </cell>
          <cell r="BX127">
            <v>0</v>
          </cell>
          <cell r="BY127">
            <v>-140</v>
          </cell>
          <cell r="BZ127">
            <v>-80</v>
          </cell>
          <cell r="CA127">
            <v>0</v>
          </cell>
          <cell r="CB127">
            <v>-40</v>
          </cell>
          <cell r="CC127">
            <v>-20</v>
          </cell>
          <cell r="CD127">
            <v>-60</v>
          </cell>
          <cell r="CE127">
            <v>0</v>
          </cell>
          <cell r="CF127">
            <v>-280</v>
          </cell>
          <cell r="CG127">
            <v>-20</v>
          </cell>
          <cell r="CH127">
            <v>0</v>
          </cell>
          <cell r="CI127">
            <v>-20</v>
          </cell>
          <cell r="CJ127">
            <v>-40</v>
          </cell>
          <cell r="CK127">
            <v>0</v>
          </cell>
          <cell r="CL127">
            <v>-20</v>
          </cell>
          <cell r="CM127">
            <v>0</v>
          </cell>
          <cell r="CN127">
            <v>0</v>
          </cell>
          <cell r="CO127">
            <v>-120</v>
          </cell>
          <cell r="CP127">
            <v>-80</v>
          </cell>
          <cell r="CQ127">
            <v>-260</v>
          </cell>
          <cell r="CR127">
            <v>-60</v>
          </cell>
          <cell r="CS127">
            <v>0</v>
          </cell>
          <cell r="CT127">
            <v>-120</v>
          </cell>
          <cell r="CU127">
            <v>-100</v>
          </cell>
          <cell r="CV127">
            <v>-140</v>
          </cell>
          <cell r="CW127">
            <v>-80</v>
          </cell>
          <cell r="CX127">
            <v>-660</v>
          </cell>
          <cell r="CY127">
            <v>-20</v>
          </cell>
          <cell r="CZ127">
            <v>-60</v>
          </cell>
          <cell r="DA127">
            <v>0</v>
          </cell>
          <cell r="DB127">
            <v>-20</v>
          </cell>
          <cell r="DC127">
            <v>-140</v>
          </cell>
          <cell r="DD127">
            <v>-120</v>
          </cell>
          <cell r="DE127">
            <v>-40</v>
          </cell>
          <cell r="DF127">
            <v>-120</v>
          </cell>
          <cell r="DG127">
            <v>-100</v>
          </cell>
        </row>
        <row r="128">
          <cell r="A128">
            <v>4950209</v>
          </cell>
          <cell r="B128">
            <v>4950209</v>
          </cell>
          <cell r="C128" t="str">
            <v>OthRev-PoolMgrAdmin</v>
          </cell>
          <cell r="D128">
            <v>-24382.17</v>
          </cell>
          <cell r="E128">
            <v>-24186.6</v>
          </cell>
          <cell r="F128">
            <v>-23238.5</v>
          </cell>
          <cell r="G128">
            <v>-24385.09</v>
          </cell>
          <cell r="H128">
            <v>-28689.94</v>
          </cell>
          <cell r="I128">
            <v>-24586.560000000001</v>
          </cell>
          <cell r="J128">
            <v>-25409.41</v>
          </cell>
          <cell r="K128">
            <v>-25613.14</v>
          </cell>
          <cell r="L128">
            <v>-24908.71</v>
          </cell>
          <cell r="M128">
            <v>-26449.96</v>
          </cell>
          <cell r="N128">
            <v>-25885.56</v>
          </cell>
          <cell r="O128">
            <v>-25965.64</v>
          </cell>
          <cell r="P128">
            <v>-31476.44</v>
          </cell>
          <cell r="Q128">
            <v>-24834.09</v>
          </cell>
          <cell r="R128">
            <v>-26128.400000000001</v>
          </cell>
          <cell r="S128">
            <v>-26549.67</v>
          </cell>
          <cell r="T128">
            <v>-26098.28</v>
          </cell>
          <cell r="U128">
            <v>-28555.68</v>
          </cell>
          <cell r="V128">
            <v>-26420.23</v>
          </cell>
          <cell r="W128">
            <v>-26974.34</v>
          </cell>
          <cell r="X128">
            <v>-25706.01</v>
          </cell>
          <cell r="Y128">
            <v>-25305.32</v>
          </cell>
          <cell r="Z128">
            <v>-26233.4</v>
          </cell>
          <cell r="AA128">
            <v>-27006.29</v>
          </cell>
          <cell r="AB128">
            <v>-26484.6</v>
          </cell>
          <cell r="AC128">
            <v>-25854.66</v>
          </cell>
          <cell r="AD128">
            <v>-25711.97</v>
          </cell>
          <cell r="AE128">
            <v>-26264.79</v>
          </cell>
          <cell r="AF128">
            <v>-26234.880000000001</v>
          </cell>
          <cell r="AG128">
            <v>-27283.279999999999</v>
          </cell>
          <cell r="AH128">
            <v>-26684.26</v>
          </cell>
          <cell r="AI128">
            <v>-26836.17</v>
          </cell>
          <cell r="AJ128">
            <v>-27409.95</v>
          </cell>
          <cell r="AK128">
            <v>-27210.94</v>
          </cell>
          <cell r="AL128">
            <v>-27006.51</v>
          </cell>
          <cell r="AM128">
            <v>-27145.13</v>
          </cell>
          <cell r="AN128">
            <v>-24572.58</v>
          </cell>
          <cell r="AO128">
            <v>-24606.25</v>
          </cell>
          <cell r="AP128">
            <v>-24689.97</v>
          </cell>
          <cell r="AQ128">
            <v>-24722.73</v>
          </cell>
          <cell r="AR128">
            <v>-24837.39</v>
          </cell>
          <cell r="AS128">
            <v>-24847.4</v>
          </cell>
          <cell r="AT128">
            <v>-24937.49</v>
          </cell>
          <cell r="AU128">
            <v>-24800.080000000002</v>
          </cell>
          <cell r="AV128">
            <v>-25197.79</v>
          </cell>
          <cell r="AW128">
            <v>-25242.38</v>
          </cell>
          <cell r="AX128">
            <v>-25305.17</v>
          </cell>
          <cell r="AY128">
            <v>-24857.33</v>
          </cell>
          <cell r="AZ128">
            <v>-25130.37</v>
          </cell>
          <cell r="BA128">
            <v>-25206.81</v>
          </cell>
          <cell r="BB128">
            <v>-25253.22</v>
          </cell>
          <cell r="BC128">
            <v>-25320.560000000001</v>
          </cell>
          <cell r="BD128">
            <v>-25589.05</v>
          </cell>
          <cell r="BE128">
            <v>-25680.05</v>
          </cell>
          <cell r="BF128">
            <v>-25749.21</v>
          </cell>
          <cell r="BG128">
            <v>-25918.51</v>
          </cell>
          <cell r="BH128">
            <v>-25981.3</v>
          </cell>
          <cell r="BI128">
            <v>-26065.02</v>
          </cell>
          <cell r="BJ128">
            <v>-25952.14</v>
          </cell>
          <cell r="BK128">
            <v>-25988.54</v>
          </cell>
          <cell r="BL128">
            <v>-26125.040000000001</v>
          </cell>
          <cell r="BM128">
            <v>-26138.69</v>
          </cell>
          <cell r="BN128">
            <v>-26169.63</v>
          </cell>
          <cell r="BO128">
            <v>-26038.59</v>
          </cell>
          <cell r="BP128">
            <v>-26034.04</v>
          </cell>
          <cell r="BQ128">
            <v>-26129.59</v>
          </cell>
          <cell r="BR128">
            <v>-26233.33</v>
          </cell>
          <cell r="BS128">
            <v>-26310.68</v>
          </cell>
          <cell r="BT128">
            <v>-26337.98</v>
          </cell>
          <cell r="BU128">
            <v>-26347.99</v>
          </cell>
          <cell r="BV128">
            <v>-26336.16</v>
          </cell>
          <cell r="BW128">
            <v>-26424.43</v>
          </cell>
          <cell r="BX128">
            <v>-26389.81</v>
          </cell>
          <cell r="BY128">
            <v>-26418.02</v>
          </cell>
          <cell r="BZ128">
            <v>-26423.48</v>
          </cell>
          <cell r="CA128">
            <v>-26339.759999999998</v>
          </cell>
          <cell r="CB128">
            <v>-26163.18</v>
          </cell>
          <cell r="CC128">
            <v>-26289.71</v>
          </cell>
          <cell r="CD128">
            <v>-26202.35</v>
          </cell>
          <cell r="CE128">
            <v>-21529.46</v>
          </cell>
          <cell r="CF128">
            <v>-30854.31</v>
          </cell>
          <cell r="CG128">
            <v>-26060.39</v>
          </cell>
          <cell r="CH128">
            <v>-26001.24</v>
          </cell>
          <cell r="CI128">
            <v>-26055.84</v>
          </cell>
          <cell r="CJ128">
            <v>-26120.45</v>
          </cell>
          <cell r="CK128">
            <v>-26110.44</v>
          </cell>
          <cell r="CL128">
            <v>-26122.27</v>
          </cell>
          <cell r="CM128">
            <v>-26195.07</v>
          </cell>
          <cell r="CN128">
            <v>-26236.93</v>
          </cell>
          <cell r="CO128">
            <v>-26331.57</v>
          </cell>
          <cell r="CP128">
            <v>-26360.69</v>
          </cell>
          <cell r="CQ128">
            <v>-25959.26</v>
          </cell>
          <cell r="CR128">
            <v>-26239.62</v>
          </cell>
          <cell r="CS128">
            <v>-26287.85</v>
          </cell>
          <cell r="CT128">
            <v>-26357.01</v>
          </cell>
          <cell r="CU128">
            <v>-26407.97</v>
          </cell>
          <cell r="CV128">
            <v>-26378.85</v>
          </cell>
          <cell r="CW128">
            <v>-26409.79</v>
          </cell>
          <cell r="CX128">
            <v>-26440.73</v>
          </cell>
          <cell r="CY128">
            <v>-23323.1</v>
          </cell>
          <cell r="CZ128">
            <v>-26314.2</v>
          </cell>
          <cell r="DA128">
            <v>-26414.3</v>
          </cell>
          <cell r="DB128">
            <v>-26458.89</v>
          </cell>
          <cell r="DC128">
            <v>-26675.51</v>
          </cell>
          <cell r="DD128">
            <v>-26701.9</v>
          </cell>
          <cell r="DE128">
            <v>-26682.79</v>
          </cell>
          <cell r="DF128">
            <v>-26702.81</v>
          </cell>
          <cell r="DG128">
            <v>-26523.5</v>
          </cell>
        </row>
        <row r="129">
          <cell r="A129">
            <v>4950210</v>
          </cell>
          <cell r="B129">
            <v>4950210</v>
          </cell>
          <cell r="C129" t="str">
            <v>OthRev-PoolMgrChg</v>
          </cell>
          <cell r="D129"/>
          <cell r="E129"/>
          <cell r="F129"/>
          <cell r="G129"/>
          <cell r="H129"/>
          <cell r="I129"/>
          <cell r="J129"/>
          <cell r="K129"/>
          <cell r="L129"/>
          <cell r="M129"/>
          <cell r="N129"/>
          <cell r="O129"/>
          <cell r="P129"/>
          <cell r="Q129"/>
          <cell r="R129"/>
          <cell r="S129"/>
          <cell r="T129"/>
          <cell r="U129"/>
          <cell r="V129"/>
          <cell r="W129"/>
          <cell r="X129"/>
          <cell r="Y129"/>
          <cell r="Z129"/>
          <cell r="AA129"/>
          <cell r="AB129"/>
          <cell r="AC129"/>
          <cell r="AD129"/>
          <cell r="AE129"/>
          <cell r="AF129"/>
          <cell r="AG129"/>
          <cell r="AH129"/>
          <cell r="AI129"/>
          <cell r="AJ129"/>
          <cell r="AK129"/>
          <cell r="AL129"/>
          <cell r="AM129"/>
          <cell r="AN129">
            <v>-4650</v>
          </cell>
          <cell r="AO129">
            <v>0</v>
          </cell>
          <cell r="AP129">
            <v>-3860</v>
          </cell>
          <cell r="AQ129">
            <v>-3360</v>
          </cell>
          <cell r="AR129">
            <v>-2900</v>
          </cell>
          <cell r="AS129">
            <v>-5220</v>
          </cell>
          <cell r="AT129">
            <v>-3510</v>
          </cell>
          <cell r="AU129">
            <v>-2700</v>
          </cell>
          <cell r="AV129">
            <v>-2370</v>
          </cell>
          <cell r="AW129">
            <v>-2660</v>
          </cell>
          <cell r="AX129">
            <v>-2710</v>
          </cell>
          <cell r="AY129">
            <v>-3070</v>
          </cell>
          <cell r="AZ129">
            <v>-2190</v>
          </cell>
          <cell r="BA129">
            <v>-2870</v>
          </cell>
          <cell r="BB129">
            <v>-3410</v>
          </cell>
          <cell r="BC129">
            <v>-3310</v>
          </cell>
          <cell r="BD129">
            <v>-4250</v>
          </cell>
          <cell r="BE129">
            <v>-2610</v>
          </cell>
          <cell r="BF129">
            <v>-3380</v>
          </cell>
          <cell r="BG129">
            <v>-23650</v>
          </cell>
          <cell r="BH129">
            <v>-3000</v>
          </cell>
          <cell r="BI129">
            <v>-2650</v>
          </cell>
          <cell r="BJ129">
            <v>-3030</v>
          </cell>
          <cell r="BK129">
            <v>-4320</v>
          </cell>
          <cell r="BL129">
            <v>-2540</v>
          </cell>
          <cell r="BM129">
            <v>-2980</v>
          </cell>
          <cell r="BN129">
            <v>-2350</v>
          </cell>
          <cell r="BO129">
            <v>-3330</v>
          </cell>
          <cell r="BP129">
            <v>-3210</v>
          </cell>
          <cell r="BQ129">
            <v>-3040</v>
          </cell>
          <cell r="BR129">
            <v>-5630</v>
          </cell>
          <cell r="BS129">
            <v>-2490</v>
          </cell>
          <cell r="BT129">
            <v>-2760</v>
          </cell>
          <cell r="BU129">
            <v>-4770</v>
          </cell>
          <cell r="BV129">
            <v>-19220</v>
          </cell>
          <cell r="BW129">
            <v>-2630</v>
          </cell>
          <cell r="BX129">
            <v>-2300</v>
          </cell>
          <cell r="BY129">
            <v>-2220</v>
          </cell>
          <cell r="BZ129">
            <v>-130</v>
          </cell>
          <cell r="CA129">
            <v>-3490</v>
          </cell>
          <cell r="CB129">
            <v>-2210</v>
          </cell>
          <cell r="CC129">
            <v>-2780</v>
          </cell>
          <cell r="CD129">
            <v>-2200</v>
          </cell>
          <cell r="CE129">
            <v>-3170</v>
          </cell>
          <cell r="CF129">
            <v>-2580</v>
          </cell>
          <cell r="CG129">
            <v>-2180</v>
          </cell>
          <cell r="CH129">
            <v>-2230</v>
          </cell>
          <cell r="CI129">
            <v>-3030</v>
          </cell>
          <cell r="CJ129">
            <v>-2890</v>
          </cell>
          <cell r="CK129">
            <v>-2930</v>
          </cell>
          <cell r="CL129">
            <v>-2630</v>
          </cell>
          <cell r="CM129">
            <v>-3840</v>
          </cell>
          <cell r="CN129">
            <v>-3600</v>
          </cell>
          <cell r="CO129">
            <v>-66440</v>
          </cell>
          <cell r="CP129">
            <v>-3700</v>
          </cell>
          <cell r="CQ129">
            <v>-3050</v>
          </cell>
          <cell r="CR129">
            <v>-3140</v>
          </cell>
          <cell r="CS129">
            <v>-2790</v>
          </cell>
          <cell r="CT129">
            <v>-3390</v>
          </cell>
          <cell r="CU129">
            <v>-3610</v>
          </cell>
          <cell r="CV129">
            <v>-2890</v>
          </cell>
          <cell r="CW129">
            <v>-2950</v>
          </cell>
          <cell r="CX129">
            <v>-2730</v>
          </cell>
          <cell r="CY129">
            <v>-2720</v>
          </cell>
          <cell r="CZ129">
            <v>-3060</v>
          </cell>
          <cell r="DA129">
            <v>-3740</v>
          </cell>
          <cell r="DB129">
            <v>-3950</v>
          </cell>
          <cell r="DC129">
            <v>-4020</v>
          </cell>
          <cell r="DD129">
            <v>-2780</v>
          </cell>
          <cell r="DE129">
            <v>-2500</v>
          </cell>
          <cell r="DF129">
            <v>-25730</v>
          </cell>
          <cell r="DG129">
            <v>-3510</v>
          </cell>
        </row>
        <row r="130">
          <cell r="A130">
            <v>4950211</v>
          </cell>
          <cell r="B130">
            <v>4950211</v>
          </cell>
          <cell r="C130" t="str">
            <v>OthRev-Termination</v>
          </cell>
          <cell r="D130">
            <v>-900</v>
          </cell>
          <cell r="E130">
            <v>-810</v>
          </cell>
          <cell r="F130">
            <v>-510</v>
          </cell>
          <cell r="G130">
            <v>-390</v>
          </cell>
          <cell r="H130">
            <v>0</v>
          </cell>
          <cell r="I130">
            <v>-1080</v>
          </cell>
          <cell r="J130">
            <v>-600</v>
          </cell>
          <cell r="K130">
            <v>-480</v>
          </cell>
          <cell r="L130">
            <v>-420</v>
          </cell>
          <cell r="M130">
            <v>-780</v>
          </cell>
          <cell r="N130">
            <v>-780</v>
          </cell>
          <cell r="O130">
            <v>-390</v>
          </cell>
          <cell r="P130">
            <v>-990</v>
          </cell>
          <cell r="Q130">
            <v>-900</v>
          </cell>
          <cell r="R130">
            <v>-480</v>
          </cell>
          <cell r="S130">
            <v>-630</v>
          </cell>
          <cell r="T130">
            <v>0</v>
          </cell>
          <cell r="U130">
            <v>-900</v>
          </cell>
          <cell r="V130">
            <v>-360</v>
          </cell>
          <cell r="W130">
            <v>-360</v>
          </cell>
          <cell r="X130">
            <v>-480</v>
          </cell>
          <cell r="Y130">
            <v>-420</v>
          </cell>
          <cell r="Z130">
            <v>-360</v>
          </cell>
          <cell r="AA130">
            <v>-780</v>
          </cell>
          <cell r="AB130">
            <v>-390</v>
          </cell>
          <cell r="AC130">
            <v>-810</v>
          </cell>
          <cell r="AD130">
            <v>-510</v>
          </cell>
          <cell r="AE130">
            <v>-390</v>
          </cell>
          <cell r="AF130">
            <v>-360</v>
          </cell>
          <cell r="AG130">
            <v>-210</v>
          </cell>
          <cell r="AH130">
            <v>-930</v>
          </cell>
          <cell r="AI130">
            <v>0</v>
          </cell>
          <cell r="AJ130">
            <v>-540</v>
          </cell>
          <cell r="AK130">
            <v>-240</v>
          </cell>
          <cell r="AL130">
            <v>-390</v>
          </cell>
          <cell r="AM130">
            <v>-690</v>
          </cell>
          <cell r="AN130">
            <v>-480</v>
          </cell>
          <cell r="AO130">
            <v>0</v>
          </cell>
          <cell r="AP130">
            <v>-1620</v>
          </cell>
          <cell r="AQ130">
            <v>-30</v>
          </cell>
          <cell r="AR130">
            <v>-720</v>
          </cell>
          <cell r="AS130">
            <v>-600</v>
          </cell>
          <cell r="AT130">
            <v>-510</v>
          </cell>
          <cell r="AU130">
            <v>-630</v>
          </cell>
          <cell r="AV130">
            <v>-480</v>
          </cell>
          <cell r="AW130">
            <v>-450</v>
          </cell>
          <cell r="AX130">
            <v>-690</v>
          </cell>
          <cell r="AY130">
            <v>-600</v>
          </cell>
          <cell r="AZ130">
            <v>-270</v>
          </cell>
          <cell r="BA130">
            <v>-510</v>
          </cell>
          <cell r="BB130">
            <v>-360</v>
          </cell>
          <cell r="BC130">
            <v>-540</v>
          </cell>
          <cell r="BD130">
            <v>-240</v>
          </cell>
          <cell r="BE130">
            <v>-600</v>
          </cell>
          <cell r="BF130">
            <v>0</v>
          </cell>
          <cell r="BG130">
            <v>-540</v>
          </cell>
          <cell r="BH130">
            <v>-150</v>
          </cell>
          <cell r="BI130">
            <v>-570</v>
          </cell>
          <cell r="BJ130">
            <v>-480</v>
          </cell>
          <cell r="BK130">
            <v>-630</v>
          </cell>
          <cell r="BL130">
            <v>-810</v>
          </cell>
          <cell r="BM130">
            <v>-990</v>
          </cell>
          <cell r="BN130">
            <v>-660</v>
          </cell>
          <cell r="BO130">
            <v>-300</v>
          </cell>
          <cell r="BP130">
            <v>0</v>
          </cell>
          <cell r="BQ130">
            <v>-510</v>
          </cell>
          <cell r="BR130">
            <v>-480</v>
          </cell>
          <cell r="BS130">
            <v>-510</v>
          </cell>
          <cell r="BT130">
            <v>-240</v>
          </cell>
          <cell r="BU130">
            <v>0</v>
          </cell>
          <cell r="BV130">
            <v>-2130</v>
          </cell>
          <cell r="BW130">
            <v>-450</v>
          </cell>
          <cell r="BX130">
            <v>-450</v>
          </cell>
          <cell r="BY130">
            <v>-390</v>
          </cell>
          <cell r="BZ130">
            <v>-450</v>
          </cell>
          <cell r="CA130">
            <v>-360</v>
          </cell>
          <cell r="CB130">
            <v>-690</v>
          </cell>
          <cell r="CC130">
            <v>-1050</v>
          </cell>
          <cell r="CD130">
            <v>-1110</v>
          </cell>
          <cell r="CE130">
            <v>-540</v>
          </cell>
          <cell r="CF130">
            <v>-600</v>
          </cell>
          <cell r="CG130">
            <v>-480</v>
          </cell>
          <cell r="CH130">
            <v>-240</v>
          </cell>
          <cell r="CI130">
            <v>-600</v>
          </cell>
          <cell r="CJ130">
            <v>-240</v>
          </cell>
          <cell r="CK130">
            <v>-728</v>
          </cell>
          <cell r="CL130">
            <v>-364</v>
          </cell>
          <cell r="CM130">
            <v>-208</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-52</v>
          </cell>
          <cell r="DE130">
            <v>0</v>
          </cell>
          <cell r="DF130">
            <v>0</v>
          </cell>
          <cell r="DG130">
            <v>0</v>
          </cell>
        </row>
        <row r="131">
          <cell r="A131">
            <v>4950212</v>
          </cell>
          <cell r="B131">
            <v>4950212</v>
          </cell>
          <cell r="C131" t="str">
            <v>OthRev-FLGasUtility</v>
          </cell>
          <cell r="D131">
            <v>-41490</v>
          </cell>
          <cell r="E131">
            <v>-33072</v>
          </cell>
          <cell r="F131">
            <v>-26102</v>
          </cell>
          <cell r="G131">
            <v>-18820</v>
          </cell>
          <cell r="H131">
            <v>-15838</v>
          </cell>
          <cell r="I131">
            <v>-14210</v>
          </cell>
          <cell r="J131">
            <v>-14106</v>
          </cell>
          <cell r="K131">
            <v>0</v>
          </cell>
          <cell r="L131">
            <v>14106</v>
          </cell>
          <cell r="M131">
            <v>-14188</v>
          </cell>
          <cell r="N131">
            <v>-20631</v>
          </cell>
          <cell r="O131">
            <v>-30573</v>
          </cell>
          <cell r="P131">
            <v>-37368</v>
          </cell>
          <cell r="Q131">
            <v>-29252</v>
          </cell>
          <cell r="R131">
            <v>-29703.05</v>
          </cell>
          <cell r="S131">
            <v>-15099</v>
          </cell>
          <cell r="T131">
            <v>0</v>
          </cell>
          <cell r="U131">
            <v>0</v>
          </cell>
          <cell r="V131">
            <v>-2426.88</v>
          </cell>
          <cell r="W131">
            <v>0</v>
          </cell>
          <cell r="X131">
            <v>-4004.69</v>
          </cell>
          <cell r="Y131">
            <v>-14188</v>
          </cell>
          <cell r="Z131">
            <v>-20631</v>
          </cell>
          <cell r="AA131">
            <v>-30573</v>
          </cell>
          <cell r="AB131">
            <v>-37368</v>
          </cell>
          <cell r="AC131">
            <v>-34759.26</v>
          </cell>
          <cell r="AD131">
            <v>-21517</v>
          </cell>
          <cell r="AE131">
            <v>-18539.509999999998</v>
          </cell>
          <cell r="AF131">
            <v>-6676.37</v>
          </cell>
          <cell r="AG131">
            <v>0</v>
          </cell>
          <cell r="AH131">
            <v>0</v>
          </cell>
          <cell r="AI131">
            <v>0</v>
          </cell>
          <cell r="AJ131">
            <v>0</v>
          </cell>
          <cell r="AK131">
            <v>-14188</v>
          </cell>
          <cell r="AL131">
            <v>14188</v>
          </cell>
          <cell r="AM131">
            <v>0</v>
          </cell>
          <cell r="AN131">
            <v>0</v>
          </cell>
          <cell r="AO131">
            <v>0</v>
          </cell>
          <cell r="AP131">
            <v>0</v>
          </cell>
          <cell r="AQ131">
            <v>0</v>
          </cell>
          <cell r="AR131">
            <v>0</v>
          </cell>
          <cell r="AS131">
            <v>0</v>
          </cell>
          <cell r="AT131">
            <v>0</v>
          </cell>
          <cell r="AU131">
            <v>0</v>
          </cell>
          <cell r="AV131">
            <v>0</v>
          </cell>
          <cell r="AW131"/>
          <cell r="AX131"/>
          <cell r="AY131"/>
          <cell r="AZ131"/>
          <cell r="BA131"/>
          <cell r="BB131"/>
          <cell r="BC131"/>
          <cell r="BD131"/>
          <cell r="BE131"/>
          <cell r="BF131"/>
          <cell r="BG131"/>
          <cell r="BH131"/>
          <cell r="BI131"/>
          <cell r="BJ131"/>
          <cell r="BK131"/>
          <cell r="BL131"/>
          <cell r="BM131"/>
          <cell r="BN131"/>
          <cell r="BO131"/>
          <cell r="BP131"/>
          <cell r="BQ131"/>
          <cell r="BR131"/>
          <cell r="BS131"/>
          <cell r="BT131"/>
          <cell r="BU131"/>
          <cell r="BV131"/>
          <cell r="BW131"/>
          <cell r="BX131"/>
          <cell r="BY131"/>
          <cell r="BZ131"/>
          <cell r="CA131"/>
          <cell r="CB131"/>
          <cell r="CC131"/>
          <cell r="CD131"/>
          <cell r="CE131"/>
          <cell r="CF131"/>
          <cell r="CG131"/>
          <cell r="CH131"/>
          <cell r="CI131"/>
          <cell r="CJ131"/>
          <cell r="CK131"/>
          <cell r="CL131"/>
          <cell r="CM131"/>
          <cell r="CN131"/>
          <cell r="CO131"/>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row>
        <row r="132">
          <cell r="A132">
            <v>4950213</v>
          </cell>
          <cell r="B132">
            <v>4950213</v>
          </cell>
          <cell r="C132" t="str">
            <v>OthRev-Supplier FTA</v>
          </cell>
          <cell r="D132">
            <v>-39621.269999999997</v>
          </cell>
          <cell r="E132">
            <v>-759422.6</v>
          </cell>
          <cell r="F132">
            <v>-1135311.55</v>
          </cell>
          <cell r="G132">
            <v>-36450.300000000003</v>
          </cell>
          <cell r="H132">
            <v>-1701.82</v>
          </cell>
          <cell r="I132">
            <v>-13004.94</v>
          </cell>
          <cell r="J132">
            <v>-27840.63</v>
          </cell>
          <cell r="K132">
            <v>-6234.51</v>
          </cell>
          <cell r="L132">
            <v>-7654.28</v>
          </cell>
          <cell r="M132">
            <v>-373678.85</v>
          </cell>
          <cell r="N132">
            <v>-57238.63</v>
          </cell>
          <cell r="O132">
            <v>-224553.11</v>
          </cell>
          <cell r="P132">
            <v>-170617.44</v>
          </cell>
          <cell r="Q132">
            <v>-343669</v>
          </cell>
          <cell r="R132">
            <v>-513556.46</v>
          </cell>
          <cell r="S132">
            <v>-160717.82999999999</v>
          </cell>
          <cell r="T132">
            <v>-10815.62</v>
          </cell>
          <cell r="U132">
            <v>-15829.87</v>
          </cell>
          <cell r="V132">
            <v>-521326.59</v>
          </cell>
          <cell r="W132">
            <v>-50955.19</v>
          </cell>
          <cell r="X132">
            <v>-257959.14</v>
          </cell>
          <cell r="Y132">
            <v>-309877.44</v>
          </cell>
          <cell r="Z132">
            <v>-68648.03</v>
          </cell>
          <cell r="AA132">
            <v>-129949.65</v>
          </cell>
          <cell r="AB132">
            <v>-236741.56</v>
          </cell>
          <cell r="AC132">
            <v>-623944</v>
          </cell>
          <cell r="AD132">
            <v>-330860.55</v>
          </cell>
          <cell r="AE132">
            <v>-8325.3700000000008</v>
          </cell>
          <cell r="AF132">
            <v>-3094.88</v>
          </cell>
          <cell r="AG132">
            <v>-59962.16</v>
          </cell>
          <cell r="AH132">
            <v>-84216.95</v>
          </cell>
          <cell r="AI132">
            <v>-3419.63</v>
          </cell>
          <cell r="AJ132">
            <v>-10628.54</v>
          </cell>
          <cell r="AK132">
            <v>-196649.23</v>
          </cell>
          <cell r="AL132">
            <v>-14150</v>
          </cell>
          <cell r="AM132">
            <v>-191001.78</v>
          </cell>
          <cell r="AN132">
            <v>-151136.51</v>
          </cell>
          <cell r="AO132">
            <v>-379263.57</v>
          </cell>
          <cell r="AP132">
            <v>18763.150000000001</v>
          </cell>
          <cell r="AQ132">
            <v>-375718.76</v>
          </cell>
          <cell r="AR132">
            <v>37419.199999999997</v>
          </cell>
          <cell r="AS132">
            <v>2505.1999999999998</v>
          </cell>
          <cell r="AT132">
            <v>-39516.589999999997</v>
          </cell>
          <cell r="AU132">
            <v>-976.69</v>
          </cell>
          <cell r="AV132">
            <v>-0.95</v>
          </cell>
          <cell r="AW132">
            <v>-11242.6</v>
          </cell>
          <cell r="AX132">
            <v>-104501.57</v>
          </cell>
          <cell r="AY132">
            <v>-439724.94</v>
          </cell>
          <cell r="AZ132">
            <v>-121084.61</v>
          </cell>
          <cell r="BA132">
            <v>-140684.32999999999</v>
          </cell>
          <cell r="BB132">
            <v>-14224.98</v>
          </cell>
          <cell r="BC132">
            <v>-13451.56</v>
          </cell>
          <cell r="BD132">
            <v>-196993.41</v>
          </cell>
          <cell r="BE132">
            <v>-2775.54</v>
          </cell>
          <cell r="BF132">
            <v>-131279.17000000001</v>
          </cell>
          <cell r="BG132">
            <v>-968.02</v>
          </cell>
          <cell r="BH132">
            <v>-11375.69</v>
          </cell>
          <cell r="BI132">
            <v>-512046.4</v>
          </cell>
          <cell r="BJ132">
            <v>-46210.47</v>
          </cell>
          <cell r="BK132">
            <v>-251458.55</v>
          </cell>
          <cell r="BL132">
            <v>-301732.65000000002</v>
          </cell>
          <cell r="BM132">
            <v>-201330.51</v>
          </cell>
          <cell r="BN132">
            <v>-535705.05000000005</v>
          </cell>
          <cell r="BO132">
            <v>-28778.85</v>
          </cell>
          <cell r="BP132">
            <v>-5282.83</v>
          </cell>
          <cell r="BQ132">
            <v>-8874.84</v>
          </cell>
          <cell r="BR132">
            <v>-14676.99</v>
          </cell>
          <cell r="BS132">
            <v>-0.11</v>
          </cell>
          <cell r="BT132">
            <v>-65004.74</v>
          </cell>
          <cell r="BU132">
            <v>-185061.04</v>
          </cell>
          <cell r="BV132">
            <v>-7520.93</v>
          </cell>
          <cell r="BW132">
            <v>-72496.39</v>
          </cell>
          <cell r="BX132">
            <v>-150898.81</v>
          </cell>
          <cell r="BY132">
            <v>-214974.98</v>
          </cell>
          <cell r="BZ132">
            <v>-142742.75</v>
          </cell>
          <cell r="CA132">
            <v>-35771.19</v>
          </cell>
          <cell r="CB132">
            <v>-9365.48</v>
          </cell>
          <cell r="CC132">
            <v>12163.78</v>
          </cell>
          <cell r="CD132">
            <v>-178890.55</v>
          </cell>
          <cell r="CE132">
            <v>-65451.86</v>
          </cell>
          <cell r="CF132">
            <v>-175537.48</v>
          </cell>
          <cell r="CG132">
            <v>-10380.06</v>
          </cell>
          <cell r="CH132">
            <v>-23311.35</v>
          </cell>
          <cell r="CI132">
            <v>-301309.84999999998</v>
          </cell>
          <cell r="CJ132">
            <v>-441268.87</v>
          </cell>
          <cell r="CK132">
            <v>-1496814.36</v>
          </cell>
          <cell r="CL132">
            <v>752666.97</v>
          </cell>
          <cell r="CM132">
            <v>-70229.350000000006</v>
          </cell>
          <cell r="CN132">
            <v>-51580.29</v>
          </cell>
          <cell r="CO132">
            <v>-1558.17</v>
          </cell>
          <cell r="CP132">
            <v>-180192.93</v>
          </cell>
          <cell r="CQ132">
            <v>-132133.34</v>
          </cell>
          <cell r="CR132">
            <v>58154.25</v>
          </cell>
          <cell r="CS132">
            <v>-271246.73</v>
          </cell>
          <cell r="CT132">
            <v>-811326.67</v>
          </cell>
          <cell r="CU132">
            <v>-204982.69</v>
          </cell>
          <cell r="CV132">
            <v>-128433.27</v>
          </cell>
          <cell r="CW132">
            <v>-228061</v>
          </cell>
          <cell r="CX132">
            <v>-485982.46</v>
          </cell>
          <cell r="CY132">
            <v>-69919.25</v>
          </cell>
          <cell r="CZ132">
            <v>-39187.03</v>
          </cell>
          <cell r="DA132">
            <v>-186902.72</v>
          </cell>
          <cell r="DB132">
            <v>-121963.54</v>
          </cell>
          <cell r="DC132">
            <v>-94100.03</v>
          </cell>
          <cell r="DD132">
            <v>3674.52</v>
          </cell>
          <cell r="DE132">
            <v>-126363.9</v>
          </cell>
          <cell r="DF132">
            <v>-302678.68</v>
          </cell>
          <cell r="DG132">
            <v>-388063.33</v>
          </cell>
        </row>
        <row r="133">
          <cell r="A133">
            <v>4950214</v>
          </cell>
          <cell r="B133">
            <v>4950214</v>
          </cell>
          <cell r="C133" t="str">
            <v>OthRev-Hardee Maint</v>
          </cell>
          <cell r="D133"/>
          <cell r="E133"/>
          <cell r="F133"/>
          <cell r="G133"/>
          <cell r="H133"/>
          <cell r="I133"/>
          <cell r="J133"/>
          <cell r="K133"/>
          <cell r="L133"/>
          <cell r="M133"/>
          <cell r="N133"/>
          <cell r="O133"/>
          <cell r="P133"/>
          <cell r="Q133"/>
          <cell r="R133"/>
          <cell r="S133"/>
          <cell r="T133"/>
          <cell r="U133"/>
          <cell r="V133"/>
          <cell r="W133"/>
          <cell r="X133"/>
          <cell r="Y133"/>
          <cell r="Z133"/>
          <cell r="AA133"/>
          <cell r="AB133"/>
          <cell r="AC133"/>
          <cell r="AD133"/>
          <cell r="AE133">
            <v>0</v>
          </cell>
          <cell r="AF133">
            <v>-329800</v>
          </cell>
          <cell r="AG133">
            <v>0</v>
          </cell>
          <cell r="AH133">
            <v>0</v>
          </cell>
          <cell r="AI133">
            <v>0</v>
          </cell>
          <cell r="AJ133">
            <v>0</v>
          </cell>
          <cell r="AK133">
            <v>-329800</v>
          </cell>
          <cell r="AL133">
            <v>0</v>
          </cell>
          <cell r="AM133">
            <v>0</v>
          </cell>
          <cell r="AN133">
            <v>0</v>
          </cell>
          <cell r="AO133">
            <v>35928.14</v>
          </cell>
          <cell r="AP133">
            <v>17964.07</v>
          </cell>
          <cell r="AQ133">
            <v>17964.07</v>
          </cell>
          <cell r="AR133">
            <v>17964.07</v>
          </cell>
          <cell r="AS133">
            <v>17964.07</v>
          </cell>
          <cell r="AT133">
            <v>17964.07</v>
          </cell>
          <cell r="AU133">
            <v>0</v>
          </cell>
          <cell r="AV133">
            <v>35928.14</v>
          </cell>
          <cell r="AW133">
            <v>17964.07</v>
          </cell>
          <cell r="AX133">
            <v>17964.07</v>
          </cell>
          <cell r="AY133">
            <v>17964.07</v>
          </cell>
          <cell r="AZ133">
            <v>17964.07</v>
          </cell>
          <cell r="BA133">
            <v>17964.07</v>
          </cell>
          <cell r="BB133">
            <v>17964.07</v>
          </cell>
          <cell r="BC133">
            <v>17964.07</v>
          </cell>
          <cell r="BD133">
            <v>17964.07</v>
          </cell>
          <cell r="BE133">
            <v>17964.07</v>
          </cell>
          <cell r="BF133">
            <v>17964.07</v>
          </cell>
          <cell r="BG133">
            <v>17964.07</v>
          </cell>
          <cell r="BH133">
            <v>17964.07</v>
          </cell>
          <cell r="BI133">
            <v>17964.07</v>
          </cell>
          <cell r="BJ133">
            <v>17964.07</v>
          </cell>
          <cell r="BK133">
            <v>17964.07</v>
          </cell>
          <cell r="BL133">
            <v>17964.07</v>
          </cell>
          <cell r="BM133">
            <v>17964.07</v>
          </cell>
          <cell r="BN133">
            <v>17964.07</v>
          </cell>
          <cell r="BO133">
            <v>17964.07</v>
          </cell>
          <cell r="BP133">
            <v>17964.07</v>
          </cell>
          <cell r="BQ133">
            <v>17964.07</v>
          </cell>
          <cell r="BR133">
            <v>17964.07</v>
          </cell>
          <cell r="BS133">
            <v>17964.07</v>
          </cell>
          <cell r="BT133">
            <v>17964.07</v>
          </cell>
          <cell r="BU133">
            <v>17964.07</v>
          </cell>
          <cell r="BV133">
            <v>17964.07</v>
          </cell>
          <cell r="BW133">
            <v>17964.07</v>
          </cell>
          <cell r="BX133">
            <v>17964.07</v>
          </cell>
          <cell r="BY133">
            <v>17964.07</v>
          </cell>
          <cell r="BZ133">
            <v>17964.07</v>
          </cell>
          <cell r="CA133">
            <v>17964.07</v>
          </cell>
          <cell r="CB133">
            <v>17964.07</v>
          </cell>
          <cell r="CC133">
            <v>17964.07</v>
          </cell>
          <cell r="CD133">
            <v>17964.07</v>
          </cell>
          <cell r="CE133">
            <v>17964.07</v>
          </cell>
          <cell r="CF133">
            <v>17964.07</v>
          </cell>
          <cell r="CG133">
            <v>17964.07</v>
          </cell>
          <cell r="CH133">
            <v>17964.07</v>
          </cell>
          <cell r="CI133">
            <v>17964.07</v>
          </cell>
          <cell r="CJ133">
            <v>17964.07</v>
          </cell>
          <cell r="CK133">
            <v>17964.07</v>
          </cell>
          <cell r="CL133">
            <v>17964.07</v>
          </cell>
          <cell r="CM133">
            <v>17964.07</v>
          </cell>
          <cell r="CN133">
            <v>17964.07</v>
          </cell>
          <cell r="CO133">
            <v>17964.07</v>
          </cell>
          <cell r="CP133">
            <v>17964.07</v>
          </cell>
          <cell r="CQ133">
            <v>17964.07</v>
          </cell>
          <cell r="CR133">
            <v>17964.07</v>
          </cell>
          <cell r="CS133">
            <v>17964.07</v>
          </cell>
          <cell r="CT133">
            <v>17964.07</v>
          </cell>
          <cell r="CU133">
            <v>17964.07</v>
          </cell>
          <cell r="CV133">
            <v>17964.07</v>
          </cell>
          <cell r="CW133">
            <v>17964.07</v>
          </cell>
          <cell r="CX133">
            <v>17964.07</v>
          </cell>
          <cell r="CY133">
            <v>17964.07</v>
          </cell>
          <cell r="CZ133">
            <v>17964.07</v>
          </cell>
          <cell r="DA133">
            <v>17964.07</v>
          </cell>
          <cell r="DB133">
            <v>17964.07</v>
          </cell>
          <cell r="DC133">
            <v>17964.07</v>
          </cell>
          <cell r="DD133">
            <v>17964.07</v>
          </cell>
          <cell r="DE133">
            <v>17964.07</v>
          </cell>
          <cell r="DF133">
            <v>17964.07</v>
          </cell>
          <cell r="DG133">
            <v>17964.07</v>
          </cell>
        </row>
        <row r="134">
          <cell r="A134">
            <v>4950215</v>
          </cell>
          <cell r="B134">
            <v>4950215</v>
          </cell>
          <cell r="C134" t="str">
            <v>OthRev-HardeeBuySell</v>
          </cell>
          <cell r="D134"/>
          <cell r="E134"/>
          <cell r="F134"/>
          <cell r="G134"/>
          <cell r="H134"/>
          <cell r="I134"/>
          <cell r="J134"/>
          <cell r="K134"/>
          <cell r="L134"/>
          <cell r="M134"/>
          <cell r="N134"/>
          <cell r="O134"/>
          <cell r="P134"/>
          <cell r="Q134"/>
          <cell r="R134"/>
          <cell r="S134"/>
          <cell r="T134"/>
          <cell r="U134"/>
          <cell r="V134"/>
          <cell r="W134"/>
          <cell r="X134"/>
          <cell r="Y134"/>
          <cell r="Z134"/>
          <cell r="AA134"/>
          <cell r="AB134"/>
          <cell r="AC134"/>
          <cell r="AD134"/>
          <cell r="AE134"/>
          <cell r="AF134"/>
          <cell r="AG134"/>
          <cell r="AH134"/>
          <cell r="AI134"/>
          <cell r="AJ134"/>
          <cell r="AK134"/>
          <cell r="AL134"/>
          <cell r="AM134"/>
          <cell r="AN134"/>
          <cell r="AO134"/>
          <cell r="AP134"/>
          <cell r="AQ134"/>
          <cell r="AR134"/>
          <cell r="AS134"/>
          <cell r="AT134"/>
          <cell r="AU134"/>
          <cell r="AV134"/>
          <cell r="AW134"/>
          <cell r="AX134"/>
          <cell r="AY134"/>
          <cell r="AZ134"/>
          <cell r="BA134"/>
          <cell r="BB134"/>
          <cell r="BC134"/>
          <cell r="BD134"/>
          <cell r="BE134"/>
          <cell r="BF134"/>
          <cell r="BG134"/>
          <cell r="BH134"/>
          <cell r="BI134"/>
          <cell r="BJ134"/>
          <cell r="BK134"/>
          <cell r="BL134">
            <v>0</v>
          </cell>
          <cell r="BM134">
            <v>0</v>
          </cell>
          <cell r="BN134">
            <v>0</v>
          </cell>
          <cell r="BO134">
            <v>0</v>
          </cell>
          <cell r="BP134">
            <v>0</v>
          </cell>
          <cell r="BQ134">
            <v>0</v>
          </cell>
          <cell r="BR134">
            <v>0</v>
          </cell>
          <cell r="BS134">
            <v>-577394.22</v>
          </cell>
          <cell r="BT134">
            <v>-603495.04</v>
          </cell>
          <cell r="BU134">
            <v>-604053.05000000005</v>
          </cell>
          <cell r="BV134">
            <v>-683939.38</v>
          </cell>
          <cell r="BW134">
            <v>-952748.88</v>
          </cell>
          <cell r="BX134">
            <v>5697.37</v>
          </cell>
          <cell r="BY134">
            <v>415.83</v>
          </cell>
          <cell r="BZ134">
            <v>126.29</v>
          </cell>
          <cell r="CA134">
            <v>684.15</v>
          </cell>
          <cell r="CB134">
            <v>-104.18</v>
          </cell>
          <cell r="CC134">
            <v>-77.739999999999995</v>
          </cell>
          <cell r="CD134">
            <v>-118.2</v>
          </cell>
          <cell r="CE134">
            <v>-220.26</v>
          </cell>
          <cell r="CF134">
            <v>-315.58999999999997</v>
          </cell>
          <cell r="CG134">
            <v>-11.5</v>
          </cell>
          <cell r="CH134">
            <v>4.55</v>
          </cell>
          <cell r="CI134">
            <v>534.74</v>
          </cell>
          <cell r="CJ134">
            <v>9.24</v>
          </cell>
          <cell r="CK134">
            <v>6.36</v>
          </cell>
          <cell r="CL134">
            <v>157.77000000000001</v>
          </cell>
          <cell r="CM134">
            <v>0.36</v>
          </cell>
          <cell r="CN134">
            <v>1.89</v>
          </cell>
          <cell r="CO134">
            <v>-13.23</v>
          </cell>
          <cell r="CP134">
            <v>0.14000000000000001</v>
          </cell>
          <cell r="CQ134">
            <v>0</v>
          </cell>
          <cell r="CR134">
            <v>0</v>
          </cell>
          <cell r="CS134">
            <v>0.32</v>
          </cell>
          <cell r="CT134">
            <v>0.32</v>
          </cell>
          <cell r="CU134">
            <v>0</v>
          </cell>
          <cell r="CV134">
            <v>-0.32</v>
          </cell>
          <cell r="CW134">
            <v>0</v>
          </cell>
          <cell r="CX134">
            <v>0</v>
          </cell>
          <cell r="CY134">
            <v>2.59</v>
          </cell>
          <cell r="CZ134">
            <v>-2.59</v>
          </cell>
          <cell r="DA134">
            <v>0</v>
          </cell>
          <cell r="DB134">
            <v>0.01</v>
          </cell>
          <cell r="DC134">
            <v>0</v>
          </cell>
          <cell r="DD134">
            <v>0</v>
          </cell>
          <cell r="DE134">
            <v>0</v>
          </cell>
          <cell r="DF134">
            <v>0.51</v>
          </cell>
          <cell r="DG134">
            <v>0</v>
          </cell>
        </row>
        <row r="135">
          <cell r="A135">
            <v>4950220</v>
          </cell>
          <cell r="B135">
            <v>4950220</v>
          </cell>
          <cell r="C135" t="str">
            <v>OthRev-DailyOvrUsage</v>
          </cell>
          <cell r="D135"/>
          <cell r="E135"/>
          <cell r="F135"/>
          <cell r="G135"/>
          <cell r="H135"/>
          <cell r="I135"/>
          <cell r="J135"/>
          <cell r="K135"/>
          <cell r="L135"/>
          <cell r="M135"/>
          <cell r="N135"/>
          <cell r="O135"/>
          <cell r="P135"/>
          <cell r="Q135"/>
          <cell r="R135"/>
          <cell r="S135"/>
          <cell r="T135"/>
          <cell r="U135"/>
          <cell r="V135"/>
          <cell r="W135"/>
          <cell r="X135"/>
          <cell r="Y135"/>
          <cell r="Z135"/>
          <cell r="AA135"/>
          <cell r="AB135"/>
          <cell r="AC135"/>
          <cell r="AD135"/>
          <cell r="AE135"/>
          <cell r="AF135"/>
          <cell r="AG135"/>
          <cell r="AH135"/>
          <cell r="AI135"/>
          <cell r="AJ135"/>
          <cell r="AK135"/>
          <cell r="AL135"/>
          <cell r="AM135"/>
          <cell r="AN135"/>
          <cell r="AO135"/>
          <cell r="AP135"/>
          <cell r="AQ135"/>
          <cell r="AR135"/>
          <cell r="AS135"/>
          <cell r="AT135"/>
          <cell r="AU135"/>
          <cell r="AV135"/>
          <cell r="AW135"/>
          <cell r="AX135"/>
          <cell r="AY135"/>
          <cell r="AZ135"/>
          <cell r="BA135"/>
          <cell r="BB135"/>
          <cell r="BC135"/>
          <cell r="BD135"/>
          <cell r="BE135"/>
          <cell r="BF135"/>
          <cell r="BG135"/>
          <cell r="BH135"/>
          <cell r="BI135"/>
          <cell r="BJ135"/>
          <cell r="BK135"/>
          <cell r="BL135"/>
          <cell r="BM135"/>
          <cell r="BN135"/>
          <cell r="BO135"/>
          <cell r="BP135"/>
          <cell r="BQ135"/>
          <cell r="BR135"/>
          <cell r="BS135"/>
          <cell r="BT135"/>
          <cell r="BU135"/>
          <cell r="BV135"/>
          <cell r="BW135"/>
          <cell r="BX135"/>
          <cell r="BY135"/>
          <cell r="BZ135"/>
          <cell r="CA135">
            <v>-579.97</v>
          </cell>
          <cell r="CB135">
            <v>0</v>
          </cell>
          <cell r="CC135">
            <v>-4529.2700000000004</v>
          </cell>
          <cell r="CD135">
            <v>-5291.19</v>
          </cell>
          <cell r="CE135">
            <v>-4288.76</v>
          </cell>
          <cell r="CF135">
            <v>-1041.52</v>
          </cell>
          <cell r="CG135">
            <v>-3553.46</v>
          </cell>
          <cell r="CH135">
            <v>-9865.4599999999991</v>
          </cell>
          <cell r="CI135">
            <v>4932.7299999999996</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123637.07</v>
          </cell>
        </row>
        <row r="136">
          <cell r="A136">
            <v>4950271</v>
          </cell>
          <cell r="B136">
            <v>4950271</v>
          </cell>
          <cell r="C136" t="str">
            <v>CI/BSR Rider Revenue</v>
          </cell>
          <cell r="D136">
            <v>-247786.94</v>
          </cell>
          <cell r="E136">
            <v>-255179.37</v>
          </cell>
          <cell r="F136">
            <v>-214051.12</v>
          </cell>
          <cell r="G136">
            <v>-193065.21</v>
          </cell>
          <cell r="H136">
            <v>-160404.26999999999</v>
          </cell>
          <cell r="I136">
            <v>-153132.13</v>
          </cell>
          <cell r="J136">
            <v>-140786.32</v>
          </cell>
          <cell r="K136">
            <v>-130752.38</v>
          </cell>
          <cell r="L136">
            <v>-140257.57</v>
          </cell>
          <cell r="M136">
            <v>-145374.07999999999</v>
          </cell>
          <cell r="N136">
            <v>-163926.46</v>
          </cell>
          <cell r="O136">
            <v>-213697.83</v>
          </cell>
          <cell r="P136">
            <v>-392426.97</v>
          </cell>
          <cell r="Q136">
            <v>-404258.14</v>
          </cell>
          <cell r="R136">
            <v>-391864.09</v>
          </cell>
          <cell r="S136">
            <v>-293880.45</v>
          </cell>
          <cell r="T136">
            <v>-238738.44</v>
          </cell>
          <cell r="U136">
            <v>-243327.4</v>
          </cell>
          <cell r="V136">
            <v>-222736.7</v>
          </cell>
          <cell r="W136">
            <v>-227074.67</v>
          </cell>
          <cell r="X136">
            <v>-219553.22</v>
          </cell>
          <cell r="Y136">
            <v>-227287.32</v>
          </cell>
          <cell r="Z136">
            <v>-248706.66</v>
          </cell>
          <cell r="AA136">
            <v>-291957.28999999998</v>
          </cell>
          <cell r="AB136">
            <v>-503560.9</v>
          </cell>
          <cell r="AC136">
            <v>-555846.15</v>
          </cell>
          <cell r="AD136">
            <v>-486680.24</v>
          </cell>
          <cell r="AE136">
            <v>-423633.84</v>
          </cell>
          <cell r="AF136">
            <v>-371706.55</v>
          </cell>
          <cell r="AG136">
            <v>-335098.07</v>
          </cell>
          <cell r="AH136">
            <v>-315950.17</v>
          </cell>
          <cell r="AI136">
            <v>-292722.45</v>
          </cell>
          <cell r="AJ136">
            <v>-315170.59999999998</v>
          </cell>
          <cell r="AK136">
            <v>-310225.51</v>
          </cell>
          <cell r="AL136">
            <v>-361294.9</v>
          </cell>
          <cell r="AM136">
            <v>-431790</v>
          </cell>
          <cell r="AN136">
            <v>-466458.15</v>
          </cell>
          <cell r="AO136">
            <v>-437701.91</v>
          </cell>
          <cell r="AP136">
            <v>-412161.38</v>
          </cell>
          <cell r="AQ136">
            <v>-401571.87</v>
          </cell>
          <cell r="AR136">
            <v>-342826.81</v>
          </cell>
          <cell r="AS136">
            <v>-308653.09999999998</v>
          </cell>
          <cell r="AT136">
            <v>-285347.69</v>
          </cell>
          <cell r="AU136">
            <v>-277844.7</v>
          </cell>
          <cell r="AV136">
            <v>-310899.46999999997</v>
          </cell>
          <cell r="AW136">
            <v>-276331.62</v>
          </cell>
          <cell r="AX136">
            <v>-338610.15</v>
          </cell>
          <cell r="AY136">
            <v>-415205.38</v>
          </cell>
          <cell r="AZ136">
            <v>-1347064.28</v>
          </cell>
          <cell r="BA136">
            <v>-1177801.92</v>
          </cell>
          <cell r="BB136">
            <v>-962303.96</v>
          </cell>
          <cell r="BC136">
            <v>-994094.4</v>
          </cell>
          <cell r="BD136">
            <v>-799283.78</v>
          </cell>
          <cell r="BE136">
            <v>-757629.51</v>
          </cell>
          <cell r="BF136">
            <v>-675394.22</v>
          </cell>
          <cell r="BG136">
            <v>-651091.89</v>
          </cell>
          <cell r="BH136">
            <v>-715195.42</v>
          </cell>
          <cell r="BI136">
            <v>-656823.29</v>
          </cell>
          <cell r="BJ136">
            <v>-727483.33</v>
          </cell>
          <cell r="BK136">
            <v>-987445.96</v>
          </cell>
          <cell r="BL136">
            <v>-1198922.3799999999</v>
          </cell>
          <cell r="BM136">
            <v>-1206056.68</v>
          </cell>
          <cell r="BN136">
            <v>-1002030.98</v>
          </cell>
          <cell r="BO136">
            <v>-928291.85</v>
          </cell>
          <cell r="BP136">
            <v>-834210.52</v>
          </cell>
          <cell r="BQ136">
            <v>-715446.95</v>
          </cell>
          <cell r="BR136">
            <v>-678948.45</v>
          </cell>
          <cell r="BS136">
            <v>-672993.03</v>
          </cell>
          <cell r="BT136">
            <v>-690986.28</v>
          </cell>
          <cell r="BU136">
            <v>-689084.13</v>
          </cell>
          <cell r="BV136">
            <v>-775406.97</v>
          </cell>
          <cell r="BW136">
            <v>-1058406.8500000001</v>
          </cell>
          <cell r="BX136">
            <v>-2113054.27</v>
          </cell>
          <cell r="BY136">
            <v>-2057696.28</v>
          </cell>
          <cell r="BZ136">
            <v>-1918402.13</v>
          </cell>
          <cell r="CA136">
            <v>-1444361.54</v>
          </cell>
          <cell r="CB136">
            <v>-1285441.3799999999</v>
          </cell>
          <cell r="CC136">
            <v>-1282825.82</v>
          </cell>
          <cell r="CD136">
            <v>-1174816.1299999999</v>
          </cell>
          <cell r="CE136">
            <v>-1166827.43</v>
          </cell>
          <cell r="CF136">
            <v>-1155548.96</v>
          </cell>
          <cell r="CG136">
            <v>-1233487.53</v>
          </cell>
          <cell r="CH136">
            <v>-1427128.08</v>
          </cell>
          <cell r="CI136">
            <v>-1822781.85</v>
          </cell>
          <cell r="CJ136">
            <v>-629572.49</v>
          </cell>
          <cell r="CK136">
            <v>-575422.13</v>
          </cell>
          <cell r="CL136">
            <v>-493924.82</v>
          </cell>
          <cell r="CM136">
            <v>-482308.89</v>
          </cell>
          <cell r="CN136">
            <v>-400065.18</v>
          </cell>
          <cell r="CO136">
            <v>-371791.02</v>
          </cell>
          <cell r="CP136">
            <v>-360971.6</v>
          </cell>
          <cell r="CQ136">
            <v>-325641.36</v>
          </cell>
          <cell r="CR136">
            <v>-347568.34</v>
          </cell>
          <cell r="CS136">
            <v>-339857.04</v>
          </cell>
          <cell r="CT136">
            <v>-392179.59</v>
          </cell>
          <cell r="CU136">
            <v>-512979.14</v>
          </cell>
          <cell r="CV136">
            <v>-543375.56000000006</v>
          </cell>
          <cell r="CW136">
            <v>-586569.39</v>
          </cell>
          <cell r="CX136">
            <v>-503055.91</v>
          </cell>
          <cell r="CY136">
            <v>-451733.47</v>
          </cell>
          <cell r="CZ136">
            <v>-418513.73</v>
          </cell>
          <cell r="DA136">
            <v>-363653.61</v>
          </cell>
          <cell r="DB136">
            <v>-333372.26</v>
          </cell>
          <cell r="DC136">
            <v>-321216.96000000002</v>
          </cell>
          <cell r="DD136">
            <v>-334017.89</v>
          </cell>
          <cell r="DE136">
            <v>-365550.1</v>
          </cell>
          <cell r="DF136">
            <v>-389787.47</v>
          </cell>
          <cell r="DG136">
            <v>-467159.65</v>
          </cell>
        </row>
        <row r="137">
          <cell r="A137">
            <v>4950800</v>
          </cell>
          <cell r="B137">
            <v>4950800</v>
          </cell>
          <cell r="C137" t="str">
            <v>Other Rev Misc</v>
          </cell>
          <cell r="D137">
            <v>850.08</v>
          </cell>
          <cell r="E137">
            <v>907.42</v>
          </cell>
          <cell r="F137">
            <v>689.96</v>
          </cell>
          <cell r="G137">
            <v>588.42999999999995</v>
          </cell>
          <cell r="H137">
            <v>447.89</v>
          </cell>
          <cell r="I137">
            <v>410.82</v>
          </cell>
          <cell r="J137">
            <v>369.15</v>
          </cell>
          <cell r="K137">
            <v>319.33</v>
          </cell>
          <cell r="L137">
            <v>367.74</v>
          </cell>
          <cell r="M137">
            <v>359.94</v>
          </cell>
          <cell r="N137">
            <v>465.57</v>
          </cell>
          <cell r="O137">
            <v>704.92</v>
          </cell>
          <cell r="P137">
            <v>76463.360000000001</v>
          </cell>
          <cell r="Q137">
            <v>81758.59</v>
          </cell>
          <cell r="R137">
            <v>76079.78</v>
          </cell>
          <cell r="S137">
            <v>49752.95</v>
          </cell>
          <cell r="T137">
            <v>38054.49</v>
          </cell>
          <cell r="U137">
            <v>39233.199999999997</v>
          </cell>
          <cell r="V137">
            <v>33652.92</v>
          </cell>
          <cell r="W137">
            <v>32752.31</v>
          </cell>
          <cell r="X137">
            <v>32066.37</v>
          </cell>
          <cell r="Y137">
            <v>33531.78</v>
          </cell>
          <cell r="Z137">
            <v>38804.71</v>
          </cell>
          <cell r="AA137">
            <v>47690.89</v>
          </cell>
          <cell r="AB137">
            <v>80701</v>
          </cell>
          <cell r="AC137">
            <v>95618.7</v>
          </cell>
          <cell r="AD137">
            <v>76869.259999999995</v>
          </cell>
          <cell r="AE137">
            <v>61252.15</v>
          </cell>
          <cell r="AF137">
            <v>48586.48</v>
          </cell>
          <cell r="AG137">
            <v>40982.339999999997</v>
          </cell>
          <cell r="AH137">
            <v>36552</v>
          </cell>
          <cell r="AI137">
            <v>35366.720000000001</v>
          </cell>
          <cell r="AJ137">
            <v>37162.17</v>
          </cell>
          <cell r="AK137">
            <v>38171.839999999997</v>
          </cell>
          <cell r="AL137">
            <v>48038.75</v>
          </cell>
          <cell r="AM137">
            <v>62129.78</v>
          </cell>
          <cell r="AN137">
            <v>106427.26</v>
          </cell>
          <cell r="AO137">
            <v>101609.32</v>
          </cell>
          <cell r="AP137">
            <v>91036.04</v>
          </cell>
          <cell r="AQ137">
            <v>86411.25</v>
          </cell>
          <cell r="AR137">
            <v>70699.72</v>
          </cell>
          <cell r="AS137">
            <v>59485.55</v>
          </cell>
          <cell r="AT137">
            <v>52902.85</v>
          </cell>
          <cell r="AU137">
            <v>46315.95</v>
          </cell>
          <cell r="AV137">
            <v>58877.63</v>
          </cell>
          <cell r="AW137">
            <v>56469.47</v>
          </cell>
          <cell r="AX137">
            <v>71740.56</v>
          </cell>
          <cell r="AY137">
            <v>93282.51</v>
          </cell>
          <cell r="AZ137">
            <v>518506.66</v>
          </cell>
          <cell r="BA137">
            <v>433765.64</v>
          </cell>
          <cell r="BB137">
            <v>-322935.84000000003</v>
          </cell>
          <cell r="BC137">
            <v>-334636.59999999998</v>
          </cell>
          <cell r="BD137">
            <v>-243710.44</v>
          </cell>
          <cell r="BE137">
            <v>-217861.03</v>
          </cell>
          <cell r="BF137">
            <v>-186008.57</v>
          </cell>
          <cell r="BG137">
            <v>-171489.38</v>
          </cell>
          <cell r="BH137">
            <v>-194133.29</v>
          </cell>
          <cell r="BI137">
            <v>-178757.93</v>
          </cell>
          <cell r="BJ137">
            <v>-211297.75</v>
          </cell>
          <cell r="BK137">
            <v>-332110.27</v>
          </cell>
          <cell r="BL137">
            <v>259051.35</v>
          </cell>
          <cell r="BM137">
            <v>264675.61</v>
          </cell>
          <cell r="BN137">
            <v>196561.58</v>
          </cell>
          <cell r="BO137">
            <v>184483.61</v>
          </cell>
          <cell r="BP137">
            <v>151009.60999999999</v>
          </cell>
          <cell r="BQ137">
            <v>116952.12</v>
          </cell>
          <cell r="BR137">
            <v>113003.38</v>
          </cell>
          <cell r="BS137">
            <v>104871.1</v>
          </cell>
          <cell r="BT137">
            <v>115266.24000000001</v>
          </cell>
          <cell r="BU137">
            <v>113480.3</v>
          </cell>
          <cell r="BV137">
            <v>137270.09</v>
          </cell>
          <cell r="BW137">
            <v>218949.11</v>
          </cell>
          <cell r="BX137">
            <v>213602.64</v>
          </cell>
          <cell r="BY137">
            <v>211655.07</v>
          </cell>
          <cell r="BZ137">
            <v>190920.76</v>
          </cell>
          <cell r="CA137">
            <v>149770.93</v>
          </cell>
          <cell r="CB137">
            <v>132510.39999999999</v>
          </cell>
          <cell r="CC137">
            <v>122031.73</v>
          </cell>
          <cell r="CD137">
            <v>100923.32</v>
          </cell>
          <cell r="CE137">
            <v>99809.99</v>
          </cell>
          <cell r="CF137">
            <v>99690.33</v>
          </cell>
          <cell r="CG137">
            <v>106139.59</v>
          </cell>
          <cell r="CH137">
            <v>131534.54</v>
          </cell>
          <cell r="CI137">
            <v>185203.6</v>
          </cell>
          <cell r="CJ137">
            <v>188439.31</v>
          </cell>
          <cell r="CK137">
            <v>168016.97</v>
          </cell>
          <cell r="CL137">
            <v>136008.47</v>
          </cell>
          <cell r="CM137">
            <v>132306.51</v>
          </cell>
          <cell r="CN137">
            <v>98086.78</v>
          </cell>
          <cell r="CO137">
            <v>88657.85</v>
          </cell>
          <cell r="CP137">
            <v>81961.84</v>
          </cell>
          <cell r="CQ137">
            <v>75986.820000000007</v>
          </cell>
          <cell r="CR137">
            <v>82616.73</v>
          </cell>
          <cell r="CS137">
            <v>77483.39</v>
          </cell>
          <cell r="CT137">
            <v>98890.78</v>
          </cell>
          <cell r="CU137">
            <v>142992.5</v>
          </cell>
          <cell r="CV137">
            <v>-905940.04</v>
          </cell>
          <cell r="CW137">
            <v>-1045351.99</v>
          </cell>
          <cell r="CX137">
            <v>-809218.63</v>
          </cell>
          <cell r="CY137">
            <v>-703534.1</v>
          </cell>
          <cell r="CZ137">
            <v>-599602.68000000005</v>
          </cell>
          <cell r="DA137">
            <v>-501292.94</v>
          </cell>
          <cell r="DB137">
            <v>-399550.07</v>
          </cell>
          <cell r="DC137">
            <v>-405527.1</v>
          </cell>
          <cell r="DD137">
            <v>-429176.88</v>
          </cell>
          <cell r="DE137">
            <v>-514318.59</v>
          </cell>
          <cell r="DF137">
            <v>-566929.51</v>
          </cell>
          <cell r="DG137">
            <v>-725053.82</v>
          </cell>
        </row>
        <row r="138">
          <cell r="A138">
            <v>6010110</v>
          </cell>
          <cell r="B138">
            <v>6010110</v>
          </cell>
          <cell r="C138" t="str">
            <v>Labor Exempt ST</v>
          </cell>
          <cell r="D138">
            <v>922381.8</v>
          </cell>
          <cell r="E138">
            <v>789256.89</v>
          </cell>
          <cell r="F138">
            <v>834416.08</v>
          </cell>
          <cell r="G138">
            <v>891112.01</v>
          </cell>
          <cell r="H138">
            <v>891516.49</v>
          </cell>
          <cell r="I138">
            <v>854123.33</v>
          </cell>
          <cell r="J138">
            <v>941395.4</v>
          </cell>
          <cell r="K138">
            <v>865323.94</v>
          </cell>
          <cell r="L138">
            <v>905049.4</v>
          </cell>
          <cell r="M138">
            <v>934779.64</v>
          </cell>
          <cell r="N138">
            <v>810985.89</v>
          </cell>
          <cell r="O138">
            <v>914117.8</v>
          </cell>
          <cell r="P138">
            <v>634599.17000000004</v>
          </cell>
          <cell r="Q138">
            <v>728407.32</v>
          </cell>
          <cell r="R138">
            <v>787896.81</v>
          </cell>
          <cell r="S138">
            <v>740086.13</v>
          </cell>
          <cell r="T138">
            <v>730614.88</v>
          </cell>
          <cell r="U138">
            <v>754653.2</v>
          </cell>
          <cell r="V138">
            <v>780220.84</v>
          </cell>
          <cell r="W138">
            <v>762047</v>
          </cell>
          <cell r="X138">
            <v>746603.15</v>
          </cell>
          <cell r="Y138">
            <v>821851.87</v>
          </cell>
          <cell r="Z138">
            <v>754576.25</v>
          </cell>
          <cell r="AA138">
            <v>737184.5</v>
          </cell>
          <cell r="AB138">
            <v>621780.4</v>
          </cell>
          <cell r="AC138">
            <v>859480.43</v>
          </cell>
          <cell r="AD138">
            <v>836058.86</v>
          </cell>
          <cell r="AE138">
            <v>871061.06</v>
          </cell>
          <cell r="AF138">
            <v>919151.26</v>
          </cell>
          <cell r="AG138">
            <v>875936.88</v>
          </cell>
          <cell r="AH138">
            <v>792813.15</v>
          </cell>
          <cell r="AI138">
            <v>981860.53</v>
          </cell>
          <cell r="AJ138">
            <v>914137.33</v>
          </cell>
          <cell r="AK138">
            <v>929194.71</v>
          </cell>
          <cell r="AL138">
            <v>934239.41</v>
          </cell>
          <cell r="AM138">
            <v>788816.7</v>
          </cell>
          <cell r="AN138">
            <v>759800.71</v>
          </cell>
          <cell r="AO138">
            <v>987078.67</v>
          </cell>
          <cell r="AP138">
            <v>949953.48</v>
          </cell>
          <cell r="AQ138">
            <v>815520.58</v>
          </cell>
          <cell r="AR138">
            <v>1034986.28</v>
          </cell>
          <cell r="AS138">
            <v>886790.67</v>
          </cell>
          <cell r="AT138">
            <v>813518.22</v>
          </cell>
          <cell r="AU138">
            <v>1123611.1100000001</v>
          </cell>
          <cell r="AV138">
            <v>940510.94</v>
          </cell>
          <cell r="AW138">
            <v>1017789.6</v>
          </cell>
          <cell r="AX138">
            <v>1040163.72</v>
          </cell>
          <cell r="AY138">
            <v>801824.78</v>
          </cell>
          <cell r="AZ138">
            <v>865242.9</v>
          </cell>
          <cell r="BA138">
            <v>1087237.47</v>
          </cell>
          <cell r="BB138">
            <v>1137427.03</v>
          </cell>
          <cell r="BC138">
            <v>1029606.63</v>
          </cell>
          <cell r="BD138">
            <v>1175485.46</v>
          </cell>
          <cell r="BE138">
            <v>1057346.23</v>
          </cell>
          <cell r="BF138">
            <v>915589.21</v>
          </cell>
          <cell r="BG138">
            <v>1309299.93</v>
          </cell>
          <cell r="BH138">
            <v>1040041.05</v>
          </cell>
          <cell r="BI138">
            <v>1303461.42</v>
          </cell>
          <cell r="BJ138">
            <v>1231475.6599999999</v>
          </cell>
          <cell r="BK138">
            <v>971858.05</v>
          </cell>
          <cell r="BL138">
            <v>1077862.28</v>
          </cell>
          <cell r="BM138">
            <v>1198380.17</v>
          </cell>
          <cell r="BN138">
            <v>1271118.74</v>
          </cell>
          <cell r="BO138">
            <v>1244372.0900000001</v>
          </cell>
          <cell r="BP138">
            <v>1445146.89</v>
          </cell>
          <cell r="BQ138">
            <v>1163309.45</v>
          </cell>
          <cell r="BR138">
            <v>1228498.1200000001</v>
          </cell>
          <cell r="BS138">
            <v>1489243.76</v>
          </cell>
          <cell r="BT138">
            <v>1264146.6000000001</v>
          </cell>
          <cell r="BU138">
            <v>1455659.85</v>
          </cell>
          <cell r="BV138">
            <v>1318390.69</v>
          </cell>
          <cell r="BW138">
            <v>1196952.6200000001</v>
          </cell>
          <cell r="BX138">
            <v>1132654.26</v>
          </cell>
          <cell r="BY138">
            <v>1386931.12</v>
          </cell>
          <cell r="BZ138">
            <v>1621704.32</v>
          </cell>
          <cell r="CA138">
            <v>1525713.18</v>
          </cell>
          <cell r="CB138">
            <v>1633269.94</v>
          </cell>
          <cell r="CC138">
            <v>1541621.05</v>
          </cell>
          <cell r="CD138">
            <v>1572054.58</v>
          </cell>
          <cell r="CE138">
            <v>1525869.13</v>
          </cell>
          <cell r="CF138">
            <v>1513112.97</v>
          </cell>
          <cell r="CG138">
            <v>1662117.36</v>
          </cell>
          <cell r="CH138">
            <v>1492336.18</v>
          </cell>
          <cell r="CI138">
            <v>1038505.13</v>
          </cell>
          <cell r="CJ138">
            <v>1436703.09</v>
          </cell>
          <cell r="CK138">
            <v>1612147.66</v>
          </cell>
          <cell r="CL138">
            <v>1763909.31</v>
          </cell>
          <cell r="CM138">
            <v>1601465.38</v>
          </cell>
          <cell r="CN138">
            <v>1591803.42</v>
          </cell>
          <cell r="CO138">
            <v>1459385.32</v>
          </cell>
          <cell r="CP138">
            <v>1624154.63</v>
          </cell>
          <cell r="CQ138">
            <v>1644629.2</v>
          </cell>
          <cell r="CR138">
            <v>1540948.53</v>
          </cell>
          <cell r="CS138">
            <v>1670384.89</v>
          </cell>
          <cell r="CT138">
            <v>1779606.39</v>
          </cell>
          <cell r="CU138">
            <v>1153937.6200000001</v>
          </cell>
          <cell r="CV138">
            <v>1588983.53</v>
          </cell>
          <cell r="CW138">
            <v>1821319.06</v>
          </cell>
          <cell r="CX138">
            <v>2015369.95</v>
          </cell>
          <cell r="CY138">
            <v>1790731.16</v>
          </cell>
          <cell r="CZ138">
            <v>2046600.53</v>
          </cell>
          <cell r="DA138">
            <v>2006365.86</v>
          </cell>
          <cell r="DB138">
            <v>1912100.95</v>
          </cell>
          <cell r="DC138">
            <v>2279333.61</v>
          </cell>
          <cell r="DD138">
            <v>2088512.32</v>
          </cell>
          <cell r="DE138">
            <v>2359182.7400000002</v>
          </cell>
          <cell r="DF138">
            <v>2249088.0099999998</v>
          </cell>
          <cell r="DG138">
            <v>1606887.51</v>
          </cell>
        </row>
        <row r="139">
          <cell r="A139">
            <v>6010120</v>
          </cell>
          <cell r="B139">
            <v>6010120</v>
          </cell>
          <cell r="C139" t="str">
            <v>Labor Exempt OT</v>
          </cell>
          <cell r="D139"/>
          <cell r="E139"/>
          <cell r="F139"/>
          <cell r="G139"/>
          <cell r="H139"/>
          <cell r="I139"/>
          <cell r="J139"/>
          <cell r="K139"/>
          <cell r="L139"/>
          <cell r="M139"/>
          <cell r="N139"/>
          <cell r="O139"/>
          <cell r="P139"/>
          <cell r="Q139"/>
          <cell r="R139"/>
          <cell r="S139"/>
          <cell r="T139"/>
          <cell r="U139">
            <v>1973.66</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cell r="AL139"/>
          <cell r="AM139"/>
          <cell r="AN139"/>
          <cell r="AO139"/>
          <cell r="AP139"/>
          <cell r="AQ139"/>
          <cell r="AR139"/>
          <cell r="AS139"/>
          <cell r="AT139">
            <v>0</v>
          </cell>
          <cell r="AU139">
            <v>0</v>
          </cell>
          <cell r="AV139">
            <v>33551.03</v>
          </cell>
          <cell r="AW139">
            <v>-8582.57</v>
          </cell>
          <cell r="AX139">
            <v>0</v>
          </cell>
          <cell r="AY139">
            <v>0</v>
          </cell>
          <cell r="AZ139">
            <v>0</v>
          </cell>
          <cell r="BA139">
            <v>0</v>
          </cell>
          <cell r="BB139">
            <v>0</v>
          </cell>
          <cell r="BC139">
            <v>0</v>
          </cell>
          <cell r="BD139">
            <v>0</v>
          </cell>
          <cell r="BE139">
            <v>0</v>
          </cell>
          <cell r="BF139">
            <v>0</v>
          </cell>
          <cell r="BG139">
            <v>0</v>
          </cell>
          <cell r="BH139">
            <v>0</v>
          </cell>
          <cell r="BI139">
            <v>103781.35</v>
          </cell>
          <cell r="BJ139">
            <v>9539.5300000000007</v>
          </cell>
          <cell r="BK139">
            <v>1165.8499999999999</v>
          </cell>
          <cell r="BL139">
            <v>-273.43</v>
          </cell>
          <cell r="BM139">
            <v>0</v>
          </cell>
          <cell r="BN139">
            <v>0</v>
          </cell>
          <cell r="BO139">
            <v>0</v>
          </cell>
          <cell r="BP139">
            <v>0</v>
          </cell>
          <cell r="BQ139">
            <v>0</v>
          </cell>
          <cell r="BR139">
            <v>0</v>
          </cell>
          <cell r="BS139">
            <v>0</v>
          </cell>
          <cell r="BT139">
            <v>0</v>
          </cell>
          <cell r="BU139">
            <v>318.06</v>
          </cell>
          <cell r="BV139">
            <v>-318.06</v>
          </cell>
          <cell r="BW139">
            <v>0</v>
          </cell>
          <cell r="BX139">
            <v>0</v>
          </cell>
          <cell r="BY139">
            <v>152.15</v>
          </cell>
          <cell r="BZ139">
            <v>-152.15</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218.63</v>
          </cell>
          <cell r="CQ139">
            <v>-218.63</v>
          </cell>
          <cell r="CR139">
            <v>0</v>
          </cell>
          <cell r="CS139">
            <v>260.14999999999998</v>
          </cell>
          <cell r="CT139">
            <v>-260.14999999999998</v>
          </cell>
          <cell r="CU139">
            <v>0</v>
          </cell>
          <cell r="CV139">
            <v>0</v>
          </cell>
          <cell r="CW139">
            <v>0</v>
          </cell>
          <cell r="CX139">
            <v>0</v>
          </cell>
          <cell r="CY139">
            <v>0</v>
          </cell>
          <cell r="CZ139">
            <v>0</v>
          </cell>
          <cell r="DA139">
            <v>0</v>
          </cell>
          <cell r="DB139">
            <v>0</v>
          </cell>
          <cell r="DC139">
            <v>0</v>
          </cell>
          <cell r="DD139">
            <v>0</v>
          </cell>
          <cell r="DE139">
            <v>61045.81</v>
          </cell>
          <cell r="DF139">
            <v>-2877.51</v>
          </cell>
          <cell r="DG139">
            <v>0</v>
          </cell>
        </row>
        <row r="140">
          <cell r="A140">
            <v>6010130</v>
          </cell>
          <cell r="B140">
            <v>6010130</v>
          </cell>
          <cell r="C140" t="str">
            <v>Labor Exempt NonProd</v>
          </cell>
          <cell r="D140">
            <v>5902.86</v>
          </cell>
          <cell r="E140">
            <v>1793.16</v>
          </cell>
          <cell r="F140">
            <v>458.48</v>
          </cell>
          <cell r="G140">
            <v>458.48</v>
          </cell>
          <cell r="H140">
            <v>458.48</v>
          </cell>
          <cell r="I140">
            <v>458.48</v>
          </cell>
          <cell r="J140">
            <v>458.48</v>
          </cell>
          <cell r="K140">
            <v>458.48</v>
          </cell>
          <cell r="L140">
            <v>1248.81</v>
          </cell>
          <cell r="M140">
            <v>395.96</v>
          </cell>
          <cell r="N140">
            <v>16888.5</v>
          </cell>
          <cell r="O140">
            <v>12786.48</v>
          </cell>
          <cell r="P140">
            <v>186255.66</v>
          </cell>
          <cell r="Q140">
            <v>39629.07</v>
          </cell>
          <cell r="R140">
            <v>55713.43</v>
          </cell>
          <cell r="S140">
            <v>83501.570000000007</v>
          </cell>
          <cell r="T140">
            <v>60498.239999999998</v>
          </cell>
          <cell r="U140">
            <v>86779.71</v>
          </cell>
          <cell r="V140">
            <v>103871.74</v>
          </cell>
          <cell r="W140">
            <v>64950.87</v>
          </cell>
          <cell r="X140">
            <v>130526.33</v>
          </cell>
          <cell r="Y140">
            <v>65580.86</v>
          </cell>
          <cell r="Z140">
            <v>82394.37</v>
          </cell>
          <cell r="AA140">
            <v>191317.1</v>
          </cell>
          <cell r="AB140">
            <v>271228.43</v>
          </cell>
          <cell r="AC140">
            <v>50353.84</v>
          </cell>
          <cell r="AD140">
            <v>152343</v>
          </cell>
          <cell r="AE140">
            <v>46835.02</v>
          </cell>
          <cell r="AF140">
            <v>74582.83</v>
          </cell>
          <cell r="AG140">
            <v>112325.12</v>
          </cell>
          <cell r="AH140">
            <v>164302.32999999999</v>
          </cell>
          <cell r="AI140">
            <v>89260.14</v>
          </cell>
          <cell r="AJ140">
            <v>127780.57</v>
          </cell>
          <cell r="AK140">
            <v>82518.179999999993</v>
          </cell>
          <cell r="AL140">
            <v>126312.53</v>
          </cell>
          <cell r="AM140">
            <v>256942.81</v>
          </cell>
          <cell r="AN140">
            <v>332084.5</v>
          </cell>
          <cell r="AO140">
            <v>9365.33</v>
          </cell>
          <cell r="AP140">
            <v>115903.28</v>
          </cell>
          <cell r="AQ140">
            <v>162348.45000000001</v>
          </cell>
          <cell r="AR140">
            <v>59643.79</v>
          </cell>
          <cell r="AS140">
            <v>185502</v>
          </cell>
          <cell r="AT140">
            <v>231046.03</v>
          </cell>
          <cell r="AU140">
            <v>58712.34</v>
          </cell>
          <cell r="AV140">
            <v>141185.56</v>
          </cell>
          <cell r="AW140">
            <v>118248.99</v>
          </cell>
          <cell r="AX140">
            <v>99558.26</v>
          </cell>
          <cell r="AY140">
            <v>288296.78000000003</v>
          </cell>
          <cell r="AZ140">
            <v>393723.7</v>
          </cell>
          <cell r="BA140">
            <v>-6381.83</v>
          </cell>
          <cell r="BB140">
            <v>95758.93</v>
          </cell>
          <cell r="BC140">
            <v>135119.38</v>
          </cell>
          <cell r="BD140">
            <v>102420.52</v>
          </cell>
          <cell r="BE140">
            <v>134993.32</v>
          </cell>
          <cell r="BF140">
            <v>346587.58</v>
          </cell>
          <cell r="BG140">
            <v>72911.17</v>
          </cell>
          <cell r="BH140">
            <v>162326.12</v>
          </cell>
          <cell r="BI140">
            <v>133782.94</v>
          </cell>
          <cell r="BJ140">
            <v>139583.07</v>
          </cell>
          <cell r="BK140">
            <v>358401.05</v>
          </cell>
          <cell r="BL140">
            <v>389635.72</v>
          </cell>
          <cell r="BM140">
            <v>114609.27</v>
          </cell>
          <cell r="BN140">
            <v>137729.35999999999</v>
          </cell>
          <cell r="BO140">
            <v>214852.6</v>
          </cell>
          <cell r="BP140">
            <v>68650.960000000006</v>
          </cell>
          <cell r="BQ140">
            <v>175363.79</v>
          </cell>
          <cell r="BR140">
            <v>368632.19</v>
          </cell>
          <cell r="BS140">
            <v>22448.65</v>
          </cell>
          <cell r="BT140">
            <v>179954.09</v>
          </cell>
          <cell r="BU140">
            <v>154229.1</v>
          </cell>
          <cell r="BV140">
            <v>172506.91</v>
          </cell>
          <cell r="BW140">
            <v>384828.05</v>
          </cell>
          <cell r="BX140">
            <v>554308.97</v>
          </cell>
          <cell r="BY140">
            <v>54386.879999999997</v>
          </cell>
          <cell r="BZ140">
            <v>138951.54999999999</v>
          </cell>
          <cell r="CA140">
            <v>147968.39000000001</v>
          </cell>
          <cell r="CB140">
            <v>3915.85</v>
          </cell>
          <cell r="CC140">
            <v>168248.54</v>
          </cell>
          <cell r="CD140">
            <v>260055.27</v>
          </cell>
          <cell r="CE140">
            <v>135422.18</v>
          </cell>
          <cell r="CF140">
            <v>238289.22</v>
          </cell>
          <cell r="CG140">
            <v>93667.3</v>
          </cell>
          <cell r="CH140">
            <v>224771.85</v>
          </cell>
          <cell r="CI140">
            <v>834690.3</v>
          </cell>
          <cell r="CJ140">
            <v>321283.25</v>
          </cell>
          <cell r="CK140">
            <v>36287.53</v>
          </cell>
          <cell r="CL140">
            <v>153489.10999999999</v>
          </cell>
          <cell r="CM140">
            <v>213005.33</v>
          </cell>
          <cell r="CN140">
            <v>133293.85</v>
          </cell>
          <cell r="CO140">
            <v>356674.21</v>
          </cell>
          <cell r="CP140">
            <v>155135.82999999999</v>
          </cell>
          <cell r="CQ140">
            <v>150334.51999999999</v>
          </cell>
          <cell r="CR140">
            <v>299949.05</v>
          </cell>
          <cell r="CS140">
            <v>114971.74</v>
          </cell>
          <cell r="CT140">
            <v>187691.19</v>
          </cell>
          <cell r="CU140">
            <v>942253.22</v>
          </cell>
          <cell r="CV140">
            <v>342688.53</v>
          </cell>
          <cell r="CW140">
            <v>68741.539999999994</v>
          </cell>
          <cell r="CX140">
            <v>184787.27</v>
          </cell>
          <cell r="CY140">
            <v>259156.96</v>
          </cell>
          <cell r="CZ140">
            <v>138052.07999999999</v>
          </cell>
          <cell r="DA140">
            <v>271219.58</v>
          </cell>
          <cell r="DB140">
            <v>292210.03000000003</v>
          </cell>
          <cell r="DC140">
            <v>167750.56</v>
          </cell>
          <cell r="DD140">
            <v>366884.09</v>
          </cell>
          <cell r="DE140">
            <v>40543.06</v>
          </cell>
          <cell r="DF140">
            <v>221379.73</v>
          </cell>
          <cell r="DG140">
            <v>955772.48</v>
          </cell>
        </row>
        <row r="141">
          <cell r="A141">
            <v>6010210</v>
          </cell>
          <cell r="B141">
            <v>6010210</v>
          </cell>
          <cell r="C141" t="str">
            <v>Labor NonExm ST</v>
          </cell>
          <cell r="D141">
            <v>1151537.71</v>
          </cell>
          <cell r="E141">
            <v>1022510.12</v>
          </cell>
          <cell r="F141">
            <v>1138012.3600000001</v>
          </cell>
          <cell r="G141">
            <v>1102489.55</v>
          </cell>
          <cell r="H141">
            <v>1121136.08</v>
          </cell>
          <cell r="I141">
            <v>1083663.54</v>
          </cell>
          <cell r="J141">
            <v>1129768.3700000001</v>
          </cell>
          <cell r="K141">
            <v>1118670.1000000001</v>
          </cell>
          <cell r="L141">
            <v>1089405.8600000001</v>
          </cell>
          <cell r="M141">
            <v>1131349.46</v>
          </cell>
          <cell r="N141">
            <v>1090782.52</v>
          </cell>
          <cell r="O141">
            <v>1133155.25</v>
          </cell>
          <cell r="P141">
            <v>827238.27</v>
          </cell>
          <cell r="Q141">
            <v>937908.92</v>
          </cell>
          <cell r="R141">
            <v>1025182.56</v>
          </cell>
          <cell r="S141">
            <v>976806.84</v>
          </cell>
          <cell r="T141">
            <v>1041048.26</v>
          </cell>
          <cell r="U141">
            <v>944055.86</v>
          </cell>
          <cell r="V141">
            <v>959129</v>
          </cell>
          <cell r="W141">
            <v>1013207.78</v>
          </cell>
          <cell r="X141">
            <v>919642.79</v>
          </cell>
          <cell r="Y141">
            <v>1075549.8600000001</v>
          </cell>
          <cell r="Z141">
            <v>998181.57</v>
          </cell>
          <cell r="AA141">
            <v>911161.31</v>
          </cell>
          <cell r="AB141">
            <v>899530.15</v>
          </cell>
          <cell r="AC141">
            <v>990391.36</v>
          </cell>
          <cell r="AD141">
            <v>940379.46</v>
          </cell>
          <cell r="AE141">
            <v>1028980.32</v>
          </cell>
          <cell r="AF141">
            <v>1050227.47</v>
          </cell>
          <cell r="AG141">
            <v>964991.62</v>
          </cell>
          <cell r="AH141">
            <v>941331.25</v>
          </cell>
          <cell r="AI141">
            <v>921244</v>
          </cell>
          <cell r="AJ141">
            <v>933516.82</v>
          </cell>
          <cell r="AK141">
            <v>1004022.98</v>
          </cell>
          <cell r="AL141">
            <v>987748.21</v>
          </cell>
          <cell r="AM141">
            <v>921290.25</v>
          </cell>
          <cell r="AN141">
            <v>831087.45</v>
          </cell>
          <cell r="AO141">
            <v>1057660.1399999999</v>
          </cell>
          <cell r="AP141">
            <v>1063996</v>
          </cell>
          <cell r="AQ141">
            <v>930996.09</v>
          </cell>
          <cell r="AR141">
            <v>1093891.99</v>
          </cell>
          <cell r="AS141">
            <v>990273.85</v>
          </cell>
          <cell r="AT141">
            <v>907495.37</v>
          </cell>
          <cell r="AU141">
            <v>1155452.6599999999</v>
          </cell>
          <cell r="AV141">
            <v>1023482.86</v>
          </cell>
          <cell r="AW141">
            <v>1077142.8500000001</v>
          </cell>
          <cell r="AX141">
            <v>1068910.31</v>
          </cell>
          <cell r="AY141">
            <v>942555.16</v>
          </cell>
          <cell r="AZ141">
            <v>868135.79</v>
          </cell>
          <cell r="BA141">
            <v>1113198.1299999999</v>
          </cell>
          <cell r="BB141">
            <v>1110402.68</v>
          </cell>
          <cell r="BC141">
            <v>1071425.1100000001</v>
          </cell>
          <cell r="BD141">
            <v>1190776.44</v>
          </cell>
          <cell r="BE141">
            <v>1008622.11</v>
          </cell>
          <cell r="BF141">
            <v>960666.95</v>
          </cell>
          <cell r="BG141">
            <v>1255197.99</v>
          </cell>
          <cell r="BH141">
            <v>1042788.89</v>
          </cell>
          <cell r="BI141">
            <v>1224030.77</v>
          </cell>
          <cell r="BJ141">
            <v>1142451.56</v>
          </cell>
          <cell r="BK141">
            <v>984569.86</v>
          </cell>
          <cell r="BL141">
            <v>992107.63</v>
          </cell>
          <cell r="BM141">
            <v>1073381.95</v>
          </cell>
          <cell r="BN141">
            <v>1103278.94</v>
          </cell>
          <cell r="BO141">
            <v>1054808.6200000001</v>
          </cell>
          <cell r="BP141">
            <v>1245706.44</v>
          </cell>
          <cell r="BQ141">
            <v>1018040.29</v>
          </cell>
          <cell r="BR141">
            <v>1041969.06</v>
          </cell>
          <cell r="BS141">
            <v>1272648.47</v>
          </cell>
          <cell r="BT141">
            <v>1077909.3899999999</v>
          </cell>
          <cell r="BU141">
            <v>1180548.46</v>
          </cell>
          <cell r="BV141">
            <v>1140638.92</v>
          </cell>
          <cell r="BW141">
            <v>1024196.22</v>
          </cell>
          <cell r="BX141">
            <v>938170.85</v>
          </cell>
          <cell r="BY141">
            <v>1125947.3500000001</v>
          </cell>
          <cell r="BZ141">
            <v>1361190.57</v>
          </cell>
          <cell r="CA141">
            <v>1238942.26</v>
          </cell>
          <cell r="CB141">
            <v>1359602.65</v>
          </cell>
          <cell r="CC141">
            <v>1205118.1399999999</v>
          </cell>
          <cell r="CD141">
            <v>1235632.3600000001</v>
          </cell>
          <cell r="CE141">
            <v>1260207.8</v>
          </cell>
          <cell r="CF141">
            <v>1154111.8600000001</v>
          </cell>
          <cell r="CG141">
            <v>1344075.28</v>
          </cell>
          <cell r="CH141">
            <v>1214229.3799999999</v>
          </cell>
          <cell r="CI141">
            <v>1134186.29</v>
          </cell>
          <cell r="CJ141">
            <v>1253804.3700000001</v>
          </cell>
          <cell r="CK141">
            <v>1328990.52</v>
          </cell>
          <cell r="CL141">
            <v>1407349.56</v>
          </cell>
          <cell r="CM141">
            <v>1348841.1</v>
          </cell>
          <cell r="CN141">
            <v>1323475.73</v>
          </cell>
          <cell r="CO141">
            <v>1215005.98</v>
          </cell>
          <cell r="CP141">
            <v>1428457.14</v>
          </cell>
          <cell r="CQ141">
            <v>1392481.36</v>
          </cell>
          <cell r="CR141">
            <v>1300427.45</v>
          </cell>
          <cell r="CS141">
            <v>1384848.55</v>
          </cell>
          <cell r="CT141">
            <v>1422657.95</v>
          </cell>
          <cell r="CU141">
            <v>1005477.9</v>
          </cell>
          <cell r="CV141">
            <v>1221149.01</v>
          </cell>
          <cell r="CW141">
            <v>1372061.14</v>
          </cell>
          <cell r="CX141">
            <v>1423819.81</v>
          </cell>
          <cell r="CY141">
            <v>1213576.81</v>
          </cell>
          <cell r="CZ141">
            <v>1541252.05</v>
          </cell>
          <cell r="DA141">
            <v>1445643.57</v>
          </cell>
          <cell r="DB141">
            <v>1374160.78</v>
          </cell>
          <cell r="DC141">
            <v>1593016.97</v>
          </cell>
          <cell r="DD141">
            <v>1418144.11</v>
          </cell>
          <cell r="DE141">
            <v>1602530.46</v>
          </cell>
          <cell r="DF141">
            <v>1571787.17</v>
          </cell>
          <cell r="DG141">
            <v>1144523.69</v>
          </cell>
        </row>
        <row r="142">
          <cell r="A142">
            <v>6010220</v>
          </cell>
          <cell r="B142">
            <v>6010220</v>
          </cell>
          <cell r="C142" t="str">
            <v>Labor NonExm OT</v>
          </cell>
          <cell r="D142">
            <v>150648.18</v>
          </cell>
          <cell r="E142">
            <v>129272.97</v>
          </cell>
          <cell r="F142">
            <v>157589.79999999999</v>
          </cell>
          <cell r="G142">
            <v>161151.72</v>
          </cell>
          <cell r="H142">
            <v>169093.6</v>
          </cell>
          <cell r="I142">
            <v>149056.32000000001</v>
          </cell>
          <cell r="J142">
            <v>148537.16</v>
          </cell>
          <cell r="K142">
            <v>200617.56</v>
          </cell>
          <cell r="L142">
            <v>161494.76</v>
          </cell>
          <cell r="M142">
            <v>166559.66</v>
          </cell>
          <cell r="N142">
            <v>155664.94</v>
          </cell>
          <cell r="O142">
            <v>163289.99</v>
          </cell>
          <cell r="P142">
            <v>119900.14</v>
          </cell>
          <cell r="Q142">
            <v>158827.17000000001</v>
          </cell>
          <cell r="R142">
            <v>171688.57</v>
          </cell>
          <cell r="S142">
            <v>159385.74</v>
          </cell>
          <cell r="T142">
            <v>172032.31</v>
          </cell>
          <cell r="U142">
            <v>164256.35</v>
          </cell>
          <cell r="V142">
            <v>169097.8</v>
          </cell>
          <cell r="W142">
            <v>202915.4</v>
          </cell>
          <cell r="X142">
            <v>203163.66</v>
          </cell>
          <cell r="Y142">
            <v>222049.9</v>
          </cell>
          <cell r="Z142">
            <v>211397.81</v>
          </cell>
          <cell r="AA142">
            <v>240111.47</v>
          </cell>
          <cell r="AB142">
            <v>177674.77</v>
          </cell>
          <cell r="AC142">
            <v>214155.93</v>
          </cell>
          <cell r="AD142">
            <v>189036.49</v>
          </cell>
          <cell r="AE142">
            <v>188030.69</v>
          </cell>
          <cell r="AF142">
            <v>211451.29</v>
          </cell>
          <cell r="AG142">
            <v>200207.59</v>
          </cell>
          <cell r="AH142">
            <v>196426.18</v>
          </cell>
          <cell r="AI142">
            <v>190419.6</v>
          </cell>
          <cell r="AJ142">
            <v>199621.39</v>
          </cell>
          <cell r="AK142">
            <v>235278.6</v>
          </cell>
          <cell r="AL142">
            <v>234818.45</v>
          </cell>
          <cell r="AM142">
            <v>254028.12</v>
          </cell>
          <cell r="AN142">
            <v>221819.17</v>
          </cell>
          <cell r="AO142">
            <v>211113.62</v>
          </cell>
          <cell r="AP142">
            <v>189305.57</v>
          </cell>
          <cell r="AQ142">
            <v>209263.82</v>
          </cell>
          <cell r="AR142">
            <v>201884.43</v>
          </cell>
          <cell r="AS142">
            <v>188808.36</v>
          </cell>
          <cell r="AT142">
            <v>223339.94</v>
          </cell>
          <cell r="AU142">
            <v>214316.75</v>
          </cell>
          <cell r="AV142">
            <v>238915.07</v>
          </cell>
          <cell r="AW142">
            <v>197436.68</v>
          </cell>
          <cell r="AX142">
            <v>270581.43</v>
          </cell>
          <cell r="AY142">
            <v>237378.26</v>
          </cell>
          <cell r="AZ142">
            <v>278112.52</v>
          </cell>
          <cell r="BA142">
            <v>170314.6</v>
          </cell>
          <cell r="BB142">
            <v>184128.69</v>
          </cell>
          <cell r="BC142">
            <v>218140.63</v>
          </cell>
          <cell r="BD142">
            <v>216633.74</v>
          </cell>
          <cell r="BE142">
            <v>213964.15</v>
          </cell>
          <cell r="BF142">
            <v>176217.31</v>
          </cell>
          <cell r="BG142">
            <v>214055.4</v>
          </cell>
          <cell r="BH142">
            <v>221961.91</v>
          </cell>
          <cell r="BI142">
            <v>509497.82</v>
          </cell>
          <cell r="BJ142">
            <v>200815.3</v>
          </cell>
          <cell r="BK142">
            <v>235200.37</v>
          </cell>
          <cell r="BL142">
            <v>239844.84</v>
          </cell>
          <cell r="BM142">
            <v>230188.21</v>
          </cell>
          <cell r="BN142">
            <v>230843.82</v>
          </cell>
          <cell r="BO142">
            <v>232026.15</v>
          </cell>
          <cell r="BP142">
            <v>231142.48</v>
          </cell>
          <cell r="BQ142">
            <v>186333.02</v>
          </cell>
          <cell r="BR142">
            <v>247396.95</v>
          </cell>
          <cell r="BS142">
            <v>291940.89</v>
          </cell>
          <cell r="BT142">
            <v>245033.16</v>
          </cell>
          <cell r="BU142">
            <v>270051.49</v>
          </cell>
          <cell r="BV142">
            <v>264866.13</v>
          </cell>
          <cell r="BW142">
            <v>320264.68</v>
          </cell>
          <cell r="BX142">
            <v>215596.11</v>
          </cell>
          <cell r="BY142">
            <v>232066.22</v>
          </cell>
          <cell r="BZ142">
            <v>266535.67</v>
          </cell>
          <cell r="CA142">
            <v>122396.91</v>
          </cell>
          <cell r="CB142">
            <v>156724.6</v>
          </cell>
          <cell r="CC142">
            <v>175535.53</v>
          </cell>
          <cell r="CD142">
            <v>178589.99</v>
          </cell>
          <cell r="CE142">
            <v>185946.02</v>
          </cell>
          <cell r="CF142">
            <v>206373.07</v>
          </cell>
          <cell r="CG142">
            <v>195606.63</v>
          </cell>
          <cell r="CH142">
            <v>241089.82</v>
          </cell>
          <cell r="CI142">
            <v>291314.99</v>
          </cell>
          <cell r="CJ142">
            <v>263114.08</v>
          </cell>
          <cell r="CK142">
            <v>239077.89</v>
          </cell>
          <cell r="CL142">
            <v>336763.62</v>
          </cell>
          <cell r="CM142">
            <v>259953.68</v>
          </cell>
          <cell r="CN142">
            <v>278330.96000000002</v>
          </cell>
          <cell r="CO142">
            <v>212017.66</v>
          </cell>
          <cell r="CP142">
            <v>319008.81</v>
          </cell>
          <cell r="CQ142">
            <v>257775.88</v>
          </cell>
          <cell r="CR142">
            <v>277011.74</v>
          </cell>
          <cell r="CS142">
            <v>312950.76</v>
          </cell>
          <cell r="CT142">
            <v>295578.95</v>
          </cell>
          <cell r="CU142">
            <v>301781.98</v>
          </cell>
          <cell r="CV142">
            <v>303279.06</v>
          </cell>
          <cell r="CW142">
            <v>320562.01</v>
          </cell>
          <cell r="CX142">
            <v>291699.44</v>
          </cell>
          <cell r="CY142">
            <v>295877.49</v>
          </cell>
          <cell r="CZ142">
            <v>325612.19</v>
          </cell>
          <cell r="DA142">
            <v>369621.35</v>
          </cell>
          <cell r="DB142">
            <v>319281.71999999997</v>
          </cell>
          <cell r="DC142">
            <v>389934.46</v>
          </cell>
          <cell r="DD142">
            <v>328290.03000000003</v>
          </cell>
          <cell r="DE142">
            <v>534107.86</v>
          </cell>
          <cell r="DF142">
            <v>288837.77</v>
          </cell>
          <cell r="DG142">
            <v>352997.78</v>
          </cell>
        </row>
        <row r="143">
          <cell r="A143">
            <v>6010230</v>
          </cell>
          <cell r="B143">
            <v>6010230</v>
          </cell>
          <cell r="C143" t="str">
            <v>Labor NonExm NonProd</v>
          </cell>
          <cell r="D143">
            <v>1167.04</v>
          </cell>
          <cell r="E143">
            <v>3567.66</v>
          </cell>
          <cell r="F143">
            <v>5755.32</v>
          </cell>
          <cell r="G143">
            <v>1415.57</v>
          </cell>
          <cell r="H143">
            <v>3254.56</v>
          </cell>
          <cell r="I143">
            <v>8297.89</v>
          </cell>
          <cell r="J143">
            <v>9408.66</v>
          </cell>
          <cell r="K143">
            <v>12126.73</v>
          </cell>
          <cell r="L143">
            <v>5631.25</v>
          </cell>
          <cell r="M143">
            <v>-1063.77</v>
          </cell>
          <cell r="N143">
            <v>1208.72</v>
          </cell>
          <cell r="O143">
            <v>5708.72</v>
          </cell>
          <cell r="P143">
            <v>329204.15000000002</v>
          </cell>
          <cell r="Q143">
            <v>96475.58</v>
          </cell>
          <cell r="R143">
            <v>142343.71</v>
          </cell>
          <cell r="S143">
            <v>162456.91</v>
          </cell>
          <cell r="T143">
            <v>135130.35999999999</v>
          </cell>
          <cell r="U143">
            <v>184623.59</v>
          </cell>
          <cell r="V143">
            <v>202593.63</v>
          </cell>
          <cell r="W143">
            <v>128051</v>
          </cell>
          <cell r="X143">
            <v>221982.15</v>
          </cell>
          <cell r="Y143">
            <v>62720.23</v>
          </cell>
          <cell r="Z143">
            <v>104519.7</v>
          </cell>
          <cell r="AA143">
            <v>252000.59</v>
          </cell>
          <cell r="AB143">
            <v>303673.37</v>
          </cell>
          <cell r="AC143">
            <v>118947.71</v>
          </cell>
          <cell r="AD143">
            <v>243578.06</v>
          </cell>
          <cell r="AE143">
            <v>101576</v>
          </cell>
          <cell r="AF143">
            <v>122027.2</v>
          </cell>
          <cell r="AG143">
            <v>190163.75</v>
          </cell>
          <cell r="AH143">
            <v>259578.6</v>
          </cell>
          <cell r="AI143">
            <v>39899.230000000003</v>
          </cell>
          <cell r="AJ143">
            <v>167780.61</v>
          </cell>
          <cell r="AK143">
            <v>136252.54999999999</v>
          </cell>
          <cell r="AL143">
            <v>130160.2</v>
          </cell>
          <cell r="AM143">
            <v>248993.03</v>
          </cell>
          <cell r="AN143">
            <v>375324.01</v>
          </cell>
          <cell r="AO143">
            <v>48247.38</v>
          </cell>
          <cell r="AP143">
            <v>140744.04</v>
          </cell>
          <cell r="AQ143">
            <v>220147.52</v>
          </cell>
          <cell r="AR143">
            <v>103384.53</v>
          </cell>
          <cell r="AS143">
            <v>183248.01</v>
          </cell>
          <cell r="AT143">
            <v>270866.03999999998</v>
          </cell>
          <cell r="AU143">
            <v>61365.97</v>
          </cell>
          <cell r="AV143">
            <v>149797.38</v>
          </cell>
          <cell r="AW143">
            <v>138663.37</v>
          </cell>
          <cell r="AX143">
            <v>124722.85</v>
          </cell>
          <cell r="AY143">
            <v>271080.28999999998</v>
          </cell>
          <cell r="AZ143">
            <v>415728.51</v>
          </cell>
          <cell r="BA143">
            <v>27395.47</v>
          </cell>
          <cell r="BB143">
            <v>154659.95000000001</v>
          </cell>
          <cell r="BC143">
            <v>175623.39</v>
          </cell>
          <cell r="BD143">
            <v>128057.1</v>
          </cell>
          <cell r="BE143">
            <v>193570.42</v>
          </cell>
          <cell r="BF143">
            <v>304765.44</v>
          </cell>
          <cell r="BG143">
            <v>58586.62</v>
          </cell>
          <cell r="BH143">
            <v>169351.89</v>
          </cell>
          <cell r="BI143">
            <v>112577.26</v>
          </cell>
          <cell r="BJ143">
            <v>120777.49</v>
          </cell>
          <cell r="BK143">
            <v>275246.58</v>
          </cell>
          <cell r="BL143">
            <v>361761.63</v>
          </cell>
          <cell r="BM143">
            <v>104738.5</v>
          </cell>
          <cell r="BN143">
            <v>139049.63</v>
          </cell>
          <cell r="BO143">
            <v>218540.83</v>
          </cell>
          <cell r="BP143">
            <v>89591.88</v>
          </cell>
          <cell r="BQ143">
            <v>222853.22</v>
          </cell>
          <cell r="BR143">
            <v>301864.37</v>
          </cell>
          <cell r="BS143">
            <v>34151.300000000003</v>
          </cell>
          <cell r="BT143">
            <v>175217.73</v>
          </cell>
          <cell r="BU143">
            <v>141232.39000000001</v>
          </cell>
          <cell r="BV143">
            <v>116887.3</v>
          </cell>
          <cell r="BW143">
            <v>273742.5</v>
          </cell>
          <cell r="BX143">
            <v>431970.81</v>
          </cell>
          <cell r="BY143">
            <v>117498</v>
          </cell>
          <cell r="BZ143">
            <v>188912.59</v>
          </cell>
          <cell r="CA143">
            <v>164588.98000000001</v>
          </cell>
          <cell r="CB143">
            <v>9601.57</v>
          </cell>
          <cell r="CC143">
            <v>185953.34</v>
          </cell>
          <cell r="CD143">
            <v>209340.13</v>
          </cell>
          <cell r="CE143">
            <v>122494.62</v>
          </cell>
          <cell r="CF143">
            <v>239736.17</v>
          </cell>
          <cell r="CG143">
            <v>67259.350000000006</v>
          </cell>
          <cell r="CH143">
            <v>136318.85999999999</v>
          </cell>
          <cell r="CI143">
            <v>613889.06000000006</v>
          </cell>
          <cell r="CJ143">
            <v>261941.93</v>
          </cell>
          <cell r="CK143">
            <v>100864.03</v>
          </cell>
          <cell r="CL143">
            <v>228401.17</v>
          </cell>
          <cell r="CM143">
            <v>224040.23</v>
          </cell>
          <cell r="CN143">
            <v>148098.21</v>
          </cell>
          <cell r="CO143">
            <v>357997.86</v>
          </cell>
          <cell r="CP143">
            <v>192713.52</v>
          </cell>
          <cell r="CQ143">
            <v>199981.33</v>
          </cell>
          <cell r="CR143">
            <v>277884.49</v>
          </cell>
          <cell r="CS143">
            <v>105010.77</v>
          </cell>
          <cell r="CT143">
            <v>146722.29</v>
          </cell>
          <cell r="CU143">
            <v>642551.68999999994</v>
          </cell>
          <cell r="CV143">
            <v>306508.42</v>
          </cell>
          <cell r="CW143">
            <v>87639.6</v>
          </cell>
          <cell r="CX143">
            <v>211630.37</v>
          </cell>
          <cell r="CY143">
            <v>286089.67</v>
          </cell>
          <cell r="CZ143">
            <v>74553.5</v>
          </cell>
          <cell r="DA143">
            <v>303852.37</v>
          </cell>
          <cell r="DB143">
            <v>279002.98</v>
          </cell>
          <cell r="DC143">
            <v>166504.29999999999</v>
          </cell>
          <cell r="DD143">
            <v>259488.25</v>
          </cell>
          <cell r="DE143">
            <v>39657.21</v>
          </cell>
          <cell r="DF143">
            <v>144966.06</v>
          </cell>
          <cell r="DG143">
            <v>566812.71</v>
          </cell>
        </row>
        <row r="144">
          <cell r="A144">
            <v>6010310</v>
          </cell>
          <cell r="B144">
            <v>6010310</v>
          </cell>
          <cell r="C144" t="str">
            <v>Labor Union ST</v>
          </cell>
          <cell r="D144">
            <v>557663.41</v>
          </cell>
          <cell r="E144">
            <v>498218.7</v>
          </cell>
          <cell r="F144">
            <v>560036.39</v>
          </cell>
          <cell r="G144">
            <v>535359.54</v>
          </cell>
          <cell r="H144">
            <v>555307.65</v>
          </cell>
          <cell r="I144">
            <v>525565.89</v>
          </cell>
          <cell r="J144">
            <v>534709.73</v>
          </cell>
          <cell r="K144">
            <v>541251.6</v>
          </cell>
          <cell r="L144">
            <v>536973.18000000005</v>
          </cell>
          <cell r="M144">
            <v>546190.53</v>
          </cell>
          <cell r="N144">
            <v>541102.13</v>
          </cell>
          <cell r="O144">
            <v>556339.43000000005</v>
          </cell>
          <cell r="P144">
            <v>379248.67</v>
          </cell>
          <cell r="Q144">
            <v>431949.18</v>
          </cell>
          <cell r="R144">
            <v>460160.43</v>
          </cell>
          <cell r="S144">
            <v>434314.16</v>
          </cell>
          <cell r="T144">
            <v>449454.41</v>
          </cell>
          <cell r="U144">
            <v>420124.9</v>
          </cell>
          <cell r="V144">
            <v>424252.96</v>
          </cell>
          <cell r="W144">
            <v>413860.45</v>
          </cell>
          <cell r="X144">
            <v>387236.79</v>
          </cell>
          <cell r="Y144">
            <v>503463.93</v>
          </cell>
          <cell r="Z144">
            <v>472324.98</v>
          </cell>
          <cell r="AA144">
            <v>440495.4</v>
          </cell>
          <cell r="AB144">
            <v>402792.2</v>
          </cell>
          <cell r="AC144">
            <v>443620.88</v>
          </cell>
          <cell r="AD144">
            <v>461008.89</v>
          </cell>
          <cell r="AE144">
            <v>463843.85</v>
          </cell>
          <cell r="AF144">
            <v>483790.19</v>
          </cell>
          <cell r="AG144">
            <v>413295.95</v>
          </cell>
          <cell r="AH144">
            <v>381581.82</v>
          </cell>
          <cell r="AI144">
            <v>693174.1</v>
          </cell>
          <cell r="AJ144">
            <v>496898.2</v>
          </cell>
          <cell r="AK144">
            <v>524076.72</v>
          </cell>
          <cell r="AL144">
            <v>508165.47</v>
          </cell>
          <cell r="AM144">
            <v>454759.03</v>
          </cell>
          <cell r="AN144">
            <v>394006.7</v>
          </cell>
          <cell r="AO144">
            <v>503748.72</v>
          </cell>
          <cell r="AP144">
            <v>505902.08000000002</v>
          </cell>
          <cell r="AQ144">
            <v>426462.93</v>
          </cell>
          <cell r="AR144">
            <v>521342.28</v>
          </cell>
          <cell r="AS144">
            <v>444508.86</v>
          </cell>
          <cell r="AT144">
            <v>431496.75</v>
          </cell>
          <cell r="AU144">
            <v>546938.71</v>
          </cell>
          <cell r="AV144">
            <v>457995.07</v>
          </cell>
          <cell r="AW144">
            <v>495116.68</v>
          </cell>
          <cell r="AX144">
            <v>489227.62</v>
          </cell>
          <cell r="AY144">
            <v>416782.02</v>
          </cell>
          <cell r="AZ144">
            <v>376279.51</v>
          </cell>
          <cell r="BA144">
            <v>481773.8</v>
          </cell>
          <cell r="BB144">
            <v>459500.39</v>
          </cell>
          <cell r="BC144">
            <v>419223.09</v>
          </cell>
          <cell r="BD144">
            <v>460514.3</v>
          </cell>
          <cell r="BE144">
            <v>440335.23</v>
          </cell>
          <cell r="BF144">
            <v>403215.65</v>
          </cell>
          <cell r="BG144">
            <v>516391.75</v>
          </cell>
          <cell r="BH144">
            <v>420729.26</v>
          </cell>
          <cell r="BI144">
            <v>509809.84</v>
          </cell>
          <cell r="BJ144">
            <v>484625.36</v>
          </cell>
          <cell r="BK144">
            <v>407705.44</v>
          </cell>
          <cell r="BL144">
            <v>394326.6</v>
          </cell>
          <cell r="BM144">
            <v>431873.38</v>
          </cell>
          <cell r="BN144">
            <v>434235.86</v>
          </cell>
          <cell r="BO144">
            <v>411862.42</v>
          </cell>
          <cell r="BP144">
            <v>473513.66</v>
          </cell>
          <cell r="BQ144">
            <v>405310.44</v>
          </cell>
          <cell r="BR144">
            <v>408334.58</v>
          </cell>
          <cell r="BS144">
            <v>529172.98</v>
          </cell>
          <cell r="BT144">
            <v>459615.63</v>
          </cell>
          <cell r="BU144">
            <v>519937.79</v>
          </cell>
          <cell r="BV144">
            <v>474765.28</v>
          </cell>
          <cell r="BW144">
            <v>437082.64</v>
          </cell>
          <cell r="BX144">
            <v>372534.95</v>
          </cell>
          <cell r="BY144">
            <v>451702.02</v>
          </cell>
          <cell r="BZ144">
            <v>461043.35</v>
          </cell>
          <cell r="CA144">
            <v>466028.18</v>
          </cell>
          <cell r="CB144">
            <v>498816.08</v>
          </cell>
          <cell r="CC144">
            <v>458024.7</v>
          </cell>
          <cell r="CD144">
            <v>488099.8</v>
          </cell>
          <cell r="CE144">
            <v>478208.49</v>
          </cell>
          <cell r="CF144">
            <v>438647.19</v>
          </cell>
          <cell r="CG144">
            <v>517728.3</v>
          </cell>
          <cell r="CH144">
            <v>471390.75</v>
          </cell>
          <cell r="CI144">
            <v>143255.79999999999</v>
          </cell>
          <cell r="CJ144">
            <v>325714.21999999997</v>
          </cell>
          <cell r="CK144">
            <v>343612.64</v>
          </cell>
          <cell r="CL144">
            <v>391275.77</v>
          </cell>
          <cell r="CM144">
            <v>362775.2</v>
          </cell>
          <cell r="CN144">
            <v>356735.89</v>
          </cell>
          <cell r="CO144">
            <v>327130.88</v>
          </cell>
          <cell r="CP144">
            <v>378700.78</v>
          </cell>
          <cell r="CQ144">
            <v>358859.78</v>
          </cell>
          <cell r="CR144">
            <v>342224.71</v>
          </cell>
          <cell r="CS144">
            <v>374424.32000000001</v>
          </cell>
          <cell r="CT144">
            <v>368397.47</v>
          </cell>
          <cell r="CU144">
            <v>285632.46000000002</v>
          </cell>
          <cell r="CV144">
            <v>324921.28000000003</v>
          </cell>
          <cell r="CW144">
            <v>324064.49</v>
          </cell>
          <cell r="CX144">
            <v>349070.72</v>
          </cell>
          <cell r="CY144">
            <v>324022.78000000003</v>
          </cell>
          <cell r="CZ144">
            <v>381256.32</v>
          </cell>
          <cell r="DA144">
            <v>365108.5</v>
          </cell>
          <cell r="DB144">
            <v>349330.94</v>
          </cell>
          <cell r="DC144">
            <v>382642.74</v>
          </cell>
          <cell r="DD144">
            <v>353925.26</v>
          </cell>
          <cell r="DE144">
            <v>412720.86</v>
          </cell>
          <cell r="DF144">
            <v>418866.95</v>
          </cell>
          <cell r="DG144">
            <v>332512.44</v>
          </cell>
        </row>
        <row r="145">
          <cell r="A145">
            <v>6010320</v>
          </cell>
          <cell r="B145">
            <v>6010320</v>
          </cell>
          <cell r="C145" t="str">
            <v>Labor Union OT</v>
          </cell>
          <cell r="D145">
            <v>62074.91</v>
          </cell>
          <cell r="E145">
            <v>47872.58</v>
          </cell>
          <cell r="F145">
            <v>52343.93</v>
          </cell>
          <cell r="G145">
            <v>69863.03</v>
          </cell>
          <cell r="H145">
            <v>52607.38</v>
          </cell>
          <cell r="I145">
            <v>52555.9</v>
          </cell>
          <cell r="J145">
            <v>59199.85</v>
          </cell>
          <cell r="K145">
            <v>50736.44</v>
          </cell>
          <cell r="L145">
            <v>68482.39</v>
          </cell>
          <cell r="M145">
            <v>62251.94</v>
          </cell>
          <cell r="N145">
            <v>71205.33</v>
          </cell>
          <cell r="O145">
            <v>74202.25</v>
          </cell>
          <cell r="P145">
            <v>44469.47</v>
          </cell>
          <cell r="Q145">
            <v>55466.5</v>
          </cell>
          <cell r="R145">
            <v>65523.55</v>
          </cell>
          <cell r="S145">
            <v>57076.83</v>
          </cell>
          <cell r="T145">
            <v>81901.08</v>
          </cell>
          <cell r="U145">
            <v>83393.45</v>
          </cell>
          <cell r="V145">
            <v>74622.009999999995</v>
          </cell>
          <cell r="W145">
            <v>83353.78</v>
          </cell>
          <cell r="X145">
            <v>95524.86</v>
          </cell>
          <cell r="Y145">
            <v>109500.64</v>
          </cell>
          <cell r="Z145">
            <v>131636.51</v>
          </cell>
          <cell r="AA145">
            <v>131453.25</v>
          </cell>
          <cell r="AB145">
            <v>88305.93</v>
          </cell>
          <cell r="AC145">
            <v>119474.11</v>
          </cell>
          <cell r="AD145">
            <v>104068.87</v>
          </cell>
          <cell r="AE145">
            <v>89459.16</v>
          </cell>
          <cell r="AF145">
            <v>81612.14</v>
          </cell>
          <cell r="AG145">
            <v>103327.36</v>
          </cell>
          <cell r="AH145">
            <v>97383.52</v>
          </cell>
          <cell r="AI145">
            <v>130831.79</v>
          </cell>
          <cell r="AJ145">
            <v>124621.64</v>
          </cell>
          <cell r="AK145">
            <v>157150.46</v>
          </cell>
          <cell r="AL145">
            <v>138895.39000000001</v>
          </cell>
          <cell r="AM145">
            <v>113233.72</v>
          </cell>
          <cell r="AN145">
            <v>202963.48</v>
          </cell>
          <cell r="AO145">
            <v>56467.39</v>
          </cell>
          <cell r="AP145">
            <v>104412.11</v>
          </cell>
          <cell r="AQ145">
            <v>122194.46</v>
          </cell>
          <cell r="AR145">
            <v>92821.42</v>
          </cell>
          <cell r="AS145">
            <v>98886.78</v>
          </cell>
          <cell r="AT145">
            <v>83748.62</v>
          </cell>
          <cell r="AU145">
            <v>141660.29</v>
          </cell>
          <cell r="AV145">
            <v>167002.82</v>
          </cell>
          <cell r="AW145">
            <v>79527.179999999993</v>
          </cell>
          <cell r="AX145">
            <v>129356.06</v>
          </cell>
          <cell r="AY145">
            <v>110699.75</v>
          </cell>
          <cell r="AZ145">
            <v>119775.47</v>
          </cell>
          <cell r="BA145">
            <v>146964.69</v>
          </cell>
          <cell r="BB145">
            <v>81722.649999999994</v>
          </cell>
          <cell r="BC145">
            <v>102887.74</v>
          </cell>
          <cell r="BD145">
            <v>87042.14</v>
          </cell>
          <cell r="BE145">
            <v>116157.75999999999</v>
          </cell>
          <cell r="BF145">
            <v>103126.53</v>
          </cell>
          <cell r="BG145">
            <v>125933.27</v>
          </cell>
          <cell r="BH145">
            <v>91040.06</v>
          </cell>
          <cell r="BI145">
            <v>248767.4</v>
          </cell>
          <cell r="BJ145">
            <v>112846.98</v>
          </cell>
          <cell r="BK145">
            <v>132205.94</v>
          </cell>
          <cell r="BL145">
            <v>87561.22</v>
          </cell>
          <cell r="BM145">
            <v>124250.34</v>
          </cell>
          <cell r="BN145">
            <v>113649.09</v>
          </cell>
          <cell r="BO145">
            <v>98689.34</v>
          </cell>
          <cell r="BP145">
            <v>115103.12</v>
          </cell>
          <cell r="BQ145">
            <v>110807.14</v>
          </cell>
          <cell r="BR145">
            <v>134024.12</v>
          </cell>
          <cell r="BS145">
            <v>132806.72</v>
          </cell>
          <cell r="BT145">
            <v>123500.3</v>
          </cell>
          <cell r="BU145">
            <v>143845.54999999999</v>
          </cell>
          <cell r="BV145">
            <v>125470.54</v>
          </cell>
          <cell r="BW145">
            <v>140071.29999999999</v>
          </cell>
          <cell r="BX145">
            <v>145170.31</v>
          </cell>
          <cell r="BY145">
            <v>103954.5</v>
          </cell>
          <cell r="BZ145">
            <v>114130.97</v>
          </cell>
          <cell r="CA145">
            <v>57551.16</v>
          </cell>
          <cell r="CB145">
            <v>85327.88</v>
          </cell>
          <cell r="CC145">
            <v>56883.32</v>
          </cell>
          <cell r="CD145">
            <v>93600.72</v>
          </cell>
          <cell r="CE145">
            <v>95937.59</v>
          </cell>
          <cell r="CF145">
            <v>85749.36</v>
          </cell>
          <cell r="CG145">
            <v>124475.42</v>
          </cell>
          <cell r="CH145">
            <v>93488.15</v>
          </cell>
          <cell r="CI145">
            <v>83047.75</v>
          </cell>
          <cell r="CJ145">
            <v>92227</v>
          </cell>
          <cell r="CK145">
            <v>78870.94</v>
          </cell>
          <cell r="CL145">
            <v>90718.76</v>
          </cell>
          <cell r="CM145">
            <v>84516.32</v>
          </cell>
          <cell r="CN145">
            <v>88484.29</v>
          </cell>
          <cell r="CO145">
            <v>96180.88</v>
          </cell>
          <cell r="CP145">
            <v>115852.96</v>
          </cell>
          <cell r="CQ145">
            <v>85773.65</v>
          </cell>
          <cell r="CR145">
            <v>124608.99</v>
          </cell>
          <cell r="CS145">
            <v>81027.179999999993</v>
          </cell>
          <cell r="CT145">
            <v>110315.92</v>
          </cell>
          <cell r="CU145">
            <v>96986.06</v>
          </cell>
          <cell r="CV145">
            <v>94148.69</v>
          </cell>
          <cell r="CW145">
            <v>78691.5</v>
          </cell>
          <cell r="CX145">
            <v>90723.58</v>
          </cell>
          <cell r="CY145">
            <v>83582.039999999994</v>
          </cell>
          <cell r="CZ145">
            <v>59586.51</v>
          </cell>
          <cell r="DA145">
            <v>86576.02</v>
          </cell>
          <cell r="DB145">
            <v>83525.179999999993</v>
          </cell>
          <cell r="DC145">
            <v>78960.81</v>
          </cell>
          <cell r="DD145">
            <v>68348.33</v>
          </cell>
          <cell r="DE145">
            <v>149556.03</v>
          </cell>
          <cell r="DF145">
            <v>71122.41</v>
          </cell>
          <cell r="DG145">
            <v>86799.38</v>
          </cell>
        </row>
        <row r="146">
          <cell r="A146">
            <v>6010330</v>
          </cell>
          <cell r="B146">
            <v>6010330</v>
          </cell>
          <cell r="C146" t="str">
            <v>Labor Union NonProd</v>
          </cell>
          <cell r="D146">
            <v>1866.76</v>
          </cell>
          <cell r="E146">
            <v>291.76</v>
          </cell>
          <cell r="F146">
            <v>830.64</v>
          </cell>
          <cell r="G146">
            <v>3791.84</v>
          </cell>
          <cell r="H146">
            <v>5783.8</v>
          </cell>
          <cell r="I146">
            <v>2810.3</v>
          </cell>
          <cell r="J146">
            <v>966.76</v>
          </cell>
          <cell r="K146">
            <v>333.44</v>
          </cell>
          <cell r="L146">
            <v>2028.19</v>
          </cell>
          <cell r="M146">
            <v>-486.27</v>
          </cell>
          <cell r="N146">
            <v>375.12</v>
          </cell>
          <cell r="O146">
            <v>1575.12</v>
          </cell>
          <cell r="P146">
            <v>176744.66</v>
          </cell>
          <cell r="Q146">
            <v>72537.429999999993</v>
          </cell>
          <cell r="R146">
            <v>76035.98</v>
          </cell>
          <cell r="S146">
            <v>80452.89</v>
          </cell>
          <cell r="T146">
            <v>53621.09</v>
          </cell>
          <cell r="U146">
            <v>86892.21</v>
          </cell>
          <cell r="V146">
            <v>88268.52</v>
          </cell>
          <cell r="W146">
            <v>59974.39</v>
          </cell>
          <cell r="X146">
            <v>97203.77</v>
          </cell>
          <cell r="Y146">
            <v>17024.060000000001</v>
          </cell>
          <cell r="Z146">
            <v>48903.09</v>
          </cell>
          <cell r="AA146">
            <v>109861.6</v>
          </cell>
          <cell r="AB146">
            <v>139066.34</v>
          </cell>
          <cell r="AC146">
            <v>70932.990000000005</v>
          </cell>
          <cell r="AD146">
            <v>96354.44</v>
          </cell>
          <cell r="AE146">
            <v>66149.91</v>
          </cell>
          <cell r="AF146">
            <v>51116.9</v>
          </cell>
          <cell r="AG146">
            <v>100423.91</v>
          </cell>
          <cell r="AH146">
            <v>132458.87</v>
          </cell>
          <cell r="AI146">
            <v>89647.24</v>
          </cell>
          <cell r="AJ146">
            <v>95020.88</v>
          </cell>
          <cell r="AK146">
            <v>55975.88</v>
          </cell>
          <cell r="AL146">
            <v>66537.77</v>
          </cell>
          <cell r="AM146">
            <v>121183.96</v>
          </cell>
          <cell r="AN146">
            <v>186278.96</v>
          </cell>
          <cell r="AO146">
            <v>17486.87</v>
          </cell>
          <cell r="AP146">
            <v>88483.48</v>
          </cell>
          <cell r="AQ146">
            <v>97834.21</v>
          </cell>
          <cell r="AR146">
            <v>43290.81</v>
          </cell>
          <cell r="AS146">
            <v>106142.71</v>
          </cell>
          <cell r="AT146">
            <v>120905.22</v>
          </cell>
          <cell r="AU146">
            <v>26941.32</v>
          </cell>
          <cell r="AV146">
            <v>81600.179999999993</v>
          </cell>
          <cell r="AW146">
            <v>60949.64</v>
          </cell>
          <cell r="AX146">
            <v>67151.05</v>
          </cell>
          <cell r="AY146">
            <v>125991.03</v>
          </cell>
          <cell r="AZ146">
            <v>196092.01</v>
          </cell>
          <cell r="BA146">
            <v>11752.19</v>
          </cell>
          <cell r="BB146">
            <v>71111.81</v>
          </cell>
          <cell r="BC146">
            <v>60876.24</v>
          </cell>
          <cell r="BD146">
            <v>58105.39</v>
          </cell>
          <cell r="BE146">
            <v>93929.7</v>
          </cell>
          <cell r="BF146">
            <v>131198.82</v>
          </cell>
          <cell r="BG146">
            <v>14228.46</v>
          </cell>
          <cell r="BH146">
            <v>76667.75</v>
          </cell>
          <cell r="BI146">
            <v>55931.94</v>
          </cell>
          <cell r="BJ146">
            <v>63039.72</v>
          </cell>
          <cell r="BK146">
            <v>131500.97</v>
          </cell>
          <cell r="BL146">
            <v>159317.29</v>
          </cell>
          <cell r="BM146">
            <v>56599.02</v>
          </cell>
          <cell r="BN146">
            <v>89829.52</v>
          </cell>
          <cell r="BO146">
            <v>87561.16</v>
          </cell>
          <cell r="BP146">
            <v>55438.12</v>
          </cell>
          <cell r="BQ146">
            <v>86099.46</v>
          </cell>
          <cell r="BR146">
            <v>114243.66</v>
          </cell>
          <cell r="BS146">
            <v>6624.91</v>
          </cell>
          <cell r="BT146">
            <v>71987.820000000007</v>
          </cell>
          <cell r="BU146">
            <v>36625.17</v>
          </cell>
          <cell r="BV146">
            <v>45742.79</v>
          </cell>
          <cell r="BW146">
            <v>115044.78</v>
          </cell>
          <cell r="BX146">
            <v>192997.85</v>
          </cell>
          <cell r="BY146">
            <v>49939.39</v>
          </cell>
          <cell r="BZ146">
            <v>71653.77</v>
          </cell>
          <cell r="CA146">
            <v>70570.27</v>
          </cell>
          <cell r="CB146">
            <v>7802.17</v>
          </cell>
          <cell r="CC146">
            <v>81946.929999999993</v>
          </cell>
          <cell r="CD146">
            <v>80561.83</v>
          </cell>
          <cell r="CE146">
            <v>46149.69</v>
          </cell>
          <cell r="CF146">
            <v>109701.74</v>
          </cell>
          <cell r="CG146">
            <v>24544.14</v>
          </cell>
          <cell r="CH146">
            <v>41710.01</v>
          </cell>
          <cell r="CI146">
            <v>151707.59</v>
          </cell>
          <cell r="CJ146">
            <v>79724.86</v>
          </cell>
          <cell r="CK146">
            <v>37992.769999999997</v>
          </cell>
          <cell r="CL146">
            <v>50619.73</v>
          </cell>
          <cell r="CM146">
            <v>58178.63</v>
          </cell>
          <cell r="CN146">
            <v>43323.98</v>
          </cell>
          <cell r="CO146">
            <v>107106.65</v>
          </cell>
          <cell r="CP146">
            <v>60547.22</v>
          </cell>
          <cell r="CQ146">
            <v>60971.08</v>
          </cell>
          <cell r="CR146">
            <v>87844.62</v>
          </cell>
          <cell r="CS146">
            <v>27831.74</v>
          </cell>
          <cell r="CT146">
            <v>46553.59</v>
          </cell>
          <cell r="CU146">
            <v>146739.68</v>
          </cell>
          <cell r="CV146">
            <v>88416.81</v>
          </cell>
          <cell r="CW146">
            <v>42685.2</v>
          </cell>
          <cell r="CX146">
            <v>64431.42</v>
          </cell>
          <cell r="CY146">
            <v>66184.91</v>
          </cell>
          <cell r="CZ146">
            <v>37409.57</v>
          </cell>
          <cell r="DA146">
            <v>57394.55</v>
          </cell>
          <cell r="DB146">
            <v>73439.289999999994</v>
          </cell>
          <cell r="DC146">
            <v>50979.75</v>
          </cell>
          <cell r="DD146">
            <v>72405.759999999995</v>
          </cell>
          <cell r="DE146">
            <v>2132.69</v>
          </cell>
          <cell r="DF146">
            <v>24577.85</v>
          </cell>
          <cell r="DG146">
            <v>138899.92000000001</v>
          </cell>
        </row>
        <row r="147">
          <cell r="A147">
            <v>6010400</v>
          </cell>
          <cell r="B147">
            <v>6010400</v>
          </cell>
          <cell r="C147" t="str">
            <v>Labor Severance</v>
          </cell>
          <cell r="D147"/>
          <cell r="E147"/>
          <cell r="F147"/>
          <cell r="G147"/>
          <cell r="H147"/>
          <cell r="I147"/>
          <cell r="J147"/>
          <cell r="K147"/>
          <cell r="L147"/>
          <cell r="M147"/>
          <cell r="N147"/>
          <cell r="O147"/>
          <cell r="P147"/>
          <cell r="Q147"/>
          <cell r="R147"/>
          <cell r="S147"/>
          <cell r="T147"/>
          <cell r="U147"/>
          <cell r="V147"/>
          <cell r="W147"/>
          <cell r="X147"/>
          <cell r="Y147"/>
          <cell r="Z147"/>
          <cell r="AA147"/>
          <cell r="AB147"/>
          <cell r="AC147"/>
          <cell r="AD147"/>
          <cell r="AE147"/>
          <cell r="AF147"/>
          <cell r="AG147"/>
          <cell r="AH147"/>
          <cell r="AI147"/>
          <cell r="AJ147"/>
          <cell r="AK147"/>
          <cell r="AL147"/>
          <cell r="AM147"/>
          <cell r="AN147"/>
          <cell r="AO147"/>
          <cell r="AP147"/>
          <cell r="AQ147"/>
          <cell r="AR147"/>
          <cell r="AS147"/>
          <cell r="AT147"/>
          <cell r="AU147"/>
          <cell r="AV147"/>
          <cell r="AW147"/>
          <cell r="AX147"/>
          <cell r="AY147"/>
          <cell r="AZ147"/>
          <cell r="BA147"/>
          <cell r="BB147"/>
          <cell r="BC147"/>
          <cell r="BD147"/>
          <cell r="BE147"/>
          <cell r="BF147">
            <v>0</v>
          </cell>
          <cell r="BG147">
            <v>1638.5</v>
          </cell>
          <cell r="BH147">
            <v>-1638.5</v>
          </cell>
          <cell r="BI147">
            <v>0</v>
          </cell>
          <cell r="BJ147">
            <v>162</v>
          </cell>
          <cell r="BK147">
            <v>-162</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cell r="CH147"/>
          <cell r="CI147"/>
          <cell r="CJ147"/>
          <cell r="CK147"/>
          <cell r="CL147"/>
          <cell r="CM147"/>
          <cell r="CN147"/>
          <cell r="CO147"/>
          <cell r="CP147">
            <v>0</v>
          </cell>
          <cell r="CQ147">
            <v>0</v>
          </cell>
          <cell r="CR147">
            <v>0</v>
          </cell>
          <cell r="CS147">
            <v>0</v>
          </cell>
          <cell r="CT147">
            <v>0</v>
          </cell>
          <cell r="CU147">
            <v>0</v>
          </cell>
          <cell r="CV147">
            <v>0</v>
          </cell>
          <cell r="CW147">
            <v>64051.199999999997</v>
          </cell>
          <cell r="CX147">
            <v>0</v>
          </cell>
          <cell r="CY147">
            <v>0</v>
          </cell>
          <cell r="CZ147">
            <v>70000</v>
          </cell>
          <cell r="DA147">
            <v>0</v>
          </cell>
          <cell r="DB147">
            <v>0</v>
          </cell>
          <cell r="DC147">
            <v>0</v>
          </cell>
          <cell r="DD147">
            <v>0</v>
          </cell>
          <cell r="DE147">
            <v>0</v>
          </cell>
          <cell r="DF147">
            <v>0</v>
          </cell>
          <cell r="DG147">
            <v>0</v>
          </cell>
        </row>
        <row r="148">
          <cell r="A148">
            <v>6010900</v>
          </cell>
          <cell r="B148">
            <v>6010900</v>
          </cell>
          <cell r="C148" t="str">
            <v>Labor Commissions</v>
          </cell>
          <cell r="D148"/>
          <cell r="E148"/>
          <cell r="F148"/>
          <cell r="G148"/>
          <cell r="H148"/>
          <cell r="I148"/>
          <cell r="J148"/>
          <cell r="K148"/>
          <cell r="L148"/>
          <cell r="M148"/>
          <cell r="N148"/>
          <cell r="O148"/>
          <cell r="P148"/>
          <cell r="Q148"/>
          <cell r="R148"/>
          <cell r="S148"/>
          <cell r="T148"/>
          <cell r="U148"/>
          <cell r="V148"/>
          <cell r="W148"/>
          <cell r="X148"/>
          <cell r="Y148"/>
          <cell r="Z148"/>
          <cell r="AA148"/>
          <cell r="AB148"/>
          <cell r="AC148"/>
          <cell r="AD148"/>
          <cell r="AE148"/>
          <cell r="AF148"/>
          <cell r="AG148"/>
          <cell r="AH148"/>
          <cell r="AI148"/>
          <cell r="AJ148"/>
          <cell r="AK148"/>
          <cell r="AL148"/>
          <cell r="AM148"/>
          <cell r="AN148"/>
          <cell r="AO148"/>
          <cell r="AP148"/>
          <cell r="AQ148"/>
          <cell r="AR148"/>
          <cell r="AS148"/>
          <cell r="AT148"/>
          <cell r="AU148"/>
          <cell r="AV148"/>
          <cell r="AW148"/>
          <cell r="AX148"/>
          <cell r="AY148"/>
          <cell r="AZ148"/>
          <cell r="BA148"/>
          <cell r="BB148"/>
          <cell r="BC148"/>
          <cell r="BD148"/>
          <cell r="BE148"/>
          <cell r="BF148"/>
          <cell r="BG148"/>
          <cell r="BH148"/>
          <cell r="BI148"/>
          <cell r="BJ148"/>
          <cell r="BK148"/>
          <cell r="BL148"/>
          <cell r="BM148"/>
          <cell r="BN148"/>
          <cell r="BO148"/>
          <cell r="BP148"/>
          <cell r="BQ148"/>
          <cell r="BR148"/>
          <cell r="BS148"/>
          <cell r="BT148"/>
          <cell r="BU148"/>
          <cell r="BV148"/>
          <cell r="BW148"/>
          <cell r="BX148"/>
          <cell r="BY148"/>
          <cell r="BZ148"/>
          <cell r="CA148"/>
          <cell r="CB148"/>
          <cell r="CC148"/>
          <cell r="CD148"/>
          <cell r="CE148"/>
          <cell r="CF148"/>
          <cell r="CG148"/>
          <cell r="CH148"/>
          <cell r="CI148"/>
          <cell r="CJ148"/>
          <cell r="CK148"/>
          <cell r="CL148"/>
          <cell r="CM148"/>
          <cell r="CN148"/>
          <cell r="CO148"/>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row>
        <row r="149">
          <cell r="A149">
            <v>6010910</v>
          </cell>
          <cell r="B149">
            <v>6010910</v>
          </cell>
          <cell r="C149" t="str">
            <v>Labor OffCycle Bonus</v>
          </cell>
          <cell r="D149">
            <v>10544.83</v>
          </cell>
          <cell r="E149">
            <v>8307.51</v>
          </cell>
          <cell r="F149">
            <v>296.95999999999998</v>
          </cell>
          <cell r="G149">
            <v>1410.56</v>
          </cell>
          <cell r="H149">
            <v>61315.21</v>
          </cell>
          <cell r="I149">
            <v>7128.13</v>
          </cell>
          <cell r="J149">
            <v>4677.07</v>
          </cell>
          <cell r="K149">
            <v>3093.92</v>
          </cell>
          <cell r="L149">
            <v>3158.06</v>
          </cell>
          <cell r="M149">
            <v>2139.2600000000002</v>
          </cell>
          <cell r="N149">
            <v>593.91999999999996</v>
          </cell>
          <cell r="O149">
            <v>24757.279999999999</v>
          </cell>
          <cell r="P149">
            <v>32557.360000000001</v>
          </cell>
          <cell r="Q149">
            <v>15621.47</v>
          </cell>
          <cell r="R149">
            <v>593.91</v>
          </cell>
          <cell r="S149">
            <v>10015.91</v>
          </cell>
          <cell r="T149">
            <v>296.95999999999998</v>
          </cell>
          <cell r="U149">
            <v>23170.36</v>
          </cell>
          <cell r="V149">
            <v>1336.36</v>
          </cell>
          <cell r="W149">
            <v>29002.82</v>
          </cell>
          <cell r="X149">
            <v>41315.81</v>
          </cell>
          <cell r="Y149">
            <v>21996.82</v>
          </cell>
          <cell r="Z149">
            <v>21982.76</v>
          </cell>
          <cell r="AA149">
            <v>83739.600000000006</v>
          </cell>
          <cell r="AB149">
            <v>27834.67</v>
          </cell>
          <cell r="AC149">
            <v>30100.09</v>
          </cell>
          <cell r="AD149">
            <v>18167.37</v>
          </cell>
          <cell r="AE149">
            <v>7385.72</v>
          </cell>
          <cell r="AF149">
            <v>4853.8599999999997</v>
          </cell>
          <cell r="AG149">
            <v>10226.959999999999</v>
          </cell>
          <cell r="AH149">
            <v>1410.56</v>
          </cell>
          <cell r="AI149">
            <v>1749.39</v>
          </cell>
          <cell r="AJ149">
            <v>6310.38</v>
          </cell>
          <cell r="AK149">
            <v>3979.37</v>
          </cell>
          <cell r="AL149">
            <v>6650.26</v>
          </cell>
          <cell r="AM149">
            <v>30836.75</v>
          </cell>
          <cell r="AN149">
            <v>82662.27</v>
          </cell>
          <cell r="AO149">
            <v>445.43</v>
          </cell>
          <cell r="AP149">
            <v>56673.06</v>
          </cell>
          <cell r="AQ149">
            <v>3910.56</v>
          </cell>
          <cell r="AR149">
            <v>519.66999999999996</v>
          </cell>
          <cell r="AS149">
            <v>296.97000000000003</v>
          </cell>
          <cell r="AT149">
            <v>10373.34</v>
          </cell>
          <cell r="AU149">
            <v>26133.59</v>
          </cell>
          <cell r="AV149">
            <v>593.88</v>
          </cell>
          <cell r="AW149">
            <v>50863.62</v>
          </cell>
          <cell r="AX149">
            <v>13543.26</v>
          </cell>
          <cell r="AY149">
            <v>445.43</v>
          </cell>
          <cell r="AZ149">
            <v>10413.219999999999</v>
          </cell>
          <cell r="BA149">
            <v>43455.7</v>
          </cell>
          <cell r="BB149">
            <v>5173.16</v>
          </cell>
          <cell r="BC149">
            <v>49042.91</v>
          </cell>
          <cell r="BD149">
            <v>18284.29</v>
          </cell>
          <cell r="BE149">
            <v>510.64</v>
          </cell>
          <cell r="BF149">
            <v>19635.11</v>
          </cell>
          <cell r="BG149">
            <v>25853.17</v>
          </cell>
          <cell r="BH149">
            <v>25870.639999999999</v>
          </cell>
          <cell r="BI149">
            <v>14055.63</v>
          </cell>
          <cell r="BJ149">
            <v>15239.6</v>
          </cell>
          <cell r="BK149">
            <v>44426.42</v>
          </cell>
          <cell r="BL149">
            <v>91528.13</v>
          </cell>
          <cell r="BM149">
            <v>426.42</v>
          </cell>
          <cell r="BN149">
            <v>21606.25</v>
          </cell>
          <cell r="BO149">
            <v>4852.87</v>
          </cell>
          <cell r="BP149">
            <v>3837.96</v>
          </cell>
          <cell r="BQ149">
            <v>14810.58</v>
          </cell>
          <cell r="BR149">
            <v>74438.53</v>
          </cell>
          <cell r="BS149">
            <v>20696.97</v>
          </cell>
          <cell r="BT149">
            <v>8284.2800000000007</v>
          </cell>
          <cell r="BU149">
            <v>6279.32</v>
          </cell>
          <cell r="BV149">
            <v>43483.3</v>
          </cell>
          <cell r="BW149">
            <v>49708.35</v>
          </cell>
          <cell r="BX149">
            <v>8494.6299999999992</v>
          </cell>
          <cell r="BY149">
            <v>20000</v>
          </cell>
          <cell r="BZ149">
            <v>138149.57999999999</v>
          </cell>
          <cell r="CA149">
            <v>835.98</v>
          </cell>
          <cell r="CB149">
            <v>14356.79</v>
          </cell>
          <cell r="CC149">
            <v>14419.06</v>
          </cell>
          <cell r="CD149">
            <v>15414.64</v>
          </cell>
          <cell r="CE149">
            <v>9372.89</v>
          </cell>
          <cell r="CF149">
            <v>1512.53</v>
          </cell>
          <cell r="CG149">
            <v>142.15</v>
          </cell>
          <cell r="CH149">
            <v>3844.61</v>
          </cell>
          <cell r="CI149">
            <v>10948.52</v>
          </cell>
          <cell r="CJ149">
            <v>43626.23</v>
          </cell>
          <cell r="CK149">
            <v>213.22</v>
          </cell>
          <cell r="CL149">
            <v>15972.2</v>
          </cell>
          <cell r="CM149">
            <v>5259.75</v>
          </cell>
          <cell r="CN149">
            <v>995.35</v>
          </cell>
          <cell r="CO149">
            <v>2035.35</v>
          </cell>
          <cell r="CP149">
            <v>17495</v>
          </cell>
          <cell r="CQ149">
            <v>14063.57</v>
          </cell>
          <cell r="CR149">
            <v>82132.2</v>
          </cell>
          <cell r="CS149">
            <v>13250</v>
          </cell>
          <cell r="CT149">
            <v>76282.679999999993</v>
          </cell>
          <cell r="CU149">
            <v>40764.39</v>
          </cell>
          <cell r="CV149">
            <v>34302.01</v>
          </cell>
          <cell r="CW149">
            <v>44946.68</v>
          </cell>
          <cell r="CX149">
            <v>7089.23</v>
          </cell>
          <cell r="CY149">
            <v>62334.61</v>
          </cell>
          <cell r="CZ149">
            <v>7710.73</v>
          </cell>
          <cell r="DA149">
            <v>35321.97</v>
          </cell>
          <cell r="DB149">
            <v>37687.47</v>
          </cell>
          <cell r="DC149">
            <v>21321.96</v>
          </cell>
          <cell r="DD149">
            <v>92657.57</v>
          </cell>
          <cell r="DE149">
            <v>42842.93</v>
          </cell>
          <cell r="DF149">
            <v>77047.73</v>
          </cell>
          <cell r="DG149">
            <v>58802.12</v>
          </cell>
        </row>
        <row r="150">
          <cell r="A150">
            <v>6010990</v>
          </cell>
          <cell r="B150">
            <v>6010990</v>
          </cell>
          <cell r="C150" t="str">
            <v>Labor Seconded Employees</v>
          </cell>
          <cell r="D150"/>
          <cell r="E150"/>
          <cell r="F150"/>
          <cell r="G150"/>
          <cell r="H150"/>
          <cell r="I150"/>
          <cell r="J150"/>
          <cell r="K150"/>
          <cell r="L150"/>
          <cell r="M150"/>
          <cell r="N150"/>
          <cell r="O150"/>
          <cell r="P150"/>
          <cell r="Q150"/>
          <cell r="R150"/>
          <cell r="S150"/>
          <cell r="T150"/>
          <cell r="U150">
            <v>1973.66</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cell r="AL150"/>
          <cell r="AM150"/>
          <cell r="AN150"/>
          <cell r="AO150"/>
          <cell r="AP150"/>
          <cell r="AQ150"/>
          <cell r="AR150"/>
          <cell r="AS150"/>
          <cell r="AT150">
            <v>0</v>
          </cell>
          <cell r="AU150">
            <v>0</v>
          </cell>
          <cell r="AV150">
            <v>33551.03</v>
          </cell>
          <cell r="AW150">
            <v>-8582.57</v>
          </cell>
          <cell r="AX150">
            <v>0</v>
          </cell>
          <cell r="AY150">
            <v>0</v>
          </cell>
          <cell r="AZ150">
            <v>0</v>
          </cell>
          <cell r="BA150">
            <v>0</v>
          </cell>
          <cell r="BB150">
            <v>0</v>
          </cell>
          <cell r="BC150">
            <v>0</v>
          </cell>
          <cell r="BD150">
            <v>0</v>
          </cell>
          <cell r="BE150">
            <v>0</v>
          </cell>
          <cell r="BF150">
            <v>0</v>
          </cell>
          <cell r="BG150">
            <v>0</v>
          </cell>
          <cell r="BH150">
            <v>0</v>
          </cell>
          <cell r="BI150">
            <v>103781.35</v>
          </cell>
          <cell r="BJ150">
            <v>9539.5300000000007</v>
          </cell>
          <cell r="BK150">
            <v>1165.8499999999999</v>
          </cell>
          <cell r="BL150">
            <v>-273.43</v>
          </cell>
          <cell r="BM150">
            <v>0</v>
          </cell>
          <cell r="BN150">
            <v>0</v>
          </cell>
          <cell r="BO150">
            <v>0</v>
          </cell>
          <cell r="BP150">
            <v>0</v>
          </cell>
          <cell r="BQ150">
            <v>0</v>
          </cell>
          <cell r="BR150">
            <v>0</v>
          </cell>
          <cell r="BS150">
            <v>0</v>
          </cell>
          <cell r="BT150">
            <v>0</v>
          </cell>
          <cell r="BU150">
            <v>318.06</v>
          </cell>
          <cell r="BV150">
            <v>-318.06</v>
          </cell>
          <cell r="BW150">
            <v>0</v>
          </cell>
          <cell r="BX150">
            <v>0</v>
          </cell>
          <cell r="BY150">
            <v>152.15</v>
          </cell>
          <cell r="BZ150">
            <v>-152.15</v>
          </cell>
          <cell r="CA150">
            <v>0</v>
          </cell>
          <cell r="CB150">
            <v>0</v>
          </cell>
          <cell r="CC150">
            <v>0</v>
          </cell>
          <cell r="CD150">
            <v>0</v>
          </cell>
          <cell r="CE150"/>
          <cell r="CF150"/>
          <cell r="CG150"/>
          <cell r="CH150"/>
          <cell r="CI150"/>
          <cell r="CJ150"/>
          <cell r="CK150"/>
          <cell r="CL150"/>
          <cell r="CM150">
            <v>0</v>
          </cell>
          <cell r="CN150">
            <v>338698.26</v>
          </cell>
          <cell r="CO150">
            <v>61885.13</v>
          </cell>
          <cell r="CP150">
            <v>60464.06</v>
          </cell>
          <cell r="CQ150">
            <v>58623.76</v>
          </cell>
          <cell r="CR150">
            <v>87363.09</v>
          </cell>
          <cell r="CS150">
            <v>59789.51</v>
          </cell>
          <cell r="CT150">
            <v>59719.44</v>
          </cell>
          <cell r="CU150">
            <v>60687.54</v>
          </cell>
          <cell r="CV150">
            <v>67051.87</v>
          </cell>
          <cell r="CW150">
            <v>67124.56</v>
          </cell>
          <cell r="CX150">
            <v>67743.97</v>
          </cell>
          <cell r="CY150">
            <v>97955.62</v>
          </cell>
          <cell r="CZ150">
            <v>64718.07</v>
          </cell>
          <cell r="DA150">
            <v>64629.21</v>
          </cell>
          <cell r="DB150">
            <v>63711.98</v>
          </cell>
          <cell r="DC150">
            <v>65449.75</v>
          </cell>
          <cell r="DD150">
            <v>68826.83</v>
          </cell>
          <cell r="DE150">
            <v>43589.05</v>
          </cell>
          <cell r="DF150">
            <v>44402.559999999998</v>
          </cell>
          <cell r="DG150">
            <v>43935.4</v>
          </cell>
        </row>
        <row r="151">
          <cell r="A151">
            <v>6018999</v>
          </cell>
          <cell r="B151">
            <v>6018999</v>
          </cell>
          <cell r="C151" t="str">
            <v>Labor Exp Reclass</v>
          </cell>
          <cell r="D151">
            <v>52171.68</v>
          </cell>
          <cell r="E151">
            <v>138265.62</v>
          </cell>
          <cell r="F151">
            <v>1643.62</v>
          </cell>
          <cell r="G151">
            <v>49930.37</v>
          </cell>
          <cell r="H151">
            <v>71134.42</v>
          </cell>
          <cell r="I151">
            <v>102730.86</v>
          </cell>
          <cell r="J151">
            <v>50214</v>
          </cell>
          <cell r="K151">
            <v>46534.98</v>
          </cell>
          <cell r="L151">
            <v>47126.080000000002</v>
          </cell>
          <cell r="M151">
            <v>27874.47</v>
          </cell>
          <cell r="N151">
            <v>221837.99</v>
          </cell>
          <cell r="O151">
            <v>-156336.45000000001</v>
          </cell>
          <cell r="P151">
            <v>97494.18</v>
          </cell>
          <cell r="Q151">
            <v>122557.95</v>
          </cell>
          <cell r="R151">
            <v>-20951.97</v>
          </cell>
          <cell r="S151">
            <v>40207.870000000003</v>
          </cell>
          <cell r="T151">
            <v>125060.27</v>
          </cell>
          <cell r="U151">
            <v>74205.259999999995</v>
          </cell>
          <cell r="V151">
            <v>62683.95</v>
          </cell>
          <cell r="W151">
            <v>60060.79</v>
          </cell>
          <cell r="X151">
            <v>58031.5</v>
          </cell>
          <cell r="Y151">
            <v>56076.79</v>
          </cell>
          <cell r="Z151">
            <v>100749.72</v>
          </cell>
          <cell r="AA151">
            <v>129025.91</v>
          </cell>
          <cell r="AB151">
            <v>83678.25</v>
          </cell>
          <cell r="AC151">
            <v>65207.63</v>
          </cell>
          <cell r="AD151">
            <v>63820.43</v>
          </cell>
          <cell r="AE151">
            <v>149745.65</v>
          </cell>
          <cell r="AF151">
            <v>52247.46</v>
          </cell>
          <cell r="AG151">
            <v>82748.06</v>
          </cell>
          <cell r="AH151">
            <v>69788.960000000006</v>
          </cell>
          <cell r="AI151">
            <v>118602.85</v>
          </cell>
          <cell r="AJ151">
            <v>156874.47</v>
          </cell>
          <cell r="AK151">
            <v>98035.55</v>
          </cell>
          <cell r="AL151">
            <v>40106.58</v>
          </cell>
          <cell r="AM151">
            <v>230848.99</v>
          </cell>
          <cell r="AN151">
            <v>76890.78</v>
          </cell>
          <cell r="AO151">
            <v>119546.62</v>
          </cell>
          <cell r="AP151">
            <v>102430.49</v>
          </cell>
          <cell r="AQ151">
            <v>119546.96</v>
          </cell>
          <cell r="AR151">
            <v>87694.65</v>
          </cell>
          <cell r="AS151">
            <v>77803.740000000005</v>
          </cell>
          <cell r="AT151">
            <v>84394.58</v>
          </cell>
          <cell r="AU151">
            <v>94989.27</v>
          </cell>
          <cell r="AV151">
            <v>118662.45</v>
          </cell>
          <cell r="AW151">
            <v>140351.76999999999</v>
          </cell>
          <cell r="AX151">
            <v>85295.2</v>
          </cell>
          <cell r="AY151">
            <v>138066.69</v>
          </cell>
          <cell r="AZ151">
            <v>83874.81</v>
          </cell>
          <cell r="BA151">
            <v>56854.25</v>
          </cell>
          <cell r="BB151">
            <v>84253.07</v>
          </cell>
          <cell r="BC151">
            <v>141442.32999999999</v>
          </cell>
          <cell r="BD151">
            <v>94955.35</v>
          </cell>
          <cell r="BE151">
            <v>88285.32</v>
          </cell>
          <cell r="BF151">
            <v>95776</v>
          </cell>
          <cell r="BG151">
            <v>101611.41</v>
          </cell>
          <cell r="BH151">
            <v>137173.31</v>
          </cell>
          <cell r="BI151">
            <v>94970.82</v>
          </cell>
          <cell r="BJ151">
            <v>151598.85999999999</v>
          </cell>
          <cell r="BK151">
            <v>191222.76</v>
          </cell>
          <cell r="BL151">
            <v>99560.320000000007</v>
          </cell>
          <cell r="BM151">
            <v>162889.5</v>
          </cell>
          <cell r="BN151">
            <v>108285.27</v>
          </cell>
          <cell r="BO151">
            <v>101673.99</v>
          </cell>
          <cell r="BP151">
            <v>148875.01</v>
          </cell>
          <cell r="BQ151">
            <v>134112.93</v>
          </cell>
          <cell r="BR151">
            <v>149746.91</v>
          </cell>
          <cell r="BS151">
            <v>156432.38</v>
          </cell>
          <cell r="BT151">
            <v>218592.89</v>
          </cell>
          <cell r="BU151">
            <v>164482.68</v>
          </cell>
          <cell r="BV151">
            <v>138227.18</v>
          </cell>
          <cell r="BW151">
            <v>136166.06</v>
          </cell>
          <cell r="BX151">
            <v>233753.48</v>
          </cell>
          <cell r="BY151">
            <v>308891.21000000002</v>
          </cell>
          <cell r="BZ151">
            <v>-75955.759999999995</v>
          </cell>
          <cell r="CA151">
            <v>165727.1</v>
          </cell>
          <cell r="CB151">
            <v>135991.75</v>
          </cell>
          <cell r="CC151">
            <v>142798.79</v>
          </cell>
          <cell r="CD151">
            <v>128498.22</v>
          </cell>
          <cell r="CE151">
            <v>174149.84</v>
          </cell>
          <cell r="CF151">
            <v>209076.15</v>
          </cell>
          <cell r="CG151">
            <v>182485.94</v>
          </cell>
          <cell r="CH151">
            <v>186317.49</v>
          </cell>
          <cell r="CI151">
            <v>188739.98</v>
          </cell>
          <cell r="CJ151">
            <v>266200.15000000002</v>
          </cell>
          <cell r="CK151">
            <v>235077.12</v>
          </cell>
          <cell r="CL151">
            <v>273274</v>
          </cell>
          <cell r="CM151">
            <v>423247.9</v>
          </cell>
          <cell r="CN151">
            <v>-21691.360000000001</v>
          </cell>
          <cell r="CO151">
            <v>228146.83</v>
          </cell>
          <cell r="CP151">
            <v>106339.78</v>
          </cell>
          <cell r="CQ151">
            <v>185555.56</v>
          </cell>
          <cell r="CR151">
            <v>175745.44</v>
          </cell>
          <cell r="CS151">
            <v>314862.65999999997</v>
          </cell>
          <cell r="CT151">
            <v>258331.29</v>
          </cell>
          <cell r="CU151">
            <v>415236.26</v>
          </cell>
          <cell r="CV151">
            <v>33039.81</v>
          </cell>
          <cell r="CW151">
            <v>29480.13</v>
          </cell>
          <cell r="CX151">
            <v>-4056.7</v>
          </cell>
          <cell r="CY151">
            <v>36929.040000000001</v>
          </cell>
          <cell r="CZ151">
            <v>33985.61</v>
          </cell>
          <cell r="DA151">
            <v>21012.63</v>
          </cell>
          <cell r="DB151">
            <v>18945.46</v>
          </cell>
          <cell r="DC151">
            <v>11193.28</v>
          </cell>
          <cell r="DD151">
            <v>29944.84</v>
          </cell>
          <cell r="DE151">
            <v>-661628.5</v>
          </cell>
          <cell r="DF151">
            <v>682603.1</v>
          </cell>
          <cell r="DG151">
            <v>107316.29</v>
          </cell>
        </row>
        <row r="152">
          <cell r="A152">
            <v>6019000</v>
          </cell>
          <cell r="B152">
            <v>6019000</v>
          </cell>
          <cell r="C152" t="str">
            <v>Labor to BalSheet</v>
          </cell>
          <cell r="D152">
            <v>-3364.22</v>
          </cell>
          <cell r="E152">
            <v>0</v>
          </cell>
          <cell r="F152">
            <v>-27876.59</v>
          </cell>
          <cell r="G152">
            <v>0</v>
          </cell>
          <cell r="H152">
            <v>-20750.310000000001</v>
          </cell>
          <cell r="I152">
            <v>-28207.46</v>
          </cell>
          <cell r="J152">
            <v>0</v>
          </cell>
          <cell r="K152">
            <v>0</v>
          </cell>
          <cell r="L152">
            <v>0</v>
          </cell>
          <cell r="M152">
            <v>21024.09</v>
          </cell>
          <cell r="N152">
            <v>-143984.14000000001</v>
          </cell>
          <cell r="O152">
            <v>213469.65</v>
          </cell>
          <cell r="P152">
            <v>0</v>
          </cell>
          <cell r="Q152">
            <v>-57669.1</v>
          </cell>
          <cell r="R152">
            <v>34452.97</v>
          </cell>
          <cell r="S152">
            <v>0</v>
          </cell>
          <cell r="T152">
            <v>-48251.14</v>
          </cell>
          <cell r="U152">
            <v>-24604.36</v>
          </cell>
          <cell r="V152">
            <v>2399.8000000000002</v>
          </cell>
          <cell r="W152">
            <v>-16647.02</v>
          </cell>
          <cell r="X152">
            <v>-9976.99</v>
          </cell>
          <cell r="Y152">
            <v>-12406.42</v>
          </cell>
          <cell r="Z152">
            <v>-7168.57</v>
          </cell>
          <cell r="AA152">
            <v>-78492.149999999994</v>
          </cell>
          <cell r="AB152">
            <v>-22018.52</v>
          </cell>
          <cell r="AC152">
            <v>-7437.44</v>
          </cell>
          <cell r="AD152">
            <v>-12545.44</v>
          </cell>
          <cell r="AE152">
            <v>-7152.56</v>
          </cell>
          <cell r="AF152">
            <v>0</v>
          </cell>
          <cell r="AG152">
            <v>56847.6</v>
          </cell>
          <cell r="AH152">
            <v>24801.29</v>
          </cell>
          <cell r="AI152">
            <v>22783.200000000001</v>
          </cell>
          <cell r="AJ152">
            <v>-9756.39</v>
          </cell>
          <cell r="AK152">
            <v>-9073.69</v>
          </cell>
          <cell r="AL152">
            <v>28972.48</v>
          </cell>
          <cell r="AM152">
            <v>-63689.64</v>
          </cell>
          <cell r="AN152">
            <v>-10707.23</v>
          </cell>
          <cell r="AO152">
            <v>-7777.91</v>
          </cell>
          <cell r="AP152">
            <v>-11059.74</v>
          </cell>
          <cell r="AQ152">
            <v>-8964.8700000000008</v>
          </cell>
          <cell r="AR152">
            <v>-12254.65</v>
          </cell>
          <cell r="AS152">
            <v>-9395.0499999999993</v>
          </cell>
          <cell r="AT152">
            <v>-12751.84</v>
          </cell>
          <cell r="AU152">
            <v>-12674.96</v>
          </cell>
          <cell r="AV152">
            <v>-2663</v>
          </cell>
          <cell r="AW152">
            <v>-17088.39</v>
          </cell>
          <cell r="AX152">
            <v>-12656.48</v>
          </cell>
          <cell r="AY152">
            <v>36114.199999999997</v>
          </cell>
          <cell r="AZ152">
            <v>-15683.22</v>
          </cell>
          <cell r="BA152">
            <v>-9713.52</v>
          </cell>
          <cell r="BB152">
            <v>-5000.5600000000004</v>
          </cell>
          <cell r="BC152">
            <v>-25047.89</v>
          </cell>
          <cell r="BD152">
            <v>-14991.39</v>
          </cell>
          <cell r="BE152">
            <v>-12679.4</v>
          </cell>
          <cell r="BF152">
            <v>-17760.34</v>
          </cell>
          <cell r="BG152">
            <v>-20805.12</v>
          </cell>
          <cell r="BH152">
            <v>-5389.21</v>
          </cell>
          <cell r="BI152">
            <v>-61426.91</v>
          </cell>
          <cell r="BJ152">
            <v>-29320.720000000001</v>
          </cell>
          <cell r="BK152">
            <v>224655.73</v>
          </cell>
          <cell r="BL152">
            <v>-22071.97</v>
          </cell>
          <cell r="BM152">
            <v>-16501.77</v>
          </cell>
          <cell r="BN152">
            <v>-23328.51</v>
          </cell>
          <cell r="BO152">
            <v>-12761.06</v>
          </cell>
          <cell r="BP152">
            <v>-36099.550000000003</v>
          </cell>
          <cell r="BQ152">
            <v>-27877.69</v>
          </cell>
          <cell r="BR152">
            <v>-66309.649999999994</v>
          </cell>
          <cell r="BS152">
            <v>-75205.820000000007</v>
          </cell>
          <cell r="BT152">
            <v>-41264.54</v>
          </cell>
          <cell r="BU152">
            <v>-59580.07</v>
          </cell>
          <cell r="BV152">
            <v>-35435.29</v>
          </cell>
          <cell r="BW152">
            <v>-27505.66</v>
          </cell>
          <cell r="BX152">
            <v>-25853.89</v>
          </cell>
          <cell r="BY152">
            <v>100289.87</v>
          </cell>
          <cell r="BZ152">
            <v>-10372.200000000001</v>
          </cell>
          <cell r="CA152">
            <v>-10925.31</v>
          </cell>
          <cell r="CB152">
            <v>-10017.56</v>
          </cell>
          <cell r="CC152">
            <v>-10967.12</v>
          </cell>
          <cell r="CD152">
            <v>-12831.94</v>
          </cell>
          <cell r="CE152">
            <v>-10704.81</v>
          </cell>
          <cell r="CF152">
            <v>-90569.71</v>
          </cell>
          <cell r="CG152">
            <v>-39708.25</v>
          </cell>
          <cell r="CH152">
            <v>-37818.57</v>
          </cell>
          <cell r="CI152">
            <v>-33973.9</v>
          </cell>
          <cell r="CJ152">
            <v>-59724.45</v>
          </cell>
          <cell r="CK152">
            <v>-54475.63</v>
          </cell>
          <cell r="CL152">
            <v>-96009.84</v>
          </cell>
          <cell r="CM152">
            <v>-45290.49</v>
          </cell>
          <cell r="CN152">
            <v>-60412.39</v>
          </cell>
          <cell r="CO152">
            <v>-65145.3</v>
          </cell>
          <cell r="CP152">
            <v>-68105.66</v>
          </cell>
          <cell r="CQ152">
            <v>-70105.78</v>
          </cell>
          <cell r="CR152">
            <v>-58307.46</v>
          </cell>
          <cell r="CS152">
            <v>-111738.56</v>
          </cell>
          <cell r="CT152">
            <v>-126669.06</v>
          </cell>
          <cell r="CU152">
            <v>-309732.95</v>
          </cell>
          <cell r="CV152">
            <v>-29261.27</v>
          </cell>
          <cell r="CW152">
            <v>-24769.55</v>
          </cell>
          <cell r="CX152">
            <v>-16891.25</v>
          </cell>
          <cell r="CY152">
            <v>-62393.36</v>
          </cell>
          <cell r="CZ152">
            <v>-29129.16</v>
          </cell>
          <cell r="DA152">
            <v>-18459.25</v>
          </cell>
          <cell r="DB152">
            <v>-40448.17</v>
          </cell>
          <cell r="DC152">
            <v>-24588.63</v>
          </cell>
          <cell r="DD152">
            <v>-49252.22</v>
          </cell>
          <cell r="DE152">
            <v>-32349.39</v>
          </cell>
          <cell r="DF152">
            <v>-589787.26</v>
          </cell>
          <cell r="DG152">
            <v>-6214.86</v>
          </cell>
        </row>
        <row r="153">
          <cell r="A153">
            <v>6019900</v>
          </cell>
          <cell r="B153">
            <v>6019900</v>
          </cell>
          <cell r="C153" t="str">
            <v>ST LbrBen to BalSht</v>
          </cell>
          <cell r="D153">
            <v>-578807.18999999994</v>
          </cell>
          <cell r="E153">
            <v>-482996.23</v>
          </cell>
          <cell r="F153">
            <v>-569971.55000000005</v>
          </cell>
          <cell r="G153">
            <v>-574244.54</v>
          </cell>
          <cell r="H153">
            <v>-596209.27</v>
          </cell>
          <cell r="I153">
            <v>-541627.57999999996</v>
          </cell>
          <cell r="J153">
            <v>-517880.79</v>
          </cell>
          <cell r="K153">
            <v>-504117.59</v>
          </cell>
          <cell r="L153">
            <v>-593115.31999999995</v>
          </cell>
          <cell r="M153">
            <v>-639120.79</v>
          </cell>
          <cell r="N153">
            <v>-624828.27</v>
          </cell>
          <cell r="O153">
            <v>-611301.31000000006</v>
          </cell>
          <cell r="P153">
            <v>-506561.82</v>
          </cell>
          <cell r="Q153">
            <v>-360950.73</v>
          </cell>
          <cell r="R153">
            <v>-592908.54</v>
          </cell>
          <cell r="S153">
            <v>-466509.73</v>
          </cell>
          <cell r="T153">
            <v>-474315.01</v>
          </cell>
          <cell r="U153">
            <v>-474968.93</v>
          </cell>
          <cell r="V153">
            <v>-455410.84</v>
          </cell>
          <cell r="W153">
            <v>-493864.73</v>
          </cell>
          <cell r="X153">
            <v>-448675.2</v>
          </cell>
          <cell r="Y153">
            <v>-444675.33</v>
          </cell>
          <cell r="Z153">
            <v>-453568.69</v>
          </cell>
          <cell r="AA153">
            <v>-435932.85</v>
          </cell>
          <cell r="AB153">
            <v>-411365.37</v>
          </cell>
          <cell r="AC153">
            <v>-452537.9</v>
          </cell>
          <cell r="AD153">
            <v>-476921.55</v>
          </cell>
          <cell r="AE153">
            <v>-431663.28</v>
          </cell>
          <cell r="AF153">
            <v>-436811.44</v>
          </cell>
          <cell r="AG153">
            <v>-427980.43</v>
          </cell>
          <cell r="AH153">
            <v>-417780.23</v>
          </cell>
          <cell r="AI153">
            <v>-459577.04</v>
          </cell>
          <cell r="AJ153">
            <v>-378295.55</v>
          </cell>
          <cell r="AK153">
            <v>-334710.21999999997</v>
          </cell>
          <cell r="AL153">
            <v>-324394.89</v>
          </cell>
          <cell r="AM153">
            <v>-348172.75</v>
          </cell>
          <cell r="AN153">
            <v>-308154.53999999998</v>
          </cell>
          <cell r="AO153">
            <v>-287464.53999999998</v>
          </cell>
          <cell r="AP153">
            <v>-382432.61</v>
          </cell>
          <cell r="AQ153">
            <v>-330258.15000000002</v>
          </cell>
          <cell r="AR153">
            <v>-413269.77</v>
          </cell>
          <cell r="AS153">
            <v>-334695.53000000003</v>
          </cell>
          <cell r="AT153">
            <v>-343338.03</v>
          </cell>
          <cell r="AU153">
            <v>-488691.16</v>
          </cell>
          <cell r="AV153">
            <v>-384924.71</v>
          </cell>
          <cell r="AW153">
            <v>-380035.14</v>
          </cell>
          <cell r="AX153">
            <v>-403856.21</v>
          </cell>
          <cell r="AY153">
            <v>-346076.29</v>
          </cell>
          <cell r="AZ153">
            <v>-370027.33</v>
          </cell>
          <cell r="BA153">
            <v>-335077.32</v>
          </cell>
          <cell r="BB153">
            <v>-389782.29</v>
          </cell>
          <cell r="BC153">
            <v>-365805.78</v>
          </cell>
          <cell r="BD153">
            <v>-374709.53</v>
          </cell>
          <cell r="BE153">
            <v>-402514.72</v>
          </cell>
          <cell r="BF153">
            <v>-383667.04</v>
          </cell>
          <cell r="BG153">
            <v>-542998.73</v>
          </cell>
          <cell r="BH153">
            <v>-482940.07</v>
          </cell>
          <cell r="BI153">
            <v>-907261.51</v>
          </cell>
          <cell r="BJ153">
            <v>-707589.8</v>
          </cell>
          <cell r="BK153">
            <v>-644405.22</v>
          </cell>
          <cell r="BL153">
            <v>-584679.62</v>
          </cell>
          <cell r="BM153">
            <v>-465463.27</v>
          </cell>
          <cell r="BN153">
            <v>-532751.46</v>
          </cell>
          <cell r="BO153">
            <v>-474564.4</v>
          </cell>
          <cell r="BP153">
            <v>-477933.41</v>
          </cell>
          <cell r="BQ153">
            <v>-454447.32</v>
          </cell>
          <cell r="BR153">
            <v>-485072.63</v>
          </cell>
          <cell r="BS153">
            <v>-483987.27</v>
          </cell>
          <cell r="BT153">
            <v>-455116.79</v>
          </cell>
          <cell r="BU153">
            <v>-495885.91</v>
          </cell>
          <cell r="BV153">
            <v>-428304.2</v>
          </cell>
          <cell r="BW153">
            <v>-506038.2</v>
          </cell>
          <cell r="BX153">
            <v>-476676.28</v>
          </cell>
          <cell r="BY153">
            <v>-444342.28</v>
          </cell>
          <cell r="BZ153">
            <v>-500429.97</v>
          </cell>
          <cell r="CA153">
            <v>-468588.49</v>
          </cell>
          <cell r="CB153">
            <v>-598264.98</v>
          </cell>
          <cell r="CC153">
            <v>-552419.28</v>
          </cell>
          <cell r="CD153">
            <v>-575609.87</v>
          </cell>
          <cell r="CE153">
            <v>-464216.31</v>
          </cell>
          <cell r="CF153">
            <v>-541237.72</v>
          </cell>
          <cell r="CG153">
            <v>-613356.75</v>
          </cell>
          <cell r="CH153">
            <v>-676878.01</v>
          </cell>
          <cell r="CI153">
            <v>-689529.56</v>
          </cell>
          <cell r="CJ153">
            <v>-532750.43000000005</v>
          </cell>
          <cell r="CK153">
            <v>-647225.18999999994</v>
          </cell>
          <cell r="CL153">
            <v>-716849.66</v>
          </cell>
          <cell r="CM153">
            <v>-683520.07</v>
          </cell>
          <cell r="CN153">
            <v>-680042.97</v>
          </cell>
          <cell r="CO153">
            <v>-674542.17</v>
          </cell>
          <cell r="CP153">
            <v>-696240.98</v>
          </cell>
          <cell r="CQ153">
            <v>-670679.44999999995</v>
          </cell>
          <cell r="CR153">
            <v>-815495.44</v>
          </cell>
          <cell r="CS153">
            <v>-747224.63</v>
          </cell>
          <cell r="CT153">
            <v>-726249.78</v>
          </cell>
          <cell r="CU153">
            <v>-778460.84</v>
          </cell>
          <cell r="CV153">
            <v>-491489.7</v>
          </cell>
          <cell r="CW153">
            <v>-582695.12</v>
          </cell>
          <cell r="CX153">
            <v>-604880.06999999995</v>
          </cell>
          <cell r="CY153">
            <v>-519717.72</v>
          </cell>
          <cell r="CZ153">
            <v>-630692.62</v>
          </cell>
          <cell r="DA153">
            <v>-636347.11</v>
          </cell>
          <cell r="DB153">
            <v>-701258.19</v>
          </cell>
          <cell r="DC153">
            <v>-729808.41</v>
          </cell>
          <cell r="DD153">
            <v>-680392.93</v>
          </cell>
          <cell r="DE153">
            <v>-647337.25</v>
          </cell>
          <cell r="DF153">
            <v>-591617.68000000005</v>
          </cell>
          <cell r="DG153">
            <v>-687730.76</v>
          </cell>
        </row>
        <row r="154">
          <cell r="A154">
            <v>6019910</v>
          </cell>
          <cell r="B154">
            <v>6019910</v>
          </cell>
          <cell r="C154" t="str">
            <v>OT LbrBen to BalSht</v>
          </cell>
          <cell r="D154">
            <v>-34881.93</v>
          </cell>
          <cell r="E154">
            <v>-33750.76</v>
          </cell>
          <cell r="F154">
            <v>-39498.300000000003</v>
          </cell>
          <cell r="G154">
            <v>-42403.11</v>
          </cell>
          <cell r="H154">
            <v>-51484.43</v>
          </cell>
          <cell r="I154">
            <v>-38548.230000000003</v>
          </cell>
          <cell r="J154">
            <v>-39699.47</v>
          </cell>
          <cell r="K154">
            <v>-68918.679999999993</v>
          </cell>
          <cell r="L154">
            <v>-84317.6</v>
          </cell>
          <cell r="M154">
            <v>-79484.039999999994</v>
          </cell>
          <cell r="N154">
            <v>-82362.7</v>
          </cell>
          <cell r="O154">
            <v>-76641.850000000006</v>
          </cell>
          <cell r="P154">
            <v>-60163.97</v>
          </cell>
          <cell r="Q154">
            <v>-41244.5</v>
          </cell>
          <cell r="R154">
            <v>-77431.990000000005</v>
          </cell>
          <cell r="S154">
            <v>-48683.66</v>
          </cell>
          <cell r="T154">
            <v>-86649.65</v>
          </cell>
          <cell r="U154">
            <v>-69488.89</v>
          </cell>
          <cell r="V154">
            <v>-69698.39</v>
          </cell>
          <cell r="W154">
            <v>-73526.89</v>
          </cell>
          <cell r="X154">
            <v>-56612.41</v>
          </cell>
          <cell r="Y154">
            <v>-71237.149999999994</v>
          </cell>
          <cell r="Z154">
            <v>-86014.84</v>
          </cell>
          <cell r="AA154">
            <v>-142692.04999999999</v>
          </cell>
          <cell r="AB154">
            <v>-48359.89</v>
          </cell>
          <cell r="AC154">
            <v>-57141.5</v>
          </cell>
          <cell r="AD154">
            <v>-69073.78</v>
          </cell>
          <cell r="AE154">
            <v>-59499.07</v>
          </cell>
          <cell r="AF154">
            <v>-59221.18</v>
          </cell>
          <cell r="AG154">
            <v>-61461.69</v>
          </cell>
          <cell r="AH154">
            <v>-65039.15</v>
          </cell>
          <cell r="AI154">
            <v>-66075.520000000004</v>
          </cell>
          <cell r="AJ154">
            <v>-66498.2</v>
          </cell>
          <cell r="AK154">
            <v>-150670.99</v>
          </cell>
          <cell r="AL154">
            <v>-64510.239999999998</v>
          </cell>
          <cell r="AM154">
            <v>-93801.61</v>
          </cell>
          <cell r="AN154">
            <v>-51286.559999999998</v>
          </cell>
          <cell r="AO154">
            <v>-64887.17</v>
          </cell>
          <cell r="AP154">
            <v>-66498.39</v>
          </cell>
          <cell r="AQ154">
            <v>-98184.58</v>
          </cell>
          <cell r="AR154">
            <v>-74503.28</v>
          </cell>
          <cell r="AS154">
            <v>-65837.58</v>
          </cell>
          <cell r="AT154">
            <v>-61526.34</v>
          </cell>
          <cell r="AU154">
            <v>-84161.1</v>
          </cell>
          <cell r="AV154">
            <v>-151811.16</v>
          </cell>
          <cell r="AW154">
            <v>-82076.22</v>
          </cell>
          <cell r="AX154">
            <v>-117476.35</v>
          </cell>
          <cell r="AY154">
            <v>-81959.429999999993</v>
          </cell>
          <cell r="AZ154">
            <v>-77313.22</v>
          </cell>
          <cell r="BA154">
            <v>-83203.98</v>
          </cell>
          <cell r="BB154">
            <v>-63184.31</v>
          </cell>
          <cell r="BC154">
            <v>-68799.13</v>
          </cell>
          <cell r="BD154">
            <v>-56310.239999999998</v>
          </cell>
          <cell r="BE154">
            <v>-58128.33</v>
          </cell>
          <cell r="BF154">
            <v>-63394.25</v>
          </cell>
          <cell r="BG154">
            <v>-81013.02</v>
          </cell>
          <cell r="BH154">
            <v>-90887.97</v>
          </cell>
          <cell r="BI154">
            <v>-596337.19999999995</v>
          </cell>
          <cell r="BJ154">
            <v>-368565.12</v>
          </cell>
          <cell r="BK154">
            <v>-131559.96</v>
          </cell>
          <cell r="BL154">
            <v>-100447.99</v>
          </cell>
          <cell r="BM154">
            <v>-72955.22</v>
          </cell>
          <cell r="BN154">
            <v>-64315.45</v>
          </cell>
          <cell r="BO154">
            <v>-72700.72</v>
          </cell>
          <cell r="BP154">
            <v>-89418.38</v>
          </cell>
          <cell r="BQ154">
            <v>-66315.97</v>
          </cell>
          <cell r="BR154">
            <v>-67379.399999999994</v>
          </cell>
          <cell r="BS154">
            <v>-81053.48</v>
          </cell>
          <cell r="BT154">
            <v>-66158.3</v>
          </cell>
          <cell r="BU154">
            <v>-82997.39</v>
          </cell>
          <cell r="BV154">
            <v>-72749.960000000006</v>
          </cell>
          <cell r="BW154">
            <v>-121794.16</v>
          </cell>
          <cell r="BX154">
            <v>-105185.26</v>
          </cell>
          <cell r="BY154">
            <v>-66569.399999999994</v>
          </cell>
          <cell r="BZ154">
            <v>-86937.4</v>
          </cell>
          <cell r="CA154">
            <v>-39094.79</v>
          </cell>
          <cell r="CB154">
            <v>-33617.5</v>
          </cell>
          <cell r="CC154">
            <v>-47989.85</v>
          </cell>
          <cell r="CD154">
            <v>-62520.15</v>
          </cell>
          <cell r="CE154">
            <v>-85945.91</v>
          </cell>
          <cell r="CF154">
            <v>-75018.990000000005</v>
          </cell>
          <cell r="CG154">
            <v>-95185.9</v>
          </cell>
          <cell r="CH154">
            <v>-136228.85</v>
          </cell>
          <cell r="CI154">
            <v>-125766.88</v>
          </cell>
          <cell r="CJ154">
            <v>-94568.77</v>
          </cell>
          <cell r="CK154">
            <v>-86407.41</v>
          </cell>
          <cell r="CL154">
            <v>-107875.88</v>
          </cell>
          <cell r="CM154">
            <v>-97068.56</v>
          </cell>
          <cell r="CN154">
            <v>-116449.31</v>
          </cell>
          <cell r="CO154">
            <v>-114814.39999999999</v>
          </cell>
          <cell r="CP154">
            <v>-125281.27</v>
          </cell>
          <cell r="CQ154">
            <v>-112991.1</v>
          </cell>
          <cell r="CR154">
            <v>-104697.83</v>
          </cell>
          <cell r="CS154">
            <v>-121940.85</v>
          </cell>
          <cell r="CT154">
            <v>-106943.98</v>
          </cell>
          <cell r="CU154">
            <v>-124223.35</v>
          </cell>
          <cell r="CV154">
            <v>-88364.49</v>
          </cell>
          <cell r="CW154">
            <v>-82207.070000000007</v>
          </cell>
          <cell r="CX154">
            <v>-83101.62</v>
          </cell>
          <cell r="CY154">
            <v>-82971.67</v>
          </cell>
          <cell r="CZ154">
            <v>-83661.17</v>
          </cell>
          <cell r="DA154">
            <v>-95188.77</v>
          </cell>
          <cell r="DB154">
            <v>-96844.46</v>
          </cell>
          <cell r="DC154">
            <v>-100252.65</v>
          </cell>
          <cell r="DD154">
            <v>-71487.009999999995</v>
          </cell>
          <cell r="DE154">
            <v>-70239.67</v>
          </cell>
          <cell r="DF154">
            <v>-74824.12</v>
          </cell>
          <cell r="DG154">
            <v>-87312.07</v>
          </cell>
        </row>
        <row r="155">
          <cell r="A155">
            <v>6020010</v>
          </cell>
          <cell r="B155">
            <v>6020010</v>
          </cell>
          <cell r="C155" t="str">
            <v>Ben Plan Admin Fee</v>
          </cell>
          <cell r="D155">
            <v>5742.89</v>
          </cell>
          <cell r="E155">
            <v>8383.6</v>
          </cell>
          <cell r="F155">
            <v>5756.23</v>
          </cell>
          <cell r="G155">
            <v>8592.99</v>
          </cell>
          <cell r="H155">
            <v>5770.43</v>
          </cell>
          <cell r="I155">
            <v>5736.55</v>
          </cell>
          <cell r="J155">
            <v>8428.25</v>
          </cell>
          <cell r="K155">
            <v>5717.38</v>
          </cell>
          <cell r="L155">
            <v>5770.76</v>
          </cell>
          <cell r="M155">
            <v>5706.22</v>
          </cell>
          <cell r="N155">
            <v>8588.56</v>
          </cell>
          <cell r="O155">
            <v>5820.32</v>
          </cell>
          <cell r="P155">
            <v>5787.25</v>
          </cell>
          <cell r="Q155">
            <v>8564.2999999999993</v>
          </cell>
          <cell r="R155">
            <v>5680.11</v>
          </cell>
          <cell r="S155">
            <v>5685.31</v>
          </cell>
          <cell r="T155">
            <v>8384.3700000000008</v>
          </cell>
          <cell r="U155">
            <v>5686.93</v>
          </cell>
          <cell r="V155">
            <v>8653.8700000000008</v>
          </cell>
          <cell r="W155">
            <v>5724.73</v>
          </cell>
          <cell r="X155">
            <v>5720.22</v>
          </cell>
          <cell r="Y155">
            <v>0</v>
          </cell>
          <cell r="Z155">
            <v>14430.17</v>
          </cell>
          <cell r="AA155">
            <v>6040.03</v>
          </cell>
          <cell r="AB155">
            <v>8786.24</v>
          </cell>
          <cell r="AC155">
            <v>6101.03</v>
          </cell>
          <cell r="AD155">
            <v>6101.82</v>
          </cell>
          <cell r="AE155">
            <v>6114.41</v>
          </cell>
          <cell r="AF155">
            <v>8494.51</v>
          </cell>
          <cell r="AG155">
            <v>8366.85</v>
          </cell>
          <cell r="AH155">
            <v>6432.26</v>
          </cell>
          <cell r="AI155">
            <v>7592</v>
          </cell>
          <cell r="AJ155">
            <v>7008.39</v>
          </cell>
          <cell r="AK155">
            <v>6480.03</v>
          </cell>
          <cell r="AL155">
            <v>7051.05</v>
          </cell>
          <cell r="AM155">
            <v>7629.31</v>
          </cell>
          <cell r="AN155">
            <v>7182.31</v>
          </cell>
          <cell r="AO155">
            <v>4954.2700000000004</v>
          </cell>
          <cell r="AP155">
            <v>9779.91</v>
          </cell>
          <cell r="AQ155">
            <v>7334.49</v>
          </cell>
          <cell r="AR155">
            <v>6746.91</v>
          </cell>
          <cell r="AS155">
            <v>6950.15</v>
          </cell>
          <cell r="AT155">
            <v>6932.93</v>
          </cell>
          <cell r="AU155">
            <v>8050.59</v>
          </cell>
          <cell r="AV155">
            <v>9223.18</v>
          </cell>
          <cell r="AW155">
            <v>6929.52</v>
          </cell>
          <cell r="AX155">
            <v>8078.67</v>
          </cell>
          <cell r="AY155">
            <v>6980.92</v>
          </cell>
          <cell r="AZ155">
            <v>7267.32</v>
          </cell>
          <cell r="BA155">
            <v>5467.57</v>
          </cell>
          <cell r="BB155">
            <v>8944.1</v>
          </cell>
          <cell r="BC155">
            <v>6057.64</v>
          </cell>
          <cell r="BD155">
            <v>7890.54</v>
          </cell>
          <cell r="BE155">
            <v>6650.31</v>
          </cell>
          <cell r="BF155">
            <v>8425.1299999999992</v>
          </cell>
          <cell r="BG155">
            <v>7446.02</v>
          </cell>
          <cell r="BH155">
            <v>7297.11</v>
          </cell>
          <cell r="BI155">
            <v>7973.91</v>
          </cell>
          <cell r="BJ155">
            <v>7434.04</v>
          </cell>
          <cell r="BK155">
            <v>6898.16</v>
          </cell>
          <cell r="BL155">
            <v>4169.1000000000004</v>
          </cell>
          <cell r="BM155">
            <v>6520.78</v>
          </cell>
          <cell r="BN155">
            <v>4349.0600000000004</v>
          </cell>
          <cell r="BO155">
            <v>8054.37</v>
          </cell>
          <cell r="BP155">
            <v>4330.29</v>
          </cell>
          <cell r="BQ155">
            <v>4580.7299999999996</v>
          </cell>
          <cell r="BR155">
            <v>4893.76</v>
          </cell>
          <cell r="BS155">
            <v>5003.6400000000003</v>
          </cell>
          <cell r="BT155">
            <v>4830.84</v>
          </cell>
          <cell r="BU155">
            <v>3843.08</v>
          </cell>
          <cell r="BV155">
            <v>5268.36</v>
          </cell>
          <cell r="BW155">
            <v>5090.57</v>
          </cell>
          <cell r="BX155">
            <v>3205.28</v>
          </cell>
          <cell r="BY155">
            <v>4471.03</v>
          </cell>
          <cell r="BZ155">
            <v>3674.79</v>
          </cell>
          <cell r="CA155">
            <v>7162.91</v>
          </cell>
          <cell r="CB155">
            <v>2091.96</v>
          </cell>
          <cell r="CC155">
            <v>7535.05</v>
          </cell>
          <cell r="CD155">
            <v>5147.38</v>
          </cell>
          <cell r="CE155">
            <v>5008.92</v>
          </cell>
          <cell r="CF155">
            <v>989.04</v>
          </cell>
          <cell r="CG155">
            <v>8380.84</v>
          </cell>
          <cell r="CH155">
            <v>5532.3</v>
          </cell>
          <cell r="CI155">
            <v>4809.63</v>
          </cell>
          <cell r="CJ155">
            <v>4523.57</v>
          </cell>
          <cell r="CK155">
            <v>4408.75</v>
          </cell>
          <cell r="CL155">
            <v>5586.11</v>
          </cell>
          <cell r="CM155">
            <v>3581.58</v>
          </cell>
          <cell r="CN155">
            <v>5276.05</v>
          </cell>
          <cell r="CO155">
            <v>4337.71</v>
          </cell>
          <cell r="CP155">
            <v>5929.56</v>
          </cell>
          <cell r="CQ155">
            <v>4877.12</v>
          </cell>
          <cell r="CR155">
            <v>3940.36</v>
          </cell>
          <cell r="CS155">
            <v>3519.54</v>
          </cell>
          <cell r="CT155">
            <v>5754.74</v>
          </cell>
          <cell r="CU155">
            <v>5169.38</v>
          </cell>
          <cell r="CV155">
            <v>5255.82</v>
          </cell>
          <cell r="CW155">
            <v>4381.72</v>
          </cell>
          <cell r="CX155">
            <v>5757.93</v>
          </cell>
          <cell r="CY155">
            <v>3890.06</v>
          </cell>
          <cell r="CZ155">
            <v>5578.97</v>
          </cell>
          <cell r="DA155">
            <v>3915.08</v>
          </cell>
          <cell r="DB155">
            <v>5708.92</v>
          </cell>
          <cell r="DC155">
            <v>3051.46</v>
          </cell>
          <cell r="DD155">
            <v>4400.13</v>
          </cell>
          <cell r="DE155">
            <v>5324.67</v>
          </cell>
          <cell r="DF155">
            <v>5958.44</v>
          </cell>
          <cell r="DG155">
            <v>6803.22</v>
          </cell>
        </row>
        <row r="156">
          <cell r="A156">
            <v>6020020</v>
          </cell>
          <cell r="B156">
            <v>6020020</v>
          </cell>
          <cell r="C156" t="str">
            <v>Tuition Reimbursemnt</v>
          </cell>
          <cell r="D156">
            <v>3827.33</v>
          </cell>
          <cell r="E156">
            <v>0</v>
          </cell>
          <cell r="F156">
            <v>1866.38</v>
          </cell>
          <cell r="G156">
            <v>2425.04</v>
          </cell>
          <cell r="H156">
            <v>9718.09</v>
          </cell>
          <cell r="I156">
            <v>5656.35</v>
          </cell>
          <cell r="J156">
            <v>4102.8999999999996</v>
          </cell>
          <cell r="K156">
            <v>5303.26</v>
          </cell>
          <cell r="L156">
            <v>3467.26</v>
          </cell>
          <cell r="M156">
            <v>7945.13</v>
          </cell>
          <cell r="N156">
            <v>0</v>
          </cell>
          <cell r="O156">
            <v>9551.83</v>
          </cell>
          <cell r="P156">
            <v>3144.59</v>
          </cell>
          <cell r="Q156">
            <v>0</v>
          </cell>
          <cell r="R156">
            <v>6500.72</v>
          </cell>
          <cell r="S156">
            <v>1728.32</v>
          </cell>
          <cell r="T156">
            <v>11002.73</v>
          </cell>
          <cell r="U156">
            <v>2291.6</v>
          </cell>
          <cell r="V156">
            <v>9850.2800000000007</v>
          </cell>
          <cell r="W156">
            <v>11920.59</v>
          </cell>
          <cell r="X156">
            <v>693</v>
          </cell>
          <cell r="Y156">
            <v>6089.23</v>
          </cell>
          <cell r="Z156">
            <v>1453.17</v>
          </cell>
          <cell r="AA156">
            <v>8203.67</v>
          </cell>
          <cell r="AB156">
            <v>10560.69</v>
          </cell>
          <cell r="AC156">
            <v>0</v>
          </cell>
          <cell r="AD156">
            <v>5630.87</v>
          </cell>
          <cell r="AE156">
            <v>0</v>
          </cell>
          <cell r="AF156">
            <v>9804.32</v>
          </cell>
          <cell r="AG156">
            <v>2628.32</v>
          </cell>
          <cell r="AH156">
            <v>1945.68</v>
          </cell>
          <cell r="AI156">
            <v>5715.09</v>
          </cell>
          <cell r="AJ156">
            <v>1511.64</v>
          </cell>
          <cell r="AK156">
            <v>1314.89</v>
          </cell>
          <cell r="AL156">
            <v>2680.94</v>
          </cell>
          <cell r="AM156">
            <v>6974.93</v>
          </cell>
          <cell r="AN156">
            <v>1084.45</v>
          </cell>
          <cell r="AO156">
            <v>3784.74</v>
          </cell>
          <cell r="AP156">
            <v>5598.52</v>
          </cell>
          <cell r="AQ156">
            <v>0</v>
          </cell>
          <cell r="AR156">
            <v>6579.64</v>
          </cell>
          <cell r="AS156">
            <v>-600</v>
          </cell>
          <cell r="AT156">
            <v>6475.38</v>
          </cell>
          <cell r="AU156">
            <v>2677.15</v>
          </cell>
          <cell r="AV156">
            <v>3613.03</v>
          </cell>
          <cell r="AW156">
            <v>2198.34</v>
          </cell>
          <cell r="AX156">
            <v>313.17</v>
          </cell>
          <cell r="AY156">
            <v>5981.4</v>
          </cell>
          <cell r="AZ156">
            <v>6486.19</v>
          </cell>
          <cell r="BA156">
            <v>0</v>
          </cell>
          <cell r="BB156">
            <v>1143.0999999999999</v>
          </cell>
          <cell r="BC156">
            <v>0</v>
          </cell>
          <cell r="BD156">
            <v>1278.77</v>
          </cell>
          <cell r="BE156">
            <v>313.17</v>
          </cell>
          <cell r="BF156">
            <v>2490.16</v>
          </cell>
          <cell r="BG156">
            <v>3094.75</v>
          </cell>
          <cell r="BH156">
            <v>8109.39</v>
          </cell>
          <cell r="BI156">
            <v>3345.2</v>
          </cell>
          <cell r="BJ156">
            <v>778.14</v>
          </cell>
          <cell r="BK156">
            <v>4114.47</v>
          </cell>
          <cell r="BL156">
            <v>479.52</v>
          </cell>
          <cell r="BM156">
            <v>0</v>
          </cell>
          <cell r="BN156">
            <v>4175.83</v>
          </cell>
          <cell r="BO156">
            <v>0</v>
          </cell>
          <cell r="BP156">
            <v>7025.63</v>
          </cell>
          <cell r="BQ156">
            <v>1673.7</v>
          </cell>
          <cell r="BR156">
            <v>456.37</v>
          </cell>
          <cell r="BS156">
            <v>7024.85</v>
          </cell>
          <cell r="BT156">
            <v>5557.48</v>
          </cell>
          <cell r="BU156">
            <v>10275.25</v>
          </cell>
          <cell r="BV156">
            <v>2299.25</v>
          </cell>
          <cell r="BW156">
            <v>7585.29</v>
          </cell>
          <cell r="BX156">
            <v>5152.88</v>
          </cell>
          <cell r="BY156">
            <v>0</v>
          </cell>
          <cell r="BZ156">
            <v>4987.41</v>
          </cell>
          <cell r="CA156">
            <v>313.17</v>
          </cell>
          <cell r="CB156">
            <v>8401.26</v>
          </cell>
          <cell r="CC156">
            <v>1608.57</v>
          </cell>
          <cell r="CD156">
            <v>9938.5300000000007</v>
          </cell>
          <cell r="CE156">
            <v>0</v>
          </cell>
          <cell r="CF156">
            <v>6520.83</v>
          </cell>
          <cell r="CG156">
            <v>10282.540000000001</v>
          </cell>
          <cell r="CH156">
            <v>0</v>
          </cell>
          <cell r="CI156">
            <v>2102</v>
          </cell>
          <cell r="CJ156">
            <v>0</v>
          </cell>
          <cell r="CK156">
            <v>2569.79</v>
          </cell>
          <cell r="CL156">
            <v>3085.73</v>
          </cell>
          <cell r="CM156">
            <v>0</v>
          </cell>
          <cell r="CN156">
            <v>16000.11</v>
          </cell>
          <cell r="CO156">
            <v>3267.75</v>
          </cell>
          <cell r="CP156">
            <v>7384.64</v>
          </cell>
          <cell r="CQ156">
            <v>1720.57</v>
          </cell>
          <cell r="CR156">
            <v>2648.31</v>
          </cell>
          <cell r="CS156">
            <v>3251.96</v>
          </cell>
          <cell r="CT156">
            <v>670.57</v>
          </cell>
          <cell r="CU156">
            <v>10121.32</v>
          </cell>
          <cell r="CV156">
            <v>7165.71</v>
          </cell>
          <cell r="CW156">
            <v>5171.25</v>
          </cell>
          <cell r="CX156">
            <v>4546.78</v>
          </cell>
          <cell r="CY156">
            <v>2100</v>
          </cell>
          <cell r="CZ156">
            <v>8133.35</v>
          </cell>
          <cell r="DA156">
            <v>6692.42</v>
          </cell>
          <cell r="DB156">
            <v>3080.8</v>
          </cell>
          <cell r="DC156">
            <v>3312.37</v>
          </cell>
          <cell r="DD156">
            <v>11273.47</v>
          </cell>
          <cell r="DE156">
            <v>1417.88</v>
          </cell>
          <cell r="DF156">
            <v>1348</v>
          </cell>
          <cell r="DG156">
            <v>359.94</v>
          </cell>
        </row>
        <row r="157">
          <cell r="A157">
            <v>6020030</v>
          </cell>
          <cell r="B157">
            <v>6020030</v>
          </cell>
          <cell r="C157" t="str">
            <v>Life Insurance</v>
          </cell>
          <cell r="D157">
            <v>5271.93</v>
          </cell>
          <cell r="E157">
            <v>7101.76</v>
          </cell>
          <cell r="F157">
            <v>7114.74</v>
          </cell>
          <cell r="G157">
            <v>7054.32</v>
          </cell>
          <cell r="H157">
            <v>7065.84</v>
          </cell>
          <cell r="I157">
            <v>7066.17</v>
          </cell>
          <cell r="J157">
            <v>7072.53</v>
          </cell>
          <cell r="K157">
            <v>7089.62</v>
          </cell>
          <cell r="L157">
            <v>7118.53</v>
          </cell>
          <cell r="M157">
            <v>7120.87</v>
          </cell>
          <cell r="N157">
            <v>7136.27</v>
          </cell>
          <cell r="O157">
            <v>3307.67</v>
          </cell>
          <cell r="P157">
            <v>3221.77</v>
          </cell>
          <cell r="Q157">
            <v>3175.85</v>
          </cell>
          <cell r="R157">
            <v>3203.85</v>
          </cell>
          <cell r="S157">
            <v>3188.1</v>
          </cell>
          <cell r="T157">
            <v>3190.34</v>
          </cell>
          <cell r="U157">
            <v>3187.47</v>
          </cell>
          <cell r="V157">
            <v>3177.11</v>
          </cell>
          <cell r="W157">
            <v>3175.57</v>
          </cell>
          <cell r="X157">
            <v>3195.38</v>
          </cell>
          <cell r="Y157">
            <v>0</v>
          </cell>
          <cell r="Z157">
            <v>6473.99</v>
          </cell>
          <cell r="AA157">
            <v>3289.32</v>
          </cell>
          <cell r="AB157">
            <v>3354.86</v>
          </cell>
          <cell r="AC157">
            <v>3397.7</v>
          </cell>
          <cell r="AD157">
            <v>3394.9</v>
          </cell>
          <cell r="AE157">
            <v>3404.28</v>
          </cell>
          <cell r="AF157">
            <v>3433.05</v>
          </cell>
          <cell r="AG157">
            <v>3432.42</v>
          </cell>
          <cell r="AH157">
            <v>3466.23</v>
          </cell>
          <cell r="AI157">
            <v>3495.28</v>
          </cell>
          <cell r="AJ157">
            <v>3536.16</v>
          </cell>
          <cell r="AK157">
            <v>3570.52</v>
          </cell>
          <cell r="AL157">
            <v>3569.55</v>
          </cell>
          <cell r="AM157">
            <v>3552.26</v>
          </cell>
          <cell r="AN157">
            <v>3609.78</v>
          </cell>
          <cell r="AO157">
            <v>73.5</v>
          </cell>
          <cell r="AP157">
            <v>17413.64</v>
          </cell>
          <cell r="AQ157">
            <v>6932.99</v>
          </cell>
          <cell r="AR157">
            <v>6918.78</v>
          </cell>
          <cell r="AS157">
            <v>6974.35</v>
          </cell>
          <cell r="AT157">
            <v>6925.46</v>
          </cell>
          <cell r="AU157">
            <v>7122.48</v>
          </cell>
          <cell r="AV157">
            <v>7184.02</v>
          </cell>
          <cell r="AW157">
            <v>7187.2</v>
          </cell>
          <cell r="AX157">
            <v>7189.98</v>
          </cell>
          <cell r="AY157">
            <v>7199.76</v>
          </cell>
          <cell r="AZ157">
            <v>7369.66</v>
          </cell>
          <cell r="BA157">
            <v>7315.59</v>
          </cell>
          <cell r="BB157">
            <v>7460.9</v>
          </cell>
          <cell r="BC157">
            <v>7477.46</v>
          </cell>
          <cell r="BD157">
            <v>7530.05</v>
          </cell>
          <cell r="BE157">
            <v>7491.39</v>
          </cell>
          <cell r="BF157">
            <v>7485.46</v>
          </cell>
          <cell r="BG157">
            <v>7729.23</v>
          </cell>
          <cell r="BH157">
            <v>7744.3</v>
          </cell>
          <cell r="BI157">
            <v>7877.07</v>
          </cell>
          <cell r="BJ157">
            <v>7997.1</v>
          </cell>
          <cell r="BK157">
            <v>7977.16</v>
          </cell>
          <cell r="BL157">
            <v>0</v>
          </cell>
          <cell r="BM157">
            <v>177.84</v>
          </cell>
          <cell r="BN157">
            <v>6624.31</v>
          </cell>
          <cell r="BO157">
            <v>6629.11</v>
          </cell>
          <cell r="BP157">
            <v>6658.06</v>
          </cell>
          <cell r="BQ157">
            <v>7104.33</v>
          </cell>
          <cell r="BR157">
            <v>6731.47</v>
          </cell>
          <cell r="BS157">
            <v>6752.79</v>
          </cell>
          <cell r="BT157">
            <v>7263.47</v>
          </cell>
          <cell r="BU157">
            <v>0</v>
          </cell>
          <cell r="BV157">
            <v>14673.68</v>
          </cell>
          <cell r="BW157">
            <v>14304.33</v>
          </cell>
          <cell r="BX157">
            <v>6000</v>
          </cell>
          <cell r="BY157">
            <v>8622.19</v>
          </cell>
          <cell r="BZ157">
            <v>7754.41</v>
          </cell>
          <cell r="CA157">
            <v>7176.7</v>
          </cell>
          <cell r="CB157">
            <v>7701.91</v>
          </cell>
          <cell r="CC157">
            <v>7496.76</v>
          </cell>
          <cell r="CD157">
            <v>7566.07</v>
          </cell>
          <cell r="CE157">
            <v>7592.75</v>
          </cell>
          <cell r="CF157">
            <v>7619.76</v>
          </cell>
          <cell r="CG157">
            <v>7660.35</v>
          </cell>
          <cell r="CH157">
            <v>7662.29</v>
          </cell>
          <cell r="CI157">
            <v>7507.7</v>
          </cell>
          <cell r="CJ157">
            <v>8015.45</v>
          </cell>
          <cell r="CK157">
            <v>7811.73</v>
          </cell>
          <cell r="CL157">
            <v>7841.72</v>
          </cell>
          <cell r="CM157">
            <v>7755.53</v>
          </cell>
          <cell r="CN157">
            <v>7549.65</v>
          </cell>
          <cell r="CO157">
            <v>7891.42</v>
          </cell>
          <cell r="CP157">
            <v>7768.64</v>
          </cell>
          <cell r="CQ157">
            <v>7788.82</v>
          </cell>
          <cell r="CR157">
            <v>7887.43</v>
          </cell>
          <cell r="CS157">
            <v>0</v>
          </cell>
          <cell r="CT157">
            <v>7923.23</v>
          </cell>
          <cell r="CU157">
            <v>15996.24</v>
          </cell>
          <cell r="CV157">
            <v>-28.38</v>
          </cell>
          <cell r="CW157">
            <v>0</v>
          </cell>
          <cell r="CX157">
            <v>0</v>
          </cell>
          <cell r="CY157">
            <v>23578.55</v>
          </cell>
          <cell r="CZ157">
            <v>9556.9599999999991</v>
          </cell>
          <cell r="DA157">
            <v>15615.63</v>
          </cell>
          <cell r="DB157">
            <v>8823.35</v>
          </cell>
          <cell r="DC157">
            <v>8773.58</v>
          </cell>
          <cell r="DD157">
            <v>163.19999999999999</v>
          </cell>
          <cell r="DE157">
            <v>163.19999999999999</v>
          </cell>
          <cell r="DF157">
            <v>17810.57</v>
          </cell>
          <cell r="DG157">
            <v>18804.759999999998</v>
          </cell>
        </row>
        <row r="158">
          <cell r="A158">
            <v>6020040</v>
          </cell>
          <cell r="B158">
            <v>6020040</v>
          </cell>
          <cell r="C158" t="str">
            <v>LT Care Insurance</v>
          </cell>
          <cell r="D158">
            <v>1608.9</v>
          </cell>
          <cell r="E158">
            <v>1608.9</v>
          </cell>
          <cell r="F158">
            <v>1463.5</v>
          </cell>
          <cell r="G158">
            <v>1569.2</v>
          </cell>
          <cell r="H158">
            <v>0</v>
          </cell>
          <cell r="I158">
            <v>3289.1</v>
          </cell>
          <cell r="J158">
            <v>1677.3</v>
          </cell>
          <cell r="K158">
            <v>1644.4</v>
          </cell>
          <cell r="L158">
            <v>1599.6</v>
          </cell>
          <cell r="M158">
            <v>1599.6</v>
          </cell>
          <cell r="N158">
            <v>0</v>
          </cell>
          <cell r="O158">
            <v>3303.2</v>
          </cell>
          <cell r="P158">
            <v>1652.4</v>
          </cell>
          <cell r="Q158">
            <v>1516.5</v>
          </cell>
          <cell r="R158">
            <v>1536.1</v>
          </cell>
          <cell r="S158">
            <v>1536.1</v>
          </cell>
          <cell r="T158">
            <v>1536.1</v>
          </cell>
          <cell r="U158">
            <v>1536.1</v>
          </cell>
          <cell r="V158">
            <v>0</v>
          </cell>
          <cell r="W158">
            <v>3122.3</v>
          </cell>
          <cell r="X158">
            <v>1456.1</v>
          </cell>
          <cell r="Y158">
            <v>1487.9</v>
          </cell>
          <cell r="Z158">
            <v>0</v>
          </cell>
          <cell r="AA158">
            <v>2941</v>
          </cell>
          <cell r="AB158">
            <v>0</v>
          </cell>
          <cell r="AC158">
            <v>2941</v>
          </cell>
          <cell r="AD158">
            <v>1432</v>
          </cell>
          <cell r="AE158">
            <v>1433.7</v>
          </cell>
          <cell r="AF158">
            <v>1584.9</v>
          </cell>
          <cell r="AG158">
            <v>1435.1</v>
          </cell>
          <cell r="AH158">
            <v>1422.5</v>
          </cell>
          <cell r="AI158">
            <v>1437.7</v>
          </cell>
          <cell r="AJ158">
            <v>1157.4000000000001</v>
          </cell>
          <cell r="AK158">
            <v>0</v>
          </cell>
          <cell r="AL158">
            <v>2628.4</v>
          </cell>
          <cell r="AM158">
            <v>1383.8</v>
          </cell>
          <cell r="AN158">
            <v>1301.9000000000001</v>
          </cell>
          <cell r="AO158">
            <v>1310.3</v>
          </cell>
          <cell r="AP158">
            <v>1309.5999999999999</v>
          </cell>
          <cell r="AQ158">
            <v>1288.4000000000001</v>
          </cell>
          <cell r="AR158">
            <v>1258.9000000000001</v>
          </cell>
          <cell r="AS158">
            <v>1268.5999999999999</v>
          </cell>
          <cell r="AT158">
            <v>0</v>
          </cell>
          <cell r="AU158">
            <v>4519.7</v>
          </cell>
          <cell r="AV158">
            <v>0</v>
          </cell>
          <cell r="AW158">
            <v>1525.9</v>
          </cell>
          <cell r="AX158">
            <v>4906.8999999999996</v>
          </cell>
          <cell r="AY158">
            <v>1595.2</v>
          </cell>
          <cell r="AZ158">
            <v>1580.2</v>
          </cell>
          <cell r="BA158">
            <v>1563</v>
          </cell>
          <cell r="BB158">
            <v>1558.1</v>
          </cell>
          <cell r="BC158">
            <v>1574.7</v>
          </cell>
          <cell r="BD158">
            <v>1719.01</v>
          </cell>
          <cell r="BE158">
            <v>1704.5</v>
          </cell>
          <cell r="BF158">
            <v>1561.7</v>
          </cell>
          <cell r="BG158">
            <v>981.9</v>
          </cell>
          <cell r="BH158">
            <v>1987.3</v>
          </cell>
          <cell r="BI158">
            <v>1950.9</v>
          </cell>
          <cell r="BJ158">
            <v>1963.6</v>
          </cell>
          <cell r="BK158">
            <v>2015.1</v>
          </cell>
          <cell r="BL158">
            <v>1930.9</v>
          </cell>
          <cell r="BM158">
            <v>1976.5</v>
          </cell>
          <cell r="BN158">
            <v>1923.9</v>
          </cell>
          <cell r="BO158">
            <v>1944.7</v>
          </cell>
          <cell r="BP158">
            <v>1946.8</v>
          </cell>
          <cell r="BQ158">
            <v>1945.1</v>
          </cell>
          <cell r="BR158">
            <v>1984.4</v>
          </cell>
          <cell r="BS158">
            <v>1942.9</v>
          </cell>
          <cell r="BT158">
            <v>2299.1999999999998</v>
          </cell>
          <cell r="BU158">
            <v>2452.6</v>
          </cell>
          <cell r="BV158">
            <v>2358.4</v>
          </cell>
          <cell r="BW158">
            <v>2350.1</v>
          </cell>
          <cell r="BX158">
            <v>2377</v>
          </cell>
          <cell r="BY158">
            <v>2392.5</v>
          </cell>
          <cell r="BZ158">
            <v>0</v>
          </cell>
          <cell r="CA158">
            <v>2380.6</v>
          </cell>
          <cell r="CB158">
            <v>2453.8000000000002</v>
          </cell>
          <cell r="CC158">
            <v>2427.5</v>
          </cell>
          <cell r="CD158">
            <v>2458.5</v>
          </cell>
          <cell r="CE158">
            <v>2483.4</v>
          </cell>
          <cell r="CF158">
            <v>2912.8</v>
          </cell>
          <cell r="CG158">
            <v>0</v>
          </cell>
          <cell r="CH158">
            <v>2919.6</v>
          </cell>
          <cell r="CI158">
            <v>5881</v>
          </cell>
          <cell r="CJ158">
            <v>0</v>
          </cell>
          <cell r="CK158">
            <v>2905.99</v>
          </cell>
          <cell r="CL158">
            <v>5838.1</v>
          </cell>
          <cell r="CM158">
            <v>0</v>
          </cell>
          <cell r="CN158">
            <v>2918.4</v>
          </cell>
          <cell r="CO158">
            <v>2865.14</v>
          </cell>
          <cell r="CP158">
            <v>5326.5</v>
          </cell>
          <cell r="CQ158">
            <v>0</v>
          </cell>
          <cell r="CR158">
            <v>2919.5</v>
          </cell>
          <cell r="CS158">
            <v>2935.5</v>
          </cell>
          <cell r="CT158">
            <v>0</v>
          </cell>
          <cell r="CU158">
            <v>5737.2</v>
          </cell>
          <cell r="CV158">
            <v>2921.6</v>
          </cell>
          <cell r="CW158">
            <v>2905.1</v>
          </cell>
          <cell r="CX158">
            <v>1098.3</v>
          </cell>
          <cell r="CY158">
            <v>3066.7</v>
          </cell>
          <cell r="CZ158">
            <v>2978.6</v>
          </cell>
          <cell r="DA158">
            <v>12159</v>
          </cell>
          <cell r="DB158">
            <v>0</v>
          </cell>
          <cell r="DC158">
            <v>0</v>
          </cell>
          <cell r="DD158">
            <v>0</v>
          </cell>
          <cell r="DE158">
            <v>0</v>
          </cell>
          <cell r="DF158">
            <v>6439</v>
          </cell>
          <cell r="DG158">
            <v>3330.9</v>
          </cell>
        </row>
        <row r="159">
          <cell r="A159">
            <v>6020050</v>
          </cell>
          <cell r="B159">
            <v>6020050</v>
          </cell>
          <cell r="C159" t="str">
            <v>Medical Insur-Active</v>
          </cell>
          <cell r="D159">
            <v>369577</v>
          </cell>
          <cell r="E159">
            <v>271332</v>
          </cell>
          <cell r="F159">
            <v>488040</v>
          </cell>
          <cell r="G159">
            <v>257464</v>
          </cell>
          <cell r="H159">
            <v>562679</v>
          </cell>
          <cell r="I159">
            <v>442489</v>
          </cell>
          <cell r="J159">
            <v>366678</v>
          </cell>
          <cell r="K159">
            <v>500791</v>
          </cell>
          <cell r="L159">
            <v>467130</v>
          </cell>
          <cell r="M159">
            <v>323653</v>
          </cell>
          <cell r="N159">
            <v>533974</v>
          </cell>
          <cell r="O159">
            <v>756975</v>
          </cell>
          <cell r="P159">
            <v>329583</v>
          </cell>
          <cell r="Q159">
            <v>346734</v>
          </cell>
          <cell r="R159">
            <v>482012</v>
          </cell>
          <cell r="S159">
            <v>214562</v>
          </cell>
          <cell r="T159">
            <v>602034</v>
          </cell>
          <cell r="U159">
            <v>481944</v>
          </cell>
          <cell r="V159">
            <v>239192</v>
          </cell>
          <cell r="W159">
            <v>572552</v>
          </cell>
          <cell r="X159">
            <v>242693</v>
          </cell>
          <cell r="Y159">
            <v>451930</v>
          </cell>
          <cell r="Z159">
            <v>628955</v>
          </cell>
          <cell r="AA159">
            <v>576677</v>
          </cell>
          <cell r="AB159">
            <v>401747</v>
          </cell>
          <cell r="AC159">
            <v>595715</v>
          </cell>
          <cell r="AD159">
            <v>257689</v>
          </cell>
          <cell r="AE159">
            <v>373084</v>
          </cell>
          <cell r="AF159">
            <v>513336</v>
          </cell>
          <cell r="AG159">
            <v>248101</v>
          </cell>
          <cell r="AH159">
            <v>384441</v>
          </cell>
          <cell r="AI159">
            <v>426890</v>
          </cell>
          <cell r="AJ159">
            <v>270910</v>
          </cell>
          <cell r="AK159">
            <v>505576</v>
          </cell>
          <cell r="AL159">
            <v>407653</v>
          </cell>
          <cell r="AM159">
            <v>638464</v>
          </cell>
          <cell r="AN159">
            <v>434393</v>
          </cell>
          <cell r="AO159">
            <v>260830</v>
          </cell>
          <cell r="AP159">
            <v>238936</v>
          </cell>
          <cell r="AQ159">
            <v>294959</v>
          </cell>
          <cell r="AR159">
            <v>250219.82</v>
          </cell>
          <cell r="AS159">
            <v>341916</v>
          </cell>
          <cell r="AT159">
            <v>308205</v>
          </cell>
          <cell r="AU159">
            <v>480507</v>
          </cell>
          <cell r="AV159">
            <v>178779</v>
          </cell>
          <cell r="AW159">
            <v>309328</v>
          </cell>
          <cell r="AX159">
            <v>513376</v>
          </cell>
          <cell r="AY159">
            <v>262763</v>
          </cell>
          <cell r="AZ159">
            <v>545878</v>
          </cell>
          <cell r="BA159">
            <v>362153</v>
          </cell>
          <cell r="BB159">
            <v>484912</v>
          </cell>
          <cell r="BC159">
            <v>588616</v>
          </cell>
          <cell r="BD159">
            <v>341869</v>
          </cell>
          <cell r="BE159">
            <v>661265</v>
          </cell>
          <cell r="BF159">
            <v>548926</v>
          </cell>
          <cell r="BG159">
            <v>658392</v>
          </cell>
          <cell r="BH159">
            <v>704135</v>
          </cell>
          <cell r="BI159">
            <v>871702</v>
          </cell>
          <cell r="BJ159">
            <v>980181</v>
          </cell>
          <cell r="BK159">
            <v>1002829</v>
          </cell>
          <cell r="BL159">
            <v>932637</v>
          </cell>
          <cell r="BM159">
            <v>500167</v>
          </cell>
          <cell r="BN159">
            <v>523026</v>
          </cell>
          <cell r="BO159">
            <v>588423</v>
          </cell>
          <cell r="BP159">
            <v>687838</v>
          </cell>
          <cell r="BQ159">
            <v>769703</v>
          </cell>
          <cell r="BR159">
            <v>290954</v>
          </cell>
          <cell r="BS159">
            <v>530915</v>
          </cell>
          <cell r="BT159">
            <v>361460</v>
          </cell>
          <cell r="BU159">
            <v>449870</v>
          </cell>
          <cell r="BV159">
            <v>379470</v>
          </cell>
          <cell r="BW159">
            <v>618873</v>
          </cell>
          <cell r="BX159">
            <v>344542</v>
          </cell>
          <cell r="BY159">
            <v>1119698</v>
          </cell>
          <cell r="BZ159">
            <v>489250</v>
          </cell>
          <cell r="CA159">
            <v>477693</v>
          </cell>
          <cell r="CB159">
            <v>306175</v>
          </cell>
          <cell r="CC159">
            <v>356288</v>
          </cell>
          <cell r="CD159">
            <v>393551</v>
          </cell>
          <cell r="CE159">
            <v>371737</v>
          </cell>
          <cell r="CF159">
            <v>281473</v>
          </cell>
          <cell r="CG159">
            <v>627260</v>
          </cell>
          <cell r="CH159">
            <v>973121</v>
          </cell>
          <cell r="CI159">
            <v>674775</v>
          </cell>
          <cell r="CJ159">
            <v>1157394</v>
          </cell>
          <cell r="CK159">
            <v>531719</v>
          </cell>
          <cell r="CL159">
            <v>923070</v>
          </cell>
          <cell r="CM159">
            <v>748611</v>
          </cell>
          <cell r="CN159">
            <v>646097</v>
          </cell>
          <cell r="CO159">
            <v>299837</v>
          </cell>
          <cell r="CP159">
            <v>827019</v>
          </cell>
          <cell r="CQ159">
            <v>1188490</v>
          </cell>
          <cell r="CR159">
            <v>280856.15000000002</v>
          </cell>
          <cell r="CS159">
            <v>740229</v>
          </cell>
          <cell r="CT159">
            <v>892356</v>
          </cell>
          <cell r="CU159">
            <v>637984</v>
          </cell>
          <cell r="CV159">
            <v>747971</v>
          </cell>
          <cell r="CW159">
            <v>290860</v>
          </cell>
          <cell r="CX159">
            <v>480132</v>
          </cell>
          <cell r="CY159">
            <v>650436</v>
          </cell>
          <cell r="CZ159">
            <v>418504</v>
          </cell>
          <cell r="DA159">
            <v>772924</v>
          </cell>
          <cell r="DB159">
            <v>478607</v>
          </cell>
          <cell r="DC159">
            <v>304396</v>
          </cell>
          <cell r="DD159">
            <v>484281</v>
          </cell>
          <cell r="DE159">
            <v>768032</v>
          </cell>
          <cell r="DF159">
            <v>518284</v>
          </cell>
          <cell r="DG159">
            <v>1230874</v>
          </cell>
        </row>
        <row r="160">
          <cell r="A160">
            <v>6020060</v>
          </cell>
          <cell r="B160">
            <v>6020060</v>
          </cell>
          <cell r="C160" t="str">
            <v>Pensions</v>
          </cell>
          <cell r="D160">
            <v>148250</v>
          </cell>
          <cell r="E160">
            <v>148250</v>
          </cell>
          <cell r="F160">
            <v>148250</v>
          </cell>
          <cell r="G160">
            <v>143264</v>
          </cell>
          <cell r="H160">
            <v>147003</v>
          </cell>
          <cell r="I160">
            <v>147003</v>
          </cell>
          <cell r="J160">
            <v>147003</v>
          </cell>
          <cell r="K160">
            <v>147003</v>
          </cell>
          <cell r="L160">
            <v>134418</v>
          </cell>
          <cell r="M160">
            <v>134418</v>
          </cell>
          <cell r="N160">
            <v>134418</v>
          </cell>
          <cell r="O160">
            <v>134418</v>
          </cell>
          <cell r="P160">
            <v>95083</v>
          </cell>
          <cell r="Q160">
            <v>142852</v>
          </cell>
          <cell r="R160">
            <v>118966</v>
          </cell>
          <cell r="S160">
            <v>118966</v>
          </cell>
          <cell r="T160">
            <v>256696</v>
          </cell>
          <cell r="U160">
            <v>146512</v>
          </cell>
          <cell r="V160">
            <v>146512</v>
          </cell>
          <cell r="W160">
            <v>146512</v>
          </cell>
          <cell r="X160">
            <v>146512</v>
          </cell>
          <cell r="Y160">
            <v>146512</v>
          </cell>
          <cell r="Z160">
            <v>146512</v>
          </cell>
          <cell r="AA160">
            <v>146512</v>
          </cell>
          <cell r="AB160">
            <v>131121</v>
          </cell>
          <cell r="AC160">
            <v>131121</v>
          </cell>
          <cell r="AD160">
            <v>131121</v>
          </cell>
          <cell r="AE160">
            <v>155573</v>
          </cell>
          <cell r="AF160">
            <v>137234</v>
          </cell>
          <cell r="AG160">
            <v>137234</v>
          </cell>
          <cell r="AH160">
            <v>137234</v>
          </cell>
          <cell r="AI160">
            <v>137234</v>
          </cell>
          <cell r="AJ160">
            <v>167356</v>
          </cell>
          <cell r="AK160">
            <v>140581</v>
          </cell>
          <cell r="AL160">
            <v>140581</v>
          </cell>
          <cell r="AM160">
            <v>140581</v>
          </cell>
          <cell r="AN160">
            <v>127312</v>
          </cell>
          <cell r="AO160">
            <v>127312</v>
          </cell>
          <cell r="AP160">
            <v>127312</v>
          </cell>
          <cell r="AQ160">
            <v>127312</v>
          </cell>
          <cell r="AR160">
            <v>127312</v>
          </cell>
          <cell r="AS160">
            <v>201047</v>
          </cell>
          <cell r="AT160">
            <v>139601</v>
          </cell>
          <cell r="AU160">
            <v>139601</v>
          </cell>
          <cell r="AV160">
            <v>139601</v>
          </cell>
          <cell r="AW160">
            <v>139601</v>
          </cell>
          <cell r="AX160">
            <v>139601</v>
          </cell>
          <cell r="AY160">
            <v>139601</v>
          </cell>
          <cell r="AZ160">
            <v>129389</v>
          </cell>
          <cell r="BA160">
            <v>129389</v>
          </cell>
          <cell r="BB160">
            <v>129389</v>
          </cell>
          <cell r="BC160">
            <v>129389</v>
          </cell>
          <cell r="BD160">
            <v>259582</v>
          </cell>
          <cell r="BE160">
            <v>155428</v>
          </cell>
          <cell r="BF160">
            <v>155428</v>
          </cell>
          <cell r="BG160">
            <v>155428</v>
          </cell>
          <cell r="BH160">
            <v>155428</v>
          </cell>
          <cell r="BI160">
            <v>155428</v>
          </cell>
          <cell r="BJ160">
            <v>155428</v>
          </cell>
          <cell r="BK160">
            <v>155428</v>
          </cell>
          <cell r="BL160">
            <v>134112</v>
          </cell>
          <cell r="BM160">
            <v>134112</v>
          </cell>
          <cell r="BN160">
            <v>134112</v>
          </cell>
          <cell r="BO160">
            <v>134112</v>
          </cell>
          <cell r="BP160">
            <v>134112</v>
          </cell>
          <cell r="BQ160">
            <v>59826</v>
          </cell>
          <cell r="BR160">
            <v>121732</v>
          </cell>
          <cell r="BS160">
            <v>121732</v>
          </cell>
          <cell r="BT160">
            <v>121732</v>
          </cell>
          <cell r="BU160">
            <v>121732</v>
          </cell>
          <cell r="BV160">
            <v>145708</v>
          </cell>
          <cell r="BW160">
            <v>184229</v>
          </cell>
          <cell r="BX160">
            <v>147416</v>
          </cell>
          <cell r="BY160">
            <v>147416</v>
          </cell>
          <cell r="BZ160">
            <v>147416</v>
          </cell>
          <cell r="CA160">
            <v>147416</v>
          </cell>
          <cell r="CB160">
            <v>147416</v>
          </cell>
          <cell r="CC160">
            <v>218594</v>
          </cell>
          <cell r="CD160">
            <v>159280</v>
          </cell>
          <cell r="CE160">
            <v>159280</v>
          </cell>
          <cell r="CF160">
            <v>159280</v>
          </cell>
          <cell r="CG160">
            <v>159280</v>
          </cell>
          <cell r="CH160">
            <v>159280</v>
          </cell>
          <cell r="CI160">
            <v>159280</v>
          </cell>
          <cell r="CJ160">
            <v>152033</v>
          </cell>
          <cell r="CK160">
            <v>152033</v>
          </cell>
          <cell r="CL160">
            <v>152033</v>
          </cell>
          <cell r="CM160">
            <v>152033</v>
          </cell>
          <cell r="CN160">
            <v>152033</v>
          </cell>
          <cell r="CO160">
            <v>152033</v>
          </cell>
          <cell r="CP160">
            <v>335991</v>
          </cell>
          <cell r="CQ160">
            <v>178312</v>
          </cell>
          <cell r="CR160">
            <v>178312</v>
          </cell>
          <cell r="CS160">
            <v>178312</v>
          </cell>
          <cell r="CT160">
            <v>178312</v>
          </cell>
          <cell r="CU160">
            <v>178312</v>
          </cell>
          <cell r="CV160">
            <v>110347</v>
          </cell>
          <cell r="CW160">
            <v>110347</v>
          </cell>
          <cell r="CX160">
            <v>110347</v>
          </cell>
          <cell r="CY160">
            <v>110347</v>
          </cell>
          <cell r="CZ160">
            <v>110347</v>
          </cell>
          <cell r="DA160">
            <v>176624</v>
          </cell>
          <cell r="DB160">
            <v>121934</v>
          </cell>
          <cell r="DC160">
            <v>121934</v>
          </cell>
          <cell r="DD160">
            <v>121934</v>
          </cell>
          <cell r="DE160">
            <v>119774</v>
          </cell>
          <cell r="DF160">
            <v>121394</v>
          </cell>
          <cell r="DG160">
            <v>121394</v>
          </cell>
        </row>
        <row r="161">
          <cell r="A161">
            <v>6020080</v>
          </cell>
          <cell r="B161">
            <v>6020080</v>
          </cell>
          <cell r="C161" t="str">
            <v>PostRtFAS106-Active</v>
          </cell>
          <cell r="D161">
            <v>80417</v>
          </cell>
          <cell r="E161">
            <v>80417</v>
          </cell>
          <cell r="F161">
            <v>80417</v>
          </cell>
          <cell r="G161">
            <v>83969</v>
          </cell>
          <cell r="H161">
            <v>81305</v>
          </cell>
          <cell r="I161">
            <v>81305</v>
          </cell>
          <cell r="J161">
            <v>81305</v>
          </cell>
          <cell r="K161">
            <v>81305</v>
          </cell>
          <cell r="L161">
            <v>81305</v>
          </cell>
          <cell r="M161">
            <v>81305</v>
          </cell>
          <cell r="N161">
            <v>81305</v>
          </cell>
          <cell r="O161">
            <v>81305</v>
          </cell>
          <cell r="P161">
            <v>72667</v>
          </cell>
          <cell r="Q161">
            <v>72978</v>
          </cell>
          <cell r="R161">
            <v>72823</v>
          </cell>
          <cell r="S161">
            <v>72823</v>
          </cell>
          <cell r="T161">
            <v>65071</v>
          </cell>
          <cell r="U161">
            <v>71273</v>
          </cell>
          <cell r="V161">
            <v>71273</v>
          </cell>
          <cell r="W161">
            <v>71375.360000000001</v>
          </cell>
          <cell r="X161">
            <v>71273</v>
          </cell>
          <cell r="Y161">
            <v>71273</v>
          </cell>
          <cell r="Z161">
            <v>71273</v>
          </cell>
          <cell r="AA161">
            <v>71273</v>
          </cell>
          <cell r="AB161">
            <v>70082</v>
          </cell>
          <cell r="AC161">
            <v>70082</v>
          </cell>
          <cell r="AD161">
            <v>70082</v>
          </cell>
          <cell r="AE161">
            <v>67014</v>
          </cell>
          <cell r="AF161">
            <v>69315</v>
          </cell>
          <cell r="AG161">
            <v>69315</v>
          </cell>
          <cell r="AH161">
            <v>69315</v>
          </cell>
          <cell r="AI161">
            <v>69315</v>
          </cell>
          <cell r="AJ161">
            <v>71979</v>
          </cell>
          <cell r="AK161">
            <v>70203</v>
          </cell>
          <cell r="AL161">
            <v>70202</v>
          </cell>
          <cell r="AM161">
            <v>70202</v>
          </cell>
          <cell r="AN161">
            <v>69979</v>
          </cell>
          <cell r="AO161">
            <v>69979</v>
          </cell>
          <cell r="AP161">
            <v>69979</v>
          </cell>
          <cell r="AQ161">
            <v>69979</v>
          </cell>
          <cell r="AR161">
            <v>69979</v>
          </cell>
          <cell r="AS161">
            <v>64811</v>
          </cell>
          <cell r="AT161">
            <v>69118</v>
          </cell>
          <cell r="AU161">
            <v>69118</v>
          </cell>
          <cell r="AV161">
            <v>69118</v>
          </cell>
          <cell r="AW161">
            <v>69118</v>
          </cell>
          <cell r="AX161">
            <v>69118</v>
          </cell>
          <cell r="AY161">
            <v>69118</v>
          </cell>
          <cell r="AZ161">
            <v>73390</v>
          </cell>
          <cell r="BA161">
            <v>73390</v>
          </cell>
          <cell r="BB161">
            <v>73390</v>
          </cell>
          <cell r="BC161">
            <v>73390</v>
          </cell>
          <cell r="BD161">
            <v>71350</v>
          </cell>
          <cell r="BE161">
            <v>72982</v>
          </cell>
          <cell r="BF161">
            <v>72982</v>
          </cell>
          <cell r="BG161">
            <v>72982</v>
          </cell>
          <cell r="BH161">
            <v>72982</v>
          </cell>
          <cell r="BI161">
            <v>72982</v>
          </cell>
          <cell r="BJ161">
            <v>72982</v>
          </cell>
          <cell r="BK161">
            <v>72982</v>
          </cell>
          <cell r="BL161">
            <v>70528</v>
          </cell>
          <cell r="BM161">
            <v>70528</v>
          </cell>
          <cell r="BN161">
            <v>70528</v>
          </cell>
          <cell r="BO161">
            <v>70528</v>
          </cell>
          <cell r="BP161">
            <v>70528</v>
          </cell>
          <cell r="BQ161">
            <v>69103</v>
          </cell>
          <cell r="BR161">
            <v>70290</v>
          </cell>
          <cell r="BS161">
            <v>70290</v>
          </cell>
          <cell r="BT161">
            <v>70290</v>
          </cell>
          <cell r="BU161">
            <v>70290</v>
          </cell>
          <cell r="BV161">
            <v>70290</v>
          </cell>
          <cell r="BW161">
            <v>70290</v>
          </cell>
          <cell r="BX161">
            <v>74162</v>
          </cell>
          <cell r="BY161">
            <v>74162</v>
          </cell>
          <cell r="BZ161">
            <v>74162</v>
          </cell>
          <cell r="CA161">
            <v>74162</v>
          </cell>
          <cell r="CB161">
            <v>74162</v>
          </cell>
          <cell r="CC161">
            <v>76698</v>
          </cell>
          <cell r="CD161">
            <v>74584</v>
          </cell>
          <cell r="CE161">
            <v>74584</v>
          </cell>
          <cell r="CF161">
            <v>74584</v>
          </cell>
          <cell r="CG161">
            <v>74584</v>
          </cell>
          <cell r="CH161">
            <v>74584</v>
          </cell>
          <cell r="CI161">
            <v>74584</v>
          </cell>
          <cell r="CJ161">
            <v>106576</v>
          </cell>
          <cell r="CK161">
            <v>106576</v>
          </cell>
          <cell r="CL161">
            <v>106576</v>
          </cell>
          <cell r="CM161">
            <v>106576</v>
          </cell>
          <cell r="CN161">
            <v>106576</v>
          </cell>
          <cell r="CO161">
            <v>106576</v>
          </cell>
          <cell r="CP161">
            <v>157517</v>
          </cell>
          <cell r="CQ161">
            <v>113854</v>
          </cell>
          <cell r="CR161">
            <v>113854</v>
          </cell>
          <cell r="CS161">
            <v>113854</v>
          </cell>
          <cell r="CT161">
            <v>113854</v>
          </cell>
          <cell r="CU161">
            <v>113854</v>
          </cell>
          <cell r="CV161">
            <v>104445</v>
          </cell>
          <cell r="CW161">
            <v>104445</v>
          </cell>
          <cell r="CX161">
            <v>104445</v>
          </cell>
          <cell r="CY161">
            <v>104445</v>
          </cell>
          <cell r="CZ161">
            <v>104445</v>
          </cell>
          <cell r="DA161">
            <v>55273</v>
          </cell>
          <cell r="DB161">
            <v>96250</v>
          </cell>
          <cell r="DC161">
            <v>96250</v>
          </cell>
          <cell r="DD161">
            <v>96250</v>
          </cell>
          <cell r="DE161">
            <v>96250</v>
          </cell>
          <cell r="DF161">
            <v>96250</v>
          </cell>
          <cell r="DG161">
            <v>96250</v>
          </cell>
        </row>
        <row r="162">
          <cell r="A162">
            <v>6020100</v>
          </cell>
          <cell r="B162">
            <v>6020100</v>
          </cell>
          <cell r="C162" t="str">
            <v>Restricted Stock Exp</v>
          </cell>
          <cell r="D162">
            <v>87085</v>
          </cell>
          <cell r="E162">
            <v>102727</v>
          </cell>
          <cell r="F162">
            <v>113134.26</v>
          </cell>
          <cell r="G162">
            <v>93628.92</v>
          </cell>
          <cell r="H162">
            <v>89965.24</v>
          </cell>
          <cell r="I162">
            <v>86701.41</v>
          </cell>
          <cell r="J162">
            <v>89674</v>
          </cell>
          <cell r="K162">
            <v>89737.57</v>
          </cell>
          <cell r="L162">
            <v>87043.48</v>
          </cell>
          <cell r="M162">
            <v>89967.17</v>
          </cell>
          <cell r="N162">
            <v>86939.520000000004</v>
          </cell>
          <cell r="O162">
            <v>506.83</v>
          </cell>
          <cell r="P162">
            <v>89889</v>
          </cell>
          <cell r="Q162">
            <v>107188</v>
          </cell>
          <cell r="R162">
            <v>122132</v>
          </cell>
          <cell r="S162">
            <v>96225</v>
          </cell>
          <cell r="T162">
            <v>93925</v>
          </cell>
          <cell r="U162">
            <v>58928.1</v>
          </cell>
          <cell r="V162">
            <v>86827.33</v>
          </cell>
          <cell r="W162">
            <v>86846.64</v>
          </cell>
          <cell r="X162">
            <v>84050.26</v>
          </cell>
          <cell r="Y162">
            <v>86843.5</v>
          </cell>
          <cell r="Z162">
            <v>84020.800000000003</v>
          </cell>
          <cell r="AA162">
            <v>86785.7</v>
          </cell>
          <cell r="AB162">
            <v>64051</v>
          </cell>
          <cell r="AC162">
            <v>83951</v>
          </cell>
          <cell r="AD162">
            <v>88048.61</v>
          </cell>
          <cell r="AE162">
            <v>89015.3</v>
          </cell>
          <cell r="AF162">
            <v>94878.2</v>
          </cell>
          <cell r="AG162">
            <v>91901.56</v>
          </cell>
          <cell r="AH162">
            <v>61779.29</v>
          </cell>
          <cell r="AI162">
            <v>61779.29</v>
          </cell>
          <cell r="AJ162">
            <v>59872.11</v>
          </cell>
          <cell r="AK162">
            <v>59872.11</v>
          </cell>
          <cell r="AL162">
            <v>59872.11</v>
          </cell>
          <cell r="AM162">
            <v>59872.11</v>
          </cell>
          <cell r="AN162">
            <v>59872.11</v>
          </cell>
          <cell r="AO162">
            <v>100850.11</v>
          </cell>
          <cell r="AP162">
            <v>106192.41</v>
          </cell>
          <cell r="AQ162">
            <v>77874.59</v>
          </cell>
          <cell r="AR162">
            <v>43155.11</v>
          </cell>
          <cell r="AS162">
            <v>153217.82</v>
          </cell>
          <cell r="AT162">
            <v>64203.8</v>
          </cell>
          <cell r="AU162">
            <v>57481.11</v>
          </cell>
          <cell r="AV162">
            <v>152251.49</v>
          </cell>
          <cell r="AW162">
            <v>80957.38</v>
          </cell>
          <cell r="AX162">
            <v>57662.87</v>
          </cell>
          <cell r="AY162">
            <v>85885.14</v>
          </cell>
          <cell r="AZ162">
            <v>45157.21</v>
          </cell>
          <cell r="BA162">
            <v>45396.1</v>
          </cell>
          <cell r="BB162">
            <v>164313.1</v>
          </cell>
          <cell r="BC162">
            <v>45396.1</v>
          </cell>
          <cell r="BD162">
            <v>45396.1</v>
          </cell>
          <cell r="BE162">
            <v>256982.52</v>
          </cell>
          <cell r="BF162">
            <v>40493.589999999997</v>
          </cell>
          <cell r="BG162">
            <v>45492.1</v>
          </cell>
          <cell r="BH162">
            <v>191153.8</v>
          </cell>
          <cell r="BI162">
            <v>44596.1</v>
          </cell>
          <cell r="BJ162">
            <v>44596.1</v>
          </cell>
          <cell r="BK162">
            <v>341232.38</v>
          </cell>
          <cell r="BL162">
            <v>0</v>
          </cell>
          <cell r="BM162">
            <v>0</v>
          </cell>
          <cell r="BN162">
            <v>527233.69999999995</v>
          </cell>
          <cell r="BO162">
            <v>0</v>
          </cell>
          <cell r="BP162">
            <v>0</v>
          </cell>
          <cell r="BQ162">
            <v>514313</v>
          </cell>
          <cell r="BR162">
            <v>0</v>
          </cell>
          <cell r="BS162">
            <v>0</v>
          </cell>
          <cell r="BT162">
            <v>1088488.8</v>
          </cell>
          <cell r="BU162">
            <v>8803.83</v>
          </cell>
          <cell r="BV162">
            <v>0</v>
          </cell>
          <cell r="BW162">
            <v>-180154.66</v>
          </cell>
          <cell r="BX162">
            <v>0</v>
          </cell>
          <cell r="BY162">
            <v>0</v>
          </cell>
          <cell r="BZ162">
            <v>433010.22</v>
          </cell>
          <cell r="CA162">
            <v>0</v>
          </cell>
          <cell r="CB162">
            <v>0</v>
          </cell>
          <cell r="CC162">
            <v>290823.61</v>
          </cell>
          <cell r="CD162">
            <v>0</v>
          </cell>
          <cell r="CE162">
            <v>0</v>
          </cell>
          <cell r="CF162">
            <v>424925.07</v>
          </cell>
          <cell r="CG162">
            <v>0</v>
          </cell>
          <cell r="CH162">
            <v>0</v>
          </cell>
          <cell r="CI162">
            <v>771058.32</v>
          </cell>
          <cell r="CJ162">
            <v>0</v>
          </cell>
          <cell r="CK162">
            <v>0</v>
          </cell>
          <cell r="CL162">
            <v>-14259.2</v>
          </cell>
          <cell r="CM162">
            <v>0</v>
          </cell>
          <cell r="CN162">
            <v>0</v>
          </cell>
          <cell r="CO162">
            <v>591158.48</v>
          </cell>
          <cell r="CP162">
            <v>0</v>
          </cell>
          <cell r="CQ162">
            <v>0</v>
          </cell>
          <cell r="CR162">
            <v>112274.93</v>
          </cell>
          <cell r="CS162">
            <v>0</v>
          </cell>
          <cell r="CT162">
            <v>0</v>
          </cell>
          <cell r="CU162">
            <v>446187.4</v>
          </cell>
          <cell r="CV162">
            <v>0</v>
          </cell>
          <cell r="CW162">
            <v>0</v>
          </cell>
          <cell r="CX162">
            <v>389355.55</v>
          </cell>
          <cell r="CY162">
            <v>0</v>
          </cell>
          <cell r="CZ162">
            <v>0</v>
          </cell>
          <cell r="DA162">
            <v>564667.89</v>
          </cell>
          <cell r="DB162">
            <v>0</v>
          </cell>
          <cell r="DC162">
            <v>0</v>
          </cell>
          <cell r="DD162">
            <v>310682.74</v>
          </cell>
          <cell r="DE162">
            <v>0</v>
          </cell>
          <cell r="DF162">
            <v>0</v>
          </cell>
          <cell r="DG162">
            <v>231714.42</v>
          </cell>
        </row>
        <row r="163">
          <cell r="A163">
            <v>6020101</v>
          </cell>
          <cell r="B163">
            <v>6020101</v>
          </cell>
          <cell r="C163" t="str">
            <v>Employee Deferred Compensation Expense</v>
          </cell>
          <cell r="D163"/>
          <cell r="E163"/>
          <cell r="F163"/>
          <cell r="G163"/>
          <cell r="H163"/>
          <cell r="I163"/>
          <cell r="J163"/>
          <cell r="K163"/>
          <cell r="L163"/>
          <cell r="M163"/>
          <cell r="N163"/>
          <cell r="O163"/>
          <cell r="P163"/>
          <cell r="Q163"/>
          <cell r="R163"/>
          <cell r="S163"/>
          <cell r="T163"/>
          <cell r="U163"/>
          <cell r="V163"/>
          <cell r="W163"/>
          <cell r="X163"/>
          <cell r="Y163"/>
          <cell r="Z163"/>
          <cell r="AA163"/>
          <cell r="AB163"/>
          <cell r="AC163"/>
          <cell r="AD163"/>
          <cell r="AE163"/>
          <cell r="AF163"/>
          <cell r="AG163"/>
          <cell r="AH163"/>
          <cell r="AI163"/>
          <cell r="AJ163"/>
          <cell r="AK163"/>
          <cell r="AL163"/>
          <cell r="AM163"/>
          <cell r="AN163"/>
          <cell r="AO163"/>
          <cell r="AP163"/>
          <cell r="AQ163"/>
          <cell r="AR163"/>
          <cell r="AS163"/>
          <cell r="AT163"/>
          <cell r="AU163"/>
          <cell r="AV163"/>
          <cell r="AW163"/>
          <cell r="AX163"/>
          <cell r="AY163"/>
          <cell r="AZ163"/>
          <cell r="BA163"/>
          <cell r="BB163"/>
          <cell r="BC163"/>
          <cell r="BD163"/>
          <cell r="BE163"/>
          <cell r="BF163"/>
          <cell r="BG163"/>
          <cell r="BH163"/>
          <cell r="BI163"/>
          <cell r="BJ163"/>
          <cell r="BK163"/>
          <cell r="BL163"/>
          <cell r="BM163"/>
          <cell r="BN163"/>
          <cell r="BO163"/>
          <cell r="BP163"/>
          <cell r="BQ163"/>
          <cell r="BR163"/>
          <cell r="BS163"/>
          <cell r="BT163"/>
          <cell r="BU163"/>
          <cell r="BV163"/>
          <cell r="BW163"/>
          <cell r="BX163">
            <v>0</v>
          </cell>
          <cell r="BY163">
            <v>0</v>
          </cell>
          <cell r="BZ163">
            <v>4358.92</v>
          </cell>
          <cell r="CA163">
            <v>0</v>
          </cell>
          <cell r="CB163">
            <v>0</v>
          </cell>
          <cell r="CC163">
            <v>-3217.89</v>
          </cell>
          <cell r="CD163">
            <v>0</v>
          </cell>
          <cell r="CE163">
            <v>0</v>
          </cell>
          <cell r="CF163">
            <v>870.97</v>
          </cell>
          <cell r="CG163">
            <v>0</v>
          </cell>
          <cell r="CH163">
            <v>0</v>
          </cell>
          <cell r="CI163">
            <v>1608.28</v>
          </cell>
          <cell r="CJ163">
            <v>0</v>
          </cell>
          <cell r="CK163">
            <v>0</v>
          </cell>
          <cell r="CL163">
            <v>-9939.86</v>
          </cell>
          <cell r="CM163">
            <v>0</v>
          </cell>
          <cell r="CN163">
            <v>0</v>
          </cell>
          <cell r="CO163">
            <v>27382.61</v>
          </cell>
          <cell r="CP163">
            <v>0</v>
          </cell>
          <cell r="CQ163">
            <v>0</v>
          </cell>
          <cell r="CR163">
            <v>14883.26</v>
          </cell>
          <cell r="CS163">
            <v>0</v>
          </cell>
          <cell r="CT163">
            <v>0</v>
          </cell>
          <cell r="CU163">
            <v>5667.17</v>
          </cell>
          <cell r="CV163">
            <v>0</v>
          </cell>
          <cell r="CW163">
            <v>0</v>
          </cell>
          <cell r="CX163">
            <v>8266.2800000000007</v>
          </cell>
          <cell r="CY163">
            <v>0</v>
          </cell>
          <cell r="CZ163">
            <v>0</v>
          </cell>
          <cell r="DA163">
            <v>20835.12</v>
          </cell>
          <cell r="DB163">
            <v>0</v>
          </cell>
          <cell r="DC163">
            <v>0</v>
          </cell>
          <cell r="DD163">
            <v>-1569.32</v>
          </cell>
          <cell r="DE163">
            <v>0</v>
          </cell>
          <cell r="DF163">
            <v>0</v>
          </cell>
          <cell r="DG163">
            <v>-16000.36</v>
          </cell>
        </row>
        <row r="164">
          <cell r="A164">
            <v>6020110</v>
          </cell>
          <cell r="B164">
            <v>6020110</v>
          </cell>
          <cell r="C164" t="str">
            <v>Employee Wellness</v>
          </cell>
          <cell r="D164">
            <v>0</v>
          </cell>
          <cell r="E164">
            <v>790.03</v>
          </cell>
          <cell r="F164">
            <v>215.78</v>
          </cell>
          <cell r="G164">
            <v>399.2</v>
          </cell>
          <cell r="H164">
            <v>455</v>
          </cell>
          <cell r="I164">
            <v>97.9</v>
          </cell>
          <cell r="J164">
            <v>0</v>
          </cell>
          <cell r="K164">
            <v>0</v>
          </cell>
          <cell r="L164">
            <v>105.59</v>
          </cell>
          <cell r="M164">
            <v>1834.85</v>
          </cell>
          <cell r="N164">
            <v>1200.4000000000001</v>
          </cell>
          <cell r="O164">
            <v>302.11</v>
          </cell>
          <cell r="P164">
            <v>0</v>
          </cell>
          <cell r="Q164">
            <v>458.87</v>
          </cell>
          <cell r="R164">
            <v>155.24</v>
          </cell>
          <cell r="S164">
            <v>745.75</v>
          </cell>
          <cell r="T164">
            <v>107.23</v>
          </cell>
          <cell r="U164">
            <v>467.08</v>
          </cell>
          <cell r="V164">
            <v>337</v>
          </cell>
          <cell r="W164">
            <v>428.65</v>
          </cell>
          <cell r="X164">
            <v>2437.73</v>
          </cell>
          <cell r="Y164">
            <v>1254.78</v>
          </cell>
          <cell r="Z164">
            <v>434.25</v>
          </cell>
          <cell r="AA164">
            <v>222</v>
          </cell>
          <cell r="AB164">
            <v>0</v>
          </cell>
          <cell r="AC164">
            <v>286.54000000000002</v>
          </cell>
          <cell r="AD164">
            <v>300.48</v>
          </cell>
          <cell r="AE164">
            <v>-30</v>
          </cell>
          <cell r="AF164">
            <v>86.85</v>
          </cell>
          <cell r="AG164">
            <v>413.31</v>
          </cell>
          <cell r="AH164">
            <v>83.9</v>
          </cell>
          <cell r="AI164">
            <v>91.21</v>
          </cell>
          <cell r="AJ164">
            <v>172.63</v>
          </cell>
          <cell r="AK164">
            <v>233.41</v>
          </cell>
          <cell r="AL164">
            <v>231.6</v>
          </cell>
          <cell r="AM164">
            <v>185.26</v>
          </cell>
          <cell r="AN164">
            <v>0</v>
          </cell>
          <cell r="AO164">
            <v>483.26</v>
          </cell>
          <cell r="AP164">
            <v>525.84</v>
          </cell>
          <cell r="AQ164">
            <v>201.22</v>
          </cell>
          <cell r="AR164">
            <v>38.83</v>
          </cell>
          <cell r="AS164">
            <v>76.36</v>
          </cell>
          <cell r="AT164">
            <v>140.63999999999999</v>
          </cell>
          <cell r="AU164">
            <v>0</v>
          </cell>
          <cell r="AV164">
            <v>121.33</v>
          </cell>
          <cell r="AW164">
            <v>356.85</v>
          </cell>
          <cell r="AX164">
            <v>332.88</v>
          </cell>
          <cell r="AY164">
            <v>65.05</v>
          </cell>
          <cell r="AZ164">
            <v>0</v>
          </cell>
          <cell r="BA164">
            <v>260.76</v>
          </cell>
          <cell r="BB164">
            <v>54.15</v>
          </cell>
          <cell r="BC164">
            <v>1977.9</v>
          </cell>
          <cell r="BD164">
            <v>0</v>
          </cell>
          <cell r="BE164">
            <v>52.18</v>
          </cell>
          <cell r="BF164">
            <v>219.8</v>
          </cell>
          <cell r="BG164">
            <v>81.489999999999995</v>
          </cell>
          <cell r="BH164">
            <v>81.8</v>
          </cell>
          <cell r="BI164">
            <v>195</v>
          </cell>
          <cell r="BJ164">
            <v>526.20000000000005</v>
          </cell>
          <cell r="BK164">
            <v>3606.37</v>
          </cell>
          <cell r="BL164">
            <v>0</v>
          </cell>
          <cell r="BM164">
            <v>235.53</v>
          </cell>
          <cell r="BN164">
            <v>278.98</v>
          </cell>
          <cell r="BO164">
            <v>0</v>
          </cell>
          <cell r="BP164">
            <v>0</v>
          </cell>
          <cell r="BQ164">
            <v>0</v>
          </cell>
          <cell r="BR164">
            <v>216.58</v>
          </cell>
          <cell r="BS164">
            <v>0</v>
          </cell>
          <cell r="BT164">
            <v>0</v>
          </cell>
          <cell r="BU164">
            <v>107.9</v>
          </cell>
          <cell r="BV164">
            <v>269.64</v>
          </cell>
          <cell r="BW164">
            <v>269.63</v>
          </cell>
          <cell r="BX164">
            <v>0</v>
          </cell>
          <cell r="BY164">
            <v>0</v>
          </cell>
          <cell r="BZ164">
            <v>355.13</v>
          </cell>
          <cell r="CA164">
            <v>6.51</v>
          </cell>
          <cell r="CB164">
            <v>233.82</v>
          </cell>
          <cell r="CC164">
            <v>49.72</v>
          </cell>
          <cell r="CD164">
            <v>263.88</v>
          </cell>
          <cell r="CE164">
            <v>471.56</v>
          </cell>
          <cell r="CF164">
            <v>131.58000000000001</v>
          </cell>
          <cell r="CG164">
            <v>101.41</v>
          </cell>
          <cell r="CH164">
            <v>102.91</v>
          </cell>
          <cell r="CI164">
            <v>21.75</v>
          </cell>
          <cell r="CJ164">
            <v>373.36</v>
          </cell>
          <cell r="CK164">
            <v>708.82</v>
          </cell>
          <cell r="CL164">
            <v>286.2</v>
          </cell>
          <cell r="CM164">
            <v>228.87</v>
          </cell>
          <cell r="CN164">
            <v>938.2</v>
          </cell>
          <cell r="CO164">
            <v>366.17</v>
          </cell>
          <cell r="CP164">
            <v>486.33</v>
          </cell>
          <cell r="CQ164">
            <v>320.58</v>
          </cell>
          <cell r="CR164">
            <v>402.05</v>
          </cell>
          <cell r="CS164">
            <v>24.04</v>
          </cell>
          <cell r="CT164">
            <v>970.8</v>
          </cell>
          <cell r="CU164">
            <v>581.03</v>
          </cell>
          <cell r="CV164">
            <v>133.09</v>
          </cell>
          <cell r="CW164">
            <v>38.729999999999997</v>
          </cell>
          <cell r="CX164">
            <v>127.13</v>
          </cell>
          <cell r="CY164">
            <v>282.42</v>
          </cell>
          <cell r="CZ164">
            <v>495.86</v>
          </cell>
          <cell r="DA164">
            <v>124.63</v>
          </cell>
          <cell r="DB164">
            <v>478.73</v>
          </cell>
          <cell r="DC164">
            <v>906.69</v>
          </cell>
          <cell r="DD164">
            <v>797.07</v>
          </cell>
          <cell r="DE164">
            <v>7762.3</v>
          </cell>
          <cell r="DF164">
            <v>2121.77</v>
          </cell>
          <cell r="DG164">
            <v>1709</v>
          </cell>
        </row>
        <row r="165">
          <cell r="A165">
            <v>6020130</v>
          </cell>
          <cell r="B165">
            <v>6020130</v>
          </cell>
          <cell r="C165" t="str">
            <v>Emplr 401KFixed Mtch</v>
          </cell>
          <cell r="D165">
            <v>153955.15</v>
          </cell>
          <cell r="E165">
            <v>70275.39</v>
          </cell>
          <cell r="F165">
            <v>72571.27</v>
          </cell>
          <cell r="G165">
            <v>73408.02</v>
          </cell>
          <cell r="H165">
            <v>112562.38</v>
          </cell>
          <cell r="I165">
            <v>73677.31</v>
          </cell>
          <cell r="J165">
            <v>73455.839999999997</v>
          </cell>
          <cell r="K165">
            <v>75367.53</v>
          </cell>
          <cell r="L165">
            <v>75795.78</v>
          </cell>
          <cell r="M165">
            <v>115301.95</v>
          </cell>
          <cell r="N165">
            <v>75241.759999999995</v>
          </cell>
          <cell r="O165">
            <v>107216.07</v>
          </cell>
          <cell r="P165">
            <v>78400.210000000006</v>
          </cell>
          <cell r="Q165">
            <v>129221.56</v>
          </cell>
          <cell r="R165">
            <v>80205.919999999998</v>
          </cell>
          <cell r="S165">
            <v>119920.79</v>
          </cell>
          <cell r="T165">
            <v>81009.039999999994</v>
          </cell>
          <cell r="U165">
            <v>81963.45</v>
          </cell>
          <cell r="V165">
            <v>80768.14</v>
          </cell>
          <cell r="W165">
            <v>80949.58</v>
          </cell>
          <cell r="X165">
            <v>84130.240000000005</v>
          </cell>
          <cell r="Y165">
            <v>124365.27</v>
          </cell>
          <cell r="Z165">
            <v>84747.17</v>
          </cell>
          <cell r="AA165">
            <v>87643.92</v>
          </cell>
          <cell r="AB165">
            <v>87604.77</v>
          </cell>
          <cell r="AC165">
            <v>152353.21</v>
          </cell>
          <cell r="AD165">
            <v>131227.01999999999</v>
          </cell>
          <cell r="AE165">
            <v>87906.7</v>
          </cell>
          <cell r="AF165">
            <v>90132.95</v>
          </cell>
          <cell r="AG165">
            <v>90730.34</v>
          </cell>
          <cell r="AH165">
            <v>96543.9</v>
          </cell>
          <cell r="AI165">
            <v>92044.62</v>
          </cell>
          <cell r="AJ165">
            <v>139321.71</v>
          </cell>
          <cell r="AK165">
            <v>96737.54</v>
          </cell>
          <cell r="AL165">
            <v>96016.79</v>
          </cell>
          <cell r="AM165">
            <v>101949.36</v>
          </cell>
          <cell r="AN165">
            <v>111987.69</v>
          </cell>
          <cell r="AO165">
            <v>198687.03</v>
          </cell>
          <cell r="AP165">
            <v>155909.88</v>
          </cell>
          <cell r="AQ165">
            <v>105339.63</v>
          </cell>
          <cell r="AR165">
            <v>100974.01</v>
          </cell>
          <cell r="AS165">
            <v>101767.1</v>
          </cell>
          <cell r="AT165">
            <v>102620.15</v>
          </cell>
          <cell r="AU165">
            <v>157047.35999999999</v>
          </cell>
          <cell r="AV165">
            <v>109020.6</v>
          </cell>
          <cell r="AW165">
            <v>110028.02</v>
          </cell>
          <cell r="AX165">
            <v>110061.79</v>
          </cell>
          <cell r="AY165">
            <v>109205.75999999999</v>
          </cell>
          <cell r="AZ165">
            <v>115837.3</v>
          </cell>
          <cell r="BA165">
            <v>216233.99</v>
          </cell>
          <cell r="BB165">
            <v>169083.47</v>
          </cell>
          <cell r="BC165">
            <v>117129.05</v>
          </cell>
          <cell r="BD165">
            <v>115639.13</v>
          </cell>
          <cell r="BE165">
            <v>115789.81</v>
          </cell>
          <cell r="BF165">
            <v>115501.28</v>
          </cell>
          <cell r="BG165">
            <v>173208.16</v>
          </cell>
          <cell r="BH165">
            <v>118316.28</v>
          </cell>
          <cell r="BI165">
            <v>132546.65</v>
          </cell>
          <cell r="BJ165">
            <v>128342.58</v>
          </cell>
          <cell r="BK165">
            <v>123368.23</v>
          </cell>
          <cell r="BL165">
            <v>189609.23</v>
          </cell>
          <cell r="BM165">
            <v>245779.98</v>
          </cell>
          <cell r="BN165">
            <v>124232.25</v>
          </cell>
          <cell r="BO165">
            <v>125689.75</v>
          </cell>
          <cell r="BP165">
            <v>125296.49</v>
          </cell>
          <cell r="BQ165">
            <v>126164.07</v>
          </cell>
          <cell r="BR165">
            <v>127315.49</v>
          </cell>
          <cell r="BS165">
            <v>192405.78</v>
          </cell>
          <cell r="BT165">
            <v>129294.42</v>
          </cell>
          <cell r="BU165">
            <v>130151.6</v>
          </cell>
          <cell r="BV165">
            <v>130634.96</v>
          </cell>
          <cell r="BW165">
            <v>278694.61</v>
          </cell>
          <cell r="BX165">
            <v>205380.32</v>
          </cell>
          <cell r="BY165">
            <v>131840.60999999999</v>
          </cell>
          <cell r="BZ165">
            <v>151179.51</v>
          </cell>
          <cell r="CA165">
            <v>133606.48000000001</v>
          </cell>
          <cell r="CB165">
            <v>135398.10999999999</v>
          </cell>
          <cell r="CC165">
            <v>137594.94</v>
          </cell>
          <cell r="CD165">
            <v>208740.77</v>
          </cell>
          <cell r="CE165">
            <v>140397.68</v>
          </cell>
          <cell r="CF165">
            <v>140098.15</v>
          </cell>
          <cell r="CG165">
            <v>139645.06</v>
          </cell>
          <cell r="CH165">
            <v>143619.37</v>
          </cell>
          <cell r="CI165">
            <v>211368.66</v>
          </cell>
          <cell r="CJ165">
            <v>152326.6</v>
          </cell>
          <cell r="CK165">
            <v>149898.19</v>
          </cell>
          <cell r="CL165">
            <v>294142.75</v>
          </cell>
          <cell r="CM165">
            <v>151276.25</v>
          </cell>
          <cell r="CN165">
            <v>150868.1</v>
          </cell>
          <cell r="CO165">
            <v>150498.47</v>
          </cell>
          <cell r="CP165">
            <v>223703.28</v>
          </cell>
          <cell r="CQ165">
            <v>148492.60999999999</v>
          </cell>
          <cell r="CR165">
            <v>152652.54</v>
          </cell>
          <cell r="CS165">
            <v>277198.90000000002</v>
          </cell>
          <cell r="CT165">
            <v>164837.78</v>
          </cell>
          <cell r="CU165">
            <v>287455.2</v>
          </cell>
          <cell r="CV165">
            <v>219826.27</v>
          </cell>
          <cell r="CW165">
            <v>224793.42</v>
          </cell>
          <cell r="CX165">
            <v>119479</v>
          </cell>
          <cell r="CY165">
            <v>164370.29999999999</v>
          </cell>
          <cell r="CZ165">
            <v>163462.59</v>
          </cell>
          <cell r="DA165">
            <v>256512.27</v>
          </cell>
          <cell r="DB165">
            <v>173139.92</v>
          </cell>
          <cell r="DC165">
            <v>175722.3</v>
          </cell>
          <cell r="DD165">
            <v>175471.09</v>
          </cell>
          <cell r="DE165">
            <v>196214.74</v>
          </cell>
          <cell r="DF165">
            <v>189854.74</v>
          </cell>
          <cell r="DG165">
            <v>278829.03999999998</v>
          </cell>
        </row>
        <row r="166">
          <cell r="A166">
            <v>6020131</v>
          </cell>
          <cell r="B166">
            <v>6020131</v>
          </cell>
          <cell r="C166" t="str">
            <v>Employer 401K – IBEW Plan Match</v>
          </cell>
          <cell r="D166"/>
          <cell r="E166"/>
          <cell r="F166"/>
          <cell r="G166"/>
          <cell r="H166"/>
          <cell r="I166"/>
          <cell r="J166"/>
          <cell r="K166"/>
          <cell r="L166"/>
          <cell r="M166"/>
          <cell r="N166"/>
          <cell r="O166"/>
          <cell r="P166"/>
          <cell r="Q166"/>
          <cell r="R166"/>
          <cell r="S166"/>
          <cell r="T166"/>
          <cell r="U166"/>
          <cell r="V166"/>
          <cell r="W166"/>
          <cell r="X166"/>
          <cell r="Y166"/>
          <cell r="Z166"/>
          <cell r="AA166"/>
          <cell r="AB166"/>
          <cell r="AC166"/>
          <cell r="AD166"/>
          <cell r="AE166"/>
          <cell r="AF166"/>
          <cell r="AG166"/>
          <cell r="AH166"/>
          <cell r="AI166"/>
          <cell r="AJ166"/>
          <cell r="AK166"/>
          <cell r="AL166"/>
          <cell r="AM166"/>
          <cell r="AN166"/>
          <cell r="AO166"/>
          <cell r="AP166"/>
          <cell r="AQ166"/>
          <cell r="AR166"/>
          <cell r="AS166"/>
          <cell r="AT166"/>
          <cell r="AU166"/>
          <cell r="AV166"/>
          <cell r="AW166"/>
          <cell r="AX166"/>
          <cell r="AY166"/>
          <cell r="AZ166"/>
          <cell r="BA166"/>
          <cell r="BB166"/>
          <cell r="BC166"/>
          <cell r="BD166"/>
          <cell r="BE166"/>
          <cell r="BF166"/>
          <cell r="BG166"/>
          <cell r="BH166"/>
          <cell r="BI166"/>
          <cell r="BJ166"/>
          <cell r="BK166"/>
          <cell r="BL166"/>
          <cell r="BM166"/>
          <cell r="BN166"/>
          <cell r="BO166"/>
          <cell r="BP166"/>
          <cell r="BQ166"/>
          <cell r="BR166"/>
          <cell r="BS166"/>
          <cell r="BT166"/>
          <cell r="BU166"/>
          <cell r="BV166"/>
          <cell r="BW166"/>
          <cell r="BX166"/>
          <cell r="BY166"/>
          <cell r="BZ166"/>
          <cell r="CA166"/>
          <cell r="CB166"/>
          <cell r="CC166"/>
          <cell r="CD166"/>
          <cell r="CE166"/>
          <cell r="CF166"/>
          <cell r="CG166"/>
          <cell r="CH166"/>
          <cell r="CI166"/>
          <cell r="CJ166">
            <v>137.09</v>
          </cell>
          <cell r="CK166">
            <v>-137.09</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row>
        <row r="167">
          <cell r="A167">
            <v>6020140</v>
          </cell>
          <cell r="B167">
            <v>6020140</v>
          </cell>
          <cell r="C167" t="str">
            <v>Emplr 401KPerf Match</v>
          </cell>
          <cell r="D167">
            <v>0</v>
          </cell>
          <cell r="E167">
            <v>-6179.45</v>
          </cell>
          <cell r="F167">
            <v>0</v>
          </cell>
          <cell r="G167">
            <v>0</v>
          </cell>
          <cell r="H167">
            <v>0</v>
          </cell>
          <cell r="I167">
            <v>0</v>
          </cell>
          <cell r="J167">
            <v>0</v>
          </cell>
          <cell r="K167">
            <v>0</v>
          </cell>
          <cell r="L167">
            <v>152000</v>
          </cell>
          <cell r="M167">
            <v>0</v>
          </cell>
          <cell r="N167">
            <v>0</v>
          </cell>
          <cell r="O167">
            <v>170000</v>
          </cell>
          <cell r="P167">
            <v>0</v>
          </cell>
          <cell r="Q167">
            <v>-65182.400000000001</v>
          </cell>
          <cell r="R167">
            <v>168488.36</v>
          </cell>
          <cell r="S167">
            <v>42000</v>
          </cell>
          <cell r="T167">
            <v>-29000</v>
          </cell>
          <cell r="U167">
            <v>30000</v>
          </cell>
          <cell r="V167">
            <v>-24000</v>
          </cell>
          <cell r="W167">
            <v>4000</v>
          </cell>
          <cell r="X167">
            <v>-52000</v>
          </cell>
          <cell r="Y167">
            <v>-7000</v>
          </cell>
          <cell r="Z167">
            <v>84000</v>
          </cell>
          <cell r="AA167">
            <v>-160875</v>
          </cell>
          <cell r="AB167">
            <v>0</v>
          </cell>
          <cell r="AC167">
            <v>-9691.82</v>
          </cell>
          <cell r="AD167">
            <v>0</v>
          </cell>
          <cell r="AE167">
            <v>0</v>
          </cell>
          <cell r="AF167">
            <v>0</v>
          </cell>
          <cell r="AG167">
            <v>0</v>
          </cell>
          <cell r="AH167">
            <v>0</v>
          </cell>
          <cell r="AI167">
            <v>0</v>
          </cell>
          <cell r="AJ167">
            <v>252000</v>
          </cell>
          <cell r="AK167">
            <v>-4000</v>
          </cell>
          <cell r="AL167">
            <v>-140000</v>
          </cell>
          <cell r="AM167">
            <v>-56000</v>
          </cell>
          <cell r="AN167">
            <v>0</v>
          </cell>
          <cell r="AO167">
            <v>0</v>
          </cell>
          <cell r="AP167">
            <v>17528.099999999999</v>
          </cell>
          <cell r="AQ167">
            <v>0</v>
          </cell>
          <cell r="AR167">
            <v>0</v>
          </cell>
          <cell r="AS167">
            <v>0</v>
          </cell>
          <cell r="AT167">
            <v>0</v>
          </cell>
          <cell r="AU167">
            <v>0</v>
          </cell>
          <cell r="AV167">
            <v>0</v>
          </cell>
          <cell r="AW167">
            <v>0</v>
          </cell>
          <cell r="AX167">
            <v>0</v>
          </cell>
          <cell r="AY167">
            <v>0</v>
          </cell>
          <cell r="AZ167">
            <v>0</v>
          </cell>
          <cell r="BA167">
            <v>24994.26</v>
          </cell>
          <cell r="BB167">
            <v>0</v>
          </cell>
          <cell r="BC167">
            <v>0</v>
          </cell>
          <cell r="BD167">
            <v>783.24</v>
          </cell>
          <cell r="BE167">
            <v>-738.24</v>
          </cell>
          <cell r="BF167">
            <v>-45</v>
          </cell>
          <cell r="BG167">
            <v>0</v>
          </cell>
          <cell r="BH167">
            <v>0</v>
          </cell>
          <cell r="BI167">
            <v>0</v>
          </cell>
          <cell r="BJ167">
            <v>0</v>
          </cell>
          <cell r="BK167">
            <v>0</v>
          </cell>
          <cell r="BL167">
            <v>0</v>
          </cell>
          <cell r="BM167">
            <v>4185.76</v>
          </cell>
          <cell r="BN167">
            <v>1441.26</v>
          </cell>
          <cell r="BO167">
            <v>0</v>
          </cell>
          <cell r="BP167">
            <v>0</v>
          </cell>
          <cell r="BQ167">
            <v>0</v>
          </cell>
          <cell r="BR167">
            <v>0</v>
          </cell>
          <cell r="BS167">
            <v>0</v>
          </cell>
          <cell r="BT167">
            <v>0</v>
          </cell>
          <cell r="BU167">
            <v>0</v>
          </cell>
          <cell r="BV167">
            <v>0</v>
          </cell>
          <cell r="BW167">
            <v>256702.48</v>
          </cell>
          <cell r="BX167">
            <v>0</v>
          </cell>
          <cell r="BY167">
            <v>-23352.67</v>
          </cell>
          <cell r="BZ167">
            <v>0</v>
          </cell>
          <cell r="CA167">
            <v>0</v>
          </cell>
          <cell r="CB167">
            <v>0</v>
          </cell>
          <cell r="CC167">
            <v>0</v>
          </cell>
          <cell r="CD167">
            <v>0</v>
          </cell>
          <cell r="CE167">
            <v>0</v>
          </cell>
          <cell r="CF167">
            <v>0</v>
          </cell>
          <cell r="CG167">
            <v>0</v>
          </cell>
          <cell r="CH167">
            <v>0</v>
          </cell>
          <cell r="CI167">
            <v>0</v>
          </cell>
          <cell r="CJ167">
            <v>0</v>
          </cell>
          <cell r="CK167">
            <v>0</v>
          </cell>
          <cell r="CL167">
            <v>5240.9399999999996</v>
          </cell>
          <cell r="CM167">
            <v>0</v>
          </cell>
          <cell r="CN167">
            <v>0</v>
          </cell>
          <cell r="CO167">
            <v>0</v>
          </cell>
          <cell r="CP167">
            <v>0</v>
          </cell>
          <cell r="CQ167">
            <v>0</v>
          </cell>
          <cell r="CR167">
            <v>0</v>
          </cell>
          <cell r="CS167">
            <v>366666.67</v>
          </cell>
          <cell r="CT167">
            <v>36666.67</v>
          </cell>
          <cell r="CU167">
            <v>329999.67</v>
          </cell>
          <cell r="CV167">
            <v>0</v>
          </cell>
          <cell r="CW167">
            <v>0</v>
          </cell>
          <cell r="CX167">
            <v>-60547.02</v>
          </cell>
          <cell r="CY167">
            <v>0</v>
          </cell>
          <cell r="CZ167">
            <v>0</v>
          </cell>
          <cell r="DA167">
            <v>0</v>
          </cell>
          <cell r="DB167">
            <v>0</v>
          </cell>
          <cell r="DC167">
            <v>0</v>
          </cell>
          <cell r="DD167">
            <v>0</v>
          </cell>
          <cell r="DE167">
            <v>0</v>
          </cell>
          <cell r="DF167">
            <v>0</v>
          </cell>
          <cell r="DG167">
            <v>199515</v>
          </cell>
        </row>
        <row r="168">
          <cell r="A168">
            <v>6020150</v>
          </cell>
          <cell r="B168">
            <v>6020150</v>
          </cell>
          <cell r="C168" t="str">
            <v>Supp ExecRetire Plan</v>
          </cell>
          <cell r="D168">
            <v>35750</v>
          </cell>
          <cell r="E168">
            <v>35750</v>
          </cell>
          <cell r="F168">
            <v>35750</v>
          </cell>
          <cell r="G168">
            <v>43162</v>
          </cell>
          <cell r="H168">
            <v>37603</v>
          </cell>
          <cell r="I168">
            <v>37603</v>
          </cell>
          <cell r="J168">
            <v>37603</v>
          </cell>
          <cell r="K168">
            <v>37603</v>
          </cell>
          <cell r="L168">
            <v>37603</v>
          </cell>
          <cell r="M168">
            <v>37603</v>
          </cell>
          <cell r="N168">
            <v>37603</v>
          </cell>
          <cell r="O168">
            <v>37603</v>
          </cell>
          <cell r="P168">
            <v>33583</v>
          </cell>
          <cell r="Q168">
            <v>12770</v>
          </cell>
          <cell r="R168">
            <v>23179</v>
          </cell>
          <cell r="S168">
            <v>23179</v>
          </cell>
          <cell r="T168">
            <v>35032</v>
          </cell>
          <cell r="U168">
            <v>25550</v>
          </cell>
          <cell r="V168">
            <v>25550</v>
          </cell>
          <cell r="W168">
            <v>25550</v>
          </cell>
          <cell r="X168">
            <v>25550</v>
          </cell>
          <cell r="Y168">
            <v>25550</v>
          </cell>
          <cell r="Z168">
            <v>25550</v>
          </cell>
          <cell r="AA168">
            <v>25550</v>
          </cell>
          <cell r="AB168">
            <v>23414</v>
          </cell>
          <cell r="AC168">
            <v>23414</v>
          </cell>
          <cell r="AD168">
            <v>23414</v>
          </cell>
          <cell r="AE168">
            <v>26884</v>
          </cell>
          <cell r="AF168">
            <v>24281</v>
          </cell>
          <cell r="AG168">
            <v>24281</v>
          </cell>
          <cell r="AH168">
            <v>24281</v>
          </cell>
          <cell r="AI168">
            <v>24281</v>
          </cell>
          <cell r="AJ168">
            <v>109253</v>
          </cell>
          <cell r="AK168">
            <v>33722</v>
          </cell>
          <cell r="AL168">
            <v>33722</v>
          </cell>
          <cell r="AM168">
            <v>33722</v>
          </cell>
          <cell r="AN168">
            <v>29996</v>
          </cell>
          <cell r="AO168">
            <v>29996</v>
          </cell>
          <cell r="AP168">
            <v>29996</v>
          </cell>
          <cell r="AQ168">
            <v>29996</v>
          </cell>
          <cell r="AR168">
            <v>29996</v>
          </cell>
          <cell r="AS168">
            <v>70215</v>
          </cell>
          <cell r="AT168">
            <v>36699</v>
          </cell>
          <cell r="AU168">
            <v>36699</v>
          </cell>
          <cell r="AV168">
            <v>36699</v>
          </cell>
          <cell r="AW168">
            <v>36699</v>
          </cell>
          <cell r="AX168">
            <v>36699</v>
          </cell>
          <cell r="AY168">
            <v>36699</v>
          </cell>
          <cell r="AZ168">
            <v>26400</v>
          </cell>
          <cell r="BA168">
            <v>26400</v>
          </cell>
          <cell r="BB168">
            <v>26400</v>
          </cell>
          <cell r="BC168">
            <v>26400</v>
          </cell>
          <cell r="BD168">
            <v>56407</v>
          </cell>
          <cell r="BE168">
            <v>49976</v>
          </cell>
          <cell r="BF168">
            <v>27481</v>
          </cell>
          <cell r="BG168">
            <v>27481</v>
          </cell>
          <cell r="BH168">
            <v>27481</v>
          </cell>
          <cell r="BI168">
            <v>27481</v>
          </cell>
          <cell r="BJ168">
            <v>27481</v>
          </cell>
          <cell r="BK168">
            <v>27481</v>
          </cell>
          <cell r="BL168">
            <v>22600</v>
          </cell>
          <cell r="BM168">
            <v>22600</v>
          </cell>
          <cell r="BN168">
            <v>22600</v>
          </cell>
          <cell r="BO168">
            <v>22600</v>
          </cell>
          <cell r="BP168">
            <v>22600</v>
          </cell>
          <cell r="BQ168">
            <v>43981</v>
          </cell>
          <cell r="BR168">
            <v>26163</v>
          </cell>
          <cell r="BS168">
            <v>26163</v>
          </cell>
          <cell r="BT168">
            <v>26163</v>
          </cell>
          <cell r="BU168">
            <v>26163</v>
          </cell>
          <cell r="BV168">
            <v>26163</v>
          </cell>
          <cell r="BW168">
            <v>26163</v>
          </cell>
          <cell r="BX168">
            <v>10746</v>
          </cell>
          <cell r="BY168">
            <v>10746</v>
          </cell>
          <cell r="BZ168">
            <v>10746</v>
          </cell>
          <cell r="CA168">
            <v>10746</v>
          </cell>
          <cell r="CB168">
            <v>10746</v>
          </cell>
          <cell r="CC168">
            <v>16557</v>
          </cell>
          <cell r="CD168">
            <v>11715</v>
          </cell>
          <cell r="CE168">
            <v>11715</v>
          </cell>
          <cell r="CF168">
            <v>11715</v>
          </cell>
          <cell r="CG168">
            <v>11715</v>
          </cell>
          <cell r="CH168">
            <v>11715</v>
          </cell>
          <cell r="CI168">
            <v>11715</v>
          </cell>
          <cell r="CJ168">
            <v>11157</v>
          </cell>
          <cell r="CK168">
            <v>11157</v>
          </cell>
          <cell r="CL168">
            <v>11157</v>
          </cell>
          <cell r="CM168">
            <v>11157</v>
          </cell>
          <cell r="CN168">
            <v>11157</v>
          </cell>
          <cell r="CO168">
            <v>11157</v>
          </cell>
          <cell r="CP168">
            <v>19810</v>
          </cell>
          <cell r="CQ168">
            <v>12394</v>
          </cell>
          <cell r="CR168">
            <v>12394</v>
          </cell>
          <cell r="CS168">
            <v>12394</v>
          </cell>
          <cell r="CT168">
            <v>12394</v>
          </cell>
          <cell r="CU168">
            <v>12394</v>
          </cell>
          <cell r="CV168">
            <v>11909</v>
          </cell>
          <cell r="CW168">
            <v>11909</v>
          </cell>
          <cell r="CX168">
            <v>11909</v>
          </cell>
          <cell r="CY168">
            <v>11909</v>
          </cell>
          <cell r="CZ168">
            <v>11909</v>
          </cell>
          <cell r="DA168">
            <v>8348</v>
          </cell>
          <cell r="DB168">
            <v>11316</v>
          </cell>
          <cell r="DC168">
            <v>11316</v>
          </cell>
          <cell r="DD168">
            <v>11316</v>
          </cell>
          <cell r="DE168">
            <v>11316</v>
          </cell>
          <cell r="DF168">
            <v>11316</v>
          </cell>
          <cell r="DG168">
            <v>12445</v>
          </cell>
        </row>
        <row r="169">
          <cell r="A169">
            <v>6020170</v>
          </cell>
          <cell r="B169">
            <v>6020170</v>
          </cell>
          <cell r="C169" t="str">
            <v>LTDisability FAS112</v>
          </cell>
          <cell r="D169">
            <v>24995</v>
          </cell>
          <cell r="E169">
            <v>24995</v>
          </cell>
          <cell r="F169">
            <v>24995</v>
          </cell>
          <cell r="G169">
            <v>24995</v>
          </cell>
          <cell r="H169">
            <v>24995</v>
          </cell>
          <cell r="I169">
            <v>24995</v>
          </cell>
          <cell r="J169">
            <v>24995</v>
          </cell>
          <cell r="K169">
            <v>319419</v>
          </cell>
          <cell r="L169">
            <v>24995</v>
          </cell>
          <cell r="M169">
            <v>24995</v>
          </cell>
          <cell r="N169">
            <v>24995</v>
          </cell>
          <cell r="O169">
            <v>448294.71</v>
          </cell>
          <cell r="P169">
            <v>42000</v>
          </cell>
          <cell r="Q169">
            <v>42000</v>
          </cell>
          <cell r="R169">
            <v>42000</v>
          </cell>
          <cell r="S169">
            <v>42000</v>
          </cell>
          <cell r="T169">
            <v>42000</v>
          </cell>
          <cell r="U169">
            <v>50000</v>
          </cell>
          <cell r="V169">
            <v>125000</v>
          </cell>
          <cell r="W169">
            <v>50000</v>
          </cell>
          <cell r="X169">
            <v>341354.05</v>
          </cell>
          <cell r="Y169">
            <v>25000</v>
          </cell>
          <cell r="Z169">
            <v>25000</v>
          </cell>
          <cell r="AA169">
            <v>-248408.73</v>
          </cell>
          <cell r="AB169">
            <v>65083</v>
          </cell>
          <cell r="AC169">
            <v>42000</v>
          </cell>
          <cell r="AD169">
            <v>30000</v>
          </cell>
          <cell r="AE169">
            <v>30000</v>
          </cell>
          <cell r="AF169">
            <v>25000</v>
          </cell>
          <cell r="AG169">
            <v>150000</v>
          </cell>
          <cell r="AH169">
            <v>25000</v>
          </cell>
          <cell r="AI169">
            <v>25000</v>
          </cell>
          <cell r="AJ169">
            <v>511209.65</v>
          </cell>
          <cell r="AK169">
            <v>75000</v>
          </cell>
          <cell r="AL169">
            <v>75000</v>
          </cell>
          <cell r="AM169">
            <v>-78290.75</v>
          </cell>
          <cell r="AN169">
            <v>67083</v>
          </cell>
          <cell r="AO169">
            <v>50000</v>
          </cell>
          <cell r="AP169">
            <v>50000</v>
          </cell>
          <cell r="AQ169">
            <v>50000</v>
          </cell>
          <cell r="AR169">
            <v>50000</v>
          </cell>
          <cell r="AS169">
            <v>0</v>
          </cell>
          <cell r="AT169">
            <v>50000</v>
          </cell>
          <cell r="AU169">
            <v>50000</v>
          </cell>
          <cell r="AV169">
            <v>580933.69999999995</v>
          </cell>
          <cell r="AW169">
            <v>100000</v>
          </cell>
          <cell r="AX169">
            <v>75000</v>
          </cell>
          <cell r="AY169">
            <v>-313432.24</v>
          </cell>
          <cell r="AZ169">
            <v>0</v>
          </cell>
          <cell r="BA169">
            <v>50000</v>
          </cell>
          <cell r="BB169">
            <v>50000</v>
          </cell>
          <cell r="BC169">
            <v>25000</v>
          </cell>
          <cell r="BD169">
            <v>0</v>
          </cell>
          <cell r="BE169">
            <v>25000</v>
          </cell>
          <cell r="BF169">
            <v>50000</v>
          </cell>
          <cell r="BG169">
            <v>25000</v>
          </cell>
          <cell r="BH169">
            <v>-323370</v>
          </cell>
          <cell r="BI169">
            <v>25000</v>
          </cell>
          <cell r="BJ169">
            <v>25000</v>
          </cell>
          <cell r="BK169">
            <v>-724410.96</v>
          </cell>
          <cell r="BL169">
            <v>69232</v>
          </cell>
          <cell r="BM169">
            <v>69232</v>
          </cell>
          <cell r="BN169">
            <v>69232</v>
          </cell>
          <cell r="BO169">
            <v>69232</v>
          </cell>
          <cell r="BP169">
            <v>25000</v>
          </cell>
          <cell r="BQ169">
            <v>25000</v>
          </cell>
          <cell r="BR169">
            <v>69232</v>
          </cell>
          <cell r="BS169">
            <v>69232</v>
          </cell>
          <cell r="BT169">
            <v>-8605.4699999999993</v>
          </cell>
          <cell r="BU169">
            <v>69232</v>
          </cell>
          <cell r="BV169">
            <v>69232</v>
          </cell>
          <cell r="BW169">
            <v>77560.800000000003</v>
          </cell>
          <cell r="BX169">
            <v>73970</v>
          </cell>
          <cell r="BY169">
            <v>73970</v>
          </cell>
          <cell r="BZ169">
            <v>73970</v>
          </cell>
          <cell r="CA169">
            <v>73970</v>
          </cell>
          <cell r="CB169">
            <v>100000</v>
          </cell>
          <cell r="CC169">
            <v>100000</v>
          </cell>
          <cell r="CD169">
            <v>73970</v>
          </cell>
          <cell r="CE169">
            <v>73970</v>
          </cell>
          <cell r="CF169">
            <v>132686.96</v>
          </cell>
          <cell r="CG169">
            <v>73970</v>
          </cell>
          <cell r="CH169">
            <v>73970</v>
          </cell>
          <cell r="CI169">
            <v>422542</v>
          </cell>
          <cell r="CJ169">
            <v>76190</v>
          </cell>
          <cell r="CK169">
            <v>76190</v>
          </cell>
          <cell r="CL169">
            <v>76190</v>
          </cell>
          <cell r="CM169">
            <v>76190</v>
          </cell>
          <cell r="CN169">
            <v>76190</v>
          </cell>
          <cell r="CO169">
            <v>76190</v>
          </cell>
          <cell r="CP169">
            <v>76190</v>
          </cell>
          <cell r="CQ169">
            <v>76190</v>
          </cell>
          <cell r="CR169">
            <v>727891.37</v>
          </cell>
          <cell r="CS169">
            <v>100000</v>
          </cell>
          <cell r="CT169">
            <v>100000</v>
          </cell>
          <cell r="CU169">
            <v>-2365773</v>
          </cell>
          <cell r="CV169">
            <v>78476</v>
          </cell>
          <cell r="CW169">
            <v>57466</v>
          </cell>
          <cell r="CX169">
            <v>57466</v>
          </cell>
          <cell r="CY169">
            <v>57466</v>
          </cell>
          <cell r="CZ169">
            <v>57466</v>
          </cell>
          <cell r="DA169">
            <v>57466</v>
          </cell>
          <cell r="DB169">
            <v>57466</v>
          </cell>
          <cell r="DC169">
            <v>-256871.44</v>
          </cell>
          <cell r="DD169">
            <v>57466</v>
          </cell>
          <cell r="DE169">
            <v>57466</v>
          </cell>
          <cell r="DF169">
            <v>57466</v>
          </cell>
          <cell r="DG169">
            <v>-443831</v>
          </cell>
        </row>
        <row r="170">
          <cell r="A170">
            <v>6020180</v>
          </cell>
          <cell r="B170">
            <v>6020180</v>
          </cell>
          <cell r="C170" t="str">
            <v>LTDisability Premium</v>
          </cell>
          <cell r="D170">
            <v>21940.69</v>
          </cell>
          <cell r="E170">
            <v>46069.45</v>
          </cell>
          <cell r="F170">
            <v>22204.41</v>
          </cell>
          <cell r="G170">
            <v>22337.8</v>
          </cell>
          <cell r="H170">
            <v>22393.89</v>
          </cell>
          <cell r="I170">
            <v>33416.22</v>
          </cell>
          <cell r="J170">
            <v>22241.55</v>
          </cell>
          <cell r="K170">
            <v>22145.65</v>
          </cell>
          <cell r="L170">
            <v>22550.79</v>
          </cell>
          <cell r="M170">
            <v>22492.53</v>
          </cell>
          <cell r="N170">
            <v>33647.68</v>
          </cell>
          <cell r="O170">
            <v>22665.200000000001</v>
          </cell>
          <cell r="P170">
            <v>22015.22</v>
          </cell>
          <cell r="Q170">
            <v>11809.09</v>
          </cell>
          <cell r="R170">
            <v>22903.95</v>
          </cell>
          <cell r="S170">
            <v>12028.89</v>
          </cell>
          <cell r="T170">
            <v>17757.5</v>
          </cell>
          <cell r="U170">
            <v>12033.92</v>
          </cell>
          <cell r="V170">
            <v>12064.71</v>
          </cell>
          <cell r="W170">
            <v>11957.83</v>
          </cell>
          <cell r="X170">
            <v>12000.98</v>
          </cell>
          <cell r="Y170">
            <v>0</v>
          </cell>
          <cell r="Z170">
            <v>30681.16</v>
          </cell>
          <cell r="AA170">
            <v>12643.87</v>
          </cell>
          <cell r="AB170">
            <v>12963.15</v>
          </cell>
          <cell r="AC170">
            <v>12988.35</v>
          </cell>
          <cell r="AD170">
            <v>20992.01</v>
          </cell>
          <cell r="AE170">
            <v>19223.88</v>
          </cell>
          <cell r="AF170">
            <v>12913.14</v>
          </cell>
          <cell r="AG170">
            <v>12941.03</v>
          </cell>
          <cell r="AH170">
            <v>13046.07</v>
          </cell>
          <cell r="AI170">
            <v>13198.71</v>
          </cell>
          <cell r="AJ170">
            <v>13363.21</v>
          </cell>
          <cell r="AK170">
            <v>19842.22</v>
          </cell>
          <cell r="AL170">
            <v>13763.47</v>
          </cell>
          <cell r="AM170">
            <v>13635.03</v>
          </cell>
          <cell r="AN170">
            <v>16441.72</v>
          </cell>
          <cell r="AO170">
            <v>0</v>
          </cell>
          <cell r="AP170">
            <v>40802.730000000003</v>
          </cell>
          <cell r="AQ170">
            <v>22850.85</v>
          </cell>
          <cell r="AR170">
            <v>15651.77</v>
          </cell>
          <cell r="AS170">
            <v>15144.23</v>
          </cell>
          <cell r="AT170">
            <v>15211.46</v>
          </cell>
          <cell r="AU170">
            <v>15564.5</v>
          </cell>
          <cell r="AV170">
            <v>23286.75</v>
          </cell>
          <cell r="AW170">
            <v>0</v>
          </cell>
          <cell r="AX170">
            <v>32240.28</v>
          </cell>
          <cell r="AY170">
            <v>16236.55</v>
          </cell>
          <cell r="AZ170">
            <v>16105.64</v>
          </cell>
          <cell r="BA170">
            <v>16379.71</v>
          </cell>
          <cell r="BB170">
            <v>29286.12</v>
          </cell>
          <cell r="BC170">
            <v>23891.99</v>
          </cell>
          <cell r="BD170">
            <v>16447.77</v>
          </cell>
          <cell r="BE170">
            <v>16326.89</v>
          </cell>
          <cell r="BF170">
            <v>16445.509999999998</v>
          </cell>
          <cell r="BG170">
            <v>16428.93</v>
          </cell>
          <cell r="BH170">
            <v>24805.11</v>
          </cell>
          <cell r="BI170">
            <v>16894.52</v>
          </cell>
          <cell r="BJ170">
            <v>18915.21</v>
          </cell>
          <cell r="BK170">
            <v>18297.72</v>
          </cell>
          <cell r="BL170">
            <v>17679.599999999999</v>
          </cell>
          <cell r="BM170">
            <v>24438.05</v>
          </cell>
          <cell r="BN170">
            <v>29963.15</v>
          </cell>
          <cell r="BO170">
            <v>16382.82</v>
          </cell>
          <cell r="BP170">
            <v>16318</v>
          </cell>
          <cell r="BQ170">
            <v>16317.71</v>
          </cell>
          <cell r="BR170">
            <v>16465.78</v>
          </cell>
          <cell r="BS170">
            <v>16859.810000000001</v>
          </cell>
          <cell r="BT170">
            <v>24989.63</v>
          </cell>
          <cell r="BU170">
            <v>0</v>
          </cell>
          <cell r="BV170">
            <v>35259.040000000001</v>
          </cell>
          <cell r="BW170">
            <v>17297.54</v>
          </cell>
          <cell r="BX170">
            <v>17611.34</v>
          </cell>
          <cell r="BY170">
            <v>25868.54</v>
          </cell>
          <cell r="BZ170">
            <v>34930.67</v>
          </cell>
          <cell r="CA170">
            <v>18050.66</v>
          </cell>
          <cell r="CB170">
            <v>17645.72</v>
          </cell>
          <cell r="CC170">
            <v>17665.650000000001</v>
          </cell>
          <cell r="CD170">
            <v>17791.91</v>
          </cell>
          <cell r="CE170">
            <v>26353.1</v>
          </cell>
          <cell r="CF170">
            <v>18090.63</v>
          </cell>
          <cell r="CG170">
            <v>18106.71</v>
          </cell>
          <cell r="CH170">
            <v>18173.82</v>
          </cell>
          <cell r="CI170">
            <v>18652.099999999999</v>
          </cell>
          <cell r="CJ170">
            <v>27492.28</v>
          </cell>
          <cell r="CK170">
            <v>19095.28</v>
          </cell>
          <cell r="CL170">
            <v>18845.21</v>
          </cell>
          <cell r="CM170">
            <v>34768.44</v>
          </cell>
          <cell r="CN170">
            <v>0</v>
          </cell>
          <cell r="CO170">
            <v>37873.629999999997</v>
          </cell>
          <cell r="CP170">
            <v>18743.240000000002</v>
          </cell>
          <cell r="CQ170">
            <v>28120.97</v>
          </cell>
          <cell r="CR170">
            <v>18862.7</v>
          </cell>
          <cell r="CS170">
            <v>0</v>
          </cell>
          <cell r="CT170">
            <v>38982.99</v>
          </cell>
          <cell r="CU170">
            <v>19481.080000000002</v>
          </cell>
          <cell r="CV170">
            <v>29176.46</v>
          </cell>
          <cell r="CW170">
            <v>0</v>
          </cell>
          <cell r="CX170">
            <v>338.27</v>
          </cell>
          <cell r="CY170">
            <v>71702.61</v>
          </cell>
          <cell r="CZ170">
            <v>18550.759999999998</v>
          </cell>
          <cell r="DA170">
            <v>9667.31</v>
          </cell>
          <cell r="DB170">
            <v>11631.36</v>
          </cell>
          <cell r="DC170">
            <v>46016.41</v>
          </cell>
          <cell r="DD170">
            <v>87637.77</v>
          </cell>
          <cell r="DE170">
            <v>0</v>
          </cell>
          <cell r="DF170">
            <v>30623.54</v>
          </cell>
          <cell r="DG170">
            <v>10446.120000000001</v>
          </cell>
        </row>
        <row r="171">
          <cell r="A171">
            <v>6020220</v>
          </cell>
          <cell r="B171">
            <v>6020220</v>
          </cell>
          <cell r="C171" t="str">
            <v>Vacations (accrual)</v>
          </cell>
          <cell r="D171">
            <v>5000</v>
          </cell>
          <cell r="E171">
            <v>5000</v>
          </cell>
          <cell r="F171">
            <v>5000</v>
          </cell>
          <cell r="G171">
            <v>5000</v>
          </cell>
          <cell r="H171">
            <v>5000</v>
          </cell>
          <cell r="I171">
            <v>5000</v>
          </cell>
          <cell r="J171">
            <v>5000</v>
          </cell>
          <cell r="K171">
            <v>5000</v>
          </cell>
          <cell r="L171">
            <v>5000</v>
          </cell>
          <cell r="M171">
            <v>5000</v>
          </cell>
          <cell r="N171">
            <v>5000</v>
          </cell>
          <cell r="O171">
            <v>5000</v>
          </cell>
          <cell r="P171">
            <v>5000</v>
          </cell>
          <cell r="Q171">
            <v>5000</v>
          </cell>
          <cell r="R171">
            <v>5000</v>
          </cell>
          <cell r="S171">
            <v>5000</v>
          </cell>
          <cell r="T171">
            <v>5000</v>
          </cell>
          <cell r="U171">
            <v>5000</v>
          </cell>
          <cell r="V171">
            <v>5000</v>
          </cell>
          <cell r="W171">
            <v>5000</v>
          </cell>
          <cell r="X171">
            <v>5000</v>
          </cell>
          <cell r="Y171">
            <v>5000</v>
          </cell>
          <cell r="Z171">
            <v>5000</v>
          </cell>
          <cell r="AA171">
            <v>5000</v>
          </cell>
          <cell r="AB171">
            <v>5000</v>
          </cell>
          <cell r="AC171">
            <v>5000</v>
          </cell>
          <cell r="AD171">
            <v>5000</v>
          </cell>
          <cell r="AE171">
            <v>5000</v>
          </cell>
          <cell r="AF171">
            <v>5000</v>
          </cell>
          <cell r="AG171">
            <v>5000</v>
          </cell>
          <cell r="AH171">
            <v>20000</v>
          </cell>
          <cell r="AI171">
            <v>20000</v>
          </cell>
          <cell r="AJ171">
            <v>20000</v>
          </cell>
          <cell r="AK171">
            <v>20000</v>
          </cell>
          <cell r="AL171">
            <v>20000</v>
          </cell>
          <cell r="AM171">
            <v>370000</v>
          </cell>
          <cell r="AN171">
            <v>15000</v>
          </cell>
          <cell r="AO171">
            <v>15000</v>
          </cell>
          <cell r="AP171">
            <v>15000</v>
          </cell>
          <cell r="AQ171">
            <v>15000</v>
          </cell>
          <cell r="AR171">
            <v>15000</v>
          </cell>
          <cell r="AS171">
            <v>15000</v>
          </cell>
          <cell r="AT171">
            <v>15000</v>
          </cell>
          <cell r="AU171">
            <v>15000</v>
          </cell>
          <cell r="AV171">
            <v>15000</v>
          </cell>
          <cell r="AW171">
            <v>15000</v>
          </cell>
          <cell r="AX171">
            <v>15000</v>
          </cell>
          <cell r="AY171">
            <v>15000</v>
          </cell>
          <cell r="AZ171">
            <v>15000</v>
          </cell>
          <cell r="BA171">
            <v>15000</v>
          </cell>
          <cell r="BB171">
            <v>15000</v>
          </cell>
          <cell r="BC171">
            <v>15000</v>
          </cell>
          <cell r="BD171">
            <v>15000</v>
          </cell>
          <cell r="BE171">
            <v>15000</v>
          </cell>
          <cell r="BF171">
            <v>15000</v>
          </cell>
          <cell r="BG171">
            <v>15000</v>
          </cell>
          <cell r="BH171">
            <v>15000</v>
          </cell>
          <cell r="BI171">
            <v>15000</v>
          </cell>
          <cell r="BJ171">
            <v>15000</v>
          </cell>
          <cell r="BK171">
            <v>94051.03</v>
          </cell>
          <cell r="BL171">
            <v>15006</v>
          </cell>
          <cell r="BM171">
            <v>15006</v>
          </cell>
          <cell r="BN171">
            <v>15006</v>
          </cell>
          <cell r="BO171">
            <v>15006</v>
          </cell>
          <cell r="BP171">
            <v>15006</v>
          </cell>
          <cell r="BQ171">
            <v>15006</v>
          </cell>
          <cell r="BR171">
            <v>15006</v>
          </cell>
          <cell r="BS171">
            <v>15006</v>
          </cell>
          <cell r="BT171">
            <v>15006</v>
          </cell>
          <cell r="BU171">
            <v>15006</v>
          </cell>
          <cell r="BV171">
            <v>15006</v>
          </cell>
          <cell r="BW171">
            <v>106646.35</v>
          </cell>
          <cell r="BX171">
            <v>15005.5</v>
          </cell>
          <cell r="BY171">
            <v>15005.5</v>
          </cell>
          <cell r="BZ171">
            <v>15005.5</v>
          </cell>
          <cell r="CA171">
            <v>15005.5</v>
          </cell>
          <cell r="CB171">
            <v>15005.5</v>
          </cell>
          <cell r="CC171">
            <v>181672.17</v>
          </cell>
          <cell r="CD171">
            <v>15005.5</v>
          </cell>
          <cell r="CE171">
            <v>15005.5</v>
          </cell>
          <cell r="CF171">
            <v>181672.17</v>
          </cell>
          <cell r="CG171">
            <v>15005.5</v>
          </cell>
          <cell r="CH171">
            <v>15005.5</v>
          </cell>
          <cell r="CI171">
            <v>302260.5</v>
          </cell>
          <cell r="CJ171">
            <v>15500</v>
          </cell>
          <cell r="CK171">
            <v>15500</v>
          </cell>
          <cell r="CL171">
            <v>-368153</v>
          </cell>
          <cell r="CM171">
            <v>15500</v>
          </cell>
          <cell r="CN171">
            <v>15500</v>
          </cell>
          <cell r="CO171">
            <v>15500</v>
          </cell>
          <cell r="CP171">
            <v>15500</v>
          </cell>
          <cell r="CQ171">
            <v>15500</v>
          </cell>
          <cell r="CR171">
            <v>15500</v>
          </cell>
          <cell r="CS171">
            <v>15500</v>
          </cell>
          <cell r="CT171">
            <v>15500</v>
          </cell>
          <cell r="CU171">
            <v>60956.51</v>
          </cell>
          <cell r="CV171">
            <v>15965</v>
          </cell>
          <cell r="CW171">
            <v>15965</v>
          </cell>
          <cell r="CX171">
            <v>15965</v>
          </cell>
          <cell r="CY171">
            <v>15965</v>
          </cell>
          <cell r="CZ171">
            <v>15965</v>
          </cell>
          <cell r="DA171">
            <v>15965</v>
          </cell>
          <cell r="DB171">
            <v>15965</v>
          </cell>
          <cell r="DC171">
            <v>15965</v>
          </cell>
          <cell r="DD171">
            <v>15965</v>
          </cell>
          <cell r="DE171">
            <v>15965</v>
          </cell>
          <cell r="DF171">
            <v>15965</v>
          </cell>
          <cell r="DG171">
            <v>420124.74</v>
          </cell>
        </row>
        <row r="172">
          <cell r="A172">
            <v>6020230</v>
          </cell>
          <cell r="B172">
            <v>6020230</v>
          </cell>
          <cell r="C172" t="str">
            <v>Restoration Plan Exp</v>
          </cell>
          <cell r="D172"/>
          <cell r="E172"/>
          <cell r="F172"/>
          <cell r="G172"/>
          <cell r="H172"/>
          <cell r="I172"/>
          <cell r="J172"/>
          <cell r="K172"/>
          <cell r="L172"/>
          <cell r="M172"/>
          <cell r="N172"/>
          <cell r="O172"/>
          <cell r="P172"/>
          <cell r="Q172"/>
          <cell r="R172"/>
          <cell r="S172"/>
          <cell r="T172"/>
          <cell r="U172"/>
          <cell r="V172"/>
          <cell r="W172"/>
          <cell r="X172"/>
          <cell r="Y172"/>
          <cell r="Z172"/>
          <cell r="AA172"/>
          <cell r="AB172"/>
          <cell r="AC172"/>
          <cell r="AD172"/>
          <cell r="AE172">
            <v>0</v>
          </cell>
          <cell r="AF172">
            <v>828.75</v>
          </cell>
          <cell r="AG172">
            <v>165.75</v>
          </cell>
          <cell r="AH172">
            <v>165.75</v>
          </cell>
          <cell r="AI172">
            <v>165.75</v>
          </cell>
          <cell r="AJ172">
            <v>172</v>
          </cell>
          <cell r="AK172">
            <v>168</v>
          </cell>
          <cell r="AL172">
            <v>168</v>
          </cell>
          <cell r="AM172">
            <v>168</v>
          </cell>
          <cell r="AN172">
            <v>174</v>
          </cell>
          <cell r="AO172">
            <v>174</v>
          </cell>
          <cell r="AP172">
            <v>174</v>
          </cell>
          <cell r="AQ172">
            <v>174</v>
          </cell>
          <cell r="AR172">
            <v>174</v>
          </cell>
          <cell r="AS172">
            <v>18926</v>
          </cell>
          <cell r="AT172">
            <v>3299</v>
          </cell>
          <cell r="AU172">
            <v>3299</v>
          </cell>
          <cell r="AV172">
            <v>3299</v>
          </cell>
          <cell r="AW172">
            <v>3299</v>
          </cell>
          <cell r="AX172">
            <v>3299</v>
          </cell>
          <cell r="AY172">
            <v>3299</v>
          </cell>
          <cell r="AZ172">
            <v>3582</v>
          </cell>
          <cell r="BA172">
            <v>3682</v>
          </cell>
          <cell r="BB172">
            <v>3632</v>
          </cell>
          <cell r="BC172">
            <v>3632</v>
          </cell>
          <cell r="BD172">
            <v>17706.75</v>
          </cell>
          <cell r="BE172">
            <v>10631</v>
          </cell>
          <cell r="BF172">
            <v>10631</v>
          </cell>
          <cell r="BG172">
            <v>10340</v>
          </cell>
          <cell r="BH172">
            <v>10340</v>
          </cell>
          <cell r="BI172">
            <v>10340</v>
          </cell>
          <cell r="BJ172">
            <v>10340</v>
          </cell>
          <cell r="BK172">
            <v>10340</v>
          </cell>
          <cell r="BL172">
            <v>9313</v>
          </cell>
          <cell r="BM172">
            <v>9313</v>
          </cell>
          <cell r="BN172">
            <v>9313</v>
          </cell>
          <cell r="BO172">
            <v>9313</v>
          </cell>
          <cell r="BP172">
            <v>9313</v>
          </cell>
          <cell r="BQ172">
            <v>6204</v>
          </cell>
          <cell r="BR172">
            <v>8794</v>
          </cell>
          <cell r="BS172">
            <v>8794</v>
          </cell>
          <cell r="BT172">
            <v>8794</v>
          </cell>
          <cell r="BU172">
            <v>8794</v>
          </cell>
          <cell r="BV172">
            <v>8794</v>
          </cell>
          <cell r="BW172">
            <v>8794</v>
          </cell>
          <cell r="BX172">
            <v>11441</v>
          </cell>
          <cell r="BY172">
            <v>11441</v>
          </cell>
          <cell r="BZ172">
            <v>11441</v>
          </cell>
          <cell r="CA172">
            <v>11441</v>
          </cell>
          <cell r="CB172">
            <v>11441</v>
          </cell>
          <cell r="CC172">
            <v>53285</v>
          </cell>
          <cell r="CD172">
            <v>18415</v>
          </cell>
          <cell r="CE172">
            <v>18415</v>
          </cell>
          <cell r="CF172">
            <v>18415</v>
          </cell>
          <cell r="CG172">
            <v>18415</v>
          </cell>
          <cell r="CH172">
            <v>18415</v>
          </cell>
          <cell r="CI172">
            <v>18415</v>
          </cell>
          <cell r="CJ172">
            <v>19907</v>
          </cell>
          <cell r="CK172">
            <v>19907</v>
          </cell>
          <cell r="CL172">
            <v>19907</v>
          </cell>
          <cell r="CM172">
            <v>19907</v>
          </cell>
          <cell r="CN172">
            <v>19907</v>
          </cell>
          <cell r="CO172">
            <v>19907</v>
          </cell>
          <cell r="CP172">
            <v>43256</v>
          </cell>
          <cell r="CQ172">
            <v>23242</v>
          </cell>
          <cell r="CR172">
            <v>23242</v>
          </cell>
          <cell r="CS172">
            <v>23242</v>
          </cell>
          <cell r="CT172">
            <v>23242</v>
          </cell>
          <cell r="CU172">
            <v>23242</v>
          </cell>
          <cell r="CV172">
            <v>9926</v>
          </cell>
          <cell r="CW172">
            <v>9926</v>
          </cell>
          <cell r="CX172">
            <v>9926</v>
          </cell>
          <cell r="CY172">
            <v>9926</v>
          </cell>
          <cell r="CZ172">
            <v>9926</v>
          </cell>
          <cell r="DA172">
            <v>1172797</v>
          </cell>
          <cell r="DB172">
            <v>13174</v>
          </cell>
          <cell r="DC172">
            <v>13174</v>
          </cell>
          <cell r="DD172">
            <v>13174</v>
          </cell>
          <cell r="DE172">
            <v>13174</v>
          </cell>
          <cell r="DF172">
            <v>13174</v>
          </cell>
          <cell r="DG172">
            <v>13174</v>
          </cell>
        </row>
        <row r="173">
          <cell r="A173">
            <v>6020240</v>
          </cell>
          <cell r="B173">
            <v>6020240</v>
          </cell>
          <cell r="C173" t="str">
            <v>Employer Match on Common Stock Purchase Program</v>
          </cell>
          <cell r="D173"/>
          <cell r="E173"/>
          <cell r="F173"/>
          <cell r="G173"/>
          <cell r="H173"/>
          <cell r="I173"/>
          <cell r="J173"/>
          <cell r="K173"/>
          <cell r="L173"/>
          <cell r="M173"/>
          <cell r="N173"/>
          <cell r="O173"/>
          <cell r="P173"/>
          <cell r="Q173"/>
          <cell r="R173"/>
          <cell r="S173"/>
          <cell r="T173"/>
          <cell r="U173"/>
          <cell r="V173"/>
          <cell r="W173"/>
          <cell r="X173"/>
          <cell r="Y173"/>
          <cell r="Z173"/>
          <cell r="AA173"/>
          <cell r="AB173"/>
          <cell r="AC173"/>
          <cell r="AD173"/>
          <cell r="AE173">
            <v>0</v>
          </cell>
          <cell r="AF173">
            <v>0</v>
          </cell>
          <cell r="AG173">
            <v>0</v>
          </cell>
          <cell r="AH173">
            <v>0</v>
          </cell>
          <cell r="AI173">
            <v>0</v>
          </cell>
          <cell r="AJ173">
            <v>0</v>
          </cell>
          <cell r="AK173"/>
          <cell r="AL173"/>
          <cell r="AM173"/>
          <cell r="AN173"/>
          <cell r="AO173"/>
          <cell r="AP173"/>
          <cell r="AQ173"/>
          <cell r="AR173"/>
          <cell r="AS173"/>
          <cell r="AT173">
            <v>0</v>
          </cell>
          <cell r="AU173">
            <v>-478.65</v>
          </cell>
          <cell r="AV173">
            <v>0</v>
          </cell>
          <cell r="AW173">
            <v>0</v>
          </cell>
          <cell r="AX173">
            <v>0</v>
          </cell>
          <cell r="AY173">
            <v>7234.79</v>
          </cell>
          <cell r="AZ173">
            <v>6939.51</v>
          </cell>
          <cell r="BA173">
            <v>0</v>
          </cell>
          <cell r="BB173">
            <v>0</v>
          </cell>
          <cell r="BC173">
            <v>0</v>
          </cell>
          <cell r="BD173">
            <v>5349.73</v>
          </cell>
          <cell r="BE173">
            <v>0</v>
          </cell>
          <cell r="BF173">
            <v>0</v>
          </cell>
          <cell r="BG173">
            <v>3818.32</v>
          </cell>
          <cell r="BH173">
            <v>0</v>
          </cell>
          <cell r="BI173">
            <v>0</v>
          </cell>
          <cell r="BJ173">
            <v>4232.25</v>
          </cell>
          <cell r="BK173">
            <v>0</v>
          </cell>
          <cell r="BL173">
            <v>0</v>
          </cell>
          <cell r="BM173">
            <v>5598.65</v>
          </cell>
          <cell r="BN173">
            <v>0</v>
          </cell>
          <cell r="BO173">
            <v>0</v>
          </cell>
          <cell r="BP173">
            <v>0</v>
          </cell>
          <cell r="BQ173">
            <v>5672.3</v>
          </cell>
          <cell r="BR173">
            <v>0</v>
          </cell>
          <cell r="BS173">
            <v>5835.78</v>
          </cell>
          <cell r="BT173">
            <v>0</v>
          </cell>
          <cell r="BU173">
            <v>0</v>
          </cell>
          <cell r="BV173">
            <v>3980.47</v>
          </cell>
          <cell r="BW173">
            <v>0</v>
          </cell>
          <cell r="BX173">
            <v>0</v>
          </cell>
          <cell r="BY173">
            <v>0</v>
          </cell>
          <cell r="BZ173">
            <v>0</v>
          </cell>
          <cell r="CA173">
            <v>6104.02</v>
          </cell>
          <cell r="CB173">
            <v>12216.07</v>
          </cell>
          <cell r="CC173">
            <v>0</v>
          </cell>
          <cell r="CD173">
            <v>0</v>
          </cell>
          <cell r="CE173">
            <v>0</v>
          </cell>
          <cell r="CF173">
            <v>22651.19</v>
          </cell>
          <cell r="CG173">
            <v>0</v>
          </cell>
          <cell r="CH173">
            <v>14086.82</v>
          </cell>
          <cell r="CI173">
            <v>0</v>
          </cell>
          <cell r="CJ173">
            <v>6097.51</v>
          </cell>
          <cell r="CK173">
            <v>0</v>
          </cell>
          <cell r="CL173">
            <v>12976.41</v>
          </cell>
          <cell r="CM173">
            <v>0</v>
          </cell>
          <cell r="CN173">
            <v>21146.25</v>
          </cell>
          <cell r="CO173">
            <v>0</v>
          </cell>
          <cell r="CP173">
            <v>0</v>
          </cell>
          <cell r="CQ173">
            <v>5952.96</v>
          </cell>
          <cell r="CR173">
            <v>13591.66</v>
          </cell>
          <cell r="CS173">
            <v>0</v>
          </cell>
          <cell r="CT173">
            <v>20602.16</v>
          </cell>
          <cell r="CU173">
            <v>6403.54</v>
          </cell>
          <cell r="CV173">
            <v>0</v>
          </cell>
          <cell r="CW173">
            <v>0</v>
          </cell>
          <cell r="CX173">
            <v>8014.93</v>
          </cell>
          <cell r="CY173">
            <v>0</v>
          </cell>
          <cell r="CZ173">
            <v>0</v>
          </cell>
          <cell r="DA173">
            <v>16461.02</v>
          </cell>
          <cell r="DB173">
            <v>0</v>
          </cell>
          <cell r="DC173">
            <v>23486.799999999999</v>
          </cell>
          <cell r="DD173">
            <v>0</v>
          </cell>
          <cell r="DE173">
            <v>0</v>
          </cell>
          <cell r="DF173">
            <v>0</v>
          </cell>
          <cell r="DG173">
            <v>13216.08</v>
          </cell>
        </row>
        <row r="174">
          <cell r="A174">
            <v>6020800</v>
          </cell>
          <cell r="B174">
            <v>6020800</v>
          </cell>
          <cell r="C174" t="str">
            <v>Benefits-Other</v>
          </cell>
          <cell r="D174"/>
          <cell r="E174"/>
          <cell r="F174"/>
          <cell r="G174"/>
          <cell r="H174"/>
          <cell r="I174"/>
          <cell r="J174"/>
          <cell r="K174"/>
          <cell r="L174"/>
          <cell r="M174"/>
          <cell r="N174"/>
          <cell r="O174"/>
          <cell r="P174"/>
          <cell r="Q174"/>
          <cell r="R174"/>
          <cell r="S174"/>
          <cell r="T174"/>
          <cell r="U174">
            <v>0</v>
          </cell>
          <cell r="V174">
            <v>0</v>
          </cell>
          <cell r="W174">
            <v>0</v>
          </cell>
          <cell r="X174">
            <v>3000</v>
          </cell>
          <cell r="Y174">
            <v>0</v>
          </cell>
          <cell r="Z174">
            <v>0</v>
          </cell>
          <cell r="AA174">
            <v>0</v>
          </cell>
          <cell r="AB174">
            <v>1750.56</v>
          </cell>
          <cell r="AC174">
            <v>9708.8799999999992</v>
          </cell>
          <cell r="AD174">
            <v>1667.2</v>
          </cell>
          <cell r="AE174">
            <v>1708.88</v>
          </cell>
          <cell r="AF174">
            <v>1708.88</v>
          </cell>
          <cell r="AG174">
            <v>1708.88</v>
          </cell>
          <cell r="AH174">
            <v>1708.88</v>
          </cell>
          <cell r="AI174">
            <v>1854.76</v>
          </cell>
          <cell r="AJ174">
            <v>1854.76</v>
          </cell>
          <cell r="AK174">
            <v>1875.6</v>
          </cell>
          <cell r="AL174">
            <v>1688.04</v>
          </cell>
          <cell r="AM174">
            <v>1708.88</v>
          </cell>
          <cell r="AN174">
            <v>1500.48</v>
          </cell>
          <cell r="AO174">
            <v>1479.64</v>
          </cell>
          <cell r="AP174">
            <v>1458.8</v>
          </cell>
          <cell r="AQ174">
            <v>1417.12</v>
          </cell>
          <cell r="AR174">
            <v>1458.8</v>
          </cell>
          <cell r="AS174">
            <v>1375.44</v>
          </cell>
          <cell r="AT174">
            <v>1417.12</v>
          </cell>
          <cell r="AU174">
            <v>1999.97</v>
          </cell>
          <cell r="AV174">
            <v>1521.32</v>
          </cell>
          <cell r="AW174">
            <v>1500.48</v>
          </cell>
          <cell r="AX174">
            <v>1521.32</v>
          </cell>
          <cell r="AY174">
            <v>1458.8</v>
          </cell>
          <cell r="AZ174">
            <v>1417.12</v>
          </cell>
          <cell r="BA174">
            <v>1396.28</v>
          </cell>
          <cell r="BB174">
            <v>1563</v>
          </cell>
          <cell r="BC174">
            <v>1625.52</v>
          </cell>
          <cell r="BD174">
            <v>1708.88</v>
          </cell>
          <cell r="BE174">
            <v>1667.2</v>
          </cell>
          <cell r="BF174">
            <v>1583.84</v>
          </cell>
          <cell r="BG174">
            <v>1604.68</v>
          </cell>
          <cell r="BH174">
            <v>1583.84</v>
          </cell>
          <cell r="BI174">
            <v>3680.38</v>
          </cell>
          <cell r="BJ174">
            <v>4211.2299999999996</v>
          </cell>
          <cell r="BK174">
            <v>7579.18</v>
          </cell>
          <cell r="BL174">
            <v>4347.96</v>
          </cell>
          <cell r="BM174">
            <v>4428.26</v>
          </cell>
          <cell r="BN174">
            <v>4060.49</v>
          </cell>
          <cell r="BO174">
            <v>1542.16</v>
          </cell>
          <cell r="BP174">
            <v>7856.51</v>
          </cell>
          <cell r="BQ174">
            <v>4388.12</v>
          </cell>
          <cell r="BR174">
            <v>5212.53</v>
          </cell>
          <cell r="BS174">
            <v>5831.39</v>
          </cell>
          <cell r="BT174">
            <v>6044.71</v>
          </cell>
          <cell r="BU174">
            <v>5595.04</v>
          </cell>
          <cell r="BV174">
            <v>7386.59</v>
          </cell>
          <cell r="BW174">
            <v>55745.53</v>
          </cell>
          <cell r="BX174">
            <v>5165.8599999999997</v>
          </cell>
          <cell r="BY174">
            <v>12503.72</v>
          </cell>
          <cell r="BZ174">
            <v>12890.27</v>
          </cell>
          <cell r="CA174">
            <v>7826.96</v>
          </cell>
          <cell r="CB174">
            <v>17327.93</v>
          </cell>
          <cell r="CC174">
            <v>16819.23</v>
          </cell>
          <cell r="CD174">
            <v>9724.7099999999991</v>
          </cell>
          <cell r="CE174">
            <v>8691.69</v>
          </cell>
          <cell r="CF174">
            <v>33835.14</v>
          </cell>
          <cell r="CG174">
            <v>9146.35</v>
          </cell>
          <cell r="CH174">
            <v>9888.44</v>
          </cell>
          <cell r="CI174">
            <v>55866.73</v>
          </cell>
          <cell r="CJ174">
            <v>6306.76</v>
          </cell>
          <cell r="CK174">
            <v>7793.39</v>
          </cell>
          <cell r="CL174">
            <v>-54359.8</v>
          </cell>
          <cell r="CM174">
            <v>50656.24</v>
          </cell>
          <cell r="CN174">
            <v>34299.11</v>
          </cell>
          <cell r="CO174">
            <v>35964.239999999998</v>
          </cell>
          <cell r="CP174">
            <v>10674.59</v>
          </cell>
          <cell r="CQ174">
            <v>-20602.89</v>
          </cell>
          <cell r="CR174">
            <v>45962.23</v>
          </cell>
          <cell r="CS174">
            <v>5735.77</v>
          </cell>
          <cell r="CT174">
            <v>6604.49</v>
          </cell>
          <cell r="CU174">
            <v>88602.49</v>
          </cell>
          <cell r="CV174">
            <v>14543.62</v>
          </cell>
          <cell r="CW174">
            <v>17496.62</v>
          </cell>
          <cell r="CX174">
            <v>30565.01</v>
          </cell>
          <cell r="CY174">
            <v>8677.73</v>
          </cell>
          <cell r="CZ174">
            <v>16879.84</v>
          </cell>
          <cell r="DA174">
            <v>88039.77</v>
          </cell>
          <cell r="DB174">
            <v>4984.62</v>
          </cell>
          <cell r="DC174">
            <v>11053.67</v>
          </cell>
          <cell r="DD174">
            <v>66500.759999999995</v>
          </cell>
          <cell r="DE174">
            <v>14168.08</v>
          </cell>
          <cell r="DF174">
            <v>5379.6</v>
          </cell>
          <cell r="DG174">
            <v>64374.33</v>
          </cell>
        </row>
        <row r="175">
          <cell r="A175">
            <v>6020900</v>
          </cell>
          <cell r="B175">
            <v>6020900</v>
          </cell>
          <cell r="C175" t="str">
            <v>Employee Incentive</v>
          </cell>
          <cell r="D175">
            <v>170946</v>
          </cell>
          <cell r="E175">
            <v>133574.88</v>
          </cell>
          <cell r="F175">
            <v>170946</v>
          </cell>
          <cell r="G175">
            <v>170946</v>
          </cell>
          <cell r="H175">
            <v>170946</v>
          </cell>
          <cell r="I175">
            <v>170946</v>
          </cell>
          <cell r="J175">
            <v>170946</v>
          </cell>
          <cell r="K175">
            <v>170946</v>
          </cell>
          <cell r="L175">
            <v>941946</v>
          </cell>
          <cell r="M175">
            <v>170946</v>
          </cell>
          <cell r="N175">
            <v>170946</v>
          </cell>
          <cell r="O175">
            <v>424642.44</v>
          </cell>
          <cell r="P175">
            <v>172327.15</v>
          </cell>
          <cell r="Q175">
            <v>-58279.71</v>
          </cell>
          <cell r="R175">
            <v>925327.15</v>
          </cell>
          <cell r="S175">
            <v>357327.15</v>
          </cell>
          <cell r="T175">
            <v>46327.15</v>
          </cell>
          <cell r="U175">
            <v>305327.15000000002</v>
          </cell>
          <cell r="V175">
            <v>63327.15</v>
          </cell>
          <cell r="W175">
            <v>193327.15</v>
          </cell>
          <cell r="X175">
            <v>-39013.699999999997</v>
          </cell>
          <cell r="Y175">
            <v>139327.15</v>
          </cell>
          <cell r="Z175">
            <v>548327.15</v>
          </cell>
          <cell r="AA175">
            <v>-784641.8</v>
          </cell>
          <cell r="AB175">
            <v>169166.67</v>
          </cell>
          <cell r="AC175">
            <v>169290.52</v>
          </cell>
          <cell r="AD175">
            <v>169166.67</v>
          </cell>
          <cell r="AE175">
            <v>169166.67</v>
          </cell>
          <cell r="AF175">
            <v>169166.67</v>
          </cell>
          <cell r="AG175">
            <v>169166.67</v>
          </cell>
          <cell r="AH175">
            <v>429166.67</v>
          </cell>
          <cell r="AI175">
            <v>993166.67</v>
          </cell>
          <cell r="AJ175">
            <v>208166.67</v>
          </cell>
          <cell r="AK175">
            <v>149166.67000000001</v>
          </cell>
          <cell r="AL175">
            <v>-452833.33</v>
          </cell>
          <cell r="AM175">
            <v>176166.67</v>
          </cell>
          <cell r="AN175">
            <v>185416.67</v>
          </cell>
          <cell r="AO175">
            <v>319479.8</v>
          </cell>
          <cell r="AP175">
            <v>289142.12</v>
          </cell>
          <cell r="AQ175">
            <v>185416.67</v>
          </cell>
          <cell r="AR175">
            <v>185416.67</v>
          </cell>
          <cell r="AS175">
            <v>260416.67</v>
          </cell>
          <cell r="AT175">
            <v>197916.67</v>
          </cell>
          <cell r="AU175">
            <v>197916.67</v>
          </cell>
          <cell r="AV175">
            <v>197916.67</v>
          </cell>
          <cell r="AW175">
            <v>-59181</v>
          </cell>
          <cell r="AX175">
            <v>172207</v>
          </cell>
          <cell r="AY175">
            <v>396747</v>
          </cell>
          <cell r="AZ175">
            <v>234827.37</v>
          </cell>
          <cell r="BA175">
            <v>936235.29</v>
          </cell>
          <cell r="BB175">
            <v>243064.67</v>
          </cell>
          <cell r="BC175">
            <v>234827.37</v>
          </cell>
          <cell r="BD175">
            <v>234827.37</v>
          </cell>
          <cell r="BE175">
            <v>240525.45</v>
          </cell>
          <cell r="BF175">
            <v>357355.16</v>
          </cell>
          <cell r="BG175">
            <v>652331.34</v>
          </cell>
          <cell r="BH175">
            <v>357418.04</v>
          </cell>
          <cell r="BI175">
            <v>308452.09999999998</v>
          </cell>
          <cell r="BJ175">
            <v>308452.09999999998</v>
          </cell>
          <cell r="BK175">
            <v>386499.04</v>
          </cell>
          <cell r="BL175">
            <v>324001.25</v>
          </cell>
          <cell r="BM175">
            <v>421100.34</v>
          </cell>
          <cell r="BN175">
            <v>337580.97</v>
          </cell>
          <cell r="BO175">
            <v>324001.25</v>
          </cell>
          <cell r="BP175">
            <v>324001.25</v>
          </cell>
          <cell r="BQ175">
            <v>324001.25</v>
          </cell>
          <cell r="BR175">
            <v>324001.25</v>
          </cell>
          <cell r="BS175">
            <v>324001.25</v>
          </cell>
          <cell r="BT175">
            <v>451951.25</v>
          </cell>
          <cell r="BU175">
            <v>338217.92</v>
          </cell>
          <cell r="BV175">
            <v>1088217.92</v>
          </cell>
          <cell r="BW175">
            <v>426648.1</v>
          </cell>
          <cell r="BX175">
            <v>378176</v>
          </cell>
          <cell r="BY175">
            <v>344902</v>
          </cell>
          <cell r="BZ175">
            <v>355817.95</v>
          </cell>
          <cell r="CA175">
            <v>359631.95</v>
          </cell>
          <cell r="CB175">
            <v>359631.95</v>
          </cell>
          <cell r="CC175">
            <v>207448.21</v>
          </cell>
          <cell r="CD175">
            <v>334268</v>
          </cell>
          <cell r="CE175">
            <v>334268</v>
          </cell>
          <cell r="CF175">
            <v>627902.32999999996</v>
          </cell>
          <cell r="CG175">
            <v>366894</v>
          </cell>
          <cell r="CH175">
            <v>366894</v>
          </cell>
          <cell r="CI175">
            <v>567739</v>
          </cell>
          <cell r="CJ175">
            <v>374838</v>
          </cell>
          <cell r="CK175">
            <v>374838</v>
          </cell>
          <cell r="CL175">
            <v>374838</v>
          </cell>
          <cell r="CM175">
            <v>237366</v>
          </cell>
          <cell r="CN175">
            <v>340470.17</v>
          </cell>
          <cell r="CO175">
            <v>340470.17</v>
          </cell>
          <cell r="CP175">
            <v>340470.17</v>
          </cell>
          <cell r="CQ175">
            <v>340470.17</v>
          </cell>
          <cell r="CR175">
            <v>340470.17</v>
          </cell>
          <cell r="CS175">
            <v>1077965.52</v>
          </cell>
          <cell r="CT175">
            <v>414219.64</v>
          </cell>
          <cell r="CU175">
            <v>1656836.92</v>
          </cell>
          <cell r="CV175">
            <v>496416.67</v>
          </cell>
          <cell r="CW175">
            <v>496416.67</v>
          </cell>
          <cell r="CX175">
            <v>11870.22</v>
          </cell>
          <cell r="CY175">
            <v>496416.67</v>
          </cell>
          <cell r="CZ175">
            <v>496416.67</v>
          </cell>
          <cell r="DA175">
            <v>496416.67</v>
          </cell>
          <cell r="DB175">
            <v>496416.67</v>
          </cell>
          <cell r="DC175">
            <v>538916.67000000004</v>
          </cell>
          <cell r="DD175">
            <v>517666.67</v>
          </cell>
          <cell r="DE175">
            <v>517666.67</v>
          </cell>
          <cell r="DF175">
            <v>1169688</v>
          </cell>
          <cell r="DG175">
            <v>986385</v>
          </cell>
        </row>
        <row r="176">
          <cell r="A176">
            <v>6020920</v>
          </cell>
          <cell r="B176">
            <v>6020920</v>
          </cell>
          <cell r="C176" t="str">
            <v>Emp Service Awards</v>
          </cell>
          <cell r="D176">
            <v>20.34</v>
          </cell>
          <cell r="E176">
            <v>2235</v>
          </cell>
          <cell r="F176">
            <v>2195.21</v>
          </cell>
          <cell r="G176">
            <v>1218.3900000000001</v>
          </cell>
          <cell r="H176">
            <v>1767.1</v>
          </cell>
          <cell r="I176">
            <v>2182.8200000000002</v>
          </cell>
          <cell r="J176">
            <v>1961.39</v>
          </cell>
          <cell r="K176">
            <v>2692.55</v>
          </cell>
          <cell r="L176">
            <v>1921</v>
          </cell>
          <cell r="M176">
            <v>3528</v>
          </cell>
          <cell r="N176">
            <v>4587.83</v>
          </cell>
          <cell r="O176">
            <v>2435</v>
          </cell>
          <cell r="P176">
            <v>0</v>
          </cell>
          <cell r="Q176">
            <v>2478</v>
          </cell>
          <cell r="R176">
            <v>1717.5</v>
          </cell>
          <cell r="S176">
            <v>1806.86</v>
          </cell>
          <cell r="T176">
            <v>2138.7399999999998</v>
          </cell>
          <cell r="U176">
            <v>4659.5</v>
          </cell>
          <cell r="V176">
            <v>2528.48</v>
          </cell>
          <cell r="W176">
            <v>1046.1199999999999</v>
          </cell>
          <cell r="X176">
            <v>3238.5</v>
          </cell>
          <cell r="Y176">
            <v>2013.62</v>
          </cell>
          <cell r="Z176">
            <v>1314</v>
          </cell>
          <cell r="AA176">
            <v>1674.5</v>
          </cell>
          <cell r="AB176">
            <v>3097.2</v>
          </cell>
          <cell r="AC176">
            <v>1453.85</v>
          </cell>
          <cell r="AD176">
            <v>2643.7</v>
          </cell>
          <cell r="AE176">
            <v>2521.35</v>
          </cell>
          <cell r="AF176">
            <v>829.7</v>
          </cell>
          <cell r="AG176">
            <v>2856</v>
          </cell>
          <cell r="AH176">
            <v>0</v>
          </cell>
          <cell r="AI176">
            <v>1440.2</v>
          </cell>
          <cell r="AJ176">
            <v>1742</v>
          </cell>
          <cell r="AK176">
            <v>1564</v>
          </cell>
          <cell r="AL176">
            <v>910.5</v>
          </cell>
          <cell r="AM176">
            <v>269.98</v>
          </cell>
          <cell r="AN176">
            <v>176.1</v>
          </cell>
          <cell r="AO176">
            <v>2254.7600000000002</v>
          </cell>
          <cell r="AP176">
            <v>4126.47</v>
          </cell>
          <cell r="AQ176">
            <v>117.4</v>
          </cell>
          <cell r="AR176">
            <v>5799.52</v>
          </cell>
          <cell r="AS176">
            <v>58.7</v>
          </cell>
          <cell r="AT176">
            <v>2130.63</v>
          </cell>
          <cell r="AU176">
            <v>11112.07</v>
          </cell>
          <cell r="AV176">
            <v>74.349999999999994</v>
          </cell>
          <cell r="AW176">
            <v>0</v>
          </cell>
          <cell r="AX176">
            <v>2817.85</v>
          </cell>
          <cell r="AY176">
            <v>1276.0999999999999</v>
          </cell>
          <cell r="AZ176">
            <v>0</v>
          </cell>
          <cell r="BA176">
            <v>145.44999999999999</v>
          </cell>
          <cell r="BB176">
            <v>1023.62</v>
          </cell>
          <cell r="BC176">
            <v>8796.7000000000007</v>
          </cell>
          <cell r="BD176">
            <v>1326.7</v>
          </cell>
          <cell r="BE176">
            <v>486.45</v>
          </cell>
          <cell r="BF176">
            <v>1405.67</v>
          </cell>
          <cell r="BG176">
            <v>165.55</v>
          </cell>
          <cell r="BH176">
            <v>2819.05</v>
          </cell>
          <cell r="BI176">
            <v>25</v>
          </cell>
          <cell r="BJ176">
            <v>58.7</v>
          </cell>
          <cell r="BK176">
            <v>3535.3</v>
          </cell>
          <cell r="BL176">
            <v>-75.48</v>
          </cell>
          <cell r="BM176">
            <v>5825.5</v>
          </cell>
          <cell r="BN176">
            <v>89.28</v>
          </cell>
          <cell r="BO176">
            <v>2006.77</v>
          </cell>
          <cell r="BP176">
            <v>2320.19</v>
          </cell>
          <cell r="BQ176">
            <v>105.02</v>
          </cell>
          <cell r="BR176">
            <v>4200.7299999999996</v>
          </cell>
          <cell r="BS176">
            <v>29.76</v>
          </cell>
          <cell r="BT176">
            <v>1366.53</v>
          </cell>
          <cell r="BU176">
            <v>4656.97</v>
          </cell>
          <cell r="BV176">
            <v>1240.4100000000001</v>
          </cell>
          <cell r="BW176">
            <v>5257.63</v>
          </cell>
          <cell r="BX176">
            <v>161.44</v>
          </cell>
          <cell r="BY176">
            <v>3775.97</v>
          </cell>
          <cell r="BZ176">
            <v>1374.38</v>
          </cell>
          <cell r="CA176">
            <v>189.4</v>
          </cell>
          <cell r="CB176">
            <v>0</v>
          </cell>
          <cell r="CC176">
            <v>3742.65</v>
          </cell>
          <cell r="CD176">
            <v>5683.19</v>
          </cell>
          <cell r="CE176">
            <v>60.4</v>
          </cell>
          <cell r="CF176">
            <v>2479.1799999999998</v>
          </cell>
          <cell r="CG176">
            <v>0</v>
          </cell>
          <cell r="CH176">
            <v>3195</v>
          </cell>
          <cell r="CI176">
            <v>0</v>
          </cell>
          <cell r="CJ176">
            <v>300</v>
          </cell>
          <cell r="CK176">
            <v>1250.67</v>
          </cell>
          <cell r="CL176">
            <v>5195</v>
          </cell>
          <cell r="CM176">
            <v>0</v>
          </cell>
          <cell r="CN176">
            <v>40</v>
          </cell>
          <cell r="CO176">
            <v>2303.6999999999998</v>
          </cell>
          <cell r="CP176">
            <v>941.46</v>
          </cell>
          <cell r="CQ176">
            <v>925</v>
          </cell>
          <cell r="CR176">
            <v>4400</v>
          </cell>
          <cell r="CS176">
            <v>1950</v>
          </cell>
          <cell r="CT176">
            <v>2000</v>
          </cell>
          <cell r="CU176">
            <v>898.78</v>
          </cell>
          <cell r="CV176">
            <v>2000</v>
          </cell>
          <cell r="CW176">
            <v>4000</v>
          </cell>
          <cell r="CX176">
            <v>2500</v>
          </cell>
          <cell r="CY176">
            <v>0</v>
          </cell>
          <cell r="CZ176">
            <v>8000</v>
          </cell>
          <cell r="DA176">
            <v>2000</v>
          </cell>
          <cell r="DB176">
            <v>0</v>
          </cell>
          <cell r="DC176">
            <v>3018.28</v>
          </cell>
          <cell r="DD176">
            <v>25</v>
          </cell>
          <cell r="DE176">
            <v>0</v>
          </cell>
          <cell r="DF176">
            <v>20</v>
          </cell>
          <cell r="DG176">
            <v>0</v>
          </cell>
        </row>
        <row r="177">
          <cell r="A177">
            <v>6028999</v>
          </cell>
          <cell r="B177">
            <v>6028999</v>
          </cell>
          <cell r="C177" t="str">
            <v>Benefits Fringe Reclass</v>
          </cell>
          <cell r="D177"/>
          <cell r="E177"/>
          <cell r="F177"/>
          <cell r="G177"/>
          <cell r="H177"/>
          <cell r="I177"/>
          <cell r="J177"/>
          <cell r="K177"/>
          <cell r="L177"/>
          <cell r="M177"/>
          <cell r="N177"/>
          <cell r="O177"/>
          <cell r="P177"/>
          <cell r="Q177"/>
          <cell r="R177"/>
          <cell r="S177"/>
          <cell r="T177"/>
          <cell r="U177"/>
          <cell r="V177"/>
          <cell r="W177"/>
          <cell r="X177"/>
          <cell r="Y177"/>
          <cell r="Z177"/>
          <cell r="AA177"/>
          <cell r="AB177"/>
          <cell r="AC177"/>
          <cell r="AD177"/>
          <cell r="AE177"/>
          <cell r="AF177"/>
          <cell r="AG177"/>
          <cell r="AH177"/>
          <cell r="AI177"/>
          <cell r="AJ177"/>
          <cell r="AK177"/>
          <cell r="AL177"/>
          <cell r="AM177"/>
          <cell r="AN177"/>
          <cell r="AO177"/>
          <cell r="AP177"/>
          <cell r="AQ177"/>
          <cell r="AR177"/>
          <cell r="AS177"/>
          <cell r="AT177"/>
          <cell r="AU177"/>
          <cell r="AV177"/>
          <cell r="AW177"/>
          <cell r="AX177"/>
          <cell r="AY177"/>
          <cell r="AZ177"/>
          <cell r="BA177"/>
          <cell r="BB177"/>
          <cell r="BC177"/>
          <cell r="BD177"/>
          <cell r="BE177"/>
          <cell r="BF177"/>
          <cell r="BG177"/>
          <cell r="BH177"/>
          <cell r="BI177"/>
          <cell r="BJ177"/>
          <cell r="BK177"/>
          <cell r="BL177"/>
          <cell r="BM177"/>
          <cell r="BN177"/>
          <cell r="BO177"/>
          <cell r="BP177"/>
          <cell r="BQ177"/>
          <cell r="BR177"/>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-2901.76</v>
          </cell>
          <cell r="DB177">
            <v>-7102.71</v>
          </cell>
          <cell r="DC177">
            <v>-2075.2600000000002</v>
          </cell>
          <cell r="DD177">
            <v>-3472.65</v>
          </cell>
          <cell r="DE177">
            <v>-3735.8</v>
          </cell>
          <cell r="DF177">
            <v>0</v>
          </cell>
          <cell r="DG177">
            <v>2209.0700000000002</v>
          </cell>
        </row>
        <row r="178">
          <cell r="A178">
            <v>6029000</v>
          </cell>
          <cell r="B178">
            <v>6029000</v>
          </cell>
          <cell r="C178" t="str">
            <v>Benefits to BalSheet</v>
          </cell>
          <cell r="D178"/>
          <cell r="E178"/>
          <cell r="F178"/>
          <cell r="G178"/>
          <cell r="H178"/>
          <cell r="I178"/>
          <cell r="J178"/>
          <cell r="K178"/>
          <cell r="L178"/>
          <cell r="M178"/>
          <cell r="N178"/>
          <cell r="O178"/>
          <cell r="P178"/>
          <cell r="Q178"/>
          <cell r="R178"/>
          <cell r="S178"/>
          <cell r="T178"/>
          <cell r="U178"/>
          <cell r="V178"/>
          <cell r="W178"/>
          <cell r="X178"/>
          <cell r="Y178"/>
          <cell r="Z178"/>
          <cell r="AA178"/>
          <cell r="AB178"/>
          <cell r="AC178"/>
          <cell r="AD178"/>
          <cell r="AE178">
            <v>0</v>
          </cell>
          <cell r="AF178">
            <v>0</v>
          </cell>
          <cell r="AG178">
            <v>0</v>
          </cell>
          <cell r="AH178">
            <v>0</v>
          </cell>
          <cell r="AI178">
            <v>0</v>
          </cell>
          <cell r="AJ178">
            <v>0</v>
          </cell>
          <cell r="AK178"/>
          <cell r="AL178"/>
          <cell r="AM178"/>
          <cell r="AN178"/>
          <cell r="AO178"/>
          <cell r="AP178"/>
          <cell r="AQ178"/>
          <cell r="AR178"/>
          <cell r="AS178"/>
          <cell r="AT178">
            <v>0</v>
          </cell>
          <cell r="AU178">
            <v>-478.65</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-1691.23</v>
          </cell>
          <cell r="BJ178">
            <v>-1843.24</v>
          </cell>
          <cell r="BK178">
            <v>-6514.42</v>
          </cell>
          <cell r="BL178">
            <v>-2101.87</v>
          </cell>
          <cell r="BM178">
            <v>-1966.26</v>
          </cell>
          <cell r="BN178">
            <v>-2364.1799999999998</v>
          </cell>
          <cell r="BO178">
            <v>0</v>
          </cell>
          <cell r="BP178">
            <v>-4024.31</v>
          </cell>
          <cell r="BQ178">
            <v>-2279.41</v>
          </cell>
          <cell r="BR178">
            <v>-12908.89</v>
          </cell>
          <cell r="BS178">
            <v>-2553.58</v>
          </cell>
          <cell r="BT178">
            <v>-3285.05</v>
          </cell>
          <cell r="BU178">
            <v>-1920.73</v>
          </cell>
          <cell r="BV178">
            <v>-3510.62</v>
          </cell>
          <cell r="BW178">
            <v>-2609.8000000000002</v>
          </cell>
          <cell r="BX178">
            <v>-2379.67</v>
          </cell>
          <cell r="BY178">
            <v>-6585.09</v>
          </cell>
          <cell r="BZ178">
            <v>800.27</v>
          </cell>
          <cell r="CA178">
            <v>-3168.34</v>
          </cell>
          <cell r="CB178">
            <v>-2905.1</v>
          </cell>
          <cell r="CC178">
            <v>-3180.47</v>
          </cell>
          <cell r="CD178">
            <v>-3683.66</v>
          </cell>
          <cell r="CE178">
            <v>-3068.29</v>
          </cell>
          <cell r="CF178">
            <v>-14435.02</v>
          </cell>
          <cell r="CG178">
            <v>-3170.32</v>
          </cell>
          <cell r="CH178">
            <v>-3276.05</v>
          </cell>
          <cell r="CI178">
            <v>-3345.12</v>
          </cell>
          <cell r="CJ178">
            <v>-2722.26</v>
          </cell>
          <cell r="CK178">
            <v>-2947.03</v>
          </cell>
          <cell r="CL178">
            <v>-18034.05</v>
          </cell>
          <cell r="CM178">
            <v>785.44</v>
          </cell>
          <cell r="CN178">
            <v>-21411.39</v>
          </cell>
          <cell r="CO178">
            <v>-2878.38</v>
          </cell>
          <cell r="CP178">
            <v>-2745.95</v>
          </cell>
          <cell r="CQ178">
            <v>-2485.98</v>
          </cell>
          <cell r="CR178">
            <v>-5172.8</v>
          </cell>
          <cell r="CS178">
            <v>-2787.41</v>
          </cell>
          <cell r="CT178">
            <v>-3191.12</v>
          </cell>
          <cell r="CU178">
            <v>-4694.41</v>
          </cell>
          <cell r="CV178">
            <v>-171827.57</v>
          </cell>
          <cell r="CW178">
            <v>-197813.46</v>
          </cell>
          <cell r="CX178">
            <v>-204482.13</v>
          </cell>
          <cell r="CY178">
            <v>-181758.99</v>
          </cell>
          <cell r="CZ178">
            <v>-213278.2</v>
          </cell>
          <cell r="DA178">
            <v>-218930.5</v>
          </cell>
          <cell r="DB178">
            <v>-240794.52</v>
          </cell>
          <cell r="DC178">
            <v>-248832.67</v>
          </cell>
          <cell r="DD178">
            <v>-230001.1</v>
          </cell>
          <cell r="DE178">
            <v>-216375.54</v>
          </cell>
          <cell r="DF178">
            <v>-361341.6</v>
          </cell>
          <cell r="DG178">
            <v>-203205</v>
          </cell>
        </row>
        <row r="179">
          <cell r="A179">
            <v>6030010</v>
          </cell>
          <cell r="B179">
            <v>6030010</v>
          </cell>
          <cell r="C179" t="str">
            <v>EE ProfDue Subs Fees</v>
          </cell>
          <cell r="D179">
            <v>1926.09</v>
          </cell>
          <cell r="E179">
            <v>962.86</v>
          </cell>
          <cell r="F179">
            <v>24147.23</v>
          </cell>
          <cell r="G179">
            <v>3408.38</v>
          </cell>
          <cell r="H179">
            <v>2368.9299999999998</v>
          </cell>
          <cell r="I179">
            <v>1116.95</v>
          </cell>
          <cell r="J179">
            <v>3323.7</v>
          </cell>
          <cell r="K179">
            <v>1944.79</v>
          </cell>
          <cell r="L179">
            <v>3770.41</v>
          </cell>
          <cell r="M179">
            <v>1954</v>
          </cell>
          <cell r="N179">
            <v>2787.45</v>
          </cell>
          <cell r="O179">
            <v>1041.71</v>
          </cell>
          <cell r="P179">
            <v>688.45</v>
          </cell>
          <cell r="Q179">
            <v>338</v>
          </cell>
          <cell r="R179">
            <v>30090.74</v>
          </cell>
          <cell r="S179">
            <v>286.39999999999998</v>
          </cell>
          <cell r="T179">
            <v>3360.99</v>
          </cell>
          <cell r="U179">
            <v>3550.86</v>
          </cell>
          <cell r="V179">
            <v>3127.65</v>
          </cell>
          <cell r="W179">
            <v>4416.01</v>
          </cell>
          <cell r="X179">
            <v>3044.63</v>
          </cell>
          <cell r="Y179">
            <v>1162.1300000000001</v>
          </cell>
          <cell r="Z179">
            <v>1891.44</v>
          </cell>
          <cell r="AA179">
            <v>4967.59</v>
          </cell>
          <cell r="AB179">
            <v>4774.2</v>
          </cell>
          <cell r="AC179">
            <v>1852.19</v>
          </cell>
          <cell r="AD179">
            <v>27965.7</v>
          </cell>
          <cell r="AE179">
            <v>13279.19</v>
          </cell>
          <cell r="AF179">
            <v>6528</v>
          </cell>
          <cell r="AG179">
            <v>425.2</v>
          </cell>
          <cell r="AH179">
            <v>2426.5</v>
          </cell>
          <cell r="AI179">
            <v>3209.19</v>
          </cell>
          <cell r="AJ179">
            <v>1405.19</v>
          </cell>
          <cell r="AK179">
            <v>2613.16</v>
          </cell>
          <cell r="AL179">
            <v>2481.0500000000002</v>
          </cell>
          <cell r="AM179">
            <v>7272.9</v>
          </cell>
          <cell r="AN179">
            <v>1364.65</v>
          </cell>
          <cell r="AO179">
            <v>387.12</v>
          </cell>
          <cell r="AP179">
            <v>13887.8</v>
          </cell>
          <cell r="AQ179">
            <v>1882.36</v>
          </cell>
          <cell r="AR179">
            <v>1939.16</v>
          </cell>
          <cell r="AS179">
            <v>2494.2800000000002</v>
          </cell>
          <cell r="AT179">
            <v>2332.2800000000002</v>
          </cell>
          <cell r="AU179">
            <v>2528.5</v>
          </cell>
          <cell r="AV179">
            <v>444</v>
          </cell>
          <cell r="AW179">
            <v>438.47</v>
          </cell>
          <cell r="AX179">
            <v>1035.53</v>
          </cell>
          <cell r="AY179">
            <v>17407.36</v>
          </cell>
          <cell r="AZ179">
            <v>585.39</v>
          </cell>
          <cell r="BA179">
            <v>793.28</v>
          </cell>
          <cell r="BB179">
            <v>7554.83</v>
          </cell>
          <cell r="BC179">
            <v>1852.16</v>
          </cell>
          <cell r="BD179">
            <v>1468.4</v>
          </cell>
          <cell r="BE179">
            <v>3536.48</v>
          </cell>
          <cell r="BF179">
            <v>-5893.04</v>
          </cell>
          <cell r="BG179">
            <v>5526.33</v>
          </cell>
          <cell r="BH179">
            <v>17679.63</v>
          </cell>
          <cell r="BI179">
            <v>3672.79</v>
          </cell>
          <cell r="BJ179">
            <v>4379.8900000000003</v>
          </cell>
          <cell r="BK179">
            <v>10703.83</v>
          </cell>
          <cell r="BL179">
            <v>0</v>
          </cell>
          <cell r="BM179">
            <v>11662.78</v>
          </cell>
          <cell r="BN179">
            <v>2701.51</v>
          </cell>
          <cell r="BO179">
            <v>1814.67</v>
          </cell>
          <cell r="BP179">
            <v>4859.26</v>
          </cell>
          <cell r="BQ179">
            <v>5496.99</v>
          </cell>
          <cell r="BR179">
            <v>12883.68</v>
          </cell>
          <cell r="BS179">
            <v>3438.26</v>
          </cell>
          <cell r="BT179">
            <v>6657.91</v>
          </cell>
          <cell r="BU179">
            <v>3448.44</v>
          </cell>
          <cell r="BV179">
            <v>9113.17</v>
          </cell>
          <cell r="BW179">
            <v>10986.29</v>
          </cell>
          <cell r="BX179">
            <v>2119.69</v>
          </cell>
          <cell r="BY179">
            <v>11526.82</v>
          </cell>
          <cell r="BZ179">
            <v>3488.73</v>
          </cell>
          <cell r="CA179">
            <v>10273.44</v>
          </cell>
          <cell r="CB179">
            <v>2821.99</v>
          </cell>
          <cell r="CC179">
            <v>4436.99</v>
          </cell>
          <cell r="CD179">
            <v>16678</v>
          </cell>
          <cell r="CE179">
            <v>1647.35</v>
          </cell>
          <cell r="CF179">
            <v>4527.8</v>
          </cell>
          <cell r="CG179">
            <v>16526.18</v>
          </cell>
          <cell r="CH179">
            <v>2442.08</v>
          </cell>
          <cell r="CI179">
            <v>14309.64</v>
          </cell>
          <cell r="CJ179">
            <v>3162.46</v>
          </cell>
          <cell r="CK179">
            <v>1669.64</v>
          </cell>
          <cell r="CL179">
            <v>10200.549999999999</v>
          </cell>
          <cell r="CM179">
            <v>2782.75</v>
          </cell>
          <cell r="CN179">
            <v>1853.79</v>
          </cell>
          <cell r="CO179">
            <v>4115.8599999999997</v>
          </cell>
          <cell r="CP179">
            <v>1771.36</v>
          </cell>
          <cell r="CQ179">
            <v>18623.88</v>
          </cell>
          <cell r="CR179">
            <v>5203.57</v>
          </cell>
          <cell r="CS179">
            <v>17651.330000000002</v>
          </cell>
          <cell r="CT179">
            <v>786.46</v>
          </cell>
          <cell r="CU179">
            <v>11756.17</v>
          </cell>
          <cell r="CV179">
            <v>1442.08</v>
          </cell>
          <cell r="CW179">
            <v>8592.34</v>
          </cell>
          <cell r="CX179">
            <v>22197.77</v>
          </cell>
          <cell r="CY179">
            <v>10147</v>
          </cell>
          <cell r="CZ179">
            <v>6628.42</v>
          </cell>
          <cell r="DA179">
            <v>4152.24</v>
          </cell>
          <cell r="DB179">
            <v>7602.16</v>
          </cell>
          <cell r="DC179">
            <v>32900.9</v>
          </cell>
          <cell r="DD179">
            <v>6200</v>
          </cell>
          <cell r="DE179">
            <v>4367.62</v>
          </cell>
          <cell r="DF179">
            <v>32084.38</v>
          </cell>
          <cell r="DG179">
            <v>8290.18</v>
          </cell>
        </row>
        <row r="180">
          <cell r="A180">
            <v>6030020</v>
          </cell>
          <cell r="B180">
            <v>6030020</v>
          </cell>
          <cell r="C180" t="str">
            <v>EE SocialCivic Dues</v>
          </cell>
          <cell r="D180">
            <v>1170</v>
          </cell>
          <cell r="E180">
            <v>2450</v>
          </cell>
          <cell r="F180">
            <v>8825.84</v>
          </cell>
          <cell r="G180">
            <v>480</v>
          </cell>
          <cell r="H180">
            <v>0</v>
          </cell>
          <cell r="I180">
            <v>0</v>
          </cell>
          <cell r="J180">
            <v>755.77</v>
          </cell>
          <cell r="K180">
            <v>642.59</v>
          </cell>
          <cell r="L180">
            <v>580</v>
          </cell>
          <cell r="M180">
            <v>294.2</v>
          </cell>
          <cell r="N180">
            <v>193</v>
          </cell>
          <cell r="O180">
            <v>123.03</v>
          </cell>
          <cell r="P180">
            <v>560</v>
          </cell>
          <cell r="Q180">
            <v>5936.52</v>
          </cell>
          <cell r="R180">
            <v>0</v>
          </cell>
          <cell r="S180">
            <v>1494.2</v>
          </cell>
          <cell r="T180">
            <v>1471.75</v>
          </cell>
          <cell r="U180">
            <v>1365.16</v>
          </cell>
          <cell r="V180">
            <v>190</v>
          </cell>
          <cell r="W180">
            <v>0</v>
          </cell>
          <cell r="X180">
            <v>100</v>
          </cell>
          <cell r="Y180">
            <v>232.47</v>
          </cell>
          <cell r="Z180">
            <v>1625</v>
          </cell>
          <cell r="AA180">
            <v>3883.2</v>
          </cell>
          <cell r="AB180">
            <v>1250</v>
          </cell>
          <cell r="AC180">
            <v>3715</v>
          </cell>
          <cell r="AD180">
            <v>6636.5</v>
          </cell>
          <cell r="AE180">
            <v>0</v>
          </cell>
          <cell r="AF180">
            <v>1500</v>
          </cell>
          <cell r="AG180">
            <v>1050</v>
          </cell>
          <cell r="AH180">
            <v>774.2</v>
          </cell>
          <cell r="AI180">
            <v>431.07</v>
          </cell>
          <cell r="AJ180">
            <v>1335</v>
          </cell>
          <cell r="AK180">
            <v>-750</v>
          </cell>
          <cell r="AL180">
            <v>1385</v>
          </cell>
          <cell r="AM180">
            <v>2500</v>
          </cell>
          <cell r="AN180">
            <v>0</v>
          </cell>
          <cell r="AO180">
            <v>194.2</v>
          </cell>
          <cell r="AP180">
            <v>636.51</v>
          </cell>
          <cell r="AQ180">
            <v>300</v>
          </cell>
          <cell r="AR180">
            <v>0</v>
          </cell>
          <cell r="AS180">
            <v>710</v>
          </cell>
          <cell r="AT180">
            <v>1050</v>
          </cell>
          <cell r="AU180">
            <v>0</v>
          </cell>
          <cell r="AV180">
            <v>85</v>
          </cell>
          <cell r="AW180">
            <v>0</v>
          </cell>
          <cell r="AX180">
            <v>0</v>
          </cell>
          <cell r="AY180">
            <v>145</v>
          </cell>
          <cell r="AZ180">
            <v>1210</v>
          </cell>
          <cell r="BA180">
            <v>1500</v>
          </cell>
          <cell r="BB180">
            <v>0</v>
          </cell>
          <cell r="BC180">
            <v>0</v>
          </cell>
          <cell r="BD180">
            <v>330</v>
          </cell>
          <cell r="BE180">
            <v>0</v>
          </cell>
          <cell r="BF180">
            <v>1448.53</v>
          </cell>
          <cell r="BG180">
            <v>115</v>
          </cell>
          <cell r="BH180">
            <v>0</v>
          </cell>
          <cell r="BI180">
            <v>4925</v>
          </cell>
          <cell r="BJ180">
            <v>1000</v>
          </cell>
          <cell r="BK180">
            <v>2840</v>
          </cell>
          <cell r="BL180">
            <v>4250</v>
          </cell>
          <cell r="BM180">
            <v>220</v>
          </cell>
          <cell r="BN180">
            <v>710</v>
          </cell>
          <cell r="BO180">
            <v>-380</v>
          </cell>
          <cell r="BP180">
            <v>600</v>
          </cell>
          <cell r="BQ180">
            <v>675</v>
          </cell>
          <cell r="BR180">
            <v>2242.5</v>
          </cell>
          <cell r="BS180">
            <v>-530</v>
          </cell>
          <cell r="BT180">
            <v>4417.45</v>
          </cell>
          <cell r="BU180">
            <v>0</v>
          </cell>
          <cell r="BV180">
            <v>1042.79</v>
          </cell>
          <cell r="BW180">
            <v>380</v>
          </cell>
          <cell r="BX180">
            <v>500</v>
          </cell>
          <cell r="BY180">
            <v>0</v>
          </cell>
          <cell r="BZ180">
            <v>388</v>
          </cell>
          <cell r="CA180">
            <v>0</v>
          </cell>
          <cell r="CB180">
            <v>550</v>
          </cell>
          <cell r="CC180">
            <v>0</v>
          </cell>
          <cell r="CD180">
            <v>855</v>
          </cell>
          <cell r="CE180">
            <v>125</v>
          </cell>
          <cell r="CF180">
            <v>0</v>
          </cell>
          <cell r="CG180">
            <v>280</v>
          </cell>
          <cell r="CH180">
            <v>0</v>
          </cell>
          <cell r="CI180">
            <v>35</v>
          </cell>
          <cell r="CJ180">
            <v>3306.96</v>
          </cell>
          <cell r="CK180">
            <v>1881.57</v>
          </cell>
          <cell r="CL180">
            <v>0</v>
          </cell>
          <cell r="CM180">
            <v>0</v>
          </cell>
          <cell r="CN180">
            <v>1608.26</v>
          </cell>
          <cell r="CO180">
            <v>611</v>
          </cell>
          <cell r="CP180">
            <v>7350</v>
          </cell>
          <cell r="CQ180">
            <v>0</v>
          </cell>
          <cell r="CR180">
            <v>340.75</v>
          </cell>
          <cell r="CS180">
            <v>128.19999999999999</v>
          </cell>
          <cell r="CT180">
            <v>3250</v>
          </cell>
          <cell r="CU180">
            <v>50</v>
          </cell>
          <cell r="CV180">
            <v>120</v>
          </cell>
          <cell r="CW180">
            <v>1500</v>
          </cell>
          <cell r="CX180">
            <v>555</v>
          </cell>
          <cell r="CY180">
            <v>23100</v>
          </cell>
          <cell r="CZ180">
            <v>0</v>
          </cell>
          <cell r="DA180">
            <v>40</v>
          </cell>
          <cell r="DB180">
            <v>0</v>
          </cell>
          <cell r="DC180">
            <v>4490.2</v>
          </cell>
          <cell r="DD180">
            <v>111.5</v>
          </cell>
          <cell r="DE180">
            <v>1528.75</v>
          </cell>
          <cell r="DF180">
            <v>3868.75</v>
          </cell>
          <cell r="DG180">
            <v>0</v>
          </cell>
        </row>
        <row r="181">
          <cell r="A181">
            <v>6030030</v>
          </cell>
          <cell r="B181">
            <v>6030030</v>
          </cell>
          <cell r="C181" t="str">
            <v>EE Meals 100% Deduct</v>
          </cell>
          <cell r="D181">
            <v>2046.51</v>
          </cell>
          <cell r="E181">
            <v>8149.12</v>
          </cell>
          <cell r="F181">
            <v>12341.05</v>
          </cell>
          <cell r="G181">
            <v>11907.5</v>
          </cell>
          <cell r="H181">
            <v>11196.52</v>
          </cell>
          <cell r="I181">
            <v>9242.77</v>
          </cell>
          <cell r="J181">
            <v>8097.43</v>
          </cell>
          <cell r="K181">
            <v>9325.23</v>
          </cell>
          <cell r="L181">
            <v>15476.06</v>
          </cell>
          <cell r="M181">
            <v>13733.24</v>
          </cell>
          <cell r="N181">
            <v>19245</v>
          </cell>
          <cell r="O181">
            <v>20699.759999999998</v>
          </cell>
          <cell r="P181">
            <v>1669.01</v>
          </cell>
          <cell r="Q181">
            <v>9410.01</v>
          </cell>
          <cell r="R181">
            <v>14448.7</v>
          </cell>
          <cell r="S181">
            <v>8238.01</v>
          </cell>
          <cell r="T181">
            <v>15034.12</v>
          </cell>
          <cell r="U181">
            <v>13959.84</v>
          </cell>
          <cell r="V181">
            <v>11199.41</v>
          </cell>
          <cell r="W181">
            <v>9485.0400000000009</v>
          </cell>
          <cell r="X181">
            <v>16072.19</v>
          </cell>
          <cell r="Y181">
            <v>10220.93</v>
          </cell>
          <cell r="Z181">
            <v>8861.0400000000009</v>
          </cell>
          <cell r="AA181">
            <v>14129.48</v>
          </cell>
          <cell r="AB181">
            <v>1171.44</v>
          </cell>
          <cell r="AC181">
            <v>4138.07</v>
          </cell>
          <cell r="AD181">
            <v>6882.96</v>
          </cell>
          <cell r="AE181">
            <v>5950.46</v>
          </cell>
          <cell r="AF181">
            <v>5276.57</v>
          </cell>
          <cell r="AG181">
            <v>9303.24</v>
          </cell>
          <cell r="AH181">
            <v>4883.7</v>
          </cell>
          <cell r="AI181">
            <v>8263.4699999999993</v>
          </cell>
          <cell r="AJ181">
            <v>8460.4</v>
          </cell>
          <cell r="AK181">
            <v>5365.04</v>
          </cell>
          <cell r="AL181">
            <v>7274.69</v>
          </cell>
          <cell r="AM181">
            <v>18788.28</v>
          </cell>
          <cell r="AN181">
            <v>1172.8399999999999</v>
          </cell>
          <cell r="AO181">
            <v>6877.57</v>
          </cell>
          <cell r="AP181">
            <v>7913.36</v>
          </cell>
          <cell r="AQ181">
            <v>4763.47</v>
          </cell>
          <cell r="AR181">
            <v>5462.71</v>
          </cell>
          <cell r="AS181">
            <v>6299.18</v>
          </cell>
          <cell r="AT181">
            <v>6080.67</v>
          </cell>
          <cell r="AU181">
            <v>4554.68</v>
          </cell>
          <cell r="AV181">
            <v>63210.47</v>
          </cell>
          <cell r="AW181">
            <v>-49126.6</v>
          </cell>
          <cell r="AX181">
            <v>8520.2999999999993</v>
          </cell>
          <cell r="AY181">
            <v>17179.71</v>
          </cell>
          <cell r="AZ181">
            <v>2023.45</v>
          </cell>
          <cell r="BA181">
            <v>11933.16</v>
          </cell>
          <cell r="BB181">
            <v>16562.939999999999</v>
          </cell>
          <cell r="BC181">
            <v>11547.09</v>
          </cell>
          <cell r="BD181">
            <v>13532.05</v>
          </cell>
          <cell r="BE181">
            <v>11415.16</v>
          </cell>
          <cell r="BF181">
            <v>10399.67</v>
          </cell>
          <cell r="BG181">
            <v>19094.669999999998</v>
          </cell>
          <cell r="BH181">
            <v>14081.76</v>
          </cell>
          <cell r="BI181">
            <v>11070.37</v>
          </cell>
          <cell r="BJ181">
            <v>12500.98</v>
          </cell>
          <cell r="BK181">
            <v>23519.439999999999</v>
          </cell>
          <cell r="BL181">
            <v>-308.73</v>
          </cell>
          <cell r="BM181">
            <v>12438.06</v>
          </cell>
          <cell r="BN181">
            <v>11051.03</v>
          </cell>
          <cell r="BO181">
            <v>10689.41</v>
          </cell>
          <cell r="BP181">
            <v>5438.92</v>
          </cell>
          <cell r="BQ181">
            <v>13732.54</v>
          </cell>
          <cell r="BR181">
            <v>10499.06</v>
          </cell>
          <cell r="BS181">
            <v>650.19000000000005</v>
          </cell>
          <cell r="BT181">
            <v>498.68</v>
          </cell>
          <cell r="BU181">
            <v>0</v>
          </cell>
          <cell r="BV181">
            <v>0</v>
          </cell>
          <cell r="BW181">
            <v>0</v>
          </cell>
          <cell r="BX181">
            <v>0</v>
          </cell>
          <cell r="BY181">
            <v>0</v>
          </cell>
          <cell r="BZ181">
            <v>129.6</v>
          </cell>
          <cell r="CA181">
            <v>0</v>
          </cell>
          <cell r="CB181">
            <v>20.68</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row>
        <row r="182">
          <cell r="A182">
            <v>6030040</v>
          </cell>
          <cell r="B182">
            <v>6030040</v>
          </cell>
          <cell r="C182" t="str">
            <v>EE Meals 50% Deduct</v>
          </cell>
          <cell r="D182">
            <v>3889.06</v>
          </cell>
          <cell r="E182">
            <v>16087</v>
          </cell>
          <cell r="F182">
            <v>16096.17</v>
          </cell>
          <cell r="G182">
            <v>13329.25</v>
          </cell>
          <cell r="H182">
            <v>19948.830000000002</v>
          </cell>
          <cell r="I182">
            <v>15888.79</v>
          </cell>
          <cell r="J182">
            <v>15407.37</v>
          </cell>
          <cell r="K182">
            <v>15267.31</v>
          </cell>
          <cell r="L182">
            <v>16429.759999999998</v>
          </cell>
          <cell r="M182">
            <v>18655.13</v>
          </cell>
          <cell r="N182">
            <v>13281.19</v>
          </cell>
          <cell r="O182">
            <v>31027.7</v>
          </cell>
          <cell r="P182">
            <v>1229.83</v>
          </cell>
          <cell r="Q182">
            <v>10097.08</v>
          </cell>
          <cell r="R182">
            <v>18268.490000000002</v>
          </cell>
          <cell r="S182">
            <v>17093.63</v>
          </cell>
          <cell r="T182">
            <v>13146.8</v>
          </cell>
          <cell r="U182">
            <v>14308.77</v>
          </cell>
          <cell r="V182">
            <v>19941.169999999998</v>
          </cell>
          <cell r="W182">
            <v>12014.83</v>
          </cell>
          <cell r="X182">
            <v>16236.54</v>
          </cell>
          <cell r="Y182">
            <v>21925.73</v>
          </cell>
          <cell r="Z182">
            <v>27332.880000000001</v>
          </cell>
          <cell r="AA182">
            <v>41256.370000000003</v>
          </cell>
          <cell r="AB182">
            <v>2558.89</v>
          </cell>
          <cell r="AC182">
            <v>17180.64</v>
          </cell>
          <cell r="AD182">
            <v>21896.28</v>
          </cell>
          <cell r="AE182">
            <v>20671.87</v>
          </cell>
          <cell r="AF182">
            <v>21136.75</v>
          </cell>
          <cell r="AG182">
            <v>29396.62</v>
          </cell>
          <cell r="AH182">
            <v>19412.88</v>
          </cell>
          <cell r="AI182">
            <v>22283.15</v>
          </cell>
          <cell r="AJ182">
            <v>20305.93</v>
          </cell>
          <cell r="AK182">
            <v>21567</v>
          </cell>
          <cell r="AL182">
            <v>26236.76</v>
          </cell>
          <cell r="AM182">
            <v>52105.59</v>
          </cell>
          <cell r="AN182">
            <v>7746.54</v>
          </cell>
          <cell r="AO182">
            <v>34425.15</v>
          </cell>
          <cell r="AP182">
            <v>20758.150000000001</v>
          </cell>
          <cell r="AQ182">
            <v>20403.78</v>
          </cell>
          <cell r="AR182">
            <v>17645.689999999999</v>
          </cell>
          <cell r="AS182">
            <v>15433.06</v>
          </cell>
          <cell r="AT182">
            <v>19298.990000000002</v>
          </cell>
          <cell r="AU182">
            <v>17946.8</v>
          </cell>
          <cell r="AV182">
            <v>19615.22</v>
          </cell>
          <cell r="AW182">
            <v>18483.330000000002</v>
          </cell>
          <cell r="AX182">
            <v>76308.649999999994</v>
          </cell>
          <cell r="AY182">
            <v>50375.49</v>
          </cell>
          <cell r="AZ182">
            <v>3784.5</v>
          </cell>
          <cell r="BA182">
            <v>25612.1</v>
          </cell>
          <cell r="BB182">
            <v>26442.9</v>
          </cell>
          <cell r="BC182">
            <v>16927.189999999999</v>
          </cell>
          <cell r="BD182">
            <v>29162.21</v>
          </cell>
          <cell r="BE182">
            <v>34313.910000000003</v>
          </cell>
          <cell r="BF182">
            <v>24041.51</v>
          </cell>
          <cell r="BG182">
            <v>23060.74</v>
          </cell>
          <cell r="BH182">
            <v>28951.3</v>
          </cell>
          <cell r="BI182">
            <v>22409</v>
          </cell>
          <cell r="BJ182">
            <v>327407.98</v>
          </cell>
          <cell r="BK182">
            <v>65812.98</v>
          </cell>
          <cell r="BL182">
            <v>3940.79</v>
          </cell>
          <cell r="BM182">
            <v>36646.120000000003</v>
          </cell>
          <cell r="BN182">
            <v>35390.6</v>
          </cell>
          <cell r="BO182">
            <v>19716.7</v>
          </cell>
          <cell r="BP182">
            <v>24279.54</v>
          </cell>
          <cell r="BQ182">
            <v>24296.9</v>
          </cell>
          <cell r="BR182">
            <v>44824.54</v>
          </cell>
          <cell r="BS182">
            <v>59704.83</v>
          </cell>
          <cell r="BT182">
            <v>55220.99</v>
          </cell>
          <cell r="BU182">
            <v>43152.51</v>
          </cell>
          <cell r="BV182">
            <v>42842.76</v>
          </cell>
          <cell r="BW182">
            <v>92643.51</v>
          </cell>
          <cell r="BX182">
            <v>6989.83</v>
          </cell>
          <cell r="BY182">
            <v>37305.97</v>
          </cell>
          <cell r="BZ182">
            <v>61792.84</v>
          </cell>
          <cell r="CA182">
            <v>29590.99</v>
          </cell>
          <cell r="CB182">
            <v>4170.38</v>
          </cell>
          <cell r="CC182">
            <v>9139.2900000000009</v>
          </cell>
          <cell r="CD182">
            <v>20844.599999999999</v>
          </cell>
          <cell r="CE182">
            <v>17888.12</v>
          </cell>
          <cell r="CF182">
            <v>14502.18</v>
          </cell>
          <cell r="CG182">
            <v>11637.18</v>
          </cell>
          <cell r="CH182">
            <v>10635.94</v>
          </cell>
          <cell r="CI182">
            <v>18890.23</v>
          </cell>
          <cell r="CJ182">
            <v>4926.18</v>
          </cell>
          <cell r="CK182">
            <v>13914.78</v>
          </cell>
          <cell r="CL182">
            <v>26485.18</v>
          </cell>
          <cell r="CM182">
            <v>32355.39</v>
          </cell>
          <cell r="CN182">
            <v>28121.79</v>
          </cell>
          <cell r="CO182">
            <v>24418.34</v>
          </cell>
          <cell r="CP182">
            <v>24481.42</v>
          </cell>
          <cell r="CQ182">
            <v>32322.33</v>
          </cell>
          <cell r="CR182">
            <v>24039.279999999999</v>
          </cell>
          <cell r="CS182">
            <v>18649.62</v>
          </cell>
          <cell r="CT182">
            <v>39453.15</v>
          </cell>
          <cell r="CU182">
            <v>59784.05</v>
          </cell>
          <cell r="CV182">
            <v>12825.15</v>
          </cell>
          <cell r="CW182">
            <v>21653.83</v>
          </cell>
          <cell r="CX182">
            <v>31082.22</v>
          </cell>
          <cell r="CY182">
            <v>60685.64</v>
          </cell>
          <cell r="CZ182">
            <v>40969.480000000003</v>
          </cell>
          <cell r="DA182">
            <v>49276.71</v>
          </cell>
          <cell r="DB182">
            <v>49245.22</v>
          </cell>
          <cell r="DC182">
            <v>84222.11</v>
          </cell>
          <cell r="DD182">
            <v>64042.84</v>
          </cell>
          <cell r="DE182">
            <v>74513.06</v>
          </cell>
          <cell r="DF182">
            <v>75831.77</v>
          </cell>
          <cell r="DG182">
            <v>96049.76</v>
          </cell>
        </row>
        <row r="183">
          <cell r="A183">
            <v>6030050</v>
          </cell>
          <cell r="B183">
            <v>6030050</v>
          </cell>
          <cell r="C183" t="str">
            <v>EE Mileage</v>
          </cell>
          <cell r="D183">
            <v>8498.9699999999993</v>
          </cell>
          <cell r="E183">
            <v>12548.98</v>
          </cell>
          <cell r="F183">
            <v>15270.44</v>
          </cell>
          <cell r="G183">
            <v>8262.86</v>
          </cell>
          <cell r="H183">
            <v>12982.29</v>
          </cell>
          <cell r="I183">
            <v>12726.95</v>
          </cell>
          <cell r="J183">
            <v>15776.48</v>
          </cell>
          <cell r="K183">
            <v>12077.07</v>
          </cell>
          <cell r="L183">
            <v>13034.88</v>
          </cell>
          <cell r="M183">
            <v>20143.810000000001</v>
          </cell>
          <cell r="N183">
            <v>12980.66</v>
          </cell>
          <cell r="O183">
            <v>15566.51</v>
          </cell>
          <cell r="P183">
            <v>7172.21</v>
          </cell>
          <cell r="Q183">
            <v>11232.77</v>
          </cell>
          <cell r="R183">
            <v>13587.19</v>
          </cell>
          <cell r="S183">
            <v>11270.86</v>
          </cell>
          <cell r="T183">
            <v>11511.87</v>
          </cell>
          <cell r="U183">
            <v>14463.72</v>
          </cell>
          <cell r="V183">
            <v>14400.94</v>
          </cell>
          <cell r="W183">
            <v>11666.02</v>
          </cell>
          <cell r="X183">
            <v>8886.6299999999992</v>
          </cell>
          <cell r="Y183">
            <v>15834</v>
          </cell>
          <cell r="Z183">
            <v>12132.18</v>
          </cell>
          <cell r="AA183">
            <v>13833.31</v>
          </cell>
          <cell r="AB183">
            <v>6360.64</v>
          </cell>
          <cell r="AC183">
            <v>7763.56</v>
          </cell>
          <cell r="AD183">
            <v>8209.48</v>
          </cell>
          <cell r="AE183">
            <v>9945.8700000000008</v>
          </cell>
          <cell r="AF183">
            <v>11944.35</v>
          </cell>
          <cell r="AG183">
            <v>15862.88</v>
          </cell>
          <cell r="AH183">
            <v>4992.71</v>
          </cell>
          <cell r="AI183">
            <v>11832.24</v>
          </cell>
          <cell r="AJ183">
            <v>8924.2099999999991</v>
          </cell>
          <cell r="AK183">
            <v>8250.39</v>
          </cell>
          <cell r="AL183">
            <v>12918.36</v>
          </cell>
          <cell r="AM183">
            <v>11723.46</v>
          </cell>
          <cell r="AN183">
            <v>7013.8</v>
          </cell>
          <cell r="AO183">
            <v>8808.77</v>
          </cell>
          <cell r="AP183">
            <v>8309.5</v>
          </cell>
          <cell r="AQ183">
            <v>8176.76</v>
          </cell>
          <cell r="AR183">
            <v>8413.36</v>
          </cell>
          <cell r="AS183">
            <v>8373.7199999999993</v>
          </cell>
          <cell r="AT183">
            <v>10514.52</v>
          </cell>
          <cell r="AU183">
            <v>10226.26</v>
          </cell>
          <cell r="AV183">
            <v>8714.56</v>
          </cell>
          <cell r="AW183">
            <v>6507.5</v>
          </cell>
          <cell r="AX183">
            <v>7260.94</v>
          </cell>
          <cell r="AY183">
            <v>11500.36</v>
          </cell>
          <cell r="AZ183">
            <v>6016.55</v>
          </cell>
          <cell r="BA183">
            <v>6817.53</v>
          </cell>
          <cell r="BB183">
            <v>6216.57</v>
          </cell>
          <cell r="BC183">
            <v>11235.68</v>
          </cell>
          <cell r="BD183">
            <v>14136.23</v>
          </cell>
          <cell r="BE183">
            <v>10145.379999999999</v>
          </cell>
          <cell r="BF183">
            <v>14896.36</v>
          </cell>
          <cell r="BG183">
            <v>17434.919999999998</v>
          </cell>
          <cell r="BH183">
            <v>8102.85</v>
          </cell>
          <cell r="BI183">
            <v>15161.28</v>
          </cell>
          <cell r="BJ183">
            <v>15547.73</v>
          </cell>
          <cell r="BK183">
            <v>17683.23</v>
          </cell>
          <cell r="BL183">
            <v>9406.51</v>
          </cell>
          <cell r="BM183">
            <v>11302.51</v>
          </cell>
          <cell r="BN183">
            <v>8421.08</v>
          </cell>
          <cell r="BO183">
            <v>7195.48</v>
          </cell>
          <cell r="BP183">
            <v>12347.23</v>
          </cell>
          <cell r="BQ183">
            <v>13696.74</v>
          </cell>
          <cell r="BR183">
            <v>12425.21</v>
          </cell>
          <cell r="BS183">
            <v>21181.72</v>
          </cell>
          <cell r="BT183">
            <v>15968.86</v>
          </cell>
          <cell r="BU183">
            <v>15858.77</v>
          </cell>
          <cell r="BV183">
            <v>12697.27</v>
          </cell>
          <cell r="BW183">
            <v>16716.89</v>
          </cell>
          <cell r="BX183">
            <v>9929.9</v>
          </cell>
          <cell r="BY183">
            <v>10233.209999999999</v>
          </cell>
          <cell r="BZ183">
            <v>10259.89</v>
          </cell>
          <cell r="CA183">
            <v>2101.83</v>
          </cell>
          <cell r="CB183">
            <v>2903.76</v>
          </cell>
          <cell r="CC183">
            <v>4986.71</v>
          </cell>
          <cell r="CD183">
            <v>8249.85</v>
          </cell>
          <cell r="CE183">
            <v>3711.15</v>
          </cell>
          <cell r="CF183">
            <v>5996.37</v>
          </cell>
          <cell r="CG183">
            <v>2702.57</v>
          </cell>
          <cell r="CH183">
            <v>5471.88</v>
          </cell>
          <cell r="CI183">
            <v>3703.76</v>
          </cell>
          <cell r="CJ183">
            <v>998.22</v>
          </cell>
          <cell r="CK183">
            <v>6228.71</v>
          </cell>
          <cell r="CL183">
            <v>8185.41</v>
          </cell>
          <cell r="CM183">
            <v>8010.57</v>
          </cell>
          <cell r="CN183">
            <v>5727.43</v>
          </cell>
          <cell r="CO183">
            <v>6352.08</v>
          </cell>
          <cell r="CP183">
            <v>4477.76</v>
          </cell>
          <cell r="CQ183">
            <v>7178.11</v>
          </cell>
          <cell r="CR183">
            <v>3472.56</v>
          </cell>
          <cell r="CS183">
            <v>5307.12</v>
          </cell>
          <cell r="CT183">
            <v>5782.56</v>
          </cell>
          <cell r="CU183">
            <v>5649.57</v>
          </cell>
          <cell r="CV183">
            <v>1979.52</v>
          </cell>
          <cell r="CW183">
            <v>4826.2299999999996</v>
          </cell>
          <cell r="CX183">
            <v>5419.59</v>
          </cell>
          <cell r="CY183">
            <v>7425.45</v>
          </cell>
          <cell r="CZ183">
            <v>7985.86</v>
          </cell>
          <cell r="DA183">
            <v>10831.65</v>
          </cell>
          <cell r="DB183">
            <v>10309.09</v>
          </cell>
          <cell r="DC183">
            <v>14007.65</v>
          </cell>
          <cell r="DD183">
            <v>10627.86</v>
          </cell>
          <cell r="DE183">
            <v>13177.84</v>
          </cell>
          <cell r="DF183">
            <v>17797.03</v>
          </cell>
          <cell r="DG183">
            <v>11905.54</v>
          </cell>
        </row>
        <row r="184">
          <cell r="A184">
            <v>6030060</v>
          </cell>
          <cell r="B184">
            <v>6030060</v>
          </cell>
          <cell r="C184" t="str">
            <v>EE Shoes Uniforms</v>
          </cell>
          <cell r="D184">
            <v>11628.85</v>
          </cell>
          <cell r="E184">
            <v>19304.88</v>
          </cell>
          <cell r="F184">
            <v>25302.53</v>
          </cell>
          <cell r="G184">
            <v>12179.09</v>
          </cell>
          <cell r="H184">
            <v>11509.79</v>
          </cell>
          <cell r="I184">
            <v>12284.93</v>
          </cell>
          <cell r="J184">
            <v>11270.02</v>
          </cell>
          <cell r="K184">
            <v>9674.64</v>
          </cell>
          <cell r="L184">
            <v>8326.39</v>
          </cell>
          <cell r="M184">
            <v>9150.36</v>
          </cell>
          <cell r="N184">
            <v>9313.1299999999992</v>
          </cell>
          <cell r="O184">
            <v>6890.83</v>
          </cell>
          <cell r="P184">
            <v>7818.53</v>
          </cell>
          <cell r="Q184">
            <v>11377.61</v>
          </cell>
          <cell r="R184">
            <v>11586.79</v>
          </cell>
          <cell r="S184">
            <v>10006.89</v>
          </cell>
          <cell r="T184">
            <v>7701.93</v>
          </cell>
          <cell r="U184">
            <v>9861.36</v>
          </cell>
          <cell r="V184">
            <v>6838.56</v>
          </cell>
          <cell r="W184">
            <v>6360.27</v>
          </cell>
          <cell r="X184">
            <v>8962.24</v>
          </cell>
          <cell r="Y184">
            <v>3316.66</v>
          </cell>
          <cell r="Z184">
            <v>11100.87</v>
          </cell>
          <cell r="AA184">
            <v>6573.22</v>
          </cell>
          <cell r="AB184">
            <v>15195.78</v>
          </cell>
          <cell r="AC184">
            <v>15293.79</v>
          </cell>
          <cell r="AD184">
            <v>46178.12</v>
          </cell>
          <cell r="AE184">
            <v>21216.26</v>
          </cell>
          <cell r="AF184">
            <v>23882.52</v>
          </cell>
          <cell r="AG184">
            <v>10351.32</v>
          </cell>
          <cell r="AH184">
            <v>13943.52</v>
          </cell>
          <cell r="AI184">
            <v>28153.4</v>
          </cell>
          <cell r="AJ184">
            <v>7841.64</v>
          </cell>
          <cell r="AK184">
            <v>8318.4</v>
          </cell>
          <cell r="AL184">
            <v>20609.29</v>
          </cell>
          <cell r="AM184">
            <v>29274.03</v>
          </cell>
          <cell r="AN184">
            <v>22943.78</v>
          </cell>
          <cell r="AO184">
            <v>18865.62</v>
          </cell>
          <cell r="AP184">
            <v>21317.89</v>
          </cell>
          <cell r="AQ184">
            <v>8901.09</v>
          </cell>
          <cell r="AR184">
            <v>17652.310000000001</v>
          </cell>
          <cell r="AS184">
            <v>14138.54</v>
          </cell>
          <cell r="AT184">
            <v>8978.76</v>
          </cell>
          <cell r="AU184">
            <v>10692.28</v>
          </cell>
          <cell r="AV184">
            <v>17335.03</v>
          </cell>
          <cell r="AW184">
            <v>3999.42</v>
          </cell>
          <cell r="AX184">
            <v>10813.33</v>
          </cell>
          <cell r="AY184">
            <v>9350.76</v>
          </cell>
          <cell r="AZ184">
            <v>15370.14</v>
          </cell>
          <cell r="BA184">
            <v>25407.85</v>
          </cell>
          <cell r="BB184">
            <v>17785.45</v>
          </cell>
          <cell r="BC184">
            <v>16179.3</v>
          </cell>
          <cell r="BD184">
            <v>21701.42</v>
          </cell>
          <cell r="BE184">
            <v>15302.65</v>
          </cell>
          <cell r="BF184">
            <v>13492.13</v>
          </cell>
          <cell r="BG184">
            <v>17159.330000000002</v>
          </cell>
          <cell r="BH184">
            <v>9382.51</v>
          </cell>
          <cell r="BI184">
            <v>14942.18</v>
          </cell>
          <cell r="BJ184">
            <v>19083.919999999998</v>
          </cell>
          <cell r="BK184">
            <v>12650.97</v>
          </cell>
          <cell r="BL184">
            <v>20440.810000000001</v>
          </cell>
          <cell r="BM184">
            <v>27281.119999999999</v>
          </cell>
          <cell r="BN184">
            <v>30782.400000000001</v>
          </cell>
          <cell r="BO184">
            <v>51756.69</v>
          </cell>
          <cell r="BP184">
            <v>17659.849999999999</v>
          </cell>
          <cell r="BQ184">
            <v>106032.32000000001</v>
          </cell>
          <cell r="BR184">
            <v>27461.47</v>
          </cell>
          <cell r="BS184">
            <v>14481.89</v>
          </cell>
          <cell r="BT184">
            <v>29824.45</v>
          </cell>
          <cell r="BU184">
            <v>50170.63</v>
          </cell>
          <cell r="BV184">
            <v>33163.11</v>
          </cell>
          <cell r="BW184">
            <v>15622.01</v>
          </cell>
          <cell r="BX184">
            <v>16610.580000000002</v>
          </cell>
          <cell r="BY184">
            <v>77450.11</v>
          </cell>
          <cell r="BZ184">
            <v>32035.09</v>
          </cell>
          <cell r="CA184">
            <v>8792.25</v>
          </cell>
          <cell r="CB184">
            <v>25618.86</v>
          </cell>
          <cell r="CC184">
            <v>10053.469999999999</v>
          </cell>
          <cell r="CD184">
            <v>8086.65</v>
          </cell>
          <cell r="CE184">
            <v>17097.439999999999</v>
          </cell>
          <cell r="CF184">
            <v>4531.18</v>
          </cell>
          <cell r="CG184">
            <v>42805.66</v>
          </cell>
          <cell r="CH184">
            <v>73916.45</v>
          </cell>
          <cell r="CI184">
            <v>6370.52</v>
          </cell>
          <cell r="CJ184">
            <v>110493.24</v>
          </cell>
          <cell r="CK184">
            <v>40637.1</v>
          </cell>
          <cell r="CL184">
            <v>40610.32</v>
          </cell>
          <cell r="CM184">
            <v>27280.45</v>
          </cell>
          <cell r="CN184">
            <v>13747.83</v>
          </cell>
          <cell r="CO184">
            <v>42232.77</v>
          </cell>
          <cell r="CP184">
            <v>10001.27</v>
          </cell>
          <cell r="CQ184">
            <v>16955.3</v>
          </cell>
          <cell r="CR184">
            <v>6282.9</v>
          </cell>
          <cell r="CS184">
            <v>10884.02</v>
          </cell>
          <cell r="CT184">
            <v>42893.599999999999</v>
          </cell>
          <cell r="CU184">
            <v>50976.01</v>
          </cell>
          <cell r="CV184">
            <v>12848.42</v>
          </cell>
          <cell r="CW184">
            <v>20825.43</v>
          </cell>
          <cell r="CX184">
            <v>50280.63</v>
          </cell>
          <cell r="CY184">
            <v>32619.07</v>
          </cell>
          <cell r="CZ184">
            <v>21087.119999999999</v>
          </cell>
          <cell r="DA184">
            <v>18654.79</v>
          </cell>
          <cell r="DB184">
            <v>20419.55</v>
          </cell>
          <cell r="DC184">
            <v>41331.68</v>
          </cell>
          <cell r="DD184">
            <v>26246.45</v>
          </cell>
          <cell r="DE184">
            <v>16676.16</v>
          </cell>
          <cell r="DF184">
            <v>35550.370000000003</v>
          </cell>
          <cell r="DG184">
            <v>24163.24</v>
          </cell>
        </row>
        <row r="185">
          <cell r="A185">
            <v>6030070</v>
          </cell>
          <cell r="B185">
            <v>6030070</v>
          </cell>
          <cell r="C185" t="str">
            <v>EE Training</v>
          </cell>
          <cell r="D185">
            <v>13780</v>
          </cell>
          <cell r="E185">
            <v>13545</v>
          </cell>
          <cell r="F185">
            <v>12046.68</v>
          </cell>
          <cell r="G185">
            <v>2146.96</v>
          </cell>
          <cell r="H185">
            <v>3979.23</v>
          </cell>
          <cell r="I185">
            <v>13452.39</v>
          </cell>
          <cell r="J185">
            <v>5586.52</v>
          </cell>
          <cell r="K185">
            <v>19282.86</v>
          </cell>
          <cell r="L185">
            <v>12491.57</v>
          </cell>
          <cell r="M185">
            <v>3488.95</v>
          </cell>
          <cell r="N185">
            <v>1550</v>
          </cell>
          <cell r="O185">
            <v>6520.66</v>
          </cell>
          <cell r="P185">
            <v>0</v>
          </cell>
          <cell r="Q185">
            <v>1688.01</v>
          </cell>
          <cell r="R185">
            <v>13801.63</v>
          </cell>
          <cell r="S185">
            <v>5006.2700000000004</v>
          </cell>
          <cell r="T185">
            <v>1374.18</v>
          </cell>
          <cell r="U185">
            <v>10895.5</v>
          </cell>
          <cell r="V185">
            <v>1533.2</v>
          </cell>
          <cell r="W185">
            <v>926.34</v>
          </cell>
          <cell r="X185">
            <v>13090.5</v>
          </cell>
          <cell r="Y185">
            <v>1600.9</v>
          </cell>
          <cell r="Z185">
            <v>3174.36</v>
          </cell>
          <cell r="AA185">
            <v>16062.81</v>
          </cell>
          <cell r="AB185">
            <v>320</v>
          </cell>
          <cell r="AC185">
            <v>4030.45</v>
          </cell>
          <cell r="AD185">
            <v>4187.09</v>
          </cell>
          <cell r="AE185">
            <v>3371.3</v>
          </cell>
          <cell r="AF185">
            <v>5764.95</v>
          </cell>
          <cell r="AG185">
            <v>8523.2999999999993</v>
          </cell>
          <cell r="AH185">
            <v>1549.95</v>
          </cell>
          <cell r="AI185">
            <v>2616.65</v>
          </cell>
          <cell r="AJ185">
            <v>6992.8</v>
          </cell>
          <cell r="AK185">
            <v>3055.22</v>
          </cell>
          <cell r="AL185">
            <v>15674.68</v>
          </cell>
          <cell r="AM185">
            <v>13209.97</v>
          </cell>
          <cell r="AN185">
            <v>7288.72</v>
          </cell>
          <cell r="AO185">
            <v>4860.3</v>
          </cell>
          <cell r="AP185">
            <v>4737.78</v>
          </cell>
          <cell r="AQ185">
            <v>8685.18</v>
          </cell>
          <cell r="AR185">
            <v>12244.38</v>
          </cell>
          <cell r="AS185">
            <v>3947.62</v>
          </cell>
          <cell r="AT185">
            <v>5183.4799999999996</v>
          </cell>
          <cell r="AU185">
            <v>3715</v>
          </cell>
          <cell r="AV185">
            <v>4953</v>
          </cell>
          <cell r="AW185">
            <v>-3206.48</v>
          </cell>
          <cell r="AX185">
            <v>1990.4</v>
          </cell>
          <cell r="AY185">
            <v>3624.26</v>
          </cell>
          <cell r="AZ185">
            <v>0</v>
          </cell>
          <cell r="BA185">
            <v>3258.99</v>
          </cell>
          <cell r="BB185">
            <v>2741.03</v>
          </cell>
          <cell r="BC185">
            <v>9754.49</v>
          </cell>
          <cell r="BD185">
            <v>9993.14</v>
          </cell>
          <cell r="BE185">
            <v>2144.96</v>
          </cell>
          <cell r="BF185">
            <v>878.94</v>
          </cell>
          <cell r="BG185">
            <v>2443.1</v>
          </cell>
          <cell r="BH185">
            <v>3130.86</v>
          </cell>
          <cell r="BI185">
            <v>11343.52</v>
          </cell>
          <cell r="BJ185">
            <v>10898.29</v>
          </cell>
          <cell r="BK185">
            <v>11031.25</v>
          </cell>
          <cell r="BL185">
            <v>195</v>
          </cell>
          <cell r="BM185">
            <v>3648.97</v>
          </cell>
          <cell r="BN185">
            <v>9426.42</v>
          </cell>
          <cell r="BO185">
            <v>4780.24</v>
          </cell>
          <cell r="BP185">
            <v>8446.65</v>
          </cell>
          <cell r="BQ185">
            <v>2759.49</v>
          </cell>
          <cell r="BR185">
            <v>1271.1500000000001</v>
          </cell>
          <cell r="BS185">
            <v>8807.36</v>
          </cell>
          <cell r="BT185">
            <v>4084.56</v>
          </cell>
          <cell r="BU185">
            <v>11057.75</v>
          </cell>
          <cell r="BV185">
            <v>6392.59</v>
          </cell>
          <cell r="BW185">
            <v>12938.49</v>
          </cell>
          <cell r="BX185">
            <v>2841.7</v>
          </cell>
          <cell r="BY185">
            <v>13927.53</v>
          </cell>
          <cell r="BZ185">
            <v>12443.43</v>
          </cell>
          <cell r="CA185">
            <v>227.42</v>
          </cell>
          <cell r="CB185">
            <v>6584.82</v>
          </cell>
          <cell r="CC185">
            <v>5487.47</v>
          </cell>
          <cell r="CD185">
            <v>3863</v>
          </cell>
          <cell r="CE185">
            <v>2548.77</v>
          </cell>
          <cell r="CF185">
            <v>2501.54</v>
          </cell>
          <cell r="CG185">
            <v>5205.75</v>
          </cell>
          <cell r="CH185">
            <v>2759.66</v>
          </cell>
          <cell r="CI185">
            <v>14680.45</v>
          </cell>
          <cell r="CJ185">
            <v>1249</v>
          </cell>
          <cell r="CK185">
            <v>5627.21</v>
          </cell>
          <cell r="CL185">
            <v>2460</v>
          </cell>
          <cell r="CM185">
            <v>7386.1</v>
          </cell>
          <cell r="CN185">
            <v>8985.34</v>
          </cell>
          <cell r="CO185">
            <v>6182.16</v>
          </cell>
          <cell r="CP185">
            <v>5776.17</v>
          </cell>
          <cell r="CQ185">
            <v>4407</v>
          </cell>
          <cell r="CR185">
            <v>10049.299999999999</v>
          </cell>
          <cell r="CS185">
            <v>16048.34</v>
          </cell>
          <cell r="CT185">
            <v>18788.349999999999</v>
          </cell>
          <cell r="CU185">
            <v>15741.12</v>
          </cell>
          <cell r="CV185">
            <v>4715.07</v>
          </cell>
          <cell r="CW185">
            <v>7784.29</v>
          </cell>
          <cell r="CX185">
            <v>14857.68</v>
          </cell>
          <cell r="CY185">
            <v>22224.57</v>
          </cell>
          <cell r="CZ185">
            <v>50696.1</v>
          </cell>
          <cell r="DA185">
            <v>37082.480000000003</v>
          </cell>
          <cell r="DB185">
            <v>39007.94</v>
          </cell>
          <cell r="DC185">
            <v>25955.53</v>
          </cell>
          <cell r="DD185">
            <v>32321.13</v>
          </cell>
          <cell r="DE185">
            <v>49640.89</v>
          </cell>
          <cell r="DF185">
            <v>18139.240000000002</v>
          </cell>
          <cell r="DG185">
            <v>13347.88</v>
          </cell>
        </row>
        <row r="186">
          <cell r="A186">
            <v>6030080</v>
          </cell>
          <cell r="B186">
            <v>6030080</v>
          </cell>
          <cell r="C186" t="str">
            <v>EE Travel Lodging</v>
          </cell>
          <cell r="D186">
            <v>7736</v>
          </cell>
          <cell r="E186">
            <v>40559.449999999997</v>
          </cell>
          <cell r="F186">
            <v>37419.449999999997</v>
          </cell>
          <cell r="G186">
            <v>28269.57</v>
          </cell>
          <cell r="H186">
            <v>43552.959999999999</v>
          </cell>
          <cell r="I186">
            <v>43523.97</v>
          </cell>
          <cell r="J186">
            <v>46204.08</v>
          </cell>
          <cell r="K186">
            <v>34164.769999999997</v>
          </cell>
          <cell r="L186">
            <v>43093.18</v>
          </cell>
          <cell r="M186">
            <v>46775.22</v>
          </cell>
          <cell r="N186">
            <v>46288.81</v>
          </cell>
          <cell r="O186">
            <v>61326.21</v>
          </cell>
          <cell r="P186">
            <v>6916.33</v>
          </cell>
          <cell r="Q186">
            <v>34543.440000000002</v>
          </cell>
          <cell r="R186">
            <v>45384.85</v>
          </cell>
          <cell r="S186">
            <v>46776.38</v>
          </cell>
          <cell r="T186">
            <v>50798.14</v>
          </cell>
          <cell r="U186">
            <v>59764.42</v>
          </cell>
          <cell r="V186">
            <v>58262.63</v>
          </cell>
          <cell r="W186">
            <v>44690.879999999997</v>
          </cell>
          <cell r="X186">
            <v>46296.63</v>
          </cell>
          <cell r="Y186">
            <v>70620.710000000006</v>
          </cell>
          <cell r="Z186">
            <v>51525.52</v>
          </cell>
          <cell r="AA186">
            <v>77867.92</v>
          </cell>
          <cell r="AB186">
            <v>2847.91</v>
          </cell>
          <cell r="AC186">
            <v>55202.93</v>
          </cell>
          <cell r="AD186">
            <v>44196.55</v>
          </cell>
          <cell r="AE186">
            <v>56162.720000000001</v>
          </cell>
          <cell r="AF186">
            <v>46056.65</v>
          </cell>
          <cell r="AG186">
            <v>71087.83</v>
          </cell>
          <cell r="AH186">
            <v>43588.21</v>
          </cell>
          <cell r="AI186">
            <v>41371.379999999997</v>
          </cell>
          <cell r="AJ186">
            <v>49421.7</v>
          </cell>
          <cell r="AK186">
            <v>59642.7</v>
          </cell>
          <cell r="AL186">
            <v>44183.79</v>
          </cell>
          <cell r="AM186">
            <v>91292.81</v>
          </cell>
          <cell r="AN186">
            <v>3192.94</v>
          </cell>
          <cell r="AO186">
            <v>30600.28</v>
          </cell>
          <cell r="AP186">
            <v>48336.75</v>
          </cell>
          <cell r="AQ186">
            <v>36416.910000000003</v>
          </cell>
          <cell r="AR186">
            <v>37977.980000000003</v>
          </cell>
          <cell r="AS186">
            <v>45772.37</v>
          </cell>
          <cell r="AT186">
            <v>40382.53</v>
          </cell>
          <cell r="AU186">
            <v>30051.26</v>
          </cell>
          <cell r="AV186">
            <v>61781.81</v>
          </cell>
          <cell r="AW186">
            <v>31247.68</v>
          </cell>
          <cell r="AX186">
            <v>48561.1</v>
          </cell>
          <cell r="AY186">
            <v>82167.350000000006</v>
          </cell>
          <cell r="AZ186">
            <v>5910.29</v>
          </cell>
          <cell r="BA186">
            <v>60397.09</v>
          </cell>
          <cell r="BB186">
            <v>80157.72</v>
          </cell>
          <cell r="BC186">
            <v>52719.7</v>
          </cell>
          <cell r="BD186">
            <v>86397.46</v>
          </cell>
          <cell r="BE186">
            <v>63832.38</v>
          </cell>
          <cell r="BF186">
            <v>59296.28</v>
          </cell>
          <cell r="BG186">
            <v>57948.59</v>
          </cell>
          <cell r="BH186">
            <v>65526.16</v>
          </cell>
          <cell r="BI186">
            <v>45468.6</v>
          </cell>
          <cell r="BJ186">
            <v>60477.42</v>
          </cell>
          <cell r="BK186">
            <v>107158.8</v>
          </cell>
          <cell r="BL186">
            <v>13068.48</v>
          </cell>
          <cell r="BM186">
            <v>88142.83</v>
          </cell>
          <cell r="BN186">
            <v>70982.2</v>
          </cell>
          <cell r="BO186">
            <v>51904.08</v>
          </cell>
          <cell r="BP186">
            <v>66110.69</v>
          </cell>
          <cell r="BQ186">
            <v>76297.039999999994</v>
          </cell>
          <cell r="BR186">
            <v>75036.28</v>
          </cell>
          <cell r="BS186">
            <v>76258.17</v>
          </cell>
          <cell r="BT186">
            <v>98859.61</v>
          </cell>
          <cell r="BU186">
            <v>83029.08</v>
          </cell>
          <cell r="BV186">
            <v>62183.839999999997</v>
          </cell>
          <cell r="BW186">
            <v>112337.1</v>
          </cell>
          <cell r="BX186">
            <v>12463.05</v>
          </cell>
          <cell r="BY186">
            <v>63082.85</v>
          </cell>
          <cell r="BZ186">
            <v>90792.7</v>
          </cell>
          <cell r="CA186">
            <v>45355.74</v>
          </cell>
          <cell r="CB186">
            <v>2199.6999999999998</v>
          </cell>
          <cell r="CC186">
            <v>4014.23</v>
          </cell>
          <cell r="CD186">
            <v>16428.41</v>
          </cell>
          <cell r="CE186">
            <v>28465.84</v>
          </cell>
          <cell r="CF186">
            <v>41892.58</v>
          </cell>
          <cell r="CG186">
            <v>25637.71</v>
          </cell>
          <cell r="CH186">
            <v>27798.720000000001</v>
          </cell>
          <cell r="CI186">
            <v>32269.71</v>
          </cell>
          <cell r="CJ186">
            <v>13099.26</v>
          </cell>
          <cell r="CK186">
            <v>33961.43</v>
          </cell>
          <cell r="CL186">
            <v>44437.73</v>
          </cell>
          <cell r="CM186">
            <v>43745.52</v>
          </cell>
          <cell r="CN186">
            <v>49384.1</v>
          </cell>
          <cell r="CO186">
            <v>41439.51</v>
          </cell>
          <cell r="CP186">
            <v>39544.49</v>
          </cell>
          <cell r="CQ186">
            <v>61540.95</v>
          </cell>
          <cell r="CR186">
            <v>52182.32</v>
          </cell>
          <cell r="CS186">
            <v>38707.06</v>
          </cell>
          <cell r="CT186">
            <v>67333.06</v>
          </cell>
          <cell r="CU186">
            <v>96415.49</v>
          </cell>
          <cell r="CV186">
            <v>22711.759999999998</v>
          </cell>
          <cell r="CW186">
            <v>47441.98</v>
          </cell>
          <cell r="CX186">
            <v>79919.55</v>
          </cell>
          <cell r="CY186">
            <v>83058.63</v>
          </cell>
          <cell r="CZ186">
            <v>97537.24</v>
          </cell>
          <cell r="DA186">
            <v>101485.24</v>
          </cell>
          <cell r="DB186">
            <v>62792.51</v>
          </cell>
          <cell r="DC186">
            <v>150282.47</v>
          </cell>
          <cell r="DD186">
            <v>97040.52</v>
          </cell>
          <cell r="DE186">
            <v>130548.85</v>
          </cell>
          <cell r="DF186">
            <v>142154.10999999999</v>
          </cell>
          <cell r="DG186">
            <v>135571.6</v>
          </cell>
        </row>
        <row r="187">
          <cell r="A187">
            <v>6030090</v>
          </cell>
          <cell r="B187">
            <v>6030090</v>
          </cell>
          <cell r="C187" t="str">
            <v>Empl Exp - Relocation Expenses</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2500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1000</v>
          </cell>
          <cell r="CV187">
            <v>0</v>
          </cell>
          <cell r="CW187">
            <v>0</v>
          </cell>
          <cell r="CX187">
            <v>0</v>
          </cell>
          <cell r="CY187">
            <v>0</v>
          </cell>
          <cell r="CZ187">
            <v>0</v>
          </cell>
          <cell r="DA187">
            <v>0</v>
          </cell>
          <cell r="DB187">
            <v>370</v>
          </cell>
          <cell r="DC187">
            <v>0</v>
          </cell>
          <cell r="DD187">
            <v>0</v>
          </cell>
          <cell r="DE187">
            <v>809</v>
          </cell>
          <cell r="DF187">
            <v>1230</v>
          </cell>
          <cell r="DG187">
            <v>0</v>
          </cell>
        </row>
        <row r="188">
          <cell r="A188">
            <v>6030091</v>
          </cell>
          <cell r="B188">
            <v>6030091</v>
          </cell>
          <cell r="C188" t="str">
            <v>Empl Exp - Employee Appreciation and Gift Cards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320.01</v>
          </cell>
          <cell r="CF188">
            <v>869.41</v>
          </cell>
          <cell r="CG188">
            <v>216.13</v>
          </cell>
          <cell r="CH188">
            <v>1105.3499999999999</v>
          </cell>
          <cell r="CI188">
            <v>7247.38</v>
          </cell>
          <cell r="CJ188">
            <v>4063.79</v>
          </cell>
          <cell r="CK188">
            <v>794.39</v>
          </cell>
          <cell r="CL188">
            <v>1673.25</v>
          </cell>
          <cell r="CM188">
            <v>2261.7399999999998</v>
          </cell>
          <cell r="CN188">
            <v>1987.87</v>
          </cell>
          <cell r="CO188">
            <v>2663.46</v>
          </cell>
          <cell r="CP188">
            <v>819.08</v>
          </cell>
          <cell r="CQ188">
            <v>518.72</v>
          </cell>
          <cell r="CR188">
            <v>516.66</v>
          </cell>
          <cell r="CS188">
            <v>931.26</v>
          </cell>
          <cell r="CT188">
            <v>4634.03</v>
          </cell>
          <cell r="CU188">
            <v>7850.82</v>
          </cell>
          <cell r="CV188">
            <v>6094.89</v>
          </cell>
          <cell r="CW188">
            <v>2612.5100000000002</v>
          </cell>
          <cell r="CX188">
            <v>1293.5999999999999</v>
          </cell>
          <cell r="CY188">
            <v>4254.6899999999996</v>
          </cell>
          <cell r="CZ188">
            <v>2803.23</v>
          </cell>
          <cell r="DA188">
            <v>3274.12</v>
          </cell>
          <cell r="DB188">
            <v>311.57</v>
          </cell>
          <cell r="DC188">
            <v>1845.87</v>
          </cell>
          <cell r="DD188">
            <v>1787.77</v>
          </cell>
          <cell r="DE188">
            <v>3937.05</v>
          </cell>
          <cell r="DF188">
            <v>3647.97</v>
          </cell>
          <cell r="DG188">
            <v>5412.95</v>
          </cell>
        </row>
        <row r="189">
          <cell r="A189">
            <v>6030800</v>
          </cell>
          <cell r="B189">
            <v>6030800</v>
          </cell>
          <cell r="C189" t="str">
            <v>EE Miscellaneous</v>
          </cell>
          <cell r="D189">
            <v>20086.47</v>
          </cell>
          <cell r="E189">
            <v>17769.22</v>
          </cell>
          <cell r="F189">
            <v>13638.02</v>
          </cell>
          <cell r="G189">
            <v>22443.08</v>
          </cell>
          <cell r="H189">
            <v>11696.11</v>
          </cell>
          <cell r="I189">
            <v>27724.27</v>
          </cell>
          <cell r="J189">
            <v>12185.42</v>
          </cell>
          <cell r="K189">
            <v>17499.419999999998</v>
          </cell>
          <cell r="L189">
            <v>11313.25</v>
          </cell>
          <cell r="M189">
            <v>29687.79</v>
          </cell>
          <cell r="N189">
            <v>14899.61</v>
          </cell>
          <cell r="O189">
            <v>33033.26</v>
          </cell>
          <cell r="P189">
            <v>6000.59</v>
          </cell>
          <cell r="Q189">
            <v>14661.56</v>
          </cell>
          <cell r="R189">
            <v>15983.69</v>
          </cell>
          <cell r="S189">
            <v>16702.48</v>
          </cell>
          <cell r="T189">
            <v>21376.240000000002</v>
          </cell>
          <cell r="U189">
            <v>20202.59</v>
          </cell>
          <cell r="V189">
            <v>17610.59</v>
          </cell>
          <cell r="W189">
            <v>22193.08</v>
          </cell>
          <cell r="X189">
            <v>29491.56</v>
          </cell>
          <cell r="Y189">
            <v>33476.04</v>
          </cell>
          <cell r="Z189">
            <v>16907.310000000001</v>
          </cell>
          <cell r="AA189">
            <v>42782.86</v>
          </cell>
          <cell r="AB189">
            <v>25509.82</v>
          </cell>
          <cell r="AC189">
            <v>19871.55</v>
          </cell>
          <cell r="AD189">
            <v>16988.29</v>
          </cell>
          <cell r="AE189">
            <v>19511.87</v>
          </cell>
          <cell r="AF189">
            <v>16345.55</v>
          </cell>
          <cell r="AG189">
            <v>17683.38</v>
          </cell>
          <cell r="AH189">
            <v>14454.65</v>
          </cell>
          <cell r="AI189">
            <v>33103.660000000003</v>
          </cell>
          <cell r="AJ189">
            <v>25112.400000000001</v>
          </cell>
          <cell r="AK189">
            <v>19863.509999999998</v>
          </cell>
          <cell r="AL189">
            <v>27004.92</v>
          </cell>
          <cell r="AM189">
            <v>49245.77</v>
          </cell>
          <cell r="AN189">
            <v>4102.05</v>
          </cell>
          <cell r="AO189">
            <v>33113.129999999997</v>
          </cell>
          <cell r="AP189">
            <v>17246.810000000001</v>
          </cell>
          <cell r="AQ189">
            <v>23900.22</v>
          </cell>
          <cell r="AR189">
            <v>22583.119999999999</v>
          </cell>
          <cell r="AS189">
            <v>14361.51</v>
          </cell>
          <cell r="AT189">
            <v>13390.62</v>
          </cell>
          <cell r="AU189">
            <v>20852.650000000001</v>
          </cell>
          <cell r="AV189">
            <v>18931.23</v>
          </cell>
          <cell r="AW189">
            <v>25103.77</v>
          </cell>
          <cell r="AX189">
            <v>21376.65</v>
          </cell>
          <cell r="AY189">
            <v>31775.03</v>
          </cell>
          <cell r="AZ189">
            <v>6146.3</v>
          </cell>
          <cell r="BA189">
            <v>19009.09</v>
          </cell>
          <cell r="BB189">
            <v>16546.330000000002</v>
          </cell>
          <cell r="BC189">
            <v>22908.65</v>
          </cell>
          <cell r="BD189">
            <v>29676.02</v>
          </cell>
          <cell r="BE189">
            <v>30894.66</v>
          </cell>
          <cell r="BF189">
            <v>12786.32</v>
          </cell>
          <cell r="BG189">
            <v>23931.599999999999</v>
          </cell>
          <cell r="BH189">
            <v>13052.59</v>
          </cell>
          <cell r="BI189">
            <v>16266</v>
          </cell>
          <cell r="BJ189">
            <v>20346.7</v>
          </cell>
          <cell r="BK189">
            <v>22394.58</v>
          </cell>
          <cell r="BL189">
            <v>4335.07</v>
          </cell>
          <cell r="BM189">
            <v>11192.94</v>
          </cell>
          <cell r="BN189">
            <v>27113.66</v>
          </cell>
          <cell r="BO189">
            <v>9937.0400000000009</v>
          </cell>
          <cell r="BP189">
            <v>14410.31</v>
          </cell>
          <cell r="BQ189">
            <v>17696</v>
          </cell>
          <cell r="BR189">
            <v>43108.4</v>
          </cell>
          <cell r="BS189">
            <v>42107.62</v>
          </cell>
          <cell r="BT189">
            <v>30278.95</v>
          </cell>
          <cell r="BU189">
            <v>40479.57</v>
          </cell>
          <cell r="BV189">
            <v>85744.639999999999</v>
          </cell>
          <cell r="BW189">
            <v>77597.09</v>
          </cell>
          <cell r="BX189">
            <v>1140.3900000000001</v>
          </cell>
          <cell r="BY189">
            <v>37356.19</v>
          </cell>
          <cell r="BZ189">
            <v>85623.3</v>
          </cell>
          <cell r="CA189">
            <v>33287.31</v>
          </cell>
          <cell r="CB189">
            <v>28554.15</v>
          </cell>
          <cell r="CC189">
            <v>29974.95</v>
          </cell>
          <cell r="CD189">
            <v>-2990.04</v>
          </cell>
          <cell r="CE189">
            <v>29298.32</v>
          </cell>
          <cell r="CF189">
            <v>31958.03</v>
          </cell>
          <cell r="CG189">
            <v>23753.86</v>
          </cell>
          <cell r="CH189">
            <v>16529.13</v>
          </cell>
          <cell r="CI189">
            <v>33935.14</v>
          </cell>
          <cell r="CJ189">
            <v>6574.57</v>
          </cell>
          <cell r="CK189">
            <v>42065.74</v>
          </cell>
          <cell r="CL189">
            <v>14197.5</v>
          </cell>
          <cell r="CM189">
            <v>26016.91</v>
          </cell>
          <cell r="CN189">
            <v>18873.53</v>
          </cell>
          <cell r="CO189">
            <v>23484.05</v>
          </cell>
          <cell r="CP189">
            <v>18780.830000000002</v>
          </cell>
          <cell r="CQ189">
            <v>60048.38</v>
          </cell>
          <cell r="CR189">
            <v>28105.91</v>
          </cell>
          <cell r="CS189">
            <v>17673.93</v>
          </cell>
          <cell r="CT189">
            <v>36943.96</v>
          </cell>
          <cell r="CU189">
            <v>27326.76</v>
          </cell>
          <cell r="CV189">
            <v>25752.27</v>
          </cell>
          <cell r="CW189">
            <v>23537.67</v>
          </cell>
          <cell r="CX189">
            <v>42869.82</v>
          </cell>
          <cell r="CY189">
            <v>22084.13</v>
          </cell>
          <cell r="CZ189">
            <v>11339.15</v>
          </cell>
          <cell r="DA189">
            <v>26730.76</v>
          </cell>
          <cell r="DB189">
            <v>10354.39</v>
          </cell>
          <cell r="DC189">
            <v>10221.370000000001</v>
          </cell>
          <cell r="DD189">
            <v>67185.53</v>
          </cell>
          <cell r="DE189">
            <v>31053.53</v>
          </cell>
          <cell r="DF189">
            <v>118643.28</v>
          </cell>
          <cell r="DG189">
            <v>111379.06</v>
          </cell>
        </row>
        <row r="190">
          <cell r="A190">
            <v>6038999</v>
          </cell>
          <cell r="B190">
            <v>6038999</v>
          </cell>
          <cell r="C190" t="str">
            <v>Employee Exp Reclass</v>
          </cell>
          <cell r="D190">
            <v>0</v>
          </cell>
          <cell r="E190">
            <v>0</v>
          </cell>
          <cell r="F190">
            <v>0</v>
          </cell>
          <cell r="G190">
            <v>0</v>
          </cell>
          <cell r="H190">
            <v>0</v>
          </cell>
          <cell r="I190">
            <v>0</v>
          </cell>
          <cell r="J190">
            <v>0</v>
          </cell>
          <cell r="K190">
            <v>0</v>
          </cell>
          <cell r="L190">
            <v>0</v>
          </cell>
          <cell r="M190">
            <v>0</v>
          </cell>
          <cell r="N190">
            <v>204.7</v>
          </cell>
          <cell r="O190">
            <v>0</v>
          </cell>
          <cell r="P190">
            <v>0</v>
          </cell>
          <cell r="Q190">
            <v>0</v>
          </cell>
          <cell r="R190">
            <v>0</v>
          </cell>
          <cell r="S190">
            <v>0</v>
          </cell>
          <cell r="T190">
            <v>0</v>
          </cell>
          <cell r="U190">
            <v>0</v>
          </cell>
          <cell r="V190">
            <v>204.7</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1244.3599999999999</v>
          </cell>
          <cell r="AN190">
            <v>53.71</v>
          </cell>
          <cell r="AO190">
            <v>-0.06</v>
          </cell>
          <cell r="AP190">
            <v>0</v>
          </cell>
          <cell r="AQ190">
            <v>2.4</v>
          </cell>
          <cell r="AR190">
            <v>0</v>
          </cell>
          <cell r="AS190">
            <v>0</v>
          </cell>
          <cell r="AT190">
            <v>0</v>
          </cell>
          <cell r="AU190">
            <v>0</v>
          </cell>
          <cell r="AV190">
            <v>0</v>
          </cell>
          <cell r="AW190">
            <v>0</v>
          </cell>
          <cell r="AX190">
            <v>0</v>
          </cell>
          <cell r="AY190">
            <v>0</v>
          </cell>
          <cell r="AZ190">
            <v>0</v>
          </cell>
          <cell r="BA190">
            <v>824.02</v>
          </cell>
          <cell r="BB190">
            <v>0</v>
          </cell>
          <cell r="BC190">
            <v>0</v>
          </cell>
          <cell r="BD190">
            <v>0</v>
          </cell>
          <cell r="BE190">
            <v>0</v>
          </cell>
          <cell r="BF190">
            <v>0</v>
          </cell>
          <cell r="BG190">
            <v>605.25</v>
          </cell>
          <cell r="BH190">
            <v>0</v>
          </cell>
          <cell r="BI190">
            <v>0</v>
          </cell>
          <cell r="BJ190">
            <v>21.89</v>
          </cell>
          <cell r="BK190">
            <v>1141.04</v>
          </cell>
          <cell r="BL190">
            <v>0</v>
          </cell>
          <cell r="BM190">
            <v>-377.18</v>
          </cell>
          <cell r="BN190">
            <v>1401.13</v>
          </cell>
          <cell r="BO190">
            <v>501.58</v>
          </cell>
          <cell r="BP190">
            <v>111.06</v>
          </cell>
          <cell r="BQ190">
            <v>866.07</v>
          </cell>
          <cell r="BR190">
            <v>946.84</v>
          </cell>
          <cell r="BS190">
            <v>526.53</v>
          </cell>
          <cell r="BT190">
            <v>1035.1199999999999</v>
          </cell>
          <cell r="BU190">
            <v>1707.5</v>
          </cell>
          <cell r="BV190">
            <v>783.36</v>
          </cell>
          <cell r="BW190">
            <v>1287.05</v>
          </cell>
          <cell r="BX190">
            <v>0</v>
          </cell>
          <cell r="BY190">
            <v>803.57</v>
          </cell>
          <cell r="BZ190">
            <v>0</v>
          </cell>
          <cell r="CA190">
            <v>0</v>
          </cell>
          <cell r="CB190">
            <v>0</v>
          </cell>
          <cell r="CC190">
            <v>0</v>
          </cell>
          <cell r="CD190">
            <v>0</v>
          </cell>
          <cell r="CE190">
            <v>0</v>
          </cell>
          <cell r="CF190">
            <v>507.97</v>
          </cell>
          <cell r="CG190">
            <v>0</v>
          </cell>
          <cell r="CH190">
            <v>0</v>
          </cell>
          <cell r="CI190">
            <v>0</v>
          </cell>
          <cell r="CJ190">
            <v>0</v>
          </cell>
          <cell r="CK190">
            <v>0</v>
          </cell>
          <cell r="CL190">
            <v>0</v>
          </cell>
          <cell r="CM190">
            <v>337.68</v>
          </cell>
          <cell r="CN190">
            <v>717.78</v>
          </cell>
          <cell r="CO190">
            <v>0</v>
          </cell>
          <cell r="CP190">
            <v>0</v>
          </cell>
          <cell r="CQ190">
            <v>0</v>
          </cell>
          <cell r="CR190">
            <v>5320</v>
          </cell>
          <cell r="CS190">
            <v>-5320</v>
          </cell>
          <cell r="CT190">
            <v>0</v>
          </cell>
          <cell r="CU190">
            <v>244.29</v>
          </cell>
          <cell r="CV190">
            <v>0</v>
          </cell>
          <cell r="CW190">
            <v>0</v>
          </cell>
          <cell r="CX190">
            <v>0</v>
          </cell>
          <cell r="CY190">
            <v>0</v>
          </cell>
          <cell r="CZ190">
            <v>0</v>
          </cell>
          <cell r="DA190">
            <v>0</v>
          </cell>
          <cell r="DB190">
            <v>0</v>
          </cell>
          <cell r="DC190">
            <v>26.99</v>
          </cell>
          <cell r="DD190">
            <v>3.26</v>
          </cell>
          <cell r="DE190">
            <v>-52514.76</v>
          </cell>
          <cell r="DF190">
            <v>52853.84</v>
          </cell>
          <cell r="DG190">
            <v>0</v>
          </cell>
        </row>
        <row r="191">
          <cell r="A191">
            <v>6039000</v>
          </cell>
          <cell r="B191">
            <v>6039000</v>
          </cell>
          <cell r="C191" t="str">
            <v>Emp Exp to BalSheet</v>
          </cell>
          <cell r="D191">
            <v>-1841.06</v>
          </cell>
          <cell r="E191">
            <v>-11981.54</v>
          </cell>
          <cell r="F191">
            <v>-6559.9</v>
          </cell>
          <cell r="G191">
            <v>-4153.88</v>
          </cell>
          <cell r="H191">
            <v>-8068.38</v>
          </cell>
          <cell r="I191">
            <v>-7772.81</v>
          </cell>
          <cell r="J191">
            <v>-5302.19</v>
          </cell>
          <cell r="K191">
            <v>-2680.1</v>
          </cell>
          <cell r="L191">
            <v>-9915.69</v>
          </cell>
          <cell r="M191">
            <v>-9424.4599999999991</v>
          </cell>
          <cell r="N191">
            <v>-7777.87</v>
          </cell>
          <cell r="O191">
            <v>-16588.64</v>
          </cell>
          <cell r="P191">
            <v>-3641.77</v>
          </cell>
          <cell r="Q191">
            <v>-11706.79</v>
          </cell>
          <cell r="R191">
            <v>-8924.2900000000009</v>
          </cell>
          <cell r="S191">
            <v>-6337.95</v>
          </cell>
          <cell r="T191">
            <v>-7431.02</v>
          </cell>
          <cell r="U191">
            <v>-6866.02</v>
          </cell>
          <cell r="V191">
            <v>-3496.21</v>
          </cell>
          <cell r="W191">
            <v>-3809.22</v>
          </cell>
          <cell r="X191">
            <v>-4407.9799999999996</v>
          </cell>
          <cell r="Y191">
            <v>-4455.8500000000004</v>
          </cell>
          <cell r="Z191">
            <v>-1550.5</v>
          </cell>
          <cell r="AA191">
            <v>-8971.7099999999991</v>
          </cell>
          <cell r="AB191">
            <v>-8572.68</v>
          </cell>
          <cell r="AC191">
            <v>-6825.8</v>
          </cell>
          <cell r="AD191">
            <v>-892.39</v>
          </cell>
          <cell r="AE191">
            <v>-3859.68</v>
          </cell>
          <cell r="AF191">
            <v>-4143.8500000000004</v>
          </cell>
          <cell r="AG191">
            <v>-6772.97</v>
          </cell>
          <cell r="AH191">
            <v>-3640.51</v>
          </cell>
          <cell r="AI191">
            <v>-4051.47</v>
          </cell>
          <cell r="AJ191">
            <v>-2074.2600000000002</v>
          </cell>
          <cell r="AK191">
            <v>-2969.16</v>
          </cell>
          <cell r="AL191">
            <v>-10107.41</v>
          </cell>
          <cell r="AM191">
            <v>-4748.43</v>
          </cell>
          <cell r="AN191">
            <v>-1504.9</v>
          </cell>
          <cell r="AO191">
            <v>-2303.04</v>
          </cell>
          <cell r="AP191">
            <v>-3542.47</v>
          </cell>
          <cell r="AQ191">
            <v>-6093.17</v>
          </cell>
          <cell r="AR191">
            <v>-8449.16</v>
          </cell>
          <cell r="AS191">
            <v>-5729.55</v>
          </cell>
          <cell r="AT191">
            <v>-4239.3</v>
          </cell>
          <cell r="AU191">
            <v>-7080.66</v>
          </cell>
          <cell r="AV191">
            <v>-84200.78</v>
          </cell>
          <cell r="AW191">
            <v>17415.939999999999</v>
          </cell>
          <cell r="AX191">
            <v>-53640.45</v>
          </cell>
          <cell r="AY191">
            <v>-15907.73</v>
          </cell>
          <cell r="AZ191">
            <v>-3941.21</v>
          </cell>
          <cell r="BA191">
            <v>-8812.82</v>
          </cell>
          <cell r="BB191">
            <v>-4069.69</v>
          </cell>
          <cell r="BC191">
            <v>-4065.24</v>
          </cell>
          <cell r="BD191">
            <v>-10058.57</v>
          </cell>
          <cell r="BE191">
            <v>-9702.0499999999993</v>
          </cell>
          <cell r="BF191">
            <v>-11651.79</v>
          </cell>
          <cell r="BG191">
            <v>-9020.08</v>
          </cell>
          <cell r="BH191">
            <v>-11091.21</v>
          </cell>
          <cell r="BI191">
            <v>-9277.3700000000008</v>
          </cell>
          <cell r="BJ191">
            <v>-335120.96000000002</v>
          </cell>
          <cell r="BK191">
            <v>-22298.26</v>
          </cell>
          <cell r="BL191">
            <v>7282.13</v>
          </cell>
          <cell r="BM191">
            <v>-12056.95</v>
          </cell>
          <cell r="BN191">
            <v>-11115.39</v>
          </cell>
          <cell r="BO191">
            <v>-24822.22</v>
          </cell>
          <cell r="BP191">
            <v>-16378.33</v>
          </cell>
          <cell r="BQ191">
            <v>-101946.06</v>
          </cell>
          <cell r="BR191">
            <v>-24552.44</v>
          </cell>
          <cell r="BS191">
            <v>-32665.33</v>
          </cell>
          <cell r="BT191">
            <v>-30619.22</v>
          </cell>
          <cell r="BU191">
            <v>-77353.41</v>
          </cell>
          <cell r="BV191">
            <v>-45570.84</v>
          </cell>
          <cell r="BW191">
            <v>-58794.41</v>
          </cell>
          <cell r="BX191">
            <v>-6147.89</v>
          </cell>
          <cell r="BY191">
            <v>-22340.68</v>
          </cell>
          <cell r="BZ191">
            <v>-38474.18</v>
          </cell>
          <cell r="CA191">
            <v>-10921.86</v>
          </cell>
          <cell r="CB191">
            <v>-12151.62</v>
          </cell>
          <cell r="CC191">
            <v>-11948.6</v>
          </cell>
          <cell r="CD191">
            <v>-19171.560000000001</v>
          </cell>
          <cell r="CE191">
            <v>-16054.52</v>
          </cell>
          <cell r="CF191">
            <v>-10413.44</v>
          </cell>
          <cell r="CG191">
            <v>-51950.66</v>
          </cell>
          <cell r="CH191">
            <v>-74510.759999999995</v>
          </cell>
          <cell r="CI191">
            <v>-15252.34</v>
          </cell>
          <cell r="CJ191">
            <v>-102143.61</v>
          </cell>
          <cell r="CK191">
            <v>-32358.23</v>
          </cell>
          <cell r="CL191">
            <v>-21000.45</v>
          </cell>
          <cell r="CM191">
            <v>-31899.52</v>
          </cell>
          <cell r="CN191">
            <v>-26840.55</v>
          </cell>
          <cell r="CO191">
            <v>-56043.43</v>
          </cell>
          <cell r="CP191">
            <v>-10218.049999999999</v>
          </cell>
          <cell r="CQ191">
            <v>-87947.43</v>
          </cell>
          <cell r="CR191">
            <v>-15208.16</v>
          </cell>
          <cell r="CS191">
            <v>-28586.95</v>
          </cell>
          <cell r="CT191">
            <v>-42932.95</v>
          </cell>
          <cell r="CU191">
            <v>-51231.77</v>
          </cell>
          <cell r="CV191">
            <v>-15229.46</v>
          </cell>
          <cell r="CW191">
            <v>-14014.94</v>
          </cell>
          <cell r="CX191">
            <v>-30154.91</v>
          </cell>
          <cell r="CY191">
            <v>-15087.13</v>
          </cell>
          <cell r="CZ191">
            <v>-18309.11</v>
          </cell>
          <cell r="DA191">
            <v>-25839.89</v>
          </cell>
          <cell r="DB191">
            <v>-15360.37</v>
          </cell>
          <cell r="DC191">
            <v>-63930.66</v>
          </cell>
          <cell r="DD191">
            <v>-47706.15</v>
          </cell>
          <cell r="DE191">
            <v>-39129.370000000003</v>
          </cell>
          <cell r="DF191">
            <v>-144770.1</v>
          </cell>
          <cell r="DG191">
            <v>-65287.63</v>
          </cell>
        </row>
        <row r="192">
          <cell r="A192">
            <v>6100010</v>
          </cell>
          <cell r="B192">
            <v>6100010</v>
          </cell>
          <cell r="C192" t="str">
            <v>Advertising</v>
          </cell>
          <cell r="D192">
            <v>158550.01999999999</v>
          </cell>
          <cell r="E192">
            <v>283898.05</v>
          </cell>
          <cell r="F192">
            <v>107052.03</v>
          </cell>
          <cell r="G192">
            <v>50398.83</v>
          </cell>
          <cell r="H192">
            <v>165777.04999999999</v>
          </cell>
          <cell r="I192">
            <v>261053.96</v>
          </cell>
          <cell r="J192">
            <v>78859.5</v>
          </cell>
          <cell r="K192">
            <v>230474.65</v>
          </cell>
          <cell r="L192">
            <v>329610.07</v>
          </cell>
          <cell r="M192">
            <v>93440.5</v>
          </cell>
          <cell r="N192">
            <v>26037.37</v>
          </cell>
          <cell r="O192">
            <v>73512.009999999995</v>
          </cell>
          <cell r="P192">
            <v>119530.55</v>
          </cell>
          <cell r="Q192">
            <v>132423.9</v>
          </cell>
          <cell r="R192">
            <v>106691.21</v>
          </cell>
          <cell r="S192">
            <v>35611.050000000003</v>
          </cell>
          <cell r="T192">
            <v>68139.350000000006</v>
          </cell>
          <cell r="U192">
            <v>126407.82</v>
          </cell>
          <cell r="V192">
            <v>180692.89</v>
          </cell>
          <cell r="W192">
            <v>241444.88</v>
          </cell>
          <cell r="X192">
            <v>230242.29</v>
          </cell>
          <cell r="Y192">
            <v>342440.74</v>
          </cell>
          <cell r="Z192">
            <v>44485.27</v>
          </cell>
          <cell r="AA192">
            <v>69699.100000000006</v>
          </cell>
          <cell r="AB192">
            <v>111947.84</v>
          </cell>
          <cell r="AC192">
            <v>39883.96</v>
          </cell>
          <cell r="AD192">
            <v>130017.83</v>
          </cell>
          <cell r="AE192">
            <v>130238.88</v>
          </cell>
          <cell r="AF192">
            <v>209253.15</v>
          </cell>
          <cell r="AG192">
            <v>83654.45</v>
          </cell>
          <cell r="AH192">
            <v>-46999.4</v>
          </cell>
          <cell r="AI192">
            <v>462674.56</v>
          </cell>
          <cell r="AJ192">
            <v>113677.14</v>
          </cell>
          <cell r="AK192">
            <v>185259.54</v>
          </cell>
          <cell r="AL192">
            <v>70520.850000000006</v>
          </cell>
          <cell r="AM192">
            <v>373784.9</v>
          </cell>
          <cell r="AN192">
            <v>41074.19</v>
          </cell>
          <cell r="AO192">
            <v>97741.119999999995</v>
          </cell>
          <cell r="AP192">
            <v>16106.13</v>
          </cell>
          <cell r="AQ192">
            <v>25285.93</v>
          </cell>
          <cell r="AR192">
            <v>125121.91</v>
          </cell>
          <cell r="AS192">
            <v>72219.27</v>
          </cell>
          <cell r="AT192">
            <v>62486.17</v>
          </cell>
          <cell r="AU192">
            <v>15788.65</v>
          </cell>
          <cell r="AV192">
            <v>3047.25</v>
          </cell>
          <cell r="AW192">
            <v>516539.53</v>
          </cell>
          <cell r="AX192">
            <v>281097.75</v>
          </cell>
          <cell r="AY192">
            <v>341429.55</v>
          </cell>
          <cell r="AZ192">
            <v>36850.519999999997</v>
          </cell>
          <cell r="BA192">
            <v>5222.59</v>
          </cell>
          <cell r="BB192">
            <v>97696.17</v>
          </cell>
          <cell r="BC192">
            <v>223851.66</v>
          </cell>
          <cell r="BD192">
            <v>-124706.84</v>
          </cell>
          <cell r="BE192">
            <v>151820.23000000001</v>
          </cell>
          <cell r="BF192">
            <v>238065.8</v>
          </cell>
          <cell r="BG192">
            <v>190194.99</v>
          </cell>
          <cell r="BH192">
            <v>26634.95</v>
          </cell>
          <cell r="BI192">
            <v>515413.04</v>
          </cell>
          <cell r="BJ192">
            <v>43778.68</v>
          </cell>
          <cell r="BK192">
            <v>175805.99</v>
          </cell>
          <cell r="BL192">
            <v>150060.35999999999</v>
          </cell>
          <cell r="BM192">
            <v>-57315.37</v>
          </cell>
          <cell r="BN192">
            <v>26506.1</v>
          </cell>
          <cell r="BO192">
            <v>239721.42</v>
          </cell>
          <cell r="BP192">
            <v>65428.15</v>
          </cell>
          <cell r="BQ192">
            <v>20677.599999999999</v>
          </cell>
          <cell r="BR192">
            <v>103785.94</v>
          </cell>
          <cell r="BS192">
            <v>31594.75</v>
          </cell>
          <cell r="BT192">
            <v>24637.37</v>
          </cell>
          <cell r="BU192">
            <v>475503.28</v>
          </cell>
          <cell r="BV192">
            <v>154475.43</v>
          </cell>
          <cell r="BW192">
            <v>209879.59</v>
          </cell>
          <cell r="BX192">
            <v>153244</v>
          </cell>
          <cell r="BY192">
            <v>27461.77</v>
          </cell>
          <cell r="BZ192">
            <v>69581</v>
          </cell>
          <cell r="CA192">
            <v>446.33</v>
          </cell>
          <cell r="CB192">
            <v>161762.04</v>
          </cell>
          <cell r="CC192">
            <v>6299.37</v>
          </cell>
          <cell r="CD192">
            <v>60712.54</v>
          </cell>
          <cell r="CE192">
            <v>203761</v>
          </cell>
          <cell r="CF192">
            <v>154965.47</v>
          </cell>
          <cell r="CG192">
            <v>545248.76</v>
          </cell>
          <cell r="CH192">
            <v>477452.38</v>
          </cell>
          <cell r="CI192">
            <v>-67182.19</v>
          </cell>
          <cell r="CJ192">
            <v>3943.6</v>
          </cell>
          <cell r="CK192">
            <v>205670.78</v>
          </cell>
          <cell r="CL192">
            <v>136758.85999999999</v>
          </cell>
          <cell r="CM192">
            <v>196553.02</v>
          </cell>
          <cell r="CN192">
            <v>161398.48000000001</v>
          </cell>
          <cell r="CO192">
            <v>205744.23</v>
          </cell>
          <cell r="CP192">
            <v>178624.76</v>
          </cell>
          <cell r="CQ192">
            <v>-12420.54</v>
          </cell>
          <cell r="CR192">
            <v>413967.16</v>
          </cell>
          <cell r="CS192">
            <v>29548.2</v>
          </cell>
          <cell r="CT192">
            <v>174876.71</v>
          </cell>
          <cell r="CU192">
            <v>788979.67</v>
          </cell>
          <cell r="CV192">
            <v>-86883.7</v>
          </cell>
          <cell r="CW192">
            <v>163864.70000000001</v>
          </cell>
          <cell r="CX192">
            <v>314055.7</v>
          </cell>
          <cell r="CY192">
            <v>165740.48000000001</v>
          </cell>
          <cell r="CZ192">
            <v>257270.78</v>
          </cell>
          <cell r="DA192">
            <v>93642.78</v>
          </cell>
          <cell r="DB192">
            <v>302644.13</v>
          </cell>
          <cell r="DC192">
            <v>299331.90999999997</v>
          </cell>
          <cell r="DD192">
            <v>76446.47</v>
          </cell>
          <cell r="DE192">
            <v>509205.87</v>
          </cell>
          <cell r="DF192">
            <v>276916.83</v>
          </cell>
          <cell r="DG192">
            <v>403947.26</v>
          </cell>
        </row>
        <row r="193">
          <cell r="A193">
            <v>6100020</v>
          </cell>
          <cell r="B193">
            <v>6100020</v>
          </cell>
          <cell r="C193" t="str">
            <v>Analytical(PreMaint)</v>
          </cell>
          <cell r="D193">
            <v>0</v>
          </cell>
          <cell r="E193">
            <v>0</v>
          </cell>
          <cell r="F193">
            <v>0</v>
          </cell>
          <cell r="G193">
            <v>0</v>
          </cell>
          <cell r="H193">
            <v>0</v>
          </cell>
          <cell r="I193">
            <v>0</v>
          </cell>
          <cell r="J193">
            <v>0</v>
          </cell>
          <cell r="K193">
            <v>0</v>
          </cell>
          <cell r="L193">
            <v>0</v>
          </cell>
          <cell r="M193">
            <v>0</v>
          </cell>
          <cell r="N193">
            <v>160.63</v>
          </cell>
          <cell r="O193">
            <v>225.12</v>
          </cell>
          <cell r="P193">
            <v>0</v>
          </cell>
          <cell r="Q193">
            <v>0</v>
          </cell>
          <cell r="R193">
            <v>0</v>
          </cell>
          <cell r="S193">
            <v>0</v>
          </cell>
          <cell r="T193">
            <v>0</v>
          </cell>
          <cell r="U193">
            <v>0</v>
          </cell>
          <cell r="V193">
            <v>0</v>
          </cell>
          <cell r="W193">
            <v>0</v>
          </cell>
          <cell r="X193">
            <v>406.77</v>
          </cell>
          <cell r="Y193">
            <v>0</v>
          </cell>
          <cell r="Z193">
            <v>0</v>
          </cell>
          <cell r="AA193">
            <v>0</v>
          </cell>
          <cell r="AB193">
            <v>0</v>
          </cell>
          <cell r="AC193">
            <v>0</v>
          </cell>
          <cell r="AD193">
            <v>0</v>
          </cell>
          <cell r="AE193">
            <v>0</v>
          </cell>
          <cell r="AF193">
            <v>0</v>
          </cell>
          <cell r="AG193">
            <v>0</v>
          </cell>
          <cell r="AH193">
            <v>0</v>
          </cell>
          <cell r="AI193">
            <v>0</v>
          </cell>
          <cell r="AJ193">
            <v>0</v>
          </cell>
          <cell r="AK193"/>
          <cell r="AL193"/>
          <cell r="AM193"/>
          <cell r="AN193"/>
          <cell r="AO193"/>
          <cell r="AP193"/>
          <cell r="AQ193"/>
          <cell r="AR193"/>
          <cell r="AS193"/>
          <cell r="AT193"/>
          <cell r="AU193"/>
          <cell r="AV193"/>
          <cell r="AW193"/>
          <cell r="AX193"/>
          <cell r="AY193"/>
          <cell r="AZ193"/>
          <cell r="BA193"/>
          <cell r="BB193"/>
          <cell r="BC193"/>
          <cell r="BD193"/>
          <cell r="BE193"/>
          <cell r="BF193"/>
          <cell r="BG193"/>
          <cell r="BH193"/>
          <cell r="BI193"/>
          <cell r="BJ193"/>
          <cell r="BK193"/>
          <cell r="BL193"/>
          <cell r="BM193"/>
          <cell r="BN193"/>
          <cell r="BO193"/>
          <cell r="BP193"/>
          <cell r="BQ193"/>
          <cell r="BR193"/>
          <cell r="BS193"/>
          <cell r="BT193"/>
          <cell r="BU193"/>
          <cell r="BV193"/>
          <cell r="BW193"/>
          <cell r="BX193"/>
          <cell r="BY193"/>
          <cell r="BZ193"/>
          <cell r="CA193"/>
          <cell r="CB193"/>
          <cell r="CC193"/>
          <cell r="CD193"/>
          <cell r="CE193"/>
          <cell r="CF193"/>
          <cell r="CG193"/>
          <cell r="CH193"/>
          <cell r="CI193"/>
          <cell r="CJ193"/>
          <cell r="CK193"/>
          <cell r="CL193"/>
          <cell r="CM193"/>
          <cell r="CN193"/>
          <cell r="CO193"/>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row>
        <row r="194">
          <cell r="A194">
            <v>6100030</v>
          </cell>
          <cell r="B194">
            <v>6100030</v>
          </cell>
          <cell r="C194" t="str">
            <v>Consultants-Audit</v>
          </cell>
          <cell r="D194">
            <v>0</v>
          </cell>
          <cell r="E194">
            <v>0</v>
          </cell>
          <cell r="F194">
            <v>23500</v>
          </cell>
          <cell r="G194">
            <v>53557</v>
          </cell>
          <cell r="H194">
            <v>53557</v>
          </cell>
          <cell r="I194">
            <v>53557</v>
          </cell>
          <cell r="J194">
            <v>0</v>
          </cell>
          <cell r="K194">
            <v>0</v>
          </cell>
          <cell r="L194">
            <v>53557</v>
          </cell>
          <cell r="M194">
            <v>0</v>
          </cell>
          <cell r="N194">
            <v>53557</v>
          </cell>
          <cell r="O194">
            <v>59557</v>
          </cell>
          <cell r="P194">
            <v>0</v>
          </cell>
          <cell r="Q194">
            <v>0</v>
          </cell>
          <cell r="R194">
            <v>0</v>
          </cell>
          <cell r="S194">
            <v>59020</v>
          </cell>
          <cell r="T194">
            <v>59020</v>
          </cell>
          <cell r="U194">
            <v>59020</v>
          </cell>
          <cell r="V194">
            <v>59020</v>
          </cell>
          <cell r="W194">
            <v>40591</v>
          </cell>
          <cell r="X194">
            <v>0</v>
          </cell>
          <cell r="Y194">
            <v>0</v>
          </cell>
          <cell r="Z194">
            <v>0</v>
          </cell>
          <cell r="AA194">
            <v>186082</v>
          </cell>
          <cell r="AB194">
            <v>0</v>
          </cell>
          <cell r="AC194">
            <v>0</v>
          </cell>
          <cell r="AD194">
            <v>58750</v>
          </cell>
          <cell r="AE194">
            <v>40000</v>
          </cell>
          <cell r="AF194">
            <v>26560</v>
          </cell>
          <cell r="AG194">
            <v>0</v>
          </cell>
          <cell r="AH194">
            <v>153837</v>
          </cell>
          <cell r="AI194">
            <v>0</v>
          </cell>
          <cell r="AJ194">
            <v>0</v>
          </cell>
          <cell r="AK194">
            <v>0</v>
          </cell>
          <cell r="AL194">
            <v>63605</v>
          </cell>
          <cell r="AM194">
            <v>52565</v>
          </cell>
          <cell r="AN194">
            <v>0</v>
          </cell>
          <cell r="AO194">
            <v>0</v>
          </cell>
          <cell r="AP194">
            <v>0</v>
          </cell>
          <cell r="AQ194">
            <v>0</v>
          </cell>
          <cell r="AR194">
            <v>140000</v>
          </cell>
          <cell r="AS194">
            <v>0</v>
          </cell>
          <cell r="AT194">
            <v>35000</v>
          </cell>
          <cell r="AU194">
            <v>0</v>
          </cell>
          <cell r="AV194">
            <v>0</v>
          </cell>
          <cell r="AW194">
            <v>0</v>
          </cell>
          <cell r="AX194">
            <v>55000</v>
          </cell>
          <cell r="AY194">
            <v>79799.11</v>
          </cell>
          <cell r="AZ194">
            <v>0</v>
          </cell>
          <cell r="BA194">
            <v>0</v>
          </cell>
          <cell r="BB194">
            <v>33333</v>
          </cell>
          <cell r="BC194">
            <v>10000</v>
          </cell>
          <cell r="BD194">
            <v>0</v>
          </cell>
          <cell r="BE194">
            <v>33333</v>
          </cell>
          <cell r="BF194">
            <v>0</v>
          </cell>
          <cell r="BG194">
            <v>0</v>
          </cell>
          <cell r="BH194">
            <v>33333</v>
          </cell>
          <cell r="BI194">
            <v>0</v>
          </cell>
          <cell r="BJ194">
            <v>0</v>
          </cell>
          <cell r="BK194">
            <v>33333</v>
          </cell>
          <cell r="BL194">
            <v>0</v>
          </cell>
          <cell r="BM194">
            <v>20468</v>
          </cell>
          <cell r="BN194">
            <v>6000</v>
          </cell>
          <cell r="BO194">
            <v>0</v>
          </cell>
          <cell r="BP194">
            <v>31250</v>
          </cell>
          <cell r="BQ194">
            <v>31250</v>
          </cell>
          <cell r="BR194">
            <v>0</v>
          </cell>
          <cell r="BS194">
            <v>3228.14</v>
          </cell>
          <cell r="BT194">
            <v>31250</v>
          </cell>
          <cell r="BU194">
            <v>0</v>
          </cell>
          <cell r="BV194">
            <v>39280.629999999997</v>
          </cell>
          <cell r="BW194">
            <v>0</v>
          </cell>
          <cell r="BX194">
            <v>0</v>
          </cell>
          <cell r="BY194">
            <v>15000</v>
          </cell>
          <cell r="BZ194">
            <v>1750</v>
          </cell>
          <cell r="CA194">
            <v>0</v>
          </cell>
          <cell r="CB194">
            <v>30000</v>
          </cell>
          <cell r="CC194">
            <v>30000</v>
          </cell>
          <cell r="CD194">
            <v>0</v>
          </cell>
          <cell r="CE194">
            <v>0</v>
          </cell>
          <cell r="CF194">
            <v>30000</v>
          </cell>
          <cell r="CG194">
            <v>0</v>
          </cell>
          <cell r="CH194">
            <v>30000</v>
          </cell>
          <cell r="CI194">
            <v>0</v>
          </cell>
          <cell r="CJ194">
            <v>0</v>
          </cell>
          <cell r="CK194">
            <v>10000</v>
          </cell>
          <cell r="CL194">
            <v>3800</v>
          </cell>
          <cell r="CM194">
            <v>30000</v>
          </cell>
          <cell r="CN194">
            <v>30000</v>
          </cell>
          <cell r="CO194">
            <v>0</v>
          </cell>
          <cell r="CP194">
            <v>0</v>
          </cell>
          <cell r="CQ194">
            <v>0</v>
          </cell>
          <cell r="CR194">
            <v>30000</v>
          </cell>
          <cell r="CS194">
            <v>0</v>
          </cell>
          <cell r="CT194">
            <v>0</v>
          </cell>
          <cell r="CU194">
            <v>0</v>
          </cell>
          <cell r="CV194">
            <v>0</v>
          </cell>
          <cell r="CW194">
            <v>10000</v>
          </cell>
          <cell r="CX194">
            <v>35265</v>
          </cell>
          <cell r="CY194">
            <v>0</v>
          </cell>
          <cell r="CZ194">
            <v>-9023</v>
          </cell>
          <cell r="DA194">
            <v>30000</v>
          </cell>
          <cell r="DB194">
            <v>0</v>
          </cell>
          <cell r="DC194">
            <v>7558</v>
          </cell>
          <cell r="DD194">
            <v>30000</v>
          </cell>
          <cell r="DE194">
            <v>0</v>
          </cell>
          <cell r="DF194">
            <v>0</v>
          </cell>
          <cell r="DG194">
            <v>213644.64</v>
          </cell>
        </row>
        <row r="195">
          <cell r="A195">
            <v>6100040</v>
          </cell>
          <cell r="B195">
            <v>6100040</v>
          </cell>
          <cell r="C195" t="str">
            <v>Consultants-Engineer</v>
          </cell>
          <cell r="D195">
            <v>193411.6</v>
          </cell>
          <cell r="E195">
            <v>270286.96000000002</v>
          </cell>
          <cell r="F195">
            <v>189276.84</v>
          </cell>
          <cell r="G195">
            <v>462947.75</v>
          </cell>
          <cell r="H195">
            <v>114333.84</v>
          </cell>
          <cell r="I195">
            <v>206034.03</v>
          </cell>
          <cell r="J195">
            <v>425733.58</v>
          </cell>
          <cell r="K195">
            <v>368519.04</v>
          </cell>
          <cell r="L195">
            <v>348022.94</v>
          </cell>
          <cell r="M195">
            <v>285531.59999999998</v>
          </cell>
          <cell r="N195">
            <v>300091.75</v>
          </cell>
          <cell r="O195">
            <v>121333.79</v>
          </cell>
          <cell r="P195">
            <v>64523.71</v>
          </cell>
          <cell r="Q195">
            <v>258662.73</v>
          </cell>
          <cell r="R195">
            <v>242012.41</v>
          </cell>
          <cell r="S195">
            <v>457191.93</v>
          </cell>
          <cell r="T195">
            <v>74220.399999999994</v>
          </cell>
          <cell r="U195">
            <v>181863.44</v>
          </cell>
          <cell r="V195">
            <v>834530.41</v>
          </cell>
          <cell r="W195">
            <v>209979.75</v>
          </cell>
          <cell r="X195">
            <v>237637.39</v>
          </cell>
          <cell r="Y195">
            <v>153893.06</v>
          </cell>
          <cell r="Z195">
            <v>334500.55</v>
          </cell>
          <cell r="AA195">
            <v>428143.57</v>
          </cell>
          <cell r="AB195">
            <v>219497.06</v>
          </cell>
          <cell r="AC195">
            <v>260557.84</v>
          </cell>
          <cell r="AD195">
            <v>240424.13</v>
          </cell>
          <cell r="AE195">
            <v>184358.92</v>
          </cell>
          <cell r="AF195">
            <v>216225.23</v>
          </cell>
          <cell r="AG195">
            <v>409770.36</v>
          </cell>
          <cell r="AH195">
            <v>151240.91</v>
          </cell>
          <cell r="AI195">
            <v>118754.52</v>
          </cell>
          <cell r="AJ195">
            <v>290153.44</v>
          </cell>
          <cell r="AK195">
            <v>239671.67999999999</v>
          </cell>
          <cell r="AL195">
            <v>306678.61</v>
          </cell>
          <cell r="AM195">
            <v>413187.25</v>
          </cell>
          <cell r="AN195">
            <v>24984.85</v>
          </cell>
          <cell r="AO195">
            <v>36413.18</v>
          </cell>
          <cell r="AP195">
            <v>-190477.71</v>
          </cell>
          <cell r="AQ195">
            <v>11800</v>
          </cell>
          <cell r="AR195">
            <v>277272.51</v>
          </cell>
          <cell r="AS195">
            <v>95593.85</v>
          </cell>
          <cell r="AT195">
            <v>30562.85</v>
          </cell>
          <cell r="AU195">
            <v>121412.5</v>
          </cell>
          <cell r="AV195">
            <v>5730</v>
          </cell>
          <cell r="AW195">
            <v>15045</v>
          </cell>
          <cell r="AX195">
            <v>45421.7</v>
          </cell>
          <cell r="AY195">
            <v>40180</v>
          </cell>
          <cell r="AZ195">
            <v>8515</v>
          </cell>
          <cell r="BA195">
            <v>177634.5</v>
          </cell>
          <cell r="BB195">
            <v>913228.80000000005</v>
          </cell>
          <cell r="BC195">
            <v>339923.7</v>
          </cell>
          <cell r="BD195">
            <v>563637.81000000006</v>
          </cell>
          <cell r="BE195">
            <v>312114.76</v>
          </cell>
          <cell r="BF195">
            <v>207672.43</v>
          </cell>
          <cell r="BG195">
            <v>587282.57999999996</v>
          </cell>
          <cell r="BH195">
            <v>410061.06</v>
          </cell>
          <cell r="BI195">
            <v>514822.42</v>
          </cell>
          <cell r="BJ195">
            <v>98387.22</v>
          </cell>
          <cell r="BK195">
            <v>252328.18</v>
          </cell>
          <cell r="BL195">
            <v>278857.25</v>
          </cell>
          <cell r="BM195">
            <v>113183.13</v>
          </cell>
          <cell r="BN195">
            <v>161748.42000000001</v>
          </cell>
          <cell r="BO195">
            <v>250713.8</v>
          </cell>
          <cell r="BP195">
            <v>229581.81</v>
          </cell>
          <cell r="BQ195">
            <v>181653.25</v>
          </cell>
          <cell r="BR195">
            <v>234848.5</v>
          </cell>
          <cell r="BS195">
            <v>194815.98</v>
          </cell>
          <cell r="BT195">
            <v>95732.88</v>
          </cell>
          <cell r="BU195">
            <v>302817.65999999997</v>
          </cell>
          <cell r="BV195">
            <v>73051.47</v>
          </cell>
          <cell r="BW195">
            <v>283279.55</v>
          </cell>
          <cell r="BX195">
            <v>213638.75</v>
          </cell>
          <cell r="BY195">
            <v>689452.8</v>
          </cell>
          <cell r="BZ195">
            <v>258382.38</v>
          </cell>
          <cell r="CA195">
            <v>217796.55</v>
          </cell>
          <cell r="CB195">
            <v>309890.38</v>
          </cell>
          <cell r="CC195">
            <v>333321.46999999997</v>
          </cell>
          <cell r="CD195">
            <v>234343.39</v>
          </cell>
          <cell r="CE195">
            <v>236341.44</v>
          </cell>
          <cell r="CF195">
            <v>494692.62</v>
          </cell>
          <cell r="CG195">
            <v>502522.32</v>
          </cell>
          <cell r="CH195">
            <v>234458.04</v>
          </cell>
          <cell r="CI195">
            <v>149804.38</v>
          </cell>
          <cell r="CJ195">
            <v>37298.1</v>
          </cell>
          <cell r="CK195">
            <v>273016.31</v>
          </cell>
          <cell r="CL195">
            <v>196232.25</v>
          </cell>
          <cell r="CM195">
            <v>264333.08</v>
          </cell>
          <cell r="CN195">
            <v>206883.1</v>
          </cell>
          <cell r="CO195">
            <v>298923.94</v>
          </cell>
          <cell r="CP195">
            <v>189362.46</v>
          </cell>
          <cell r="CQ195">
            <v>47546.04</v>
          </cell>
          <cell r="CR195">
            <v>231791.8</v>
          </cell>
          <cell r="CS195">
            <v>442282.9</v>
          </cell>
          <cell r="CT195">
            <v>-80442.98</v>
          </cell>
          <cell r="CU195">
            <v>111208.98</v>
          </cell>
          <cell r="CV195">
            <v>156975.22</v>
          </cell>
          <cell r="CW195">
            <v>160571.28</v>
          </cell>
          <cell r="CX195">
            <v>386139.9</v>
          </cell>
          <cell r="CY195">
            <v>289794.27</v>
          </cell>
          <cell r="CZ195">
            <v>264655.59000000003</v>
          </cell>
          <cell r="DA195">
            <v>581455.06999999995</v>
          </cell>
          <cell r="DB195">
            <v>229518.21</v>
          </cell>
          <cell r="DC195">
            <v>352529.57</v>
          </cell>
          <cell r="DD195">
            <v>117742.63</v>
          </cell>
          <cell r="DE195">
            <v>173001.39</v>
          </cell>
          <cell r="DF195">
            <v>41760.75</v>
          </cell>
          <cell r="DG195">
            <v>161140.15</v>
          </cell>
        </row>
        <row r="196">
          <cell r="A196">
            <v>6100050</v>
          </cell>
          <cell r="B196">
            <v>6100050</v>
          </cell>
          <cell r="C196" t="str">
            <v>Consultants-Environ</v>
          </cell>
          <cell r="D196">
            <v>129716.17</v>
          </cell>
          <cell r="E196">
            <v>1955357.08</v>
          </cell>
          <cell r="F196">
            <v>77191.42</v>
          </cell>
          <cell r="G196">
            <v>228856.14</v>
          </cell>
          <cell r="H196">
            <v>858214.24</v>
          </cell>
          <cell r="I196">
            <v>998317.48</v>
          </cell>
          <cell r="J196">
            <v>1299394.5900000001</v>
          </cell>
          <cell r="K196">
            <v>1622333.24</v>
          </cell>
          <cell r="L196">
            <v>131580.22</v>
          </cell>
          <cell r="M196">
            <v>42147.98</v>
          </cell>
          <cell r="N196">
            <v>189246.58</v>
          </cell>
          <cell r="O196">
            <v>333368.74</v>
          </cell>
          <cell r="P196">
            <v>181395.55</v>
          </cell>
          <cell r="Q196">
            <v>31888.32</v>
          </cell>
          <cell r="R196">
            <v>221713.32</v>
          </cell>
          <cell r="S196">
            <v>211261.57</v>
          </cell>
          <cell r="T196">
            <v>152885.68</v>
          </cell>
          <cell r="U196">
            <v>489794.93</v>
          </cell>
          <cell r="V196">
            <v>208667.6</v>
          </cell>
          <cell r="W196">
            <v>379214.82</v>
          </cell>
          <cell r="X196">
            <v>124282.65</v>
          </cell>
          <cell r="Y196">
            <v>66003.38</v>
          </cell>
          <cell r="Z196">
            <v>533260.81999999995</v>
          </cell>
          <cell r="AA196">
            <v>114012.01</v>
          </cell>
          <cell r="AB196">
            <v>204574.16</v>
          </cell>
          <cell r="AC196">
            <v>72539.100000000006</v>
          </cell>
          <cell r="AD196">
            <v>200739.56</v>
          </cell>
          <cell r="AE196">
            <v>29997.48</v>
          </cell>
          <cell r="AF196">
            <v>74341.919999999998</v>
          </cell>
          <cell r="AG196">
            <v>356241.2</v>
          </cell>
          <cell r="AH196">
            <v>50509.37</v>
          </cell>
          <cell r="AI196">
            <v>74945.16</v>
          </cell>
          <cell r="AJ196">
            <v>1797.77</v>
          </cell>
          <cell r="AK196">
            <v>58467.58</v>
          </cell>
          <cell r="AL196">
            <v>151623.85</v>
          </cell>
          <cell r="AM196">
            <v>305700.3</v>
          </cell>
          <cell r="AN196">
            <v>586024.38</v>
          </cell>
          <cell r="AO196">
            <v>3205.53</v>
          </cell>
          <cell r="AP196">
            <v>69474.820000000007</v>
          </cell>
          <cell r="AQ196">
            <v>108107.49</v>
          </cell>
          <cell r="AR196">
            <v>258994.19</v>
          </cell>
          <cell r="AS196">
            <v>49337.64</v>
          </cell>
          <cell r="AT196">
            <v>90685.74</v>
          </cell>
          <cell r="AU196">
            <v>517223.88</v>
          </cell>
          <cell r="AV196">
            <v>100778.56</v>
          </cell>
          <cell r="AW196">
            <v>109151.75</v>
          </cell>
          <cell r="AX196">
            <v>69737.95</v>
          </cell>
          <cell r="AY196">
            <v>20507.52</v>
          </cell>
          <cell r="AZ196">
            <v>284685.90000000002</v>
          </cell>
          <cell r="BA196">
            <v>31740.33</v>
          </cell>
          <cell r="BB196">
            <v>58562.78</v>
          </cell>
          <cell r="BC196">
            <v>164674.79999999999</v>
          </cell>
          <cell r="BD196">
            <v>42988.74</v>
          </cell>
          <cell r="BE196">
            <v>58078.12</v>
          </cell>
          <cell r="BF196">
            <v>200962.58</v>
          </cell>
          <cell r="BG196">
            <v>172512.06</v>
          </cell>
          <cell r="BH196">
            <v>90735.039999999994</v>
          </cell>
          <cell r="BI196">
            <v>181838.78</v>
          </cell>
          <cell r="BJ196">
            <v>123471.97</v>
          </cell>
          <cell r="BK196">
            <v>91266.7</v>
          </cell>
          <cell r="BL196">
            <v>28158.85</v>
          </cell>
          <cell r="BM196">
            <v>775041.24</v>
          </cell>
          <cell r="BN196">
            <v>84787.67</v>
          </cell>
          <cell r="BO196">
            <v>536350.1</v>
          </cell>
          <cell r="BP196">
            <v>632372.04</v>
          </cell>
          <cell r="BQ196">
            <v>692760.87</v>
          </cell>
          <cell r="BR196">
            <v>42999.29</v>
          </cell>
          <cell r="BS196">
            <v>75734.070000000007</v>
          </cell>
          <cell r="BT196">
            <v>921303.44</v>
          </cell>
          <cell r="BU196">
            <v>29664</v>
          </cell>
          <cell r="BV196">
            <v>435931.1</v>
          </cell>
          <cell r="BW196">
            <v>363576.74</v>
          </cell>
          <cell r="BX196">
            <v>24458.73</v>
          </cell>
          <cell r="BY196">
            <v>57751.95</v>
          </cell>
          <cell r="BZ196">
            <v>258628.22</v>
          </cell>
          <cell r="CA196">
            <v>0</v>
          </cell>
          <cell r="CB196">
            <v>359648.9</v>
          </cell>
          <cell r="CC196">
            <v>186297.98</v>
          </cell>
          <cell r="CD196">
            <v>250595.17</v>
          </cell>
          <cell r="CE196">
            <v>291151.3</v>
          </cell>
          <cell r="CF196">
            <v>422892.56</v>
          </cell>
          <cell r="CG196">
            <v>740064.38</v>
          </cell>
          <cell r="CH196">
            <v>1641357.25</v>
          </cell>
          <cell r="CI196">
            <v>777960.14</v>
          </cell>
          <cell r="CJ196">
            <v>19328.2</v>
          </cell>
          <cell r="CK196">
            <v>880376.74</v>
          </cell>
          <cell r="CL196">
            <v>581953.62</v>
          </cell>
          <cell r="CM196">
            <v>37114.35</v>
          </cell>
          <cell r="CN196">
            <v>1522226.35</v>
          </cell>
          <cell r="CO196">
            <v>65778.850000000006</v>
          </cell>
          <cell r="CP196">
            <v>862443.96</v>
          </cell>
          <cell r="CQ196">
            <v>20954</v>
          </cell>
          <cell r="CR196">
            <v>189715.34</v>
          </cell>
          <cell r="CS196">
            <v>133048.85999999999</v>
          </cell>
          <cell r="CT196">
            <v>1045426.93</v>
          </cell>
          <cell r="CU196">
            <v>199850.6</v>
          </cell>
          <cell r="CV196">
            <v>214155.11</v>
          </cell>
          <cell r="CW196">
            <v>83591.789999999994</v>
          </cell>
          <cell r="CX196">
            <v>57896.46</v>
          </cell>
          <cell r="CY196">
            <v>46683.59</v>
          </cell>
          <cell r="CZ196">
            <v>513774.68</v>
          </cell>
          <cell r="DA196">
            <v>77348.87</v>
          </cell>
          <cell r="DB196">
            <v>11848</v>
          </cell>
          <cell r="DC196">
            <v>58061.69</v>
          </cell>
          <cell r="DD196">
            <v>124184.36</v>
          </cell>
          <cell r="DE196">
            <v>69439.48</v>
          </cell>
          <cell r="DF196">
            <v>28108.39</v>
          </cell>
          <cell r="DG196">
            <v>84949.99</v>
          </cell>
        </row>
        <row r="197">
          <cell r="A197">
            <v>6100060</v>
          </cell>
          <cell r="B197">
            <v>6100060</v>
          </cell>
          <cell r="C197" t="str">
            <v>Consultants-Legal</v>
          </cell>
          <cell r="D197">
            <v>-50504.84</v>
          </cell>
          <cell r="E197">
            <v>87896.37</v>
          </cell>
          <cell r="F197">
            <v>-300957.75</v>
          </cell>
          <cell r="G197">
            <v>257024.83</v>
          </cell>
          <cell r="H197">
            <v>65548.11</v>
          </cell>
          <cell r="I197">
            <v>243673.5</v>
          </cell>
          <cell r="J197">
            <v>72122.45</v>
          </cell>
          <cell r="K197">
            <v>69891.490000000005</v>
          </cell>
          <cell r="L197">
            <v>110381.53</v>
          </cell>
          <cell r="M197">
            <v>140020.59</v>
          </cell>
          <cell r="N197">
            <v>72732.179999999993</v>
          </cell>
          <cell r="O197">
            <v>423205.6</v>
          </cell>
          <cell r="P197">
            <v>-68998.100000000006</v>
          </cell>
          <cell r="Q197">
            <v>176522.95</v>
          </cell>
          <cell r="R197">
            <v>123054.85</v>
          </cell>
          <cell r="S197">
            <v>80846.31</v>
          </cell>
          <cell r="T197">
            <v>148904.49</v>
          </cell>
          <cell r="U197">
            <v>214373.98</v>
          </cell>
          <cell r="V197">
            <v>196648.99</v>
          </cell>
          <cell r="W197">
            <v>134652.95000000001</v>
          </cell>
          <cell r="X197">
            <v>254187.78</v>
          </cell>
          <cell r="Y197">
            <v>94728.54</v>
          </cell>
          <cell r="Z197">
            <v>364653.57</v>
          </cell>
          <cell r="AA197">
            <v>-39685.449999999997</v>
          </cell>
          <cell r="AB197">
            <v>-74672.17</v>
          </cell>
          <cell r="AC197">
            <v>123922.24000000001</v>
          </cell>
          <cell r="AD197">
            <v>147924.1</v>
          </cell>
          <cell r="AE197">
            <v>-80116.710000000006</v>
          </cell>
          <cell r="AF197">
            <v>9273.32</v>
          </cell>
          <cell r="AG197">
            <v>494172.71</v>
          </cell>
          <cell r="AH197">
            <v>-149632.65</v>
          </cell>
          <cell r="AI197">
            <v>137096.49</v>
          </cell>
          <cell r="AJ197">
            <v>37906.94</v>
          </cell>
          <cell r="AK197">
            <v>236430.53</v>
          </cell>
          <cell r="AL197">
            <v>97266</v>
          </cell>
          <cell r="AM197">
            <v>607165.5</v>
          </cell>
          <cell r="AN197">
            <v>-201294.07</v>
          </cell>
          <cell r="AO197">
            <v>79650.34</v>
          </cell>
          <cell r="AP197">
            <v>65202.39</v>
          </cell>
          <cell r="AQ197">
            <v>117748.44</v>
          </cell>
          <cell r="AR197">
            <v>156934.1</v>
          </cell>
          <cell r="AS197">
            <v>110646.1</v>
          </cell>
          <cell r="AT197">
            <v>32270.91</v>
          </cell>
          <cell r="AU197">
            <v>-146808</v>
          </cell>
          <cell r="AV197">
            <v>130516.12</v>
          </cell>
          <cell r="AW197">
            <v>227103.09</v>
          </cell>
          <cell r="AX197">
            <v>50583.83</v>
          </cell>
          <cell r="AY197">
            <v>428949.6</v>
          </cell>
          <cell r="AZ197">
            <v>69639.45</v>
          </cell>
          <cell r="BA197">
            <v>58680.57</v>
          </cell>
          <cell r="BB197">
            <v>208292.87</v>
          </cell>
          <cell r="BC197">
            <v>121078.01</v>
          </cell>
          <cell r="BD197">
            <v>316921.19</v>
          </cell>
          <cell r="BE197">
            <v>86857.13</v>
          </cell>
          <cell r="BF197">
            <v>168311.6</v>
          </cell>
          <cell r="BG197">
            <v>-207241.15</v>
          </cell>
          <cell r="BH197">
            <v>55496.13</v>
          </cell>
          <cell r="BI197">
            <v>309295.39</v>
          </cell>
          <cell r="BJ197">
            <v>152309.17000000001</v>
          </cell>
          <cell r="BK197">
            <v>403099.83</v>
          </cell>
          <cell r="BL197">
            <v>-120945.99</v>
          </cell>
          <cell r="BM197">
            <v>231648.04</v>
          </cell>
          <cell r="BN197">
            <v>216772.39</v>
          </cell>
          <cell r="BO197">
            <v>151511.78</v>
          </cell>
          <cell r="BP197">
            <v>329048.71999999997</v>
          </cell>
          <cell r="BQ197">
            <v>-190307.1</v>
          </cell>
          <cell r="BR197">
            <v>267697.86</v>
          </cell>
          <cell r="BS197">
            <v>222748.94</v>
          </cell>
          <cell r="BT197">
            <v>277356.76</v>
          </cell>
          <cell r="BU197">
            <v>412756.87</v>
          </cell>
          <cell r="BV197">
            <v>531455.93999999994</v>
          </cell>
          <cell r="BW197">
            <v>953867.28</v>
          </cell>
          <cell r="BX197">
            <v>-267571.92</v>
          </cell>
          <cell r="BY197">
            <v>176967.77</v>
          </cell>
          <cell r="BZ197">
            <v>-408578.89</v>
          </cell>
          <cell r="CA197">
            <v>517538.04</v>
          </cell>
          <cell r="CB197">
            <v>153167.95000000001</v>
          </cell>
          <cell r="CC197">
            <v>469452.77</v>
          </cell>
          <cell r="CD197">
            <v>1059724.6000000001</v>
          </cell>
          <cell r="CE197">
            <v>606953.93999999994</v>
          </cell>
          <cell r="CF197">
            <v>281322.15000000002</v>
          </cell>
          <cell r="CG197">
            <v>481714.14</v>
          </cell>
          <cell r="CH197">
            <v>269922.09000000003</v>
          </cell>
          <cell r="CI197">
            <v>238372.01</v>
          </cell>
          <cell r="CJ197">
            <v>-434302.52</v>
          </cell>
          <cell r="CK197">
            <v>219764.49</v>
          </cell>
          <cell r="CL197">
            <v>239507.01</v>
          </cell>
          <cell r="CM197">
            <v>18038.57</v>
          </cell>
          <cell r="CN197">
            <v>306358.11</v>
          </cell>
          <cell r="CO197">
            <v>-89332.51</v>
          </cell>
          <cell r="CP197">
            <v>253770.97</v>
          </cell>
          <cell r="CQ197">
            <v>339037.47</v>
          </cell>
          <cell r="CR197">
            <v>-13974.11</v>
          </cell>
          <cell r="CS197">
            <v>110227.45</v>
          </cell>
          <cell r="CT197">
            <v>250550.05</v>
          </cell>
          <cell r="CU197">
            <v>813785.21</v>
          </cell>
          <cell r="CV197">
            <v>-612444.18000000005</v>
          </cell>
          <cell r="CW197">
            <v>221311.3</v>
          </cell>
          <cell r="CX197">
            <v>326588.62</v>
          </cell>
          <cell r="CY197">
            <v>75897.37</v>
          </cell>
          <cell r="CZ197">
            <v>230482.24</v>
          </cell>
          <cell r="DA197">
            <v>45617.94</v>
          </cell>
          <cell r="DB197">
            <v>604354.35</v>
          </cell>
          <cell r="DC197">
            <v>-268001.33</v>
          </cell>
          <cell r="DD197">
            <v>-826099.8</v>
          </cell>
          <cell r="DE197">
            <v>3930317.65</v>
          </cell>
          <cell r="DF197">
            <v>-407360.08</v>
          </cell>
          <cell r="DG197">
            <v>1087124.8600000001</v>
          </cell>
        </row>
        <row r="198">
          <cell r="A198">
            <v>6100070</v>
          </cell>
          <cell r="B198">
            <v>6100070</v>
          </cell>
          <cell r="C198" t="str">
            <v>Consultants-Mgmt</v>
          </cell>
          <cell r="D198">
            <v>0</v>
          </cell>
          <cell r="E198">
            <v>0</v>
          </cell>
          <cell r="F198">
            <v>0</v>
          </cell>
          <cell r="G198">
            <v>0</v>
          </cell>
          <cell r="H198">
            <v>0</v>
          </cell>
          <cell r="I198">
            <v>0</v>
          </cell>
          <cell r="J198">
            <v>0</v>
          </cell>
          <cell r="K198">
            <v>0</v>
          </cell>
          <cell r="L198">
            <v>19590.32</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cell r="AF198"/>
          <cell r="AG198"/>
          <cell r="AH198">
            <v>0</v>
          </cell>
          <cell r="AI198">
            <v>0</v>
          </cell>
          <cell r="AJ198">
            <v>0</v>
          </cell>
          <cell r="AK198"/>
          <cell r="AL198"/>
          <cell r="AM198"/>
          <cell r="AN198"/>
          <cell r="AO198"/>
          <cell r="AP198"/>
          <cell r="AQ198"/>
          <cell r="AR198"/>
          <cell r="AS198"/>
          <cell r="AT198">
            <v>13004.29</v>
          </cell>
          <cell r="AU198">
            <v>1000</v>
          </cell>
          <cell r="AV198">
            <v>0</v>
          </cell>
          <cell r="AW198">
            <v>0</v>
          </cell>
          <cell r="AX198">
            <v>0</v>
          </cell>
          <cell r="AY198">
            <v>74230.05</v>
          </cell>
          <cell r="AZ198">
            <v>-1400</v>
          </cell>
          <cell r="BA198">
            <v>0</v>
          </cell>
          <cell r="BB198">
            <v>0</v>
          </cell>
          <cell r="BC198">
            <v>150000</v>
          </cell>
          <cell r="BD198">
            <v>19563.68</v>
          </cell>
          <cell r="BE198">
            <v>13650</v>
          </cell>
          <cell r="BF198">
            <v>29056.53</v>
          </cell>
          <cell r="BG198">
            <v>-13650</v>
          </cell>
          <cell r="BH198">
            <v>30837.5</v>
          </cell>
          <cell r="BI198">
            <v>10456.25</v>
          </cell>
          <cell r="BJ198">
            <v>0</v>
          </cell>
          <cell r="BK198">
            <v>6676.71</v>
          </cell>
          <cell r="BL198">
            <v>-6676.71</v>
          </cell>
          <cell r="BM198">
            <v>9839.2099999999991</v>
          </cell>
          <cell r="BN198">
            <v>0</v>
          </cell>
          <cell r="BO198">
            <v>0</v>
          </cell>
          <cell r="BP198">
            <v>0</v>
          </cell>
          <cell r="BQ198">
            <v>0</v>
          </cell>
          <cell r="BR198">
            <v>0</v>
          </cell>
          <cell r="BS198">
            <v>0</v>
          </cell>
          <cell r="BT198">
            <v>0</v>
          </cell>
          <cell r="BU198">
            <v>0</v>
          </cell>
          <cell r="BV198">
            <v>1308</v>
          </cell>
          <cell r="BW198">
            <v>13692</v>
          </cell>
          <cell r="BX198">
            <v>0</v>
          </cell>
          <cell r="BY198">
            <v>0</v>
          </cell>
          <cell r="BZ198">
            <v>0</v>
          </cell>
          <cell r="CA198">
            <v>0</v>
          </cell>
          <cell r="CB198">
            <v>0</v>
          </cell>
          <cell r="CC198">
            <v>0</v>
          </cell>
          <cell r="CD198">
            <v>0</v>
          </cell>
          <cell r="CE198">
            <v>0</v>
          </cell>
          <cell r="CF198">
            <v>0</v>
          </cell>
          <cell r="CG198"/>
          <cell r="CH198"/>
          <cell r="CI198"/>
          <cell r="CJ198"/>
          <cell r="CK198"/>
          <cell r="CL198"/>
          <cell r="CM198"/>
          <cell r="CN198"/>
          <cell r="CO198"/>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row>
        <row r="199">
          <cell r="A199">
            <v>6100080</v>
          </cell>
          <cell r="B199">
            <v>6100080</v>
          </cell>
          <cell r="C199" t="str">
            <v>Consultants-Other</v>
          </cell>
          <cell r="D199">
            <v>27256</v>
          </cell>
          <cell r="E199">
            <v>33317.81</v>
          </cell>
          <cell r="F199">
            <v>60728.57</v>
          </cell>
          <cell r="G199">
            <v>115212.35</v>
          </cell>
          <cell r="H199">
            <v>231694.48</v>
          </cell>
          <cell r="I199">
            <v>122798</v>
          </cell>
          <cell r="J199">
            <v>-55639.92</v>
          </cell>
          <cell r="K199">
            <v>79008.259999999995</v>
          </cell>
          <cell r="L199">
            <v>60185.84</v>
          </cell>
          <cell r="M199">
            <v>188730</v>
          </cell>
          <cell r="N199">
            <v>17877.259999999998</v>
          </cell>
          <cell r="O199">
            <v>91928.86</v>
          </cell>
          <cell r="P199">
            <v>108757.17</v>
          </cell>
          <cell r="Q199">
            <v>124027.64</v>
          </cell>
          <cell r="R199">
            <v>136772.04</v>
          </cell>
          <cell r="S199">
            <v>55429.04</v>
          </cell>
          <cell r="T199">
            <v>10079.6</v>
          </cell>
          <cell r="U199">
            <v>49301.56</v>
          </cell>
          <cell r="V199">
            <v>58012.57</v>
          </cell>
          <cell r="W199">
            <v>115758.43</v>
          </cell>
          <cell r="X199">
            <v>48276.74</v>
          </cell>
          <cell r="Y199">
            <v>80303.899999999994</v>
          </cell>
          <cell r="Z199">
            <v>150614.79</v>
          </cell>
          <cell r="AA199">
            <v>394282.55</v>
          </cell>
          <cell r="AB199">
            <v>12270.06</v>
          </cell>
          <cell r="AC199">
            <v>389445.01</v>
          </cell>
          <cell r="AD199">
            <v>29020.28</v>
          </cell>
          <cell r="AE199">
            <v>27989.52</v>
          </cell>
          <cell r="AF199">
            <v>45012.55</v>
          </cell>
          <cell r="AG199">
            <v>4418.3</v>
          </cell>
          <cell r="AH199">
            <v>10001.41</v>
          </cell>
          <cell r="AI199">
            <v>25430.5</v>
          </cell>
          <cell r="AJ199">
            <v>83383.070000000007</v>
          </cell>
          <cell r="AK199">
            <v>11122.77</v>
          </cell>
          <cell r="AL199">
            <v>12486.5</v>
          </cell>
          <cell r="AM199">
            <v>93608.44</v>
          </cell>
          <cell r="AN199">
            <v>3556.3</v>
          </cell>
          <cell r="AO199">
            <v>65728.92</v>
          </cell>
          <cell r="AP199">
            <v>22926.42</v>
          </cell>
          <cell r="AQ199">
            <v>70372.66</v>
          </cell>
          <cell r="AR199">
            <v>234687.03</v>
          </cell>
          <cell r="AS199">
            <v>26087.4</v>
          </cell>
          <cell r="AT199">
            <v>8790.83</v>
          </cell>
          <cell r="AU199">
            <v>15156.19</v>
          </cell>
          <cell r="AV199">
            <v>19100.23</v>
          </cell>
          <cell r="AW199">
            <v>8994.7099999999991</v>
          </cell>
          <cell r="AX199">
            <v>56651.82</v>
          </cell>
          <cell r="AY199">
            <v>192780.47</v>
          </cell>
          <cell r="AZ199">
            <v>62054.79</v>
          </cell>
          <cell r="BA199">
            <v>31527.65</v>
          </cell>
          <cell r="BB199">
            <v>416917.19</v>
          </cell>
          <cell r="BC199">
            <v>34962.58</v>
          </cell>
          <cell r="BD199">
            <v>71805.919999999998</v>
          </cell>
          <cell r="BE199">
            <v>41747.96</v>
          </cell>
          <cell r="BF199">
            <v>23250.69</v>
          </cell>
          <cell r="BG199">
            <v>25772.86</v>
          </cell>
          <cell r="BH199">
            <v>30971.63</v>
          </cell>
          <cell r="BI199">
            <v>715102.95</v>
          </cell>
          <cell r="BJ199">
            <v>301488.46999999997</v>
          </cell>
          <cell r="BK199">
            <v>301487.35999999999</v>
          </cell>
          <cell r="BL199">
            <v>1168071</v>
          </cell>
          <cell r="BM199">
            <v>574700.93999999994</v>
          </cell>
          <cell r="BN199">
            <v>325404.98</v>
          </cell>
          <cell r="BO199">
            <v>962313.79</v>
          </cell>
          <cell r="BP199">
            <v>1289557.6399999999</v>
          </cell>
          <cell r="BQ199">
            <v>274105.12</v>
          </cell>
          <cell r="BR199">
            <v>244470.21</v>
          </cell>
          <cell r="BS199">
            <v>872356.61</v>
          </cell>
          <cell r="BT199">
            <v>356211.23</v>
          </cell>
          <cell r="BU199">
            <v>348385.46</v>
          </cell>
          <cell r="BV199">
            <v>1189782.82</v>
          </cell>
          <cell r="BW199">
            <v>745233.88</v>
          </cell>
          <cell r="BX199">
            <v>441984.22</v>
          </cell>
          <cell r="BY199">
            <v>1313292.3999999999</v>
          </cell>
          <cell r="BZ199">
            <v>601362.24</v>
          </cell>
          <cell r="CA199">
            <v>1117504.05</v>
          </cell>
          <cell r="CB199">
            <v>227593.48</v>
          </cell>
          <cell r="CC199">
            <v>343748.83</v>
          </cell>
          <cell r="CD199">
            <v>381874</v>
          </cell>
          <cell r="CE199">
            <v>88077.22</v>
          </cell>
          <cell r="CF199">
            <v>120374.41</v>
          </cell>
          <cell r="CG199">
            <v>201578.55</v>
          </cell>
          <cell r="CH199">
            <v>227348.87</v>
          </cell>
          <cell r="CI199">
            <v>126515.26</v>
          </cell>
          <cell r="CJ199">
            <v>-272713.61</v>
          </cell>
          <cell r="CK199">
            <v>432123.07</v>
          </cell>
          <cell r="CL199">
            <v>159496.67000000001</v>
          </cell>
          <cell r="CM199">
            <v>916021.66</v>
          </cell>
          <cell r="CN199">
            <v>273136.03000000003</v>
          </cell>
          <cell r="CO199">
            <v>1058395.69</v>
          </cell>
          <cell r="CP199">
            <v>171373.1</v>
          </cell>
          <cell r="CQ199">
            <v>833528.7</v>
          </cell>
          <cell r="CR199">
            <v>1797798.98</v>
          </cell>
          <cell r="CS199">
            <v>769256.85</v>
          </cell>
          <cell r="CT199">
            <v>798121.51</v>
          </cell>
          <cell r="CU199">
            <v>1150678.0900000001</v>
          </cell>
          <cell r="CV199">
            <v>903299.03</v>
          </cell>
          <cell r="CW199">
            <v>930993.15</v>
          </cell>
          <cell r="CX199">
            <v>1069733.6299999999</v>
          </cell>
          <cell r="CY199">
            <v>1328077.92</v>
          </cell>
          <cell r="CZ199">
            <v>1719596.09</v>
          </cell>
          <cell r="DA199">
            <v>1206053.45</v>
          </cell>
          <cell r="DB199">
            <v>313616.71999999997</v>
          </cell>
          <cell r="DC199">
            <v>605131.81999999995</v>
          </cell>
          <cell r="DD199">
            <v>377635.43</v>
          </cell>
          <cell r="DE199">
            <v>270296.61</v>
          </cell>
          <cell r="DF199">
            <v>-230669.78</v>
          </cell>
          <cell r="DG199">
            <v>1443048.76</v>
          </cell>
        </row>
        <row r="200">
          <cell r="A200">
            <v>6100090</v>
          </cell>
          <cell r="B200">
            <v>6100090</v>
          </cell>
          <cell r="C200" t="str">
            <v>Consultants-Taxes</v>
          </cell>
          <cell r="D200">
            <v>0</v>
          </cell>
          <cell r="E200">
            <v>0</v>
          </cell>
          <cell r="F200">
            <v>4327.07</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cell r="AF200"/>
          <cell r="AG200"/>
          <cell r="AH200">
            <v>0</v>
          </cell>
          <cell r="AI200">
            <v>0</v>
          </cell>
          <cell r="AJ200">
            <v>0</v>
          </cell>
          <cell r="AK200"/>
          <cell r="AL200"/>
          <cell r="AM200"/>
          <cell r="AN200"/>
          <cell r="AO200"/>
          <cell r="AP200"/>
          <cell r="AQ200"/>
          <cell r="AR200"/>
          <cell r="AS200"/>
          <cell r="AT200"/>
          <cell r="AU200"/>
          <cell r="AV200"/>
          <cell r="AW200"/>
          <cell r="AX200"/>
          <cell r="AY200"/>
          <cell r="AZ200"/>
          <cell r="BA200"/>
          <cell r="BB200"/>
          <cell r="BC200"/>
          <cell r="BD200"/>
          <cell r="BE200"/>
          <cell r="BF200"/>
          <cell r="BG200"/>
          <cell r="BH200"/>
          <cell r="BI200"/>
          <cell r="BJ200"/>
          <cell r="BK200"/>
          <cell r="BL200"/>
          <cell r="BM200"/>
          <cell r="BN200"/>
          <cell r="BO200"/>
          <cell r="BP200"/>
          <cell r="BQ200"/>
          <cell r="BR200"/>
          <cell r="BS200"/>
          <cell r="BT200"/>
          <cell r="BU200"/>
          <cell r="BV200"/>
          <cell r="BW200"/>
          <cell r="BX200"/>
          <cell r="BY200"/>
          <cell r="BZ200"/>
          <cell r="CA200"/>
          <cell r="CB200"/>
          <cell r="CC200"/>
          <cell r="CD200"/>
          <cell r="CE200"/>
          <cell r="CF200"/>
          <cell r="CG200"/>
          <cell r="CH200"/>
          <cell r="CI200"/>
          <cell r="CJ200"/>
          <cell r="CK200"/>
          <cell r="CL200"/>
          <cell r="CM200"/>
          <cell r="CN200"/>
          <cell r="CO200"/>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row>
        <row r="201">
          <cell r="A201">
            <v>6100100</v>
          </cell>
          <cell r="B201">
            <v>6100100</v>
          </cell>
          <cell r="C201" t="str">
            <v>Contractor Services</v>
          </cell>
          <cell r="D201">
            <v>1685726.83</v>
          </cell>
          <cell r="E201">
            <v>5350547.9400000004</v>
          </cell>
          <cell r="F201">
            <v>4563537.0199999996</v>
          </cell>
          <cell r="G201">
            <v>5464513.3499999996</v>
          </cell>
          <cell r="H201">
            <v>3432858.86</v>
          </cell>
          <cell r="I201">
            <v>4733792.83</v>
          </cell>
          <cell r="J201">
            <v>4415239.3499999996</v>
          </cell>
          <cell r="K201">
            <v>5688508.5700000003</v>
          </cell>
          <cell r="L201">
            <v>5125766.07</v>
          </cell>
          <cell r="M201">
            <v>4617691.24</v>
          </cell>
          <cell r="N201">
            <v>3550918.5</v>
          </cell>
          <cell r="O201">
            <v>6134379.9699999997</v>
          </cell>
          <cell r="P201">
            <v>4152922.17</v>
          </cell>
          <cell r="Q201">
            <v>3797511.3</v>
          </cell>
          <cell r="R201">
            <v>4868345.0999999996</v>
          </cell>
          <cell r="S201">
            <v>3750571.99</v>
          </cell>
          <cell r="T201">
            <v>3735523.47</v>
          </cell>
          <cell r="U201">
            <v>6015724.8899999997</v>
          </cell>
          <cell r="V201">
            <v>4778624.1399999997</v>
          </cell>
          <cell r="W201">
            <v>3613756.87</v>
          </cell>
          <cell r="X201">
            <v>4620176.9400000004</v>
          </cell>
          <cell r="Y201">
            <v>5883898.6900000004</v>
          </cell>
          <cell r="Z201">
            <v>6031631.9699999997</v>
          </cell>
          <cell r="AA201">
            <v>7153399.2999999998</v>
          </cell>
          <cell r="AB201">
            <v>3995448.12</v>
          </cell>
          <cell r="AC201">
            <v>11504677.01</v>
          </cell>
          <cell r="AD201">
            <v>7220133.6399999997</v>
          </cell>
          <cell r="AE201">
            <v>5742721.21</v>
          </cell>
          <cell r="AF201">
            <v>8927845.8800000008</v>
          </cell>
          <cell r="AG201">
            <v>10409533.699999999</v>
          </cell>
          <cell r="AH201">
            <v>6866301.6100000003</v>
          </cell>
          <cell r="AI201">
            <v>7776848.5800000001</v>
          </cell>
          <cell r="AJ201">
            <v>7381397.4199999999</v>
          </cell>
          <cell r="AK201">
            <v>6953388.1299999999</v>
          </cell>
          <cell r="AL201">
            <v>9178368.75</v>
          </cell>
          <cell r="AM201">
            <v>11722681.48</v>
          </cell>
          <cell r="AN201">
            <v>4520924.96</v>
          </cell>
          <cell r="AO201">
            <v>7123776.4199999999</v>
          </cell>
          <cell r="AP201">
            <v>6881757.9900000002</v>
          </cell>
          <cell r="AQ201">
            <v>5617183.4699999997</v>
          </cell>
          <cell r="AR201">
            <v>6277465.5499999998</v>
          </cell>
          <cell r="AS201">
            <v>6571939.4400000004</v>
          </cell>
          <cell r="AT201">
            <v>8285044.8799999999</v>
          </cell>
          <cell r="AU201">
            <v>10147018.289999999</v>
          </cell>
          <cell r="AV201">
            <v>5081677.4800000004</v>
          </cell>
          <cell r="AW201">
            <v>8828723.6400000006</v>
          </cell>
          <cell r="AX201">
            <v>8469319.1799999997</v>
          </cell>
          <cell r="AY201">
            <v>9374221.2100000009</v>
          </cell>
          <cell r="AZ201">
            <v>7491679.5300000003</v>
          </cell>
          <cell r="BA201">
            <v>8868415.3499999996</v>
          </cell>
          <cell r="BB201">
            <v>8950461.0800000001</v>
          </cell>
          <cell r="BC201">
            <v>6668131.9299999997</v>
          </cell>
          <cell r="BD201">
            <v>10391864.02</v>
          </cell>
          <cell r="BE201">
            <v>8384423.2400000002</v>
          </cell>
          <cell r="BF201">
            <v>8169371.8200000003</v>
          </cell>
          <cell r="BG201">
            <v>10961835.24</v>
          </cell>
          <cell r="BH201">
            <v>10301311.83</v>
          </cell>
          <cell r="BI201">
            <v>14889014.060000001</v>
          </cell>
          <cell r="BJ201">
            <v>13704093.15</v>
          </cell>
          <cell r="BK201">
            <v>11948367.029999999</v>
          </cell>
          <cell r="BL201">
            <v>12692675.73</v>
          </cell>
          <cell r="BM201">
            <v>9128770.4399999995</v>
          </cell>
          <cell r="BN201">
            <v>11144498.1</v>
          </cell>
          <cell r="BO201">
            <v>8911639.8100000005</v>
          </cell>
          <cell r="BP201">
            <v>10450485.800000001</v>
          </cell>
          <cell r="BQ201">
            <v>13710438.050000001</v>
          </cell>
          <cell r="BR201">
            <v>9870766.5600000005</v>
          </cell>
          <cell r="BS201">
            <v>15857835.449999999</v>
          </cell>
          <cell r="BT201">
            <v>10544474.869999999</v>
          </cell>
          <cell r="BU201">
            <v>13554755.699999999</v>
          </cell>
          <cell r="BV201">
            <v>15184881.109999999</v>
          </cell>
          <cell r="BW201">
            <v>18847956.359999999</v>
          </cell>
          <cell r="BX201">
            <v>18197050.170000002</v>
          </cell>
          <cell r="BY201">
            <v>15655857.91</v>
          </cell>
          <cell r="BZ201">
            <v>18034561.41</v>
          </cell>
          <cell r="CA201">
            <v>19599908.649999999</v>
          </cell>
          <cell r="CB201">
            <v>19025598.68</v>
          </cell>
          <cell r="CC201">
            <v>13116330.57</v>
          </cell>
          <cell r="CD201">
            <v>14901364.48</v>
          </cell>
          <cell r="CE201">
            <v>18569338.469999999</v>
          </cell>
          <cell r="CF201">
            <v>17486742.57</v>
          </cell>
          <cell r="CG201">
            <v>24937660.300000001</v>
          </cell>
          <cell r="CH201">
            <v>20213901.969999999</v>
          </cell>
          <cell r="CI201">
            <v>26129528.07</v>
          </cell>
          <cell r="CJ201">
            <v>16182441.640000001</v>
          </cell>
          <cell r="CK201">
            <v>22008046.260000002</v>
          </cell>
          <cell r="CL201">
            <v>26445109.870000001</v>
          </cell>
          <cell r="CM201">
            <v>16935201.890000001</v>
          </cell>
          <cell r="CN201">
            <v>12263347.58</v>
          </cell>
          <cell r="CO201">
            <v>18140310.710000001</v>
          </cell>
          <cell r="CP201">
            <v>13684608.380000001</v>
          </cell>
          <cell r="CQ201">
            <v>16285214.609999999</v>
          </cell>
          <cell r="CR201">
            <v>20528971.620000001</v>
          </cell>
          <cell r="CS201">
            <v>22365182.550000001</v>
          </cell>
          <cell r="CT201">
            <v>19829113.629999999</v>
          </cell>
          <cell r="CU201">
            <v>14553761.439999999</v>
          </cell>
          <cell r="CV201">
            <v>17306803.920000002</v>
          </cell>
          <cell r="CW201">
            <v>17019094.859999999</v>
          </cell>
          <cell r="CX201">
            <v>16489226.83</v>
          </cell>
          <cell r="CY201">
            <v>20559613.379999999</v>
          </cell>
          <cell r="CZ201">
            <v>17661479.379999999</v>
          </cell>
          <cell r="DA201">
            <v>21435742.780000001</v>
          </cell>
          <cell r="DB201">
            <v>15424523.42</v>
          </cell>
          <cell r="DC201">
            <v>20636784.09</v>
          </cell>
          <cell r="DD201">
            <v>11478467.890000001</v>
          </cell>
          <cell r="DE201">
            <v>15731297.630000001</v>
          </cell>
          <cell r="DF201">
            <v>17169068.93</v>
          </cell>
          <cell r="DG201">
            <v>24077649.440000001</v>
          </cell>
        </row>
        <row r="202">
          <cell r="A202">
            <v>6100110</v>
          </cell>
          <cell r="B202">
            <v>6100110</v>
          </cell>
          <cell r="C202" t="str">
            <v>Instrument SvcRepair</v>
          </cell>
          <cell r="D202"/>
          <cell r="E202"/>
          <cell r="F202"/>
          <cell r="G202"/>
          <cell r="H202"/>
          <cell r="I202"/>
          <cell r="J202"/>
          <cell r="K202"/>
          <cell r="L202"/>
          <cell r="M202"/>
          <cell r="N202"/>
          <cell r="O202"/>
          <cell r="P202"/>
          <cell r="Q202"/>
          <cell r="R202"/>
          <cell r="S202"/>
          <cell r="T202"/>
          <cell r="U202"/>
          <cell r="V202"/>
          <cell r="W202"/>
          <cell r="X202"/>
          <cell r="Y202"/>
          <cell r="Z202"/>
          <cell r="AA202"/>
          <cell r="AB202"/>
          <cell r="AC202"/>
          <cell r="AD202"/>
          <cell r="AE202"/>
          <cell r="AF202"/>
          <cell r="AG202"/>
          <cell r="AH202"/>
          <cell r="AI202"/>
          <cell r="AJ202"/>
          <cell r="AK202"/>
          <cell r="AL202"/>
          <cell r="AM202"/>
          <cell r="AN202"/>
          <cell r="AO202"/>
          <cell r="AP202"/>
          <cell r="AQ202"/>
          <cell r="AR202"/>
          <cell r="AS202"/>
          <cell r="AT202"/>
          <cell r="AU202"/>
          <cell r="AV202"/>
          <cell r="AW202"/>
          <cell r="AX202"/>
          <cell r="AY202"/>
          <cell r="AZ202"/>
          <cell r="BA202"/>
          <cell r="BB202"/>
          <cell r="BC202">
            <v>0</v>
          </cell>
          <cell r="BD202">
            <v>87615</v>
          </cell>
          <cell r="BE202">
            <v>-87464</v>
          </cell>
          <cell r="BF202">
            <v>9</v>
          </cell>
          <cell r="BG202">
            <v>0</v>
          </cell>
          <cell r="BH202">
            <v>0</v>
          </cell>
          <cell r="BI202">
            <v>0</v>
          </cell>
          <cell r="BJ202">
            <v>0</v>
          </cell>
          <cell r="BK202">
            <v>189.13</v>
          </cell>
          <cell r="BL202">
            <v>0</v>
          </cell>
          <cell r="BM202">
            <v>0</v>
          </cell>
          <cell r="BN202">
            <v>0</v>
          </cell>
          <cell r="BO202">
            <v>0</v>
          </cell>
          <cell r="BP202">
            <v>0</v>
          </cell>
          <cell r="BQ202">
            <v>0</v>
          </cell>
          <cell r="BR202">
            <v>0</v>
          </cell>
          <cell r="BS202">
            <v>0</v>
          </cell>
          <cell r="BT202">
            <v>0</v>
          </cell>
          <cell r="BU202"/>
          <cell r="BV202"/>
          <cell r="BW202"/>
          <cell r="BX202"/>
          <cell r="BY202"/>
          <cell r="BZ202"/>
          <cell r="CA202"/>
          <cell r="CB202"/>
          <cell r="CC202"/>
          <cell r="CD202"/>
          <cell r="CE202"/>
          <cell r="CF202"/>
          <cell r="CG202"/>
          <cell r="CH202"/>
          <cell r="CI202"/>
          <cell r="CJ202">
            <v>1729.9</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884.59</v>
          </cell>
          <cell r="DC202">
            <v>0</v>
          </cell>
          <cell r="DD202">
            <v>0</v>
          </cell>
          <cell r="DE202">
            <v>0</v>
          </cell>
          <cell r="DF202">
            <v>0</v>
          </cell>
          <cell r="DG202">
            <v>0</v>
          </cell>
        </row>
        <row r="203">
          <cell r="A203">
            <v>6100120</v>
          </cell>
          <cell r="B203">
            <v>6100120</v>
          </cell>
          <cell r="C203" t="str">
            <v>Tool Service/Repair</v>
          </cell>
          <cell r="D203">
            <v>0</v>
          </cell>
          <cell r="E203">
            <v>0</v>
          </cell>
          <cell r="F203">
            <v>208.65</v>
          </cell>
          <cell r="G203">
            <v>484.71</v>
          </cell>
          <cell r="H203">
            <v>1277.1099999999999</v>
          </cell>
          <cell r="I203">
            <v>1208</v>
          </cell>
          <cell r="J203">
            <v>0</v>
          </cell>
          <cell r="K203">
            <v>0</v>
          </cell>
          <cell r="L203">
            <v>1008.17</v>
          </cell>
          <cell r="M203">
            <v>0</v>
          </cell>
          <cell r="N203">
            <v>0</v>
          </cell>
          <cell r="O203">
            <v>636.12</v>
          </cell>
          <cell r="P203">
            <v>0</v>
          </cell>
          <cell r="Q203">
            <v>0</v>
          </cell>
          <cell r="R203">
            <v>355.62</v>
          </cell>
          <cell r="S203">
            <v>0</v>
          </cell>
          <cell r="T203">
            <v>0</v>
          </cell>
          <cell r="U203">
            <v>108.88</v>
          </cell>
          <cell r="V203">
            <v>113.1</v>
          </cell>
          <cell r="W203">
            <v>16.010000000000002</v>
          </cell>
          <cell r="X203">
            <v>1673.34</v>
          </cell>
          <cell r="Y203">
            <v>896.91</v>
          </cell>
          <cell r="Z203">
            <v>237.65</v>
          </cell>
          <cell r="AA203">
            <v>289.85000000000002</v>
          </cell>
          <cell r="AB203">
            <v>0</v>
          </cell>
          <cell r="AC203">
            <v>1187.8599999999999</v>
          </cell>
          <cell r="AD203">
            <v>0</v>
          </cell>
          <cell r="AE203">
            <v>0</v>
          </cell>
          <cell r="AF203">
            <v>2255.34</v>
          </cell>
          <cell r="AG203">
            <v>-104.12</v>
          </cell>
          <cell r="AH203">
            <v>812.3</v>
          </cell>
          <cell r="AI203">
            <v>-34.299999999999997</v>
          </cell>
          <cell r="AJ203">
            <v>322.44</v>
          </cell>
          <cell r="AK203">
            <v>42.58</v>
          </cell>
          <cell r="AL203">
            <v>32.07</v>
          </cell>
          <cell r="AM203">
            <v>2561.09</v>
          </cell>
          <cell r="AN203">
            <v>0</v>
          </cell>
          <cell r="AO203">
            <v>793.82</v>
          </cell>
          <cell r="AP203">
            <v>51.79</v>
          </cell>
          <cell r="AQ203">
            <v>558.95000000000005</v>
          </cell>
          <cell r="AR203">
            <v>261.83</v>
          </cell>
          <cell r="AS203">
            <v>156.78</v>
          </cell>
          <cell r="AT203">
            <v>0</v>
          </cell>
          <cell r="AU203">
            <v>0</v>
          </cell>
          <cell r="AV203">
            <v>172.81</v>
          </cell>
          <cell r="AW203">
            <v>40.82</v>
          </cell>
          <cell r="AX203">
            <v>2582.59</v>
          </cell>
          <cell r="AY203">
            <v>802.56</v>
          </cell>
          <cell r="AZ203">
            <v>0</v>
          </cell>
          <cell r="BA203">
            <v>574.42999999999995</v>
          </cell>
          <cell r="BB203">
            <v>4963.57</v>
          </cell>
          <cell r="BC203">
            <v>159.69999999999999</v>
          </cell>
          <cell r="BD203">
            <v>945.83</v>
          </cell>
          <cell r="BE203">
            <v>440.31</v>
          </cell>
          <cell r="BF203">
            <v>94.69</v>
          </cell>
          <cell r="BG203">
            <v>3026.9</v>
          </cell>
          <cell r="BH203">
            <v>552.66</v>
          </cell>
          <cell r="BI203">
            <v>1216.8399999999999</v>
          </cell>
          <cell r="BJ203">
            <v>429.88</v>
          </cell>
          <cell r="BK203">
            <v>1834.17</v>
          </cell>
          <cell r="BL203">
            <v>0</v>
          </cell>
          <cell r="BM203">
            <v>302.23</v>
          </cell>
          <cell r="BN203">
            <v>198.74</v>
          </cell>
          <cell r="BO203">
            <v>0</v>
          </cell>
          <cell r="BP203">
            <v>1326.2</v>
          </cell>
          <cell r="BQ203">
            <v>1792.84</v>
          </cell>
          <cell r="BR203">
            <v>54.24</v>
          </cell>
          <cell r="BS203">
            <v>2251.2600000000002</v>
          </cell>
          <cell r="BT203">
            <v>309.95</v>
          </cell>
          <cell r="BU203">
            <v>1028.43</v>
          </cell>
          <cell r="BV203">
            <v>2440.0300000000002</v>
          </cell>
          <cell r="BW203">
            <v>3895.01</v>
          </cell>
          <cell r="BX203">
            <v>0</v>
          </cell>
          <cell r="BY203">
            <v>1693.9</v>
          </cell>
          <cell r="BZ203">
            <v>802.82</v>
          </cell>
          <cell r="CA203">
            <v>151.16999999999999</v>
          </cell>
          <cell r="CB203">
            <v>63.58</v>
          </cell>
          <cell r="CC203">
            <v>93.07</v>
          </cell>
          <cell r="CD203">
            <v>772.35</v>
          </cell>
          <cell r="CE203">
            <v>4343.76</v>
          </cell>
          <cell r="CF203">
            <v>182.25</v>
          </cell>
          <cell r="CG203">
            <v>-11.93</v>
          </cell>
          <cell r="CH203">
            <v>0</v>
          </cell>
          <cell r="CI203">
            <v>0</v>
          </cell>
          <cell r="CJ203">
            <v>1209.1500000000001</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3793.11</v>
          </cell>
          <cell r="DE203">
            <v>0</v>
          </cell>
          <cell r="DF203">
            <v>0</v>
          </cell>
          <cell r="DG203">
            <v>0</v>
          </cell>
        </row>
        <row r="204">
          <cell r="A204">
            <v>6100130</v>
          </cell>
          <cell r="B204">
            <v>6100130</v>
          </cell>
          <cell r="C204" t="str">
            <v>EHS Monitoring</v>
          </cell>
          <cell r="D204"/>
          <cell r="E204"/>
          <cell r="F204"/>
          <cell r="G204"/>
          <cell r="H204"/>
          <cell r="I204"/>
          <cell r="J204"/>
          <cell r="K204"/>
          <cell r="L204"/>
          <cell r="M204"/>
          <cell r="N204"/>
          <cell r="O204"/>
          <cell r="P204"/>
          <cell r="Q204"/>
          <cell r="R204"/>
          <cell r="S204"/>
          <cell r="T204"/>
          <cell r="U204"/>
          <cell r="V204"/>
          <cell r="W204"/>
          <cell r="X204"/>
          <cell r="Y204"/>
          <cell r="Z204"/>
          <cell r="AA204"/>
          <cell r="AB204"/>
          <cell r="AC204"/>
          <cell r="AD204"/>
          <cell r="AE204"/>
          <cell r="AF204"/>
          <cell r="AG204"/>
          <cell r="AH204"/>
          <cell r="AI204"/>
          <cell r="AJ204"/>
          <cell r="AK204"/>
          <cell r="AL204"/>
          <cell r="AM204"/>
          <cell r="AN204"/>
          <cell r="AO204"/>
          <cell r="AP204"/>
          <cell r="AQ204"/>
          <cell r="AR204"/>
          <cell r="AS204"/>
          <cell r="AT204"/>
          <cell r="AU204"/>
          <cell r="AV204"/>
          <cell r="AW204"/>
          <cell r="AX204"/>
          <cell r="AY204"/>
          <cell r="AZ204"/>
          <cell r="BA204"/>
          <cell r="BB204"/>
          <cell r="BC204"/>
          <cell r="BD204"/>
          <cell r="BE204"/>
          <cell r="BF204"/>
          <cell r="BG204"/>
          <cell r="BH204"/>
          <cell r="BI204"/>
          <cell r="BJ204"/>
          <cell r="BK204"/>
          <cell r="BL204">
            <v>0</v>
          </cell>
          <cell r="BM204">
            <v>20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cell r="CH204"/>
          <cell r="CI204"/>
          <cell r="CJ204"/>
          <cell r="CK204"/>
          <cell r="CL204"/>
          <cell r="CM204"/>
          <cell r="CN204"/>
          <cell r="CO204"/>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row>
        <row r="205">
          <cell r="A205">
            <v>6100150</v>
          </cell>
          <cell r="B205">
            <v>6100150</v>
          </cell>
          <cell r="C205" t="str">
            <v>Printing</v>
          </cell>
          <cell r="D205">
            <v>-5091.95</v>
          </cell>
          <cell r="E205">
            <v>5714.47</v>
          </cell>
          <cell r="F205">
            <v>7970.87</v>
          </cell>
          <cell r="G205">
            <v>5906.28</v>
          </cell>
          <cell r="H205">
            <v>7680.45</v>
          </cell>
          <cell r="I205">
            <v>13728.68</v>
          </cell>
          <cell r="J205">
            <v>8138.19</v>
          </cell>
          <cell r="K205">
            <v>7121.7</v>
          </cell>
          <cell r="L205">
            <v>11237.22</v>
          </cell>
          <cell r="M205">
            <v>13329.69</v>
          </cell>
          <cell r="N205">
            <v>10476.459999999999</v>
          </cell>
          <cell r="O205">
            <v>11228.9</v>
          </cell>
          <cell r="P205">
            <v>11.01</v>
          </cell>
          <cell r="Q205">
            <v>2197.9299999999998</v>
          </cell>
          <cell r="R205">
            <v>125.43</v>
          </cell>
          <cell r="S205">
            <v>2689.88</v>
          </cell>
          <cell r="T205">
            <v>1044.32</v>
          </cell>
          <cell r="U205">
            <v>1221.1099999999999</v>
          </cell>
          <cell r="V205">
            <v>381.26</v>
          </cell>
          <cell r="W205">
            <v>1785</v>
          </cell>
          <cell r="X205">
            <v>26704.09</v>
          </cell>
          <cell r="Y205">
            <v>1925.27</v>
          </cell>
          <cell r="Z205">
            <v>3751.4</v>
          </cell>
          <cell r="AA205">
            <v>942.61</v>
          </cell>
          <cell r="AB205">
            <v>1400.27</v>
          </cell>
          <cell r="AC205">
            <v>60.92</v>
          </cell>
          <cell r="AD205">
            <v>659.11</v>
          </cell>
          <cell r="AE205">
            <v>1139.6600000000001</v>
          </cell>
          <cell r="AF205">
            <v>2846.55</v>
          </cell>
          <cell r="AG205">
            <v>8358.1200000000008</v>
          </cell>
          <cell r="AH205">
            <v>8755.01</v>
          </cell>
          <cell r="AI205">
            <v>337.01</v>
          </cell>
          <cell r="AJ205">
            <v>3615.45</v>
          </cell>
          <cell r="AK205">
            <v>5893.79</v>
          </cell>
          <cell r="AL205">
            <v>1209.28</v>
          </cell>
          <cell r="AM205">
            <v>4373.84</v>
          </cell>
          <cell r="AN205">
            <v>534.19000000000005</v>
          </cell>
          <cell r="AO205">
            <v>1860.98</v>
          </cell>
          <cell r="AP205">
            <v>761.93</v>
          </cell>
          <cell r="AQ205">
            <v>14838.04</v>
          </cell>
          <cell r="AR205">
            <v>-12971.17</v>
          </cell>
          <cell r="AS205">
            <v>525.65</v>
          </cell>
          <cell r="AT205">
            <v>702.14</v>
          </cell>
          <cell r="AU205">
            <v>2228.62</v>
          </cell>
          <cell r="AV205">
            <v>918.72</v>
          </cell>
          <cell r="AW205">
            <v>4224.6400000000003</v>
          </cell>
          <cell r="AX205">
            <v>110.35</v>
          </cell>
          <cell r="AY205">
            <v>325.58999999999997</v>
          </cell>
          <cell r="AZ205">
            <v>1489.39</v>
          </cell>
          <cell r="BA205">
            <v>793.27</v>
          </cell>
          <cell r="BB205">
            <v>20871.41</v>
          </cell>
          <cell r="BC205">
            <v>601.53</v>
          </cell>
          <cell r="BD205">
            <v>-11007.55</v>
          </cell>
          <cell r="BE205">
            <v>237.3</v>
          </cell>
          <cell r="BF205">
            <v>5325.61</v>
          </cell>
          <cell r="BG205">
            <v>1144.05</v>
          </cell>
          <cell r="BH205">
            <v>763.05</v>
          </cell>
          <cell r="BI205">
            <v>55.44</v>
          </cell>
          <cell r="BJ205">
            <v>829.57</v>
          </cell>
          <cell r="BK205">
            <v>8209.32</v>
          </cell>
          <cell r="BL205">
            <v>16863.21</v>
          </cell>
          <cell r="BM205">
            <v>4487.9799999999996</v>
          </cell>
          <cell r="BN205">
            <v>1057.8699999999999</v>
          </cell>
          <cell r="BO205">
            <v>2562.16</v>
          </cell>
          <cell r="BP205">
            <v>3135.81</v>
          </cell>
          <cell r="BQ205">
            <v>3131.82</v>
          </cell>
          <cell r="BR205">
            <v>2400.59</v>
          </cell>
          <cell r="BS205">
            <v>3358.8</v>
          </cell>
          <cell r="BT205">
            <v>577.36</v>
          </cell>
          <cell r="BU205">
            <v>2817.92</v>
          </cell>
          <cell r="BV205">
            <v>52.29</v>
          </cell>
          <cell r="BW205">
            <v>3717.83</v>
          </cell>
          <cell r="BX205">
            <v>5444.01</v>
          </cell>
          <cell r="BY205">
            <v>2763.82</v>
          </cell>
          <cell r="BZ205">
            <v>0</v>
          </cell>
          <cell r="CA205">
            <v>0</v>
          </cell>
          <cell r="CB205">
            <v>0</v>
          </cell>
          <cell r="CC205">
            <v>434.63</v>
          </cell>
          <cell r="CD205">
            <v>289.11</v>
          </cell>
          <cell r="CE205">
            <v>8628.9500000000007</v>
          </cell>
          <cell r="CF205">
            <v>3018.57</v>
          </cell>
          <cell r="CG205">
            <v>1430.51</v>
          </cell>
          <cell r="CH205">
            <v>5074.75</v>
          </cell>
          <cell r="CI205">
            <v>1807</v>
          </cell>
          <cell r="CJ205">
            <v>-94.12</v>
          </cell>
          <cell r="CK205">
            <v>361.88</v>
          </cell>
          <cell r="CL205">
            <v>8349.9500000000007</v>
          </cell>
          <cell r="CM205">
            <v>614.33000000000004</v>
          </cell>
          <cell r="CN205">
            <v>5773.25</v>
          </cell>
          <cell r="CO205">
            <v>3598.54</v>
          </cell>
          <cell r="CP205">
            <v>856.83</v>
          </cell>
          <cell r="CQ205">
            <v>1795.09</v>
          </cell>
          <cell r="CR205">
            <v>78.7</v>
          </cell>
          <cell r="CS205">
            <v>4788.3500000000004</v>
          </cell>
          <cell r="CT205">
            <v>2402.9699999999998</v>
          </cell>
          <cell r="CU205">
            <v>4071.17</v>
          </cell>
          <cell r="CV205">
            <v>5590.6</v>
          </cell>
          <cell r="CW205">
            <v>2937.04</v>
          </cell>
          <cell r="CX205">
            <v>906.12</v>
          </cell>
          <cell r="CY205">
            <v>4665.8</v>
          </cell>
          <cell r="CZ205">
            <v>4336.18</v>
          </cell>
          <cell r="DA205">
            <v>21196.54</v>
          </cell>
          <cell r="DB205">
            <v>8589.8799999999992</v>
          </cell>
          <cell r="DC205">
            <v>4439.33</v>
          </cell>
          <cell r="DD205">
            <v>25242.54</v>
          </cell>
          <cell r="DE205">
            <v>2510.92</v>
          </cell>
          <cell r="DF205">
            <v>2537.2600000000002</v>
          </cell>
          <cell r="DG205">
            <v>1482.1</v>
          </cell>
        </row>
        <row r="206">
          <cell r="A206">
            <v>6100160</v>
          </cell>
          <cell r="B206">
            <v>6100160</v>
          </cell>
          <cell r="C206" t="str">
            <v>Security Services</v>
          </cell>
          <cell r="D206">
            <v>105.92</v>
          </cell>
          <cell r="E206">
            <v>105.92</v>
          </cell>
          <cell r="F206">
            <v>0</v>
          </cell>
          <cell r="G206">
            <v>105.92</v>
          </cell>
          <cell r="H206">
            <v>181.15</v>
          </cell>
          <cell r="I206">
            <v>105.92</v>
          </cell>
          <cell r="J206">
            <v>190.72</v>
          </cell>
          <cell r="K206">
            <v>0</v>
          </cell>
          <cell r="L206">
            <v>191.64</v>
          </cell>
          <cell r="M206">
            <v>112.28</v>
          </cell>
          <cell r="N206">
            <v>112.28</v>
          </cell>
          <cell r="O206">
            <v>5320.82</v>
          </cell>
          <cell r="P206">
            <v>112.28</v>
          </cell>
          <cell r="Q206">
            <v>645.67999999999995</v>
          </cell>
          <cell r="R206">
            <v>224.56</v>
          </cell>
          <cell r="S206">
            <v>179.59</v>
          </cell>
          <cell r="T206">
            <v>754.15</v>
          </cell>
          <cell r="U206">
            <v>112.28</v>
          </cell>
          <cell r="V206">
            <v>119.02</v>
          </cell>
          <cell r="W206">
            <v>119.03</v>
          </cell>
          <cell r="X206">
            <v>119.03</v>
          </cell>
          <cell r="Y206">
            <v>119.03</v>
          </cell>
          <cell r="Z206">
            <v>1712.85</v>
          </cell>
          <cell r="AA206">
            <v>119.03</v>
          </cell>
          <cell r="AB206">
            <v>816.97</v>
          </cell>
          <cell r="AC206">
            <v>795.25</v>
          </cell>
          <cell r="AD206">
            <v>119.03</v>
          </cell>
          <cell r="AE206">
            <v>119.03</v>
          </cell>
          <cell r="AF206">
            <v>0</v>
          </cell>
          <cell r="AG206">
            <v>1194.1500000000001</v>
          </cell>
          <cell r="AH206">
            <v>-1067.99</v>
          </cell>
          <cell r="AI206">
            <v>431.8</v>
          </cell>
          <cell r="AJ206">
            <v>130.22999999999999</v>
          </cell>
          <cell r="AK206">
            <v>67.56</v>
          </cell>
          <cell r="AL206">
            <v>193.74</v>
          </cell>
          <cell r="AM206">
            <v>1912.66</v>
          </cell>
          <cell r="AN206">
            <v>126.18</v>
          </cell>
          <cell r="AO206">
            <v>0</v>
          </cell>
          <cell r="AP206">
            <v>253.27</v>
          </cell>
          <cell r="AQ206">
            <v>126.18</v>
          </cell>
          <cell r="AR206">
            <v>195.74</v>
          </cell>
          <cell r="AS206">
            <v>126.18</v>
          </cell>
          <cell r="AT206">
            <v>1199.3</v>
          </cell>
          <cell r="AU206">
            <v>72.290000000000006</v>
          </cell>
          <cell r="AV206">
            <v>3335</v>
          </cell>
          <cell r="AW206">
            <v>1417.73</v>
          </cell>
          <cell r="AX206">
            <v>1799.86</v>
          </cell>
          <cell r="AY206">
            <v>230.99</v>
          </cell>
          <cell r="AZ206">
            <v>133.75</v>
          </cell>
          <cell r="BA206">
            <v>133.75</v>
          </cell>
          <cell r="BB206">
            <v>237.83</v>
          </cell>
          <cell r="BC206">
            <v>230.99</v>
          </cell>
          <cell r="BD206">
            <v>480.87</v>
          </cell>
          <cell r="BE206">
            <v>230.99</v>
          </cell>
          <cell r="BF206">
            <v>201.31</v>
          </cell>
          <cell r="BG206">
            <v>133.75</v>
          </cell>
          <cell r="BH206">
            <v>4148.24</v>
          </cell>
          <cell r="BI206">
            <v>480.87</v>
          </cell>
          <cell r="BJ206">
            <v>67.56</v>
          </cell>
          <cell r="BK206">
            <v>1966.54</v>
          </cell>
          <cell r="BL206">
            <v>5040</v>
          </cell>
          <cell r="BM206">
            <v>607.91999999999996</v>
          </cell>
          <cell r="BN206">
            <v>5022.29</v>
          </cell>
          <cell r="BO206">
            <v>1247.57</v>
          </cell>
          <cell r="BP206">
            <v>142.43</v>
          </cell>
          <cell r="BQ206">
            <v>4489.67</v>
          </cell>
          <cell r="BR206">
            <v>209.99</v>
          </cell>
          <cell r="BS206">
            <v>30229.72</v>
          </cell>
          <cell r="BT206">
            <v>142.43</v>
          </cell>
          <cell r="BU206">
            <v>4682.2299999999996</v>
          </cell>
          <cell r="BV206">
            <v>489.72</v>
          </cell>
          <cell r="BW206">
            <v>38789.18</v>
          </cell>
          <cell r="BX206">
            <v>-28552.59</v>
          </cell>
          <cell r="BY206">
            <v>522.52</v>
          </cell>
          <cell r="BZ206">
            <v>4376.8100000000004</v>
          </cell>
          <cell r="CA206">
            <v>412.95</v>
          </cell>
          <cell r="CB206">
            <v>565.76</v>
          </cell>
          <cell r="CC206">
            <v>4401.13</v>
          </cell>
          <cell r="CD206">
            <v>150.91</v>
          </cell>
          <cell r="CE206">
            <v>524.25</v>
          </cell>
          <cell r="CF206">
            <v>4498.37</v>
          </cell>
          <cell r="CG206">
            <v>164.8</v>
          </cell>
          <cell r="CH206">
            <v>1978.24</v>
          </cell>
          <cell r="CI206">
            <v>4250.22</v>
          </cell>
          <cell r="CJ206">
            <v>67.56</v>
          </cell>
          <cell r="CK206">
            <v>0</v>
          </cell>
          <cell r="CL206">
            <v>4801.84</v>
          </cell>
          <cell r="CM206">
            <v>1500</v>
          </cell>
          <cell r="CN206">
            <v>1597.24</v>
          </cell>
          <cell r="CO206">
            <v>7543.97</v>
          </cell>
          <cell r="CP206">
            <v>9071.7900000000009</v>
          </cell>
          <cell r="CQ206">
            <v>3960.98</v>
          </cell>
          <cell r="CR206">
            <v>1528.68</v>
          </cell>
          <cell r="CS206">
            <v>83892.19</v>
          </cell>
          <cell r="CT206">
            <v>34313.120000000003</v>
          </cell>
          <cell r="CU206">
            <v>147902.43</v>
          </cell>
          <cell r="CV206">
            <v>-388.05</v>
          </cell>
          <cell r="CW206">
            <v>1567.56</v>
          </cell>
          <cell r="CX206">
            <v>1878.47</v>
          </cell>
          <cell r="CY206">
            <v>18036.330000000002</v>
          </cell>
          <cell r="CZ206">
            <v>1560.83</v>
          </cell>
          <cell r="DA206">
            <v>41353.96</v>
          </cell>
          <cell r="DB206">
            <v>1696.27</v>
          </cell>
          <cell r="DC206">
            <v>1716.77</v>
          </cell>
          <cell r="DD206">
            <v>1500</v>
          </cell>
          <cell r="DE206">
            <v>32045.759999999998</v>
          </cell>
          <cell r="DF206">
            <v>18613.98</v>
          </cell>
          <cell r="DG206">
            <v>137513.26999999999</v>
          </cell>
        </row>
        <row r="207">
          <cell r="A207">
            <v>6100170</v>
          </cell>
          <cell r="B207">
            <v>6100170</v>
          </cell>
          <cell r="C207" t="str">
            <v>Hardware Maint/Svcs</v>
          </cell>
          <cell r="D207">
            <v>3863.71</v>
          </cell>
          <cell r="E207">
            <v>1934.42</v>
          </cell>
          <cell r="F207">
            <v>0</v>
          </cell>
          <cell r="G207">
            <v>4139.13</v>
          </cell>
          <cell r="H207">
            <v>4448.7</v>
          </cell>
          <cell r="I207">
            <v>-1312.74</v>
          </cell>
          <cell r="J207">
            <v>41834.589999999997</v>
          </cell>
          <cell r="K207">
            <v>6241.22</v>
          </cell>
          <cell r="L207">
            <v>1932.36</v>
          </cell>
          <cell r="M207">
            <v>24605.17</v>
          </cell>
          <cell r="N207">
            <v>3850</v>
          </cell>
          <cell r="O207">
            <v>1927.52</v>
          </cell>
          <cell r="P207">
            <v>3387</v>
          </cell>
          <cell r="Q207">
            <v>4697.03</v>
          </cell>
          <cell r="R207">
            <v>0</v>
          </cell>
          <cell r="S207">
            <v>9362.01</v>
          </cell>
          <cell r="T207">
            <v>4768</v>
          </cell>
          <cell r="U207">
            <v>8684.0400000000009</v>
          </cell>
          <cell r="V207">
            <v>10615.11</v>
          </cell>
          <cell r="W207">
            <v>15990.04</v>
          </cell>
          <cell r="X207">
            <v>11937.68</v>
          </cell>
          <cell r="Y207">
            <v>8642.41</v>
          </cell>
          <cell r="Z207">
            <v>8155</v>
          </cell>
          <cell r="AA207">
            <v>6709.02</v>
          </cell>
          <cell r="AB207">
            <v>87362</v>
          </cell>
          <cell r="AC207">
            <v>4040.13</v>
          </cell>
          <cell r="AD207">
            <v>-43284</v>
          </cell>
          <cell r="AE207">
            <v>5328</v>
          </cell>
          <cell r="AF207">
            <v>0</v>
          </cell>
          <cell r="AG207">
            <v>5838.27</v>
          </cell>
          <cell r="AH207">
            <v>3387</v>
          </cell>
          <cell r="AI207">
            <v>15019.5</v>
          </cell>
          <cell r="AJ207">
            <v>0</v>
          </cell>
          <cell r="AK207">
            <v>7269.3</v>
          </cell>
          <cell r="AL207">
            <v>11382.43</v>
          </cell>
          <cell r="AM207">
            <v>32240.51</v>
          </cell>
          <cell r="AN207">
            <v>3387</v>
          </cell>
          <cell r="AO207">
            <v>0</v>
          </cell>
          <cell r="AP207">
            <v>0</v>
          </cell>
          <cell r="AQ207">
            <v>0</v>
          </cell>
          <cell r="AR207">
            <v>3387</v>
          </cell>
          <cell r="AS207">
            <v>0</v>
          </cell>
          <cell r="AT207">
            <v>3387</v>
          </cell>
          <cell r="AU207">
            <v>239.4</v>
          </cell>
          <cell r="AV207">
            <v>0</v>
          </cell>
          <cell r="AW207">
            <v>3387</v>
          </cell>
          <cell r="AX207">
            <v>29.13</v>
          </cell>
          <cell r="AY207">
            <v>4025</v>
          </cell>
          <cell r="AZ207">
            <v>-638</v>
          </cell>
          <cell r="BA207">
            <v>0</v>
          </cell>
          <cell r="BB207">
            <v>0</v>
          </cell>
          <cell r="BC207">
            <v>3387</v>
          </cell>
          <cell r="BD207">
            <v>0</v>
          </cell>
          <cell r="BE207">
            <v>0</v>
          </cell>
          <cell r="BF207">
            <v>3387</v>
          </cell>
          <cell r="BG207">
            <v>0</v>
          </cell>
          <cell r="BH207">
            <v>0</v>
          </cell>
          <cell r="BI207">
            <v>3535.4</v>
          </cell>
          <cell r="BJ207">
            <v>0</v>
          </cell>
          <cell r="BK207">
            <v>0</v>
          </cell>
          <cell r="BL207">
            <v>3523.5</v>
          </cell>
          <cell r="BM207">
            <v>0</v>
          </cell>
          <cell r="BN207">
            <v>0</v>
          </cell>
          <cell r="BO207">
            <v>0</v>
          </cell>
          <cell r="BP207">
            <v>0</v>
          </cell>
          <cell r="BQ207">
            <v>3523.5</v>
          </cell>
          <cell r="BR207">
            <v>80.989999999999995</v>
          </cell>
          <cell r="BS207">
            <v>0</v>
          </cell>
          <cell r="BT207">
            <v>3523.5</v>
          </cell>
          <cell r="BU207">
            <v>3523.5</v>
          </cell>
          <cell r="BV207">
            <v>0</v>
          </cell>
          <cell r="BW207">
            <v>0</v>
          </cell>
          <cell r="BX207">
            <v>5242.5</v>
          </cell>
          <cell r="BY207">
            <v>237.5</v>
          </cell>
          <cell r="BZ207">
            <v>5289.42</v>
          </cell>
          <cell r="CA207">
            <v>3630</v>
          </cell>
          <cell r="CB207">
            <v>0</v>
          </cell>
          <cell r="CC207">
            <v>0</v>
          </cell>
          <cell r="CD207">
            <v>3630</v>
          </cell>
          <cell r="CE207">
            <v>0</v>
          </cell>
          <cell r="CF207">
            <v>0</v>
          </cell>
          <cell r="CG207">
            <v>0</v>
          </cell>
          <cell r="CH207">
            <v>0</v>
          </cell>
          <cell r="CI207">
            <v>0</v>
          </cell>
          <cell r="CJ207">
            <v>7260</v>
          </cell>
          <cell r="CK207">
            <v>0</v>
          </cell>
          <cell r="CL207">
            <v>0</v>
          </cell>
          <cell r="CM207">
            <v>3630</v>
          </cell>
          <cell r="CN207">
            <v>0</v>
          </cell>
          <cell r="CO207">
            <v>0</v>
          </cell>
          <cell r="CP207">
            <v>3630</v>
          </cell>
          <cell r="CQ207">
            <v>0</v>
          </cell>
          <cell r="CR207">
            <v>0</v>
          </cell>
          <cell r="CS207">
            <v>7260</v>
          </cell>
          <cell r="CT207">
            <v>0</v>
          </cell>
          <cell r="CU207">
            <v>0</v>
          </cell>
          <cell r="CV207">
            <v>0</v>
          </cell>
          <cell r="CW207">
            <v>0</v>
          </cell>
          <cell r="CX207">
            <v>4485</v>
          </cell>
          <cell r="CY207">
            <v>4485</v>
          </cell>
          <cell r="CZ207">
            <v>0</v>
          </cell>
          <cell r="DA207">
            <v>1050</v>
          </cell>
          <cell r="DB207">
            <v>4485</v>
          </cell>
          <cell r="DC207">
            <v>0</v>
          </cell>
          <cell r="DD207">
            <v>0</v>
          </cell>
          <cell r="DE207">
            <v>0</v>
          </cell>
          <cell r="DF207">
            <v>0</v>
          </cell>
          <cell r="DG207">
            <v>4485</v>
          </cell>
        </row>
        <row r="208">
          <cell r="A208">
            <v>6100180</v>
          </cell>
          <cell r="B208">
            <v>6100180</v>
          </cell>
          <cell r="C208" t="str">
            <v>Site Testing Service</v>
          </cell>
          <cell r="D208">
            <v>0</v>
          </cell>
          <cell r="E208">
            <v>0</v>
          </cell>
          <cell r="F208">
            <v>0</v>
          </cell>
          <cell r="G208">
            <v>0</v>
          </cell>
          <cell r="H208">
            <v>0</v>
          </cell>
          <cell r="I208">
            <v>0</v>
          </cell>
          <cell r="J208">
            <v>0</v>
          </cell>
          <cell r="K208">
            <v>0</v>
          </cell>
          <cell r="L208">
            <v>0</v>
          </cell>
          <cell r="M208">
            <v>0</v>
          </cell>
          <cell r="N208">
            <v>30</v>
          </cell>
          <cell r="O208">
            <v>0</v>
          </cell>
          <cell r="P208">
            <v>0</v>
          </cell>
          <cell r="Q208">
            <v>0</v>
          </cell>
          <cell r="R208">
            <v>0</v>
          </cell>
          <cell r="S208">
            <v>0</v>
          </cell>
          <cell r="T208">
            <v>0</v>
          </cell>
          <cell r="U208">
            <v>0</v>
          </cell>
          <cell r="V208">
            <v>0</v>
          </cell>
          <cell r="W208">
            <v>0</v>
          </cell>
          <cell r="X208">
            <v>0</v>
          </cell>
          <cell r="Y208">
            <v>360</v>
          </cell>
          <cell r="Z208">
            <v>0</v>
          </cell>
          <cell r="AA208">
            <v>0</v>
          </cell>
          <cell r="AB208">
            <v>0</v>
          </cell>
          <cell r="AC208">
            <v>0</v>
          </cell>
          <cell r="AD208">
            <v>0</v>
          </cell>
          <cell r="AE208">
            <v>0</v>
          </cell>
          <cell r="AF208">
            <v>0</v>
          </cell>
          <cell r="AG208">
            <v>0</v>
          </cell>
          <cell r="AH208">
            <v>0</v>
          </cell>
          <cell r="AI208">
            <v>0</v>
          </cell>
          <cell r="AJ208">
            <v>0</v>
          </cell>
          <cell r="AK208"/>
          <cell r="AL208"/>
          <cell r="AM208"/>
          <cell r="AN208"/>
          <cell r="AO208"/>
          <cell r="AP208"/>
          <cell r="AQ208"/>
          <cell r="AR208"/>
          <cell r="AS208"/>
          <cell r="AT208"/>
          <cell r="AU208"/>
          <cell r="AV208"/>
          <cell r="AW208"/>
          <cell r="AX208"/>
          <cell r="AY208"/>
          <cell r="AZ208"/>
          <cell r="BA208"/>
          <cell r="BB208"/>
          <cell r="BC208">
            <v>0</v>
          </cell>
          <cell r="BD208">
            <v>0</v>
          </cell>
          <cell r="BE208">
            <v>0</v>
          </cell>
          <cell r="BF208">
            <v>0</v>
          </cell>
          <cell r="BG208">
            <v>0</v>
          </cell>
          <cell r="BH208">
            <v>0</v>
          </cell>
          <cell r="BI208">
            <v>0</v>
          </cell>
          <cell r="BJ208">
            <v>0</v>
          </cell>
          <cell r="BK208">
            <v>150</v>
          </cell>
          <cell r="BL208">
            <v>0</v>
          </cell>
          <cell r="BM208">
            <v>0</v>
          </cell>
          <cell r="BN208">
            <v>0</v>
          </cell>
          <cell r="BO208">
            <v>0</v>
          </cell>
          <cell r="BP208">
            <v>0</v>
          </cell>
          <cell r="BQ208">
            <v>0</v>
          </cell>
          <cell r="BR208">
            <v>1410</v>
          </cell>
          <cell r="BS208">
            <v>90</v>
          </cell>
          <cell r="BT208">
            <v>0</v>
          </cell>
          <cell r="BU208">
            <v>0</v>
          </cell>
          <cell r="BV208">
            <v>0</v>
          </cell>
          <cell r="BW208">
            <v>90</v>
          </cell>
          <cell r="BX208">
            <v>0</v>
          </cell>
          <cell r="BY208">
            <v>0</v>
          </cell>
          <cell r="BZ208">
            <v>650</v>
          </cell>
          <cell r="CA208">
            <v>0</v>
          </cell>
          <cell r="CB208">
            <v>0</v>
          </cell>
          <cell r="CC208">
            <v>145</v>
          </cell>
          <cell r="CD208">
            <v>0</v>
          </cell>
          <cell r="CE208">
            <v>0</v>
          </cell>
          <cell r="CF208">
            <v>0</v>
          </cell>
          <cell r="CG208">
            <v>0</v>
          </cell>
          <cell r="CH208">
            <v>23760</v>
          </cell>
          <cell r="CI208">
            <v>-23760</v>
          </cell>
          <cell r="CJ208">
            <v>0</v>
          </cell>
          <cell r="CK208">
            <v>0</v>
          </cell>
          <cell r="CL208">
            <v>0</v>
          </cell>
          <cell r="CM208">
            <v>120</v>
          </cell>
          <cell r="CN208">
            <v>0</v>
          </cell>
          <cell r="CO208">
            <v>0</v>
          </cell>
          <cell r="CP208">
            <v>0</v>
          </cell>
          <cell r="CQ208">
            <v>0</v>
          </cell>
          <cell r="CR208">
            <v>0</v>
          </cell>
          <cell r="CS208">
            <v>23760</v>
          </cell>
          <cell r="CT208">
            <v>-23760</v>
          </cell>
          <cell r="CU208">
            <v>0</v>
          </cell>
          <cell r="CV208">
            <v>0</v>
          </cell>
          <cell r="CW208">
            <v>0</v>
          </cell>
          <cell r="CX208">
            <v>0</v>
          </cell>
          <cell r="CY208">
            <v>0</v>
          </cell>
          <cell r="CZ208">
            <v>0</v>
          </cell>
          <cell r="DA208">
            <v>69</v>
          </cell>
          <cell r="DB208">
            <v>23760</v>
          </cell>
          <cell r="DC208">
            <v>0</v>
          </cell>
          <cell r="DD208">
            <v>0</v>
          </cell>
          <cell r="DE208">
            <v>0</v>
          </cell>
          <cell r="DF208">
            <v>0</v>
          </cell>
          <cell r="DG208">
            <v>0</v>
          </cell>
        </row>
        <row r="209">
          <cell r="A209">
            <v>6100190</v>
          </cell>
          <cell r="B209">
            <v>6100190</v>
          </cell>
          <cell r="C209" t="str">
            <v>Software Maintenance</v>
          </cell>
          <cell r="D209">
            <v>20174.939999999999</v>
          </cell>
          <cell r="E209">
            <v>184504.78</v>
          </cell>
          <cell r="F209">
            <v>271277.39</v>
          </cell>
          <cell r="G209">
            <v>59548.75</v>
          </cell>
          <cell r="H209">
            <v>-9000</v>
          </cell>
          <cell r="I209">
            <v>125599.11</v>
          </cell>
          <cell r="J209">
            <v>150872.84</v>
          </cell>
          <cell r="K209">
            <v>-9414.91</v>
          </cell>
          <cell r="L209">
            <v>13061.5</v>
          </cell>
          <cell r="M209">
            <v>152383.6</v>
          </cell>
          <cell r="N209">
            <v>52813.32</v>
          </cell>
          <cell r="O209">
            <v>-84498.21</v>
          </cell>
          <cell r="P209">
            <v>175175.17</v>
          </cell>
          <cell r="Q209">
            <v>71909.899999999994</v>
          </cell>
          <cell r="R209">
            <v>95065.98</v>
          </cell>
          <cell r="S209">
            <v>194396</v>
          </cell>
          <cell r="T209">
            <v>73902.070000000007</v>
          </cell>
          <cell r="U209">
            <v>84996.39</v>
          </cell>
          <cell r="V209">
            <v>141632.17000000001</v>
          </cell>
          <cell r="W209">
            <v>89635.16</v>
          </cell>
          <cell r="X209">
            <v>113733.28</v>
          </cell>
          <cell r="Y209">
            <v>193393.67</v>
          </cell>
          <cell r="Z209">
            <v>107957.1</v>
          </cell>
          <cell r="AA209">
            <v>341808.97</v>
          </cell>
          <cell r="AB209">
            <v>144808.07999999999</v>
          </cell>
          <cell r="AC209">
            <v>95157.89</v>
          </cell>
          <cell r="AD209">
            <v>156373.17000000001</v>
          </cell>
          <cell r="AE209">
            <v>279079.53999999998</v>
          </cell>
          <cell r="AF209">
            <v>102411.94</v>
          </cell>
          <cell r="AG209">
            <v>221047.57</v>
          </cell>
          <cell r="AH209">
            <v>183404.63</v>
          </cell>
          <cell r="AI209">
            <v>-23314.37</v>
          </cell>
          <cell r="AJ209">
            <v>148990.57999999999</v>
          </cell>
          <cell r="AK209">
            <v>306509.38</v>
          </cell>
          <cell r="AL209">
            <v>-107708.49</v>
          </cell>
          <cell r="AM209">
            <v>410172.75</v>
          </cell>
          <cell r="AN209">
            <v>116216.05</v>
          </cell>
          <cell r="AO209">
            <v>132489.93</v>
          </cell>
          <cell r="AP209">
            <v>177555.18</v>
          </cell>
          <cell r="AQ209">
            <v>104418.04</v>
          </cell>
          <cell r="AR209">
            <v>116376.36</v>
          </cell>
          <cell r="AS209">
            <v>196899.66</v>
          </cell>
          <cell r="AT209">
            <v>116764.78</v>
          </cell>
          <cell r="AU209">
            <v>130937.14</v>
          </cell>
          <cell r="AV209">
            <v>243638.15</v>
          </cell>
          <cell r="AW209">
            <v>151199.54999999999</v>
          </cell>
          <cell r="AX209">
            <v>159510.43</v>
          </cell>
          <cell r="AY209">
            <v>144670.81</v>
          </cell>
          <cell r="AZ209">
            <v>165669.39000000001</v>
          </cell>
          <cell r="BA209">
            <v>222332.62</v>
          </cell>
          <cell r="BB209">
            <v>725576.98</v>
          </cell>
          <cell r="BC209">
            <v>173638.28</v>
          </cell>
          <cell r="BD209">
            <v>110226.6</v>
          </cell>
          <cell r="BE209">
            <v>164049.74</v>
          </cell>
          <cell r="BF209">
            <v>168582.51</v>
          </cell>
          <cell r="BG209">
            <v>162065.07</v>
          </cell>
          <cell r="BH209">
            <v>69109.31</v>
          </cell>
          <cell r="BI209">
            <v>192622.27</v>
          </cell>
          <cell r="BJ209">
            <v>126442.44</v>
          </cell>
          <cell r="BK209">
            <v>492995.97</v>
          </cell>
          <cell r="BL209">
            <v>133933.17000000001</v>
          </cell>
          <cell r="BM209">
            <v>60072.959999999999</v>
          </cell>
          <cell r="BN209">
            <v>91455.37</v>
          </cell>
          <cell r="BO209">
            <v>90032.11</v>
          </cell>
          <cell r="BP209">
            <v>213568.62</v>
          </cell>
          <cell r="BQ209">
            <v>80764.87</v>
          </cell>
          <cell r="BR209">
            <v>124389.6</v>
          </cell>
          <cell r="BS209">
            <v>93938.67</v>
          </cell>
          <cell r="BT209">
            <v>136928.75</v>
          </cell>
          <cell r="BU209">
            <v>155741.17000000001</v>
          </cell>
          <cell r="BV209">
            <v>194863.67</v>
          </cell>
          <cell r="BW209">
            <v>117871.33</v>
          </cell>
          <cell r="BX209">
            <v>109107.6</v>
          </cell>
          <cell r="BY209">
            <v>75632.91</v>
          </cell>
          <cell r="BZ209">
            <v>266533.31</v>
          </cell>
          <cell r="CA209">
            <v>106354.39</v>
          </cell>
          <cell r="CB209">
            <v>162138.06</v>
          </cell>
          <cell r="CC209">
            <v>154746.49</v>
          </cell>
          <cell r="CD209">
            <v>388966.39</v>
          </cell>
          <cell r="CE209">
            <v>168758.79</v>
          </cell>
          <cell r="CF209">
            <v>176443.05</v>
          </cell>
          <cell r="CG209">
            <v>133363.16</v>
          </cell>
          <cell r="CH209">
            <v>1097310.21</v>
          </cell>
          <cell r="CI209">
            <v>1614812.74</v>
          </cell>
          <cell r="CJ209">
            <v>179691.77</v>
          </cell>
          <cell r="CK209">
            <v>810197.72</v>
          </cell>
          <cell r="CL209">
            <v>348787.05</v>
          </cell>
          <cell r="CM209">
            <v>137335.35999999999</v>
          </cell>
          <cell r="CN209">
            <v>108168.51</v>
          </cell>
          <cell r="CO209">
            <v>387412.17</v>
          </cell>
          <cell r="CP209">
            <v>211943.76</v>
          </cell>
          <cell r="CQ209">
            <v>1175379.95</v>
          </cell>
          <cell r="CR209">
            <v>-1996452.74</v>
          </cell>
          <cell r="CS209">
            <v>188643.69</v>
          </cell>
          <cell r="CT209">
            <v>197614.57</v>
          </cell>
          <cell r="CU209">
            <v>734435.47</v>
          </cell>
          <cell r="CV209">
            <v>223927.72</v>
          </cell>
          <cell r="CW209">
            <v>257625.3</v>
          </cell>
          <cell r="CX209">
            <v>505248.22</v>
          </cell>
          <cell r="CY209">
            <v>392319.36</v>
          </cell>
          <cell r="CZ209">
            <v>180088.95999999999</v>
          </cell>
          <cell r="DA209">
            <v>176409.97</v>
          </cell>
          <cell r="DB209">
            <v>143207.63</v>
          </cell>
          <cell r="DC209">
            <v>191527.72</v>
          </cell>
          <cell r="DD209">
            <v>310983.77</v>
          </cell>
          <cell r="DE209">
            <v>166624.47</v>
          </cell>
          <cell r="DF209">
            <v>184372.83</v>
          </cell>
          <cell r="DG209">
            <v>215288.39</v>
          </cell>
        </row>
        <row r="210">
          <cell r="A210">
            <v>6100200</v>
          </cell>
          <cell r="B210">
            <v>6100200</v>
          </cell>
          <cell r="C210" t="str">
            <v>Trust Fee</v>
          </cell>
          <cell r="D210">
            <v>0</v>
          </cell>
          <cell r="E210">
            <v>0</v>
          </cell>
          <cell r="F210">
            <v>0</v>
          </cell>
          <cell r="G210">
            <v>0</v>
          </cell>
          <cell r="H210">
            <v>0</v>
          </cell>
          <cell r="I210">
            <v>0</v>
          </cell>
          <cell r="J210">
            <v>0</v>
          </cell>
          <cell r="K210">
            <v>0</v>
          </cell>
          <cell r="L210">
            <v>0</v>
          </cell>
          <cell r="M210">
            <v>984</v>
          </cell>
          <cell r="N210">
            <v>95.69</v>
          </cell>
          <cell r="O210">
            <v>0</v>
          </cell>
          <cell r="P210">
            <v>0</v>
          </cell>
          <cell r="Q210">
            <v>0</v>
          </cell>
          <cell r="R210">
            <v>0</v>
          </cell>
          <cell r="S210">
            <v>0</v>
          </cell>
          <cell r="T210">
            <v>140</v>
          </cell>
          <cell r="U210">
            <v>0</v>
          </cell>
          <cell r="V210">
            <v>0</v>
          </cell>
          <cell r="W210">
            <v>0</v>
          </cell>
          <cell r="X210">
            <v>420</v>
          </cell>
          <cell r="Y210">
            <v>984</v>
          </cell>
          <cell r="Z210">
            <v>0</v>
          </cell>
          <cell r="AA210">
            <v>0</v>
          </cell>
          <cell r="AB210">
            <v>0</v>
          </cell>
          <cell r="AC210">
            <v>0</v>
          </cell>
          <cell r="AD210">
            <v>0</v>
          </cell>
          <cell r="AE210">
            <v>0</v>
          </cell>
          <cell r="AF210">
            <v>140</v>
          </cell>
          <cell r="AG210">
            <v>336</v>
          </cell>
          <cell r="AH210">
            <v>683.33</v>
          </cell>
          <cell r="AI210">
            <v>0</v>
          </cell>
          <cell r="AJ210">
            <v>420</v>
          </cell>
          <cell r="AK210">
            <v>984</v>
          </cell>
          <cell r="AL210">
            <v>0</v>
          </cell>
          <cell r="AM210">
            <v>0</v>
          </cell>
          <cell r="AN210">
            <v>0</v>
          </cell>
          <cell r="AO210">
            <v>0</v>
          </cell>
          <cell r="AP210">
            <v>0</v>
          </cell>
          <cell r="AQ210">
            <v>0</v>
          </cell>
          <cell r="AR210">
            <v>476</v>
          </cell>
          <cell r="AS210">
            <v>675</v>
          </cell>
          <cell r="AT210">
            <v>0</v>
          </cell>
          <cell r="AU210">
            <v>0</v>
          </cell>
          <cell r="AV210">
            <v>405</v>
          </cell>
          <cell r="AW210">
            <v>0</v>
          </cell>
          <cell r="AX210">
            <v>0</v>
          </cell>
          <cell r="AY210">
            <v>0</v>
          </cell>
          <cell r="AZ210">
            <v>0</v>
          </cell>
          <cell r="BA210">
            <v>0</v>
          </cell>
          <cell r="BB210">
            <v>0</v>
          </cell>
          <cell r="BC210">
            <v>0</v>
          </cell>
          <cell r="BD210">
            <v>0</v>
          </cell>
          <cell r="BE210">
            <v>1151</v>
          </cell>
          <cell r="BF210">
            <v>0</v>
          </cell>
          <cell r="BG210">
            <v>0</v>
          </cell>
          <cell r="BH210">
            <v>0</v>
          </cell>
          <cell r="BI210">
            <v>972</v>
          </cell>
          <cell r="BJ210">
            <v>0</v>
          </cell>
          <cell r="BK210">
            <v>420</v>
          </cell>
          <cell r="BL210">
            <v>0</v>
          </cell>
          <cell r="BM210">
            <v>0</v>
          </cell>
          <cell r="BN210">
            <v>0</v>
          </cell>
          <cell r="BO210">
            <v>0</v>
          </cell>
          <cell r="BP210">
            <v>0</v>
          </cell>
          <cell r="BQ210">
            <v>0</v>
          </cell>
          <cell r="BR210">
            <v>1445</v>
          </cell>
          <cell r="BS210">
            <v>0</v>
          </cell>
          <cell r="BT210">
            <v>420</v>
          </cell>
          <cell r="BU210">
            <v>972</v>
          </cell>
          <cell r="BV210">
            <v>0</v>
          </cell>
          <cell r="BW210">
            <v>0</v>
          </cell>
          <cell r="BX210">
            <v>0</v>
          </cell>
          <cell r="BY210">
            <v>0</v>
          </cell>
          <cell r="BZ210">
            <v>0</v>
          </cell>
          <cell r="CA210">
            <v>0</v>
          </cell>
          <cell r="CB210">
            <v>0</v>
          </cell>
          <cell r="CC210">
            <v>133.33000000000001</v>
          </cell>
          <cell r="CD210">
            <v>320</v>
          </cell>
          <cell r="CE210">
            <v>0</v>
          </cell>
          <cell r="CF210">
            <v>0</v>
          </cell>
          <cell r="CG210">
            <v>1523.87</v>
          </cell>
          <cell r="CH210">
            <v>0</v>
          </cell>
          <cell r="CI210">
            <v>1640</v>
          </cell>
          <cell r="CJ210">
            <v>0</v>
          </cell>
          <cell r="CK210">
            <v>0</v>
          </cell>
          <cell r="CL210">
            <v>0</v>
          </cell>
          <cell r="CM210">
            <v>0</v>
          </cell>
          <cell r="CN210">
            <v>0</v>
          </cell>
          <cell r="CO210">
            <v>0</v>
          </cell>
          <cell r="CP210">
            <v>0</v>
          </cell>
          <cell r="CQ210">
            <v>0</v>
          </cell>
          <cell r="CR210">
            <v>1310.47</v>
          </cell>
          <cell r="CS210">
            <v>1360</v>
          </cell>
          <cell r="CT210">
            <v>0</v>
          </cell>
          <cell r="CU210">
            <v>266.67</v>
          </cell>
          <cell r="CV210">
            <v>0</v>
          </cell>
          <cell r="CW210">
            <v>0</v>
          </cell>
          <cell r="CX210">
            <v>0</v>
          </cell>
          <cell r="CY210">
            <v>0</v>
          </cell>
          <cell r="CZ210">
            <v>0</v>
          </cell>
          <cell r="DA210">
            <v>0</v>
          </cell>
          <cell r="DB210">
            <v>1310.47</v>
          </cell>
          <cell r="DC210">
            <v>0</v>
          </cell>
          <cell r="DD210">
            <v>0</v>
          </cell>
          <cell r="DE210">
            <v>0</v>
          </cell>
          <cell r="DF210">
            <v>350</v>
          </cell>
          <cell r="DG210">
            <v>1226.67</v>
          </cell>
        </row>
        <row r="211">
          <cell r="A211">
            <v>6108999</v>
          </cell>
          <cell r="B211">
            <v>6108999</v>
          </cell>
          <cell r="C211" t="str">
            <v>OutSvc Exp Reclass</v>
          </cell>
          <cell r="D211">
            <v>11877</v>
          </cell>
          <cell r="E211">
            <v>0</v>
          </cell>
          <cell r="F211">
            <v>0</v>
          </cell>
          <cell r="G211">
            <v>0</v>
          </cell>
          <cell r="H211">
            <v>0</v>
          </cell>
          <cell r="I211">
            <v>0</v>
          </cell>
          <cell r="J211">
            <v>0</v>
          </cell>
          <cell r="K211">
            <v>0</v>
          </cell>
          <cell r="L211">
            <v>0</v>
          </cell>
          <cell r="M211">
            <v>-197969.81</v>
          </cell>
          <cell r="N211">
            <v>16312.95</v>
          </cell>
          <cell r="O211">
            <v>-1483922.99</v>
          </cell>
          <cell r="P211">
            <v>0</v>
          </cell>
          <cell r="Q211">
            <v>0</v>
          </cell>
          <cell r="R211">
            <v>-208275.36</v>
          </cell>
          <cell r="S211">
            <v>0</v>
          </cell>
          <cell r="T211">
            <v>-53633.86</v>
          </cell>
          <cell r="U211">
            <v>53633.86</v>
          </cell>
          <cell r="V211">
            <v>13960.6</v>
          </cell>
          <cell r="W211">
            <v>0</v>
          </cell>
          <cell r="X211">
            <v>0</v>
          </cell>
          <cell r="Y211">
            <v>0</v>
          </cell>
          <cell r="Z211">
            <v>6500</v>
          </cell>
          <cell r="AA211">
            <v>56268.800000000003</v>
          </cell>
          <cell r="AB211">
            <v>0</v>
          </cell>
          <cell r="AC211">
            <v>0</v>
          </cell>
          <cell r="AD211">
            <v>19575</v>
          </cell>
          <cell r="AE211">
            <v>300</v>
          </cell>
          <cell r="AF211">
            <v>0</v>
          </cell>
          <cell r="AG211">
            <v>0</v>
          </cell>
          <cell r="AH211">
            <v>0</v>
          </cell>
          <cell r="AI211">
            <v>0</v>
          </cell>
          <cell r="AJ211">
            <v>12800</v>
          </cell>
          <cell r="AK211">
            <v>17455.13</v>
          </cell>
          <cell r="AL211">
            <v>23905.46</v>
          </cell>
          <cell r="AM211">
            <v>148971.35999999999</v>
          </cell>
          <cell r="AN211">
            <v>-136629.12</v>
          </cell>
          <cell r="AO211">
            <v>314700.71999999997</v>
          </cell>
          <cell r="AP211">
            <v>-161649.95000000001</v>
          </cell>
          <cell r="AQ211">
            <v>0</v>
          </cell>
          <cell r="AR211">
            <v>0</v>
          </cell>
          <cell r="AS211">
            <v>0</v>
          </cell>
          <cell r="AT211">
            <v>0</v>
          </cell>
          <cell r="AU211">
            <v>0</v>
          </cell>
          <cell r="AV211">
            <v>0</v>
          </cell>
          <cell r="AW211">
            <v>0</v>
          </cell>
          <cell r="AX211">
            <v>0</v>
          </cell>
          <cell r="AY211">
            <v>-219803.5</v>
          </cell>
          <cell r="AZ211">
            <v>0</v>
          </cell>
          <cell r="BA211">
            <v>150</v>
          </cell>
          <cell r="BB211">
            <v>8853.69</v>
          </cell>
          <cell r="BC211">
            <v>0</v>
          </cell>
          <cell r="BD211">
            <v>261420.04</v>
          </cell>
          <cell r="BE211">
            <v>-259170.04</v>
          </cell>
          <cell r="BF211">
            <v>0</v>
          </cell>
          <cell r="BG211">
            <v>0</v>
          </cell>
          <cell r="BH211">
            <v>0</v>
          </cell>
          <cell r="BI211">
            <v>0</v>
          </cell>
          <cell r="BJ211">
            <v>31369.68</v>
          </cell>
          <cell r="BK211">
            <v>305664.45</v>
          </cell>
          <cell r="BL211">
            <v>0</v>
          </cell>
          <cell r="BM211">
            <v>-1239.96</v>
          </cell>
          <cell r="BN211">
            <v>2885.25</v>
          </cell>
          <cell r="BO211">
            <v>19477.43</v>
          </cell>
          <cell r="BP211">
            <v>17002.330000000002</v>
          </cell>
          <cell r="BQ211">
            <v>12237.93</v>
          </cell>
          <cell r="BR211">
            <v>90769.25</v>
          </cell>
          <cell r="BS211">
            <v>191630.33</v>
          </cell>
          <cell r="BT211">
            <v>10026.11</v>
          </cell>
          <cell r="BU211">
            <v>83369.59</v>
          </cell>
          <cell r="BV211">
            <v>177514.17</v>
          </cell>
          <cell r="BW211">
            <v>11577.68</v>
          </cell>
          <cell r="BX211">
            <v>0</v>
          </cell>
          <cell r="BY211">
            <v>677.59</v>
          </cell>
          <cell r="BZ211">
            <v>12290.99</v>
          </cell>
          <cell r="CA211">
            <v>13660.86</v>
          </cell>
          <cell r="CB211">
            <v>2130.08</v>
          </cell>
          <cell r="CC211">
            <v>8174.39</v>
          </cell>
          <cell r="CD211">
            <v>537.03</v>
          </cell>
          <cell r="CE211">
            <v>1285.1099999999999</v>
          </cell>
          <cell r="CF211">
            <v>29333.86</v>
          </cell>
          <cell r="CG211">
            <v>2860.01</v>
          </cell>
          <cell r="CH211">
            <v>3060.52</v>
          </cell>
          <cell r="CI211">
            <v>16555.59</v>
          </cell>
          <cell r="CJ211">
            <v>7216.43</v>
          </cell>
          <cell r="CK211">
            <v>6198</v>
          </cell>
          <cell r="CL211">
            <v>-83622.73</v>
          </cell>
          <cell r="CM211">
            <v>25385.17</v>
          </cell>
          <cell r="CN211">
            <v>0</v>
          </cell>
          <cell r="CO211">
            <v>2387.5</v>
          </cell>
          <cell r="CP211">
            <v>0</v>
          </cell>
          <cell r="CQ211">
            <v>0</v>
          </cell>
          <cell r="CR211">
            <v>7878.7</v>
          </cell>
          <cell r="CS211">
            <v>1739.22</v>
          </cell>
          <cell r="CT211">
            <v>0</v>
          </cell>
          <cell r="CU211">
            <v>285151.52</v>
          </cell>
          <cell r="CV211">
            <v>238412.24</v>
          </cell>
          <cell r="CW211">
            <v>-34407.81</v>
          </cell>
          <cell r="CX211">
            <v>1510.3</v>
          </cell>
          <cell r="CY211">
            <v>21394.41</v>
          </cell>
          <cell r="CZ211">
            <v>4110.1899999999996</v>
          </cell>
          <cell r="DA211">
            <v>26683.35</v>
          </cell>
          <cell r="DB211">
            <v>22423.01</v>
          </cell>
          <cell r="DC211">
            <v>46297.07</v>
          </cell>
          <cell r="DD211">
            <v>-563064.73</v>
          </cell>
          <cell r="DE211">
            <v>-708228.09</v>
          </cell>
          <cell r="DF211">
            <v>913066.43</v>
          </cell>
          <cell r="DG211">
            <v>89152.42</v>
          </cell>
        </row>
        <row r="212">
          <cell r="A212">
            <v>6109000</v>
          </cell>
          <cell r="B212">
            <v>6109000</v>
          </cell>
          <cell r="C212" t="str">
            <v>OutSvc to BalSheet</v>
          </cell>
          <cell r="D212">
            <v>-1537827.83</v>
          </cell>
          <cell r="E212">
            <v>-7004135.25</v>
          </cell>
          <cell r="F212">
            <v>-4450176.57</v>
          </cell>
          <cell r="G212">
            <v>-5756125.8300000001</v>
          </cell>
          <cell r="H212">
            <v>-4308297.6500000004</v>
          </cell>
          <cell r="I212">
            <v>-5773706.8099999996</v>
          </cell>
          <cell r="J212">
            <v>-5387195.9900000002</v>
          </cell>
          <cell r="K212">
            <v>-7172374.7599999998</v>
          </cell>
          <cell r="L212">
            <v>-4902110.42</v>
          </cell>
          <cell r="M212">
            <v>-4397713.7</v>
          </cell>
          <cell r="N212">
            <v>-3517633.66</v>
          </cell>
          <cell r="O212">
            <v>-4956266.88</v>
          </cell>
          <cell r="P212">
            <v>-4197744.43</v>
          </cell>
          <cell r="Q212">
            <v>-3668925.26</v>
          </cell>
          <cell r="R212">
            <v>-4439897.3099999996</v>
          </cell>
          <cell r="S212">
            <v>-3568571.81</v>
          </cell>
          <cell r="T212">
            <v>-3459380.94</v>
          </cell>
          <cell r="U212">
            <v>-6140978.96</v>
          </cell>
          <cell r="V212">
            <v>-5163173.4800000004</v>
          </cell>
          <cell r="W212">
            <v>-3727323.84</v>
          </cell>
          <cell r="X212">
            <v>-4496096.4800000004</v>
          </cell>
          <cell r="Y212">
            <v>-5707918.7300000004</v>
          </cell>
          <cell r="Z212">
            <v>-6076381.21</v>
          </cell>
          <cell r="AA212">
            <v>-6830272.7800000003</v>
          </cell>
          <cell r="AB212">
            <v>-3864344.32</v>
          </cell>
          <cell r="AC212">
            <v>-11285141.35</v>
          </cell>
          <cell r="AD212">
            <v>-6943160.6799999997</v>
          </cell>
          <cell r="AE212">
            <v>-5234716.13</v>
          </cell>
          <cell r="AF212">
            <v>-8649143.4000000004</v>
          </cell>
          <cell r="AG212">
            <v>-10089333.640000001</v>
          </cell>
          <cell r="AH212">
            <v>-6378566.2999999998</v>
          </cell>
          <cell r="AI212">
            <v>-7207186.7400000002</v>
          </cell>
          <cell r="AJ212">
            <v>-7265090.6799999997</v>
          </cell>
          <cell r="AK212">
            <v>-6257726.6799999997</v>
          </cell>
          <cell r="AL212">
            <v>-8084717.1699999999</v>
          </cell>
          <cell r="AM212">
            <v>-10375779.93</v>
          </cell>
          <cell r="AN212">
            <v>-4424849.43</v>
          </cell>
          <cell r="AO212">
            <v>-6533830.8099999996</v>
          </cell>
          <cell r="AP212">
            <v>-6006226.5300000003</v>
          </cell>
          <cell r="AQ212">
            <v>-5001661.2699999996</v>
          </cell>
          <cell r="AR212">
            <v>-6375406.04</v>
          </cell>
          <cell r="AS212">
            <v>-5956515.9000000004</v>
          </cell>
          <cell r="AT212">
            <v>-7857541.3799999999</v>
          </cell>
          <cell r="AU212">
            <v>-9926202.6199999992</v>
          </cell>
          <cell r="AV212">
            <v>-4933521.2</v>
          </cell>
          <cell r="AW212">
            <v>-7969617.7599999998</v>
          </cell>
          <cell r="AX212">
            <v>-7784337.8399999999</v>
          </cell>
          <cell r="AY212">
            <v>-8295610.2999999998</v>
          </cell>
          <cell r="AZ212">
            <v>-7195132.9000000004</v>
          </cell>
          <cell r="BA212">
            <v>-8487906.8599999994</v>
          </cell>
          <cell r="BB212">
            <v>-10031224.9</v>
          </cell>
          <cell r="BC212">
            <v>-6541634.0199999996</v>
          </cell>
          <cell r="BD212">
            <v>-10434375.279999999</v>
          </cell>
          <cell r="BE212">
            <v>-7758499.2599999998</v>
          </cell>
          <cell r="BF212">
            <v>-7844135.0099999998</v>
          </cell>
          <cell r="BG212">
            <v>-10588234.460000001</v>
          </cell>
          <cell r="BH212">
            <v>-9951816.3399999999</v>
          </cell>
          <cell r="BI212">
            <v>-15501397.699999999</v>
          </cell>
          <cell r="BJ212">
            <v>-12914923.960000001</v>
          </cell>
          <cell r="BK212">
            <v>-11948244.32</v>
          </cell>
          <cell r="BL212">
            <v>-13353247.83</v>
          </cell>
          <cell r="BM212">
            <v>-10040771.449999999</v>
          </cell>
          <cell r="BN212">
            <v>-10820792.49</v>
          </cell>
          <cell r="BO212">
            <v>-10043049.439999999</v>
          </cell>
          <cell r="BP212">
            <v>-11877161.890000001</v>
          </cell>
          <cell r="BQ212">
            <v>-14275810.550000001</v>
          </cell>
          <cell r="BR212">
            <v>-9703192.6600000001</v>
          </cell>
          <cell r="BS212">
            <v>-16254587.869999999</v>
          </cell>
          <cell r="BT212">
            <v>-10920005.970000001</v>
          </cell>
          <cell r="BU212">
            <v>-13323613.24</v>
          </cell>
          <cell r="BV212">
            <v>-16050438.18</v>
          </cell>
          <cell r="BW212">
            <v>-18399758.399999999</v>
          </cell>
          <cell r="BX212">
            <v>-18021030.140000001</v>
          </cell>
          <cell r="BY212">
            <v>-16796687.25</v>
          </cell>
          <cell r="BZ212">
            <v>-17369330.120000001</v>
          </cell>
          <cell r="CA212">
            <v>-20269640.899999999</v>
          </cell>
          <cell r="CB212">
            <v>-19262873.989999998</v>
          </cell>
          <cell r="CC212">
            <v>-13135641.529999999</v>
          </cell>
          <cell r="CD212">
            <v>-16323161.6</v>
          </cell>
          <cell r="CE212">
            <v>-17584058.649999999</v>
          </cell>
          <cell r="CF212">
            <v>-17948094.5</v>
          </cell>
          <cell r="CG212">
            <v>-25132074.09</v>
          </cell>
          <cell r="CH212">
            <v>-22817721.239999998</v>
          </cell>
          <cell r="CI212">
            <v>-27453822.949999999</v>
          </cell>
          <cell r="CJ212">
            <v>-14838057.23</v>
          </cell>
          <cell r="CK212">
            <v>-23793617.09</v>
          </cell>
          <cell r="CL212">
            <v>-25790474.5</v>
          </cell>
          <cell r="CM212">
            <v>-17400076.300000001</v>
          </cell>
          <cell r="CN212">
            <v>-12857315.23</v>
          </cell>
          <cell r="CO212">
            <v>-19027548.370000001</v>
          </cell>
          <cell r="CP212">
            <v>-14145138.640000001</v>
          </cell>
          <cell r="CQ212">
            <v>-17713023.34</v>
          </cell>
          <cell r="CR212">
            <v>-19562990.41</v>
          </cell>
          <cell r="CS212">
            <v>-23096137.780000001</v>
          </cell>
          <cell r="CT212">
            <v>-20621567.210000001</v>
          </cell>
          <cell r="CU212">
            <v>-15356076.060000001</v>
          </cell>
          <cell r="CV212">
            <v>-17818962.690000001</v>
          </cell>
          <cell r="CW212">
            <v>-17180427.25</v>
          </cell>
          <cell r="CX212">
            <v>-16334116.039999999</v>
          </cell>
          <cell r="CY212">
            <v>-21979419.059999999</v>
          </cell>
          <cell r="CZ212">
            <v>-18462016.140000001</v>
          </cell>
          <cell r="DA212">
            <v>-22457990.010000002</v>
          </cell>
          <cell r="DB212">
            <v>-14790891.289999999</v>
          </cell>
          <cell r="DC212">
            <v>-20098486.260000002</v>
          </cell>
          <cell r="DD212">
            <v>-11545970.119999999</v>
          </cell>
          <cell r="DE212">
            <v>-14349614.800000001</v>
          </cell>
          <cell r="DF212">
            <v>-16895458.149999999</v>
          </cell>
          <cell r="DG212">
            <v>-31442791.030000001</v>
          </cell>
        </row>
        <row r="213">
          <cell r="A213">
            <v>6300100</v>
          </cell>
          <cell r="B213">
            <v>6300100</v>
          </cell>
          <cell r="C213" t="str">
            <v>Cost of Natural Gas</v>
          </cell>
          <cell r="D213">
            <v>18105919.899999999</v>
          </cell>
          <cell r="E213">
            <v>11602181.73</v>
          </cell>
          <cell r="F213">
            <v>12686883</v>
          </cell>
          <cell r="G213">
            <v>12086457</v>
          </cell>
          <cell r="H213">
            <v>9420941.6699999999</v>
          </cell>
          <cell r="I213">
            <v>5731486.1900000004</v>
          </cell>
          <cell r="J213">
            <v>8346912.8799999999</v>
          </cell>
          <cell r="K213">
            <v>10812765.630000001</v>
          </cell>
          <cell r="L213">
            <v>8469017.3599999994</v>
          </cell>
          <cell r="M213">
            <v>11192484.050000001</v>
          </cell>
          <cell r="N213">
            <v>16009560.039999999</v>
          </cell>
          <cell r="O213">
            <v>11324338.800000001</v>
          </cell>
          <cell r="P213">
            <v>14825671.380000001</v>
          </cell>
          <cell r="Q213">
            <v>15652198.92</v>
          </cell>
          <cell r="R213">
            <v>10931992.43</v>
          </cell>
          <cell r="S213">
            <v>12498894.16</v>
          </cell>
          <cell r="T213">
            <v>8506871.3100000005</v>
          </cell>
          <cell r="U213">
            <v>8923816.9399999995</v>
          </cell>
          <cell r="V213">
            <v>9406895.6999999993</v>
          </cell>
          <cell r="W213">
            <v>10436143.99</v>
          </cell>
          <cell r="X213">
            <v>9882010.9800000004</v>
          </cell>
          <cell r="Y213">
            <v>12510965.26</v>
          </cell>
          <cell r="Z213">
            <v>15720217.380000001</v>
          </cell>
          <cell r="AA213">
            <v>10536563.08</v>
          </cell>
          <cell r="AB213">
            <v>16105783.779999999</v>
          </cell>
          <cell r="AC213">
            <v>13782660.32</v>
          </cell>
          <cell r="AD213">
            <v>12768613.58</v>
          </cell>
          <cell r="AE213">
            <v>13301925.08</v>
          </cell>
          <cell r="AF213">
            <v>8937794.4000000004</v>
          </cell>
          <cell r="AG213">
            <v>9252533.5999999996</v>
          </cell>
          <cell r="AH213">
            <v>13531048.470000001</v>
          </cell>
          <cell r="AI213">
            <v>12901237.91</v>
          </cell>
          <cell r="AJ213">
            <v>12804956.369999999</v>
          </cell>
          <cell r="AK213">
            <v>15335376.369999999</v>
          </cell>
          <cell r="AL213">
            <v>11592605.810000001</v>
          </cell>
          <cell r="AM213">
            <v>11517591.68</v>
          </cell>
          <cell r="AN213">
            <v>13504230.890000001</v>
          </cell>
          <cell r="AO213">
            <v>9504398.3399999999</v>
          </cell>
          <cell r="AP213">
            <v>13430759.23</v>
          </cell>
          <cell r="AQ213">
            <v>12495027.68</v>
          </cell>
          <cell r="AR213">
            <v>11630458.27</v>
          </cell>
          <cell r="AS213">
            <v>10131478.07</v>
          </cell>
          <cell r="AT213">
            <v>12512459.17</v>
          </cell>
          <cell r="AU213">
            <v>17511907.039999999</v>
          </cell>
          <cell r="AV213">
            <v>14939705.18</v>
          </cell>
          <cell r="AW213">
            <v>13196656.939999999</v>
          </cell>
          <cell r="AX213">
            <v>13137387.17</v>
          </cell>
          <cell r="AY213">
            <v>16023757.890000001</v>
          </cell>
          <cell r="AZ213">
            <v>22850159.550000001</v>
          </cell>
          <cell r="BA213">
            <v>10479371.15</v>
          </cell>
          <cell r="BB213">
            <v>13100817.23</v>
          </cell>
          <cell r="BC213">
            <v>10036230.720000001</v>
          </cell>
          <cell r="BD213">
            <v>11484805.76</v>
          </cell>
          <cell r="BE213">
            <v>13247636.26</v>
          </cell>
          <cell r="BF213">
            <v>15100103.23</v>
          </cell>
          <cell r="BG213">
            <v>12089027.41</v>
          </cell>
          <cell r="BH213">
            <v>13588410.550000001</v>
          </cell>
          <cell r="BI213">
            <v>19128918.210000001</v>
          </cell>
          <cell r="BJ213">
            <v>20013525.68</v>
          </cell>
          <cell r="BK213">
            <v>18583372.300000001</v>
          </cell>
          <cell r="BL213">
            <v>17350300.109999999</v>
          </cell>
          <cell r="BM213">
            <v>11075186.949999999</v>
          </cell>
          <cell r="BN213">
            <v>13477264.609999999</v>
          </cell>
          <cell r="BO213">
            <v>11273393.310000001</v>
          </cell>
          <cell r="BP213">
            <v>11248857.689999999</v>
          </cell>
          <cell r="BQ213">
            <v>8517872.1799999997</v>
          </cell>
          <cell r="BR213">
            <v>9280612.1799999997</v>
          </cell>
          <cell r="BS213">
            <v>9764698.5999999996</v>
          </cell>
          <cell r="BT213">
            <v>12076834.630000001</v>
          </cell>
          <cell r="BU213">
            <v>13743771.84</v>
          </cell>
          <cell r="BV213">
            <v>13500749.42</v>
          </cell>
          <cell r="BW213">
            <v>13096438.33</v>
          </cell>
          <cell r="BX213">
            <v>13493076.57</v>
          </cell>
          <cell r="BY213">
            <v>10334309.369999999</v>
          </cell>
          <cell r="BZ213">
            <v>10126684.189999999</v>
          </cell>
          <cell r="CA213">
            <v>7952411.9699999997</v>
          </cell>
          <cell r="CB213">
            <v>8437533.1799999997</v>
          </cell>
          <cell r="CC213">
            <v>8310039.6200000001</v>
          </cell>
          <cell r="CD213">
            <v>9085074.0299999993</v>
          </cell>
          <cell r="CE213">
            <v>8414571.3300000001</v>
          </cell>
          <cell r="CF213">
            <v>7972076.46</v>
          </cell>
          <cell r="CG213">
            <v>11023452.66</v>
          </cell>
          <cell r="CH213">
            <v>13391809.560000001</v>
          </cell>
          <cell r="CI213">
            <v>16571536.16</v>
          </cell>
          <cell r="CJ213">
            <v>16439776.35</v>
          </cell>
          <cell r="CK213">
            <v>18676790.91</v>
          </cell>
          <cell r="CL213">
            <v>15324503.220000001</v>
          </cell>
          <cell r="CM213">
            <v>10097628.68</v>
          </cell>
          <cell r="CN213">
            <v>8721040.3200000003</v>
          </cell>
          <cell r="CO213">
            <v>10220210.140000001</v>
          </cell>
          <cell r="CP213">
            <v>10217298.949999999</v>
          </cell>
          <cell r="CQ213">
            <v>10822638.75</v>
          </cell>
          <cell r="CR213">
            <v>11678964.1</v>
          </cell>
          <cell r="CS213">
            <v>20588212.010000002</v>
          </cell>
          <cell r="CT213">
            <v>19603443.129999999</v>
          </cell>
          <cell r="CU213">
            <v>16290393.84</v>
          </cell>
          <cell r="CV213">
            <v>23767789.120000001</v>
          </cell>
          <cell r="CW213">
            <v>19580069.57</v>
          </cell>
          <cell r="CX213">
            <v>19768515.300000001</v>
          </cell>
          <cell r="CY213">
            <v>17741192.789999999</v>
          </cell>
          <cell r="CZ213">
            <v>25236867.84</v>
          </cell>
          <cell r="DA213">
            <v>22782810.190000001</v>
          </cell>
          <cell r="DB213">
            <v>21450416.210000001</v>
          </cell>
          <cell r="DC213">
            <v>23022641.379999999</v>
          </cell>
          <cell r="DD213">
            <v>15361180.630000001</v>
          </cell>
          <cell r="DE213">
            <v>17226748.559999999</v>
          </cell>
          <cell r="DF213">
            <v>21604629.300000001</v>
          </cell>
          <cell r="DG213">
            <v>25164343.690000001</v>
          </cell>
        </row>
        <row r="214">
          <cell r="A214">
            <v>6400010</v>
          </cell>
          <cell r="B214">
            <v>6400010</v>
          </cell>
          <cell r="C214" t="str">
            <v>M&amp;S FurnOffEquip</v>
          </cell>
          <cell r="D214">
            <v>68495.710000000006</v>
          </cell>
          <cell r="E214">
            <v>7163.99</v>
          </cell>
          <cell r="F214">
            <v>5141.7299999999996</v>
          </cell>
          <cell r="G214">
            <v>52546.87</v>
          </cell>
          <cell r="H214">
            <v>41383.300000000003</v>
          </cell>
          <cell r="I214">
            <v>182095.34</v>
          </cell>
          <cell r="J214">
            <v>157866.89000000001</v>
          </cell>
          <cell r="K214">
            <v>24350.3</v>
          </cell>
          <cell r="L214">
            <v>10517.69</v>
          </cell>
          <cell r="M214">
            <v>15802.42</v>
          </cell>
          <cell r="N214">
            <v>11435.05</v>
          </cell>
          <cell r="O214">
            <v>3330.22</v>
          </cell>
          <cell r="P214">
            <v>5170.96</v>
          </cell>
          <cell r="Q214">
            <v>2678.79</v>
          </cell>
          <cell r="R214">
            <v>10497.72</v>
          </cell>
          <cell r="S214">
            <v>35757.17</v>
          </cell>
          <cell r="T214">
            <v>6921.41</v>
          </cell>
          <cell r="U214">
            <v>451140.19</v>
          </cell>
          <cell r="V214">
            <v>22376.18</v>
          </cell>
          <cell r="W214">
            <v>-3033.91</v>
          </cell>
          <cell r="X214">
            <v>19865.05</v>
          </cell>
          <cell r="Y214">
            <v>29705.11</v>
          </cell>
          <cell r="Z214">
            <v>4578.6099999999997</v>
          </cell>
          <cell r="AA214">
            <v>83257.66</v>
          </cell>
          <cell r="AB214">
            <v>15721.58</v>
          </cell>
          <cell r="AC214">
            <v>49543.23</v>
          </cell>
          <cell r="AD214">
            <v>8032.97</v>
          </cell>
          <cell r="AE214">
            <v>350844.21</v>
          </cell>
          <cell r="AF214">
            <v>8141.45</v>
          </cell>
          <cell r="AG214">
            <v>42720.41</v>
          </cell>
          <cell r="AH214">
            <v>249977.68</v>
          </cell>
          <cell r="AI214">
            <v>8734.59</v>
          </cell>
          <cell r="AJ214">
            <v>46836.88</v>
          </cell>
          <cell r="AK214">
            <v>8759.7999999999993</v>
          </cell>
          <cell r="AL214">
            <v>119126.01</v>
          </cell>
          <cell r="AM214">
            <v>20748.38</v>
          </cell>
          <cell r="AN214">
            <v>1768.47</v>
          </cell>
          <cell r="AO214">
            <v>47423.040000000001</v>
          </cell>
          <cell r="AP214">
            <v>38504.230000000003</v>
          </cell>
          <cell r="AQ214">
            <v>24291.119999999999</v>
          </cell>
          <cell r="AR214">
            <v>18188.009999999998</v>
          </cell>
          <cell r="AS214">
            <v>24473.46</v>
          </cell>
          <cell r="AT214">
            <v>14125.66</v>
          </cell>
          <cell r="AU214">
            <v>55732.31</v>
          </cell>
          <cell r="AV214">
            <v>11555.11</v>
          </cell>
          <cell r="AW214">
            <v>21972.720000000001</v>
          </cell>
          <cell r="AX214">
            <v>24864.01</v>
          </cell>
          <cell r="AY214">
            <v>17491.91</v>
          </cell>
          <cell r="AZ214">
            <v>40604.879999999997</v>
          </cell>
          <cell r="BA214">
            <v>19529.95</v>
          </cell>
          <cell r="BB214">
            <v>100464.25</v>
          </cell>
          <cell r="BC214">
            <v>22400.94</v>
          </cell>
          <cell r="BD214">
            <v>25343.77</v>
          </cell>
          <cell r="BE214">
            <v>32845.18</v>
          </cell>
          <cell r="BF214">
            <v>19213.54</v>
          </cell>
          <cell r="BG214">
            <v>24677.62</v>
          </cell>
          <cell r="BH214">
            <v>96511.86</v>
          </cell>
          <cell r="BI214">
            <v>79330.12</v>
          </cell>
          <cell r="BJ214">
            <v>37453.58</v>
          </cell>
          <cell r="BK214">
            <v>44755.37</v>
          </cell>
          <cell r="BL214">
            <v>26408.880000000001</v>
          </cell>
          <cell r="BM214">
            <v>21110.57</v>
          </cell>
          <cell r="BN214">
            <v>33346.74</v>
          </cell>
          <cell r="BO214">
            <v>21649.4</v>
          </cell>
          <cell r="BP214">
            <v>26343.69</v>
          </cell>
          <cell r="BQ214">
            <v>373401.74</v>
          </cell>
          <cell r="BR214">
            <v>13471.46</v>
          </cell>
          <cell r="BS214">
            <v>328192.03000000003</v>
          </cell>
          <cell r="BT214">
            <v>216286.12</v>
          </cell>
          <cell r="BU214">
            <v>48639.25</v>
          </cell>
          <cell r="BV214">
            <v>50646.92</v>
          </cell>
          <cell r="BW214">
            <v>-81464.38</v>
          </cell>
          <cell r="BX214">
            <v>115103.48</v>
          </cell>
          <cell r="BY214">
            <v>26440.31</v>
          </cell>
          <cell r="BZ214">
            <v>1765.37</v>
          </cell>
          <cell r="CA214">
            <v>32538.47</v>
          </cell>
          <cell r="CB214">
            <v>13043.74</v>
          </cell>
          <cell r="CC214">
            <v>8392.2199999999993</v>
          </cell>
          <cell r="CD214">
            <v>41167.99</v>
          </cell>
          <cell r="CE214">
            <v>340636.15999999997</v>
          </cell>
          <cell r="CF214">
            <v>52837.79</v>
          </cell>
          <cell r="CG214">
            <v>100605.04</v>
          </cell>
          <cell r="CH214">
            <v>151455.14000000001</v>
          </cell>
          <cell r="CI214">
            <v>29752.959999999999</v>
          </cell>
          <cell r="CJ214">
            <v>11614.72</v>
          </cell>
          <cell r="CK214">
            <v>30652.49</v>
          </cell>
          <cell r="CL214">
            <v>16070.99</v>
          </cell>
          <cell r="CM214">
            <v>22249.35</v>
          </cell>
          <cell r="CN214">
            <v>19511.59</v>
          </cell>
          <cell r="CO214">
            <v>11113.8</v>
          </cell>
          <cell r="CP214">
            <v>63957.15</v>
          </cell>
          <cell r="CQ214">
            <v>56456.04</v>
          </cell>
          <cell r="CR214">
            <v>43871.360000000001</v>
          </cell>
          <cell r="CS214">
            <v>154121.44</v>
          </cell>
          <cell r="CT214">
            <v>132315.17000000001</v>
          </cell>
          <cell r="CU214">
            <v>712616.57</v>
          </cell>
          <cell r="CV214">
            <v>37367.410000000003</v>
          </cell>
          <cell r="CW214">
            <v>22695.87</v>
          </cell>
          <cell r="CX214">
            <v>42255.65</v>
          </cell>
          <cell r="CY214">
            <v>34356.959999999999</v>
          </cell>
          <cell r="CZ214">
            <v>100047.3</v>
          </cell>
          <cell r="DA214">
            <v>92881.29</v>
          </cell>
          <cell r="DB214">
            <v>38314.19</v>
          </cell>
          <cell r="DC214">
            <v>35032.949999999997</v>
          </cell>
          <cell r="DD214">
            <v>39601.199999999997</v>
          </cell>
          <cell r="DE214">
            <v>58427.91</v>
          </cell>
          <cell r="DF214">
            <v>17021.05</v>
          </cell>
          <cell r="DG214">
            <v>59934.82</v>
          </cell>
        </row>
        <row r="215">
          <cell r="A215">
            <v>6400020</v>
          </cell>
          <cell r="B215">
            <v>6400020</v>
          </cell>
          <cell r="C215" t="str">
            <v>M&amp;S Gen Office</v>
          </cell>
          <cell r="D215">
            <v>36530.410000000003</v>
          </cell>
          <cell r="E215">
            <v>36950.78</v>
          </cell>
          <cell r="F215">
            <v>47434.34</v>
          </cell>
          <cell r="G215">
            <v>30852.73</v>
          </cell>
          <cell r="H215">
            <v>44195.47</v>
          </cell>
          <cell r="I215">
            <v>28288.76</v>
          </cell>
          <cell r="J215">
            <v>33155.9</v>
          </cell>
          <cell r="K215">
            <v>55802.92</v>
          </cell>
          <cell r="L215">
            <v>43879.92</v>
          </cell>
          <cell r="M215">
            <v>20387.84</v>
          </cell>
          <cell r="N215">
            <v>32201.91</v>
          </cell>
          <cell r="O215">
            <v>63303.27</v>
          </cell>
          <cell r="P215">
            <v>32198.38</v>
          </cell>
          <cell r="Q215">
            <v>30908.23</v>
          </cell>
          <cell r="R215">
            <v>45495.37</v>
          </cell>
          <cell r="S215">
            <v>31573.94</v>
          </cell>
          <cell r="T215">
            <v>15849.61</v>
          </cell>
          <cell r="U215">
            <v>57482.76</v>
          </cell>
          <cell r="V215">
            <v>37575.919999999998</v>
          </cell>
          <cell r="W215">
            <v>17921.439999999999</v>
          </cell>
          <cell r="X215">
            <v>49801.95</v>
          </cell>
          <cell r="Y215">
            <v>37656.120000000003</v>
          </cell>
          <cell r="Z215">
            <v>21408.81</v>
          </cell>
          <cell r="AA215">
            <v>72370.73</v>
          </cell>
          <cell r="AB215">
            <v>19110.7</v>
          </cell>
          <cell r="AC215">
            <v>42877.84</v>
          </cell>
          <cell r="AD215">
            <v>31480.89</v>
          </cell>
          <cell r="AE215">
            <v>24535.74</v>
          </cell>
          <cell r="AF215">
            <v>41424.910000000003</v>
          </cell>
          <cell r="AG215">
            <v>50014.83</v>
          </cell>
          <cell r="AH215">
            <v>22971.040000000001</v>
          </cell>
          <cell r="AI215">
            <v>17325.89</v>
          </cell>
          <cell r="AJ215">
            <v>34995.06</v>
          </cell>
          <cell r="AK215">
            <v>67312.17</v>
          </cell>
          <cell r="AL215">
            <v>44377.56</v>
          </cell>
          <cell r="AM215">
            <v>44202.04</v>
          </cell>
          <cell r="AN215">
            <v>18555.259999999998</v>
          </cell>
          <cell r="AO215">
            <v>22456.07</v>
          </cell>
          <cell r="AP215">
            <v>44480.71</v>
          </cell>
          <cell r="AQ215">
            <v>12434.07</v>
          </cell>
          <cell r="AR215">
            <v>19854.439999999999</v>
          </cell>
          <cell r="AS215">
            <v>93861.8</v>
          </cell>
          <cell r="AT215">
            <v>16407.04</v>
          </cell>
          <cell r="AU215">
            <v>21349.279999999999</v>
          </cell>
          <cell r="AV215">
            <v>14547.76</v>
          </cell>
          <cell r="AW215">
            <v>24918.52</v>
          </cell>
          <cell r="AX215">
            <v>17615.46</v>
          </cell>
          <cell r="AY215">
            <v>19894.88</v>
          </cell>
          <cell r="AZ215">
            <v>18876.66</v>
          </cell>
          <cell r="BA215">
            <v>17823.96</v>
          </cell>
          <cell r="BB215">
            <v>18856.88</v>
          </cell>
          <cell r="BC215">
            <v>20218.59</v>
          </cell>
          <cell r="BD215">
            <v>26005.64</v>
          </cell>
          <cell r="BE215">
            <v>94163.86</v>
          </cell>
          <cell r="BF215">
            <v>16982.98</v>
          </cell>
          <cell r="BG215">
            <v>473210.23</v>
          </cell>
          <cell r="BH215">
            <v>22989.88</v>
          </cell>
          <cell r="BI215">
            <v>84959.06</v>
          </cell>
          <cell r="BJ215">
            <v>33433.17</v>
          </cell>
          <cell r="BK215">
            <v>67293.149999999994</v>
          </cell>
          <cell r="BL215">
            <v>-18678.12</v>
          </cell>
          <cell r="BM215">
            <v>20723.97</v>
          </cell>
          <cell r="BN215">
            <v>26637.19</v>
          </cell>
          <cell r="BO215">
            <v>17572.830000000002</v>
          </cell>
          <cell r="BP215">
            <v>21003.7</v>
          </cell>
          <cell r="BQ215">
            <v>28050.75</v>
          </cell>
          <cell r="BR215">
            <v>28086.23</v>
          </cell>
          <cell r="BS215">
            <v>26879.86</v>
          </cell>
          <cell r="BT215">
            <v>23589.25</v>
          </cell>
          <cell r="BU215">
            <v>80923.240000000005</v>
          </cell>
          <cell r="BV215">
            <v>24473.55</v>
          </cell>
          <cell r="BW215">
            <v>74378.649999999994</v>
          </cell>
          <cell r="BX215">
            <v>11315.94</v>
          </cell>
          <cell r="BY215">
            <v>15035.15</v>
          </cell>
          <cell r="BZ215">
            <v>28203.24</v>
          </cell>
          <cell r="CA215">
            <v>17847.68</v>
          </cell>
          <cell r="CB215">
            <v>18671.7</v>
          </cell>
          <cell r="CC215">
            <v>12033.24</v>
          </cell>
          <cell r="CD215">
            <v>13204.91</v>
          </cell>
          <cell r="CE215">
            <v>14677.13</v>
          </cell>
          <cell r="CF215">
            <v>15511.02</v>
          </cell>
          <cell r="CG215">
            <v>15257.32</v>
          </cell>
          <cell r="CH215">
            <v>20594.150000000001</v>
          </cell>
          <cell r="CI215">
            <v>35280.400000000001</v>
          </cell>
          <cell r="CJ215">
            <v>3265.36</v>
          </cell>
          <cell r="CK215">
            <v>14783.21</v>
          </cell>
          <cell r="CL215">
            <v>16418.34</v>
          </cell>
          <cell r="CM215">
            <v>11566.62</v>
          </cell>
          <cell r="CN215">
            <v>6843.37</v>
          </cell>
          <cell r="CO215">
            <v>19953.45</v>
          </cell>
          <cell r="CP215">
            <v>14364.19</v>
          </cell>
          <cell r="CQ215">
            <v>12668.61</v>
          </cell>
          <cell r="CR215">
            <v>15794.95</v>
          </cell>
          <cell r="CS215">
            <v>15591.71</v>
          </cell>
          <cell r="CT215">
            <v>21782.32</v>
          </cell>
          <cell r="CU215">
            <v>113460.22</v>
          </cell>
          <cell r="CV215">
            <v>14377.78</v>
          </cell>
          <cell r="CW215">
            <v>18383.86</v>
          </cell>
          <cell r="CX215">
            <v>22928.95</v>
          </cell>
          <cell r="CY215">
            <v>19033.84</v>
          </cell>
          <cell r="CZ215">
            <v>18497</v>
          </cell>
          <cell r="DA215">
            <v>25257.51</v>
          </cell>
          <cell r="DB215">
            <v>16278.49</v>
          </cell>
          <cell r="DC215">
            <v>22916.59</v>
          </cell>
          <cell r="DD215">
            <v>12400.29</v>
          </cell>
          <cell r="DE215">
            <v>29993.25</v>
          </cell>
          <cell r="DF215">
            <v>29101.52</v>
          </cell>
          <cell r="DG215">
            <v>20002.78</v>
          </cell>
        </row>
        <row r="216">
          <cell r="A216">
            <v>6400030</v>
          </cell>
          <cell r="B216">
            <v>6400030</v>
          </cell>
          <cell r="C216" t="str">
            <v>M&amp;S Chemicals</v>
          </cell>
          <cell r="D216">
            <v>0</v>
          </cell>
          <cell r="E216">
            <v>0</v>
          </cell>
          <cell r="F216">
            <v>0</v>
          </cell>
          <cell r="G216">
            <v>0</v>
          </cell>
          <cell r="H216">
            <v>0</v>
          </cell>
          <cell r="I216">
            <v>74.900000000000006</v>
          </cell>
          <cell r="J216">
            <v>74.900000000000006</v>
          </cell>
          <cell r="K216">
            <v>74.900000000000006</v>
          </cell>
          <cell r="L216">
            <v>74.900000000000006</v>
          </cell>
          <cell r="M216">
            <v>74.900000000000006</v>
          </cell>
          <cell r="N216">
            <v>74.900000000000006</v>
          </cell>
          <cell r="O216">
            <v>149.80000000000001</v>
          </cell>
          <cell r="P216">
            <v>0</v>
          </cell>
          <cell r="Q216">
            <v>74.900000000000006</v>
          </cell>
          <cell r="R216">
            <v>74.900000000000006</v>
          </cell>
          <cell r="S216">
            <v>0</v>
          </cell>
          <cell r="T216">
            <v>0</v>
          </cell>
          <cell r="U216">
            <v>0</v>
          </cell>
          <cell r="V216">
            <v>0</v>
          </cell>
          <cell r="W216">
            <v>0</v>
          </cell>
          <cell r="X216">
            <v>0</v>
          </cell>
          <cell r="Y216">
            <v>0</v>
          </cell>
          <cell r="Z216">
            <v>0</v>
          </cell>
          <cell r="AA216">
            <v>0</v>
          </cell>
          <cell r="AB216">
            <v>0</v>
          </cell>
          <cell r="AC216">
            <v>73.959999999999994</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cell r="AX216"/>
          <cell r="AY216"/>
          <cell r="AZ216"/>
          <cell r="BA216"/>
          <cell r="BB216"/>
          <cell r="BC216"/>
          <cell r="BD216"/>
          <cell r="BE216"/>
          <cell r="BF216"/>
          <cell r="BG216"/>
          <cell r="BH216"/>
          <cell r="BI216"/>
          <cell r="BJ216"/>
          <cell r="BK216"/>
          <cell r="BL216"/>
          <cell r="BM216"/>
          <cell r="BN216"/>
          <cell r="BO216"/>
          <cell r="BP216"/>
          <cell r="BQ216"/>
          <cell r="BR216"/>
          <cell r="BS216"/>
          <cell r="BT216"/>
          <cell r="BU216"/>
          <cell r="BV216"/>
          <cell r="BW216"/>
          <cell r="BX216"/>
          <cell r="BY216"/>
          <cell r="BZ216"/>
          <cell r="CA216"/>
          <cell r="CB216"/>
          <cell r="CC216"/>
          <cell r="CD216"/>
          <cell r="CE216"/>
          <cell r="CF216"/>
          <cell r="CG216"/>
          <cell r="CH216"/>
          <cell r="CI216"/>
          <cell r="CJ216"/>
          <cell r="CK216"/>
          <cell r="CL216"/>
          <cell r="CM216"/>
          <cell r="CN216"/>
          <cell r="CO216"/>
          <cell r="CP216">
            <v>0</v>
          </cell>
          <cell r="CQ216">
            <v>0</v>
          </cell>
          <cell r="CR216">
            <v>0</v>
          </cell>
          <cell r="CS216">
            <v>69996</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row>
        <row r="217">
          <cell r="A217">
            <v>6400040</v>
          </cell>
          <cell r="B217">
            <v>6400040</v>
          </cell>
          <cell r="C217" t="str">
            <v>M&amp;S Lab</v>
          </cell>
          <cell r="D217">
            <v>0</v>
          </cell>
          <cell r="E217">
            <v>0</v>
          </cell>
          <cell r="F217">
            <v>0</v>
          </cell>
          <cell r="G217">
            <v>0</v>
          </cell>
          <cell r="H217">
            <v>0</v>
          </cell>
          <cell r="I217">
            <v>74.900000000000006</v>
          </cell>
          <cell r="J217">
            <v>74.900000000000006</v>
          </cell>
          <cell r="K217">
            <v>74.900000000000006</v>
          </cell>
          <cell r="L217">
            <v>74.900000000000006</v>
          </cell>
          <cell r="M217">
            <v>74.900000000000006</v>
          </cell>
          <cell r="N217">
            <v>74.900000000000006</v>
          </cell>
          <cell r="O217">
            <v>149.80000000000001</v>
          </cell>
          <cell r="P217">
            <v>0</v>
          </cell>
          <cell r="Q217">
            <v>74.900000000000006</v>
          </cell>
          <cell r="R217">
            <v>74.900000000000006</v>
          </cell>
          <cell r="S217">
            <v>0</v>
          </cell>
          <cell r="T217">
            <v>0</v>
          </cell>
          <cell r="U217">
            <v>0</v>
          </cell>
          <cell r="V217">
            <v>0</v>
          </cell>
          <cell r="W217">
            <v>0</v>
          </cell>
          <cell r="X217">
            <v>0</v>
          </cell>
          <cell r="Y217">
            <v>0</v>
          </cell>
          <cell r="Z217">
            <v>0</v>
          </cell>
          <cell r="AA217">
            <v>0</v>
          </cell>
          <cell r="AB217">
            <v>0</v>
          </cell>
          <cell r="AC217">
            <v>73.959999999999994</v>
          </cell>
          <cell r="AD217">
            <v>0</v>
          </cell>
          <cell r="AE217">
            <v>0</v>
          </cell>
          <cell r="AF217">
            <v>0</v>
          </cell>
          <cell r="AG217">
            <v>0</v>
          </cell>
          <cell r="AH217">
            <v>457.76</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cell r="AX217"/>
          <cell r="AY217"/>
          <cell r="AZ217"/>
          <cell r="BA217"/>
          <cell r="BB217"/>
          <cell r="BC217">
            <v>33.07</v>
          </cell>
          <cell r="BD217">
            <v>93.57</v>
          </cell>
          <cell r="BE217">
            <v>326.02999999999997</v>
          </cell>
          <cell r="BF217">
            <v>335.68</v>
          </cell>
          <cell r="BG217">
            <v>31.13</v>
          </cell>
          <cell r="BH217">
            <v>128.66</v>
          </cell>
          <cell r="BI217">
            <v>315.3</v>
          </cell>
          <cell r="BJ217">
            <v>644.16</v>
          </cell>
          <cell r="BK217">
            <v>447.91</v>
          </cell>
          <cell r="BL217">
            <v>0</v>
          </cell>
          <cell r="BM217">
            <v>28.18</v>
          </cell>
          <cell r="BN217">
            <v>14.05</v>
          </cell>
          <cell r="BO217">
            <v>0</v>
          </cell>
          <cell r="BP217">
            <v>211.83</v>
          </cell>
          <cell r="BQ217">
            <v>37.380000000000003</v>
          </cell>
          <cell r="BR217">
            <v>42.5</v>
          </cell>
          <cell r="BS217">
            <v>66.7</v>
          </cell>
          <cell r="BT217">
            <v>204.72</v>
          </cell>
          <cell r="BU217">
            <v>155.31</v>
          </cell>
          <cell r="BV217">
            <v>43.68</v>
          </cell>
          <cell r="BW217">
            <v>81.47</v>
          </cell>
          <cell r="BX217">
            <v>0</v>
          </cell>
          <cell r="BY217">
            <v>439.01</v>
          </cell>
          <cell r="BZ217">
            <v>111.06</v>
          </cell>
          <cell r="CA217">
            <v>154.46</v>
          </cell>
          <cell r="CB217">
            <v>135.66</v>
          </cell>
          <cell r="CC217">
            <v>157.19999999999999</v>
          </cell>
          <cell r="CD217">
            <v>18.48</v>
          </cell>
          <cell r="CE217">
            <v>29.21</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-120415.27</v>
          </cell>
          <cell r="DC217">
            <v>0</v>
          </cell>
          <cell r="DD217">
            <v>0</v>
          </cell>
          <cell r="DE217">
            <v>0</v>
          </cell>
          <cell r="DF217">
            <v>0</v>
          </cell>
          <cell r="DG217">
            <v>0</v>
          </cell>
        </row>
        <row r="218">
          <cell r="A218">
            <v>6400050</v>
          </cell>
          <cell r="B218">
            <v>6400050</v>
          </cell>
          <cell r="C218" t="str">
            <v>M&amp;S Lubricants</v>
          </cell>
          <cell r="D218">
            <v>0</v>
          </cell>
          <cell r="E218">
            <v>5982.5</v>
          </cell>
          <cell r="F218">
            <v>19727.59</v>
          </cell>
          <cell r="G218">
            <v>3635.69</v>
          </cell>
          <cell r="H218">
            <v>357.38</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42.78</v>
          </cell>
          <cell r="AA218">
            <v>0</v>
          </cell>
          <cell r="AB218">
            <v>0</v>
          </cell>
          <cell r="AC218">
            <v>0</v>
          </cell>
          <cell r="AD218">
            <v>0</v>
          </cell>
          <cell r="AE218">
            <v>0</v>
          </cell>
          <cell r="AF218">
            <v>0</v>
          </cell>
          <cell r="AG218">
            <v>0</v>
          </cell>
          <cell r="AH218">
            <v>0</v>
          </cell>
          <cell r="AI218">
            <v>0</v>
          </cell>
          <cell r="AJ218">
            <v>0</v>
          </cell>
          <cell r="AK218">
            <v>0</v>
          </cell>
          <cell r="AL218">
            <v>-35.950000000000003</v>
          </cell>
          <cell r="AM218">
            <v>0</v>
          </cell>
          <cell r="AN218">
            <v>0</v>
          </cell>
          <cell r="AO218">
            <v>0</v>
          </cell>
          <cell r="AP218">
            <v>0</v>
          </cell>
          <cell r="AQ218">
            <v>0</v>
          </cell>
          <cell r="AR218">
            <v>-28.19</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cell r="BJ218"/>
          <cell r="BK218"/>
          <cell r="BL218"/>
          <cell r="BM218"/>
          <cell r="BN218"/>
          <cell r="BO218"/>
          <cell r="BP218"/>
          <cell r="BQ218"/>
          <cell r="BR218"/>
          <cell r="BS218"/>
          <cell r="BT218"/>
          <cell r="BU218"/>
          <cell r="BV218"/>
          <cell r="BW218"/>
          <cell r="BX218"/>
          <cell r="BY218"/>
          <cell r="BZ218"/>
          <cell r="CA218">
            <v>715.59</v>
          </cell>
          <cell r="CB218">
            <v>706.59</v>
          </cell>
          <cell r="CC218">
            <v>1134.08</v>
          </cell>
          <cell r="CD218">
            <v>471.05</v>
          </cell>
          <cell r="CE218">
            <v>471.05</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row>
        <row r="219">
          <cell r="A219">
            <v>6400060</v>
          </cell>
          <cell r="B219">
            <v>6400060</v>
          </cell>
          <cell r="C219" t="str">
            <v>M&amp;S Ops Consum</v>
          </cell>
          <cell r="D219">
            <v>51516.31</v>
          </cell>
          <cell r="E219">
            <v>50210.61</v>
          </cell>
          <cell r="F219">
            <v>28421.52</v>
          </cell>
          <cell r="G219">
            <v>20697.46</v>
          </cell>
          <cell r="H219">
            <v>67028.649999999994</v>
          </cell>
          <cell r="I219">
            <v>55957.760000000002</v>
          </cell>
          <cell r="J219">
            <v>15258.55</v>
          </cell>
          <cell r="K219">
            <v>21487.22</v>
          </cell>
          <cell r="L219">
            <v>102639.87</v>
          </cell>
          <cell r="M219">
            <v>67207.08</v>
          </cell>
          <cell r="N219">
            <v>35531.599999999999</v>
          </cell>
          <cell r="O219">
            <v>72754.84</v>
          </cell>
          <cell r="P219">
            <v>25184.11</v>
          </cell>
          <cell r="Q219">
            <v>34699.97</v>
          </cell>
          <cell r="R219">
            <v>18006.73</v>
          </cell>
          <cell r="S219">
            <v>58985.06</v>
          </cell>
          <cell r="T219">
            <v>53654.68</v>
          </cell>
          <cell r="U219">
            <v>32094.37</v>
          </cell>
          <cell r="V219">
            <v>100394.81</v>
          </cell>
          <cell r="W219">
            <v>23364.97</v>
          </cell>
          <cell r="X219">
            <v>61049.1</v>
          </cell>
          <cell r="Y219">
            <v>101684.81</v>
          </cell>
          <cell r="Z219">
            <v>45797.69</v>
          </cell>
          <cell r="AA219">
            <v>88843.14</v>
          </cell>
          <cell r="AB219">
            <v>29990.21</v>
          </cell>
          <cell r="AC219">
            <v>67798.009999999995</v>
          </cell>
          <cell r="AD219">
            <v>57003.41</v>
          </cell>
          <cell r="AE219">
            <v>36139.47</v>
          </cell>
          <cell r="AF219">
            <v>65630.460000000006</v>
          </cell>
          <cell r="AG219">
            <v>56090.87</v>
          </cell>
          <cell r="AH219">
            <v>44639.37</v>
          </cell>
          <cell r="AI219">
            <v>84099.06</v>
          </cell>
          <cell r="AJ219">
            <v>40610.949999999997</v>
          </cell>
          <cell r="AK219">
            <v>52495.58</v>
          </cell>
          <cell r="AL219">
            <v>30154.77</v>
          </cell>
          <cell r="AM219">
            <v>36490.5</v>
          </cell>
          <cell r="AN219">
            <v>2797.38</v>
          </cell>
          <cell r="AO219">
            <v>6077.08</v>
          </cell>
          <cell r="AP219">
            <v>28654.78</v>
          </cell>
          <cell r="AQ219">
            <v>2257.1799999999998</v>
          </cell>
          <cell r="AR219">
            <v>2472.85</v>
          </cell>
          <cell r="AS219">
            <v>11189.43</v>
          </cell>
          <cell r="AT219">
            <v>4153.9799999999996</v>
          </cell>
          <cell r="AU219">
            <v>4168.82</v>
          </cell>
          <cell r="AV219">
            <v>4536.13</v>
          </cell>
          <cell r="AW219">
            <v>4037.46</v>
          </cell>
          <cell r="AX219">
            <v>4250.32</v>
          </cell>
          <cell r="AY219">
            <v>2575.6799999999998</v>
          </cell>
          <cell r="AZ219">
            <v>2104.8200000000002</v>
          </cell>
          <cell r="BA219">
            <v>1766.31</v>
          </cell>
          <cell r="BB219">
            <v>2325.38</v>
          </cell>
          <cell r="BC219">
            <v>4417.07</v>
          </cell>
          <cell r="BD219">
            <v>4934.4799999999996</v>
          </cell>
          <cell r="BE219">
            <v>2938.25</v>
          </cell>
          <cell r="BF219">
            <v>2152.15</v>
          </cell>
          <cell r="BG219">
            <v>2701.76</v>
          </cell>
          <cell r="BH219">
            <v>2957.12</v>
          </cell>
          <cell r="BI219">
            <v>6518</v>
          </cell>
          <cell r="BJ219">
            <v>2093.59</v>
          </cell>
          <cell r="BK219">
            <v>3031.16</v>
          </cell>
          <cell r="BL219">
            <v>11001.94</v>
          </cell>
          <cell r="BM219">
            <v>2728.13</v>
          </cell>
          <cell r="BN219">
            <v>2308.42</v>
          </cell>
          <cell r="BO219">
            <v>2430.61</v>
          </cell>
          <cell r="BP219">
            <v>2734.42</v>
          </cell>
          <cell r="BQ219">
            <v>5909.83</v>
          </cell>
          <cell r="BR219">
            <v>-522.36</v>
          </cell>
          <cell r="BS219">
            <v>2385.65</v>
          </cell>
          <cell r="BT219">
            <v>3012.31</v>
          </cell>
          <cell r="BU219">
            <v>5122.41</v>
          </cell>
          <cell r="BV219">
            <v>1211.8800000000001</v>
          </cell>
          <cell r="BW219">
            <v>4354.2299999999996</v>
          </cell>
          <cell r="BX219">
            <v>5895.93</v>
          </cell>
          <cell r="BY219">
            <v>768.59</v>
          </cell>
          <cell r="BZ219">
            <v>3076.61</v>
          </cell>
          <cell r="CA219">
            <v>2548.9699999999998</v>
          </cell>
          <cell r="CB219">
            <v>2880.33</v>
          </cell>
          <cell r="CC219">
            <v>1412.08</v>
          </cell>
          <cell r="CD219">
            <v>4518.3500000000004</v>
          </cell>
          <cell r="CE219">
            <v>6890.35</v>
          </cell>
          <cell r="CF219">
            <v>1702.31</v>
          </cell>
          <cell r="CG219">
            <v>1750.98</v>
          </cell>
          <cell r="CH219">
            <v>521.70000000000005</v>
          </cell>
          <cell r="CI219">
            <v>1679.4</v>
          </cell>
          <cell r="CJ219">
            <v>6396.43</v>
          </cell>
          <cell r="CK219">
            <v>3231.97</v>
          </cell>
          <cell r="CL219">
            <v>1048.6099999999999</v>
          </cell>
          <cell r="CM219">
            <v>2215.1999999999998</v>
          </cell>
          <cell r="CN219">
            <v>4066.47</v>
          </cell>
          <cell r="CO219">
            <v>3825.85</v>
          </cell>
          <cell r="CP219">
            <v>2242.44</v>
          </cell>
          <cell r="CQ219">
            <v>6391.32</v>
          </cell>
          <cell r="CR219">
            <v>3197.14</v>
          </cell>
          <cell r="CS219">
            <v>1942.11</v>
          </cell>
          <cell r="CT219">
            <v>2816.38</v>
          </cell>
          <cell r="CU219">
            <v>3100.44</v>
          </cell>
          <cell r="CV219">
            <v>4265.41</v>
          </cell>
          <cell r="CW219">
            <v>1394.11</v>
          </cell>
          <cell r="CX219">
            <v>-3014.55</v>
          </cell>
          <cell r="CY219">
            <v>2751.07</v>
          </cell>
          <cell r="CZ219">
            <v>2421.35</v>
          </cell>
          <cell r="DA219">
            <v>3062.64</v>
          </cell>
          <cell r="DB219">
            <v>1965.29</v>
          </cell>
          <cell r="DC219">
            <v>3364.31</v>
          </cell>
          <cell r="DD219">
            <v>2101.92</v>
          </cell>
          <cell r="DE219">
            <v>1557.95</v>
          </cell>
          <cell r="DF219">
            <v>1888.88</v>
          </cell>
          <cell r="DG219">
            <v>1430.22</v>
          </cell>
        </row>
        <row r="220">
          <cell r="A220">
            <v>6400070</v>
          </cell>
          <cell r="B220">
            <v>6400070</v>
          </cell>
          <cell r="C220" t="str">
            <v>M&amp;S Safety</v>
          </cell>
          <cell r="D220">
            <v>5079.3500000000004</v>
          </cell>
          <cell r="E220">
            <v>14155.06</v>
          </cell>
          <cell r="F220">
            <v>2316.86</v>
          </cell>
          <cell r="G220">
            <v>5412.14</v>
          </cell>
          <cell r="H220">
            <v>6259.31</v>
          </cell>
          <cell r="I220">
            <v>3929.48</v>
          </cell>
          <cell r="J220">
            <v>2823.41</v>
          </cell>
          <cell r="K220">
            <v>8236.89</v>
          </cell>
          <cell r="L220">
            <v>3411.09</v>
          </cell>
          <cell r="M220">
            <v>4925.08</v>
          </cell>
          <cell r="N220">
            <v>9135.19</v>
          </cell>
          <cell r="O220">
            <v>2378.16</v>
          </cell>
          <cell r="P220">
            <v>10665.16</v>
          </cell>
          <cell r="Q220">
            <v>2514.88</v>
          </cell>
          <cell r="R220">
            <v>2889.04</v>
          </cell>
          <cell r="S220">
            <v>1605.72</v>
          </cell>
          <cell r="T220">
            <v>3587.7</v>
          </cell>
          <cell r="U220">
            <v>8145.14</v>
          </cell>
          <cell r="V220">
            <v>2431.94</v>
          </cell>
          <cell r="W220">
            <v>379.31</v>
          </cell>
          <cell r="X220">
            <v>10438.99</v>
          </cell>
          <cell r="Y220">
            <v>10052.34</v>
          </cell>
          <cell r="Z220">
            <v>17512.27</v>
          </cell>
          <cell r="AA220">
            <v>12620.32</v>
          </cell>
          <cell r="AB220">
            <v>9369.2199999999993</v>
          </cell>
          <cell r="AC220">
            <v>13044.06</v>
          </cell>
          <cell r="AD220">
            <v>6800.26</v>
          </cell>
          <cell r="AE220">
            <v>2882.38</v>
          </cell>
          <cell r="AF220">
            <v>4228.2299999999996</v>
          </cell>
          <cell r="AG220">
            <v>6527.87</v>
          </cell>
          <cell r="AH220">
            <v>10158.75</v>
          </cell>
          <cell r="AI220">
            <v>10426.73</v>
          </cell>
          <cell r="AJ220">
            <v>7853.2</v>
          </cell>
          <cell r="AK220">
            <v>12274.71</v>
          </cell>
          <cell r="AL220">
            <v>12665.66</v>
          </cell>
          <cell r="AM220">
            <v>7675.62</v>
          </cell>
          <cell r="AN220">
            <v>3941.17</v>
          </cell>
          <cell r="AO220">
            <v>4611.17</v>
          </cell>
          <cell r="AP220">
            <v>20343.11</v>
          </cell>
          <cell r="AQ220">
            <v>5028.2</v>
          </cell>
          <cell r="AR220">
            <v>24775.15</v>
          </cell>
          <cell r="AS220">
            <v>22786.54</v>
          </cell>
          <cell r="AT220">
            <v>3224.83</v>
          </cell>
          <cell r="AU220">
            <v>4838.1400000000003</v>
          </cell>
          <cell r="AV220">
            <v>12467.73</v>
          </cell>
          <cell r="AW220">
            <v>10652.15</v>
          </cell>
          <cell r="AX220">
            <v>3250.04</v>
          </cell>
          <cell r="AY220">
            <v>19886.52</v>
          </cell>
          <cell r="AZ220">
            <v>21337.19</v>
          </cell>
          <cell r="BA220">
            <v>70232.12</v>
          </cell>
          <cell r="BB220">
            <v>5394.94</v>
          </cell>
          <cell r="BC220">
            <v>3356.5</v>
          </cell>
          <cell r="BD220">
            <v>16940.53</v>
          </cell>
          <cell r="BE220">
            <v>4316.74</v>
          </cell>
          <cell r="BF220">
            <v>6758.11</v>
          </cell>
          <cell r="BG220">
            <v>4121.03</v>
          </cell>
          <cell r="BH220">
            <v>2563.23</v>
          </cell>
          <cell r="BI220">
            <v>5299.41</v>
          </cell>
          <cell r="BJ220">
            <v>17058.8</v>
          </cell>
          <cell r="BK220">
            <v>16769.52</v>
          </cell>
          <cell r="BL220">
            <v>4486.09</v>
          </cell>
          <cell r="BM220">
            <v>11106.36</v>
          </cell>
          <cell r="BN220">
            <v>13855.78</v>
          </cell>
          <cell r="BO220">
            <v>6728.34</v>
          </cell>
          <cell r="BP220">
            <v>9187.1</v>
          </cell>
          <cell r="BQ220">
            <v>2932.87</v>
          </cell>
          <cell r="BR220">
            <v>3966.98</v>
          </cell>
          <cell r="BS220">
            <v>5712.92</v>
          </cell>
          <cell r="BT220">
            <v>10553.84</v>
          </cell>
          <cell r="BU220">
            <v>22310.84</v>
          </cell>
          <cell r="BV220">
            <v>764.59</v>
          </cell>
          <cell r="BW220">
            <v>12667.24</v>
          </cell>
          <cell r="BX220">
            <v>18356.02</v>
          </cell>
          <cell r="BY220">
            <v>13929.51</v>
          </cell>
          <cell r="BZ220">
            <v>6289.38</v>
          </cell>
          <cell r="CA220">
            <v>7939.36</v>
          </cell>
          <cell r="CB220">
            <v>80183.94</v>
          </cell>
          <cell r="CC220">
            <v>85886.18</v>
          </cell>
          <cell r="CD220">
            <v>9066.68</v>
          </cell>
          <cell r="CE220">
            <v>4779.26</v>
          </cell>
          <cell r="CF220">
            <v>5708.16</v>
          </cell>
          <cell r="CG220">
            <v>11160.78</v>
          </cell>
          <cell r="CH220">
            <v>8781.0300000000007</v>
          </cell>
          <cell r="CI220">
            <v>4235.91</v>
          </cell>
          <cell r="CJ220">
            <v>5983.46</v>
          </cell>
          <cell r="CK220">
            <v>20117.11</v>
          </cell>
          <cell r="CL220">
            <v>4552.57</v>
          </cell>
          <cell r="CM220">
            <v>31633.7</v>
          </cell>
          <cell r="CN220">
            <v>20291.13</v>
          </cell>
          <cell r="CO220">
            <v>5820.95</v>
          </cell>
          <cell r="CP220">
            <v>4516.37</v>
          </cell>
          <cell r="CQ220">
            <v>2019.85</v>
          </cell>
          <cell r="CR220">
            <v>6353.46</v>
          </cell>
          <cell r="CS220">
            <v>8894.76</v>
          </cell>
          <cell r="CT220">
            <v>227058.51</v>
          </cell>
          <cell r="CU220">
            <v>21430.35</v>
          </cell>
          <cell r="CV220">
            <v>11645.38</v>
          </cell>
          <cell r="CW220">
            <v>14712.72</v>
          </cell>
          <cell r="CX220">
            <v>15840.8</v>
          </cell>
          <cell r="CY220">
            <v>6782.9</v>
          </cell>
          <cell r="CZ220">
            <v>21342.639999999999</v>
          </cell>
          <cell r="DA220">
            <v>7850.54</v>
          </cell>
          <cell r="DB220">
            <v>15738.5</v>
          </cell>
          <cell r="DC220">
            <v>7797.03</v>
          </cell>
          <cell r="DD220">
            <v>2221.7800000000002</v>
          </cell>
          <cell r="DE220">
            <v>7444.85</v>
          </cell>
          <cell r="DF220">
            <v>10421.299999999999</v>
          </cell>
          <cell r="DG220">
            <v>116023.16</v>
          </cell>
        </row>
        <row r="221">
          <cell r="A221">
            <v>6400080</v>
          </cell>
          <cell r="B221">
            <v>6400080</v>
          </cell>
          <cell r="C221" t="str">
            <v>M&amp;S Vehicle Fuel</v>
          </cell>
          <cell r="D221">
            <v>22751.82</v>
          </cell>
          <cell r="E221">
            <v>24321.91</v>
          </cell>
          <cell r="F221">
            <v>35729.620000000003</v>
          </cell>
          <cell r="G221">
            <v>20301.310000000001</v>
          </cell>
          <cell r="H221">
            <v>588.9</v>
          </cell>
          <cell r="I221">
            <v>6639.82</v>
          </cell>
          <cell r="J221">
            <v>3576.89</v>
          </cell>
          <cell r="K221">
            <v>25448.18</v>
          </cell>
          <cell r="L221">
            <v>31390.14</v>
          </cell>
          <cell r="M221">
            <v>18962.95</v>
          </cell>
          <cell r="N221">
            <v>17207.39</v>
          </cell>
          <cell r="O221">
            <v>13948.32</v>
          </cell>
          <cell r="P221">
            <v>11696.42</v>
          </cell>
          <cell r="Q221">
            <v>10989</v>
          </cell>
          <cell r="R221">
            <v>10652.99</v>
          </cell>
          <cell r="S221">
            <v>12982.01</v>
          </cell>
          <cell r="T221">
            <v>14079.39</v>
          </cell>
          <cell r="U221">
            <v>17919.349999999999</v>
          </cell>
          <cell r="V221">
            <v>14370.34</v>
          </cell>
          <cell r="W221">
            <v>11217.3</v>
          </cell>
          <cell r="X221">
            <v>12292.5</v>
          </cell>
          <cell r="Y221">
            <v>260.57</v>
          </cell>
          <cell r="Z221">
            <v>1368.87</v>
          </cell>
          <cell r="AA221">
            <v>1550.5</v>
          </cell>
          <cell r="AB221">
            <v>948</v>
          </cell>
          <cell r="AC221">
            <v>1826.91</v>
          </cell>
          <cell r="AD221">
            <v>979.98</v>
          </cell>
          <cell r="AE221">
            <v>1539.65</v>
          </cell>
          <cell r="AF221">
            <v>773.05</v>
          </cell>
          <cell r="AG221">
            <v>1944</v>
          </cell>
          <cell r="AH221">
            <v>2185.12</v>
          </cell>
          <cell r="AI221">
            <v>2430.5100000000002</v>
          </cell>
          <cell r="AJ221">
            <v>999.89</v>
          </cell>
          <cell r="AK221">
            <v>1023.39</v>
          </cell>
          <cell r="AL221">
            <v>1229.6500000000001</v>
          </cell>
          <cell r="AM221">
            <v>1617.21</v>
          </cell>
          <cell r="AN221">
            <v>553</v>
          </cell>
          <cell r="AO221">
            <v>1136</v>
          </cell>
          <cell r="AP221">
            <v>992.79</v>
          </cell>
          <cell r="AQ221">
            <v>510.79</v>
          </cell>
          <cell r="AR221">
            <v>3539.88</v>
          </cell>
          <cell r="AS221">
            <v>1257.24</v>
          </cell>
          <cell r="AT221">
            <v>430.69</v>
          </cell>
          <cell r="AU221">
            <v>600.4</v>
          </cell>
          <cell r="AV221">
            <v>884.27</v>
          </cell>
          <cell r="AW221">
            <v>4299.07</v>
          </cell>
          <cell r="AX221">
            <v>1604.05</v>
          </cell>
          <cell r="AY221">
            <v>9831.17</v>
          </cell>
          <cell r="AZ221">
            <v>442</v>
          </cell>
          <cell r="BA221">
            <v>1122.04</v>
          </cell>
          <cell r="BB221">
            <v>839.13</v>
          </cell>
          <cell r="BC221">
            <v>1685.08</v>
          </cell>
          <cell r="BD221">
            <v>1299.03</v>
          </cell>
          <cell r="BE221">
            <v>6505.62</v>
          </cell>
          <cell r="BF221">
            <v>1273.8900000000001</v>
          </cell>
          <cell r="BG221">
            <v>-3696.17</v>
          </cell>
          <cell r="BH221">
            <v>1190.23</v>
          </cell>
          <cell r="BI221">
            <v>5402.82</v>
          </cell>
          <cell r="BJ221">
            <v>2810.76</v>
          </cell>
          <cell r="BK221">
            <v>43405.08</v>
          </cell>
          <cell r="BL221">
            <v>5800.3</v>
          </cell>
          <cell r="BM221">
            <v>1640.11</v>
          </cell>
          <cell r="BN221">
            <v>1912.48</v>
          </cell>
          <cell r="BO221">
            <v>1761.07</v>
          </cell>
          <cell r="BP221">
            <v>1343.8</v>
          </cell>
          <cell r="BQ221">
            <v>2153.89</v>
          </cell>
          <cell r="BR221">
            <v>7251.48</v>
          </cell>
          <cell r="BS221">
            <v>2732.99</v>
          </cell>
          <cell r="BT221">
            <v>2097.9699999999998</v>
          </cell>
          <cell r="BU221">
            <v>2020.46</v>
          </cell>
          <cell r="BV221">
            <v>693.45</v>
          </cell>
          <cell r="BW221">
            <v>1715.61</v>
          </cell>
          <cell r="BX221">
            <v>99</v>
          </cell>
          <cell r="BY221">
            <v>1033.54</v>
          </cell>
          <cell r="BZ221">
            <v>506.61</v>
          </cell>
          <cell r="CA221">
            <v>566.91999999999996</v>
          </cell>
          <cell r="CB221">
            <v>1585</v>
          </cell>
          <cell r="CC221">
            <v>2426.0100000000002</v>
          </cell>
          <cell r="CD221">
            <v>3422.23</v>
          </cell>
          <cell r="CE221">
            <v>6034.97</v>
          </cell>
          <cell r="CF221">
            <v>772.62</v>
          </cell>
          <cell r="CG221">
            <v>615.97</v>
          </cell>
          <cell r="CH221">
            <v>1170.71</v>
          </cell>
          <cell r="CI221">
            <v>1060.3699999999999</v>
          </cell>
          <cell r="CJ221">
            <v>81.790000000000006</v>
          </cell>
          <cell r="CK221">
            <v>816.27</v>
          </cell>
          <cell r="CL221">
            <v>1366.54</v>
          </cell>
          <cell r="CM221">
            <v>1157.18</v>
          </cell>
          <cell r="CN221">
            <v>4505.79</v>
          </cell>
          <cell r="CO221">
            <v>4118.76</v>
          </cell>
          <cell r="CP221">
            <v>2788.33</v>
          </cell>
          <cell r="CQ221">
            <v>5531.82</v>
          </cell>
          <cell r="CR221">
            <v>1270.1500000000001</v>
          </cell>
          <cell r="CS221">
            <v>1414.54</v>
          </cell>
          <cell r="CT221">
            <v>1844.6</v>
          </cell>
          <cell r="CU221">
            <v>5368.04</v>
          </cell>
          <cell r="CV221">
            <v>1971.52</v>
          </cell>
          <cell r="CW221">
            <v>1176.24</v>
          </cell>
          <cell r="CX221">
            <v>1169.55</v>
          </cell>
          <cell r="CY221">
            <v>1264.45</v>
          </cell>
          <cell r="CZ221">
            <v>2163.46</v>
          </cell>
          <cell r="DA221">
            <v>6022.67</v>
          </cell>
          <cell r="DB221">
            <v>6088.37</v>
          </cell>
          <cell r="DC221">
            <v>2550.16</v>
          </cell>
          <cell r="DD221">
            <v>3257.7</v>
          </cell>
          <cell r="DE221">
            <v>1495.76</v>
          </cell>
          <cell r="DF221">
            <v>2819.87</v>
          </cell>
          <cell r="DG221">
            <v>2566.54</v>
          </cell>
        </row>
        <row r="222">
          <cell r="A222">
            <v>6400100</v>
          </cell>
          <cell r="B222">
            <v>6400100</v>
          </cell>
          <cell r="C222" t="str">
            <v>M&amp;S OS Purchases</v>
          </cell>
          <cell r="D222">
            <v>642228.73</v>
          </cell>
          <cell r="E222">
            <v>323335.33</v>
          </cell>
          <cell r="F222">
            <v>493114.24</v>
          </cell>
          <cell r="G222">
            <v>723222.93</v>
          </cell>
          <cell r="H222">
            <v>772048.62</v>
          </cell>
          <cell r="I222">
            <v>631826.17000000004</v>
          </cell>
          <cell r="J222">
            <v>1444557.23</v>
          </cell>
          <cell r="K222">
            <v>669659.49</v>
          </cell>
          <cell r="L222">
            <v>598351.24</v>
          </cell>
          <cell r="M222">
            <v>1330511.17</v>
          </cell>
          <cell r="N222">
            <v>860466.05</v>
          </cell>
          <cell r="O222">
            <v>1659423.58</v>
          </cell>
          <cell r="P222">
            <v>638872.13</v>
          </cell>
          <cell r="Q222">
            <v>472564.45</v>
          </cell>
          <cell r="R222">
            <v>1179066.83</v>
          </cell>
          <cell r="S222">
            <v>848353.11</v>
          </cell>
          <cell r="T222">
            <v>1672124.57</v>
          </cell>
          <cell r="U222">
            <v>1124284.6200000001</v>
          </cell>
          <cell r="V222">
            <v>1146352.55</v>
          </cell>
          <cell r="W222">
            <v>660463.18999999994</v>
          </cell>
          <cell r="X222">
            <v>1045720.19</v>
          </cell>
          <cell r="Y222">
            <v>1288356.43</v>
          </cell>
          <cell r="Z222">
            <v>1980547.07</v>
          </cell>
          <cell r="AA222">
            <v>3103931.57</v>
          </cell>
          <cell r="AB222">
            <v>330056.65999999997</v>
          </cell>
          <cell r="AC222">
            <v>995195.71</v>
          </cell>
          <cell r="AD222">
            <v>1526984.74</v>
          </cell>
          <cell r="AE222">
            <v>976204.11</v>
          </cell>
          <cell r="AF222">
            <v>994575.7</v>
          </cell>
          <cell r="AG222">
            <v>2054497.62</v>
          </cell>
          <cell r="AH222">
            <v>1035393.03</v>
          </cell>
          <cell r="AI222">
            <v>1616548.84</v>
          </cell>
          <cell r="AJ222">
            <v>1423807.71</v>
          </cell>
          <cell r="AK222">
            <v>1427223.63</v>
          </cell>
          <cell r="AL222">
            <v>1425455.25</v>
          </cell>
          <cell r="AM222">
            <v>2636591.65</v>
          </cell>
          <cell r="AN222">
            <v>865147.74</v>
          </cell>
          <cell r="AO222">
            <v>1182371.43</v>
          </cell>
          <cell r="AP222">
            <v>1375667.61</v>
          </cell>
          <cell r="AQ222">
            <v>833520.78</v>
          </cell>
          <cell r="AR222">
            <v>2116793.85</v>
          </cell>
          <cell r="AS222">
            <v>1662189.4</v>
          </cell>
          <cell r="AT222">
            <v>1856104.62</v>
          </cell>
          <cell r="AU222">
            <v>2020065.54</v>
          </cell>
          <cell r="AV222">
            <v>2186907.9900000002</v>
          </cell>
          <cell r="AW222">
            <v>1580372.81</v>
          </cell>
          <cell r="AX222">
            <v>1413647.46</v>
          </cell>
          <cell r="AY222">
            <v>2057608.6</v>
          </cell>
          <cell r="AZ222">
            <v>920006.98</v>
          </cell>
          <cell r="BA222">
            <v>781255.42</v>
          </cell>
          <cell r="BB222">
            <v>2211066.85</v>
          </cell>
          <cell r="BC222">
            <v>1184531.42</v>
          </cell>
          <cell r="BD222">
            <v>2851367.79</v>
          </cell>
          <cell r="BE222">
            <v>1649932.65</v>
          </cell>
          <cell r="BF222">
            <v>1350621.55</v>
          </cell>
          <cell r="BG222">
            <v>2237110.2400000002</v>
          </cell>
          <cell r="BH222">
            <v>3720138.28</v>
          </cell>
          <cell r="BI222">
            <v>1431995.37</v>
          </cell>
          <cell r="BJ222">
            <v>2501664.0699999998</v>
          </cell>
          <cell r="BK222">
            <v>2109160.98</v>
          </cell>
          <cell r="BL222">
            <v>1467964.73</v>
          </cell>
          <cell r="BM222">
            <v>1586384.62</v>
          </cell>
          <cell r="BN222">
            <v>3059123.49</v>
          </cell>
          <cell r="BO222">
            <v>1741223.19</v>
          </cell>
          <cell r="BP222">
            <v>2214510.33</v>
          </cell>
          <cell r="BQ222">
            <v>2565375.2200000002</v>
          </cell>
          <cell r="BR222">
            <v>2988280.27</v>
          </cell>
          <cell r="BS222">
            <v>2082331.87</v>
          </cell>
          <cell r="BT222">
            <v>1555801.95</v>
          </cell>
          <cell r="BU222">
            <v>2951148.72</v>
          </cell>
          <cell r="BV222">
            <v>1554136.29</v>
          </cell>
          <cell r="BW222">
            <v>2826343.14</v>
          </cell>
          <cell r="BX222">
            <v>3154882.96</v>
          </cell>
          <cell r="BY222">
            <v>1715611.21</v>
          </cell>
          <cell r="BZ222">
            <v>2116557.56</v>
          </cell>
          <cell r="CA222">
            <v>2946194.02</v>
          </cell>
          <cell r="CB222">
            <v>3471987.55</v>
          </cell>
          <cell r="CC222">
            <v>2151193.23</v>
          </cell>
          <cell r="CD222">
            <v>2714482.81</v>
          </cell>
          <cell r="CE222">
            <v>6576755.04</v>
          </cell>
          <cell r="CF222">
            <v>5043303.8899999997</v>
          </cell>
          <cell r="CG222">
            <v>3819233.41</v>
          </cell>
          <cell r="CH222">
            <v>4289050.97</v>
          </cell>
          <cell r="CI222">
            <v>4358261.0599999996</v>
          </cell>
          <cell r="CJ222">
            <v>2915113.16</v>
          </cell>
          <cell r="CK222">
            <v>1317847.68</v>
          </cell>
          <cell r="CL222">
            <v>2039596.36</v>
          </cell>
          <cell r="CM222">
            <v>2760289.77</v>
          </cell>
          <cell r="CN222">
            <v>2356080.7999999998</v>
          </cell>
          <cell r="CO222">
            <v>3854071.3</v>
          </cell>
          <cell r="CP222">
            <v>9825471.8300000001</v>
          </cell>
          <cell r="CQ222">
            <v>4032012.51</v>
          </cell>
          <cell r="CR222">
            <v>3228118.89</v>
          </cell>
          <cell r="CS222">
            <v>3721083.84</v>
          </cell>
          <cell r="CT222">
            <v>2996582.74</v>
          </cell>
          <cell r="CU222">
            <v>4080500.26</v>
          </cell>
          <cell r="CV222">
            <v>3026506.21</v>
          </cell>
          <cell r="CW222">
            <v>3204363.94</v>
          </cell>
          <cell r="CX222">
            <v>5500315.9800000004</v>
          </cell>
          <cell r="CY222">
            <v>3074265.21</v>
          </cell>
          <cell r="CZ222">
            <v>2944454.17</v>
          </cell>
          <cell r="DA222">
            <v>3882748.68</v>
          </cell>
          <cell r="DB222">
            <v>3358067.2</v>
          </cell>
          <cell r="DC222">
            <v>4346077.29</v>
          </cell>
          <cell r="DD222">
            <v>5800052.3200000003</v>
          </cell>
          <cell r="DE222">
            <v>3372911.6</v>
          </cell>
          <cell r="DF222">
            <v>2519871.94</v>
          </cell>
          <cell r="DG222">
            <v>5886892.3200000003</v>
          </cell>
        </row>
        <row r="223">
          <cell r="A223">
            <v>6400500</v>
          </cell>
          <cell r="B223">
            <v>6400500</v>
          </cell>
          <cell r="C223" t="str">
            <v>M&amp;S Parts</v>
          </cell>
          <cell r="D223">
            <v>114911.83</v>
          </cell>
          <cell r="E223">
            <v>181984.01</v>
          </cell>
          <cell r="F223">
            <v>105354.58</v>
          </cell>
          <cell r="G223">
            <v>174628.67</v>
          </cell>
          <cell r="H223">
            <v>86705.13</v>
          </cell>
          <cell r="I223">
            <v>102941.39</v>
          </cell>
          <cell r="J223">
            <v>104147.84</v>
          </cell>
          <cell r="K223">
            <v>76320.990000000005</v>
          </cell>
          <cell r="L223">
            <v>55573.24</v>
          </cell>
          <cell r="M223">
            <v>101729.55</v>
          </cell>
          <cell r="N223">
            <v>37375.040000000001</v>
          </cell>
          <cell r="O223">
            <v>59534.1</v>
          </cell>
          <cell r="P223">
            <v>38075.769999999997</v>
          </cell>
          <cell r="Q223">
            <v>19002.349999999999</v>
          </cell>
          <cell r="R223">
            <v>37511.370000000003</v>
          </cell>
          <cell r="S223">
            <v>57307.92</v>
          </cell>
          <cell r="T223">
            <v>24837.63</v>
          </cell>
          <cell r="U223">
            <v>54980.77</v>
          </cell>
          <cell r="V223">
            <v>18599.740000000002</v>
          </cell>
          <cell r="W223">
            <v>19114.73</v>
          </cell>
          <cell r="X223">
            <v>78027.509999999995</v>
          </cell>
          <cell r="Y223">
            <v>100304.99</v>
          </cell>
          <cell r="Z223">
            <v>33893.53</v>
          </cell>
          <cell r="AA223">
            <v>109563.97</v>
          </cell>
          <cell r="AB223">
            <v>20659.12</v>
          </cell>
          <cell r="AC223">
            <v>83940.75</v>
          </cell>
          <cell r="AD223">
            <v>49621.73</v>
          </cell>
          <cell r="AE223">
            <v>25039.45</v>
          </cell>
          <cell r="AF223">
            <v>37631.440000000002</v>
          </cell>
          <cell r="AG223">
            <v>30874.59</v>
          </cell>
          <cell r="AH223">
            <v>18214.27</v>
          </cell>
          <cell r="AI223">
            <v>55886.78</v>
          </cell>
          <cell r="AJ223">
            <v>30707.72</v>
          </cell>
          <cell r="AK223">
            <v>24696.02</v>
          </cell>
          <cell r="AL223">
            <v>28882.46</v>
          </cell>
          <cell r="AM223">
            <v>39143.919999999998</v>
          </cell>
          <cell r="AN223">
            <v>6969.53</v>
          </cell>
          <cell r="AO223">
            <v>29418.32</v>
          </cell>
          <cell r="AP223">
            <v>31609.09</v>
          </cell>
          <cell r="AQ223">
            <v>12916.81</v>
          </cell>
          <cell r="AR223">
            <v>9367.1</v>
          </cell>
          <cell r="AS223">
            <v>12669.52</v>
          </cell>
          <cell r="AT223">
            <v>14661.99</v>
          </cell>
          <cell r="AU223">
            <v>16667.29</v>
          </cell>
          <cell r="AV223">
            <v>20691.02</v>
          </cell>
          <cell r="AW223">
            <v>18379.82</v>
          </cell>
          <cell r="AX223">
            <v>13196.68</v>
          </cell>
          <cell r="AY223">
            <v>32096.86</v>
          </cell>
          <cell r="AZ223">
            <v>3136.9</v>
          </cell>
          <cell r="BA223">
            <v>9472.94</v>
          </cell>
          <cell r="BB223">
            <v>5438.58</v>
          </cell>
          <cell r="BC223">
            <v>34642.43</v>
          </cell>
          <cell r="BD223">
            <v>11199.16</v>
          </cell>
          <cell r="BE223">
            <v>4050.69</v>
          </cell>
          <cell r="BF223">
            <v>145382.15</v>
          </cell>
          <cell r="BG223">
            <v>5138.05</v>
          </cell>
          <cell r="BH223">
            <v>19763.82</v>
          </cell>
          <cell r="BI223">
            <v>28534.98</v>
          </cell>
          <cell r="BJ223">
            <v>43735.86</v>
          </cell>
          <cell r="BK223">
            <v>37352.54</v>
          </cell>
          <cell r="BL223">
            <v>16384.810000000001</v>
          </cell>
          <cell r="BM223">
            <v>24967.72</v>
          </cell>
          <cell r="BN223">
            <v>13092.22</v>
          </cell>
          <cell r="BO223">
            <v>22414.18</v>
          </cell>
          <cell r="BP223">
            <v>18910.849999999999</v>
          </cell>
          <cell r="BQ223">
            <v>16391.43</v>
          </cell>
          <cell r="BR223">
            <v>28066.35</v>
          </cell>
          <cell r="BS223">
            <v>40906.07</v>
          </cell>
          <cell r="BT223">
            <v>12420.74</v>
          </cell>
          <cell r="BU223">
            <v>47834.74</v>
          </cell>
          <cell r="BV223">
            <v>11085.84</v>
          </cell>
          <cell r="BW223">
            <v>39367.449999999997</v>
          </cell>
          <cell r="BX223">
            <v>5416.97</v>
          </cell>
          <cell r="BY223">
            <v>40470.03</v>
          </cell>
          <cell r="BZ223">
            <v>28892.47</v>
          </cell>
          <cell r="CA223">
            <v>5309.17</v>
          </cell>
          <cell r="CB223">
            <v>8510.2800000000007</v>
          </cell>
          <cell r="CC223">
            <v>2179.5500000000002</v>
          </cell>
          <cell r="CD223">
            <v>82158.75</v>
          </cell>
          <cell r="CE223">
            <v>55830.98</v>
          </cell>
          <cell r="CF223">
            <v>18428.349999999999</v>
          </cell>
          <cell r="CG223">
            <v>26467.11</v>
          </cell>
          <cell r="CH223">
            <v>28809.68</v>
          </cell>
          <cell r="CI223">
            <v>33146.589999999997</v>
          </cell>
          <cell r="CJ223">
            <v>8970.7099999999991</v>
          </cell>
          <cell r="CK223">
            <v>17865.509999999998</v>
          </cell>
          <cell r="CL223">
            <v>37036.04</v>
          </cell>
          <cell r="CM223">
            <v>1806.68</v>
          </cell>
          <cell r="CN223">
            <v>11541.38</v>
          </cell>
          <cell r="CO223">
            <v>14895.86</v>
          </cell>
          <cell r="CP223">
            <v>37411</v>
          </cell>
          <cell r="CQ223">
            <v>3455.63</v>
          </cell>
          <cell r="CR223">
            <v>3907.54</v>
          </cell>
          <cell r="CS223">
            <v>7041.16</v>
          </cell>
          <cell r="CT223">
            <v>6053.83</v>
          </cell>
          <cell r="CU223">
            <v>9978.2000000000007</v>
          </cell>
          <cell r="CV223">
            <v>642.9</v>
          </cell>
          <cell r="CW223">
            <v>11045.33</v>
          </cell>
          <cell r="CX223">
            <v>7054.12</v>
          </cell>
          <cell r="CY223">
            <v>5179.2</v>
          </cell>
          <cell r="CZ223">
            <v>11840.77</v>
          </cell>
          <cell r="DA223">
            <v>3934.31</v>
          </cell>
          <cell r="DB223">
            <v>3625.98</v>
          </cell>
          <cell r="DC223">
            <v>4364.5600000000004</v>
          </cell>
          <cell r="DD223">
            <v>5960.52</v>
          </cell>
          <cell r="DE223">
            <v>10058.780000000001</v>
          </cell>
          <cell r="DF223">
            <v>4766.29</v>
          </cell>
          <cell r="DG223">
            <v>3373.96</v>
          </cell>
        </row>
        <row r="224">
          <cell r="A224">
            <v>6400505</v>
          </cell>
          <cell r="B224">
            <v>6400505</v>
          </cell>
          <cell r="C224" t="str">
            <v>M&amp;S Part Repairs</v>
          </cell>
          <cell r="D224"/>
          <cell r="E224"/>
          <cell r="F224"/>
          <cell r="G224"/>
          <cell r="H224"/>
          <cell r="I224"/>
          <cell r="J224"/>
          <cell r="K224"/>
          <cell r="L224"/>
          <cell r="M224"/>
          <cell r="N224"/>
          <cell r="O224"/>
          <cell r="P224"/>
          <cell r="Q224"/>
          <cell r="R224"/>
          <cell r="S224"/>
          <cell r="T224"/>
          <cell r="U224"/>
          <cell r="V224"/>
          <cell r="W224"/>
          <cell r="X224"/>
          <cell r="Y224"/>
          <cell r="Z224"/>
          <cell r="AA224"/>
          <cell r="AB224"/>
          <cell r="AC224"/>
          <cell r="AD224"/>
          <cell r="AE224">
            <v>0</v>
          </cell>
          <cell r="AF224">
            <v>136.91999999999999</v>
          </cell>
          <cell r="AG224">
            <v>0</v>
          </cell>
          <cell r="AH224">
            <v>24.59</v>
          </cell>
          <cell r="AI224">
            <v>733.73</v>
          </cell>
          <cell r="AJ224">
            <v>146.04</v>
          </cell>
          <cell r="AK224">
            <v>48.15</v>
          </cell>
          <cell r="AL224">
            <v>44.35</v>
          </cell>
          <cell r="AM224">
            <v>219.99</v>
          </cell>
          <cell r="AN224">
            <v>0</v>
          </cell>
          <cell r="AO224">
            <v>2106.1999999999998</v>
          </cell>
          <cell r="AP224">
            <v>145.91999999999999</v>
          </cell>
          <cell r="AQ224">
            <v>0</v>
          </cell>
          <cell r="AR224">
            <v>0</v>
          </cell>
          <cell r="AS224">
            <v>0</v>
          </cell>
          <cell r="AT224">
            <v>75.61</v>
          </cell>
          <cell r="AU224">
            <v>0</v>
          </cell>
          <cell r="AV224">
            <v>566.84</v>
          </cell>
          <cell r="AW224">
            <v>0</v>
          </cell>
          <cell r="AX224">
            <v>0</v>
          </cell>
          <cell r="AY224">
            <v>0</v>
          </cell>
          <cell r="AZ224">
            <v>0</v>
          </cell>
          <cell r="BA224">
            <v>0</v>
          </cell>
          <cell r="BB224">
            <v>0</v>
          </cell>
          <cell r="BC224">
            <v>464.43</v>
          </cell>
          <cell r="BD224">
            <v>57.66</v>
          </cell>
          <cell r="BE224">
            <v>473.18</v>
          </cell>
          <cell r="BF224">
            <v>0</v>
          </cell>
          <cell r="BG224">
            <v>768.22</v>
          </cell>
          <cell r="BH224">
            <v>0</v>
          </cell>
          <cell r="BI224">
            <v>269.33999999999997</v>
          </cell>
          <cell r="BJ224">
            <v>0</v>
          </cell>
          <cell r="BK224">
            <v>359.43</v>
          </cell>
          <cell r="BL224">
            <v>0</v>
          </cell>
          <cell r="BM224">
            <v>119.63</v>
          </cell>
          <cell r="BN224">
            <v>17.079999999999998</v>
          </cell>
          <cell r="BO224">
            <v>48.15</v>
          </cell>
          <cell r="BP224">
            <v>0</v>
          </cell>
          <cell r="BQ224">
            <v>0</v>
          </cell>
          <cell r="BR224">
            <v>145.24</v>
          </cell>
          <cell r="BS224">
            <v>9.5399999999999991</v>
          </cell>
          <cell r="BT224">
            <v>50.11</v>
          </cell>
          <cell r="BU224">
            <v>235.46</v>
          </cell>
          <cell r="BV224">
            <v>224.8</v>
          </cell>
          <cell r="BW224">
            <v>104.28</v>
          </cell>
          <cell r="BX224">
            <v>0</v>
          </cell>
          <cell r="BY224">
            <v>721.64</v>
          </cell>
          <cell r="BZ224">
            <v>1779.87</v>
          </cell>
          <cell r="CA224">
            <v>112.77</v>
          </cell>
          <cell r="CB224">
            <v>4.79</v>
          </cell>
          <cell r="CC224">
            <v>10.67</v>
          </cell>
          <cell r="CD224">
            <v>161.56</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1622.38</v>
          </cell>
          <cell r="DG224">
            <v>0</v>
          </cell>
        </row>
        <row r="225">
          <cell r="A225">
            <v>6400510</v>
          </cell>
          <cell r="B225">
            <v>6400510</v>
          </cell>
          <cell r="C225" t="str">
            <v>M&amp;S Small Tools</v>
          </cell>
          <cell r="D225">
            <v>3981.7</v>
          </cell>
          <cell r="E225">
            <v>7733.5</v>
          </cell>
          <cell r="F225">
            <v>15644.96</v>
          </cell>
          <cell r="G225">
            <v>28317.68</v>
          </cell>
          <cell r="H225">
            <v>9703.16</v>
          </cell>
          <cell r="I225">
            <v>10492.62</v>
          </cell>
          <cell r="J225">
            <v>7449.85</v>
          </cell>
          <cell r="K225">
            <v>11307.68</v>
          </cell>
          <cell r="L225">
            <v>20275.59</v>
          </cell>
          <cell r="M225">
            <v>22273.91</v>
          </cell>
          <cell r="N225">
            <v>33518.46</v>
          </cell>
          <cell r="O225">
            <v>24759.360000000001</v>
          </cell>
          <cell r="P225">
            <v>5019.2700000000004</v>
          </cell>
          <cell r="Q225">
            <v>6927.76</v>
          </cell>
          <cell r="R225">
            <v>3541.29</v>
          </cell>
          <cell r="S225">
            <v>12914.75</v>
          </cell>
          <cell r="T225">
            <v>6312.45</v>
          </cell>
          <cell r="U225">
            <v>11106.31</v>
          </cell>
          <cell r="V225">
            <v>28188.92</v>
          </cell>
          <cell r="W225">
            <v>22559.599999999999</v>
          </cell>
          <cell r="X225">
            <v>7997.64</v>
          </cell>
          <cell r="Y225">
            <v>48056.29</v>
          </cell>
          <cell r="Z225">
            <v>38203.69</v>
          </cell>
          <cell r="AA225">
            <v>11609.43</v>
          </cell>
          <cell r="AB225">
            <v>2423.09</v>
          </cell>
          <cell r="AC225">
            <v>8447.7800000000007</v>
          </cell>
          <cell r="AD225">
            <v>10086.76</v>
          </cell>
          <cell r="AE225">
            <v>7694.67</v>
          </cell>
          <cell r="AF225">
            <v>40877.58</v>
          </cell>
          <cell r="AG225">
            <v>4772.0600000000004</v>
          </cell>
          <cell r="AH225">
            <v>5207.75</v>
          </cell>
          <cell r="AI225">
            <v>6549.53</v>
          </cell>
          <cell r="AJ225">
            <v>7670.58</v>
          </cell>
          <cell r="AK225">
            <v>4866.49</v>
          </cell>
          <cell r="AL225">
            <v>8505.68</v>
          </cell>
          <cell r="AM225">
            <v>39413.33</v>
          </cell>
          <cell r="AN225">
            <v>1634.6</v>
          </cell>
          <cell r="AO225">
            <v>6260.15</v>
          </cell>
          <cell r="AP225">
            <v>8642.93</v>
          </cell>
          <cell r="AQ225">
            <v>8129.78</v>
          </cell>
          <cell r="AR225">
            <v>9188.9</v>
          </cell>
          <cell r="AS225">
            <v>7479.1</v>
          </cell>
          <cell r="AT225">
            <v>5625.48</v>
          </cell>
          <cell r="AU225">
            <v>11046.4</v>
          </cell>
          <cell r="AV225">
            <v>6809.14</v>
          </cell>
          <cell r="AW225">
            <v>23730.76</v>
          </cell>
          <cell r="AX225">
            <v>5734.19</v>
          </cell>
          <cell r="AY225">
            <v>95362.42</v>
          </cell>
          <cell r="AZ225">
            <v>2624.87</v>
          </cell>
          <cell r="BA225">
            <v>6123.96</v>
          </cell>
          <cell r="BB225">
            <v>14602.43</v>
          </cell>
          <cell r="BC225">
            <v>13712.45</v>
          </cell>
          <cell r="BD225">
            <v>27541.599999999999</v>
          </cell>
          <cell r="BE225">
            <v>20492.07</v>
          </cell>
          <cell r="BF225">
            <v>152.11000000000001</v>
          </cell>
          <cell r="BG225">
            <v>6249.12</v>
          </cell>
          <cell r="BH225">
            <v>2395.0700000000002</v>
          </cell>
          <cell r="BI225">
            <v>14224.09</v>
          </cell>
          <cell r="BJ225">
            <v>12852.95</v>
          </cell>
          <cell r="BK225">
            <v>11989.6</v>
          </cell>
          <cell r="BL225">
            <v>33162.910000000003</v>
          </cell>
          <cell r="BM225">
            <v>6700.12</v>
          </cell>
          <cell r="BN225">
            <v>8288.9500000000007</v>
          </cell>
          <cell r="BO225">
            <v>1726.97</v>
          </cell>
          <cell r="BP225">
            <v>4003.59</v>
          </cell>
          <cell r="BQ225">
            <v>5119.93</v>
          </cell>
          <cell r="BR225">
            <v>35628.269999999997</v>
          </cell>
          <cell r="BS225">
            <v>6415.95</v>
          </cell>
          <cell r="BT225">
            <v>3338.01</v>
          </cell>
          <cell r="BU225">
            <v>7585.88</v>
          </cell>
          <cell r="BV225">
            <v>4741.74</v>
          </cell>
          <cell r="BW225">
            <v>11461.52</v>
          </cell>
          <cell r="BX225">
            <v>0</v>
          </cell>
          <cell r="BY225">
            <v>3613.78</v>
          </cell>
          <cell r="BZ225">
            <v>3537.6</v>
          </cell>
          <cell r="CA225">
            <v>4549.47</v>
          </cell>
          <cell r="CB225">
            <v>5251.71</v>
          </cell>
          <cell r="CC225">
            <v>3948.85</v>
          </cell>
          <cell r="CD225">
            <v>6634.23</v>
          </cell>
          <cell r="CE225">
            <v>7032.36</v>
          </cell>
          <cell r="CF225">
            <v>15501.82</v>
          </cell>
          <cell r="CG225">
            <v>8555.58</v>
          </cell>
          <cell r="CH225">
            <v>2625.07</v>
          </cell>
          <cell r="CI225">
            <v>26164.240000000002</v>
          </cell>
          <cell r="CJ225">
            <v>3350.62</v>
          </cell>
          <cell r="CK225">
            <v>4844.38</v>
          </cell>
          <cell r="CL225">
            <v>5594.89</v>
          </cell>
          <cell r="CM225">
            <v>12538.96</v>
          </cell>
          <cell r="CN225">
            <v>27996.84</v>
          </cell>
          <cell r="CO225">
            <v>5582.7</v>
          </cell>
          <cell r="CP225">
            <v>8540</v>
          </cell>
          <cell r="CQ225">
            <v>5029.2299999999996</v>
          </cell>
          <cell r="CR225">
            <v>9467.06</v>
          </cell>
          <cell r="CS225">
            <v>7302.07</v>
          </cell>
          <cell r="CT225">
            <v>7600.98</v>
          </cell>
          <cell r="CU225">
            <v>12850.87</v>
          </cell>
          <cell r="CV225">
            <v>2519.04</v>
          </cell>
          <cell r="CW225">
            <v>5836.81</v>
          </cell>
          <cell r="CX225">
            <v>6844.72</v>
          </cell>
          <cell r="CY225">
            <v>6434.36</v>
          </cell>
          <cell r="CZ225">
            <v>5787.12</v>
          </cell>
          <cell r="DA225">
            <v>7507.9</v>
          </cell>
          <cell r="DB225">
            <v>13092.13</v>
          </cell>
          <cell r="DC225">
            <v>12597.8</v>
          </cell>
          <cell r="DD225">
            <v>12344.25</v>
          </cell>
          <cell r="DE225">
            <v>15084.83</v>
          </cell>
          <cell r="DF225">
            <v>10428.91</v>
          </cell>
          <cell r="DG225">
            <v>7599.54</v>
          </cell>
        </row>
        <row r="226">
          <cell r="A226">
            <v>6400520</v>
          </cell>
          <cell r="B226">
            <v>6400520</v>
          </cell>
          <cell r="C226" t="str">
            <v>M&amp;S Obsolete Inven</v>
          </cell>
          <cell r="D226"/>
          <cell r="E226"/>
          <cell r="F226"/>
          <cell r="G226"/>
          <cell r="H226"/>
          <cell r="I226"/>
          <cell r="J226"/>
          <cell r="K226"/>
          <cell r="L226"/>
          <cell r="M226"/>
          <cell r="N226"/>
          <cell r="O226"/>
          <cell r="P226"/>
          <cell r="Q226"/>
          <cell r="R226"/>
          <cell r="S226"/>
          <cell r="T226"/>
          <cell r="U226"/>
          <cell r="V226"/>
          <cell r="W226"/>
          <cell r="X226"/>
          <cell r="Y226"/>
          <cell r="Z226"/>
          <cell r="AA226"/>
          <cell r="AB226"/>
          <cell r="AC226"/>
          <cell r="AD226"/>
          <cell r="AE226"/>
          <cell r="AF226"/>
          <cell r="AG226"/>
          <cell r="AH226"/>
          <cell r="AI226"/>
          <cell r="AJ226"/>
          <cell r="AK226">
            <v>0</v>
          </cell>
          <cell r="AL226">
            <v>15910.38</v>
          </cell>
          <cell r="AM226">
            <v>27068.04</v>
          </cell>
          <cell r="AN226">
            <v>204.9</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cell r="BJ226"/>
          <cell r="BK226"/>
          <cell r="BL226"/>
          <cell r="BM226"/>
          <cell r="BN226"/>
          <cell r="BO226"/>
          <cell r="BP226"/>
          <cell r="BQ226"/>
          <cell r="BR226"/>
          <cell r="BS226"/>
          <cell r="BT226"/>
          <cell r="BU226">
            <v>1063.53</v>
          </cell>
          <cell r="BV226">
            <v>461.13</v>
          </cell>
          <cell r="BW226">
            <v>9092.85</v>
          </cell>
          <cell r="BX226">
            <v>0</v>
          </cell>
          <cell r="BY226">
            <v>0</v>
          </cell>
          <cell r="BZ226">
            <v>0</v>
          </cell>
          <cell r="CA226">
            <v>0</v>
          </cell>
          <cell r="CB226">
            <v>0</v>
          </cell>
          <cell r="CC226">
            <v>0</v>
          </cell>
          <cell r="CD226">
            <v>0</v>
          </cell>
          <cell r="CE226">
            <v>0</v>
          </cell>
          <cell r="CF226">
            <v>0</v>
          </cell>
          <cell r="CG226"/>
          <cell r="CH226"/>
          <cell r="CI226"/>
          <cell r="CJ226"/>
          <cell r="CK226"/>
          <cell r="CL226"/>
          <cell r="CM226"/>
          <cell r="CN226"/>
          <cell r="CO226"/>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row>
        <row r="227">
          <cell r="A227">
            <v>6400521</v>
          </cell>
          <cell r="B227">
            <v>6400521</v>
          </cell>
          <cell r="C227" t="str">
            <v>M&amp;S Defect Inv Scrap</v>
          </cell>
          <cell r="D227">
            <v>0</v>
          </cell>
          <cell r="E227">
            <v>0</v>
          </cell>
          <cell r="F227">
            <v>0</v>
          </cell>
          <cell r="G227">
            <v>0</v>
          </cell>
          <cell r="H227">
            <v>0</v>
          </cell>
          <cell r="I227">
            <v>0</v>
          </cell>
          <cell r="J227">
            <v>0</v>
          </cell>
          <cell r="K227">
            <v>0</v>
          </cell>
          <cell r="L227">
            <v>1805.04</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cell r="AF227"/>
          <cell r="AG227"/>
          <cell r="AH227"/>
          <cell r="AI227"/>
          <cell r="AJ227"/>
          <cell r="AK227">
            <v>0</v>
          </cell>
          <cell r="AL227">
            <v>0</v>
          </cell>
          <cell r="AM227">
            <v>0</v>
          </cell>
          <cell r="AN227">
            <v>0</v>
          </cell>
          <cell r="AO227">
            <v>0</v>
          </cell>
          <cell r="AP227">
            <v>0</v>
          </cell>
          <cell r="AQ227">
            <v>0</v>
          </cell>
          <cell r="AR227">
            <v>0</v>
          </cell>
          <cell r="AS227">
            <v>0</v>
          </cell>
          <cell r="AT227">
            <v>0</v>
          </cell>
          <cell r="AU227">
            <v>0</v>
          </cell>
          <cell r="AV227">
            <v>0</v>
          </cell>
          <cell r="AW227"/>
          <cell r="AX227"/>
          <cell r="AY227"/>
          <cell r="AZ227"/>
          <cell r="BA227"/>
          <cell r="BB227"/>
          <cell r="BC227"/>
          <cell r="BD227"/>
          <cell r="BE227"/>
          <cell r="BF227"/>
          <cell r="BG227"/>
          <cell r="BH227"/>
          <cell r="BI227"/>
          <cell r="BJ227"/>
          <cell r="BK227"/>
          <cell r="BL227"/>
          <cell r="BM227"/>
          <cell r="BN227"/>
          <cell r="BO227"/>
          <cell r="BP227"/>
          <cell r="BQ227"/>
          <cell r="BR227"/>
          <cell r="BS227"/>
          <cell r="BT227"/>
          <cell r="BU227"/>
          <cell r="BV227"/>
          <cell r="BW227"/>
          <cell r="BX227"/>
          <cell r="BY227"/>
          <cell r="BZ227"/>
          <cell r="CA227"/>
          <cell r="CB227"/>
          <cell r="CC227"/>
          <cell r="CD227"/>
          <cell r="CE227"/>
          <cell r="CF227"/>
          <cell r="CG227"/>
          <cell r="CH227"/>
          <cell r="CI227"/>
          <cell r="CJ227"/>
          <cell r="CK227"/>
          <cell r="CL227"/>
          <cell r="CM227"/>
          <cell r="CN227"/>
          <cell r="CO227"/>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row>
        <row r="228">
          <cell r="A228">
            <v>6400530</v>
          </cell>
          <cell r="B228">
            <v>6400530</v>
          </cell>
          <cell r="C228" t="str">
            <v>M&amp;S Inven Other</v>
          </cell>
          <cell r="D228">
            <v>51.19</v>
          </cell>
          <cell r="E228">
            <v>279.48</v>
          </cell>
          <cell r="F228">
            <v>0</v>
          </cell>
          <cell r="G228">
            <v>0</v>
          </cell>
          <cell r="H228">
            <v>0</v>
          </cell>
          <cell r="I228">
            <v>0</v>
          </cell>
          <cell r="J228">
            <v>0</v>
          </cell>
          <cell r="K228">
            <v>-427.02</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cell r="AF228"/>
          <cell r="AG228"/>
          <cell r="AH228"/>
          <cell r="AI228"/>
          <cell r="AJ228"/>
          <cell r="AK228"/>
          <cell r="AL228"/>
          <cell r="AM228"/>
          <cell r="AN228"/>
          <cell r="AO228"/>
          <cell r="AP228"/>
          <cell r="AQ228"/>
          <cell r="AR228"/>
          <cell r="AS228"/>
          <cell r="AT228">
            <v>0</v>
          </cell>
          <cell r="AU228">
            <v>0</v>
          </cell>
          <cell r="AV228">
            <v>0</v>
          </cell>
          <cell r="AW228">
            <v>24320</v>
          </cell>
          <cell r="AX228">
            <v>0</v>
          </cell>
          <cell r="AY228">
            <v>0</v>
          </cell>
          <cell r="AZ228">
            <v>0</v>
          </cell>
          <cell r="BA228">
            <v>0</v>
          </cell>
          <cell r="BB228">
            <v>0</v>
          </cell>
          <cell r="BC228">
            <v>0</v>
          </cell>
          <cell r="BD228">
            <v>0</v>
          </cell>
          <cell r="BE228">
            <v>0</v>
          </cell>
          <cell r="BF228">
            <v>0</v>
          </cell>
          <cell r="BG228">
            <v>0</v>
          </cell>
          <cell r="BH228">
            <v>0</v>
          </cell>
          <cell r="BI228"/>
          <cell r="BJ228"/>
          <cell r="BK228"/>
          <cell r="BL228"/>
          <cell r="BM228"/>
          <cell r="BN228"/>
          <cell r="BO228"/>
          <cell r="BP228"/>
          <cell r="BQ228"/>
          <cell r="BR228"/>
          <cell r="BS228"/>
          <cell r="BT228"/>
          <cell r="BU228"/>
          <cell r="BV228"/>
          <cell r="BW228"/>
          <cell r="BX228"/>
          <cell r="BY228"/>
          <cell r="BZ228"/>
          <cell r="CA228"/>
          <cell r="CB228"/>
          <cell r="CC228"/>
          <cell r="CD228"/>
          <cell r="CE228"/>
          <cell r="CF228"/>
          <cell r="CG228"/>
          <cell r="CH228"/>
          <cell r="CI228"/>
          <cell r="CJ228"/>
          <cell r="CK228"/>
          <cell r="CL228"/>
          <cell r="CM228"/>
          <cell r="CN228"/>
          <cell r="CO228"/>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row>
        <row r="229">
          <cell r="A229">
            <v>6401000</v>
          </cell>
          <cell r="B229">
            <v>6401000</v>
          </cell>
          <cell r="C229" t="str">
            <v>M&amp;S Inven Issue</v>
          </cell>
          <cell r="D229">
            <v>1074317.43</v>
          </cell>
          <cell r="E229">
            <v>531247.84</v>
          </cell>
          <cell r="F229">
            <v>946982.1</v>
          </cell>
          <cell r="G229">
            <v>863954.56</v>
          </cell>
          <cell r="H229">
            <v>712465.91</v>
          </cell>
          <cell r="I229">
            <v>706040.77</v>
          </cell>
          <cell r="J229">
            <v>692789.34</v>
          </cell>
          <cell r="K229">
            <v>1088196.6599999999</v>
          </cell>
          <cell r="L229">
            <v>608513.26</v>
          </cell>
          <cell r="M229">
            <v>916387.27</v>
          </cell>
          <cell r="N229">
            <v>499554.32</v>
          </cell>
          <cell r="O229">
            <v>1166292.56</v>
          </cell>
          <cell r="P229">
            <v>418423.92</v>
          </cell>
          <cell r="Q229">
            <v>418441.1</v>
          </cell>
          <cell r="R229">
            <v>636470.1</v>
          </cell>
          <cell r="S229">
            <v>893774.41</v>
          </cell>
          <cell r="T229">
            <v>473041.27</v>
          </cell>
          <cell r="U229">
            <v>617063.36</v>
          </cell>
          <cell r="V229">
            <v>795537.05</v>
          </cell>
          <cell r="W229">
            <v>926787.25</v>
          </cell>
          <cell r="X229">
            <v>1094429.05</v>
          </cell>
          <cell r="Y229">
            <v>842892.79</v>
          </cell>
          <cell r="Z229">
            <v>1758219.46</v>
          </cell>
          <cell r="AA229">
            <v>926725.88</v>
          </cell>
          <cell r="AB229">
            <v>432900.24</v>
          </cell>
          <cell r="AC229">
            <v>1112032.33</v>
          </cell>
          <cell r="AD229">
            <v>872787.45</v>
          </cell>
          <cell r="AE229">
            <v>644333.34</v>
          </cell>
          <cell r="AF229">
            <v>758952.31</v>
          </cell>
          <cell r="AG229">
            <v>2176140.85</v>
          </cell>
          <cell r="AH229">
            <v>486211.76</v>
          </cell>
          <cell r="AI229">
            <v>768792.79</v>
          </cell>
          <cell r="AJ229">
            <v>652093.49</v>
          </cell>
          <cell r="AK229">
            <v>844289.93</v>
          </cell>
          <cell r="AL229">
            <v>956561.8</v>
          </cell>
          <cell r="AM229">
            <v>770671.37</v>
          </cell>
          <cell r="AN229">
            <v>608272.37</v>
          </cell>
          <cell r="AO229">
            <v>765679.38</v>
          </cell>
          <cell r="AP229">
            <v>948619.26</v>
          </cell>
          <cell r="AQ229">
            <v>702093.95</v>
          </cell>
          <cell r="AR229">
            <v>944913.03</v>
          </cell>
          <cell r="AS229">
            <v>623682.48</v>
          </cell>
          <cell r="AT229">
            <v>686633.1</v>
          </cell>
          <cell r="AU229">
            <v>1110021.67</v>
          </cell>
          <cell r="AV229">
            <v>460910.45</v>
          </cell>
          <cell r="AW229">
            <v>1063240.71</v>
          </cell>
          <cell r="AX229">
            <v>684883.09</v>
          </cell>
          <cell r="AY229">
            <v>1769601.82</v>
          </cell>
          <cell r="AZ229">
            <v>616877.66</v>
          </cell>
          <cell r="BA229">
            <v>796954.04</v>
          </cell>
          <cell r="BB229">
            <v>1080581.51</v>
          </cell>
          <cell r="BC229">
            <v>828860.57</v>
          </cell>
          <cell r="BD229">
            <v>806928.58</v>
          </cell>
          <cell r="BE229">
            <v>777231.61</v>
          </cell>
          <cell r="BF229">
            <v>942952.89</v>
          </cell>
          <cell r="BG229">
            <v>1300843.75</v>
          </cell>
          <cell r="BH229">
            <v>1206377.26</v>
          </cell>
          <cell r="BI229">
            <v>1589863.6</v>
          </cell>
          <cell r="BJ229">
            <v>1010800.24</v>
          </cell>
          <cell r="BK229">
            <v>1239649.8899999999</v>
          </cell>
          <cell r="BL229">
            <v>738972.02</v>
          </cell>
          <cell r="BM229">
            <v>1074480.42</v>
          </cell>
          <cell r="BN229">
            <v>977932.58</v>
          </cell>
          <cell r="BO229">
            <v>993606.24</v>
          </cell>
          <cell r="BP229">
            <v>1069150.56</v>
          </cell>
          <cell r="BQ229">
            <v>656121.44999999995</v>
          </cell>
          <cell r="BR229">
            <v>1147543.6399999999</v>
          </cell>
          <cell r="BS229">
            <v>673286.08</v>
          </cell>
          <cell r="BT229">
            <v>1134713.6599999999</v>
          </cell>
          <cell r="BU229">
            <v>1274987.78</v>
          </cell>
          <cell r="BV229">
            <v>1038740.83</v>
          </cell>
          <cell r="BW229">
            <v>5587768.0099999998</v>
          </cell>
          <cell r="BX229">
            <v>1475032.89</v>
          </cell>
          <cell r="BY229">
            <v>1416982.07</v>
          </cell>
          <cell r="BZ229">
            <v>917865.68</v>
          </cell>
          <cell r="CA229">
            <v>1766896.6</v>
          </cell>
          <cell r="CB229">
            <v>2848920.59</v>
          </cell>
          <cell r="CC229">
            <v>2776865.97</v>
          </cell>
          <cell r="CD229">
            <v>1438564.4</v>
          </cell>
          <cell r="CE229">
            <v>1869501.16</v>
          </cell>
          <cell r="CF229">
            <v>1399877.4</v>
          </cell>
          <cell r="CG229">
            <v>747968.95</v>
          </cell>
          <cell r="CH229">
            <v>1430279.66</v>
          </cell>
          <cell r="CI229">
            <v>1425204.5</v>
          </cell>
          <cell r="CJ229">
            <v>1280210.1299999999</v>
          </cell>
          <cell r="CK229">
            <v>1128257.6100000001</v>
          </cell>
          <cell r="CL229">
            <v>1114325.8400000001</v>
          </cell>
          <cell r="CM229">
            <v>937953.58</v>
          </cell>
          <cell r="CN229">
            <v>949342.56</v>
          </cell>
          <cell r="CO229">
            <v>1485890.3</v>
          </cell>
          <cell r="CP229">
            <v>1774479.95</v>
          </cell>
          <cell r="CQ229">
            <v>1012909.15</v>
          </cell>
          <cell r="CR229">
            <v>661369.13</v>
          </cell>
          <cell r="CS229">
            <v>1315989.27</v>
          </cell>
          <cell r="CT229">
            <v>7057556.2800000003</v>
          </cell>
          <cell r="CU229">
            <v>2530823.4500000002</v>
          </cell>
          <cell r="CV229">
            <v>632915.78</v>
          </cell>
          <cell r="CW229">
            <v>1276776.67</v>
          </cell>
          <cell r="CX229">
            <v>839987.51</v>
          </cell>
          <cell r="CY229">
            <v>802972.31</v>
          </cell>
          <cell r="CZ229">
            <v>826146.06</v>
          </cell>
          <cell r="DA229">
            <v>1401900.4</v>
          </cell>
          <cell r="DB229">
            <v>1015474.29</v>
          </cell>
          <cell r="DC229">
            <v>1201228.71</v>
          </cell>
          <cell r="DD229">
            <v>543409.59</v>
          </cell>
          <cell r="DE229">
            <v>1077688.92</v>
          </cell>
          <cell r="DF229">
            <v>1797688.11</v>
          </cell>
          <cell r="DG229">
            <v>3111552.86</v>
          </cell>
        </row>
        <row r="230">
          <cell r="A230">
            <v>6401100</v>
          </cell>
          <cell r="B230">
            <v>6401100</v>
          </cell>
          <cell r="C230" t="str">
            <v>Phy Inven Difference</v>
          </cell>
          <cell r="D230">
            <v>1233.9000000000001</v>
          </cell>
          <cell r="E230">
            <v>0</v>
          </cell>
          <cell r="F230">
            <v>0</v>
          </cell>
          <cell r="G230">
            <v>-679.07</v>
          </cell>
          <cell r="H230">
            <v>-6446.57</v>
          </cell>
          <cell r="I230">
            <v>0</v>
          </cell>
          <cell r="J230">
            <v>-10273.32</v>
          </cell>
          <cell r="K230">
            <v>3495.56</v>
          </cell>
          <cell r="L230">
            <v>7697.07</v>
          </cell>
          <cell r="M230">
            <v>10784.47</v>
          </cell>
          <cell r="N230">
            <v>-16403.16</v>
          </cell>
          <cell r="O230">
            <v>0</v>
          </cell>
          <cell r="P230">
            <v>0</v>
          </cell>
          <cell r="Q230">
            <v>0</v>
          </cell>
          <cell r="R230">
            <v>0</v>
          </cell>
          <cell r="S230">
            <v>2046.6</v>
          </cell>
          <cell r="T230">
            <v>0</v>
          </cell>
          <cell r="U230">
            <v>0</v>
          </cell>
          <cell r="V230">
            <v>-2833.19</v>
          </cell>
          <cell r="W230">
            <v>0</v>
          </cell>
          <cell r="X230">
            <v>-579.17999999999995</v>
          </cell>
          <cell r="Y230">
            <v>17330.03</v>
          </cell>
          <cell r="Z230">
            <v>-989.65</v>
          </cell>
          <cell r="AA230">
            <v>88704.3</v>
          </cell>
          <cell r="AB230">
            <v>0</v>
          </cell>
          <cell r="AC230">
            <v>0</v>
          </cell>
          <cell r="AD230">
            <v>0</v>
          </cell>
          <cell r="AE230">
            <v>0</v>
          </cell>
          <cell r="AF230">
            <v>0</v>
          </cell>
          <cell r="AG230">
            <v>0</v>
          </cell>
          <cell r="AH230">
            <v>0</v>
          </cell>
          <cell r="AI230">
            <v>3898.72</v>
          </cell>
          <cell r="AJ230">
            <v>0</v>
          </cell>
          <cell r="AK230">
            <v>2057.1</v>
          </cell>
          <cell r="AL230">
            <v>-13743.96</v>
          </cell>
          <cell r="AM230">
            <v>24072.79</v>
          </cell>
          <cell r="AN230">
            <v>0</v>
          </cell>
          <cell r="AO230">
            <v>0</v>
          </cell>
          <cell r="AP230">
            <v>0</v>
          </cell>
          <cell r="AQ230">
            <v>0</v>
          </cell>
          <cell r="AR230">
            <v>0</v>
          </cell>
          <cell r="AS230">
            <v>0</v>
          </cell>
          <cell r="AT230">
            <v>0</v>
          </cell>
          <cell r="AU230">
            <v>-247.94</v>
          </cell>
          <cell r="AV230">
            <v>0</v>
          </cell>
          <cell r="AW230">
            <v>539.41999999999996</v>
          </cell>
          <cell r="AX230">
            <v>58107.08</v>
          </cell>
          <cell r="AY230">
            <v>35600.089999999997</v>
          </cell>
          <cell r="AZ230">
            <v>74382.91</v>
          </cell>
          <cell r="BA230">
            <v>0</v>
          </cell>
          <cell r="BB230">
            <v>0</v>
          </cell>
          <cell r="BC230">
            <v>0</v>
          </cell>
          <cell r="BD230">
            <v>0</v>
          </cell>
          <cell r="BE230">
            <v>0</v>
          </cell>
          <cell r="BF230">
            <v>0</v>
          </cell>
          <cell r="BG230">
            <v>-145.26</v>
          </cell>
          <cell r="BH230">
            <v>-80.5</v>
          </cell>
          <cell r="BI230">
            <v>4477.1000000000004</v>
          </cell>
          <cell r="BJ230">
            <v>24554.68</v>
          </cell>
          <cell r="BK230">
            <v>5794.79</v>
          </cell>
          <cell r="BL230">
            <v>0</v>
          </cell>
          <cell r="BM230">
            <v>0</v>
          </cell>
          <cell r="BN230">
            <v>0</v>
          </cell>
          <cell r="BO230">
            <v>0</v>
          </cell>
          <cell r="BP230">
            <v>0</v>
          </cell>
          <cell r="BQ230">
            <v>0</v>
          </cell>
          <cell r="BR230">
            <v>0</v>
          </cell>
          <cell r="BS230">
            <v>475.28</v>
          </cell>
          <cell r="BT230">
            <v>0</v>
          </cell>
          <cell r="BU230">
            <v>-7281.67</v>
          </cell>
          <cell r="BV230">
            <v>6573.71</v>
          </cell>
          <cell r="BW230">
            <v>91201.27</v>
          </cell>
          <cell r="BX230">
            <v>-199.77</v>
          </cell>
          <cell r="BY230">
            <v>0</v>
          </cell>
          <cell r="BZ230">
            <v>0</v>
          </cell>
          <cell r="CA230">
            <v>43.34</v>
          </cell>
          <cell r="CB230">
            <v>0</v>
          </cell>
          <cell r="CC230">
            <v>0</v>
          </cell>
          <cell r="CD230">
            <v>0</v>
          </cell>
          <cell r="CE230">
            <v>0</v>
          </cell>
          <cell r="CF230">
            <v>158.86000000000001</v>
          </cell>
          <cell r="CG230">
            <v>0</v>
          </cell>
          <cell r="CH230">
            <v>137311.67000000001</v>
          </cell>
          <cell r="CI230">
            <v>1685.02</v>
          </cell>
          <cell r="CJ230">
            <v>0</v>
          </cell>
          <cell r="CK230">
            <v>0</v>
          </cell>
          <cell r="CL230">
            <v>-43.34</v>
          </cell>
          <cell r="CM230">
            <v>0</v>
          </cell>
          <cell r="CN230">
            <v>0</v>
          </cell>
          <cell r="CO230">
            <v>0</v>
          </cell>
          <cell r="CP230">
            <v>0</v>
          </cell>
          <cell r="CQ230">
            <v>0</v>
          </cell>
          <cell r="CR230">
            <v>0</v>
          </cell>
          <cell r="CS230">
            <v>80.88</v>
          </cell>
          <cell r="CT230">
            <v>-5492736.71</v>
          </cell>
          <cell r="CU230">
            <v>87447.82</v>
          </cell>
          <cell r="CV230">
            <v>0</v>
          </cell>
          <cell r="CW230">
            <v>0</v>
          </cell>
          <cell r="CX230">
            <v>0</v>
          </cell>
          <cell r="CY230">
            <v>0</v>
          </cell>
          <cell r="CZ230">
            <v>0</v>
          </cell>
          <cell r="DA230">
            <v>0</v>
          </cell>
          <cell r="DB230">
            <v>0</v>
          </cell>
          <cell r="DC230">
            <v>0</v>
          </cell>
          <cell r="DD230">
            <v>0</v>
          </cell>
          <cell r="DE230">
            <v>0</v>
          </cell>
          <cell r="DF230">
            <v>-13329.34</v>
          </cell>
          <cell r="DG230">
            <v>564693.31000000006</v>
          </cell>
        </row>
        <row r="231">
          <cell r="A231">
            <v>6401200</v>
          </cell>
          <cell r="B231">
            <v>6401200</v>
          </cell>
          <cell r="C231" t="str">
            <v>Matls Price Diff</v>
          </cell>
          <cell r="D231">
            <v>-4149.79</v>
          </cell>
          <cell r="E231">
            <v>-639.63</v>
          </cell>
          <cell r="F231">
            <v>-1449.44</v>
          </cell>
          <cell r="G231">
            <v>1646.49</v>
          </cell>
          <cell r="H231">
            <v>-350.41</v>
          </cell>
          <cell r="I231">
            <v>132.36000000000001</v>
          </cell>
          <cell r="J231">
            <v>1216.77</v>
          </cell>
          <cell r="K231">
            <v>-255.32</v>
          </cell>
          <cell r="L231">
            <v>-742.23</v>
          </cell>
          <cell r="M231">
            <v>400.81</v>
          </cell>
          <cell r="N231">
            <v>-3420.89</v>
          </cell>
          <cell r="O231">
            <v>-459.92</v>
          </cell>
          <cell r="P231">
            <v>6985.58</v>
          </cell>
          <cell r="Q231">
            <v>-261.22000000000003</v>
          </cell>
          <cell r="R231">
            <v>-120.27</v>
          </cell>
          <cell r="S231">
            <v>-303.20999999999998</v>
          </cell>
          <cell r="T231">
            <v>6833.23</v>
          </cell>
          <cell r="U231">
            <v>-252.9</v>
          </cell>
          <cell r="V231">
            <v>-109.47</v>
          </cell>
          <cell r="W231">
            <v>1819.78</v>
          </cell>
          <cell r="X231">
            <v>-994.3</v>
          </cell>
          <cell r="Y231">
            <v>-1501.44</v>
          </cell>
          <cell r="Z231">
            <v>1593.99</v>
          </cell>
          <cell r="AA231">
            <v>2432.75</v>
          </cell>
          <cell r="AB231">
            <v>-340.05</v>
          </cell>
          <cell r="AC231">
            <v>-3367.92</v>
          </cell>
          <cell r="AD231">
            <v>-658.86</v>
          </cell>
          <cell r="AE231">
            <v>-1316.26</v>
          </cell>
          <cell r="AF231">
            <v>51.92</v>
          </cell>
          <cell r="AG231">
            <v>-333.68</v>
          </cell>
          <cell r="AH231">
            <v>-63.89</v>
          </cell>
          <cell r="AI231">
            <v>-2396.66</v>
          </cell>
          <cell r="AJ231">
            <v>-217.35</v>
          </cell>
          <cell r="AK231">
            <v>-6500.29</v>
          </cell>
          <cell r="AL231">
            <v>805.9</v>
          </cell>
          <cell r="AM231">
            <v>901.45</v>
          </cell>
          <cell r="AN231">
            <v>-105.53</v>
          </cell>
          <cell r="AO231">
            <v>-595.63</v>
          </cell>
          <cell r="AP231">
            <v>-135.69999999999999</v>
          </cell>
          <cell r="AQ231">
            <v>-3617.52</v>
          </cell>
          <cell r="AR231">
            <v>5132.51</v>
          </cell>
          <cell r="AS231">
            <v>-161.07</v>
          </cell>
          <cell r="AT231">
            <v>-1050.7</v>
          </cell>
          <cell r="AU231">
            <v>-2164.7399999999998</v>
          </cell>
          <cell r="AV231">
            <v>2120.8200000000002</v>
          </cell>
          <cell r="AW231">
            <v>1467.49</v>
          </cell>
          <cell r="AX231">
            <v>-449.38</v>
          </cell>
          <cell r="AY231">
            <v>-1335.21</v>
          </cell>
          <cell r="AZ231">
            <v>-1073.9000000000001</v>
          </cell>
          <cell r="BA231">
            <v>501.09</v>
          </cell>
          <cell r="BB231">
            <v>-865.29</v>
          </cell>
          <cell r="BC231">
            <v>-868.27</v>
          </cell>
          <cell r="BD231">
            <v>-1547.76</v>
          </cell>
          <cell r="BE231">
            <v>-927.41</v>
          </cell>
          <cell r="BF231">
            <v>-1396.02</v>
          </cell>
          <cell r="BG231">
            <v>-18345.18</v>
          </cell>
          <cell r="BH231">
            <v>-22374.97</v>
          </cell>
          <cell r="BI231">
            <v>436.58</v>
          </cell>
          <cell r="BJ231">
            <v>-521.5</v>
          </cell>
          <cell r="BK231">
            <v>-3757.94</v>
          </cell>
          <cell r="BL231">
            <v>-3103.29</v>
          </cell>
          <cell r="BM231">
            <v>-6433.94</v>
          </cell>
          <cell r="BN231">
            <v>-627.89</v>
          </cell>
          <cell r="BO231">
            <v>16179.03</v>
          </cell>
          <cell r="BP231">
            <v>-739.01</v>
          </cell>
          <cell r="BQ231">
            <v>7314.98</v>
          </cell>
          <cell r="BR231">
            <v>-9113.7800000000007</v>
          </cell>
          <cell r="BS231">
            <v>174.77</v>
          </cell>
          <cell r="BT231">
            <v>-721.42</v>
          </cell>
          <cell r="BU231">
            <v>-2896.02</v>
          </cell>
          <cell r="BV231">
            <v>-1008.1</v>
          </cell>
          <cell r="BW231">
            <v>-486.92</v>
          </cell>
          <cell r="BX231">
            <v>-622.09</v>
          </cell>
          <cell r="BY231">
            <v>-1649.27</v>
          </cell>
          <cell r="BZ231">
            <v>-780.34</v>
          </cell>
          <cell r="CA231">
            <v>-599.75</v>
          </cell>
          <cell r="CB231">
            <v>-3829.62</v>
          </cell>
          <cell r="CC231">
            <v>-6529.1</v>
          </cell>
          <cell r="CD231">
            <v>-2331.41</v>
          </cell>
          <cell r="CE231">
            <v>-1592.63</v>
          </cell>
          <cell r="CF231">
            <v>-1691.32</v>
          </cell>
          <cell r="CG231">
            <v>-1206.0999999999999</v>
          </cell>
          <cell r="CH231">
            <v>-2874.83</v>
          </cell>
          <cell r="CI231">
            <v>-1960.36</v>
          </cell>
          <cell r="CJ231">
            <v>-3253.64</v>
          </cell>
          <cell r="CK231">
            <v>3966.27</v>
          </cell>
          <cell r="CL231">
            <v>-2510.98</v>
          </cell>
          <cell r="CM231">
            <v>-1116.5</v>
          </cell>
          <cell r="CN231">
            <v>1063.33</v>
          </cell>
          <cell r="CO231">
            <v>10457.32</v>
          </cell>
          <cell r="CP231">
            <v>39407.85</v>
          </cell>
          <cell r="CQ231">
            <v>2468.21</v>
          </cell>
          <cell r="CR231">
            <v>636.54</v>
          </cell>
          <cell r="CS231">
            <v>-424.52</v>
          </cell>
          <cell r="CT231">
            <v>-141.5</v>
          </cell>
          <cell r="CU231">
            <v>-4318.1400000000003</v>
          </cell>
          <cell r="CV231">
            <v>2590.1799999999998</v>
          </cell>
          <cell r="CW231">
            <v>-189.73</v>
          </cell>
          <cell r="CX231">
            <v>-500.17</v>
          </cell>
          <cell r="CY231">
            <v>-602.41999999999996</v>
          </cell>
          <cell r="CZ231">
            <v>1160.52</v>
          </cell>
          <cell r="DA231">
            <v>-490.71</v>
          </cell>
          <cell r="DB231">
            <v>-51.2</v>
          </cell>
          <cell r="DC231">
            <v>0.2</v>
          </cell>
          <cell r="DD231">
            <v>6.12</v>
          </cell>
          <cell r="DE231">
            <v>-21.11</v>
          </cell>
          <cell r="DF231">
            <v>-93.73</v>
          </cell>
          <cell r="DG231">
            <v>-141.16999999999999</v>
          </cell>
        </row>
        <row r="232">
          <cell r="A232">
            <v>6401300</v>
          </cell>
          <cell r="B232">
            <v>6401300</v>
          </cell>
          <cell r="C232" t="str">
            <v>Re-Stock Salvage</v>
          </cell>
          <cell r="D232">
            <v>0</v>
          </cell>
          <cell r="E232">
            <v>-2631.05</v>
          </cell>
          <cell r="F232">
            <v>0</v>
          </cell>
          <cell r="G232">
            <v>64.540000000000006</v>
          </cell>
          <cell r="H232">
            <v>134.11000000000001</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row>
        <row r="233">
          <cell r="A233">
            <v>6408999</v>
          </cell>
          <cell r="B233">
            <v>6408999</v>
          </cell>
          <cell r="C233" t="str">
            <v>M&amp;S Exp Reclass</v>
          </cell>
          <cell r="D233">
            <v>1026893.67</v>
          </cell>
          <cell r="E233">
            <v>0</v>
          </cell>
          <cell r="F233">
            <v>0</v>
          </cell>
          <cell r="G233">
            <v>-3981.66</v>
          </cell>
          <cell r="H233">
            <v>3981.66</v>
          </cell>
          <cell r="I233">
            <v>0</v>
          </cell>
          <cell r="J233">
            <v>0</v>
          </cell>
          <cell r="K233">
            <v>0</v>
          </cell>
          <cell r="L233">
            <v>0</v>
          </cell>
          <cell r="M233">
            <v>-959650.73</v>
          </cell>
          <cell r="N233">
            <v>641</v>
          </cell>
          <cell r="O233">
            <v>12135.48</v>
          </cell>
          <cell r="P233">
            <v>0</v>
          </cell>
          <cell r="Q233">
            <v>0</v>
          </cell>
          <cell r="R233">
            <v>0</v>
          </cell>
          <cell r="S233">
            <v>0</v>
          </cell>
          <cell r="T233">
            <v>-1137.6600000000001</v>
          </cell>
          <cell r="U233">
            <v>0</v>
          </cell>
          <cell r="V233">
            <v>-0.44</v>
          </cell>
          <cell r="W233">
            <v>0</v>
          </cell>
          <cell r="X233">
            <v>0</v>
          </cell>
          <cell r="Y233">
            <v>0</v>
          </cell>
          <cell r="Z233">
            <v>-6963.15</v>
          </cell>
          <cell r="AA233">
            <v>-873.64</v>
          </cell>
          <cell r="AB233">
            <v>-29.29</v>
          </cell>
          <cell r="AC233">
            <v>0</v>
          </cell>
          <cell r="AD233">
            <v>0</v>
          </cell>
          <cell r="AE233">
            <v>0</v>
          </cell>
          <cell r="AF233">
            <v>0</v>
          </cell>
          <cell r="AG233">
            <v>0</v>
          </cell>
          <cell r="AH233">
            <v>0</v>
          </cell>
          <cell r="AI233">
            <v>0</v>
          </cell>
          <cell r="AJ233">
            <v>0</v>
          </cell>
          <cell r="AK233">
            <v>0</v>
          </cell>
          <cell r="AL233">
            <v>0</v>
          </cell>
          <cell r="AM233">
            <v>-85500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48.79</v>
          </cell>
          <cell r="BF233">
            <v>0</v>
          </cell>
          <cell r="BG233">
            <v>-452827.39</v>
          </cell>
          <cell r="BH233">
            <v>452901.08</v>
          </cell>
          <cell r="BI233">
            <v>0</v>
          </cell>
          <cell r="BJ233">
            <v>48.79</v>
          </cell>
          <cell r="BK233">
            <v>161168.89000000001</v>
          </cell>
          <cell r="BL233">
            <v>0</v>
          </cell>
          <cell r="BM233">
            <v>0</v>
          </cell>
          <cell r="BN233">
            <v>0</v>
          </cell>
          <cell r="BO233">
            <v>11440.09</v>
          </cell>
          <cell r="BP233">
            <v>0</v>
          </cell>
          <cell r="BQ233">
            <v>0</v>
          </cell>
          <cell r="BR233">
            <v>0</v>
          </cell>
          <cell r="BS233">
            <v>0</v>
          </cell>
          <cell r="BT233">
            <v>0</v>
          </cell>
          <cell r="BU233">
            <v>0</v>
          </cell>
          <cell r="BV233">
            <v>0</v>
          </cell>
          <cell r="BW233">
            <v>30170.34</v>
          </cell>
          <cell r="BX233">
            <v>0</v>
          </cell>
          <cell r="BY233">
            <v>0</v>
          </cell>
          <cell r="BZ233">
            <v>0</v>
          </cell>
          <cell r="CA233">
            <v>0</v>
          </cell>
          <cell r="CB233">
            <v>0</v>
          </cell>
          <cell r="CC233">
            <v>0</v>
          </cell>
          <cell r="CD233">
            <v>0</v>
          </cell>
          <cell r="CE233">
            <v>101945.03</v>
          </cell>
          <cell r="CF233">
            <v>56526.81</v>
          </cell>
          <cell r="CG233">
            <v>0</v>
          </cell>
          <cell r="CH233">
            <v>0</v>
          </cell>
          <cell r="CI233">
            <v>0</v>
          </cell>
          <cell r="CJ233">
            <v>0</v>
          </cell>
          <cell r="CK233">
            <v>876.27</v>
          </cell>
          <cell r="CL233">
            <v>0</v>
          </cell>
          <cell r="CM233">
            <v>2469.14</v>
          </cell>
          <cell r="CN233">
            <v>0</v>
          </cell>
          <cell r="CO233">
            <v>83903.02</v>
          </cell>
          <cell r="CP233">
            <v>63300</v>
          </cell>
          <cell r="CQ233">
            <v>0</v>
          </cell>
          <cell r="CR233">
            <v>384738.61</v>
          </cell>
          <cell r="CS233">
            <v>0</v>
          </cell>
          <cell r="CT233">
            <v>19092.32</v>
          </cell>
          <cell r="CU233">
            <v>226.63</v>
          </cell>
          <cell r="CV233">
            <v>0</v>
          </cell>
          <cell r="CW233">
            <v>74.12</v>
          </cell>
          <cell r="CX233">
            <v>1177.97</v>
          </cell>
          <cell r="CY233">
            <v>0</v>
          </cell>
          <cell r="CZ233">
            <v>0</v>
          </cell>
          <cell r="DA233">
            <v>0</v>
          </cell>
          <cell r="DB233">
            <v>0</v>
          </cell>
          <cell r="DC233">
            <v>22825.48</v>
          </cell>
          <cell r="DD233">
            <v>0</v>
          </cell>
          <cell r="DE233">
            <v>-8381.5300000000007</v>
          </cell>
          <cell r="DF233">
            <v>8381.5300000000007</v>
          </cell>
          <cell r="DG233">
            <v>162.13</v>
          </cell>
        </row>
        <row r="234">
          <cell r="A234">
            <v>6409000</v>
          </cell>
          <cell r="B234">
            <v>6409000</v>
          </cell>
          <cell r="C234" t="str">
            <v>M&amp;S to BalSheet</v>
          </cell>
          <cell r="D234">
            <v>-2758645.01</v>
          </cell>
          <cell r="E234">
            <v>-920758.37</v>
          </cell>
          <cell r="F234">
            <v>-1381855.96</v>
          </cell>
          <cell r="G234">
            <v>-1695441.76</v>
          </cell>
          <cell r="H234">
            <v>-1442301.38</v>
          </cell>
          <cell r="I234">
            <v>-1466946.29</v>
          </cell>
          <cell r="J234">
            <v>-2172415.09</v>
          </cell>
          <cell r="K234">
            <v>-1733613.53</v>
          </cell>
          <cell r="L234">
            <v>-1202704.48</v>
          </cell>
          <cell r="M234">
            <v>-1303447.6000000001</v>
          </cell>
          <cell r="N234">
            <v>-1409146.25</v>
          </cell>
          <cell r="O234">
            <v>-2819093.78</v>
          </cell>
          <cell r="P234">
            <v>-1005298.41</v>
          </cell>
          <cell r="Q234">
            <v>-817746.12</v>
          </cell>
          <cell r="R234">
            <v>-1718895.03</v>
          </cell>
          <cell r="S234">
            <v>-1639780.21</v>
          </cell>
          <cell r="T234">
            <v>-2066942.23</v>
          </cell>
          <cell r="U234">
            <v>-2029589.37</v>
          </cell>
          <cell r="V234">
            <v>-1823598.59</v>
          </cell>
          <cell r="W234">
            <v>-1502290.8</v>
          </cell>
          <cell r="X234">
            <v>-2032095.11</v>
          </cell>
          <cell r="Y234">
            <v>-2183928.1800000002</v>
          </cell>
          <cell r="Z234">
            <v>-3592335.43</v>
          </cell>
          <cell r="AA234">
            <v>-4064351.95</v>
          </cell>
          <cell r="AB234">
            <v>-706616.8</v>
          </cell>
          <cell r="AC234">
            <v>-2118030.9500000002</v>
          </cell>
          <cell r="AD234">
            <v>-2335664.17</v>
          </cell>
          <cell r="AE234">
            <v>-1813758.93</v>
          </cell>
          <cell r="AF234">
            <v>-1710020.85</v>
          </cell>
          <cell r="AG234">
            <v>-3897707.61</v>
          </cell>
          <cell r="AH234">
            <v>-1720276.09</v>
          </cell>
          <cell r="AI234">
            <v>-2326367.0099999998</v>
          </cell>
          <cell r="AJ234">
            <v>-2040477.11</v>
          </cell>
          <cell r="AK234">
            <v>-2089394.06</v>
          </cell>
          <cell r="AL234">
            <v>-2279002</v>
          </cell>
          <cell r="AM234">
            <v>-3067547.3</v>
          </cell>
          <cell r="AN234">
            <v>-1462777.24</v>
          </cell>
          <cell r="AO234">
            <v>-1672115.31</v>
          </cell>
          <cell r="AP234">
            <v>-2252201.09</v>
          </cell>
          <cell r="AQ234">
            <v>-1510765.73</v>
          </cell>
          <cell r="AR234">
            <v>-2967458.42</v>
          </cell>
          <cell r="AS234">
            <v>-1959867.59</v>
          </cell>
          <cell r="AT234">
            <v>-2650906.85</v>
          </cell>
          <cell r="AU234">
            <v>-3083565.28</v>
          </cell>
          <cell r="AV234">
            <v>-2551535.0299999998</v>
          </cell>
          <cell r="AW234">
            <v>-2580997.5</v>
          </cell>
          <cell r="AX234">
            <v>-1884347.65</v>
          </cell>
          <cell r="AY234">
            <v>-3984262.28</v>
          </cell>
          <cell r="AZ234">
            <v>-1420871.9</v>
          </cell>
          <cell r="BA234">
            <v>-1528271.19</v>
          </cell>
          <cell r="BB234">
            <v>-3159835.78</v>
          </cell>
          <cell r="BC234">
            <v>-1848206.21</v>
          </cell>
          <cell r="BD234">
            <v>-3369369.19</v>
          </cell>
          <cell r="BE234">
            <v>-2385002.71</v>
          </cell>
          <cell r="BF234">
            <v>-2278675</v>
          </cell>
          <cell r="BG234">
            <v>-3450410.86</v>
          </cell>
          <cell r="BH234">
            <v>-5359974.1100000003</v>
          </cell>
          <cell r="BI234">
            <v>-3085838.56</v>
          </cell>
          <cell r="BJ234">
            <v>-3452224.34</v>
          </cell>
          <cell r="BK234">
            <v>-3423844.66</v>
          </cell>
          <cell r="BL234">
            <v>-2110527.15</v>
          </cell>
          <cell r="BM234">
            <v>-2501240.35</v>
          </cell>
          <cell r="BN234">
            <v>-3936260.13</v>
          </cell>
          <cell r="BO234">
            <v>-2576315.1</v>
          </cell>
          <cell r="BP234">
            <v>-3185382.69</v>
          </cell>
          <cell r="BQ234">
            <v>-3469052.66</v>
          </cell>
          <cell r="BR234">
            <v>-4032479.04</v>
          </cell>
          <cell r="BS234">
            <v>-2984259.98</v>
          </cell>
          <cell r="BT234">
            <v>-2704487.76</v>
          </cell>
          <cell r="BU234">
            <v>-4211562.62</v>
          </cell>
          <cell r="BV234">
            <v>-2498060</v>
          </cell>
          <cell r="BW234">
            <v>-8113109.3899999997</v>
          </cell>
          <cell r="BX234">
            <v>-4576454.42</v>
          </cell>
          <cell r="BY234">
            <v>-3074556.9</v>
          </cell>
          <cell r="BZ234">
            <v>-2823729.72</v>
          </cell>
          <cell r="CA234">
            <v>-4456861.91</v>
          </cell>
          <cell r="CB234">
            <v>-5733922.71</v>
          </cell>
          <cell r="CC234">
            <v>-4787216.2</v>
          </cell>
          <cell r="CD234">
            <v>-4033866.19</v>
          </cell>
          <cell r="CE234">
            <v>-8669109.6999999993</v>
          </cell>
          <cell r="CF234">
            <v>-6339240.3300000001</v>
          </cell>
          <cell r="CG234">
            <v>-4466791.9000000004</v>
          </cell>
          <cell r="CH234">
            <v>-5829363.1299999999</v>
          </cell>
          <cell r="CI234">
            <v>-5616227.7300000004</v>
          </cell>
          <cell r="CJ234">
            <v>-4121136.4</v>
          </cell>
          <cell r="CK234">
            <v>-1691773.01</v>
          </cell>
          <cell r="CL234">
            <v>-2705260.6</v>
          </cell>
          <cell r="CM234">
            <v>-3531773.36</v>
          </cell>
          <cell r="CN234">
            <v>-2761956.59</v>
          </cell>
          <cell r="CO234">
            <v>-4711989.93</v>
          </cell>
          <cell r="CP234">
            <v>-11371396.76</v>
          </cell>
          <cell r="CQ234">
            <v>-4911564.78</v>
          </cell>
          <cell r="CR234">
            <v>-4199378.24</v>
          </cell>
          <cell r="CS234">
            <v>-4901816.71</v>
          </cell>
          <cell r="CT234">
            <v>-4179269.59</v>
          </cell>
          <cell r="CU234">
            <v>-7019557.3899999997</v>
          </cell>
          <cell r="CV234">
            <v>-3518727.79</v>
          </cell>
          <cell r="CW234">
            <v>-4035774.88</v>
          </cell>
          <cell r="CX234">
            <v>-5635484.4100000001</v>
          </cell>
          <cell r="CY234">
            <v>-3691653.92</v>
          </cell>
          <cell r="CZ234">
            <v>-3751600.4</v>
          </cell>
          <cell r="DA234">
            <v>-5347840.16</v>
          </cell>
          <cell r="DB234">
            <v>-4090204.01</v>
          </cell>
          <cell r="DC234">
            <v>-5305238.12</v>
          </cell>
          <cell r="DD234">
            <v>-6300967.1900000004</v>
          </cell>
          <cell r="DE234">
            <v>-4348603.97</v>
          </cell>
          <cell r="DF234">
            <v>-4198940.3899999997</v>
          </cell>
          <cell r="DG234">
            <v>-8809582.7599999998</v>
          </cell>
        </row>
        <row r="235">
          <cell r="A235">
            <v>6500010</v>
          </cell>
          <cell r="B235">
            <v>6500010</v>
          </cell>
          <cell r="C235" t="str">
            <v>Transport-Vehicle</v>
          </cell>
          <cell r="D235">
            <v>82290.67</v>
          </cell>
          <cell r="E235">
            <v>82751.92</v>
          </cell>
          <cell r="F235">
            <v>98162.95</v>
          </cell>
          <cell r="G235">
            <v>66569.990000000005</v>
          </cell>
          <cell r="H235">
            <v>91203.44</v>
          </cell>
          <cell r="I235">
            <v>92610.14</v>
          </cell>
          <cell r="J235">
            <v>83068.83</v>
          </cell>
          <cell r="K235">
            <v>115090.97</v>
          </cell>
          <cell r="L235">
            <v>59249.68</v>
          </cell>
          <cell r="M235">
            <v>162576.28</v>
          </cell>
          <cell r="N235">
            <v>61791.65</v>
          </cell>
          <cell r="O235">
            <v>65772.69</v>
          </cell>
          <cell r="P235">
            <v>50632.09</v>
          </cell>
          <cell r="Q235">
            <v>66504.42</v>
          </cell>
          <cell r="R235">
            <v>63185.15</v>
          </cell>
          <cell r="S235">
            <v>77760.639999999999</v>
          </cell>
          <cell r="T235">
            <v>119029.41</v>
          </cell>
          <cell r="U235">
            <v>71557.94</v>
          </cell>
          <cell r="V235">
            <v>80732.84</v>
          </cell>
          <cell r="W235">
            <v>69941.47</v>
          </cell>
          <cell r="X235">
            <v>76524.75</v>
          </cell>
          <cell r="Y235">
            <v>63626.5</v>
          </cell>
          <cell r="Z235">
            <v>119308.45</v>
          </cell>
          <cell r="AA235">
            <v>73138.69</v>
          </cell>
          <cell r="AB235">
            <v>13316.47</v>
          </cell>
          <cell r="AC235">
            <v>65655.740000000005</v>
          </cell>
          <cell r="AD235">
            <v>109954.69</v>
          </cell>
          <cell r="AE235">
            <v>86849.29</v>
          </cell>
          <cell r="AF235">
            <v>77943.520000000004</v>
          </cell>
          <cell r="AG235">
            <v>80254.95</v>
          </cell>
          <cell r="AH235">
            <v>80448.490000000005</v>
          </cell>
          <cell r="AI235">
            <v>84474.34</v>
          </cell>
          <cell r="AJ235">
            <v>78444.08</v>
          </cell>
          <cell r="AK235">
            <v>166089.15</v>
          </cell>
          <cell r="AL235">
            <v>66982.960000000006</v>
          </cell>
          <cell r="AM235">
            <v>102320.4</v>
          </cell>
          <cell r="AN235">
            <v>72855.009999999995</v>
          </cell>
          <cell r="AO235">
            <v>92155.83</v>
          </cell>
          <cell r="AP235">
            <v>129366.86</v>
          </cell>
          <cell r="AQ235">
            <v>104835.62</v>
          </cell>
          <cell r="AR235">
            <v>58584.42</v>
          </cell>
          <cell r="AS235">
            <v>103822.65</v>
          </cell>
          <cell r="AT235">
            <v>77993.83</v>
          </cell>
          <cell r="AU235">
            <v>73673.42</v>
          </cell>
          <cell r="AV235">
            <v>85244.97</v>
          </cell>
          <cell r="AW235">
            <v>70444.160000000003</v>
          </cell>
          <cell r="AX235">
            <v>87179.89</v>
          </cell>
          <cell r="AY235">
            <v>126385.77</v>
          </cell>
          <cell r="AZ235">
            <v>52373.33</v>
          </cell>
          <cell r="BA235">
            <v>85210.8</v>
          </cell>
          <cell r="BB235">
            <v>76488.02</v>
          </cell>
          <cell r="BC235">
            <v>60060.35</v>
          </cell>
          <cell r="BD235">
            <v>136767.42000000001</v>
          </cell>
          <cell r="BE235">
            <v>56508.68</v>
          </cell>
          <cell r="BF235">
            <v>111269.49</v>
          </cell>
          <cell r="BG235">
            <v>96830.26</v>
          </cell>
          <cell r="BH235">
            <v>52159.83</v>
          </cell>
          <cell r="BI235">
            <v>112341.15</v>
          </cell>
          <cell r="BJ235">
            <v>83777.320000000007</v>
          </cell>
          <cell r="BK235">
            <v>129895.16</v>
          </cell>
          <cell r="BL235">
            <v>61156.76</v>
          </cell>
          <cell r="BM235">
            <v>111669.02</v>
          </cell>
          <cell r="BN235">
            <v>125516.73</v>
          </cell>
          <cell r="BO235">
            <v>82252.789999999994</v>
          </cell>
          <cell r="BP235">
            <v>92542.76</v>
          </cell>
          <cell r="BQ235">
            <v>86585.44</v>
          </cell>
          <cell r="BR235">
            <v>93764.84</v>
          </cell>
          <cell r="BS235">
            <v>108406.8</v>
          </cell>
          <cell r="BT235">
            <v>61711.71</v>
          </cell>
          <cell r="BU235">
            <v>106888.97</v>
          </cell>
          <cell r="BV235">
            <v>99646.95</v>
          </cell>
          <cell r="BW235">
            <v>126823.49</v>
          </cell>
          <cell r="BX235">
            <v>63789.51</v>
          </cell>
          <cell r="BY235">
            <v>90871.74</v>
          </cell>
          <cell r="BZ235">
            <v>77757.399999999994</v>
          </cell>
          <cell r="CA235">
            <v>106774.93</v>
          </cell>
          <cell r="CB235">
            <v>70560.02</v>
          </cell>
          <cell r="CC235">
            <v>46811.54</v>
          </cell>
          <cell r="CD235">
            <v>93693.65</v>
          </cell>
          <cell r="CE235">
            <v>95853</v>
          </cell>
          <cell r="CF235">
            <v>69294.47</v>
          </cell>
          <cell r="CG235">
            <v>81386.460000000006</v>
          </cell>
          <cell r="CH235">
            <v>71092.25</v>
          </cell>
          <cell r="CI235">
            <v>125792.62</v>
          </cell>
          <cell r="CJ235">
            <v>42583.53</v>
          </cell>
          <cell r="CK235">
            <v>104889.31</v>
          </cell>
          <cell r="CL235">
            <v>67520.7</v>
          </cell>
          <cell r="CM235">
            <v>118971.97</v>
          </cell>
          <cell r="CN235">
            <v>62273.67</v>
          </cell>
          <cell r="CO235">
            <v>128691.57</v>
          </cell>
          <cell r="CP235">
            <v>176299.67</v>
          </cell>
          <cell r="CQ235">
            <v>90601.33</v>
          </cell>
          <cell r="CR235">
            <v>71065.62</v>
          </cell>
          <cell r="CS235">
            <v>155657.04</v>
          </cell>
          <cell r="CT235">
            <v>93574.82</v>
          </cell>
          <cell r="CU235">
            <v>103274.37</v>
          </cell>
          <cell r="CV235">
            <v>90585.29</v>
          </cell>
          <cell r="CW235">
            <v>81292.52</v>
          </cell>
          <cell r="CX235">
            <v>137633.71</v>
          </cell>
          <cell r="CY235">
            <v>211481.98</v>
          </cell>
          <cell r="CZ235">
            <v>54435.02</v>
          </cell>
          <cell r="DA235">
            <v>61790.879999999997</v>
          </cell>
          <cell r="DB235">
            <v>72198.490000000005</v>
          </cell>
          <cell r="DC235">
            <v>135126.09</v>
          </cell>
          <cell r="DD235">
            <v>102753.35</v>
          </cell>
          <cell r="DE235">
            <v>167438.37</v>
          </cell>
          <cell r="DF235">
            <v>232029.45</v>
          </cell>
          <cell r="DG235">
            <v>130237.37</v>
          </cell>
        </row>
        <row r="236">
          <cell r="A236">
            <v>6500015</v>
          </cell>
          <cell r="B236">
            <v>6500015</v>
          </cell>
          <cell r="C236" t="str">
            <v>Transport-Veh Gas</v>
          </cell>
          <cell r="D236">
            <v>102151.31</v>
          </cell>
          <cell r="E236">
            <v>108533.07</v>
          </cell>
          <cell r="F236">
            <v>110507.11</v>
          </cell>
          <cell r="G236">
            <v>85669.21</v>
          </cell>
          <cell r="H236">
            <v>118527.05</v>
          </cell>
          <cell r="I236">
            <v>115356.25</v>
          </cell>
          <cell r="J236">
            <v>137077.09</v>
          </cell>
          <cell r="K236">
            <v>121006.48</v>
          </cell>
          <cell r="L236">
            <v>120425.63</v>
          </cell>
          <cell r="M236">
            <v>138226.09</v>
          </cell>
          <cell r="N236">
            <v>140663.67000000001</v>
          </cell>
          <cell r="O236">
            <v>99592.87</v>
          </cell>
          <cell r="P236">
            <v>97811.67</v>
          </cell>
          <cell r="Q236">
            <v>87664.71</v>
          </cell>
          <cell r="R236">
            <v>84446.23</v>
          </cell>
          <cell r="S236">
            <v>109891.07</v>
          </cell>
          <cell r="T236">
            <v>108263.18</v>
          </cell>
          <cell r="U236">
            <v>107299.84</v>
          </cell>
          <cell r="V236">
            <v>120516.43</v>
          </cell>
          <cell r="W236">
            <v>101631</v>
          </cell>
          <cell r="X236">
            <v>100259.04</v>
          </cell>
          <cell r="Y236">
            <v>98761.14</v>
          </cell>
          <cell r="Z236">
            <v>102654.39999999999</v>
          </cell>
          <cell r="AA236">
            <v>85245.27</v>
          </cell>
          <cell r="AB236">
            <v>86348.25</v>
          </cell>
          <cell r="AC236">
            <v>84322.16</v>
          </cell>
          <cell r="AD236">
            <v>90733.68</v>
          </cell>
          <cell r="AE236">
            <v>85888.94</v>
          </cell>
          <cell r="AF236">
            <v>90756.99</v>
          </cell>
          <cell r="AG236">
            <v>99051.01</v>
          </cell>
          <cell r="AH236">
            <v>108583.23</v>
          </cell>
          <cell r="AI236">
            <v>92241.25</v>
          </cell>
          <cell r="AJ236">
            <v>106847.88</v>
          </cell>
          <cell r="AK236">
            <v>104561.28</v>
          </cell>
          <cell r="AL236">
            <v>120492.62</v>
          </cell>
          <cell r="AM236">
            <v>92986.41</v>
          </cell>
          <cell r="AN236">
            <v>85732.34</v>
          </cell>
          <cell r="AO236">
            <v>109492.93</v>
          </cell>
          <cell r="AP236">
            <v>99027.39</v>
          </cell>
          <cell r="AQ236">
            <v>99666.26</v>
          </cell>
          <cell r="AR236">
            <v>104591</v>
          </cell>
          <cell r="AS236">
            <v>119544.71</v>
          </cell>
          <cell r="AT236">
            <v>109208.19</v>
          </cell>
          <cell r="AU236">
            <v>98542.16</v>
          </cell>
          <cell r="AV236">
            <v>127829.14</v>
          </cell>
          <cell r="AW236">
            <v>114084.48</v>
          </cell>
          <cell r="AX236">
            <v>118764.48</v>
          </cell>
          <cell r="AY236">
            <v>111069.2</v>
          </cell>
          <cell r="AZ236">
            <v>97746.72</v>
          </cell>
          <cell r="BA236">
            <v>129975.23</v>
          </cell>
          <cell r="BB236">
            <v>119032.49</v>
          </cell>
          <cell r="BC236">
            <v>121195.64</v>
          </cell>
          <cell r="BD236">
            <v>127484.97</v>
          </cell>
          <cell r="BE236">
            <v>134312.09</v>
          </cell>
          <cell r="BF236">
            <v>134924.04</v>
          </cell>
          <cell r="BG236">
            <v>159017.15</v>
          </cell>
          <cell r="BH236">
            <v>133982.01999999999</v>
          </cell>
          <cell r="BI236">
            <v>128700.48</v>
          </cell>
          <cell r="BJ236">
            <v>147143.91</v>
          </cell>
          <cell r="BK236">
            <v>130993.61</v>
          </cell>
          <cell r="BL236">
            <v>98353.72</v>
          </cell>
          <cell r="BM236">
            <v>138757</v>
          </cell>
          <cell r="BN236">
            <v>89637.3</v>
          </cell>
          <cell r="BO236">
            <v>125041.81</v>
          </cell>
          <cell r="BP236">
            <v>129403.89</v>
          </cell>
          <cell r="BQ236">
            <v>135457.41</v>
          </cell>
          <cell r="BR236">
            <v>115093.07</v>
          </cell>
          <cell r="BS236">
            <v>140107.51999999999</v>
          </cell>
          <cell r="BT236">
            <v>140317.12</v>
          </cell>
          <cell r="BU236">
            <v>121235.06</v>
          </cell>
          <cell r="BV236">
            <v>141316.85</v>
          </cell>
          <cell r="BW236">
            <v>113365.75999999999</v>
          </cell>
          <cell r="BX236">
            <v>117773.78</v>
          </cell>
          <cell r="BY236">
            <v>135300.34</v>
          </cell>
          <cell r="BZ236">
            <v>124370.56</v>
          </cell>
          <cell r="CA236">
            <v>105916.1</v>
          </cell>
          <cell r="CB236">
            <v>85671.44</v>
          </cell>
          <cell r="CC236">
            <v>81964.52</v>
          </cell>
          <cell r="CD236">
            <v>106780.66</v>
          </cell>
          <cell r="CE236">
            <v>111063.63</v>
          </cell>
          <cell r="CF236">
            <v>107521.33</v>
          </cell>
          <cell r="CG236">
            <v>114629.14</v>
          </cell>
          <cell r="CH236">
            <v>116804.52</v>
          </cell>
          <cell r="CI236">
            <v>92227.520000000004</v>
          </cell>
          <cell r="CJ236">
            <v>104034.91</v>
          </cell>
          <cell r="CK236">
            <v>109252.26</v>
          </cell>
          <cell r="CL236">
            <v>123241.45</v>
          </cell>
          <cell r="CM236">
            <v>153745.13</v>
          </cell>
          <cell r="CN236">
            <v>138229.28</v>
          </cell>
          <cell r="CO236">
            <v>136601.45000000001</v>
          </cell>
          <cell r="CP236">
            <v>150155.65</v>
          </cell>
          <cell r="CQ236">
            <v>174614.13</v>
          </cell>
          <cell r="CR236">
            <v>169082.22</v>
          </cell>
          <cell r="CS236">
            <v>167118.35999999999</v>
          </cell>
          <cell r="CT236">
            <v>176100.67</v>
          </cell>
          <cell r="CU236">
            <v>154221.82999999999</v>
          </cell>
          <cell r="CV236">
            <v>152146.13</v>
          </cell>
          <cell r="CW236">
            <v>166918.43</v>
          </cell>
          <cell r="CX236">
            <v>178761.92</v>
          </cell>
          <cell r="CY236">
            <v>235523.26</v>
          </cell>
          <cell r="CZ236">
            <v>214091.64</v>
          </cell>
          <cell r="DA236">
            <v>243820.51</v>
          </cell>
          <cell r="DB236">
            <v>283312.40999999997</v>
          </cell>
          <cell r="DC236">
            <v>238027.37</v>
          </cell>
          <cell r="DD236">
            <v>245219.5</v>
          </cell>
          <cell r="DE236">
            <v>208364.5</v>
          </cell>
          <cell r="DF236">
            <v>202789.91</v>
          </cell>
          <cell r="DG236">
            <v>197160.23</v>
          </cell>
        </row>
        <row r="237">
          <cell r="A237">
            <v>6500020</v>
          </cell>
          <cell r="B237">
            <v>6500020</v>
          </cell>
          <cell r="C237" t="str">
            <v>Transport-Trailers</v>
          </cell>
          <cell r="D237">
            <v>130</v>
          </cell>
          <cell r="E237">
            <v>13</v>
          </cell>
          <cell r="F237">
            <v>156</v>
          </cell>
          <cell r="G237">
            <v>13</v>
          </cell>
          <cell r="H237">
            <v>11731.3</v>
          </cell>
          <cell r="I237">
            <v>143</v>
          </cell>
          <cell r="J237">
            <v>143</v>
          </cell>
          <cell r="K237">
            <v>-292.47000000000003</v>
          </cell>
          <cell r="L237">
            <v>221885</v>
          </cell>
          <cell r="M237">
            <v>228635.89</v>
          </cell>
          <cell r="N237">
            <v>143</v>
          </cell>
          <cell r="O237">
            <v>143</v>
          </cell>
          <cell r="P237">
            <v>143</v>
          </cell>
          <cell r="Q237">
            <v>143</v>
          </cell>
          <cell r="R237">
            <v>143</v>
          </cell>
          <cell r="S237">
            <v>192.15</v>
          </cell>
          <cell r="T237">
            <v>126.21</v>
          </cell>
          <cell r="U237">
            <v>147.41</v>
          </cell>
          <cell r="V237">
            <v>91</v>
          </cell>
          <cell r="W237">
            <v>-1104.27</v>
          </cell>
          <cell r="X237">
            <v>0</v>
          </cell>
          <cell r="Y237">
            <v>0</v>
          </cell>
          <cell r="Z237">
            <v>0</v>
          </cell>
          <cell r="AA237">
            <v>0</v>
          </cell>
          <cell r="AB237">
            <v>0</v>
          </cell>
          <cell r="AC237">
            <v>0</v>
          </cell>
          <cell r="AD237">
            <v>0</v>
          </cell>
          <cell r="AE237">
            <v>0</v>
          </cell>
          <cell r="AF237">
            <v>100.88</v>
          </cell>
          <cell r="AG237">
            <v>0</v>
          </cell>
          <cell r="AH237">
            <v>0</v>
          </cell>
          <cell r="AI237">
            <v>0</v>
          </cell>
          <cell r="AJ237">
            <v>0</v>
          </cell>
          <cell r="AK237">
            <v>0</v>
          </cell>
          <cell r="AL237">
            <v>0</v>
          </cell>
          <cell r="AM237">
            <v>98.01</v>
          </cell>
          <cell r="AN237">
            <v>619.59</v>
          </cell>
          <cell r="AO237">
            <v>0</v>
          </cell>
          <cell r="AP237">
            <v>191.23</v>
          </cell>
          <cell r="AQ237">
            <v>0</v>
          </cell>
          <cell r="AR237">
            <v>0</v>
          </cell>
          <cell r="AS237">
            <v>0</v>
          </cell>
          <cell r="AT237">
            <v>0</v>
          </cell>
          <cell r="AU237">
            <v>0</v>
          </cell>
          <cell r="AV237">
            <v>0</v>
          </cell>
          <cell r="AW237">
            <v>0</v>
          </cell>
          <cell r="AX237">
            <v>0</v>
          </cell>
          <cell r="AY237">
            <v>0</v>
          </cell>
          <cell r="AZ237">
            <v>0</v>
          </cell>
          <cell r="BA237">
            <v>0</v>
          </cell>
          <cell r="BB237">
            <v>1079.5</v>
          </cell>
          <cell r="BC237">
            <v>-70.63</v>
          </cell>
          <cell r="BD237">
            <v>252.83</v>
          </cell>
          <cell r="BE237">
            <v>0</v>
          </cell>
          <cell r="BF237">
            <v>0</v>
          </cell>
          <cell r="BG237">
            <v>0</v>
          </cell>
          <cell r="BH237">
            <v>0</v>
          </cell>
          <cell r="BI237">
            <v>0</v>
          </cell>
          <cell r="BJ237">
            <v>0</v>
          </cell>
          <cell r="BK237">
            <v>0</v>
          </cell>
          <cell r="BL237">
            <v>0</v>
          </cell>
          <cell r="BM237">
            <v>608.26</v>
          </cell>
          <cell r="BN237">
            <v>-0.54</v>
          </cell>
          <cell r="BO237">
            <v>0</v>
          </cell>
          <cell r="BP237">
            <v>0</v>
          </cell>
          <cell r="BQ237">
            <v>0</v>
          </cell>
          <cell r="BR237">
            <v>0</v>
          </cell>
          <cell r="BS237">
            <v>2561.6799999999998</v>
          </cell>
          <cell r="BT237">
            <v>0</v>
          </cell>
          <cell r="BU237">
            <v>0</v>
          </cell>
          <cell r="BV237">
            <v>0</v>
          </cell>
          <cell r="BW237">
            <v>0</v>
          </cell>
          <cell r="BX237">
            <v>24.05</v>
          </cell>
          <cell r="BY237">
            <v>612.88</v>
          </cell>
          <cell r="BZ237">
            <v>0</v>
          </cell>
          <cell r="CA237">
            <v>0</v>
          </cell>
          <cell r="CB237">
            <v>0</v>
          </cell>
          <cell r="CC237">
            <v>13.99</v>
          </cell>
          <cell r="CD237">
            <v>0</v>
          </cell>
          <cell r="CE237">
            <v>0</v>
          </cell>
          <cell r="CF237">
            <v>0</v>
          </cell>
          <cell r="CG237">
            <v>0</v>
          </cell>
          <cell r="CH237">
            <v>0</v>
          </cell>
          <cell r="CI237">
            <v>0</v>
          </cell>
          <cell r="CJ237">
            <v>0</v>
          </cell>
          <cell r="CK237">
            <v>0</v>
          </cell>
          <cell r="CL237">
            <v>0</v>
          </cell>
          <cell r="CM237">
            <v>0</v>
          </cell>
          <cell r="CN237">
            <v>74.55</v>
          </cell>
          <cell r="CO237">
            <v>0</v>
          </cell>
          <cell r="CP237">
            <v>0</v>
          </cell>
          <cell r="CQ237">
            <v>0</v>
          </cell>
          <cell r="CR237">
            <v>0</v>
          </cell>
          <cell r="CS237">
            <v>93</v>
          </cell>
          <cell r="CT237">
            <v>-6.08</v>
          </cell>
          <cell r="CU237">
            <v>6.08</v>
          </cell>
          <cell r="CV237">
            <v>0</v>
          </cell>
          <cell r="CW237">
            <v>337.74</v>
          </cell>
          <cell r="CX237">
            <v>0</v>
          </cell>
          <cell r="CY237">
            <v>0</v>
          </cell>
          <cell r="CZ237">
            <v>0</v>
          </cell>
          <cell r="DA237">
            <v>0</v>
          </cell>
          <cell r="DB237">
            <v>0</v>
          </cell>
          <cell r="DC237">
            <v>0</v>
          </cell>
          <cell r="DD237">
            <v>0</v>
          </cell>
          <cell r="DE237">
            <v>0</v>
          </cell>
          <cell r="DF237">
            <v>0</v>
          </cell>
          <cell r="DG237">
            <v>0</v>
          </cell>
        </row>
        <row r="238">
          <cell r="A238">
            <v>6500810</v>
          </cell>
          <cell r="B238">
            <v>6500810</v>
          </cell>
          <cell r="C238" t="str">
            <v>Transp Veh Depr Oth</v>
          </cell>
          <cell r="D238">
            <v>139519.41</v>
          </cell>
          <cell r="E238">
            <v>135950.64000000001</v>
          </cell>
          <cell r="F238">
            <v>134421.28</v>
          </cell>
          <cell r="G238">
            <v>133855.57999999999</v>
          </cell>
          <cell r="H238">
            <v>133855.57999999999</v>
          </cell>
          <cell r="I238">
            <v>137512.59</v>
          </cell>
          <cell r="J238">
            <v>135624.81</v>
          </cell>
          <cell r="K238">
            <v>135629.15</v>
          </cell>
          <cell r="L238">
            <v>135620.42000000001</v>
          </cell>
          <cell r="M238">
            <v>135403.43</v>
          </cell>
          <cell r="N238">
            <v>137826.23000000001</v>
          </cell>
          <cell r="O238">
            <v>138371.76</v>
          </cell>
          <cell r="P238">
            <v>144483.5</v>
          </cell>
          <cell r="Q238">
            <v>144483.38</v>
          </cell>
          <cell r="R238">
            <v>144495.34</v>
          </cell>
          <cell r="S238">
            <v>140363.54</v>
          </cell>
          <cell r="T238">
            <v>141938.13</v>
          </cell>
          <cell r="U238">
            <v>143883.85999999999</v>
          </cell>
          <cell r="V238">
            <v>143886.72</v>
          </cell>
          <cell r="W238">
            <v>143894.41</v>
          </cell>
          <cell r="X238">
            <v>149508.57</v>
          </cell>
          <cell r="Y238">
            <v>155002.18</v>
          </cell>
          <cell r="Z238">
            <v>155899.26999999999</v>
          </cell>
          <cell r="AA238">
            <v>158734.78</v>
          </cell>
          <cell r="AB238">
            <v>159282.70000000001</v>
          </cell>
          <cell r="AC238">
            <v>161866.49</v>
          </cell>
          <cell r="AD238">
            <v>163028.34</v>
          </cell>
          <cell r="AE238">
            <v>161386.68</v>
          </cell>
          <cell r="AF238">
            <v>162039.95000000001</v>
          </cell>
          <cell r="AG238">
            <v>161607.31</v>
          </cell>
          <cell r="AH238">
            <v>83037.63</v>
          </cell>
          <cell r="AI238">
            <v>232331.28</v>
          </cell>
          <cell r="AJ238">
            <v>161073.94</v>
          </cell>
          <cell r="AK238">
            <v>160482.73000000001</v>
          </cell>
          <cell r="AL238">
            <v>163282.16</v>
          </cell>
          <cell r="AM238">
            <v>203401.38</v>
          </cell>
          <cell r="AN238">
            <v>173289.34</v>
          </cell>
          <cell r="AO238">
            <v>177967.55</v>
          </cell>
          <cell r="AP238">
            <v>177443.52</v>
          </cell>
          <cell r="AQ238">
            <v>179730.22</v>
          </cell>
          <cell r="AR238">
            <v>176589.98</v>
          </cell>
          <cell r="AS238">
            <v>176619.51</v>
          </cell>
          <cell r="AT238">
            <v>176481.19</v>
          </cell>
          <cell r="AU238">
            <v>176469.5</v>
          </cell>
          <cell r="AV238">
            <v>175937.82</v>
          </cell>
          <cell r="AW238">
            <v>175922.51</v>
          </cell>
          <cell r="AX238">
            <v>176492.47</v>
          </cell>
          <cell r="AY238">
            <v>180652.67</v>
          </cell>
          <cell r="AZ238">
            <v>181486.2</v>
          </cell>
          <cell r="BA238">
            <v>187257.89</v>
          </cell>
          <cell r="BB238">
            <v>188943.81</v>
          </cell>
          <cell r="BC238">
            <v>190724.2</v>
          </cell>
          <cell r="BD238">
            <v>189770.71</v>
          </cell>
          <cell r="BE238">
            <v>189929.92</v>
          </cell>
          <cell r="BF238">
            <v>191681.92000000001</v>
          </cell>
          <cell r="BG238">
            <v>192029.68</v>
          </cell>
          <cell r="BH238">
            <v>176492.47</v>
          </cell>
          <cell r="BI238">
            <v>206927.43</v>
          </cell>
          <cell r="BJ238">
            <v>190050.34</v>
          </cell>
          <cell r="BK238">
            <v>193413.34</v>
          </cell>
          <cell r="BL238">
            <v>197794.25</v>
          </cell>
          <cell r="BM238">
            <v>198024.19</v>
          </cell>
          <cell r="BN238">
            <v>199805.51</v>
          </cell>
          <cell r="BO238">
            <v>209287.97</v>
          </cell>
          <cell r="BP238">
            <v>213854.51</v>
          </cell>
          <cell r="BQ238">
            <v>214060.7</v>
          </cell>
          <cell r="BR238">
            <v>212505.22</v>
          </cell>
          <cell r="BS238">
            <v>208079.5</v>
          </cell>
          <cell r="BT238">
            <v>207477</v>
          </cell>
          <cell r="BU238">
            <v>207477</v>
          </cell>
          <cell r="BV238">
            <v>223186.22</v>
          </cell>
          <cell r="BW238">
            <v>225445.92</v>
          </cell>
          <cell r="BX238">
            <v>227176.11</v>
          </cell>
          <cell r="BY238">
            <v>232401.55</v>
          </cell>
          <cell r="BZ238">
            <v>233955.19</v>
          </cell>
          <cell r="CA238">
            <v>234145.58</v>
          </cell>
          <cell r="CB238">
            <v>233372.48</v>
          </cell>
          <cell r="CC238">
            <v>234886.39999999999</v>
          </cell>
          <cell r="CD238">
            <v>236769.55</v>
          </cell>
          <cell r="CE238">
            <v>240999.25</v>
          </cell>
          <cell r="CF238">
            <v>245333.42</v>
          </cell>
          <cell r="CG238">
            <v>248903.8</v>
          </cell>
          <cell r="CH238">
            <v>248986.57</v>
          </cell>
          <cell r="CI238">
            <v>252306.74</v>
          </cell>
          <cell r="CJ238">
            <v>136639.43</v>
          </cell>
          <cell r="CK238">
            <v>138801.04</v>
          </cell>
          <cell r="CL238">
            <v>141073.32</v>
          </cell>
          <cell r="CM238">
            <v>142702.07999999999</v>
          </cell>
          <cell r="CN238">
            <v>142250.14000000001</v>
          </cell>
          <cell r="CO238">
            <v>142442.78</v>
          </cell>
          <cell r="CP238">
            <v>142694.13</v>
          </cell>
          <cell r="CQ238">
            <v>143826.01999999999</v>
          </cell>
          <cell r="CR238">
            <v>145415.67999999999</v>
          </cell>
          <cell r="CS238">
            <v>145447.49</v>
          </cell>
          <cell r="CT238">
            <v>142863.26</v>
          </cell>
          <cell r="CU238">
            <v>142717.09</v>
          </cell>
          <cell r="CV238">
            <v>144125.07</v>
          </cell>
          <cell r="CW238">
            <v>141784.79</v>
          </cell>
          <cell r="CX238">
            <v>142703.99</v>
          </cell>
          <cell r="CY238">
            <v>144112.24</v>
          </cell>
          <cell r="CZ238">
            <v>144116.6</v>
          </cell>
          <cell r="DA238">
            <v>145352.06</v>
          </cell>
          <cell r="DB238">
            <v>147849.89000000001</v>
          </cell>
          <cell r="DC238">
            <v>148648.04999999999</v>
          </cell>
          <cell r="DD238">
            <v>152805.35</v>
          </cell>
          <cell r="DE238">
            <v>157524.31</v>
          </cell>
          <cell r="DF238">
            <v>157936.97</v>
          </cell>
          <cell r="DG238">
            <v>162956.41</v>
          </cell>
        </row>
        <row r="239">
          <cell r="A239">
            <v>6508999</v>
          </cell>
          <cell r="B239">
            <v>6508999</v>
          </cell>
          <cell r="C239" t="str">
            <v>Transprt Exp Reclass</v>
          </cell>
          <cell r="D239">
            <v>1314.52</v>
          </cell>
          <cell r="E239">
            <v>0</v>
          </cell>
          <cell r="F239">
            <v>0</v>
          </cell>
          <cell r="G239">
            <v>0</v>
          </cell>
          <cell r="H239">
            <v>0</v>
          </cell>
          <cell r="I239">
            <v>0</v>
          </cell>
          <cell r="J239">
            <v>0</v>
          </cell>
          <cell r="K239">
            <v>0</v>
          </cell>
          <cell r="L239">
            <v>0</v>
          </cell>
          <cell r="M239">
            <v>0</v>
          </cell>
          <cell r="N239">
            <v>2033.57</v>
          </cell>
          <cell r="O239">
            <v>164.9</v>
          </cell>
          <cell r="P239">
            <v>0</v>
          </cell>
          <cell r="Q239">
            <v>0</v>
          </cell>
          <cell r="R239">
            <v>0</v>
          </cell>
          <cell r="S239">
            <v>0</v>
          </cell>
          <cell r="T239">
            <v>647</v>
          </cell>
          <cell r="U239">
            <v>180.81</v>
          </cell>
          <cell r="V239">
            <v>135.59</v>
          </cell>
          <cell r="W239">
            <v>176.43</v>
          </cell>
          <cell r="X239">
            <v>201</v>
          </cell>
          <cell r="Y239">
            <v>124.29</v>
          </cell>
          <cell r="Z239">
            <v>549.87</v>
          </cell>
          <cell r="AA239">
            <v>326.7</v>
          </cell>
          <cell r="AB239">
            <v>257.38</v>
          </cell>
          <cell r="AC239">
            <v>246.11</v>
          </cell>
          <cell r="AD239">
            <v>136.61000000000001</v>
          </cell>
          <cell r="AE239">
            <v>161.88999999999999</v>
          </cell>
          <cell r="AF239">
            <v>0</v>
          </cell>
          <cell r="AG239">
            <v>547.36</v>
          </cell>
          <cell r="AH239">
            <v>489.15</v>
          </cell>
          <cell r="AI239">
            <v>332.2</v>
          </cell>
          <cell r="AJ239">
            <v>598.54999999999995</v>
          </cell>
          <cell r="AK239">
            <v>335.01</v>
          </cell>
          <cell r="AL239">
            <v>759.58</v>
          </cell>
          <cell r="AM239">
            <v>-2028.53</v>
          </cell>
          <cell r="AN239">
            <v>733.42</v>
          </cell>
          <cell r="AO239">
            <v>0.06</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7</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-2077.02</v>
          </cell>
          <cell r="CL239">
            <v>1977.54</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-221.26</v>
          </cell>
          <cell r="DF239">
            <v>221.26</v>
          </cell>
          <cell r="DG239">
            <v>0</v>
          </cell>
        </row>
        <row r="240">
          <cell r="A240">
            <v>6509000</v>
          </cell>
          <cell r="B240">
            <v>6509000</v>
          </cell>
          <cell r="C240" t="str">
            <v>Transport to BalSht</v>
          </cell>
          <cell r="D240">
            <v>19396.150000000001</v>
          </cell>
          <cell r="E240">
            <v>0</v>
          </cell>
          <cell r="F240">
            <v>-2473.4299999999998</v>
          </cell>
          <cell r="G240">
            <v>0</v>
          </cell>
          <cell r="H240">
            <v>0</v>
          </cell>
          <cell r="I240">
            <v>-306.83999999999997</v>
          </cell>
          <cell r="J240">
            <v>3018.5</v>
          </cell>
          <cell r="K240">
            <v>-10171.290000000001</v>
          </cell>
          <cell r="L240">
            <v>-224010.14</v>
          </cell>
          <cell r="M240">
            <v>-320682.71999999997</v>
          </cell>
          <cell r="N240">
            <v>439.86</v>
          </cell>
          <cell r="O240">
            <v>-164.9</v>
          </cell>
          <cell r="P240">
            <v>0</v>
          </cell>
          <cell r="Q240">
            <v>-5</v>
          </cell>
          <cell r="R240">
            <v>-40</v>
          </cell>
          <cell r="S240">
            <v>0</v>
          </cell>
          <cell r="T240">
            <v>-647</v>
          </cell>
          <cell r="U240">
            <v>-180.81</v>
          </cell>
          <cell r="V240">
            <v>1458.41</v>
          </cell>
          <cell r="W240">
            <v>324.54000000000002</v>
          </cell>
          <cell r="X240">
            <v>-485.39</v>
          </cell>
          <cell r="Y240">
            <v>-104.05</v>
          </cell>
          <cell r="Z240">
            <v>-3.94</v>
          </cell>
          <cell r="AA240">
            <v>-729.67</v>
          </cell>
          <cell r="AB240">
            <v>-182.57</v>
          </cell>
          <cell r="AC240">
            <v>-46.41</v>
          </cell>
          <cell r="AD240">
            <v>-12530.67</v>
          </cell>
          <cell r="AE240">
            <v>-763.65</v>
          </cell>
          <cell r="AF240">
            <v>-443.6</v>
          </cell>
          <cell r="AG240">
            <v>5263.11</v>
          </cell>
          <cell r="AH240">
            <v>-361.82</v>
          </cell>
          <cell r="AI240">
            <v>-176.88</v>
          </cell>
          <cell r="AJ240">
            <v>-6053.75</v>
          </cell>
          <cell r="AK240">
            <v>-72579.649999999994</v>
          </cell>
          <cell r="AL240">
            <v>-15759.57</v>
          </cell>
          <cell r="AM240">
            <v>370.2</v>
          </cell>
          <cell r="AN240">
            <v>-495.29</v>
          </cell>
          <cell r="AO240">
            <v>-50</v>
          </cell>
          <cell r="AP240">
            <v>-26834.27</v>
          </cell>
          <cell r="AQ240">
            <v>47.3</v>
          </cell>
          <cell r="AR240">
            <v>0</v>
          </cell>
          <cell r="AS240">
            <v>-200</v>
          </cell>
          <cell r="AT240">
            <v>-200</v>
          </cell>
          <cell r="AU240">
            <v>-1263.92</v>
          </cell>
          <cell r="AV240">
            <v>-6067.7</v>
          </cell>
          <cell r="AW240">
            <v>4238.05</v>
          </cell>
          <cell r="AX240">
            <v>-6062.73</v>
          </cell>
          <cell r="AY240">
            <v>-4758.84</v>
          </cell>
          <cell r="AZ240">
            <v>0</v>
          </cell>
          <cell r="BA240">
            <v>-1956.95</v>
          </cell>
          <cell r="BB240">
            <v>-2735.05</v>
          </cell>
          <cell r="BC240">
            <v>-4483.76</v>
          </cell>
          <cell r="BD240">
            <v>-23363.08</v>
          </cell>
          <cell r="BE240">
            <v>-13213.91</v>
          </cell>
          <cell r="BF240">
            <v>-1490.04</v>
          </cell>
          <cell r="BG240">
            <v>-6440.9</v>
          </cell>
          <cell r="BH240">
            <v>-2301.2399999999998</v>
          </cell>
          <cell r="BI240">
            <v>-1618.12</v>
          </cell>
          <cell r="BJ240">
            <v>-6022.69</v>
          </cell>
          <cell r="BK240">
            <v>-3929.4</v>
          </cell>
          <cell r="BL240">
            <v>0</v>
          </cell>
          <cell r="BM240">
            <v>0</v>
          </cell>
          <cell r="BN240">
            <v>-358.93</v>
          </cell>
          <cell r="BO240">
            <v>-163</v>
          </cell>
          <cell r="BP240">
            <v>-763</v>
          </cell>
          <cell r="BQ240">
            <v>-50</v>
          </cell>
          <cell r="BR240">
            <v>-2583.6799999999998</v>
          </cell>
          <cell r="BS240">
            <v>-1720.46</v>
          </cell>
          <cell r="BT240">
            <v>-377.5</v>
          </cell>
          <cell r="BU240">
            <v>-682.48</v>
          </cell>
          <cell r="BV240">
            <v>-4510.68</v>
          </cell>
          <cell r="BW240">
            <v>-1998.59</v>
          </cell>
          <cell r="BX240">
            <v>0</v>
          </cell>
          <cell r="BY240">
            <v>-5659.21</v>
          </cell>
          <cell r="BZ240">
            <v>0</v>
          </cell>
          <cell r="CA240">
            <v>0</v>
          </cell>
          <cell r="CB240">
            <v>-1</v>
          </cell>
          <cell r="CC240">
            <v>10000</v>
          </cell>
          <cell r="CD240">
            <v>-5685.29</v>
          </cell>
          <cell r="CE240">
            <v>-1730.5</v>
          </cell>
          <cell r="CF240">
            <v>-13237.47</v>
          </cell>
          <cell r="CG240">
            <v>-548</v>
          </cell>
          <cell r="CH240">
            <v>-2466.25</v>
          </cell>
          <cell r="CI240">
            <v>-2581.81</v>
          </cell>
          <cell r="CJ240">
            <v>-285.75</v>
          </cell>
          <cell r="CK240">
            <v>-40</v>
          </cell>
          <cell r="CL240">
            <v>-4106.55</v>
          </cell>
          <cell r="CM240">
            <v>-1698.57</v>
          </cell>
          <cell r="CN240">
            <v>-154.88999999999999</v>
          </cell>
          <cell r="CO240">
            <v>-386.86</v>
          </cell>
          <cell r="CP240">
            <v>-270.12</v>
          </cell>
          <cell r="CQ240">
            <v>-536.65</v>
          </cell>
          <cell r="CR240">
            <v>-12</v>
          </cell>
          <cell r="CS240">
            <v>-306.26</v>
          </cell>
          <cell r="CT240">
            <v>-40.549999999999997</v>
          </cell>
          <cell r="CU240">
            <v>-1496.26</v>
          </cell>
          <cell r="CV240">
            <v>-1291.5999999999999</v>
          </cell>
          <cell r="CW240">
            <v>-1300.5899999999999</v>
          </cell>
          <cell r="CX240">
            <v>-1325.31</v>
          </cell>
          <cell r="CY240">
            <v>-7642.07</v>
          </cell>
          <cell r="CZ240">
            <v>0</v>
          </cell>
          <cell r="DA240">
            <v>-1040.58</v>
          </cell>
          <cell r="DB240">
            <v>-1458.99</v>
          </cell>
          <cell r="DC240">
            <v>-393.85</v>
          </cell>
          <cell r="DD240">
            <v>-5292.45</v>
          </cell>
          <cell r="DE240">
            <v>-11671.95</v>
          </cell>
          <cell r="DF240">
            <v>-9609.5300000000007</v>
          </cell>
          <cell r="DG240">
            <v>-1831.94</v>
          </cell>
        </row>
        <row r="241">
          <cell r="A241">
            <v>6700400</v>
          </cell>
          <cell r="B241">
            <v>6700400</v>
          </cell>
          <cell r="C241" t="str">
            <v>Ins-FPSC Storm Rsv</v>
          </cell>
          <cell r="D241">
            <v>4791.67</v>
          </cell>
          <cell r="E241">
            <v>4791.67</v>
          </cell>
          <cell r="F241">
            <v>4791.67</v>
          </cell>
          <cell r="G241">
            <v>4791.67</v>
          </cell>
          <cell r="H241">
            <v>4791.67</v>
          </cell>
          <cell r="I241">
            <v>4791.67</v>
          </cell>
          <cell r="J241">
            <v>4791.67</v>
          </cell>
          <cell r="K241">
            <v>4791.67</v>
          </cell>
          <cell r="L241">
            <v>4791.67</v>
          </cell>
          <cell r="M241">
            <v>4791.67</v>
          </cell>
          <cell r="N241">
            <v>4791.67</v>
          </cell>
          <cell r="O241">
            <v>4791.67</v>
          </cell>
          <cell r="P241">
            <v>4791.67</v>
          </cell>
          <cell r="Q241">
            <v>4791.67</v>
          </cell>
          <cell r="R241">
            <v>4791.67</v>
          </cell>
          <cell r="S241">
            <v>4791.67</v>
          </cell>
          <cell r="T241">
            <v>4791.67</v>
          </cell>
          <cell r="U241">
            <v>4791.67</v>
          </cell>
          <cell r="V241">
            <v>4791.67</v>
          </cell>
          <cell r="W241">
            <v>4791.67</v>
          </cell>
          <cell r="X241">
            <v>4791.67</v>
          </cell>
          <cell r="Y241">
            <v>4791.67</v>
          </cell>
          <cell r="Z241">
            <v>4791.67</v>
          </cell>
          <cell r="AA241">
            <v>4791.67</v>
          </cell>
          <cell r="AB241">
            <v>4791.67</v>
          </cell>
          <cell r="AC241">
            <v>4791.67</v>
          </cell>
          <cell r="AD241">
            <v>4791.67</v>
          </cell>
          <cell r="AE241">
            <v>4791.67</v>
          </cell>
          <cell r="AF241">
            <v>4791.67</v>
          </cell>
          <cell r="AG241">
            <v>4791.67</v>
          </cell>
          <cell r="AH241">
            <v>4791.67</v>
          </cell>
          <cell r="AI241">
            <v>4791.67</v>
          </cell>
          <cell r="AJ241">
            <v>4791.67</v>
          </cell>
          <cell r="AK241">
            <v>4791.67</v>
          </cell>
          <cell r="AL241">
            <v>4791.67</v>
          </cell>
          <cell r="AM241">
            <v>4791.67</v>
          </cell>
          <cell r="AN241">
            <v>4791.67</v>
          </cell>
          <cell r="AO241">
            <v>4791.67</v>
          </cell>
          <cell r="AP241">
            <v>4791.67</v>
          </cell>
          <cell r="AQ241">
            <v>4791.67</v>
          </cell>
          <cell r="AR241">
            <v>4791.67</v>
          </cell>
          <cell r="AS241">
            <v>4791.67</v>
          </cell>
          <cell r="AT241">
            <v>4791.67</v>
          </cell>
          <cell r="AU241">
            <v>4791.67</v>
          </cell>
          <cell r="AV241">
            <v>4791.67</v>
          </cell>
          <cell r="AW241">
            <v>4791.67</v>
          </cell>
          <cell r="AX241">
            <v>4791.67</v>
          </cell>
          <cell r="AY241">
            <v>4791.67</v>
          </cell>
          <cell r="AZ241">
            <v>4791.67</v>
          </cell>
          <cell r="BA241">
            <v>4791.67</v>
          </cell>
          <cell r="BB241">
            <v>4791.67</v>
          </cell>
          <cell r="BC241">
            <v>4791.67</v>
          </cell>
          <cell r="BD241">
            <v>4791.67</v>
          </cell>
          <cell r="BE241">
            <v>4791.67</v>
          </cell>
          <cell r="BF241">
            <v>4791.67</v>
          </cell>
          <cell r="BG241">
            <v>4791.67</v>
          </cell>
          <cell r="BH241">
            <v>4791.67</v>
          </cell>
          <cell r="BI241">
            <v>4791.67</v>
          </cell>
          <cell r="BJ241">
            <v>4791.67</v>
          </cell>
          <cell r="BK241">
            <v>4791.67</v>
          </cell>
          <cell r="BL241">
            <v>4791.67</v>
          </cell>
          <cell r="BM241">
            <v>4791.67</v>
          </cell>
          <cell r="BN241">
            <v>4791.67</v>
          </cell>
          <cell r="BO241">
            <v>4791.67</v>
          </cell>
          <cell r="BP241">
            <v>4791.67</v>
          </cell>
          <cell r="BQ241">
            <v>4791.67</v>
          </cell>
          <cell r="BR241">
            <v>4791.67</v>
          </cell>
          <cell r="BS241">
            <v>579712.71</v>
          </cell>
          <cell r="BT241">
            <v>610759.89</v>
          </cell>
          <cell r="BU241">
            <v>608844.72</v>
          </cell>
          <cell r="BV241">
            <v>688731.05</v>
          </cell>
          <cell r="BW241">
            <v>957540.55</v>
          </cell>
          <cell r="BX241">
            <v>4791.67</v>
          </cell>
          <cell r="BY241">
            <v>4791.67</v>
          </cell>
          <cell r="BZ241">
            <v>4791.67</v>
          </cell>
          <cell r="CA241">
            <v>4791.67</v>
          </cell>
          <cell r="CB241">
            <v>4791.67</v>
          </cell>
          <cell r="CC241">
            <v>4791.67</v>
          </cell>
          <cell r="CD241">
            <v>4791.67</v>
          </cell>
          <cell r="CE241">
            <v>4791.67</v>
          </cell>
          <cell r="CF241">
            <v>4791.67</v>
          </cell>
          <cell r="CG241">
            <v>4791.67</v>
          </cell>
          <cell r="CH241">
            <v>4791.67</v>
          </cell>
          <cell r="CI241">
            <v>4791.67</v>
          </cell>
          <cell r="CJ241">
            <v>31666.67</v>
          </cell>
          <cell r="CK241">
            <v>31666.67</v>
          </cell>
          <cell r="CL241">
            <v>31666.67</v>
          </cell>
          <cell r="CM241">
            <v>31666.67</v>
          </cell>
          <cell r="CN241">
            <v>31666.67</v>
          </cell>
          <cell r="CO241">
            <v>31666.67</v>
          </cell>
          <cell r="CP241">
            <v>31666.67</v>
          </cell>
          <cell r="CQ241">
            <v>31666.67</v>
          </cell>
          <cell r="CR241">
            <v>31666.67</v>
          </cell>
          <cell r="CS241">
            <v>31666.67</v>
          </cell>
          <cell r="CT241">
            <v>31666.67</v>
          </cell>
          <cell r="CU241">
            <v>31666.67</v>
          </cell>
          <cell r="CV241">
            <v>31666.67</v>
          </cell>
          <cell r="CW241">
            <v>31666.67</v>
          </cell>
          <cell r="CX241">
            <v>31666.67</v>
          </cell>
          <cell r="CY241">
            <v>31666.67</v>
          </cell>
          <cell r="CZ241">
            <v>31666.67</v>
          </cell>
          <cell r="DA241">
            <v>31666.67</v>
          </cell>
          <cell r="DB241">
            <v>31666.67</v>
          </cell>
          <cell r="DC241">
            <v>31666.67</v>
          </cell>
          <cell r="DD241">
            <v>31666.67</v>
          </cell>
          <cell r="DE241">
            <v>31666.67</v>
          </cell>
          <cell r="DF241">
            <v>31666.67</v>
          </cell>
          <cell r="DG241">
            <v>31666.67</v>
          </cell>
        </row>
        <row r="242">
          <cell r="A242">
            <v>6700500</v>
          </cell>
          <cell r="B242">
            <v>6700500</v>
          </cell>
          <cell r="C242" t="str">
            <v>Ins-Automobile</v>
          </cell>
          <cell r="D242">
            <v>0</v>
          </cell>
          <cell r="E242">
            <v>0</v>
          </cell>
          <cell r="F242">
            <v>-0.06</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cell r="AF242"/>
          <cell r="AG242"/>
          <cell r="AH242"/>
          <cell r="AI242"/>
          <cell r="AJ242"/>
          <cell r="AK242"/>
          <cell r="AL242"/>
          <cell r="AM242"/>
          <cell r="AN242"/>
          <cell r="AO242"/>
          <cell r="AP242"/>
          <cell r="AQ242"/>
          <cell r="AR242"/>
          <cell r="AS242"/>
          <cell r="AT242"/>
          <cell r="AU242"/>
          <cell r="AV242"/>
          <cell r="AW242"/>
          <cell r="AX242"/>
          <cell r="AY242"/>
          <cell r="AZ242"/>
          <cell r="BA242"/>
          <cell r="BB242"/>
          <cell r="BC242"/>
          <cell r="BD242"/>
          <cell r="BE242"/>
          <cell r="BF242"/>
          <cell r="BG242"/>
          <cell r="BH242"/>
          <cell r="BI242"/>
          <cell r="BJ242"/>
          <cell r="BK242"/>
          <cell r="BL242"/>
          <cell r="BM242"/>
          <cell r="BN242"/>
          <cell r="BO242"/>
          <cell r="BP242"/>
          <cell r="BQ242"/>
          <cell r="BR242"/>
          <cell r="BS242"/>
          <cell r="BT242"/>
          <cell r="BU242"/>
          <cell r="BV242"/>
          <cell r="BW242"/>
          <cell r="BX242"/>
          <cell r="BY242"/>
          <cell r="BZ242"/>
          <cell r="CA242"/>
          <cell r="CB242"/>
          <cell r="CC242"/>
          <cell r="CD242"/>
          <cell r="CE242"/>
          <cell r="CF242"/>
          <cell r="CG242"/>
          <cell r="CH242"/>
          <cell r="CI242"/>
          <cell r="CJ242"/>
          <cell r="CK242"/>
          <cell r="CL242"/>
          <cell r="CM242"/>
          <cell r="CN242"/>
          <cell r="CO242"/>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row>
        <row r="243">
          <cell r="A243">
            <v>6700502</v>
          </cell>
          <cell r="B243">
            <v>6700502</v>
          </cell>
          <cell r="C243" t="str">
            <v>Ins-Brokerage Fees</v>
          </cell>
          <cell r="D243">
            <v>0</v>
          </cell>
          <cell r="E243">
            <v>0</v>
          </cell>
          <cell r="F243">
            <v>0.04</v>
          </cell>
          <cell r="G243">
            <v>0</v>
          </cell>
          <cell r="H243">
            <v>26000</v>
          </cell>
          <cell r="I243">
            <v>0</v>
          </cell>
          <cell r="J243">
            <v>0</v>
          </cell>
          <cell r="K243">
            <v>-22700</v>
          </cell>
          <cell r="L243">
            <v>19720</v>
          </cell>
          <cell r="M243">
            <v>0</v>
          </cell>
          <cell r="N243">
            <v>0</v>
          </cell>
          <cell r="O243">
            <v>0</v>
          </cell>
          <cell r="P243">
            <v>0</v>
          </cell>
          <cell r="Q243">
            <v>0</v>
          </cell>
          <cell r="R243">
            <v>0</v>
          </cell>
          <cell r="S243">
            <v>0</v>
          </cell>
          <cell r="T243">
            <v>2500</v>
          </cell>
          <cell r="U243">
            <v>0</v>
          </cell>
          <cell r="V243">
            <v>0</v>
          </cell>
          <cell r="W243">
            <v>16870</v>
          </cell>
          <cell r="X243">
            <v>0</v>
          </cell>
          <cell r="Y243">
            <v>0</v>
          </cell>
          <cell r="Z243">
            <v>0</v>
          </cell>
          <cell r="AA243">
            <v>0</v>
          </cell>
          <cell r="AB243">
            <v>0</v>
          </cell>
          <cell r="AC243">
            <v>0</v>
          </cell>
          <cell r="AD243">
            <v>0</v>
          </cell>
          <cell r="AE243">
            <v>0</v>
          </cell>
          <cell r="AF243">
            <v>2450</v>
          </cell>
          <cell r="AG243">
            <v>17771.53</v>
          </cell>
          <cell r="AH243">
            <v>-4080.46</v>
          </cell>
          <cell r="AI243">
            <v>0</v>
          </cell>
          <cell r="AJ243">
            <v>0</v>
          </cell>
          <cell r="AK243">
            <v>0</v>
          </cell>
          <cell r="AL243">
            <v>0</v>
          </cell>
          <cell r="AM243">
            <v>12416.21</v>
          </cell>
          <cell r="AN243">
            <v>0</v>
          </cell>
          <cell r="AO243">
            <v>0</v>
          </cell>
          <cell r="AP243">
            <v>2164.0100000000002</v>
          </cell>
          <cell r="AQ243">
            <v>0</v>
          </cell>
          <cell r="AR243">
            <v>0</v>
          </cell>
          <cell r="AS243">
            <v>0</v>
          </cell>
          <cell r="AT243">
            <v>0</v>
          </cell>
          <cell r="AU243">
            <v>0</v>
          </cell>
          <cell r="AV243">
            <v>0</v>
          </cell>
          <cell r="AW243">
            <v>0</v>
          </cell>
          <cell r="AX243">
            <v>0</v>
          </cell>
          <cell r="AY243">
            <v>42500</v>
          </cell>
          <cell r="AZ243">
            <v>-19833.47</v>
          </cell>
          <cell r="BA243">
            <v>23132.639999999999</v>
          </cell>
          <cell r="BB243">
            <v>650</v>
          </cell>
          <cell r="BC243">
            <v>0</v>
          </cell>
          <cell r="BD243">
            <v>0</v>
          </cell>
          <cell r="BE243">
            <v>0</v>
          </cell>
          <cell r="BF243">
            <v>0</v>
          </cell>
          <cell r="BG243">
            <v>0</v>
          </cell>
          <cell r="BH243">
            <v>0</v>
          </cell>
          <cell r="BI243">
            <v>0</v>
          </cell>
          <cell r="BJ243">
            <v>0</v>
          </cell>
          <cell r="BK243">
            <v>45500</v>
          </cell>
          <cell r="BL243">
            <v>0</v>
          </cell>
          <cell r="BM243">
            <v>0</v>
          </cell>
          <cell r="BN243">
            <v>0</v>
          </cell>
          <cell r="BO243">
            <v>-8688.82</v>
          </cell>
          <cell r="BP243">
            <v>650</v>
          </cell>
          <cell r="BQ243">
            <v>0</v>
          </cell>
          <cell r="BR243">
            <v>0</v>
          </cell>
          <cell r="BS243">
            <v>0</v>
          </cell>
          <cell r="BT243">
            <v>0</v>
          </cell>
          <cell r="BU243">
            <v>0</v>
          </cell>
          <cell r="BV243">
            <v>0</v>
          </cell>
          <cell r="BW243">
            <v>65500</v>
          </cell>
          <cell r="BX243">
            <v>-5807.18</v>
          </cell>
          <cell r="BY243">
            <v>650</v>
          </cell>
          <cell r="BZ243">
            <v>0</v>
          </cell>
          <cell r="CA243">
            <v>0</v>
          </cell>
          <cell r="CB243">
            <v>125</v>
          </cell>
          <cell r="CC243">
            <v>0</v>
          </cell>
          <cell r="CD243">
            <v>0</v>
          </cell>
          <cell r="CE243">
            <v>0</v>
          </cell>
          <cell r="CF243">
            <v>0</v>
          </cell>
          <cell r="CG243">
            <v>0</v>
          </cell>
          <cell r="CH243">
            <v>0</v>
          </cell>
          <cell r="CI243">
            <v>82000</v>
          </cell>
          <cell r="CJ243">
            <v>-28429.58</v>
          </cell>
          <cell r="CK243">
            <v>0</v>
          </cell>
          <cell r="CL243">
            <v>800</v>
          </cell>
          <cell r="CM243">
            <v>0</v>
          </cell>
          <cell r="CN243">
            <v>0</v>
          </cell>
          <cell r="CO243">
            <v>0</v>
          </cell>
          <cell r="CP243">
            <v>800</v>
          </cell>
          <cell r="CQ243">
            <v>0</v>
          </cell>
          <cell r="CR243">
            <v>0</v>
          </cell>
          <cell r="CS243">
            <v>0</v>
          </cell>
          <cell r="CT243">
            <v>0</v>
          </cell>
          <cell r="CU243">
            <v>59500</v>
          </cell>
          <cell r="CV243">
            <v>-1771.86</v>
          </cell>
          <cell r="CW243">
            <v>0</v>
          </cell>
          <cell r="CX243">
            <v>0</v>
          </cell>
          <cell r="CY243">
            <v>-111</v>
          </cell>
          <cell r="CZ243">
            <v>0</v>
          </cell>
          <cell r="DA243">
            <v>0</v>
          </cell>
          <cell r="DB243">
            <v>-2600</v>
          </cell>
          <cell r="DC243">
            <v>889</v>
          </cell>
          <cell r="DD243">
            <v>0</v>
          </cell>
          <cell r="DE243">
            <v>0</v>
          </cell>
          <cell r="DF243">
            <v>0</v>
          </cell>
          <cell r="DG243">
            <v>119000</v>
          </cell>
        </row>
        <row r="244">
          <cell r="A244">
            <v>6700503</v>
          </cell>
          <cell r="B244">
            <v>6700503</v>
          </cell>
          <cell r="C244" t="str">
            <v>Ins-Crime &amp; Fidelity</v>
          </cell>
          <cell r="D244">
            <v>378.63</v>
          </cell>
          <cell r="E244">
            <v>378.63</v>
          </cell>
          <cell r="F244">
            <v>378.63</v>
          </cell>
          <cell r="G244">
            <v>378.63</v>
          </cell>
          <cell r="H244">
            <v>378.63</v>
          </cell>
          <cell r="I244">
            <v>378.63</v>
          </cell>
          <cell r="J244">
            <v>401.34</v>
          </cell>
          <cell r="K244">
            <v>401.34</v>
          </cell>
          <cell r="L244">
            <v>401.34</v>
          </cell>
          <cell r="M244">
            <v>401.34</v>
          </cell>
          <cell r="N244">
            <v>401.34</v>
          </cell>
          <cell r="O244">
            <v>401.34</v>
          </cell>
          <cell r="P244">
            <v>401.34</v>
          </cell>
          <cell r="Q244">
            <v>401.34</v>
          </cell>
          <cell r="R244">
            <v>401.34</v>
          </cell>
          <cell r="S244">
            <v>401.34</v>
          </cell>
          <cell r="T244">
            <v>401.34</v>
          </cell>
          <cell r="U244">
            <v>792.75</v>
          </cell>
          <cell r="V244">
            <v>391.46</v>
          </cell>
          <cell r="W244">
            <v>391.46</v>
          </cell>
          <cell r="X244">
            <v>391.46</v>
          </cell>
          <cell r="Y244">
            <v>391.46</v>
          </cell>
          <cell r="Z244">
            <v>391.46</v>
          </cell>
          <cell r="AA244">
            <v>391.46</v>
          </cell>
          <cell r="AB244">
            <v>391.46</v>
          </cell>
          <cell r="AC244">
            <v>391.46</v>
          </cell>
          <cell r="AD244">
            <v>391.46</v>
          </cell>
          <cell r="AE244">
            <v>391.46</v>
          </cell>
          <cell r="AF244">
            <v>391.48</v>
          </cell>
          <cell r="AG244">
            <v>388.95</v>
          </cell>
          <cell r="AH244">
            <v>582.36</v>
          </cell>
          <cell r="AI244">
            <v>193.41</v>
          </cell>
          <cell r="AJ244">
            <v>971.29</v>
          </cell>
          <cell r="AK244">
            <v>193.41</v>
          </cell>
          <cell r="AL244">
            <v>193.41</v>
          </cell>
          <cell r="AM244">
            <v>193.39</v>
          </cell>
          <cell r="AN244">
            <v>0</v>
          </cell>
          <cell r="AO244">
            <v>0</v>
          </cell>
          <cell r="AP244">
            <v>1384.28</v>
          </cell>
          <cell r="AQ244">
            <v>461.45</v>
          </cell>
          <cell r="AR244">
            <v>461.45</v>
          </cell>
          <cell r="AS244">
            <v>461.45</v>
          </cell>
          <cell r="AT244">
            <v>461.45</v>
          </cell>
          <cell r="AU244">
            <v>461.45</v>
          </cell>
          <cell r="AV244">
            <v>461.45</v>
          </cell>
          <cell r="AW244">
            <v>461.45</v>
          </cell>
          <cell r="AX244">
            <v>461.45</v>
          </cell>
          <cell r="AY244">
            <v>461.45</v>
          </cell>
          <cell r="AZ244">
            <v>450</v>
          </cell>
          <cell r="BA244">
            <v>450</v>
          </cell>
          <cell r="BB244">
            <v>1223.8499999999999</v>
          </cell>
          <cell r="BC244">
            <v>707.95</v>
          </cell>
          <cell r="BD244">
            <v>707.95</v>
          </cell>
          <cell r="BE244">
            <v>707.95</v>
          </cell>
          <cell r="BF244">
            <v>707.95</v>
          </cell>
          <cell r="BG244">
            <v>707.95</v>
          </cell>
          <cell r="BH244">
            <v>707.95</v>
          </cell>
          <cell r="BI244">
            <v>707.95</v>
          </cell>
          <cell r="BJ244">
            <v>707.95</v>
          </cell>
          <cell r="BK244">
            <v>707.95</v>
          </cell>
          <cell r="BL244">
            <v>679.01</v>
          </cell>
          <cell r="BM244">
            <v>678.98</v>
          </cell>
          <cell r="BN244">
            <v>678.98</v>
          </cell>
          <cell r="BO244">
            <v>678.98</v>
          </cell>
          <cell r="BP244">
            <v>678.98</v>
          </cell>
          <cell r="BQ244">
            <v>678.98</v>
          </cell>
          <cell r="BR244">
            <v>678.98</v>
          </cell>
          <cell r="BS244">
            <v>678.98</v>
          </cell>
          <cell r="BT244">
            <v>678.98</v>
          </cell>
          <cell r="BU244">
            <v>678.98</v>
          </cell>
          <cell r="BV244">
            <v>678.98</v>
          </cell>
          <cell r="BW244">
            <v>678.98</v>
          </cell>
          <cell r="BX244">
            <v>327.78</v>
          </cell>
          <cell r="BY244">
            <v>583.63</v>
          </cell>
          <cell r="BZ244">
            <v>455.69</v>
          </cell>
          <cell r="CA244">
            <v>455.69</v>
          </cell>
          <cell r="CB244">
            <v>455.69</v>
          </cell>
          <cell r="CC244">
            <v>455.69</v>
          </cell>
          <cell r="CD244">
            <v>455.69</v>
          </cell>
          <cell r="CE244">
            <v>455.69</v>
          </cell>
          <cell r="CF244">
            <v>455.69</v>
          </cell>
          <cell r="CG244">
            <v>455.69</v>
          </cell>
          <cell r="CH244">
            <v>455.69</v>
          </cell>
          <cell r="CI244">
            <v>455.69</v>
          </cell>
          <cell r="CJ244">
            <v>567.25</v>
          </cell>
          <cell r="CK244">
            <v>567.23</v>
          </cell>
          <cell r="CL244">
            <v>567.23</v>
          </cell>
          <cell r="CM244">
            <v>567.23</v>
          </cell>
          <cell r="CN244">
            <v>567.23</v>
          </cell>
          <cell r="CO244">
            <v>567.23</v>
          </cell>
          <cell r="CP244">
            <v>567.23</v>
          </cell>
          <cell r="CQ244">
            <v>567.23</v>
          </cell>
          <cell r="CR244">
            <v>567.23</v>
          </cell>
          <cell r="CS244">
            <v>567.23</v>
          </cell>
          <cell r="CT244">
            <v>567.23</v>
          </cell>
          <cell r="CU244">
            <v>567.23</v>
          </cell>
          <cell r="CV244">
            <v>700</v>
          </cell>
          <cell r="CW244">
            <v>844.5</v>
          </cell>
          <cell r="CX244">
            <v>772.23</v>
          </cell>
          <cell r="CY244">
            <v>772.23</v>
          </cell>
          <cell r="CZ244">
            <v>772.23</v>
          </cell>
          <cell r="DA244">
            <v>772.23</v>
          </cell>
          <cell r="DB244">
            <v>772.23</v>
          </cell>
          <cell r="DC244">
            <v>772.23</v>
          </cell>
          <cell r="DD244">
            <v>772.23</v>
          </cell>
          <cell r="DE244">
            <v>772.23</v>
          </cell>
          <cell r="DF244">
            <v>772.23</v>
          </cell>
          <cell r="DG244">
            <v>772.23</v>
          </cell>
        </row>
        <row r="245">
          <cell r="A245">
            <v>6700504</v>
          </cell>
          <cell r="B245">
            <v>6700504</v>
          </cell>
          <cell r="C245" t="str">
            <v>Insurance - Directors &amp; Officers</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v>4002.17</v>
          </cell>
          <cell r="BY245">
            <v>4002.15</v>
          </cell>
          <cell r="BZ245">
            <v>4002.15</v>
          </cell>
          <cell r="CA245">
            <v>4002.15</v>
          </cell>
          <cell r="CB245">
            <v>4002.15</v>
          </cell>
          <cell r="CC245">
            <v>4002.15</v>
          </cell>
          <cell r="CD245">
            <v>4002.15</v>
          </cell>
          <cell r="CE245">
            <v>4002.15</v>
          </cell>
          <cell r="CF245">
            <v>4002.15</v>
          </cell>
          <cell r="CG245">
            <v>4002.15</v>
          </cell>
          <cell r="CH245">
            <v>4002.15</v>
          </cell>
          <cell r="CI245">
            <v>4002.15</v>
          </cell>
          <cell r="CJ245">
            <v>4725.03</v>
          </cell>
          <cell r="CK245">
            <v>4795.7299999999996</v>
          </cell>
          <cell r="CL245">
            <v>4760.63</v>
          </cell>
          <cell r="CM245">
            <v>4760.63</v>
          </cell>
          <cell r="CN245">
            <v>4760.63</v>
          </cell>
          <cell r="CO245">
            <v>4760.63</v>
          </cell>
          <cell r="CP245">
            <v>4760.63</v>
          </cell>
          <cell r="CQ245">
            <v>4760.63</v>
          </cell>
          <cell r="CR245">
            <v>4760.63</v>
          </cell>
          <cell r="CS245">
            <v>4760.63</v>
          </cell>
          <cell r="CT245">
            <v>4760.63</v>
          </cell>
          <cell r="CU245">
            <v>4760.63</v>
          </cell>
          <cell r="CV245">
            <v>5892.02</v>
          </cell>
          <cell r="CW245">
            <v>5892.02</v>
          </cell>
          <cell r="CX245">
            <v>5892.02</v>
          </cell>
          <cell r="CY245">
            <v>5892.02</v>
          </cell>
          <cell r="CZ245">
            <v>5892.02</v>
          </cell>
          <cell r="DA245">
            <v>5892.02</v>
          </cell>
          <cell r="DB245">
            <v>5892.02</v>
          </cell>
          <cell r="DC245">
            <v>5892.02</v>
          </cell>
          <cell r="DD245">
            <v>5892.02</v>
          </cell>
          <cell r="DE245">
            <v>5892.02</v>
          </cell>
          <cell r="DF245">
            <v>5892.02</v>
          </cell>
          <cell r="DG245">
            <v>5892.02</v>
          </cell>
        </row>
        <row r="246">
          <cell r="A246">
            <v>6700505</v>
          </cell>
          <cell r="B246">
            <v>6700505</v>
          </cell>
          <cell r="C246" t="str">
            <v>Ins-Errors&amp;Omissions</v>
          </cell>
          <cell r="D246">
            <v>2120.6999999999998</v>
          </cell>
          <cell r="E246">
            <v>2120.6999999999998</v>
          </cell>
          <cell r="F246">
            <v>2120.6999999999998</v>
          </cell>
          <cell r="G246">
            <v>2120.6999999999998</v>
          </cell>
          <cell r="H246">
            <v>2120.6999999999998</v>
          </cell>
          <cell r="I246">
            <v>2120.6999999999998</v>
          </cell>
          <cell r="J246">
            <v>2258.3000000000002</v>
          </cell>
          <cell r="K246">
            <v>2258.3000000000002</v>
          </cell>
          <cell r="L246">
            <v>2258.3000000000002</v>
          </cell>
          <cell r="M246">
            <v>2258.3000000000002</v>
          </cell>
          <cell r="N246">
            <v>2258.3000000000002</v>
          </cell>
          <cell r="O246">
            <v>2258.3000000000002</v>
          </cell>
          <cell r="P246">
            <v>2258.3000000000002</v>
          </cell>
          <cell r="Q246">
            <v>2258.3000000000002</v>
          </cell>
          <cell r="R246">
            <v>2258.3000000000002</v>
          </cell>
          <cell r="S246">
            <v>2258.3000000000002</v>
          </cell>
          <cell r="T246">
            <v>2258.3000000000002</v>
          </cell>
          <cell r="U246">
            <v>2258.2800000000002</v>
          </cell>
          <cell r="V246">
            <v>348.55</v>
          </cell>
          <cell r="W246">
            <v>348.55</v>
          </cell>
          <cell r="X246">
            <v>348.55</v>
          </cell>
          <cell r="Y246">
            <v>348.55</v>
          </cell>
          <cell r="Z246">
            <v>348.55</v>
          </cell>
          <cell r="AA246">
            <v>348.55</v>
          </cell>
          <cell r="AB246">
            <v>348.55</v>
          </cell>
          <cell r="AC246">
            <v>348.55</v>
          </cell>
          <cell r="AD246">
            <v>348.55</v>
          </cell>
          <cell r="AE246">
            <v>348.55</v>
          </cell>
          <cell r="AF246">
            <v>348.55</v>
          </cell>
          <cell r="AG246">
            <v>348.56</v>
          </cell>
          <cell r="AH246">
            <v>223.02</v>
          </cell>
          <cell r="AI246">
            <v>223.02</v>
          </cell>
          <cell r="AJ246">
            <v>223.02</v>
          </cell>
          <cell r="AK246">
            <v>223.02</v>
          </cell>
          <cell r="AL246">
            <v>223.02</v>
          </cell>
          <cell r="AM246">
            <v>223.02</v>
          </cell>
          <cell r="AN246">
            <v>223.02</v>
          </cell>
          <cell r="AO246">
            <v>223.02</v>
          </cell>
          <cell r="AP246">
            <v>223.02</v>
          </cell>
          <cell r="AQ246">
            <v>223.02</v>
          </cell>
          <cell r="AR246">
            <v>223.02</v>
          </cell>
          <cell r="AS246">
            <v>223.02</v>
          </cell>
          <cell r="AT246">
            <v>224.15</v>
          </cell>
          <cell r="AU246">
            <v>224.17</v>
          </cell>
          <cell r="AV246">
            <v>224.17</v>
          </cell>
          <cell r="AW246">
            <v>224.17</v>
          </cell>
          <cell r="AX246">
            <v>224.17</v>
          </cell>
          <cell r="AY246">
            <v>246.67</v>
          </cell>
          <cell r="AZ246">
            <v>246.66</v>
          </cell>
          <cell r="BA246">
            <v>175.44</v>
          </cell>
          <cell r="BB246">
            <v>222.91</v>
          </cell>
          <cell r="BC246">
            <v>222.91</v>
          </cell>
          <cell r="BD246">
            <v>222.91</v>
          </cell>
          <cell r="BE246">
            <v>222.91</v>
          </cell>
          <cell r="BF246">
            <v>222.91</v>
          </cell>
          <cell r="BG246">
            <v>222.91</v>
          </cell>
          <cell r="BH246">
            <v>222.91</v>
          </cell>
          <cell r="BI246">
            <v>222.91</v>
          </cell>
          <cell r="BJ246">
            <v>222.91</v>
          </cell>
          <cell r="BK246">
            <v>200</v>
          </cell>
          <cell r="BL246">
            <v>245.86</v>
          </cell>
          <cell r="BM246">
            <v>222.91</v>
          </cell>
          <cell r="BN246">
            <v>222.91</v>
          </cell>
          <cell r="BO246">
            <v>222.91</v>
          </cell>
          <cell r="BP246">
            <v>222.91</v>
          </cell>
          <cell r="BQ246">
            <v>222.91</v>
          </cell>
          <cell r="BR246">
            <v>222.91</v>
          </cell>
          <cell r="BS246">
            <v>222.91</v>
          </cell>
          <cell r="BT246">
            <v>222.91</v>
          </cell>
          <cell r="BU246">
            <v>222.91</v>
          </cell>
          <cell r="BV246">
            <v>222.91</v>
          </cell>
          <cell r="BW246">
            <v>222.95</v>
          </cell>
          <cell r="BX246">
            <v>222.91</v>
          </cell>
          <cell r="BY246">
            <v>222.91</v>
          </cell>
          <cell r="BZ246">
            <v>222.91</v>
          </cell>
          <cell r="CA246">
            <v>222.91</v>
          </cell>
          <cell r="CB246">
            <v>222.91</v>
          </cell>
          <cell r="CC246">
            <v>222.91</v>
          </cell>
          <cell r="CD246">
            <v>222.91</v>
          </cell>
          <cell r="CE246">
            <v>222.91</v>
          </cell>
          <cell r="CF246">
            <v>222.91</v>
          </cell>
          <cell r="CG246">
            <v>222.91</v>
          </cell>
          <cell r="CH246">
            <v>222.91</v>
          </cell>
          <cell r="CI246">
            <v>280</v>
          </cell>
          <cell r="CJ246">
            <v>210</v>
          </cell>
          <cell r="CK246">
            <v>245</v>
          </cell>
          <cell r="CL246">
            <v>245</v>
          </cell>
          <cell r="CM246">
            <v>257.45</v>
          </cell>
          <cell r="CN246">
            <v>245</v>
          </cell>
          <cell r="CO246">
            <v>245</v>
          </cell>
          <cell r="CP246">
            <v>245</v>
          </cell>
          <cell r="CQ246">
            <v>245</v>
          </cell>
          <cell r="CR246">
            <v>245</v>
          </cell>
          <cell r="CS246">
            <v>245</v>
          </cell>
          <cell r="CT246">
            <v>245</v>
          </cell>
          <cell r="CU246">
            <v>300</v>
          </cell>
          <cell r="CV246">
            <v>214.15</v>
          </cell>
          <cell r="CW246">
            <v>257.08</v>
          </cell>
          <cell r="CX246">
            <v>257.08</v>
          </cell>
          <cell r="CY246">
            <v>257.08</v>
          </cell>
          <cell r="CZ246">
            <v>257.08</v>
          </cell>
          <cell r="DA246">
            <v>257.08</v>
          </cell>
          <cell r="DB246">
            <v>257.08</v>
          </cell>
          <cell r="DC246">
            <v>257.08</v>
          </cell>
          <cell r="DD246">
            <v>257.08</v>
          </cell>
          <cell r="DE246">
            <v>257.08</v>
          </cell>
          <cell r="DF246">
            <v>257.08</v>
          </cell>
          <cell r="DG246">
            <v>257.08</v>
          </cell>
        </row>
        <row r="247">
          <cell r="A247">
            <v>6700506</v>
          </cell>
          <cell r="B247">
            <v>6700506</v>
          </cell>
          <cell r="C247" t="str">
            <v>Ins-Excess Auto</v>
          </cell>
          <cell r="D247">
            <v>11540.95</v>
          </cell>
          <cell r="E247">
            <v>11540.95</v>
          </cell>
          <cell r="F247">
            <v>11540.95</v>
          </cell>
          <cell r="G247">
            <v>11540.95</v>
          </cell>
          <cell r="H247">
            <v>11540.95</v>
          </cell>
          <cell r="I247">
            <v>11540.95</v>
          </cell>
          <cell r="J247">
            <v>12607.86</v>
          </cell>
          <cell r="K247">
            <v>12607.86</v>
          </cell>
          <cell r="L247">
            <v>12607.86</v>
          </cell>
          <cell r="M247">
            <v>12607.86</v>
          </cell>
          <cell r="N247">
            <v>12607.86</v>
          </cell>
          <cell r="O247">
            <v>12607.86</v>
          </cell>
          <cell r="P247">
            <v>12607.86</v>
          </cell>
          <cell r="Q247">
            <v>12607.86</v>
          </cell>
          <cell r="R247">
            <v>12607.86</v>
          </cell>
          <cell r="S247">
            <v>12607.86</v>
          </cell>
          <cell r="T247">
            <v>12607.86</v>
          </cell>
          <cell r="U247">
            <v>12607.81</v>
          </cell>
          <cell r="V247">
            <v>8963.99</v>
          </cell>
          <cell r="W247">
            <v>8963.99</v>
          </cell>
          <cell r="X247">
            <v>8963.99</v>
          </cell>
          <cell r="Y247">
            <v>8963.99</v>
          </cell>
          <cell r="Z247">
            <v>8963.99</v>
          </cell>
          <cell r="AA247">
            <v>8963.99</v>
          </cell>
          <cell r="AB247">
            <v>8963.99</v>
          </cell>
          <cell r="AC247">
            <v>9962.81</v>
          </cell>
          <cell r="AD247">
            <v>8963.99</v>
          </cell>
          <cell r="AE247">
            <v>8963.99</v>
          </cell>
          <cell r="AF247">
            <v>8963.99</v>
          </cell>
          <cell r="AG247">
            <v>8964</v>
          </cell>
          <cell r="AH247">
            <v>10196.56</v>
          </cell>
          <cell r="AI247">
            <v>10196.56</v>
          </cell>
          <cell r="AJ247">
            <v>10196.56</v>
          </cell>
          <cell r="AK247">
            <v>10196.56</v>
          </cell>
          <cell r="AL247">
            <v>10196.56</v>
          </cell>
          <cell r="AM247">
            <v>10196.56</v>
          </cell>
          <cell r="AN247">
            <v>10196.56</v>
          </cell>
          <cell r="AO247">
            <v>10196.56</v>
          </cell>
          <cell r="AP247">
            <v>12585.18</v>
          </cell>
          <cell r="AQ247">
            <v>10770.32</v>
          </cell>
          <cell r="AR247">
            <v>10770.32</v>
          </cell>
          <cell r="AS247">
            <v>10770.32</v>
          </cell>
          <cell r="AT247">
            <v>10770.32</v>
          </cell>
          <cell r="AU247">
            <v>10770.32</v>
          </cell>
          <cell r="AV247">
            <v>10770.32</v>
          </cell>
          <cell r="AW247">
            <v>10770.32</v>
          </cell>
          <cell r="AX247">
            <v>10770.32</v>
          </cell>
          <cell r="AY247">
            <v>11857</v>
          </cell>
          <cell r="AZ247">
            <v>21697.58</v>
          </cell>
          <cell r="BA247">
            <v>16777.29</v>
          </cell>
          <cell r="BB247">
            <v>16777.29</v>
          </cell>
          <cell r="BC247">
            <v>16777.29</v>
          </cell>
          <cell r="BD247">
            <v>16777.29</v>
          </cell>
          <cell r="BE247">
            <v>16777.29</v>
          </cell>
          <cell r="BF247">
            <v>16777.29</v>
          </cell>
          <cell r="BG247">
            <v>16777.29</v>
          </cell>
          <cell r="BH247">
            <v>16777.29</v>
          </cell>
          <cell r="BI247">
            <v>16777.29</v>
          </cell>
          <cell r="BJ247">
            <v>16777.29</v>
          </cell>
          <cell r="BK247">
            <v>17000</v>
          </cell>
          <cell r="BL247">
            <v>16978.060000000001</v>
          </cell>
          <cell r="BM247">
            <v>16989.02</v>
          </cell>
          <cell r="BN247">
            <v>16989.02</v>
          </cell>
          <cell r="BO247">
            <v>16989.02</v>
          </cell>
          <cell r="BP247">
            <v>16989.02</v>
          </cell>
          <cell r="BQ247">
            <v>16989.02</v>
          </cell>
          <cell r="BR247">
            <v>16989.02</v>
          </cell>
          <cell r="BS247">
            <v>16989.02</v>
          </cell>
          <cell r="BT247">
            <v>16989.02</v>
          </cell>
          <cell r="BU247">
            <v>16989.02</v>
          </cell>
          <cell r="BV247">
            <v>16989.02</v>
          </cell>
          <cell r="BW247">
            <v>17000</v>
          </cell>
          <cell r="BX247">
            <v>17000</v>
          </cell>
          <cell r="BY247">
            <v>17251.38</v>
          </cell>
          <cell r="BZ247">
            <v>17083.79</v>
          </cell>
          <cell r="CA247">
            <v>17083.79</v>
          </cell>
          <cell r="CB247">
            <v>17083.79</v>
          </cell>
          <cell r="CC247">
            <v>-12267.53</v>
          </cell>
          <cell r="CD247">
            <v>12890.73</v>
          </cell>
          <cell r="CE247">
            <v>12890.73</v>
          </cell>
          <cell r="CF247">
            <v>12890.73</v>
          </cell>
          <cell r="CG247">
            <v>12890.73</v>
          </cell>
          <cell r="CH247">
            <v>12890.73</v>
          </cell>
          <cell r="CI247">
            <v>11701.38</v>
          </cell>
          <cell r="CJ247">
            <v>12799.25</v>
          </cell>
          <cell r="CK247">
            <v>12799.25</v>
          </cell>
          <cell r="CL247">
            <v>12799.25</v>
          </cell>
          <cell r="CM247">
            <v>12799.25</v>
          </cell>
          <cell r="CN247">
            <v>12799.25</v>
          </cell>
          <cell r="CO247">
            <v>6126.84</v>
          </cell>
          <cell r="CP247">
            <v>6126.87</v>
          </cell>
          <cell r="CQ247">
            <v>6126.87</v>
          </cell>
          <cell r="CR247">
            <v>6126.87</v>
          </cell>
          <cell r="CS247">
            <v>6126.87</v>
          </cell>
          <cell r="CT247">
            <v>6126.87</v>
          </cell>
          <cell r="CU247">
            <v>6126.87</v>
          </cell>
          <cell r="CV247">
            <v>6126.87</v>
          </cell>
          <cell r="CW247">
            <v>6126.87</v>
          </cell>
          <cell r="CX247">
            <v>6126.87</v>
          </cell>
          <cell r="CY247">
            <v>6126.87</v>
          </cell>
          <cell r="CZ247">
            <v>6126.87</v>
          </cell>
          <cell r="DA247">
            <v>7700</v>
          </cell>
          <cell r="DB247">
            <v>14413.83</v>
          </cell>
          <cell r="DC247">
            <v>11056.89</v>
          </cell>
          <cell r="DD247">
            <v>11056.89</v>
          </cell>
          <cell r="DE247">
            <v>11056.89</v>
          </cell>
          <cell r="DF247">
            <v>11056.89</v>
          </cell>
          <cell r="DG247">
            <v>11056.89</v>
          </cell>
        </row>
        <row r="248">
          <cell r="A248">
            <v>6700507</v>
          </cell>
          <cell r="B248">
            <v>6700507</v>
          </cell>
          <cell r="C248" t="str">
            <v>Ins-Excess Gen Liab</v>
          </cell>
          <cell r="D248">
            <v>89093.21</v>
          </cell>
          <cell r="E248">
            <v>89093.21</v>
          </cell>
          <cell r="F248">
            <v>89093.21</v>
          </cell>
          <cell r="G248">
            <v>85232.8</v>
          </cell>
          <cell r="H248">
            <v>85232.8</v>
          </cell>
          <cell r="I248">
            <v>85232.8</v>
          </cell>
          <cell r="J248">
            <v>99227.12</v>
          </cell>
          <cell r="K248">
            <v>86341.47</v>
          </cell>
          <cell r="L248">
            <v>92784.29</v>
          </cell>
          <cell r="M248">
            <v>96677.91</v>
          </cell>
          <cell r="N248">
            <v>93757.7</v>
          </cell>
          <cell r="O248">
            <v>93757.7</v>
          </cell>
          <cell r="P248">
            <v>93757.7</v>
          </cell>
          <cell r="Q248">
            <v>93757.7</v>
          </cell>
          <cell r="R248">
            <v>82476.7</v>
          </cell>
          <cell r="S248">
            <v>93757.7</v>
          </cell>
          <cell r="T248">
            <v>93757.7</v>
          </cell>
          <cell r="U248">
            <v>93757.66</v>
          </cell>
          <cell r="V248">
            <v>102857.26</v>
          </cell>
          <cell r="W248">
            <v>102857.26</v>
          </cell>
          <cell r="X248">
            <v>102857.26</v>
          </cell>
          <cell r="Y248">
            <v>111792.82</v>
          </cell>
          <cell r="Z248">
            <v>102857.26</v>
          </cell>
          <cell r="AA248">
            <v>102857.26</v>
          </cell>
          <cell r="AB248">
            <v>102857.26</v>
          </cell>
          <cell r="AC248">
            <v>102857.26</v>
          </cell>
          <cell r="AD248">
            <v>102857.26</v>
          </cell>
          <cell r="AE248">
            <v>42217.26</v>
          </cell>
          <cell r="AF248">
            <v>102857.26</v>
          </cell>
          <cell r="AG248">
            <v>102857.22</v>
          </cell>
          <cell r="AH248">
            <v>102891.89</v>
          </cell>
          <cell r="AI248">
            <v>102891.89</v>
          </cell>
          <cell r="AJ248">
            <v>102891.89</v>
          </cell>
          <cell r="AK248">
            <v>111803.45</v>
          </cell>
          <cell r="AL248">
            <v>102891.89</v>
          </cell>
          <cell r="AM248">
            <v>102891.89</v>
          </cell>
          <cell r="AN248">
            <v>111399.93</v>
          </cell>
          <cell r="AO248">
            <v>102891.89</v>
          </cell>
          <cell r="AP248">
            <v>116539.58</v>
          </cell>
          <cell r="AQ248">
            <v>104278.56</v>
          </cell>
          <cell r="AR248">
            <v>101514.43</v>
          </cell>
          <cell r="AS248">
            <v>103906.08</v>
          </cell>
          <cell r="AT248">
            <v>103925.44</v>
          </cell>
          <cell r="AU248">
            <v>103925.44</v>
          </cell>
          <cell r="AV248">
            <v>103925.44</v>
          </cell>
          <cell r="AW248">
            <v>104686.92</v>
          </cell>
          <cell r="AX248">
            <v>103925.44</v>
          </cell>
          <cell r="AY248">
            <v>132138.37</v>
          </cell>
          <cell r="AZ248">
            <v>98538.95</v>
          </cell>
          <cell r="BA248">
            <v>114464.52</v>
          </cell>
          <cell r="BB248">
            <v>115361.19</v>
          </cell>
          <cell r="BC248">
            <v>115361.19</v>
          </cell>
          <cell r="BD248">
            <v>119310.41</v>
          </cell>
          <cell r="BE248">
            <v>-40032.6</v>
          </cell>
          <cell r="BF248">
            <v>116019.4</v>
          </cell>
          <cell r="BG248">
            <v>116019.4</v>
          </cell>
          <cell r="BH248">
            <v>116019.4</v>
          </cell>
          <cell r="BI248">
            <v>116019.4</v>
          </cell>
          <cell r="BJ248">
            <v>116019.4</v>
          </cell>
          <cell r="BK248">
            <v>156300</v>
          </cell>
          <cell r="BL248">
            <v>149276.47</v>
          </cell>
          <cell r="BM248">
            <v>127294.1</v>
          </cell>
          <cell r="BN248">
            <v>144388.78</v>
          </cell>
          <cell r="BO248">
            <v>144314.87</v>
          </cell>
          <cell r="BP248">
            <v>-48839.87</v>
          </cell>
          <cell r="BQ248">
            <v>144236.41</v>
          </cell>
          <cell r="BR248">
            <v>144236.41</v>
          </cell>
          <cell r="BS248">
            <v>144236.41</v>
          </cell>
          <cell r="BT248">
            <v>144236.41</v>
          </cell>
          <cell r="BU248">
            <v>144236.41</v>
          </cell>
          <cell r="BV248">
            <v>144236.41</v>
          </cell>
          <cell r="BW248">
            <v>183732.99</v>
          </cell>
          <cell r="BX248">
            <v>-55560.92</v>
          </cell>
          <cell r="BY248">
            <v>237346.96</v>
          </cell>
          <cell r="BZ248">
            <v>222134.02</v>
          </cell>
          <cell r="CA248">
            <v>191171.51</v>
          </cell>
          <cell r="CB248">
            <v>191171.51</v>
          </cell>
          <cell r="CC248">
            <v>111925.15</v>
          </cell>
          <cell r="CD248">
            <v>207876.92</v>
          </cell>
          <cell r="CE248">
            <v>207819.03</v>
          </cell>
          <cell r="CF248">
            <v>207819.03</v>
          </cell>
          <cell r="CG248">
            <v>207819.03</v>
          </cell>
          <cell r="CH248">
            <v>207819.03</v>
          </cell>
          <cell r="CI248">
            <v>253175.74</v>
          </cell>
          <cell r="CJ248">
            <v>244428.74</v>
          </cell>
          <cell r="CK248">
            <v>284780.65000000002</v>
          </cell>
          <cell r="CL248">
            <v>243893.02</v>
          </cell>
          <cell r="CM248">
            <v>242374.02</v>
          </cell>
          <cell r="CN248">
            <v>243893.02</v>
          </cell>
          <cell r="CO248">
            <v>367168.1</v>
          </cell>
          <cell r="CP248">
            <v>367168.13</v>
          </cell>
          <cell r="CQ248">
            <v>367168.13</v>
          </cell>
          <cell r="CR248">
            <v>367168.13</v>
          </cell>
          <cell r="CS248">
            <v>367168.13</v>
          </cell>
          <cell r="CT248">
            <v>367168.13</v>
          </cell>
          <cell r="CU248">
            <v>402662.11</v>
          </cell>
          <cell r="CV248">
            <v>397730.88</v>
          </cell>
          <cell r="CW248">
            <v>400196.52</v>
          </cell>
          <cell r="CX248">
            <v>400196.52</v>
          </cell>
          <cell r="CY248">
            <v>400196.52</v>
          </cell>
          <cell r="CZ248">
            <v>400196.52</v>
          </cell>
          <cell r="DA248">
            <v>469034.41</v>
          </cell>
          <cell r="DB248">
            <v>497509.42</v>
          </cell>
          <cell r="DC248">
            <v>483271.93</v>
          </cell>
          <cell r="DD248">
            <v>483271.93</v>
          </cell>
          <cell r="DE248">
            <v>483271.93</v>
          </cell>
          <cell r="DF248">
            <v>483271.93</v>
          </cell>
          <cell r="DG248">
            <v>483271.93</v>
          </cell>
        </row>
        <row r="249">
          <cell r="A249">
            <v>6700508</v>
          </cell>
          <cell r="B249">
            <v>6700508</v>
          </cell>
          <cell r="C249" t="str">
            <v>Insurance - Fiduciary</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v>562.26</v>
          </cell>
          <cell r="BY249">
            <v>562.17999999999995</v>
          </cell>
          <cell r="BZ249">
            <v>562.17999999999995</v>
          </cell>
          <cell r="CA249">
            <v>562.17999999999995</v>
          </cell>
          <cell r="CB249">
            <v>562.17999999999995</v>
          </cell>
          <cell r="CC249">
            <v>562.17999999999995</v>
          </cell>
          <cell r="CD249">
            <v>562.17999999999995</v>
          </cell>
          <cell r="CE249">
            <v>562.17999999999995</v>
          </cell>
          <cell r="CF249">
            <v>562.17999999999995</v>
          </cell>
          <cell r="CG249">
            <v>562.17999999999995</v>
          </cell>
          <cell r="CH249">
            <v>562.17999999999995</v>
          </cell>
          <cell r="CI249">
            <v>562.17999999999995</v>
          </cell>
          <cell r="CJ249">
            <v>640</v>
          </cell>
          <cell r="CK249">
            <v>665.71</v>
          </cell>
          <cell r="CL249">
            <v>652.86</v>
          </cell>
          <cell r="CM249">
            <v>652.86</v>
          </cell>
          <cell r="CN249">
            <v>652.86</v>
          </cell>
          <cell r="CO249">
            <v>652.86</v>
          </cell>
          <cell r="CP249">
            <v>652.86</v>
          </cell>
          <cell r="CQ249">
            <v>652.86</v>
          </cell>
          <cell r="CR249">
            <v>652.86</v>
          </cell>
          <cell r="CS249">
            <v>652.86</v>
          </cell>
          <cell r="CT249">
            <v>652.86</v>
          </cell>
          <cell r="CU249">
            <v>652.86</v>
          </cell>
          <cell r="CV249">
            <v>800</v>
          </cell>
          <cell r="CW249">
            <v>678.42</v>
          </cell>
          <cell r="CX249">
            <v>739.23</v>
          </cell>
          <cell r="CY249">
            <v>739.23</v>
          </cell>
          <cell r="CZ249">
            <v>739.23</v>
          </cell>
          <cell r="DA249">
            <v>739.23</v>
          </cell>
          <cell r="DB249">
            <v>739.23</v>
          </cell>
          <cell r="DC249">
            <v>739.23</v>
          </cell>
          <cell r="DD249">
            <v>739.23</v>
          </cell>
          <cell r="DE249">
            <v>739.23</v>
          </cell>
          <cell r="DF249">
            <v>739.23</v>
          </cell>
          <cell r="DG249">
            <v>739.23</v>
          </cell>
        </row>
        <row r="250">
          <cell r="A250">
            <v>6700509</v>
          </cell>
          <cell r="B250">
            <v>6700509</v>
          </cell>
          <cell r="C250" t="str">
            <v>Ins-I&amp;D Reserves</v>
          </cell>
          <cell r="D250">
            <v>150000</v>
          </cell>
          <cell r="E250">
            <v>150000</v>
          </cell>
          <cell r="F250">
            <v>7818</v>
          </cell>
          <cell r="G250">
            <v>152455.17000000001</v>
          </cell>
          <cell r="H250">
            <v>150000</v>
          </cell>
          <cell r="I250">
            <v>-297537</v>
          </cell>
          <cell r="J250">
            <v>150000</v>
          </cell>
          <cell r="K250">
            <v>147544.82999999999</v>
          </cell>
          <cell r="L250">
            <v>-97262</v>
          </cell>
          <cell r="M250">
            <v>150000</v>
          </cell>
          <cell r="N250">
            <v>150000</v>
          </cell>
          <cell r="O250">
            <v>-438330</v>
          </cell>
          <cell r="P250">
            <v>0</v>
          </cell>
          <cell r="Q250">
            <v>0</v>
          </cell>
          <cell r="R250">
            <v>-428325</v>
          </cell>
          <cell r="S250">
            <v>0</v>
          </cell>
          <cell r="T250">
            <v>0</v>
          </cell>
          <cell r="U250">
            <v>-276270</v>
          </cell>
          <cell r="V250">
            <v>0</v>
          </cell>
          <cell r="W250">
            <v>0</v>
          </cell>
          <cell r="X250">
            <v>-233969</v>
          </cell>
          <cell r="Y250">
            <v>0</v>
          </cell>
          <cell r="Z250">
            <v>0</v>
          </cell>
          <cell r="AA250">
            <v>386533</v>
          </cell>
          <cell r="AB250">
            <v>0</v>
          </cell>
          <cell r="AC250">
            <v>0</v>
          </cell>
          <cell r="AD250">
            <v>-424390</v>
          </cell>
          <cell r="AE250">
            <v>0</v>
          </cell>
          <cell r="AF250">
            <v>0</v>
          </cell>
          <cell r="AG250">
            <v>393830</v>
          </cell>
          <cell r="AH250">
            <v>0</v>
          </cell>
          <cell r="AI250">
            <v>0</v>
          </cell>
          <cell r="AJ250">
            <v>-100932</v>
          </cell>
          <cell r="AK250">
            <v>0</v>
          </cell>
          <cell r="AL250">
            <v>0</v>
          </cell>
          <cell r="AM250">
            <v>256623</v>
          </cell>
          <cell r="AN250">
            <v>0</v>
          </cell>
          <cell r="AO250">
            <v>0</v>
          </cell>
          <cell r="AP250">
            <v>6256.16</v>
          </cell>
          <cell r="AQ250">
            <v>0</v>
          </cell>
          <cell r="AR250">
            <v>0</v>
          </cell>
          <cell r="AS250">
            <v>-157045.1</v>
          </cell>
          <cell r="AT250">
            <v>0</v>
          </cell>
          <cell r="AU250">
            <v>0</v>
          </cell>
          <cell r="AV250">
            <v>380555.37</v>
          </cell>
          <cell r="AW250">
            <v>0</v>
          </cell>
          <cell r="AX250">
            <v>0</v>
          </cell>
          <cell r="AY250">
            <v>-413670.95</v>
          </cell>
          <cell r="AZ250">
            <v>0</v>
          </cell>
          <cell r="BA250">
            <v>0</v>
          </cell>
          <cell r="BB250">
            <v>-120050.22</v>
          </cell>
          <cell r="BC250">
            <v>0</v>
          </cell>
          <cell r="BD250">
            <v>0</v>
          </cell>
          <cell r="BE250">
            <v>89915</v>
          </cell>
          <cell r="BF250">
            <v>0</v>
          </cell>
          <cell r="BG250">
            <v>0</v>
          </cell>
          <cell r="BH250">
            <v>35400.9</v>
          </cell>
          <cell r="BI250">
            <v>0</v>
          </cell>
          <cell r="BJ250">
            <v>0</v>
          </cell>
          <cell r="BK250">
            <v>-62119.5</v>
          </cell>
          <cell r="BL250">
            <v>0</v>
          </cell>
          <cell r="BM250">
            <v>0</v>
          </cell>
          <cell r="BN250">
            <v>810725</v>
          </cell>
          <cell r="BO250">
            <v>0</v>
          </cell>
          <cell r="BP250">
            <v>0</v>
          </cell>
          <cell r="BQ250">
            <v>212852</v>
          </cell>
          <cell r="BR250">
            <v>1000000</v>
          </cell>
          <cell r="BS250">
            <v>0</v>
          </cell>
          <cell r="BT250">
            <v>-554591</v>
          </cell>
          <cell r="BU250">
            <v>0</v>
          </cell>
          <cell r="BV250">
            <v>135000</v>
          </cell>
          <cell r="BW250">
            <v>104572</v>
          </cell>
          <cell r="BX250">
            <v>0</v>
          </cell>
          <cell r="BY250">
            <v>0</v>
          </cell>
          <cell r="BZ250">
            <v>-335653</v>
          </cell>
          <cell r="CA250">
            <v>0</v>
          </cell>
          <cell r="CB250">
            <v>0</v>
          </cell>
          <cell r="CC250">
            <v>306401</v>
          </cell>
          <cell r="CD250">
            <v>0</v>
          </cell>
          <cell r="CE250">
            <v>0</v>
          </cell>
          <cell r="CF250">
            <v>-90453</v>
          </cell>
          <cell r="CG250">
            <v>0</v>
          </cell>
          <cell r="CH250">
            <v>0</v>
          </cell>
          <cell r="CI250">
            <v>646145</v>
          </cell>
          <cell r="CJ250">
            <v>0</v>
          </cell>
          <cell r="CK250">
            <v>0</v>
          </cell>
          <cell r="CL250">
            <v>143683</v>
          </cell>
          <cell r="CM250">
            <v>0</v>
          </cell>
          <cell r="CN250">
            <v>0</v>
          </cell>
          <cell r="CO250">
            <v>-97206.01</v>
          </cell>
          <cell r="CP250">
            <v>0</v>
          </cell>
          <cell r="CQ250">
            <v>0</v>
          </cell>
          <cell r="CR250">
            <v>312483.59999999998</v>
          </cell>
          <cell r="CS250">
            <v>0</v>
          </cell>
          <cell r="CT250">
            <v>0</v>
          </cell>
          <cell r="CU250">
            <v>1091826</v>
          </cell>
          <cell r="CV250">
            <v>0</v>
          </cell>
          <cell r="CW250">
            <v>0</v>
          </cell>
          <cell r="CX250">
            <v>-520268</v>
          </cell>
          <cell r="CY250">
            <v>0</v>
          </cell>
          <cell r="CZ250">
            <v>0</v>
          </cell>
          <cell r="DA250">
            <v>-27882</v>
          </cell>
          <cell r="DB250">
            <v>0</v>
          </cell>
          <cell r="DC250">
            <v>0</v>
          </cell>
          <cell r="DD250">
            <v>-1160726</v>
          </cell>
          <cell r="DE250">
            <v>0</v>
          </cell>
          <cell r="DF250">
            <v>0</v>
          </cell>
          <cell r="DG250">
            <v>-872065</v>
          </cell>
        </row>
        <row r="251">
          <cell r="A251">
            <v>6700513</v>
          </cell>
          <cell r="B251">
            <v>6700513</v>
          </cell>
          <cell r="C251" t="str">
            <v>Ins-Practices Liab</v>
          </cell>
          <cell r="D251">
            <v>2401.92</v>
          </cell>
          <cell r="E251">
            <v>2401.92</v>
          </cell>
          <cell r="F251">
            <v>2401.92</v>
          </cell>
          <cell r="G251">
            <v>2401.92</v>
          </cell>
          <cell r="H251">
            <v>2401.92</v>
          </cell>
          <cell r="I251">
            <v>2401.92</v>
          </cell>
          <cell r="J251">
            <v>2792.05</v>
          </cell>
          <cell r="K251">
            <v>2792.05</v>
          </cell>
          <cell r="L251">
            <v>2792.05</v>
          </cell>
          <cell r="M251">
            <v>2792.05</v>
          </cell>
          <cell r="N251">
            <v>2792.05</v>
          </cell>
          <cell r="O251">
            <v>2792.05</v>
          </cell>
          <cell r="P251">
            <v>2792.05</v>
          </cell>
          <cell r="Q251">
            <v>2792.05</v>
          </cell>
          <cell r="R251">
            <v>2792.05</v>
          </cell>
          <cell r="S251">
            <v>2792.05</v>
          </cell>
          <cell r="T251">
            <v>2792.05</v>
          </cell>
          <cell r="U251">
            <v>2792.01</v>
          </cell>
          <cell r="V251">
            <v>926.87</v>
          </cell>
          <cell r="W251">
            <v>926.87</v>
          </cell>
          <cell r="X251">
            <v>926.87</v>
          </cell>
          <cell r="Y251">
            <v>926.87</v>
          </cell>
          <cell r="Z251">
            <v>926.87</v>
          </cell>
          <cell r="AA251">
            <v>926.87</v>
          </cell>
          <cell r="AB251">
            <v>926.87</v>
          </cell>
          <cell r="AC251">
            <v>926.87</v>
          </cell>
          <cell r="AD251">
            <v>926.87</v>
          </cell>
          <cell r="AE251">
            <v>926.87</v>
          </cell>
          <cell r="AF251">
            <v>926.87</v>
          </cell>
          <cell r="AG251">
            <v>926.84</v>
          </cell>
          <cell r="AH251">
            <v>910.15</v>
          </cell>
          <cell r="AI251">
            <v>910.15</v>
          </cell>
          <cell r="AJ251">
            <v>910.15</v>
          </cell>
          <cell r="AK251">
            <v>910.15</v>
          </cell>
          <cell r="AL251">
            <v>910.15</v>
          </cell>
          <cell r="AM251">
            <v>910.15</v>
          </cell>
          <cell r="AN251">
            <v>910.15</v>
          </cell>
          <cell r="AO251">
            <v>910.15</v>
          </cell>
          <cell r="AP251">
            <v>1128.71</v>
          </cell>
          <cell r="AQ251">
            <v>959.08</v>
          </cell>
          <cell r="AR251">
            <v>959.08</v>
          </cell>
          <cell r="AS251">
            <v>959.08</v>
          </cell>
          <cell r="AT251">
            <v>959.08</v>
          </cell>
          <cell r="AU251">
            <v>959.08</v>
          </cell>
          <cell r="AV251">
            <v>959.08</v>
          </cell>
          <cell r="AW251">
            <v>959.08</v>
          </cell>
          <cell r="AX251">
            <v>959.08</v>
          </cell>
          <cell r="AY251">
            <v>941.67</v>
          </cell>
          <cell r="AZ251">
            <v>-941.67</v>
          </cell>
          <cell r="BA251">
            <v>941.67</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cell r="BV251"/>
          <cell r="BW251"/>
          <cell r="BX251"/>
          <cell r="BY251"/>
          <cell r="BZ251"/>
          <cell r="CA251"/>
          <cell r="CB251"/>
          <cell r="CC251"/>
          <cell r="CD251"/>
          <cell r="CE251"/>
          <cell r="CF251"/>
          <cell r="CG251"/>
          <cell r="CH251"/>
          <cell r="CI251"/>
          <cell r="CJ251"/>
          <cell r="CK251"/>
          <cell r="CL251"/>
          <cell r="CM251"/>
          <cell r="CN251"/>
          <cell r="CO251"/>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row>
        <row r="252">
          <cell r="A252">
            <v>6700514</v>
          </cell>
          <cell r="B252">
            <v>6700514</v>
          </cell>
          <cell r="C252" t="str">
            <v>Ins-Property</v>
          </cell>
          <cell r="D252">
            <v>8055.68</v>
          </cell>
          <cell r="E252">
            <v>8055.68</v>
          </cell>
          <cell r="F252">
            <v>8055.68</v>
          </cell>
          <cell r="G252">
            <v>7505.76</v>
          </cell>
          <cell r="H252">
            <v>7641.25</v>
          </cell>
          <cell r="I252">
            <v>7641.25</v>
          </cell>
          <cell r="J252">
            <v>7550.97</v>
          </cell>
          <cell r="K252">
            <v>7652.55</v>
          </cell>
          <cell r="L252">
            <v>7571.42</v>
          </cell>
          <cell r="M252">
            <v>7639.03</v>
          </cell>
          <cell r="N252">
            <v>7639.03</v>
          </cell>
          <cell r="O252">
            <v>7639.03</v>
          </cell>
          <cell r="P252">
            <v>7639.03</v>
          </cell>
          <cell r="Q252">
            <v>7639.03</v>
          </cell>
          <cell r="R252">
            <v>7603.03</v>
          </cell>
          <cell r="S252">
            <v>7639.03</v>
          </cell>
          <cell r="T252">
            <v>5319.61</v>
          </cell>
          <cell r="U252">
            <v>6055.6</v>
          </cell>
          <cell r="V252">
            <v>6055.6</v>
          </cell>
          <cell r="W252">
            <v>6055.6</v>
          </cell>
          <cell r="X252">
            <v>6055.6</v>
          </cell>
          <cell r="Y252">
            <v>6055.6</v>
          </cell>
          <cell r="Z252">
            <v>6055.6</v>
          </cell>
          <cell r="AA252">
            <v>6055.6</v>
          </cell>
          <cell r="AB252">
            <v>6005.6</v>
          </cell>
          <cell r="AC252">
            <v>6032.9</v>
          </cell>
          <cell r="AD252">
            <v>6055.58</v>
          </cell>
          <cell r="AE252">
            <v>5361.56</v>
          </cell>
          <cell r="AF252">
            <v>5383.56</v>
          </cell>
          <cell r="AG252">
            <v>5383.56</v>
          </cell>
          <cell r="AH252">
            <v>5383.56</v>
          </cell>
          <cell r="AI252">
            <v>5383.56</v>
          </cell>
          <cell r="AJ252">
            <v>5383.56</v>
          </cell>
          <cell r="AK252">
            <v>5383.56</v>
          </cell>
          <cell r="AL252">
            <v>5383.56</v>
          </cell>
          <cell r="AM252">
            <v>5383.56</v>
          </cell>
          <cell r="AN252">
            <v>5383.56</v>
          </cell>
          <cell r="AO252">
            <v>5383.56</v>
          </cell>
          <cell r="AP252">
            <v>2484.86</v>
          </cell>
          <cell r="AQ252">
            <v>2767.37</v>
          </cell>
          <cell r="AR252">
            <v>3085.84</v>
          </cell>
          <cell r="AS252">
            <v>3033.31</v>
          </cell>
          <cell r="AT252">
            <v>2985.03</v>
          </cell>
          <cell r="AU252">
            <v>3033.31</v>
          </cell>
          <cell r="AV252">
            <v>3033.31</v>
          </cell>
          <cell r="AW252">
            <v>3033.31</v>
          </cell>
          <cell r="AX252">
            <v>3033.31</v>
          </cell>
          <cell r="AY252">
            <v>2962.42</v>
          </cell>
          <cell r="AZ252">
            <v>2867.66</v>
          </cell>
          <cell r="BA252">
            <v>3289.98</v>
          </cell>
          <cell r="BB252">
            <v>2872.54</v>
          </cell>
          <cell r="BC252">
            <v>2998.14</v>
          </cell>
          <cell r="BD252">
            <v>2998.14</v>
          </cell>
          <cell r="BE252">
            <v>2998.14</v>
          </cell>
          <cell r="BF252">
            <v>2998.14</v>
          </cell>
          <cell r="BG252">
            <v>2998.14</v>
          </cell>
          <cell r="BH252">
            <v>2998.14</v>
          </cell>
          <cell r="BI252">
            <v>2998.14</v>
          </cell>
          <cell r="BJ252">
            <v>2998.14</v>
          </cell>
          <cell r="BK252">
            <v>5000</v>
          </cell>
          <cell r="BL252">
            <v>5000</v>
          </cell>
          <cell r="BM252">
            <v>-1180.4100000000001</v>
          </cell>
          <cell r="BN252">
            <v>2943.82</v>
          </cell>
          <cell r="BO252">
            <v>2943.82</v>
          </cell>
          <cell r="BP252">
            <v>2943.82</v>
          </cell>
          <cell r="BQ252">
            <v>2943.82</v>
          </cell>
          <cell r="BR252">
            <v>2943.82</v>
          </cell>
          <cell r="BS252">
            <v>2943.82</v>
          </cell>
          <cell r="BT252">
            <v>2943.82</v>
          </cell>
          <cell r="BU252">
            <v>2943.82</v>
          </cell>
          <cell r="BV252">
            <v>2943.82</v>
          </cell>
          <cell r="BW252">
            <v>3593.8</v>
          </cell>
          <cell r="BX252">
            <v>3593.81</v>
          </cell>
          <cell r="BY252">
            <v>3593.81</v>
          </cell>
          <cell r="BZ252">
            <v>3542.31</v>
          </cell>
          <cell r="CA252">
            <v>3542.31</v>
          </cell>
          <cell r="CB252">
            <v>3542.31</v>
          </cell>
          <cell r="CC252">
            <v>1353.89</v>
          </cell>
          <cell r="CD252">
            <v>2576.0500000000002</v>
          </cell>
          <cell r="CE252">
            <v>3145.35</v>
          </cell>
          <cell r="CF252">
            <v>3032.77</v>
          </cell>
          <cell r="CG252">
            <v>-5194.93</v>
          </cell>
          <cell r="CH252">
            <v>-1823.43</v>
          </cell>
          <cell r="CI252">
            <v>2493.19</v>
          </cell>
          <cell r="CJ252">
            <v>2508.91</v>
          </cell>
          <cell r="CK252">
            <v>2494.62</v>
          </cell>
          <cell r="CL252">
            <v>3640</v>
          </cell>
          <cell r="CM252">
            <v>3640</v>
          </cell>
          <cell r="CN252">
            <v>3917.84</v>
          </cell>
          <cell r="CO252">
            <v>3732.63</v>
          </cell>
          <cell r="CP252">
            <v>3756.58</v>
          </cell>
          <cell r="CQ252">
            <v>3732.63</v>
          </cell>
          <cell r="CR252">
            <v>3732.63</v>
          </cell>
          <cell r="CS252">
            <v>3732.63</v>
          </cell>
          <cell r="CT252">
            <v>3732.63</v>
          </cell>
          <cell r="CU252">
            <v>3732.63</v>
          </cell>
          <cell r="CV252">
            <v>3732.63</v>
          </cell>
          <cell r="CW252">
            <v>3732.63</v>
          </cell>
          <cell r="CX252">
            <v>4636.28</v>
          </cell>
          <cell r="CY252">
            <v>3111.32</v>
          </cell>
          <cell r="CZ252">
            <v>4736.32</v>
          </cell>
          <cell r="DA252">
            <v>4710.12</v>
          </cell>
          <cell r="DB252">
            <v>10012.5</v>
          </cell>
          <cell r="DC252">
            <v>4968.7700000000004</v>
          </cell>
          <cell r="DD252">
            <v>5842.34</v>
          </cell>
          <cell r="DE252">
            <v>5757.78</v>
          </cell>
          <cell r="DF252">
            <v>5757.78</v>
          </cell>
          <cell r="DG252">
            <v>5757.78</v>
          </cell>
        </row>
        <row r="253">
          <cell r="A253">
            <v>6700515</v>
          </cell>
          <cell r="B253">
            <v>6700515</v>
          </cell>
          <cell r="C253" t="str">
            <v>Ins-Punitive Damages</v>
          </cell>
          <cell r="D253">
            <v>3495.2</v>
          </cell>
          <cell r="E253">
            <v>3495.2</v>
          </cell>
          <cell r="F253">
            <v>3495.2</v>
          </cell>
          <cell r="G253">
            <v>3495.2</v>
          </cell>
          <cell r="H253">
            <v>3495.2</v>
          </cell>
          <cell r="I253">
            <v>3495.2</v>
          </cell>
          <cell r="J253">
            <v>3750.97</v>
          </cell>
          <cell r="K253">
            <v>3750.97</v>
          </cell>
          <cell r="L253">
            <v>3750.97</v>
          </cell>
          <cell r="M253">
            <v>3750.97</v>
          </cell>
          <cell r="N253">
            <v>3750.97</v>
          </cell>
          <cell r="O253">
            <v>3750.97</v>
          </cell>
          <cell r="P253">
            <v>3750.97</v>
          </cell>
          <cell r="Q253">
            <v>3750.97</v>
          </cell>
          <cell r="R253">
            <v>3750.97</v>
          </cell>
          <cell r="S253">
            <v>3750.97</v>
          </cell>
          <cell r="T253">
            <v>3750.97</v>
          </cell>
          <cell r="U253">
            <v>3751.7</v>
          </cell>
          <cell r="V253">
            <v>2707.24</v>
          </cell>
          <cell r="W253">
            <v>2707.24</v>
          </cell>
          <cell r="X253">
            <v>2707.24</v>
          </cell>
          <cell r="Y253">
            <v>2707.24</v>
          </cell>
          <cell r="Z253">
            <v>2707.24</v>
          </cell>
          <cell r="AA253">
            <v>2707.24</v>
          </cell>
          <cell r="AB253">
            <v>2707.24</v>
          </cell>
          <cell r="AC253">
            <v>2707.24</v>
          </cell>
          <cell r="AD253">
            <v>2707.24</v>
          </cell>
          <cell r="AE253">
            <v>2707.24</v>
          </cell>
          <cell r="AF253">
            <v>2707.24</v>
          </cell>
          <cell r="AG253">
            <v>2707.21</v>
          </cell>
          <cell r="AH253">
            <v>2816.35</v>
          </cell>
          <cell r="AI253">
            <v>2816.35</v>
          </cell>
          <cell r="AJ253">
            <v>2816.35</v>
          </cell>
          <cell r="AK253">
            <v>2816.35</v>
          </cell>
          <cell r="AL253">
            <v>2816.35</v>
          </cell>
          <cell r="AM253">
            <v>2816.35</v>
          </cell>
          <cell r="AN253">
            <v>2816.35</v>
          </cell>
          <cell r="AO253">
            <v>2816.35</v>
          </cell>
          <cell r="AP253">
            <v>3919.51</v>
          </cell>
          <cell r="AQ253">
            <v>2887.24</v>
          </cell>
          <cell r="AR253">
            <v>2887.24</v>
          </cell>
          <cell r="AS253">
            <v>2887.24</v>
          </cell>
          <cell r="AT253">
            <v>2887.24</v>
          </cell>
          <cell r="AU253">
            <v>2887.24</v>
          </cell>
          <cell r="AV253">
            <v>2887.24</v>
          </cell>
          <cell r="AW253">
            <v>2887.24</v>
          </cell>
          <cell r="AX253">
            <v>2887.24</v>
          </cell>
          <cell r="AY253">
            <v>2998.72</v>
          </cell>
          <cell r="AZ253">
            <v>2998.73</v>
          </cell>
          <cell r="BA253">
            <v>2998.73</v>
          </cell>
          <cell r="BB253">
            <v>2998.73</v>
          </cell>
          <cell r="BC253">
            <v>2998.73</v>
          </cell>
          <cell r="BD253">
            <v>3916.31</v>
          </cell>
          <cell r="BE253">
            <v>3151.67</v>
          </cell>
          <cell r="BF253">
            <v>3151.67</v>
          </cell>
          <cell r="BG253">
            <v>3151.67</v>
          </cell>
          <cell r="BH253">
            <v>3151.67</v>
          </cell>
          <cell r="BI253">
            <v>3151.67</v>
          </cell>
          <cell r="BJ253">
            <v>3151.67</v>
          </cell>
          <cell r="BK253">
            <v>3200</v>
          </cell>
          <cell r="BL253">
            <v>2759.19</v>
          </cell>
          <cell r="BM253">
            <v>2979.57</v>
          </cell>
          <cell r="BN253">
            <v>3075.38</v>
          </cell>
          <cell r="BO253">
            <v>3003.51</v>
          </cell>
          <cell r="BP253">
            <v>3003.51</v>
          </cell>
          <cell r="BQ253">
            <v>3003.51</v>
          </cell>
          <cell r="BR253">
            <v>3003.51</v>
          </cell>
          <cell r="BS253">
            <v>3003.51</v>
          </cell>
          <cell r="BT253">
            <v>3003.51</v>
          </cell>
          <cell r="BU253">
            <v>3003.51</v>
          </cell>
          <cell r="BV253">
            <v>3003.51</v>
          </cell>
          <cell r="BW253">
            <v>3197.09</v>
          </cell>
          <cell r="BX253">
            <v>3197.11</v>
          </cell>
          <cell r="BY253">
            <v>3197.11</v>
          </cell>
          <cell r="BZ253">
            <v>3197.11</v>
          </cell>
          <cell r="CA253">
            <v>3197.11</v>
          </cell>
          <cell r="CB253">
            <v>3197.11</v>
          </cell>
          <cell r="CC253">
            <v>3197.11</v>
          </cell>
          <cell r="CD253">
            <v>3197.11</v>
          </cell>
          <cell r="CE253">
            <v>3197.11</v>
          </cell>
          <cell r="CF253">
            <v>3197.11</v>
          </cell>
          <cell r="CG253">
            <v>3197.11</v>
          </cell>
          <cell r="CH253">
            <v>3197.11</v>
          </cell>
          <cell r="CI253">
            <v>3197.11</v>
          </cell>
          <cell r="CJ253">
            <v>3197.11</v>
          </cell>
          <cell r="CK253">
            <v>3197.11</v>
          </cell>
          <cell r="CL253">
            <v>3197.11</v>
          </cell>
          <cell r="CM253">
            <v>3197.11</v>
          </cell>
          <cell r="CN253">
            <v>3197.11</v>
          </cell>
          <cell r="CO253">
            <v>2834.56</v>
          </cell>
          <cell r="CP253">
            <v>2834.59</v>
          </cell>
          <cell r="CQ253">
            <v>2834.59</v>
          </cell>
          <cell r="CR253">
            <v>2834.59</v>
          </cell>
          <cell r="CS253">
            <v>2834.59</v>
          </cell>
          <cell r="CT253">
            <v>2834.59</v>
          </cell>
          <cell r="CU253">
            <v>2834.59</v>
          </cell>
          <cell r="CV253">
            <v>2834.59</v>
          </cell>
          <cell r="CW253">
            <v>2834.59</v>
          </cell>
          <cell r="CX253">
            <v>2834.59</v>
          </cell>
          <cell r="CY253">
            <v>2834.59</v>
          </cell>
          <cell r="CZ253">
            <v>2834.59</v>
          </cell>
          <cell r="DA253">
            <v>3500</v>
          </cell>
          <cell r="DB253">
            <v>2169.14</v>
          </cell>
          <cell r="DC253">
            <v>2834.59</v>
          </cell>
          <cell r="DD253">
            <v>2834.59</v>
          </cell>
          <cell r="DE253">
            <v>2834.59</v>
          </cell>
          <cell r="DF253">
            <v>2834.59</v>
          </cell>
          <cell r="DG253">
            <v>2834.59</v>
          </cell>
        </row>
        <row r="254">
          <cell r="A254">
            <v>6700516</v>
          </cell>
          <cell r="B254">
            <v>6700516</v>
          </cell>
          <cell r="C254" t="str">
            <v>Ins-Special Risk</v>
          </cell>
          <cell r="D254">
            <v>0</v>
          </cell>
          <cell r="E254">
            <v>0</v>
          </cell>
          <cell r="F254">
            <v>0</v>
          </cell>
          <cell r="G254">
            <v>0</v>
          </cell>
          <cell r="H254">
            <v>0</v>
          </cell>
          <cell r="I254">
            <v>0</v>
          </cell>
          <cell r="J254">
            <v>0</v>
          </cell>
          <cell r="K254">
            <v>0</v>
          </cell>
          <cell r="L254">
            <v>0</v>
          </cell>
          <cell r="M254">
            <v>243.85</v>
          </cell>
          <cell r="N254">
            <v>243.85</v>
          </cell>
          <cell r="O254">
            <v>1471.82</v>
          </cell>
          <cell r="P254">
            <v>243.85</v>
          </cell>
          <cell r="Q254">
            <v>243.85</v>
          </cell>
          <cell r="R254">
            <v>243.85</v>
          </cell>
          <cell r="S254">
            <v>243.85</v>
          </cell>
          <cell r="T254">
            <v>243.85</v>
          </cell>
          <cell r="U254">
            <v>243.85</v>
          </cell>
          <cell r="V254">
            <v>-1381.85</v>
          </cell>
          <cell r="W254">
            <v>81.28</v>
          </cell>
          <cell r="X254">
            <v>81.28</v>
          </cell>
          <cell r="Y254">
            <v>81.28</v>
          </cell>
          <cell r="Z254">
            <v>81.28</v>
          </cell>
          <cell r="AA254">
            <v>81.28</v>
          </cell>
          <cell r="AB254">
            <v>81.28</v>
          </cell>
          <cell r="AC254">
            <v>81.28</v>
          </cell>
          <cell r="AD254">
            <v>81.28</v>
          </cell>
          <cell r="AE254">
            <v>81.28</v>
          </cell>
          <cell r="AF254">
            <v>81.28</v>
          </cell>
          <cell r="AG254">
            <v>81.28</v>
          </cell>
          <cell r="AH254">
            <v>81.28</v>
          </cell>
          <cell r="AI254">
            <v>81.28</v>
          </cell>
          <cell r="AJ254">
            <v>81.28</v>
          </cell>
          <cell r="AK254">
            <v>81.28</v>
          </cell>
          <cell r="AL254">
            <v>81.28</v>
          </cell>
          <cell r="AM254">
            <v>81.28</v>
          </cell>
          <cell r="AN254">
            <v>81.28</v>
          </cell>
          <cell r="AO254">
            <v>81.28</v>
          </cell>
          <cell r="AP254">
            <v>81.28</v>
          </cell>
          <cell r="AQ254">
            <v>81.28</v>
          </cell>
          <cell r="AR254">
            <v>81.28</v>
          </cell>
          <cell r="AS254">
            <v>81.28</v>
          </cell>
          <cell r="AT254">
            <v>81.28</v>
          </cell>
          <cell r="AU254">
            <v>-287</v>
          </cell>
          <cell r="AV254">
            <v>20.59</v>
          </cell>
          <cell r="AW254">
            <v>20.59</v>
          </cell>
          <cell r="AX254">
            <v>20.59</v>
          </cell>
          <cell r="AY254">
            <v>20.59</v>
          </cell>
          <cell r="AZ254">
            <v>0</v>
          </cell>
          <cell r="BA254">
            <v>37.5</v>
          </cell>
          <cell r="BB254">
            <v>184.87</v>
          </cell>
          <cell r="BC254">
            <v>74.13</v>
          </cell>
          <cell r="BD254">
            <v>74.13</v>
          </cell>
          <cell r="BE254">
            <v>74.13</v>
          </cell>
          <cell r="BF254">
            <v>74.13</v>
          </cell>
          <cell r="BG254">
            <v>74.13</v>
          </cell>
          <cell r="BH254">
            <v>74.13</v>
          </cell>
          <cell r="BI254">
            <v>74.13</v>
          </cell>
          <cell r="BJ254">
            <v>74.13</v>
          </cell>
          <cell r="BK254">
            <v>74.13</v>
          </cell>
          <cell r="BL254">
            <v>74.03</v>
          </cell>
          <cell r="BM254">
            <v>74.08</v>
          </cell>
          <cell r="BN254">
            <v>74.08</v>
          </cell>
          <cell r="BO254">
            <v>74.08</v>
          </cell>
          <cell r="BP254">
            <v>74.08</v>
          </cell>
          <cell r="BQ254">
            <v>74.08</v>
          </cell>
          <cell r="BR254">
            <v>74.08</v>
          </cell>
          <cell r="BS254">
            <v>74.08</v>
          </cell>
          <cell r="BT254">
            <v>74.08</v>
          </cell>
          <cell r="BU254">
            <v>74.08</v>
          </cell>
          <cell r="BV254">
            <v>74.08</v>
          </cell>
          <cell r="BW254">
            <v>74.08</v>
          </cell>
          <cell r="BX254">
            <v>154.93</v>
          </cell>
          <cell r="BY254">
            <v>154.97</v>
          </cell>
          <cell r="BZ254">
            <v>154.97</v>
          </cell>
          <cell r="CA254">
            <v>154.97</v>
          </cell>
          <cell r="CB254">
            <v>154.97</v>
          </cell>
          <cell r="CC254">
            <v>154.97</v>
          </cell>
          <cell r="CD254">
            <v>154.97</v>
          </cell>
          <cell r="CE254">
            <v>154.97</v>
          </cell>
          <cell r="CF254">
            <v>154.97</v>
          </cell>
          <cell r="CG254">
            <v>154.97</v>
          </cell>
          <cell r="CH254">
            <v>154.97</v>
          </cell>
          <cell r="CI254">
            <v>154.97</v>
          </cell>
          <cell r="CJ254">
            <v>85.89</v>
          </cell>
          <cell r="CK254">
            <v>85.84</v>
          </cell>
          <cell r="CL254">
            <v>85.84</v>
          </cell>
          <cell r="CM254">
            <v>85.84</v>
          </cell>
          <cell r="CN254">
            <v>85.84</v>
          </cell>
          <cell r="CO254">
            <v>85.84</v>
          </cell>
          <cell r="CP254">
            <v>85.84</v>
          </cell>
          <cell r="CQ254">
            <v>85.84</v>
          </cell>
          <cell r="CR254">
            <v>85.84</v>
          </cell>
          <cell r="CS254">
            <v>85.84</v>
          </cell>
          <cell r="CT254">
            <v>85.84</v>
          </cell>
          <cell r="CU254">
            <v>85.84</v>
          </cell>
          <cell r="CV254">
            <v>90</v>
          </cell>
          <cell r="CW254">
            <v>-840.02</v>
          </cell>
          <cell r="CX254">
            <v>88.28</v>
          </cell>
          <cell r="CY254">
            <v>88.28</v>
          </cell>
          <cell r="CZ254">
            <v>88.28</v>
          </cell>
          <cell r="DA254">
            <v>88.28</v>
          </cell>
          <cell r="DB254">
            <v>88.28</v>
          </cell>
          <cell r="DC254">
            <v>88.28</v>
          </cell>
          <cell r="DD254">
            <v>88.28</v>
          </cell>
          <cell r="DE254">
            <v>88.28</v>
          </cell>
          <cell r="DF254">
            <v>88.28</v>
          </cell>
          <cell r="DG254">
            <v>88.28</v>
          </cell>
        </row>
        <row r="255">
          <cell r="A255">
            <v>6700517</v>
          </cell>
          <cell r="B255">
            <v>6700517</v>
          </cell>
          <cell r="C255" t="str">
            <v>Ins-Surety Bonds</v>
          </cell>
          <cell r="D255">
            <v>0</v>
          </cell>
          <cell r="E255">
            <v>214.76</v>
          </cell>
          <cell r="F255">
            <v>101.31</v>
          </cell>
          <cell r="G255">
            <v>2431.1999999999998</v>
          </cell>
          <cell r="H255">
            <v>0</v>
          </cell>
          <cell r="I255">
            <v>1836.57</v>
          </cell>
          <cell r="J255">
            <v>0</v>
          </cell>
          <cell r="K255">
            <v>506.5</v>
          </cell>
          <cell r="L255">
            <v>0</v>
          </cell>
          <cell r="M255">
            <v>-2153.64</v>
          </cell>
          <cell r="N255">
            <v>0</v>
          </cell>
          <cell r="O255">
            <v>0</v>
          </cell>
          <cell r="P255">
            <v>0</v>
          </cell>
          <cell r="Q255">
            <v>0</v>
          </cell>
          <cell r="R255">
            <v>1013.46</v>
          </cell>
          <cell r="S255">
            <v>2200</v>
          </cell>
          <cell r="T255">
            <v>0</v>
          </cell>
          <cell r="U255">
            <v>3100</v>
          </cell>
          <cell r="V255">
            <v>0</v>
          </cell>
          <cell r="W255">
            <v>0</v>
          </cell>
          <cell r="X255">
            <v>0</v>
          </cell>
          <cell r="Y255">
            <v>0</v>
          </cell>
          <cell r="Z255">
            <v>112</v>
          </cell>
          <cell r="AA255">
            <v>300</v>
          </cell>
          <cell r="AB255">
            <v>0</v>
          </cell>
          <cell r="AC255">
            <v>500</v>
          </cell>
          <cell r="AD255">
            <v>300</v>
          </cell>
          <cell r="AE255">
            <v>0</v>
          </cell>
          <cell r="AF255">
            <v>7555</v>
          </cell>
          <cell r="AG255">
            <v>1875</v>
          </cell>
          <cell r="AH255">
            <v>700</v>
          </cell>
          <cell r="AI255">
            <v>1100</v>
          </cell>
          <cell r="AJ255">
            <v>10562</v>
          </cell>
          <cell r="AK255">
            <v>0</v>
          </cell>
          <cell r="AL255">
            <v>0</v>
          </cell>
          <cell r="AM255">
            <v>1451</v>
          </cell>
          <cell r="AN255">
            <v>-112</v>
          </cell>
          <cell r="AO255">
            <v>0</v>
          </cell>
          <cell r="AP255">
            <v>900</v>
          </cell>
          <cell r="AQ255">
            <v>2200</v>
          </cell>
          <cell r="AR255">
            <v>0</v>
          </cell>
          <cell r="AS255">
            <v>800</v>
          </cell>
          <cell r="AT255">
            <v>-1534</v>
          </cell>
          <cell r="AU255">
            <v>600</v>
          </cell>
          <cell r="AV255">
            <v>200</v>
          </cell>
          <cell r="AW255">
            <v>100</v>
          </cell>
          <cell r="AX255">
            <v>-1875</v>
          </cell>
          <cell r="AY255">
            <v>0</v>
          </cell>
          <cell r="AZ255">
            <v>0</v>
          </cell>
          <cell r="BA255">
            <v>2100</v>
          </cell>
          <cell r="BB255">
            <v>800</v>
          </cell>
          <cell r="BC255">
            <v>100</v>
          </cell>
          <cell r="BD255">
            <v>3399</v>
          </cell>
          <cell r="BE255">
            <v>500</v>
          </cell>
          <cell r="BF255">
            <v>0</v>
          </cell>
          <cell r="BG255">
            <v>2950</v>
          </cell>
          <cell r="BH255">
            <v>0</v>
          </cell>
          <cell r="BI255">
            <v>100</v>
          </cell>
          <cell r="BJ255">
            <v>300</v>
          </cell>
          <cell r="BK255">
            <v>0</v>
          </cell>
          <cell r="BL255">
            <v>0</v>
          </cell>
          <cell r="BM255">
            <v>-30</v>
          </cell>
          <cell r="BN255">
            <v>0</v>
          </cell>
          <cell r="BO255">
            <v>420</v>
          </cell>
          <cell r="BP255">
            <v>0</v>
          </cell>
          <cell r="BQ255">
            <v>0</v>
          </cell>
          <cell r="BR255">
            <v>0</v>
          </cell>
          <cell r="BS255">
            <v>0</v>
          </cell>
          <cell r="BT255">
            <v>0</v>
          </cell>
          <cell r="BU255">
            <v>0</v>
          </cell>
          <cell r="BV255">
            <v>370</v>
          </cell>
          <cell r="BW255">
            <v>54354</v>
          </cell>
          <cell r="BX255">
            <v>200</v>
          </cell>
          <cell r="BY255">
            <v>1280</v>
          </cell>
          <cell r="BZ255">
            <v>3750</v>
          </cell>
          <cell r="CA255">
            <v>0</v>
          </cell>
          <cell r="CB255">
            <v>0</v>
          </cell>
          <cell r="CC255">
            <v>0</v>
          </cell>
          <cell r="CD255">
            <v>174</v>
          </cell>
          <cell r="CE255">
            <v>0</v>
          </cell>
          <cell r="CF255">
            <v>0</v>
          </cell>
          <cell r="CG255">
            <v>4619</v>
          </cell>
          <cell r="CH255">
            <v>2300</v>
          </cell>
          <cell r="CI255">
            <v>48884</v>
          </cell>
          <cell r="CJ255">
            <v>100</v>
          </cell>
          <cell r="CK255">
            <v>0</v>
          </cell>
          <cell r="CL255">
            <v>0</v>
          </cell>
          <cell r="CM255">
            <v>799</v>
          </cell>
          <cell r="CN255">
            <v>770</v>
          </cell>
          <cell r="CO255">
            <v>2950</v>
          </cell>
          <cell r="CP255">
            <v>0</v>
          </cell>
          <cell r="CQ255">
            <v>0</v>
          </cell>
          <cell r="CR255">
            <v>0</v>
          </cell>
          <cell r="CS255">
            <v>2000</v>
          </cell>
          <cell r="CT255">
            <v>100</v>
          </cell>
          <cell r="CU255">
            <v>0</v>
          </cell>
          <cell r="CV255">
            <v>0</v>
          </cell>
          <cell r="CW255">
            <v>0</v>
          </cell>
          <cell r="CX255">
            <v>0</v>
          </cell>
          <cell r="CY255">
            <v>5342</v>
          </cell>
          <cell r="CZ255">
            <v>15121</v>
          </cell>
          <cell r="DA255">
            <v>0</v>
          </cell>
          <cell r="DB255">
            <v>0</v>
          </cell>
          <cell r="DC255">
            <v>750</v>
          </cell>
          <cell r="DD255">
            <v>640</v>
          </cell>
          <cell r="DE255">
            <v>2207.1</v>
          </cell>
          <cell r="DF255">
            <v>2000</v>
          </cell>
          <cell r="DG255">
            <v>0</v>
          </cell>
        </row>
        <row r="256">
          <cell r="A256">
            <v>6700518</v>
          </cell>
          <cell r="B256">
            <v>6700518</v>
          </cell>
          <cell r="C256" t="str">
            <v>Ins-Travel Accident</v>
          </cell>
          <cell r="D256">
            <v>0</v>
          </cell>
          <cell r="E256">
            <v>0</v>
          </cell>
          <cell r="F256">
            <v>0</v>
          </cell>
          <cell r="G256">
            <v>0</v>
          </cell>
          <cell r="H256">
            <v>0</v>
          </cell>
          <cell r="I256">
            <v>0</v>
          </cell>
          <cell r="J256">
            <v>0</v>
          </cell>
          <cell r="K256">
            <v>0</v>
          </cell>
          <cell r="L256">
            <v>0</v>
          </cell>
          <cell r="M256">
            <v>0</v>
          </cell>
          <cell r="N256">
            <v>0</v>
          </cell>
          <cell r="O256">
            <v>853.5</v>
          </cell>
          <cell r="P256">
            <v>853.5</v>
          </cell>
          <cell r="Q256">
            <v>-946.17</v>
          </cell>
          <cell r="R256">
            <v>278</v>
          </cell>
          <cell r="S256">
            <v>-92.67</v>
          </cell>
          <cell r="T256">
            <v>370.68</v>
          </cell>
          <cell r="U256">
            <v>92.67</v>
          </cell>
          <cell r="V256">
            <v>92.67</v>
          </cell>
          <cell r="W256">
            <v>92.67</v>
          </cell>
          <cell r="X256">
            <v>92.67</v>
          </cell>
          <cell r="Y256">
            <v>92.67</v>
          </cell>
          <cell r="Z256">
            <v>92.67</v>
          </cell>
          <cell r="AA256">
            <v>92.64</v>
          </cell>
          <cell r="AB256">
            <v>75.400000000000006</v>
          </cell>
          <cell r="AC256">
            <v>75.400000000000006</v>
          </cell>
          <cell r="AD256">
            <v>75.400000000000006</v>
          </cell>
          <cell r="AE256">
            <v>75.400000000000006</v>
          </cell>
          <cell r="AF256">
            <v>75.400000000000006</v>
          </cell>
          <cell r="AG256">
            <v>75.400000000000006</v>
          </cell>
          <cell r="AH256">
            <v>75.400000000000006</v>
          </cell>
          <cell r="AI256">
            <v>75.400000000000006</v>
          </cell>
          <cell r="AJ256">
            <v>75.400000000000006</v>
          </cell>
          <cell r="AK256">
            <v>75.400000000000006</v>
          </cell>
          <cell r="AL256">
            <v>75.400000000000006</v>
          </cell>
          <cell r="AM256">
            <v>75.34</v>
          </cell>
          <cell r="AN256">
            <v>0</v>
          </cell>
          <cell r="AO256">
            <v>0</v>
          </cell>
          <cell r="AP256">
            <v>218</v>
          </cell>
          <cell r="AQ256">
            <v>72.66</v>
          </cell>
          <cell r="AR256">
            <v>72.66</v>
          </cell>
          <cell r="AS256">
            <v>72.66</v>
          </cell>
          <cell r="AT256">
            <v>72.66</v>
          </cell>
          <cell r="AU256">
            <v>72.66</v>
          </cell>
          <cell r="AV256">
            <v>72.66</v>
          </cell>
          <cell r="AW256">
            <v>72.66</v>
          </cell>
          <cell r="AX256">
            <v>72.66</v>
          </cell>
          <cell r="AY256">
            <v>72.66</v>
          </cell>
          <cell r="AZ256">
            <v>72.66</v>
          </cell>
          <cell r="BA256">
            <v>72.66</v>
          </cell>
          <cell r="BB256">
            <v>72.66</v>
          </cell>
          <cell r="BC256">
            <v>72.66</v>
          </cell>
          <cell r="BD256">
            <v>72.66</v>
          </cell>
          <cell r="BE256">
            <v>72.66</v>
          </cell>
          <cell r="BF256">
            <v>72.66</v>
          </cell>
          <cell r="BG256">
            <v>72.66</v>
          </cell>
          <cell r="BH256">
            <v>72.66</v>
          </cell>
          <cell r="BI256">
            <v>72.66</v>
          </cell>
          <cell r="BJ256">
            <v>72.66</v>
          </cell>
          <cell r="BK256">
            <v>72.66</v>
          </cell>
          <cell r="BL256">
            <v>72.66</v>
          </cell>
          <cell r="BM256">
            <v>72.66</v>
          </cell>
          <cell r="BN256">
            <v>72.66</v>
          </cell>
          <cell r="BO256">
            <v>72.66</v>
          </cell>
          <cell r="BP256">
            <v>72.66</v>
          </cell>
          <cell r="BQ256">
            <v>72.66</v>
          </cell>
          <cell r="BR256">
            <v>72.66</v>
          </cell>
          <cell r="BS256">
            <v>72.66</v>
          </cell>
          <cell r="BT256">
            <v>90.94</v>
          </cell>
          <cell r="BU256">
            <v>81.81</v>
          </cell>
          <cell r="BV256">
            <v>81.81</v>
          </cell>
          <cell r="BW256">
            <v>81.81</v>
          </cell>
          <cell r="BX256">
            <v>63.35</v>
          </cell>
          <cell r="BY256">
            <v>63.36</v>
          </cell>
          <cell r="BZ256">
            <v>63.36</v>
          </cell>
          <cell r="CA256">
            <v>63.36</v>
          </cell>
          <cell r="CB256">
            <v>63.36</v>
          </cell>
          <cell r="CC256">
            <v>63.36</v>
          </cell>
          <cell r="CD256">
            <v>63.36</v>
          </cell>
          <cell r="CE256">
            <v>63.36</v>
          </cell>
          <cell r="CF256">
            <v>63.36</v>
          </cell>
          <cell r="CG256">
            <v>63.36</v>
          </cell>
          <cell r="CH256">
            <v>63.36</v>
          </cell>
          <cell r="CI256">
            <v>63.36</v>
          </cell>
          <cell r="CJ256">
            <v>63.36</v>
          </cell>
          <cell r="CK256">
            <v>63.36</v>
          </cell>
          <cell r="CL256">
            <v>63.36</v>
          </cell>
          <cell r="CM256">
            <v>63.36</v>
          </cell>
          <cell r="CN256">
            <v>63.36</v>
          </cell>
          <cell r="CO256">
            <v>63.36</v>
          </cell>
          <cell r="CP256">
            <v>63.36</v>
          </cell>
          <cell r="CQ256">
            <v>63.36</v>
          </cell>
          <cell r="CR256">
            <v>63.36</v>
          </cell>
          <cell r="CS256">
            <v>63.36</v>
          </cell>
          <cell r="CT256">
            <v>63.36</v>
          </cell>
          <cell r="CU256">
            <v>63.36</v>
          </cell>
          <cell r="CV256">
            <v>63.36</v>
          </cell>
          <cell r="CW256">
            <v>63.36</v>
          </cell>
          <cell r="CX256">
            <v>63.36</v>
          </cell>
          <cell r="CY256">
            <v>63.36</v>
          </cell>
          <cell r="CZ256">
            <v>63.36</v>
          </cell>
          <cell r="DA256">
            <v>63.36</v>
          </cell>
          <cell r="DB256">
            <v>63.36</v>
          </cell>
          <cell r="DC256">
            <v>63.36</v>
          </cell>
          <cell r="DD256">
            <v>63.36</v>
          </cell>
          <cell r="DE256">
            <v>63.36</v>
          </cell>
          <cell r="DF256">
            <v>63.36</v>
          </cell>
          <cell r="DG256">
            <v>63.36</v>
          </cell>
        </row>
        <row r="257">
          <cell r="A257">
            <v>6700519</v>
          </cell>
          <cell r="B257">
            <v>6700519</v>
          </cell>
          <cell r="C257" t="str">
            <v>Ins-WC Excess</v>
          </cell>
          <cell r="D257">
            <v>10644.05</v>
          </cell>
          <cell r="E257">
            <v>10644.05</v>
          </cell>
          <cell r="F257">
            <v>10644.05</v>
          </cell>
          <cell r="G257">
            <v>8742.0499999999993</v>
          </cell>
          <cell r="H257">
            <v>10644.05</v>
          </cell>
          <cell r="I257">
            <v>10644.05</v>
          </cell>
          <cell r="J257">
            <v>11078.65</v>
          </cell>
          <cell r="K257">
            <v>11078.65</v>
          </cell>
          <cell r="L257">
            <v>11078.65</v>
          </cell>
          <cell r="M257">
            <v>11078.65</v>
          </cell>
          <cell r="N257">
            <v>11078.65</v>
          </cell>
          <cell r="O257">
            <v>11078.65</v>
          </cell>
          <cell r="P257">
            <v>11078.65</v>
          </cell>
          <cell r="Q257">
            <v>11078.65</v>
          </cell>
          <cell r="R257">
            <v>11078.65</v>
          </cell>
          <cell r="S257">
            <v>11078.65</v>
          </cell>
          <cell r="T257">
            <v>11078.65</v>
          </cell>
          <cell r="U257">
            <v>11078.63</v>
          </cell>
          <cell r="V257">
            <v>13334.49</v>
          </cell>
          <cell r="W257">
            <v>13334.49</v>
          </cell>
          <cell r="X257">
            <v>13334.49</v>
          </cell>
          <cell r="Y257">
            <v>13334.49</v>
          </cell>
          <cell r="Z257">
            <v>13334.49</v>
          </cell>
          <cell r="AA257">
            <v>13334.49</v>
          </cell>
          <cell r="AB257">
            <v>15517.79</v>
          </cell>
          <cell r="AC257">
            <v>13334.49</v>
          </cell>
          <cell r="AD257">
            <v>13334.49</v>
          </cell>
          <cell r="AE257">
            <v>15189.59</v>
          </cell>
          <cell r="AF257">
            <v>4422.82</v>
          </cell>
          <cell r="AG257">
            <v>13334.46</v>
          </cell>
          <cell r="AH257">
            <v>8327.2900000000009</v>
          </cell>
          <cell r="AI257">
            <v>6472.19</v>
          </cell>
          <cell r="AJ257">
            <v>6472.19</v>
          </cell>
          <cell r="AK257">
            <v>13248.75</v>
          </cell>
          <cell r="AL257">
            <v>6472.19</v>
          </cell>
          <cell r="AM257">
            <v>6472.19</v>
          </cell>
          <cell r="AN257">
            <v>8327.2900000000009</v>
          </cell>
          <cell r="AO257">
            <v>6472.19</v>
          </cell>
          <cell r="AP257">
            <v>6472.19</v>
          </cell>
          <cell r="AQ257">
            <v>6472.19</v>
          </cell>
          <cell r="AR257">
            <v>6472.19</v>
          </cell>
          <cell r="AS257">
            <v>8749.59</v>
          </cell>
          <cell r="AT257">
            <v>7935.95</v>
          </cell>
          <cell r="AU257">
            <v>5658.55</v>
          </cell>
          <cell r="AV257">
            <v>5658.55</v>
          </cell>
          <cell r="AW257">
            <v>7935.95</v>
          </cell>
          <cell r="AX257">
            <v>5658.55</v>
          </cell>
          <cell r="AY257">
            <v>5916.83</v>
          </cell>
          <cell r="AZ257">
            <v>7965.12</v>
          </cell>
          <cell r="BA257">
            <v>5802.25</v>
          </cell>
          <cell r="BB257">
            <v>5802.25</v>
          </cell>
          <cell r="BC257">
            <v>7089.96</v>
          </cell>
          <cell r="BD257">
            <v>5802.25</v>
          </cell>
          <cell r="BE257">
            <v>5802.25</v>
          </cell>
          <cell r="BF257">
            <v>7089.96</v>
          </cell>
          <cell r="BG257">
            <v>5802.25</v>
          </cell>
          <cell r="BH257">
            <v>5802.25</v>
          </cell>
          <cell r="BI257">
            <v>7089.96</v>
          </cell>
          <cell r="BJ257">
            <v>7089.96</v>
          </cell>
          <cell r="BK257">
            <v>5524.86</v>
          </cell>
          <cell r="BL257">
            <v>5524.88</v>
          </cell>
          <cell r="BM257">
            <v>5524.88</v>
          </cell>
          <cell r="BN257">
            <v>5524.88</v>
          </cell>
          <cell r="BO257">
            <v>5524.88</v>
          </cell>
          <cell r="BP257">
            <v>5524.88</v>
          </cell>
          <cell r="BQ257">
            <v>5524.88</v>
          </cell>
          <cell r="BR257">
            <v>5524.88</v>
          </cell>
          <cell r="BS257">
            <v>5524.88</v>
          </cell>
          <cell r="BT257">
            <v>7137.68</v>
          </cell>
          <cell r="BU257">
            <v>5524.88</v>
          </cell>
          <cell r="BV257">
            <v>5524.88</v>
          </cell>
          <cell r="BW257">
            <v>5800</v>
          </cell>
          <cell r="BX257">
            <v>5800</v>
          </cell>
          <cell r="BY257">
            <v>7840.54</v>
          </cell>
          <cell r="BZ257">
            <v>7954.8</v>
          </cell>
          <cell r="CA257">
            <v>6480.18</v>
          </cell>
          <cell r="CB257">
            <v>6480.18</v>
          </cell>
          <cell r="CC257">
            <v>6480.18</v>
          </cell>
          <cell r="CD257">
            <v>6480.18</v>
          </cell>
          <cell r="CE257">
            <v>6480.18</v>
          </cell>
          <cell r="CF257">
            <v>6480.18</v>
          </cell>
          <cell r="CG257">
            <v>6480.18</v>
          </cell>
          <cell r="CH257">
            <v>6480.18</v>
          </cell>
          <cell r="CI257">
            <v>7324</v>
          </cell>
          <cell r="CJ257">
            <v>7300</v>
          </cell>
          <cell r="CK257">
            <v>9561.58</v>
          </cell>
          <cell r="CL257">
            <v>8053.88</v>
          </cell>
          <cell r="CM257">
            <v>12023.96</v>
          </cell>
          <cell r="CN257">
            <v>8053.88</v>
          </cell>
          <cell r="CO257">
            <v>8053.88</v>
          </cell>
          <cell r="CP257">
            <v>8053.88</v>
          </cell>
          <cell r="CQ257">
            <v>8053.88</v>
          </cell>
          <cell r="CR257">
            <v>8053.88</v>
          </cell>
          <cell r="CS257">
            <v>8053.88</v>
          </cell>
          <cell r="CT257">
            <v>8053.88</v>
          </cell>
          <cell r="CU257">
            <v>8991.6299999999992</v>
          </cell>
          <cell r="CV257">
            <v>8065.1</v>
          </cell>
          <cell r="CW257">
            <v>10138.049999999999</v>
          </cell>
          <cell r="CX257">
            <v>12821.01</v>
          </cell>
          <cell r="CY257">
            <v>8482.5499999999993</v>
          </cell>
          <cell r="CZ257">
            <v>8482.5499999999993</v>
          </cell>
          <cell r="DA257">
            <v>8900</v>
          </cell>
          <cell r="DB257">
            <v>9302.06</v>
          </cell>
          <cell r="DC257">
            <v>8767.0300000000007</v>
          </cell>
          <cell r="DD257">
            <v>8767.0300000000007</v>
          </cell>
          <cell r="DE257">
            <v>8767.0300000000007</v>
          </cell>
          <cell r="DF257">
            <v>8858.66</v>
          </cell>
          <cell r="DG257">
            <v>11220.03</v>
          </cell>
        </row>
        <row r="258">
          <cell r="A258">
            <v>6700520</v>
          </cell>
          <cell r="B258">
            <v>6700520</v>
          </cell>
          <cell r="C258" t="str">
            <v>Ins-WC States</v>
          </cell>
          <cell r="D258">
            <v>-8456.66</v>
          </cell>
          <cell r="E258">
            <v>0</v>
          </cell>
          <cell r="F258">
            <v>-0.03</v>
          </cell>
          <cell r="G258">
            <v>-12035</v>
          </cell>
          <cell r="H258">
            <v>-25336</v>
          </cell>
          <cell r="I258">
            <v>0</v>
          </cell>
          <cell r="J258">
            <v>0</v>
          </cell>
          <cell r="K258">
            <v>0</v>
          </cell>
          <cell r="L258">
            <v>0</v>
          </cell>
          <cell r="M258">
            <v>0</v>
          </cell>
          <cell r="N258">
            <v>0</v>
          </cell>
          <cell r="O258">
            <v>0</v>
          </cell>
          <cell r="P258">
            <v>0</v>
          </cell>
          <cell r="Q258">
            <v>0</v>
          </cell>
          <cell r="R258">
            <v>69</v>
          </cell>
          <cell r="S258">
            <v>-109</v>
          </cell>
          <cell r="T258">
            <v>0</v>
          </cell>
          <cell r="U258">
            <v>0</v>
          </cell>
          <cell r="V258">
            <v>0</v>
          </cell>
          <cell r="W258">
            <v>0</v>
          </cell>
          <cell r="X258">
            <v>0</v>
          </cell>
          <cell r="Y258">
            <v>0</v>
          </cell>
          <cell r="Z258">
            <v>0</v>
          </cell>
          <cell r="AA258">
            <v>0</v>
          </cell>
          <cell r="AB258">
            <v>0</v>
          </cell>
          <cell r="AC258">
            <v>0</v>
          </cell>
          <cell r="AD258">
            <v>114</v>
          </cell>
          <cell r="AE258">
            <v>0</v>
          </cell>
          <cell r="AF258">
            <v>0</v>
          </cell>
          <cell r="AG258">
            <v>0</v>
          </cell>
          <cell r="AH258">
            <v>-30750.53</v>
          </cell>
          <cell r="AI258">
            <v>0</v>
          </cell>
          <cell r="AJ258">
            <v>0</v>
          </cell>
          <cell r="AK258">
            <v>0</v>
          </cell>
          <cell r="AL258">
            <v>0</v>
          </cell>
          <cell r="AM258">
            <v>0</v>
          </cell>
          <cell r="AN258">
            <v>0</v>
          </cell>
          <cell r="AO258">
            <v>0</v>
          </cell>
          <cell r="AP258">
            <v>7526</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cell r="BJ258"/>
          <cell r="BK258"/>
          <cell r="BL258"/>
          <cell r="BM258"/>
          <cell r="BN258"/>
          <cell r="BO258"/>
          <cell r="BP258"/>
          <cell r="BQ258"/>
          <cell r="BR258"/>
          <cell r="BS258"/>
          <cell r="BT258"/>
          <cell r="BU258"/>
          <cell r="BV258"/>
          <cell r="BW258"/>
          <cell r="BX258"/>
          <cell r="BY258"/>
          <cell r="BZ258"/>
          <cell r="CA258"/>
          <cell r="CB258"/>
          <cell r="CC258"/>
          <cell r="CD258"/>
          <cell r="CE258"/>
          <cell r="CF258"/>
          <cell r="CG258"/>
          <cell r="CH258"/>
          <cell r="CI258"/>
          <cell r="CJ258"/>
          <cell r="CK258"/>
          <cell r="CL258"/>
          <cell r="CM258"/>
          <cell r="CN258"/>
          <cell r="CO258"/>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row>
        <row r="259">
          <cell r="A259">
            <v>6700599</v>
          </cell>
          <cell r="B259">
            <v>6700599</v>
          </cell>
          <cell r="C259" t="str">
            <v>Ins-Other</v>
          </cell>
          <cell r="D259">
            <v>2670.57</v>
          </cell>
          <cell r="E259">
            <v>0</v>
          </cell>
          <cell r="F259">
            <v>506</v>
          </cell>
          <cell r="G259">
            <v>0</v>
          </cell>
          <cell r="H259">
            <v>0</v>
          </cell>
          <cell r="I259">
            <v>0</v>
          </cell>
          <cell r="J259">
            <v>3400.29</v>
          </cell>
          <cell r="K259">
            <v>8770.2099999999991</v>
          </cell>
          <cell r="L259">
            <v>315.04000000000002</v>
          </cell>
          <cell r="M259">
            <v>2896.21</v>
          </cell>
          <cell r="N259">
            <v>315.04000000000002</v>
          </cell>
          <cell r="O259">
            <v>315.04000000000002</v>
          </cell>
          <cell r="P259">
            <v>2770.49</v>
          </cell>
          <cell r="Q259">
            <v>315.04000000000002</v>
          </cell>
          <cell r="R259">
            <v>315.04000000000002</v>
          </cell>
          <cell r="S259">
            <v>2498.34</v>
          </cell>
          <cell r="T259">
            <v>315.04000000000002</v>
          </cell>
          <cell r="U259">
            <v>-504.67</v>
          </cell>
          <cell r="V259">
            <v>2183.3000000000002</v>
          </cell>
          <cell r="W259">
            <v>6000</v>
          </cell>
          <cell r="X259">
            <v>0</v>
          </cell>
          <cell r="Y259">
            <v>2183.3000000000002</v>
          </cell>
          <cell r="Z259">
            <v>0</v>
          </cell>
          <cell r="AA259">
            <v>0</v>
          </cell>
          <cell r="AB259">
            <v>0</v>
          </cell>
          <cell r="AC259">
            <v>0</v>
          </cell>
          <cell r="AD259">
            <v>0</v>
          </cell>
          <cell r="AE259">
            <v>0</v>
          </cell>
          <cell r="AF259">
            <v>118.5</v>
          </cell>
          <cell r="AG259">
            <v>118.5</v>
          </cell>
          <cell r="AH259">
            <v>118.5</v>
          </cell>
          <cell r="AI259">
            <v>358.5</v>
          </cell>
          <cell r="AJ259">
            <v>358.5</v>
          </cell>
          <cell r="AK259">
            <v>358.5</v>
          </cell>
          <cell r="AL259">
            <v>358.5</v>
          </cell>
          <cell r="AM259">
            <v>358.5</v>
          </cell>
          <cell r="AN259">
            <v>358.5</v>
          </cell>
          <cell r="AO259">
            <v>358.5</v>
          </cell>
          <cell r="AP259">
            <v>358.5</v>
          </cell>
          <cell r="AQ259">
            <v>358.5</v>
          </cell>
          <cell r="AR259">
            <v>406.75</v>
          </cell>
          <cell r="AS259">
            <v>406.75</v>
          </cell>
          <cell r="AT259">
            <v>1924.68</v>
          </cell>
          <cell r="AU259">
            <v>1165.74</v>
          </cell>
          <cell r="AV259">
            <v>1165.74</v>
          </cell>
          <cell r="AW259">
            <v>1165.74</v>
          </cell>
          <cell r="AX259">
            <v>1165.74</v>
          </cell>
          <cell r="AY259">
            <v>1384.42</v>
          </cell>
          <cell r="AZ259">
            <v>1193.07</v>
          </cell>
          <cell r="BA259">
            <v>1193.07</v>
          </cell>
          <cell r="BB259">
            <v>1193.07</v>
          </cell>
          <cell r="BC259">
            <v>1193.07</v>
          </cell>
          <cell r="BD259">
            <v>1224.5</v>
          </cell>
          <cell r="BE259">
            <v>465.51</v>
          </cell>
          <cell r="BF259">
            <v>465.51</v>
          </cell>
          <cell r="BG259">
            <v>2800.59</v>
          </cell>
          <cell r="BH259">
            <v>3441.54</v>
          </cell>
          <cell r="BI259">
            <v>2346.04</v>
          </cell>
          <cell r="BJ259">
            <v>2346.04</v>
          </cell>
          <cell r="BK259">
            <v>2346.04</v>
          </cell>
          <cell r="BL259">
            <v>3718.68</v>
          </cell>
          <cell r="BM259">
            <v>6556.49</v>
          </cell>
          <cell r="BN259">
            <v>2689.21</v>
          </cell>
          <cell r="BO259">
            <v>2689.21</v>
          </cell>
          <cell r="BP259">
            <v>2463.6999999999998</v>
          </cell>
          <cell r="BQ259">
            <v>1272.3699999999999</v>
          </cell>
          <cell r="BR259">
            <v>5084.8</v>
          </cell>
          <cell r="BS259">
            <v>3008.76</v>
          </cell>
          <cell r="BT259">
            <v>3008.76</v>
          </cell>
          <cell r="BU259">
            <v>2765.59</v>
          </cell>
          <cell r="BV259">
            <v>3351.89</v>
          </cell>
          <cell r="BW259">
            <v>3008.76</v>
          </cell>
          <cell r="BX259">
            <v>3008.76</v>
          </cell>
          <cell r="BY259">
            <v>3008.76</v>
          </cell>
          <cell r="BZ259">
            <v>6204.4</v>
          </cell>
          <cell r="CA259">
            <v>3008.76</v>
          </cell>
          <cell r="CB259">
            <v>2669.18</v>
          </cell>
          <cell r="CC259">
            <v>2807.17</v>
          </cell>
          <cell r="CD259">
            <v>4302.67</v>
          </cell>
          <cell r="CE259">
            <v>841.67</v>
          </cell>
          <cell r="CF259">
            <v>13813.48</v>
          </cell>
          <cell r="CG259">
            <v>62157.99</v>
          </cell>
          <cell r="CH259">
            <v>4337.29</v>
          </cell>
          <cell r="CI259">
            <v>4043.16</v>
          </cell>
          <cell r="CJ259">
            <v>4316.3</v>
          </cell>
          <cell r="CK259">
            <v>4179.7299999999996</v>
          </cell>
          <cell r="CL259">
            <v>4179.7299999999996</v>
          </cell>
          <cell r="CM259">
            <v>4179.7299999999996</v>
          </cell>
          <cell r="CN259">
            <v>4498.7299999999996</v>
          </cell>
          <cell r="CO259">
            <v>4498.7299999999996</v>
          </cell>
          <cell r="CP259">
            <v>4139.33</v>
          </cell>
          <cell r="CQ259">
            <v>5882.3</v>
          </cell>
          <cell r="CR259">
            <v>5882.3</v>
          </cell>
          <cell r="CS259">
            <v>5588.13</v>
          </cell>
          <cell r="CT259">
            <v>6176.33</v>
          </cell>
          <cell r="CU259">
            <v>5882.16</v>
          </cell>
          <cell r="CV259">
            <v>5882.22</v>
          </cell>
          <cell r="CW259">
            <v>5882.22</v>
          </cell>
          <cell r="CX259">
            <v>5882.22</v>
          </cell>
          <cell r="CY259">
            <v>5882.22</v>
          </cell>
          <cell r="CZ259">
            <v>6064.72</v>
          </cell>
          <cell r="DA259">
            <v>6064.72</v>
          </cell>
          <cell r="DB259">
            <v>5560.12</v>
          </cell>
          <cell r="DC259">
            <v>8772.92</v>
          </cell>
          <cell r="DD259">
            <v>8772.98</v>
          </cell>
          <cell r="DE259">
            <v>8772.9</v>
          </cell>
          <cell r="DF259">
            <v>8184.9</v>
          </cell>
          <cell r="DG259">
            <v>9424.2099999999991</v>
          </cell>
        </row>
        <row r="260">
          <cell r="A260">
            <v>6709000</v>
          </cell>
          <cell r="B260">
            <v>6709000</v>
          </cell>
          <cell r="C260" t="str">
            <v>Ins to BalSheet</v>
          </cell>
          <cell r="D260">
            <v>2670.57</v>
          </cell>
          <cell r="E260">
            <v>0</v>
          </cell>
          <cell r="F260">
            <v>506</v>
          </cell>
          <cell r="G260">
            <v>0</v>
          </cell>
          <cell r="H260">
            <v>0</v>
          </cell>
          <cell r="I260">
            <v>0</v>
          </cell>
          <cell r="J260">
            <v>3400.29</v>
          </cell>
          <cell r="K260">
            <v>8770.2099999999991</v>
          </cell>
          <cell r="L260">
            <v>315.04000000000002</v>
          </cell>
          <cell r="M260">
            <v>2896.21</v>
          </cell>
          <cell r="N260">
            <v>315.04000000000002</v>
          </cell>
          <cell r="O260">
            <v>315.04000000000002</v>
          </cell>
          <cell r="P260">
            <v>2770.49</v>
          </cell>
          <cell r="Q260">
            <v>315.04000000000002</v>
          </cell>
          <cell r="R260">
            <v>315.04000000000002</v>
          </cell>
          <cell r="S260">
            <v>2498.34</v>
          </cell>
          <cell r="T260">
            <v>315.04000000000002</v>
          </cell>
          <cell r="U260">
            <v>-504.67</v>
          </cell>
          <cell r="V260">
            <v>2183.3000000000002</v>
          </cell>
          <cell r="W260">
            <v>6000</v>
          </cell>
          <cell r="X260">
            <v>0</v>
          </cell>
          <cell r="Y260">
            <v>0</v>
          </cell>
          <cell r="Z260">
            <v>0</v>
          </cell>
          <cell r="AA260">
            <v>-100</v>
          </cell>
          <cell r="AB260">
            <v>0</v>
          </cell>
          <cell r="AC260">
            <v>0</v>
          </cell>
          <cell r="AD260">
            <v>0</v>
          </cell>
          <cell r="AE260">
            <v>0</v>
          </cell>
          <cell r="AF260">
            <v>-2275</v>
          </cell>
          <cell r="AG260">
            <v>-1875</v>
          </cell>
          <cell r="AH260">
            <v>-100</v>
          </cell>
          <cell r="AI260">
            <v>0</v>
          </cell>
          <cell r="AJ260">
            <v>-10450</v>
          </cell>
          <cell r="AK260">
            <v>0</v>
          </cell>
          <cell r="AL260">
            <v>0</v>
          </cell>
          <cell r="AM260">
            <v>-1151</v>
          </cell>
          <cell r="AN260">
            <v>0</v>
          </cell>
          <cell r="AO260">
            <v>0</v>
          </cell>
          <cell r="AP260">
            <v>-400</v>
          </cell>
          <cell r="AQ260">
            <v>0</v>
          </cell>
          <cell r="AR260">
            <v>0</v>
          </cell>
          <cell r="AS260">
            <v>0</v>
          </cell>
          <cell r="AT260">
            <v>1202</v>
          </cell>
          <cell r="AU260">
            <v>-100</v>
          </cell>
          <cell r="AV260">
            <v>0</v>
          </cell>
          <cell r="AW260">
            <v>0</v>
          </cell>
          <cell r="AX260">
            <v>1875</v>
          </cell>
          <cell r="AY260">
            <v>0</v>
          </cell>
          <cell r="AZ260">
            <v>0</v>
          </cell>
          <cell r="BA260">
            <v>-100</v>
          </cell>
          <cell r="BB260">
            <v>0</v>
          </cell>
          <cell r="BC260">
            <v>0</v>
          </cell>
          <cell r="BD260">
            <v>-899</v>
          </cell>
          <cell r="BE260">
            <v>0</v>
          </cell>
          <cell r="BF260">
            <v>0</v>
          </cell>
          <cell r="BG260">
            <v>-850</v>
          </cell>
          <cell r="BH260">
            <v>0</v>
          </cell>
          <cell r="BI260">
            <v>-100</v>
          </cell>
          <cell r="BJ260">
            <v>-100</v>
          </cell>
          <cell r="BK260">
            <v>0</v>
          </cell>
          <cell r="BL260">
            <v>0</v>
          </cell>
          <cell r="BM260">
            <v>0</v>
          </cell>
          <cell r="BN260">
            <v>0</v>
          </cell>
          <cell r="BO260">
            <v>0</v>
          </cell>
          <cell r="BP260">
            <v>0</v>
          </cell>
          <cell r="BQ260">
            <v>0</v>
          </cell>
          <cell r="BR260">
            <v>0</v>
          </cell>
          <cell r="BS260">
            <v>0</v>
          </cell>
          <cell r="BT260">
            <v>0</v>
          </cell>
          <cell r="BU260">
            <v>-100</v>
          </cell>
          <cell r="BV260">
            <v>0</v>
          </cell>
          <cell r="BW260">
            <v>-53754</v>
          </cell>
          <cell r="BX260">
            <v>-200</v>
          </cell>
          <cell r="BY260">
            <v>-1280</v>
          </cell>
          <cell r="BZ260">
            <v>-1750</v>
          </cell>
          <cell r="CA260">
            <v>0</v>
          </cell>
          <cell r="CB260">
            <v>0</v>
          </cell>
          <cell r="CC260">
            <v>0</v>
          </cell>
          <cell r="CD260">
            <v>0</v>
          </cell>
          <cell r="CE260">
            <v>0</v>
          </cell>
          <cell r="CF260">
            <v>-6471</v>
          </cell>
          <cell r="CG260">
            <v>-3820</v>
          </cell>
          <cell r="CH260">
            <v>-2300</v>
          </cell>
          <cell r="CI260">
            <v>-48884</v>
          </cell>
          <cell r="CJ260">
            <v>-100</v>
          </cell>
          <cell r="CK260">
            <v>0</v>
          </cell>
          <cell r="CL260">
            <v>0</v>
          </cell>
          <cell r="CM260">
            <v>-799</v>
          </cell>
          <cell r="CN260">
            <v>-770</v>
          </cell>
          <cell r="CO260">
            <v>-2950</v>
          </cell>
          <cell r="CP260">
            <v>0</v>
          </cell>
          <cell r="CQ260">
            <v>0</v>
          </cell>
          <cell r="CR260">
            <v>0</v>
          </cell>
          <cell r="CS260">
            <v>-2000</v>
          </cell>
          <cell r="CT260">
            <v>-100</v>
          </cell>
          <cell r="CU260">
            <v>0</v>
          </cell>
          <cell r="CV260">
            <v>0</v>
          </cell>
          <cell r="CW260">
            <v>0</v>
          </cell>
          <cell r="CX260">
            <v>0</v>
          </cell>
          <cell r="CY260">
            <v>-2543</v>
          </cell>
          <cell r="CZ260">
            <v>-15121</v>
          </cell>
          <cell r="DA260">
            <v>0</v>
          </cell>
          <cell r="DB260">
            <v>0</v>
          </cell>
          <cell r="DC260">
            <v>-750</v>
          </cell>
          <cell r="DD260">
            <v>-640</v>
          </cell>
          <cell r="DE260">
            <v>-2207.1</v>
          </cell>
          <cell r="DF260">
            <v>0</v>
          </cell>
          <cell r="DG260">
            <v>0</v>
          </cell>
        </row>
        <row r="261">
          <cell r="A261">
            <v>6710030</v>
          </cell>
          <cell r="B261">
            <v>6710030</v>
          </cell>
          <cell r="C261" t="str">
            <v>ST Rent-Office Equip</v>
          </cell>
          <cell r="D261"/>
          <cell r="E261"/>
          <cell r="F261"/>
          <cell r="G261"/>
          <cell r="H261"/>
          <cell r="I261"/>
          <cell r="J261"/>
          <cell r="K261"/>
          <cell r="L261"/>
          <cell r="M261"/>
          <cell r="N261"/>
          <cell r="O261"/>
          <cell r="P261"/>
          <cell r="Q261"/>
          <cell r="R261"/>
          <cell r="S261"/>
          <cell r="T261"/>
          <cell r="U261"/>
          <cell r="V261"/>
          <cell r="W261"/>
          <cell r="X261"/>
          <cell r="Y261"/>
          <cell r="Z261"/>
          <cell r="AA261"/>
          <cell r="AB261"/>
          <cell r="AC261"/>
          <cell r="AD261"/>
          <cell r="AE261"/>
          <cell r="AF261"/>
          <cell r="AG261"/>
          <cell r="AH261"/>
          <cell r="AI261"/>
          <cell r="AJ261"/>
          <cell r="AK261"/>
          <cell r="AL261"/>
          <cell r="AM261"/>
          <cell r="AN261"/>
          <cell r="AO261"/>
          <cell r="AP261"/>
          <cell r="AQ261"/>
          <cell r="AR261"/>
          <cell r="AS261"/>
          <cell r="AT261"/>
          <cell r="AU261"/>
          <cell r="AV261"/>
          <cell r="AW261"/>
          <cell r="AX261"/>
          <cell r="AY261"/>
          <cell r="AZ261"/>
          <cell r="BA261"/>
          <cell r="BB261"/>
          <cell r="BC261"/>
          <cell r="BD261"/>
          <cell r="BE261"/>
          <cell r="BF261"/>
          <cell r="BG261"/>
          <cell r="BH261"/>
          <cell r="BI261"/>
          <cell r="BJ261"/>
          <cell r="BK261"/>
          <cell r="BL261"/>
          <cell r="BM261"/>
          <cell r="BN261"/>
          <cell r="BO261"/>
          <cell r="BP261"/>
          <cell r="BQ261"/>
          <cell r="BR261"/>
          <cell r="BS261"/>
          <cell r="BT261"/>
          <cell r="BU261"/>
          <cell r="BV261"/>
          <cell r="BW261"/>
          <cell r="BX261"/>
          <cell r="BY261"/>
          <cell r="BZ261"/>
          <cell r="CA261"/>
          <cell r="CB261">
            <v>28</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row>
        <row r="262">
          <cell r="A262">
            <v>6710040</v>
          </cell>
          <cell r="B262">
            <v>6710040</v>
          </cell>
          <cell r="C262" t="str">
            <v>ST Rent-Office Space</v>
          </cell>
          <cell r="D262"/>
          <cell r="E262"/>
          <cell r="F262"/>
          <cell r="G262"/>
          <cell r="H262"/>
          <cell r="I262"/>
          <cell r="J262"/>
          <cell r="K262"/>
          <cell r="L262"/>
          <cell r="M262"/>
          <cell r="N262"/>
          <cell r="O262"/>
          <cell r="P262"/>
          <cell r="Q262"/>
          <cell r="R262"/>
          <cell r="S262"/>
          <cell r="T262"/>
          <cell r="U262"/>
          <cell r="V262"/>
          <cell r="W262"/>
          <cell r="X262"/>
          <cell r="Y262"/>
          <cell r="Z262"/>
          <cell r="AA262"/>
          <cell r="AB262"/>
          <cell r="AC262"/>
          <cell r="AD262"/>
          <cell r="AE262"/>
          <cell r="AF262"/>
          <cell r="AG262"/>
          <cell r="AH262"/>
          <cell r="AI262"/>
          <cell r="AJ262"/>
          <cell r="AK262"/>
          <cell r="AL262"/>
          <cell r="AM262"/>
          <cell r="AN262"/>
          <cell r="AO262"/>
          <cell r="AP262"/>
          <cell r="AQ262"/>
          <cell r="AR262"/>
          <cell r="AS262"/>
          <cell r="AT262"/>
          <cell r="AU262"/>
          <cell r="AV262"/>
          <cell r="AW262"/>
          <cell r="AX262"/>
          <cell r="AY262"/>
          <cell r="AZ262"/>
          <cell r="BA262"/>
          <cell r="BB262"/>
          <cell r="BC262"/>
          <cell r="BD262"/>
          <cell r="BE262"/>
          <cell r="BF262"/>
          <cell r="BG262"/>
          <cell r="BH262"/>
          <cell r="BI262"/>
          <cell r="BJ262"/>
          <cell r="BK262"/>
          <cell r="BL262"/>
          <cell r="BM262"/>
          <cell r="BN262"/>
          <cell r="BO262"/>
          <cell r="BP262"/>
          <cell r="BQ262"/>
          <cell r="BR262"/>
          <cell r="BS262"/>
          <cell r="BT262"/>
          <cell r="BU262"/>
          <cell r="BV262"/>
          <cell r="BW262"/>
          <cell r="BX262"/>
          <cell r="BY262"/>
          <cell r="BZ262"/>
          <cell r="CA262"/>
          <cell r="CB262">
            <v>28</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-913.37</v>
          </cell>
          <cell r="CY262">
            <v>0</v>
          </cell>
          <cell r="CZ262">
            <v>0</v>
          </cell>
          <cell r="DA262">
            <v>0</v>
          </cell>
          <cell r="DB262">
            <v>0</v>
          </cell>
          <cell r="DC262">
            <v>0</v>
          </cell>
          <cell r="DD262">
            <v>0</v>
          </cell>
          <cell r="DE262">
            <v>0</v>
          </cell>
          <cell r="DF262">
            <v>0</v>
          </cell>
          <cell r="DG262">
            <v>0</v>
          </cell>
        </row>
        <row r="263">
          <cell r="A263">
            <v>6710050</v>
          </cell>
          <cell r="B263">
            <v>6710050</v>
          </cell>
          <cell r="C263" t="str">
            <v>Rent-Right of Way</v>
          </cell>
          <cell r="D263">
            <v>7580</v>
          </cell>
          <cell r="E263">
            <v>3203.74</v>
          </cell>
          <cell r="F263">
            <v>1270.1600000000001</v>
          </cell>
          <cell r="G263">
            <v>524.29999999999995</v>
          </cell>
          <cell r="H263">
            <v>140</v>
          </cell>
          <cell r="I263">
            <v>17096.61</v>
          </cell>
          <cell r="J263">
            <v>2518.2199999999998</v>
          </cell>
          <cell r="K263">
            <v>15396.64</v>
          </cell>
          <cell r="L263">
            <v>1508.81</v>
          </cell>
          <cell r="M263">
            <v>2110.6999999999998</v>
          </cell>
          <cell r="N263">
            <v>115790.79</v>
          </cell>
          <cell r="O263">
            <v>-576.91</v>
          </cell>
          <cell r="P263">
            <v>13704</v>
          </cell>
          <cell r="Q263">
            <v>8178.82</v>
          </cell>
          <cell r="R263">
            <v>23849.85</v>
          </cell>
          <cell r="S263">
            <v>190.65</v>
          </cell>
          <cell r="T263">
            <v>16773.86</v>
          </cell>
          <cell r="U263">
            <v>6218.45</v>
          </cell>
          <cell r="V263">
            <v>417.6</v>
          </cell>
          <cell r="W263">
            <v>880.75</v>
          </cell>
          <cell r="X263">
            <v>7535.49</v>
          </cell>
          <cell r="Y263">
            <v>11865.38</v>
          </cell>
          <cell r="Z263">
            <v>114504.17</v>
          </cell>
          <cell r="AA263">
            <v>1135212.3700000001</v>
          </cell>
          <cell r="AB263">
            <v>67179.62</v>
          </cell>
          <cell r="AC263">
            <v>14128.68</v>
          </cell>
          <cell r="AD263">
            <v>10521.23</v>
          </cell>
          <cell r="AE263">
            <v>2058.41</v>
          </cell>
          <cell r="AF263">
            <v>1122</v>
          </cell>
          <cell r="AG263">
            <v>6297.08</v>
          </cell>
          <cell r="AH263">
            <v>96176.8</v>
          </cell>
          <cell r="AI263">
            <v>5070.54</v>
          </cell>
          <cell r="AJ263">
            <v>1704.11</v>
          </cell>
          <cell r="AK263">
            <v>112971.5</v>
          </cell>
          <cell r="AL263">
            <v>1775.35</v>
          </cell>
          <cell r="AM263">
            <v>49750.93</v>
          </cell>
          <cell r="AN263">
            <v>10658.77</v>
          </cell>
          <cell r="AO263">
            <v>15698.14</v>
          </cell>
          <cell r="AP263">
            <v>5533.62</v>
          </cell>
          <cell r="AQ263">
            <v>4292.8100000000004</v>
          </cell>
          <cell r="AR263">
            <v>6631.85</v>
          </cell>
          <cell r="AS263">
            <v>1657</v>
          </cell>
          <cell r="AT263">
            <v>7439.38</v>
          </cell>
          <cell r="AU263">
            <v>17055.8</v>
          </cell>
          <cell r="AV263">
            <v>2583.09</v>
          </cell>
          <cell r="AW263">
            <v>-2415.1</v>
          </cell>
          <cell r="AX263">
            <v>129590.59</v>
          </cell>
          <cell r="AY263">
            <v>32820.36</v>
          </cell>
          <cell r="AZ263">
            <v>7870.25</v>
          </cell>
          <cell r="BA263">
            <v>19243.009999999998</v>
          </cell>
          <cell r="BB263">
            <v>1795.12</v>
          </cell>
          <cell r="BC263">
            <v>4020.95</v>
          </cell>
          <cell r="BD263">
            <v>1231.8499999999999</v>
          </cell>
          <cell r="BE263">
            <v>2290.9499999999998</v>
          </cell>
          <cell r="BF263">
            <v>55924.39</v>
          </cell>
          <cell r="BG263">
            <v>14378.89</v>
          </cell>
          <cell r="BH263">
            <v>13545.21</v>
          </cell>
          <cell r="BI263">
            <v>3404.04</v>
          </cell>
          <cell r="BJ263">
            <v>118306.73</v>
          </cell>
          <cell r="BK263">
            <v>43350.05</v>
          </cell>
          <cell r="BL263">
            <v>13747.43</v>
          </cell>
          <cell r="BM263">
            <v>9129.11</v>
          </cell>
          <cell r="BN263">
            <v>9494.82</v>
          </cell>
          <cell r="BO263">
            <v>2919.86</v>
          </cell>
          <cell r="BP263">
            <v>1040.44</v>
          </cell>
          <cell r="BQ263">
            <v>-388.63</v>
          </cell>
          <cell r="BR263">
            <v>5085.68</v>
          </cell>
          <cell r="BS263">
            <v>3373.28</v>
          </cell>
          <cell r="BT263">
            <v>-284.25</v>
          </cell>
          <cell r="BU263">
            <v>6932.65</v>
          </cell>
          <cell r="BV263">
            <v>136641.88</v>
          </cell>
          <cell r="BW263">
            <v>51623.26</v>
          </cell>
          <cell r="BX263">
            <v>7159.89</v>
          </cell>
          <cell r="BY263">
            <v>6337.99</v>
          </cell>
          <cell r="BZ263">
            <v>21381.41</v>
          </cell>
          <cell r="CA263">
            <v>2626.93</v>
          </cell>
          <cell r="CB263">
            <v>6376.55</v>
          </cell>
          <cell r="CC263">
            <v>7477.61</v>
          </cell>
          <cell r="CD263">
            <v>7493.89</v>
          </cell>
          <cell r="CE263">
            <v>2497.8200000000002</v>
          </cell>
          <cell r="CF263">
            <v>2563.13</v>
          </cell>
          <cell r="CG263">
            <v>18377.38</v>
          </cell>
          <cell r="CH263">
            <v>19356.02</v>
          </cell>
          <cell r="CI263">
            <v>155763.98000000001</v>
          </cell>
          <cell r="CJ263">
            <v>566.51</v>
          </cell>
          <cell r="CK263">
            <v>10848.11</v>
          </cell>
          <cell r="CL263">
            <v>13076.58</v>
          </cell>
          <cell r="CM263">
            <v>4407.54</v>
          </cell>
          <cell r="CN263">
            <v>5486.93</v>
          </cell>
          <cell r="CO263">
            <v>10558.41</v>
          </cell>
          <cell r="CP263">
            <v>5436.02</v>
          </cell>
          <cell r="CQ263">
            <v>1639.69</v>
          </cell>
          <cell r="CR263">
            <v>1509</v>
          </cell>
          <cell r="CS263">
            <v>1355.7</v>
          </cell>
          <cell r="CT263">
            <v>143490.14000000001</v>
          </cell>
          <cell r="CU263">
            <v>36021.599999999999</v>
          </cell>
          <cell r="CV263">
            <v>3517.29</v>
          </cell>
          <cell r="CW263">
            <v>1602.17</v>
          </cell>
          <cell r="CX263">
            <v>3080.87</v>
          </cell>
          <cell r="CY263">
            <v>974.3</v>
          </cell>
          <cell r="CZ263">
            <v>24720.18</v>
          </cell>
          <cell r="DA263">
            <v>1137.5899999999999</v>
          </cell>
          <cell r="DB263">
            <v>8636.9599999999991</v>
          </cell>
          <cell r="DC263">
            <v>12522.75</v>
          </cell>
          <cell r="DD263">
            <v>18436.04</v>
          </cell>
          <cell r="DE263">
            <v>2419.89</v>
          </cell>
          <cell r="DF263">
            <v>14417.92</v>
          </cell>
          <cell r="DG263">
            <v>144629.6</v>
          </cell>
        </row>
        <row r="264">
          <cell r="A264">
            <v>6710060</v>
          </cell>
          <cell r="B264">
            <v>6710060</v>
          </cell>
          <cell r="C264" t="str">
            <v>Rent-Vehicle</v>
          </cell>
          <cell r="D264"/>
          <cell r="E264"/>
          <cell r="F264"/>
          <cell r="G264"/>
          <cell r="H264"/>
          <cell r="I264"/>
          <cell r="J264"/>
          <cell r="K264"/>
          <cell r="L264"/>
          <cell r="M264"/>
          <cell r="N264"/>
          <cell r="O264"/>
          <cell r="P264"/>
          <cell r="Q264"/>
          <cell r="R264"/>
          <cell r="S264"/>
          <cell r="T264"/>
          <cell r="U264"/>
          <cell r="V264"/>
          <cell r="W264"/>
          <cell r="X264"/>
          <cell r="Y264"/>
          <cell r="Z264"/>
          <cell r="AA264"/>
          <cell r="AB264"/>
          <cell r="AC264"/>
          <cell r="AD264"/>
          <cell r="AE264">
            <v>0</v>
          </cell>
          <cell r="AF264">
            <v>151.84</v>
          </cell>
          <cell r="AG264">
            <v>0</v>
          </cell>
          <cell r="AH264">
            <v>0</v>
          </cell>
          <cell r="AI264">
            <v>0</v>
          </cell>
          <cell r="AJ264">
            <v>0</v>
          </cell>
          <cell r="AK264">
            <v>152.44</v>
          </cell>
          <cell r="AL264">
            <v>0</v>
          </cell>
          <cell r="AM264">
            <v>0</v>
          </cell>
          <cell r="AN264">
            <v>0</v>
          </cell>
          <cell r="AO264">
            <v>0</v>
          </cell>
          <cell r="AP264">
            <v>0</v>
          </cell>
          <cell r="AQ264">
            <v>0</v>
          </cell>
          <cell r="AR264">
            <v>0</v>
          </cell>
          <cell r="AS264">
            <v>10.88</v>
          </cell>
          <cell r="AT264">
            <v>159.63</v>
          </cell>
          <cell r="AU264">
            <v>0</v>
          </cell>
          <cell r="AV264">
            <v>0</v>
          </cell>
          <cell r="AW264">
            <v>0</v>
          </cell>
          <cell r="AX264">
            <v>84.19</v>
          </cell>
          <cell r="AY264">
            <v>161.05000000000001</v>
          </cell>
          <cell r="AZ264">
            <v>0</v>
          </cell>
          <cell r="BA264">
            <v>0</v>
          </cell>
          <cell r="BB264">
            <v>0</v>
          </cell>
          <cell r="BC264">
            <v>202.57</v>
          </cell>
          <cell r="BD264">
            <v>0</v>
          </cell>
          <cell r="BE264">
            <v>394</v>
          </cell>
          <cell r="BF264">
            <v>0</v>
          </cell>
          <cell r="BG264">
            <v>322.27</v>
          </cell>
          <cell r="BH264">
            <v>0</v>
          </cell>
          <cell r="BI264">
            <v>0</v>
          </cell>
          <cell r="BJ264">
            <v>0</v>
          </cell>
          <cell r="BK264">
            <v>0</v>
          </cell>
          <cell r="BL264">
            <v>0</v>
          </cell>
          <cell r="BM264">
            <v>0</v>
          </cell>
          <cell r="BN264">
            <v>0</v>
          </cell>
          <cell r="BO264">
            <v>0</v>
          </cell>
          <cell r="BP264">
            <v>0</v>
          </cell>
          <cell r="BQ264">
            <v>0</v>
          </cell>
          <cell r="BR264">
            <v>0</v>
          </cell>
          <cell r="BS264">
            <v>475.26</v>
          </cell>
          <cell r="BT264">
            <v>27.49</v>
          </cell>
          <cell r="BU264">
            <v>629.82000000000005</v>
          </cell>
          <cell r="BV264">
            <v>536.71</v>
          </cell>
          <cell r="BW264">
            <v>460.42</v>
          </cell>
          <cell r="BX264">
            <v>0</v>
          </cell>
          <cell r="BY264">
            <v>573.94000000000005</v>
          </cell>
          <cell r="BZ264">
            <v>432.4</v>
          </cell>
          <cell r="CA264">
            <v>114.05</v>
          </cell>
          <cell r="CB264">
            <v>0</v>
          </cell>
          <cell r="CC264">
            <v>2622.21</v>
          </cell>
          <cell r="CD264">
            <v>3262.12</v>
          </cell>
          <cell r="CE264">
            <v>1357.45</v>
          </cell>
          <cell r="CF264">
            <v>0</v>
          </cell>
          <cell r="CG264">
            <v>0</v>
          </cell>
          <cell r="CH264">
            <v>101</v>
          </cell>
          <cell r="CI264">
            <v>0</v>
          </cell>
          <cell r="CJ264">
            <v>156.19999999999999</v>
          </cell>
          <cell r="CK264">
            <v>0</v>
          </cell>
          <cell r="CL264">
            <v>0</v>
          </cell>
          <cell r="CM264">
            <v>0</v>
          </cell>
          <cell r="CN264">
            <v>0</v>
          </cell>
          <cell r="CO264">
            <v>0</v>
          </cell>
          <cell r="CP264">
            <v>0</v>
          </cell>
          <cell r="CQ264">
            <v>0</v>
          </cell>
          <cell r="CR264">
            <v>70.02</v>
          </cell>
          <cell r="CS264">
            <v>0</v>
          </cell>
          <cell r="CT264">
            <v>0</v>
          </cell>
          <cell r="CU264">
            <v>0</v>
          </cell>
          <cell r="CV264">
            <v>0</v>
          </cell>
          <cell r="CW264">
            <v>0</v>
          </cell>
          <cell r="CX264">
            <v>0</v>
          </cell>
          <cell r="CY264">
            <v>27</v>
          </cell>
          <cell r="CZ264">
            <v>0</v>
          </cell>
          <cell r="DA264">
            <v>0</v>
          </cell>
          <cell r="DB264">
            <v>0</v>
          </cell>
          <cell r="DC264">
            <v>4.0599999999999996</v>
          </cell>
          <cell r="DD264">
            <v>100</v>
          </cell>
          <cell r="DE264">
            <v>227</v>
          </cell>
          <cell r="DF264">
            <v>77.72</v>
          </cell>
          <cell r="DG264">
            <v>0</v>
          </cell>
        </row>
        <row r="265">
          <cell r="A265">
            <v>6710700</v>
          </cell>
          <cell r="B265">
            <v>6710700</v>
          </cell>
          <cell r="C265" t="str">
            <v>Rent-Intercompany</v>
          </cell>
          <cell r="D265">
            <v>39564</v>
          </cell>
          <cell r="E265">
            <v>39564</v>
          </cell>
          <cell r="F265">
            <v>39564</v>
          </cell>
          <cell r="G265">
            <v>39564</v>
          </cell>
          <cell r="H265">
            <v>39564</v>
          </cell>
          <cell r="I265">
            <v>38709</v>
          </cell>
          <cell r="J265">
            <v>38709</v>
          </cell>
          <cell r="K265">
            <v>38577</v>
          </cell>
          <cell r="L265">
            <v>38577</v>
          </cell>
          <cell r="M265">
            <v>38577</v>
          </cell>
          <cell r="N265">
            <v>38577</v>
          </cell>
          <cell r="O265">
            <v>38577</v>
          </cell>
          <cell r="P265">
            <v>31608</v>
          </cell>
          <cell r="Q265">
            <v>31608</v>
          </cell>
          <cell r="R265">
            <v>31608</v>
          </cell>
          <cell r="S265">
            <v>31608</v>
          </cell>
          <cell r="T265">
            <v>31608</v>
          </cell>
          <cell r="U265">
            <v>31608</v>
          </cell>
          <cell r="V265">
            <v>31608</v>
          </cell>
          <cell r="W265">
            <v>31608</v>
          </cell>
          <cell r="X265">
            <v>32587</v>
          </cell>
          <cell r="Y265">
            <v>32587</v>
          </cell>
          <cell r="Z265">
            <v>32587</v>
          </cell>
          <cell r="AA265">
            <v>32587</v>
          </cell>
          <cell r="AB265">
            <v>31083</v>
          </cell>
          <cell r="AC265">
            <v>31315</v>
          </cell>
          <cell r="AD265">
            <v>31315</v>
          </cell>
          <cell r="AE265">
            <v>31106.400000000001</v>
          </cell>
          <cell r="AF265">
            <v>31106.400000000001</v>
          </cell>
          <cell r="AG265">
            <v>31106.400000000001</v>
          </cell>
          <cell r="AH265">
            <v>31106.400000000001</v>
          </cell>
          <cell r="AI265">
            <v>31106.400000000001</v>
          </cell>
          <cell r="AJ265">
            <v>31106.400000000001</v>
          </cell>
          <cell r="AK265">
            <v>31106.400000000001</v>
          </cell>
          <cell r="AL265">
            <v>31315.38</v>
          </cell>
          <cell r="AM265">
            <v>31315.38</v>
          </cell>
          <cell r="AN265">
            <v>37688.89</v>
          </cell>
          <cell r="AO265">
            <v>37688.89</v>
          </cell>
          <cell r="AP265">
            <v>37688.89</v>
          </cell>
          <cell r="AQ265">
            <v>37688.89</v>
          </cell>
          <cell r="AR265">
            <v>37688.89</v>
          </cell>
          <cell r="AS265">
            <v>37688.89</v>
          </cell>
          <cell r="AT265">
            <v>37688.89</v>
          </cell>
          <cell r="AU265">
            <v>37688.89</v>
          </cell>
          <cell r="AV265">
            <v>37688.89</v>
          </cell>
          <cell r="AW265">
            <v>37688.89</v>
          </cell>
          <cell r="AX265">
            <v>37688.89</v>
          </cell>
          <cell r="AY265">
            <v>37688.89</v>
          </cell>
          <cell r="AZ265">
            <v>36540.01</v>
          </cell>
          <cell r="BA265">
            <v>36540.01</v>
          </cell>
          <cell r="BB265">
            <v>36540.01</v>
          </cell>
          <cell r="BC265">
            <v>36540.01</v>
          </cell>
          <cell r="BD265">
            <v>36540.01</v>
          </cell>
          <cell r="BE265">
            <v>36540.01</v>
          </cell>
          <cell r="BF265">
            <v>36540.01</v>
          </cell>
          <cell r="BG265">
            <v>36540.01</v>
          </cell>
          <cell r="BH265">
            <v>36540.01</v>
          </cell>
          <cell r="BI265">
            <v>36540.01</v>
          </cell>
          <cell r="BJ265">
            <v>36540.01</v>
          </cell>
          <cell r="BK265">
            <v>36540.01</v>
          </cell>
          <cell r="BL265">
            <v>36897.919999999998</v>
          </cell>
          <cell r="BM265">
            <v>36897.919999999998</v>
          </cell>
          <cell r="BN265">
            <v>36897.919999999998</v>
          </cell>
          <cell r="BO265">
            <v>36897.919999999998</v>
          </cell>
          <cell r="BP265">
            <v>36897.919999999998</v>
          </cell>
          <cell r="BQ265">
            <v>36897.919999999998</v>
          </cell>
          <cell r="BR265">
            <v>36897.919999999998</v>
          </cell>
          <cell r="BS265">
            <v>36897.919999999998</v>
          </cell>
          <cell r="BT265">
            <v>36897.919999999998</v>
          </cell>
          <cell r="BU265">
            <v>36897.919999999998</v>
          </cell>
          <cell r="BV265">
            <v>36897.919999999998</v>
          </cell>
          <cell r="BW265">
            <v>36897.919999999998</v>
          </cell>
          <cell r="BX265">
            <v>44750.7</v>
          </cell>
          <cell r="BY265">
            <v>44750.7</v>
          </cell>
          <cell r="BZ265">
            <v>44750.7</v>
          </cell>
          <cell r="CA265">
            <v>44750.7</v>
          </cell>
          <cell r="CB265">
            <v>44750.7</v>
          </cell>
          <cell r="CC265">
            <v>44750.7</v>
          </cell>
          <cell r="CD265">
            <v>44750.7</v>
          </cell>
          <cell r="CE265">
            <v>44750.7</v>
          </cell>
          <cell r="CF265">
            <v>44750.7</v>
          </cell>
          <cell r="CG265">
            <v>44750.7</v>
          </cell>
          <cell r="CH265">
            <v>44750.7</v>
          </cell>
          <cell r="CI265">
            <v>44750.7</v>
          </cell>
          <cell r="CJ265">
            <v>37378</v>
          </cell>
          <cell r="CK265">
            <v>37378</v>
          </cell>
          <cell r="CL265">
            <v>62470</v>
          </cell>
          <cell r="CM265">
            <v>45742</v>
          </cell>
          <cell r="CN265">
            <v>45742</v>
          </cell>
          <cell r="CO265">
            <v>45742</v>
          </cell>
          <cell r="CP265">
            <v>45742</v>
          </cell>
          <cell r="CQ265">
            <v>45742</v>
          </cell>
          <cell r="CR265">
            <v>45742</v>
          </cell>
          <cell r="CS265">
            <v>45742</v>
          </cell>
          <cell r="CT265">
            <v>45742</v>
          </cell>
          <cell r="CU265">
            <v>45742</v>
          </cell>
          <cell r="CV265">
            <v>45742</v>
          </cell>
          <cell r="CW265">
            <v>45742</v>
          </cell>
          <cell r="CX265">
            <v>45742</v>
          </cell>
          <cell r="CY265">
            <v>45742</v>
          </cell>
          <cell r="CZ265">
            <v>45742</v>
          </cell>
          <cell r="DA265">
            <v>45742</v>
          </cell>
          <cell r="DB265">
            <v>45742</v>
          </cell>
          <cell r="DC265">
            <v>45742</v>
          </cell>
          <cell r="DD265">
            <v>45742</v>
          </cell>
          <cell r="DE265">
            <v>45742</v>
          </cell>
          <cell r="DF265">
            <v>45742</v>
          </cell>
          <cell r="DG265">
            <v>45742</v>
          </cell>
        </row>
        <row r="266">
          <cell r="A266">
            <v>6710800</v>
          </cell>
          <cell r="B266">
            <v>6710800</v>
          </cell>
          <cell r="C266" t="str">
            <v>Rent-Other</v>
          </cell>
          <cell r="D266">
            <v>1234.57</v>
          </cell>
          <cell r="E266">
            <v>2508.5500000000002</v>
          </cell>
          <cell r="F266">
            <v>889.77</v>
          </cell>
          <cell r="G266">
            <v>1711.53</v>
          </cell>
          <cell r="H266">
            <v>1109.3900000000001</v>
          </cell>
          <cell r="I266">
            <v>1056.22</v>
          </cell>
          <cell r="J266">
            <v>3792.89</v>
          </cell>
          <cell r="K266">
            <v>248.58</v>
          </cell>
          <cell r="L266">
            <v>996.35</v>
          </cell>
          <cell r="M266">
            <v>1770.18</v>
          </cell>
          <cell r="N266">
            <v>2681.29</v>
          </cell>
          <cell r="O266">
            <v>948.41</v>
          </cell>
          <cell r="P266">
            <v>1350.45</v>
          </cell>
          <cell r="Q266">
            <v>1095.32</v>
          </cell>
          <cell r="R266">
            <v>1626.23</v>
          </cell>
          <cell r="S266">
            <v>911.12</v>
          </cell>
          <cell r="T266">
            <v>4297.37</v>
          </cell>
          <cell r="U266">
            <v>2059.62</v>
          </cell>
          <cell r="V266">
            <v>2268.6999999999998</v>
          </cell>
          <cell r="W266">
            <v>541.9</v>
          </cell>
          <cell r="X266">
            <v>1774.02</v>
          </cell>
          <cell r="Y266">
            <v>3753.19</v>
          </cell>
          <cell r="Z266">
            <v>849.29</v>
          </cell>
          <cell r="AA266">
            <v>3419.06</v>
          </cell>
          <cell r="AB266">
            <v>1004.45</v>
          </cell>
          <cell r="AC266">
            <v>835.29</v>
          </cell>
          <cell r="AD266">
            <v>444.2</v>
          </cell>
          <cell r="AE266">
            <v>620.02</v>
          </cell>
          <cell r="AF266">
            <v>1199.71</v>
          </cell>
          <cell r="AG266">
            <v>1876.6</v>
          </cell>
          <cell r="AH266">
            <v>1670.98</v>
          </cell>
          <cell r="AI266">
            <v>2597.88</v>
          </cell>
          <cell r="AJ266">
            <v>929.78</v>
          </cell>
          <cell r="AK266">
            <v>938.91</v>
          </cell>
          <cell r="AL266">
            <v>1315.73</v>
          </cell>
          <cell r="AM266">
            <v>2869.84</v>
          </cell>
          <cell r="AN266">
            <v>2478.2399999999998</v>
          </cell>
          <cell r="AO266">
            <v>2001.41</v>
          </cell>
          <cell r="AP266">
            <v>7638.09</v>
          </cell>
          <cell r="AQ266">
            <v>2064.3200000000002</v>
          </cell>
          <cell r="AR266">
            <v>6701.37</v>
          </cell>
          <cell r="AS266">
            <v>1620.02</v>
          </cell>
          <cell r="AT266">
            <v>3888.18</v>
          </cell>
          <cell r="AU266">
            <v>4527.17</v>
          </cell>
          <cell r="AV266">
            <v>1814.91</v>
          </cell>
          <cell r="AW266">
            <v>2770.1</v>
          </cell>
          <cell r="AX266">
            <v>1923.59</v>
          </cell>
          <cell r="AY266">
            <v>1204.8499999999999</v>
          </cell>
          <cell r="AZ266">
            <v>8206.7900000000009</v>
          </cell>
          <cell r="BA266">
            <v>3097.62</v>
          </cell>
          <cell r="BB266">
            <v>2929.7</v>
          </cell>
          <cell r="BC266">
            <v>1633.1</v>
          </cell>
          <cell r="BD266">
            <v>19319.169999999998</v>
          </cell>
          <cell r="BE266">
            <v>1154.08</v>
          </cell>
          <cell r="BF266">
            <v>1429.6</v>
          </cell>
          <cell r="BG266">
            <v>4408.5200000000004</v>
          </cell>
          <cell r="BH266">
            <v>1594.38</v>
          </cell>
          <cell r="BI266">
            <v>1292.47</v>
          </cell>
          <cell r="BJ266">
            <v>5010.0200000000004</v>
          </cell>
          <cell r="BK266">
            <v>1793.08</v>
          </cell>
          <cell r="BL266">
            <v>8068.35</v>
          </cell>
          <cell r="BM266">
            <v>1110.8399999999999</v>
          </cell>
          <cell r="BN266">
            <v>874.72</v>
          </cell>
          <cell r="BO266">
            <v>-84.61</v>
          </cell>
          <cell r="BP266">
            <v>1130.43</v>
          </cell>
          <cell r="BQ266">
            <v>1108.3800000000001</v>
          </cell>
          <cell r="BR266">
            <v>1012.83</v>
          </cell>
          <cell r="BS266">
            <v>1372.55</v>
          </cell>
          <cell r="BT266">
            <v>1364.22</v>
          </cell>
          <cell r="BU266">
            <v>1747.61</v>
          </cell>
          <cell r="BV266">
            <v>1482.04</v>
          </cell>
          <cell r="BW266">
            <v>1265.5999999999999</v>
          </cell>
          <cell r="BX266">
            <v>1158.72</v>
          </cell>
          <cell r="BY266">
            <v>890.25</v>
          </cell>
          <cell r="BZ266">
            <v>801.28</v>
          </cell>
          <cell r="CA266">
            <v>588.70000000000005</v>
          </cell>
          <cell r="CB266">
            <v>1344.31</v>
          </cell>
          <cell r="CC266">
            <v>658.07</v>
          </cell>
          <cell r="CD266">
            <v>306.44</v>
          </cell>
          <cell r="CE266">
            <v>840.03</v>
          </cell>
          <cell r="CF266">
            <v>3365.92</v>
          </cell>
          <cell r="CG266">
            <v>1255.9100000000001</v>
          </cell>
          <cell r="CH266">
            <v>737.32</v>
          </cell>
          <cell r="CI266">
            <v>860.52</v>
          </cell>
          <cell r="CJ266">
            <v>7902.99</v>
          </cell>
          <cell r="CK266">
            <v>1894.09</v>
          </cell>
          <cell r="CL266">
            <v>1204.1300000000001</v>
          </cell>
          <cell r="CM266">
            <v>2359.84</v>
          </cell>
          <cell r="CN266">
            <v>1801.75</v>
          </cell>
          <cell r="CO266">
            <v>884.67</v>
          </cell>
          <cell r="CP266">
            <v>714.64</v>
          </cell>
          <cell r="CQ266">
            <v>1616.17</v>
          </cell>
          <cell r="CR266">
            <v>3394.57</v>
          </cell>
          <cell r="CS266">
            <v>348.98</v>
          </cell>
          <cell r="CT266">
            <v>1659.99</v>
          </cell>
          <cell r="CU266">
            <v>1271.46</v>
          </cell>
          <cell r="CV266">
            <v>1575.27</v>
          </cell>
          <cell r="CW266">
            <v>2703.78</v>
          </cell>
          <cell r="CX266">
            <v>1204.78</v>
          </cell>
          <cell r="CY266">
            <v>3506.96</v>
          </cell>
          <cell r="CZ266">
            <v>3367.3</v>
          </cell>
          <cell r="DA266">
            <v>3751.11</v>
          </cell>
          <cell r="DB266">
            <v>1733.92</v>
          </cell>
          <cell r="DC266">
            <v>1388.56</v>
          </cell>
          <cell r="DD266">
            <v>3724.09</v>
          </cell>
          <cell r="DE266">
            <v>5536.91</v>
          </cell>
          <cell r="DF266">
            <v>5710.19</v>
          </cell>
          <cell r="DG266">
            <v>1831.06</v>
          </cell>
        </row>
        <row r="267">
          <cell r="A267">
            <v>6719000</v>
          </cell>
          <cell r="B267">
            <v>6719000</v>
          </cell>
          <cell r="C267" t="str">
            <v>Rent to BalSheet</v>
          </cell>
          <cell r="D267">
            <v>0</v>
          </cell>
          <cell r="E267">
            <v>0</v>
          </cell>
          <cell r="F267">
            <v>0</v>
          </cell>
          <cell r="G267">
            <v>0</v>
          </cell>
          <cell r="H267">
            <v>-40</v>
          </cell>
          <cell r="I267">
            <v>-203.5</v>
          </cell>
          <cell r="J267">
            <v>-235.7</v>
          </cell>
          <cell r="K267">
            <v>-11081.59</v>
          </cell>
          <cell r="L267">
            <v>-311.39999999999998</v>
          </cell>
          <cell r="M267">
            <v>-507.92</v>
          </cell>
          <cell r="N267">
            <v>0</v>
          </cell>
          <cell r="O267">
            <v>-231.15</v>
          </cell>
          <cell r="P267">
            <v>-195.21</v>
          </cell>
          <cell r="Q267">
            <v>-89.9</v>
          </cell>
          <cell r="R267">
            <v>-80.7</v>
          </cell>
          <cell r="S267">
            <v>-171.3</v>
          </cell>
          <cell r="T267">
            <v>-366.8</v>
          </cell>
          <cell r="U267">
            <v>-295.55</v>
          </cell>
          <cell r="V267">
            <v>-390.11</v>
          </cell>
          <cell r="W267">
            <v>-219.8</v>
          </cell>
          <cell r="X267">
            <v>-588.89</v>
          </cell>
          <cell r="Y267">
            <v>-665.2</v>
          </cell>
          <cell r="Z267">
            <v>-5704.26</v>
          </cell>
          <cell r="AA267">
            <v>-1128933.93</v>
          </cell>
          <cell r="AB267">
            <v>-31040.9</v>
          </cell>
          <cell r="AC267">
            <v>-3932.12</v>
          </cell>
          <cell r="AD267">
            <v>-230.8</v>
          </cell>
          <cell r="AE267">
            <v>-229</v>
          </cell>
          <cell r="AF267">
            <v>0</v>
          </cell>
          <cell r="AG267">
            <v>-973.01</v>
          </cell>
          <cell r="AH267">
            <v>-95072.9</v>
          </cell>
          <cell r="AI267">
            <v>-2565.0500000000002</v>
          </cell>
          <cell r="AJ267">
            <v>-179.8</v>
          </cell>
          <cell r="AK267">
            <v>-252.7</v>
          </cell>
          <cell r="AL267">
            <v>-539.54999999999995</v>
          </cell>
          <cell r="AM267">
            <v>0</v>
          </cell>
          <cell r="AN267">
            <v>-5163.87</v>
          </cell>
          <cell r="AO267">
            <v>0</v>
          </cell>
          <cell r="AP267">
            <v>-4936.9799999999996</v>
          </cell>
          <cell r="AQ267">
            <v>-846.65</v>
          </cell>
          <cell r="AR267">
            <v>-8719.7199999999993</v>
          </cell>
          <cell r="AS267">
            <v>-301.89999999999998</v>
          </cell>
          <cell r="AT267">
            <v>-5419.98</v>
          </cell>
          <cell r="AU267">
            <v>-1791.13</v>
          </cell>
          <cell r="AV267">
            <v>37.840000000000003</v>
          </cell>
          <cell r="AW267">
            <v>-364.15</v>
          </cell>
          <cell r="AX267">
            <v>-1479.05</v>
          </cell>
          <cell r="AY267">
            <v>-1105.68</v>
          </cell>
          <cell r="AZ267">
            <v>-4494.33</v>
          </cell>
          <cell r="BA267">
            <v>-3427.11</v>
          </cell>
          <cell r="BB267">
            <v>-1250.0999999999999</v>
          </cell>
          <cell r="BC267">
            <v>-996.69</v>
          </cell>
          <cell r="BD267">
            <v>-18154.7</v>
          </cell>
          <cell r="BE267">
            <v>0</v>
          </cell>
          <cell r="BF267">
            <v>-53260.3</v>
          </cell>
          <cell r="BG267">
            <v>-2963</v>
          </cell>
          <cell r="BH267">
            <v>-721</v>
          </cell>
          <cell r="BI267">
            <v>-301.87</v>
          </cell>
          <cell r="BJ267">
            <v>-3799.5</v>
          </cell>
          <cell r="BK267">
            <v>-1139.0999999999999</v>
          </cell>
          <cell r="BL267">
            <v>-6737.08</v>
          </cell>
          <cell r="BM267">
            <v>-220.5</v>
          </cell>
          <cell r="BN267">
            <v>-81.400000000000006</v>
          </cell>
          <cell r="BO267">
            <v>959.3</v>
          </cell>
          <cell r="BP267">
            <v>-925.2</v>
          </cell>
          <cell r="BQ267">
            <v>-132.6</v>
          </cell>
          <cell r="BR267">
            <v>-714.98</v>
          </cell>
          <cell r="BS267">
            <v>-824.29</v>
          </cell>
          <cell r="BT267">
            <v>-535.09</v>
          </cell>
          <cell r="BU267">
            <v>-576.49</v>
          </cell>
          <cell r="BV267">
            <v>-1996.59</v>
          </cell>
          <cell r="BW267">
            <v>-1331.79</v>
          </cell>
          <cell r="BX267">
            <v>-1838.9</v>
          </cell>
          <cell r="BY267">
            <v>-1369.32</v>
          </cell>
          <cell r="BZ267">
            <v>-2135.58</v>
          </cell>
          <cell r="CA267">
            <v>-1674.81</v>
          </cell>
          <cell r="CB267">
            <v>-1110.5</v>
          </cell>
          <cell r="CC267">
            <v>-903.63</v>
          </cell>
          <cell r="CD267">
            <v>-1329.93</v>
          </cell>
          <cell r="CE267">
            <v>-1117.1300000000001</v>
          </cell>
          <cell r="CF267">
            <v>-3867.77</v>
          </cell>
          <cell r="CG267">
            <v>-3634.47</v>
          </cell>
          <cell r="CH267">
            <v>-1297.9000000000001</v>
          </cell>
          <cell r="CI267">
            <v>-731.46</v>
          </cell>
          <cell r="CJ267">
            <v>-6753.53</v>
          </cell>
          <cell r="CK267">
            <v>-164.73</v>
          </cell>
          <cell r="CL267">
            <v>-447.7</v>
          </cell>
          <cell r="CM267">
            <v>-1104.9000000000001</v>
          </cell>
          <cell r="CN267">
            <v>-480.1</v>
          </cell>
          <cell r="CO267">
            <v>-673.8</v>
          </cell>
          <cell r="CP267">
            <v>-807.8</v>
          </cell>
          <cell r="CQ267">
            <v>-350.9</v>
          </cell>
          <cell r="CR267">
            <v>-943.6</v>
          </cell>
          <cell r="CS267">
            <v>-999.9</v>
          </cell>
          <cell r="CT267">
            <v>-709.75</v>
          </cell>
          <cell r="CU267">
            <v>-700.7</v>
          </cell>
          <cell r="CV267">
            <v>-1053.5999999999999</v>
          </cell>
          <cell r="CW267">
            <v>-1025.8</v>
          </cell>
          <cell r="CX267">
            <v>-423.3</v>
          </cell>
          <cell r="CY267">
            <v>-761.3</v>
          </cell>
          <cell r="CZ267">
            <v>-916.6</v>
          </cell>
          <cell r="DA267">
            <v>-526.70000000000005</v>
          </cell>
          <cell r="DB267">
            <v>-858.4</v>
          </cell>
          <cell r="DC267">
            <v>-728.05</v>
          </cell>
          <cell r="DD267">
            <v>-919.19</v>
          </cell>
          <cell r="DE267">
            <v>-615.79999999999995</v>
          </cell>
          <cell r="DF267">
            <v>-605.20000000000005</v>
          </cell>
          <cell r="DG267">
            <v>-255.75</v>
          </cell>
        </row>
        <row r="268">
          <cell r="A268">
            <v>6720010</v>
          </cell>
          <cell r="B268">
            <v>6720010</v>
          </cell>
          <cell r="C268" t="str">
            <v>Lease-Building</v>
          </cell>
          <cell r="D268">
            <v>30744.87</v>
          </cell>
          <cell r="E268">
            <v>26649.51</v>
          </cell>
          <cell r="F268">
            <v>21204.15</v>
          </cell>
          <cell r="G268">
            <v>32094.87</v>
          </cell>
          <cell r="H268">
            <v>21204.15</v>
          </cell>
          <cell r="I268">
            <v>26649.51</v>
          </cell>
          <cell r="J268">
            <v>26649.51</v>
          </cell>
          <cell r="K268">
            <v>21362.76</v>
          </cell>
          <cell r="L268">
            <v>21204.15</v>
          </cell>
          <cell r="M268">
            <v>30816.87</v>
          </cell>
          <cell r="N268">
            <v>25371.51</v>
          </cell>
          <cell r="O268">
            <v>32421.57</v>
          </cell>
          <cell r="P268">
            <v>18015.38</v>
          </cell>
          <cell r="Q268">
            <v>44183.54</v>
          </cell>
          <cell r="R268">
            <v>34288.94</v>
          </cell>
          <cell r="S268">
            <v>24321.79</v>
          </cell>
          <cell r="T268">
            <v>23624.09</v>
          </cell>
          <cell r="U268">
            <v>16665.38</v>
          </cell>
          <cell r="V268">
            <v>32132.799999999999</v>
          </cell>
          <cell r="W268">
            <v>22274.09</v>
          </cell>
          <cell r="X268">
            <v>24384.25</v>
          </cell>
          <cell r="Y268">
            <v>18831.18</v>
          </cell>
          <cell r="Z268">
            <v>24539.89</v>
          </cell>
          <cell r="AA268">
            <v>28698.6</v>
          </cell>
          <cell r="AB268">
            <v>25985.14</v>
          </cell>
          <cell r="AC268">
            <v>24727.15</v>
          </cell>
          <cell r="AD268">
            <v>24727.15</v>
          </cell>
          <cell r="AE268">
            <v>24727.15</v>
          </cell>
          <cell r="AF268">
            <v>24727.15</v>
          </cell>
          <cell r="AG268">
            <v>33412.43</v>
          </cell>
          <cell r="AH268">
            <v>26020.7</v>
          </cell>
          <cell r="AI268">
            <v>26020.7</v>
          </cell>
          <cell r="AJ268">
            <v>26020.7</v>
          </cell>
          <cell r="AK268">
            <v>26020.7</v>
          </cell>
          <cell r="AL268">
            <v>26209.52</v>
          </cell>
          <cell r="AM268">
            <v>19119.419999999998</v>
          </cell>
          <cell r="AN268">
            <v>37508.769999999997</v>
          </cell>
          <cell r="AO268">
            <v>28912.639999999999</v>
          </cell>
          <cell r="AP268">
            <v>29697.42</v>
          </cell>
          <cell r="AQ268">
            <v>29944.81</v>
          </cell>
          <cell r="AR268">
            <v>29816.33</v>
          </cell>
          <cell r="AS268">
            <v>29816.33</v>
          </cell>
          <cell r="AT268">
            <v>29816.33</v>
          </cell>
          <cell r="AU268">
            <v>29816.33</v>
          </cell>
          <cell r="AV268">
            <v>29816.33</v>
          </cell>
          <cell r="AW268">
            <v>29816.33</v>
          </cell>
          <cell r="AX268">
            <v>30005.13</v>
          </cell>
          <cell r="AY268">
            <v>21778.240000000002</v>
          </cell>
          <cell r="AZ268">
            <v>37307.980000000003</v>
          </cell>
          <cell r="BA268">
            <v>27701.82</v>
          </cell>
          <cell r="BB268">
            <v>29318.71</v>
          </cell>
          <cell r="BC268">
            <v>29479.119999999999</v>
          </cell>
          <cell r="BD268">
            <v>29479.119999999999</v>
          </cell>
          <cell r="BE268">
            <v>29479.119999999999</v>
          </cell>
          <cell r="BF268">
            <v>29479.119999999999</v>
          </cell>
          <cell r="BG268">
            <v>29479.119999999999</v>
          </cell>
          <cell r="BH268">
            <v>22757.200000000001</v>
          </cell>
          <cell r="BI268">
            <v>36201.040000000001</v>
          </cell>
          <cell r="BJ268">
            <v>29658.69</v>
          </cell>
          <cell r="BK268">
            <v>29640.560000000001</v>
          </cell>
          <cell r="BL268">
            <v>27564.79</v>
          </cell>
          <cell r="BM268">
            <v>21935.87</v>
          </cell>
          <cell r="BN268">
            <v>28884.34</v>
          </cell>
          <cell r="BO268">
            <v>35832.81</v>
          </cell>
          <cell r="BP268">
            <v>28884.34</v>
          </cell>
          <cell r="BQ268">
            <v>28884.34</v>
          </cell>
          <cell r="BR268">
            <v>28884.34</v>
          </cell>
          <cell r="BS268">
            <v>28884.34</v>
          </cell>
          <cell r="BT268">
            <v>28884.34</v>
          </cell>
          <cell r="BU268">
            <v>28884.34</v>
          </cell>
          <cell r="BV268">
            <v>21935.87</v>
          </cell>
          <cell r="BW268">
            <v>35089.97</v>
          </cell>
          <cell r="BX268">
            <v>41663.120000000003</v>
          </cell>
          <cell r="BY268">
            <v>42749.48</v>
          </cell>
          <cell r="BZ268">
            <v>37666.129999999997</v>
          </cell>
          <cell r="CA268">
            <v>35636.910000000003</v>
          </cell>
          <cell r="CB268">
            <v>28366.76</v>
          </cell>
          <cell r="CC268">
            <v>42907.06</v>
          </cell>
          <cell r="CD268">
            <v>35636.910000000003</v>
          </cell>
          <cell r="CE268">
            <v>35636.910000000003</v>
          </cell>
          <cell r="CF268">
            <v>35636.910000000003</v>
          </cell>
          <cell r="CG268">
            <v>35740.44</v>
          </cell>
          <cell r="CH268">
            <v>34740.44</v>
          </cell>
          <cell r="CI268">
            <v>36740.44</v>
          </cell>
          <cell r="CJ268">
            <v>36526.44</v>
          </cell>
          <cell r="CK268">
            <v>29062.79</v>
          </cell>
          <cell r="CL268">
            <v>36526.44</v>
          </cell>
          <cell r="CM268">
            <v>44085.65</v>
          </cell>
          <cell r="CN268">
            <v>38467.800000000003</v>
          </cell>
          <cell r="CO268">
            <v>36372.080000000002</v>
          </cell>
          <cell r="CP268">
            <v>36372.080000000002</v>
          </cell>
          <cell r="CQ268">
            <v>36372.080000000002</v>
          </cell>
          <cell r="CR268">
            <v>28785.16</v>
          </cell>
          <cell r="CS268">
            <v>44338.34</v>
          </cell>
          <cell r="CT268">
            <v>35372.080000000002</v>
          </cell>
          <cell r="CU268">
            <v>37372.080000000002</v>
          </cell>
          <cell r="CV268">
            <v>28322.11</v>
          </cell>
          <cell r="CW268">
            <v>45199.99</v>
          </cell>
          <cell r="CX268">
            <v>36553.1</v>
          </cell>
          <cell r="CY268">
            <v>36594.080000000002</v>
          </cell>
          <cell r="CZ268">
            <v>36569.18</v>
          </cell>
          <cell r="DA268">
            <v>36569.18</v>
          </cell>
          <cell r="DB268">
            <v>36569.18</v>
          </cell>
          <cell r="DC268">
            <v>36569.18</v>
          </cell>
          <cell r="DD268">
            <v>36569.18</v>
          </cell>
          <cell r="DE268">
            <v>36569.18</v>
          </cell>
          <cell r="DF268">
            <v>36569.18</v>
          </cell>
          <cell r="DG268">
            <v>28785.16</v>
          </cell>
        </row>
        <row r="269">
          <cell r="A269">
            <v>6720020</v>
          </cell>
          <cell r="B269">
            <v>6720020</v>
          </cell>
          <cell r="C269" t="str">
            <v>Lease-NonOfficeEquip</v>
          </cell>
          <cell r="D269">
            <v>0</v>
          </cell>
          <cell r="E269">
            <v>0</v>
          </cell>
          <cell r="F269">
            <v>0</v>
          </cell>
          <cell r="G269">
            <v>0</v>
          </cell>
          <cell r="H269">
            <v>0</v>
          </cell>
          <cell r="I269">
            <v>0</v>
          </cell>
          <cell r="J269">
            <v>0</v>
          </cell>
          <cell r="K269">
            <v>0</v>
          </cell>
          <cell r="L269">
            <v>0</v>
          </cell>
          <cell r="M269">
            <v>18.739999999999998</v>
          </cell>
          <cell r="N269">
            <v>0</v>
          </cell>
          <cell r="O269">
            <v>0</v>
          </cell>
          <cell r="P269">
            <v>0</v>
          </cell>
          <cell r="Q269">
            <v>0</v>
          </cell>
          <cell r="R269">
            <v>233.74</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330.23</v>
          </cell>
          <cell r="AH269">
            <v>-330.23</v>
          </cell>
          <cell r="AI269">
            <v>0</v>
          </cell>
          <cell r="AJ269">
            <v>0</v>
          </cell>
          <cell r="AK269">
            <v>0</v>
          </cell>
          <cell r="AL269">
            <v>0</v>
          </cell>
          <cell r="AM269">
            <v>0</v>
          </cell>
          <cell r="AN269">
            <v>0</v>
          </cell>
          <cell r="AO269">
            <v>0</v>
          </cell>
          <cell r="AP269">
            <v>0</v>
          </cell>
          <cell r="AQ269">
            <v>0</v>
          </cell>
          <cell r="AR269">
            <v>35</v>
          </cell>
          <cell r="AS269">
            <v>-35</v>
          </cell>
          <cell r="AT269">
            <v>0</v>
          </cell>
          <cell r="AU269">
            <v>105</v>
          </cell>
          <cell r="AV269">
            <v>7.35</v>
          </cell>
          <cell r="AW269">
            <v>0</v>
          </cell>
          <cell r="AX269">
            <v>874.54</v>
          </cell>
          <cell r="AY269">
            <v>657.5</v>
          </cell>
          <cell r="AZ269">
            <v>93.63</v>
          </cell>
          <cell r="BA269">
            <v>17.5</v>
          </cell>
          <cell r="BB269">
            <v>594.38</v>
          </cell>
          <cell r="BC269">
            <v>-518.26</v>
          </cell>
          <cell r="BD269">
            <v>348.96</v>
          </cell>
          <cell r="BE269">
            <v>-119.28</v>
          </cell>
          <cell r="BF269">
            <v>2.4500000000000002</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cell r="BV269"/>
          <cell r="BW269"/>
          <cell r="BX269"/>
          <cell r="BY269"/>
          <cell r="BZ269"/>
          <cell r="CA269"/>
          <cell r="CB269"/>
          <cell r="CC269"/>
          <cell r="CD269"/>
          <cell r="CE269"/>
          <cell r="CF269"/>
          <cell r="CG269"/>
          <cell r="CH269"/>
          <cell r="CI269"/>
          <cell r="CJ269"/>
          <cell r="CK269"/>
          <cell r="CL269"/>
          <cell r="CM269"/>
          <cell r="CN269"/>
          <cell r="CO269"/>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row>
        <row r="270">
          <cell r="A270">
            <v>6720030</v>
          </cell>
          <cell r="B270">
            <v>6720030</v>
          </cell>
          <cell r="C270" t="str">
            <v>Lease-Office Equip</v>
          </cell>
          <cell r="D270">
            <v>11027.1</v>
          </cell>
          <cell r="E270">
            <v>25033.759999999998</v>
          </cell>
          <cell r="F270">
            <v>29946.22</v>
          </cell>
          <cell r="G270">
            <v>22146.45</v>
          </cell>
          <cell r="H270">
            <v>17937.240000000002</v>
          </cell>
          <cell r="I270">
            <v>30357.5</v>
          </cell>
          <cell r="J270">
            <v>2651</v>
          </cell>
          <cell r="K270">
            <v>12042.43</v>
          </cell>
          <cell r="L270">
            <v>12020.83</v>
          </cell>
          <cell r="M270">
            <v>11799.72</v>
          </cell>
          <cell r="N270">
            <v>19584.099999999999</v>
          </cell>
          <cell r="O270">
            <v>15559.54</v>
          </cell>
          <cell r="P270">
            <v>7301.85</v>
          </cell>
          <cell r="Q270">
            <v>18327.849999999999</v>
          </cell>
          <cell r="R270">
            <v>11306.07</v>
          </cell>
          <cell r="S270">
            <v>5162.2299999999996</v>
          </cell>
          <cell r="T270">
            <v>12835.51</v>
          </cell>
          <cell r="U270">
            <v>4973.37</v>
          </cell>
          <cell r="V270">
            <v>3051.82</v>
          </cell>
          <cell r="W270">
            <v>6342.26</v>
          </cell>
          <cell r="X270">
            <v>18675.77</v>
          </cell>
          <cell r="Y270">
            <v>3436.43</v>
          </cell>
          <cell r="Z270">
            <v>12093.9</v>
          </cell>
          <cell r="AA270">
            <v>3256.83</v>
          </cell>
          <cell r="AB270">
            <v>3520.97</v>
          </cell>
          <cell r="AC270">
            <v>11639.02</v>
          </cell>
          <cell r="AD270">
            <v>3374.66</v>
          </cell>
          <cell r="AE270">
            <v>-4943.5600000000004</v>
          </cell>
          <cell r="AF270">
            <v>9637.59</v>
          </cell>
          <cell r="AG270">
            <v>3177.66</v>
          </cell>
          <cell r="AH270">
            <v>10035.41</v>
          </cell>
          <cell r="AI270">
            <v>209.16</v>
          </cell>
          <cell r="AJ270">
            <v>1882.99</v>
          </cell>
          <cell r="AK270">
            <v>1566.97</v>
          </cell>
          <cell r="AL270">
            <v>2003.92</v>
          </cell>
          <cell r="AM270">
            <v>1882.99</v>
          </cell>
          <cell r="AN270">
            <v>2507.41</v>
          </cell>
          <cell r="AO270">
            <v>1936.27</v>
          </cell>
          <cell r="AP270">
            <v>2204.98</v>
          </cell>
          <cell r="AQ270">
            <v>2067.8000000000002</v>
          </cell>
          <cell r="AR270">
            <v>0</v>
          </cell>
          <cell r="AS270">
            <v>0</v>
          </cell>
          <cell r="AT270">
            <v>0</v>
          </cell>
          <cell r="AU270">
            <v>0</v>
          </cell>
          <cell r="AV270">
            <v>0</v>
          </cell>
          <cell r="AW270">
            <v>0</v>
          </cell>
          <cell r="AX270">
            <v>0</v>
          </cell>
          <cell r="AY270">
            <v>610.65</v>
          </cell>
          <cell r="AZ270">
            <v>173.1</v>
          </cell>
          <cell r="BA270">
            <v>23075.78</v>
          </cell>
          <cell r="BB270">
            <v>0</v>
          </cell>
          <cell r="BC270">
            <v>0</v>
          </cell>
          <cell r="BD270">
            <v>-1755.18</v>
          </cell>
          <cell r="BE270">
            <v>-26.45</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-549.45000000000005</v>
          </cell>
          <cell r="BV270">
            <v>0</v>
          </cell>
          <cell r="BW270">
            <v>0</v>
          </cell>
          <cell r="BX270">
            <v>0</v>
          </cell>
          <cell r="BY270">
            <v>0</v>
          </cell>
          <cell r="BZ270">
            <v>0</v>
          </cell>
          <cell r="CA270">
            <v>0</v>
          </cell>
          <cell r="CB270">
            <v>0</v>
          </cell>
          <cell r="CC270">
            <v>0</v>
          </cell>
          <cell r="CD270">
            <v>0</v>
          </cell>
          <cell r="CE270">
            <v>0</v>
          </cell>
          <cell r="CF270">
            <v>0</v>
          </cell>
          <cell r="CG270"/>
          <cell r="CH270"/>
          <cell r="CI270"/>
          <cell r="CJ270"/>
          <cell r="CK270"/>
          <cell r="CL270"/>
          <cell r="CM270"/>
          <cell r="CN270"/>
          <cell r="CO270"/>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row>
        <row r="271">
          <cell r="A271">
            <v>6720050</v>
          </cell>
          <cell r="B271">
            <v>6720050</v>
          </cell>
          <cell r="C271" t="str">
            <v>Lease-Vehicle</v>
          </cell>
          <cell r="D271">
            <v>110.48</v>
          </cell>
          <cell r="E271">
            <v>181.95</v>
          </cell>
          <cell r="F271">
            <v>187.32</v>
          </cell>
          <cell r="G271">
            <v>216.4</v>
          </cell>
          <cell r="H271">
            <v>180.83</v>
          </cell>
          <cell r="I271">
            <v>370.03</v>
          </cell>
          <cell r="J271">
            <v>202.28</v>
          </cell>
          <cell r="K271">
            <v>110.48</v>
          </cell>
          <cell r="L271">
            <v>287.52</v>
          </cell>
          <cell r="M271">
            <v>110.48</v>
          </cell>
          <cell r="N271">
            <v>166.37</v>
          </cell>
          <cell r="O271">
            <v>226.68</v>
          </cell>
          <cell r="P271">
            <v>0</v>
          </cell>
          <cell r="Q271">
            <v>38.299999999999997</v>
          </cell>
          <cell r="R271">
            <v>0</v>
          </cell>
          <cell r="S271">
            <v>40.97</v>
          </cell>
          <cell r="T271">
            <v>332.81</v>
          </cell>
          <cell r="U271">
            <v>75.03</v>
          </cell>
          <cell r="V271">
            <v>94.46</v>
          </cell>
          <cell r="W271">
            <v>59.47</v>
          </cell>
          <cell r="X271">
            <v>46.72</v>
          </cell>
          <cell r="Y271">
            <v>0</v>
          </cell>
          <cell r="Z271">
            <v>0</v>
          </cell>
          <cell r="AA271">
            <v>57.95</v>
          </cell>
          <cell r="AB271">
            <v>335.98</v>
          </cell>
          <cell r="AC271">
            <v>377.18</v>
          </cell>
          <cell r="AD271">
            <v>364.8</v>
          </cell>
          <cell r="AE271">
            <v>146.49</v>
          </cell>
          <cell r="AF271">
            <v>150.6</v>
          </cell>
          <cell r="AG271">
            <v>111.21</v>
          </cell>
          <cell r="AH271">
            <v>111.21</v>
          </cell>
          <cell r="AI271">
            <v>111.21</v>
          </cell>
          <cell r="AJ271">
            <v>178.4</v>
          </cell>
          <cell r="AK271">
            <v>146.53</v>
          </cell>
          <cell r="AL271">
            <v>144.52000000000001</v>
          </cell>
          <cell r="AM271">
            <v>111.21</v>
          </cell>
          <cell r="AN271">
            <v>76.5</v>
          </cell>
          <cell r="AO271">
            <v>115.85</v>
          </cell>
          <cell r="AP271">
            <v>41.97</v>
          </cell>
          <cell r="AQ271">
            <v>53.5</v>
          </cell>
          <cell r="AR271">
            <v>37.549999999999997</v>
          </cell>
          <cell r="AS271">
            <v>50.44</v>
          </cell>
          <cell r="AT271">
            <v>195.45</v>
          </cell>
          <cell r="AU271">
            <v>78.14</v>
          </cell>
          <cell r="AV271">
            <v>0</v>
          </cell>
          <cell r="AW271">
            <v>0</v>
          </cell>
          <cell r="AX271">
            <v>56.64</v>
          </cell>
          <cell r="AY271">
            <v>68.8</v>
          </cell>
          <cell r="AZ271">
            <v>0</v>
          </cell>
          <cell r="BA271">
            <v>85.99</v>
          </cell>
          <cell r="BB271">
            <v>0</v>
          </cell>
          <cell r="BC271">
            <v>87.44</v>
          </cell>
          <cell r="BD271">
            <v>264.52</v>
          </cell>
          <cell r="BE271">
            <v>92.56</v>
          </cell>
          <cell r="BF271">
            <v>98.36</v>
          </cell>
          <cell r="BG271">
            <v>0</v>
          </cell>
          <cell r="BH271">
            <v>221.61</v>
          </cell>
          <cell r="BI271">
            <v>70.84</v>
          </cell>
          <cell r="BJ271">
            <v>109.95</v>
          </cell>
          <cell r="BK271">
            <v>74.709999999999994</v>
          </cell>
          <cell r="BL271">
            <v>0</v>
          </cell>
          <cell r="BM271">
            <v>0</v>
          </cell>
          <cell r="BN271">
            <v>0</v>
          </cell>
          <cell r="BO271">
            <v>0</v>
          </cell>
          <cell r="BP271">
            <v>0</v>
          </cell>
          <cell r="BQ271">
            <v>0</v>
          </cell>
          <cell r="BR271">
            <v>0</v>
          </cell>
          <cell r="BS271">
            <v>0</v>
          </cell>
          <cell r="BT271">
            <v>0</v>
          </cell>
          <cell r="BU271"/>
          <cell r="BV271"/>
          <cell r="BW271"/>
          <cell r="BX271"/>
          <cell r="BY271"/>
          <cell r="BZ271"/>
          <cell r="CA271"/>
          <cell r="CB271"/>
          <cell r="CC271"/>
          <cell r="CD271"/>
          <cell r="CE271"/>
          <cell r="CF271"/>
          <cell r="CG271"/>
          <cell r="CH271"/>
          <cell r="CI271"/>
          <cell r="CJ271"/>
          <cell r="CK271"/>
          <cell r="CL271"/>
          <cell r="CM271">
            <v>0</v>
          </cell>
          <cell r="CN271">
            <v>545.88</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row>
        <row r="272">
          <cell r="A272">
            <v>6720060</v>
          </cell>
          <cell r="B272">
            <v>6720060</v>
          </cell>
          <cell r="C272" t="str">
            <v>Long-term Lease - Variable Lease Expense</v>
          </cell>
          <cell r="D272"/>
          <cell r="E272"/>
          <cell r="F272"/>
          <cell r="G272"/>
          <cell r="H272"/>
          <cell r="I272"/>
          <cell r="J272"/>
          <cell r="K272"/>
          <cell r="L272"/>
          <cell r="M272"/>
          <cell r="N272"/>
          <cell r="O272"/>
          <cell r="P272"/>
          <cell r="Q272"/>
          <cell r="R272"/>
          <cell r="S272"/>
          <cell r="T272"/>
          <cell r="U272"/>
          <cell r="V272"/>
          <cell r="W272"/>
          <cell r="X272"/>
          <cell r="Y272"/>
          <cell r="Z272"/>
          <cell r="AA272"/>
          <cell r="AB272"/>
          <cell r="AC272"/>
          <cell r="AD272"/>
          <cell r="AE272"/>
          <cell r="AF272"/>
          <cell r="AG272"/>
          <cell r="AH272"/>
          <cell r="AI272"/>
          <cell r="AJ272"/>
          <cell r="AK272"/>
          <cell r="AL272"/>
          <cell r="AM272"/>
          <cell r="AN272"/>
          <cell r="AO272"/>
          <cell r="AP272"/>
          <cell r="AQ272"/>
          <cell r="AR272"/>
          <cell r="AS272"/>
          <cell r="AT272"/>
          <cell r="AU272"/>
          <cell r="AV272"/>
          <cell r="AW272"/>
          <cell r="AX272"/>
          <cell r="AY272"/>
          <cell r="AZ272"/>
          <cell r="BA272"/>
          <cell r="BB272"/>
          <cell r="BC272"/>
          <cell r="BD272"/>
          <cell r="BE272"/>
          <cell r="BF272"/>
          <cell r="BG272"/>
          <cell r="BH272"/>
          <cell r="BI272"/>
          <cell r="BJ272"/>
          <cell r="BK272"/>
          <cell r="BL272"/>
          <cell r="BM272"/>
          <cell r="BN272"/>
          <cell r="BO272"/>
          <cell r="BP272"/>
          <cell r="BQ272"/>
          <cell r="BR272"/>
          <cell r="BS272"/>
          <cell r="BT272"/>
          <cell r="BU272"/>
          <cell r="BV272"/>
          <cell r="BW272"/>
          <cell r="BX272"/>
          <cell r="BY272"/>
          <cell r="BZ272"/>
          <cell r="CA272"/>
          <cell r="CB272"/>
          <cell r="CC272"/>
          <cell r="CD272"/>
          <cell r="CE272"/>
          <cell r="CF272"/>
          <cell r="CG272"/>
          <cell r="CH272"/>
          <cell r="CI272"/>
          <cell r="CJ272"/>
          <cell r="CK272"/>
          <cell r="CL272"/>
          <cell r="CM272"/>
          <cell r="CN272"/>
          <cell r="CO272"/>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row>
        <row r="273">
          <cell r="A273">
            <v>6720800</v>
          </cell>
          <cell r="B273">
            <v>6720800</v>
          </cell>
          <cell r="C273" t="str">
            <v>Lease-Other</v>
          </cell>
          <cell r="D273">
            <v>202.08</v>
          </cell>
          <cell r="E273">
            <v>0</v>
          </cell>
          <cell r="F273">
            <v>0</v>
          </cell>
          <cell r="G273">
            <v>202.08</v>
          </cell>
          <cell r="H273">
            <v>0</v>
          </cell>
          <cell r="I273">
            <v>0</v>
          </cell>
          <cell r="J273">
            <v>3894.52</v>
          </cell>
          <cell r="K273">
            <v>0</v>
          </cell>
          <cell r="L273">
            <v>0</v>
          </cell>
          <cell r="M273">
            <v>0</v>
          </cell>
          <cell r="N273">
            <v>1280.31</v>
          </cell>
          <cell r="O273">
            <v>2182.09</v>
          </cell>
          <cell r="P273">
            <v>1465.66</v>
          </cell>
          <cell r="Q273">
            <v>16.45</v>
          </cell>
          <cell r="R273">
            <v>1394.11</v>
          </cell>
          <cell r="S273">
            <v>67.67</v>
          </cell>
          <cell r="T273">
            <v>94.47</v>
          </cell>
          <cell r="U273">
            <v>0</v>
          </cell>
          <cell r="V273">
            <v>0</v>
          </cell>
          <cell r="W273">
            <v>0</v>
          </cell>
          <cell r="X273">
            <v>0</v>
          </cell>
          <cell r="Y273">
            <v>67.2</v>
          </cell>
          <cell r="Z273">
            <v>0</v>
          </cell>
          <cell r="AA273">
            <v>0</v>
          </cell>
          <cell r="AB273">
            <v>0</v>
          </cell>
          <cell r="AC273">
            <v>0</v>
          </cell>
          <cell r="AD273">
            <v>513.6</v>
          </cell>
          <cell r="AE273">
            <v>128.4</v>
          </cell>
          <cell r="AF273">
            <v>128.4</v>
          </cell>
          <cell r="AG273">
            <v>128.4</v>
          </cell>
          <cell r="AH273">
            <v>128.4</v>
          </cell>
          <cell r="AI273">
            <v>128.4</v>
          </cell>
          <cell r="AJ273">
            <v>128.4</v>
          </cell>
          <cell r="AK273">
            <v>128.4</v>
          </cell>
          <cell r="AL273">
            <v>893.4</v>
          </cell>
          <cell r="AM273">
            <v>181.95</v>
          </cell>
          <cell r="AN273">
            <v>128.4</v>
          </cell>
          <cell r="AO273">
            <v>128.4</v>
          </cell>
          <cell r="AP273">
            <v>493.08</v>
          </cell>
          <cell r="AQ273">
            <v>153.88</v>
          </cell>
          <cell r="AR273">
            <v>128.4</v>
          </cell>
          <cell r="AS273">
            <v>120</v>
          </cell>
          <cell r="AT273">
            <v>136.80000000000001</v>
          </cell>
          <cell r="AU273">
            <v>0</v>
          </cell>
          <cell r="AV273">
            <v>129</v>
          </cell>
          <cell r="AW273">
            <v>129</v>
          </cell>
          <cell r="AX273">
            <v>249.6</v>
          </cell>
          <cell r="AY273">
            <v>129</v>
          </cell>
          <cell r="AZ273">
            <v>129</v>
          </cell>
          <cell r="BA273">
            <v>329.55</v>
          </cell>
          <cell r="BB273">
            <v>382.46</v>
          </cell>
          <cell r="BC273">
            <v>314.07</v>
          </cell>
          <cell r="BD273">
            <v>2656.66</v>
          </cell>
          <cell r="BE273">
            <v>401.18</v>
          </cell>
          <cell r="BF273">
            <v>659.7</v>
          </cell>
          <cell r="BG273">
            <v>333.73</v>
          </cell>
          <cell r="BH273">
            <v>348.58</v>
          </cell>
          <cell r="BI273">
            <v>331.18</v>
          </cell>
          <cell r="BJ273">
            <v>-240</v>
          </cell>
          <cell r="BK273">
            <v>258</v>
          </cell>
          <cell r="BL273">
            <v>349</v>
          </cell>
          <cell r="BM273">
            <v>349</v>
          </cell>
          <cell r="BN273">
            <v>317.47000000000003</v>
          </cell>
          <cell r="BO273">
            <v>362.2</v>
          </cell>
          <cell r="BP273">
            <v>342.89</v>
          </cell>
          <cell r="BQ273">
            <v>349</v>
          </cell>
          <cell r="BR273">
            <v>362.58</v>
          </cell>
          <cell r="BS273">
            <v>129</v>
          </cell>
          <cell r="BT273">
            <v>593.30999999999995</v>
          </cell>
          <cell r="BU273">
            <v>865.34</v>
          </cell>
          <cell r="BV273">
            <v>344.3</v>
          </cell>
          <cell r="BW273">
            <v>387.29</v>
          </cell>
          <cell r="BX273">
            <v>369.01</v>
          </cell>
          <cell r="BY273">
            <v>360.01</v>
          </cell>
          <cell r="BZ273">
            <v>374.45</v>
          </cell>
          <cell r="CA273">
            <v>378.96</v>
          </cell>
          <cell r="CB273">
            <v>372.21</v>
          </cell>
          <cell r="CC273">
            <v>129</v>
          </cell>
          <cell r="CD273">
            <v>376.06</v>
          </cell>
          <cell r="CE273">
            <v>394.06</v>
          </cell>
          <cell r="CF273">
            <v>376.06</v>
          </cell>
          <cell r="CG273">
            <v>378.3</v>
          </cell>
          <cell r="CH273">
            <v>385.06</v>
          </cell>
          <cell r="CI273">
            <v>369.3</v>
          </cell>
          <cell r="CJ273">
            <v>376.06</v>
          </cell>
          <cell r="CK273">
            <v>376.06</v>
          </cell>
          <cell r="CL273">
            <v>421.01</v>
          </cell>
          <cell r="CM273">
            <v>405.45</v>
          </cell>
          <cell r="CN273">
            <v>407.31</v>
          </cell>
          <cell r="CO273">
            <v>294.45</v>
          </cell>
          <cell r="CP273">
            <v>278.31</v>
          </cell>
          <cell r="CQ273">
            <v>266.77</v>
          </cell>
          <cell r="CR273">
            <v>524.77</v>
          </cell>
          <cell r="CS273">
            <v>138.66999999999999</v>
          </cell>
          <cell r="CT273">
            <v>553.96</v>
          </cell>
          <cell r="CU273">
            <v>452.63</v>
          </cell>
          <cell r="CV273">
            <v>434.8</v>
          </cell>
          <cell r="CW273">
            <v>438.8</v>
          </cell>
          <cell r="CX273">
            <v>282.17</v>
          </cell>
          <cell r="CY273">
            <v>749.21</v>
          </cell>
          <cell r="CZ273">
            <v>1138.74</v>
          </cell>
          <cell r="DA273">
            <v>355.3</v>
          </cell>
          <cell r="DB273">
            <v>472.18</v>
          </cell>
          <cell r="DC273">
            <v>484.3</v>
          </cell>
          <cell r="DD273">
            <v>444.6</v>
          </cell>
          <cell r="DE273">
            <v>444.25</v>
          </cell>
          <cell r="DF273">
            <v>323.04000000000002</v>
          </cell>
          <cell r="DG273">
            <v>315.25</v>
          </cell>
        </row>
        <row r="274">
          <cell r="A274">
            <v>6729000</v>
          </cell>
          <cell r="B274">
            <v>6729000</v>
          </cell>
          <cell r="C274" t="str">
            <v>Lease to BalSheet</v>
          </cell>
          <cell r="D274">
            <v>0</v>
          </cell>
          <cell r="E274">
            <v>0</v>
          </cell>
          <cell r="F274">
            <v>0</v>
          </cell>
          <cell r="G274">
            <v>0</v>
          </cell>
          <cell r="H274">
            <v>0</v>
          </cell>
          <cell r="I274">
            <v>0</v>
          </cell>
          <cell r="J274">
            <v>-3894.52</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1</v>
          </cell>
          <cell r="AC274">
            <v>2</v>
          </cell>
          <cell r="AD274">
            <v>3</v>
          </cell>
          <cell r="AE274"/>
          <cell r="AF274"/>
          <cell r="AG274"/>
          <cell r="AH274"/>
          <cell r="AI274"/>
          <cell r="AJ274"/>
          <cell r="AK274"/>
          <cell r="AL274"/>
          <cell r="AM274"/>
          <cell r="AN274"/>
          <cell r="AO274"/>
          <cell r="AP274"/>
          <cell r="AQ274"/>
          <cell r="AR274"/>
          <cell r="AS274"/>
          <cell r="AT274"/>
          <cell r="AU274"/>
          <cell r="AV274"/>
          <cell r="AW274"/>
          <cell r="AX274"/>
          <cell r="AY274"/>
          <cell r="AZ274">
            <v>0</v>
          </cell>
          <cell r="BA274">
            <v>-8.4</v>
          </cell>
          <cell r="BB274">
            <v>-240</v>
          </cell>
          <cell r="BC274">
            <v>0</v>
          </cell>
          <cell r="BD274">
            <v>0</v>
          </cell>
          <cell r="BE274">
            <v>0</v>
          </cell>
          <cell r="BF274">
            <v>0</v>
          </cell>
          <cell r="BG274">
            <v>0</v>
          </cell>
          <cell r="BH274">
            <v>0</v>
          </cell>
          <cell r="BI274">
            <v>8.4</v>
          </cell>
          <cell r="BJ274">
            <v>240</v>
          </cell>
          <cell r="BK274">
            <v>0</v>
          </cell>
          <cell r="BL274">
            <v>0</v>
          </cell>
          <cell r="BM274">
            <v>0</v>
          </cell>
          <cell r="BN274">
            <v>0</v>
          </cell>
          <cell r="BO274">
            <v>0</v>
          </cell>
          <cell r="BP274">
            <v>0</v>
          </cell>
          <cell r="BQ274">
            <v>0</v>
          </cell>
          <cell r="BR274">
            <v>0</v>
          </cell>
          <cell r="BS274">
            <v>0</v>
          </cell>
          <cell r="BT274">
            <v>0</v>
          </cell>
          <cell r="BU274"/>
          <cell r="BV274"/>
          <cell r="BW274"/>
          <cell r="BX274"/>
          <cell r="BY274"/>
          <cell r="BZ274"/>
          <cell r="CA274"/>
          <cell r="CB274"/>
          <cell r="CC274"/>
          <cell r="CD274"/>
          <cell r="CE274"/>
          <cell r="CF274"/>
          <cell r="CG274"/>
          <cell r="CH274"/>
          <cell r="CI274"/>
          <cell r="CJ274"/>
          <cell r="CK274"/>
          <cell r="CL274"/>
          <cell r="CM274"/>
          <cell r="CN274"/>
          <cell r="CO274"/>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row>
        <row r="275">
          <cell r="A275">
            <v>6730010</v>
          </cell>
          <cell r="B275">
            <v>6730010</v>
          </cell>
          <cell r="C275" t="str">
            <v>Utilities-Electricty</v>
          </cell>
          <cell r="D275">
            <v>38582.300000000003</v>
          </cell>
          <cell r="E275">
            <v>32458.61</v>
          </cell>
          <cell r="F275">
            <v>27738.880000000001</v>
          </cell>
          <cell r="G275">
            <v>2077.59</v>
          </cell>
          <cell r="H275">
            <v>44902.23</v>
          </cell>
          <cell r="I275">
            <v>28939.01</v>
          </cell>
          <cell r="J275">
            <v>52039.06</v>
          </cell>
          <cell r="K275">
            <v>39061.370000000003</v>
          </cell>
          <cell r="L275">
            <v>27598.14</v>
          </cell>
          <cell r="M275">
            <v>56319.28</v>
          </cell>
          <cell r="N275">
            <v>19776.62</v>
          </cell>
          <cell r="O275">
            <v>39070.19</v>
          </cell>
          <cell r="P275">
            <v>38729.360000000001</v>
          </cell>
          <cell r="Q275">
            <v>26891.119999999999</v>
          </cell>
          <cell r="R275">
            <v>39443.61</v>
          </cell>
          <cell r="S275">
            <v>30166.3</v>
          </cell>
          <cell r="T275">
            <v>22979.96</v>
          </cell>
          <cell r="U275">
            <v>46305.95</v>
          </cell>
          <cell r="V275">
            <v>37873.33</v>
          </cell>
          <cell r="W275">
            <v>27001.97</v>
          </cell>
          <cell r="X275">
            <v>47023.82</v>
          </cell>
          <cell r="Y275">
            <v>27943.84</v>
          </cell>
          <cell r="Z275">
            <v>31362.44</v>
          </cell>
          <cell r="AA275">
            <v>165929.21</v>
          </cell>
          <cell r="AB275">
            <v>30390.48</v>
          </cell>
          <cell r="AC275">
            <v>31989.46</v>
          </cell>
          <cell r="AD275">
            <v>31325.27</v>
          </cell>
          <cell r="AE275">
            <v>38089.64</v>
          </cell>
          <cell r="AF275">
            <v>29155.01</v>
          </cell>
          <cell r="AG275">
            <v>32998.230000000003</v>
          </cell>
          <cell r="AH275">
            <v>32584.7</v>
          </cell>
          <cell r="AI275">
            <v>43469.22</v>
          </cell>
          <cell r="AJ275">
            <v>36691.1</v>
          </cell>
          <cell r="AK275">
            <v>34333.370000000003</v>
          </cell>
          <cell r="AL275">
            <v>36553.589999999997</v>
          </cell>
          <cell r="AM275">
            <v>39447.35</v>
          </cell>
          <cell r="AN275">
            <v>29785.599999999999</v>
          </cell>
          <cell r="AO275">
            <v>33462.910000000003</v>
          </cell>
          <cell r="AP275">
            <v>29175.08</v>
          </cell>
          <cell r="AQ275">
            <v>32877.9</v>
          </cell>
          <cell r="AR275">
            <v>32154.23</v>
          </cell>
          <cell r="AS275">
            <v>38178.910000000003</v>
          </cell>
          <cell r="AT275">
            <v>34915.31</v>
          </cell>
          <cell r="AU275">
            <v>33532.43</v>
          </cell>
          <cell r="AV275">
            <v>33316.080000000002</v>
          </cell>
          <cell r="AW275">
            <v>37530.660000000003</v>
          </cell>
          <cell r="AX275">
            <v>31691.599999999999</v>
          </cell>
          <cell r="AY275">
            <v>33210.42</v>
          </cell>
          <cell r="AZ275">
            <v>38026.519999999997</v>
          </cell>
          <cell r="BA275">
            <v>25705.35</v>
          </cell>
          <cell r="BB275">
            <v>27658.44</v>
          </cell>
          <cell r="BC275">
            <v>35701.19</v>
          </cell>
          <cell r="BD275">
            <v>25243.61</v>
          </cell>
          <cell r="BE275">
            <v>41066.6</v>
          </cell>
          <cell r="BF275">
            <v>27509.97</v>
          </cell>
          <cell r="BG275">
            <v>32781.61</v>
          </cell>
          <cell r="BH275">
            <v>38432.54</v>
          </cell>
          <cell r="BI275">
            <v>31151.3</v>
          </cell>
          <cell r="BJ275">
            <v>25897.56</v>
          </cell>
          <cell r="BK275">
            <v>44002.09</v>
          </cell>
          <cell r="BL275">
            <v>25193.31</v>
          </cell>
          <cell r="BM275">
            <v>27887.759999999998</v>
          </cell>
          <cell r="BN275">
            <v>32195.08</v>
          </cell>
          <cell r="BO275">
            <v>27325.77</v>
          </cell>
          <cell r="BP275">
            <v>30371.39</v>
          </cell>
          <cell r="BQ275">
            <v>28483.759999999998</v>
          </cell>
          <cell r="BR275">
            <v>26645.26</v>
          </cell>
          <cell r="BS275">
            <v>24088.68</v>
          </cell>
          <cell r="BT275">
            <v>51231.95</v>
          </cell>
          <cell r="BU275">
            <v>44542.87</v>
          </cell>
          <cell r="BV275">
            <v>23037.64</v>
          </cell>
          <cell r="BW275">
            <v>30776.18</v>
          </cell>
          <cell r="BX275">
            <v>28210.39</v>
          </cell>
          <cell r="BY275">
            <v>26817.5</v>
          </cell>
          <cell r="BZ275">
            <v>24689.16</v>
          </cell>
          <cell r="CA275">
            <v>25792.02</v>
          </cell>
          <cell r="CB275">
            <v>24909.58</v>
          </cell>
          <cell r="CC275">
            <v>27460.799999999999</v>
          </cell>
          <cell r="CD275">
            <v>28563.82</v>
          </cell>
          <cell r="CE275">
            <v>32688.75</v>
          </cell>
          <cell r="CF275">
            <v>21140.26</v>
          </cell>
          <cell r="CG275">
            <v>20877.09</v>
          </cell>
          <cell r="CH275">
            <v>51214.92</v>
          </cell>
          <cell r="CI275">
            <v>26184.66</v>
          </cell>
          <cell r="CJ275">
            <v>70697.070000000007</v>
          </cell>
          <cell r="CK275">
            <v>34231.980000000003</v>
          </cell>
          <cell r="CL275">
            <v>26457.49</v>
          </cell>
          <cell r="CM275">
            <v>40135.96</v>
          </cell>
          <cell r="CN275">
            <v>21958.79</v>
          </cell>
          <cell r="CO275">
            <v>46467.76</v>
          </cell>
          <cell r="CP275">
            <v>41887.339999999997</v>
          </cell>
          <cell r="CQ275">
            <v>17989.57</v>
          </cell>
          <cell r="CR275">
            <v>72135.22</v>
          </cell>
          <cell r="CS275">
            <v>46795.87</v>
          </cell>
          <cell r="CT275">
            <v>27883.040000000001</v>
          </cell>
          <cell r="CU275">
            <v>28558.39</v>
          </cell>
          <cell r="CV275">
            <v>36723.19</v>
          </cell>
          <cell r="CW275">
            <v>60913.96</v>
          </cell>
          <cell r="CX275">
            <v>50639.38</v>
          </cell>
          <cell r="CY275">
            <v>46097.59</v>
          </cell>
          <cell r="CZ275">
            <v>39539.360000000001</v>
          </cell>
          <cell r="DA275">
            <v>30133.81</v>
          </cell>
          <cell r="DB275">
            <v>47552.7</v>
          </cell>
          <cell r="DC275">
            <v>53499.97</v>
          </cell>
          <cell r="DD275">
            <v>48435.74</v>
          </cell>
          <cell r="DE275">
            <v>49555.839999999997</v>
          </cell>
          <cell r="DF275">
            <v>37429.24</v>
          </cell>
          <cell r="DG275">
            <v>51886.48</v>
          </cell>
        </row>
        <row r="276">
          <cell r="A276">
            <v>6730020</v>
          </cell>
          <cell r="B276">
            <v>6730020</v>
          </cell>
          <cell r="C276" t="str">
            <v>Utilities-Gas</v>
          </cell>
          <cell r="D276">
            <v>0</v>
          </cell>
          <cell r="E276">
            <v>0</v>
          </cell>
          <cell r="F276">
            <v>0</v>
          </cell>
          <cell r="G276">
            <v>0</v>
          </cell>
          <cell r="H276">
            <v>0</v>
          </cell>
          <cell r="I276">
            <v>0</v>
          </cell>
          <cell r="J276">
            <v>0</v>
          </cell>
          <cell r="K276">
            <v>13.22</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cell r="AF276"/>
          <cell r="AG276"/>
          <cell r="AH276"/>
          <cell r="AI276"/>
          <cell r="AJ276"/>
          <cell r="AK276">
            <v>0</v>
          </cell>
          <cell r="AL276">
            <v>0</v>
          </cell>
          <cell r="AM276">
            <v>48.02</v>
          </cell>
          <cell r="AN276">
            <v>0</v>
          </cell>
          <cell r="AO276">
            <v>14.42</v>
          </cell>
          <cell r="AP276">
            <v>0</v>
          </cell>
          <cell r="AQ276">
            <v>0</v>
          </cell>
          <cell r="AR276">
            <v>0</v>
          </cell>
          <cell r="AS276">
            <v>0</v>
          </cell>
          <cell r="AT276">
            <v>24.01</v>
          </cell>
          <cell r="AU276">
            <v>0</v>
          </cell>
          <cell r="AV276">
            <v>0</v>
          </cell>
          <cell r="AW276">
            <v>0</v>
          </cell>
          <cell r="AX276">
            <v>0</v>
          </cell>
          <cell r="AY276">
            <v>0</v>
          </cell>
          <cell r="AZ276">
            <v>138.41999999999999</v>
          </cell>
          <cell r="BA276">
            <v>57.31</v>
          </cell>
          <cell r="BB276">
            <v>970.05</v>
          </cell>
          <cell r="BC276">
            <v>18.77</v>
          </cell>
          <cell r="BD276">
            <v>32.08</v>
          </cell>
          <cell r="BE276">
            <v>64.209999999999994</v>
          </cell>
          <cell r="BF276">
            <v>71.739999999999995</v>
          </cell>
          <cell r="BG276">
            <v>29.38</v>
          </cell>
          <cell r="BH276">
            <v>789.31</v>
          </cell>
          <cell r="BI276">
            <v>95.87</v>
          </cell>
          <cell r="BJ276">
            <v>0</v>
          </cell>
          <cell r="BK276">
            <v>0</v>
          </cell>
          <cell r="BL276">
            <v>0</v>
          </cell>
          <cell r="BM276">
            <v>0</v>
          </cell>
          <cell r="BN276">
            <v>0</v>
          </cell>
          <cell r="BO276">
            <v>0</v>
          </cell>
          <cell r="BP276">
            <v>0</v>
          </cell>
          <cell r="BQ276">
            <v>0</v>
          </cell>
          <cell r="BR276">
            <v>0</v>
          </cell>
          <cell r="BS276">
            <v>0</v>
          </cell>
          <cell r="BT276">
            <v>0</v>
          </cell>
          <cell r="BU276"/>
          <cell r="BV276"/>
          <cell r="BW276"/>
          <cell r="BX276"/>
          <cell r="BY276"/>
          <cell r="BZ276"/>
          <cell r="CA276">
            <v>23.08</v>
          </cell>
          <cell r="CB276">
            <v>24.68</v>
          </cell>
          <cell r="CC276">
            <v>0</v>
          </cell>
          <cell r="CD276">
            <v>0</v>
          </cell>
          <cell r="CE276">
            <v>0</v>
          </cell>
          <cell r="CF276">
            <v>0</v>
          </cell>
          <cell r="CG276">
            <v>0</v>
          </cell>
          <cell r="CH276">
            <v>0</v>
          </cell>
          <cell r="CI276">
            <v>0</v>
          </cell>
          <cell r="CJ276">
            <v>53.41</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row>
        <row r="277">
          <cell r="A277">
            <v>6730030</v>
          </cell>
          <cell r="B277">
            <v>6730030</v>
          </cell>
          <cell r="C277" t="str">
            <v>Utilities-Telecom</v>
          </cell>
          <cell r="D277">
            <v>176788.81</v>
          </cell>
          <cell r="E277">
            <v>145555.42000000001</v>
          </cell>
          <cell r="F277">
            <v>161197.93</v>
          </cell>
          <cell r="G277">
            <v>126214.65</v>
          </cell>
          <cell r="H277">
            <v>147677.04</v>
          </cell>
          <cell r="I277">
            <v>149750.67000000001</v>
          </cell>
          <cell r="J277">
            <v>155734.81</v>
          </cell>
          <cell r="K277">
            <v>137475.04999999999</v>
          </cell>
          <cell r="L277">
            <v>167229.82999999999</v>
          </cell>
          <cell r="M277">
            <v>151027.67000000001</v>
          </cell>
          <cell r="N277">
            <v>147217.85</v>
          </cell>
          <cell r="O277">
            <v>143483.09</v>
          </cell>
          <cell r="P277">
            <v>146617.5</v>
          </cell>
          <cell r="Q277">
            <v>133016.59</v>
          </cell>
          <cell r="R277">
            <v>149443.44</v>
          </cell>
          <cell r="S277">
            <v>123127.17</v>
          </cell>
          <cell r="T277">
            <v>181405.97</v>
          </cell>
          <cell r="U277">
            <v>153520.53</v>
          </cell>
          <cell r="V277">
            <v>125888.78</v>
          </cell>
          <cell r="W277">
            <v>139733.49</v>
          </cell>
          <cell r="X277">
            <v>139229.32</v>
          </cell>
          <cell r="Y277">
            <v>130513.05</v>
          </cell>
          <cell r="Z277">
            <v>138718.28</v>
          </cell>
          <cell r="AA277">
            <v>142083.19</v>
          </cell>
          <cell r="AB277">
            <v>138364.07</v>
          </cell>
          <cell r="AC277">
            <v>133533.26</v>
          </cell>
          <cell r="AD277">
            <v>145948.32999999999</v>
          </cell>
          <cell r="AE277">
            <v>135603.72</v>
          </cell>
          <cell r="AF277">
            <v>125423.99</v>
          </cell>
          <cell r="AG277">
            <v>146671.71</v>
          </cell>
          <cell r="AH277">
            <v>141236.49</v>
          </cell>
          <cell r="AI277">
            <v>118139.84</v>
          </cell>
          <cell r="AJ277">
            <v>163599.39000000001</v>
          </cell>
          <cell r="AK277">
            <v>136204.46</v>
          </cell>
          <cell r="AL277">
            <v>140349.26</v>
          </cell>
          <cell r="AM277">
            <v>136928.60999999999</v>
          </cell>
          <cell r="AN277">
            <v>123011.08</v>
          </cell>
          <cell r="AO277">
            <v>145641.01999999999</v>
          </cell>
          <cell r="AP277">
            <v>137982.6</v>
          </cell>
          <cell r="AQ277">
            <v>139182.43</v>
          </cell>
          <cell r="AR277">
            <v>141378.19</v>
          </cell>
          <cell r="AS277">
            <v>168620.7</v>
          </cell>
          <cell r="AT277">
            <v>137143.38</v>
          </cell>
          <cell r="AU277">
            <v>149938.54999999999</v>
          </cell>
          <cell r="AV277">
            <v>137088.44</v>
          </cell>
          <cell r="AW277">
            <v>139200.04</v>
          </cell>
          <cell r="AX277">
            <v>142470.76999999999</v>
          </cell>
          <cell r="AY277">
            <v>124478.6</v>
          </cell>
          <cell r="AZ277">
            <v>138374.63</v>
          </cell>
          <cell r="BA277">
            <v>138280.82</v>
          </cell>
          <cell r="BB277">
            <v>141506.64000000001</v>
          </cell>
          <cell r="BC277">
            <v>136381.26999999999</v>
          </cell>
          <cell r="BD277">
            <v>137852.01999999999</v>
          </cell>
          <cell r="BE277">
            <v>130842.25</v>
          </cell>
          <cell r="BF277">
            <v>138334.6</v>
          </cell>
          <cell r="BG277">
            <v>144030.18</v>
          </cell>
          <cell r="BH277">
            <v>201401.99</v>
          </cell>
          <cell r="BI277">
            <v>175894.5</v>
          </cell>
          <cell r="BJ277">
            <v>160234.70000000001</v>
          </cell>
          <cell r="BK277">
            <v>138029.57999999999</v>
          </cell>
          <cell r="BL277">
            <v>158529.16</v>
          </cell>
          <cell r="BM277">
            <v>148842.38</v>
          </cell>
          <cell r="BN277">
            <v>158694.07</v>
          </cell>
          <cell r="BO277">
            <v>165537.39000000001</v>
          </cell>
          <cell r="BP277">
            <v>164345.19</v>
          </cell>
          <cell r="BQ277">
            <v>166354.26999999999</v>
          </cell>
          <cell r="BR277">
            <v>173096.38</v>
          </cell>
          <cell r="BS277">
            <v>172676.2</v>
          </cell>
          <cell r="BT277">
            <v>169425.88</v>
          </cell>
          <cell r="BU277">
            <v>175355.68</v>
          </cell>
          <cell r="BV277">
            <v>160127.63</v>
          </cell>
          <cell r="BW277">
            <v>194068.06</v>
          </cell>
          <cell r="BX277">
            <v>175483.01</v>
          </cell>
          <cell r="BY277">
            <v>178595.39</v>
          </cell>
          <cell r="BZ277">
            <v>170596.56</v>
          </cell>
          <cell r="CA277">
            <v>171965.4</v>
          </cell>
          <cell r="CB277">
            <v>153265.34</v>
          </cell>
          <cell r="CC277">
            <v>216286.97</v>
          </cell>
          <cell r="CD277">
            <v>179080.1</v>
          </cell>
          <cell r="CE277">
            <v>166829.85999999999</v>
          </cell>
          <cell r="CF277">
            <v>202440.53</v>
          </cell>
          <cell r="CG277">
            <v>185784.2</v>
          </cell>
          <cell r="CH277">
            <v>190125.42</v>
          </cell>
          <cell r="CI277">
            <v>188999.67999999999</v>
          </cell>
          <cell r="CJ277">
            <v>186271.83</v>
          </cell>
          <cell r="CK277">
            <v>197590.1</v>
          </cell>
          <cell r="CL277">
            <v>195323.95</v>
          </cell>
          <cell r="CM277">
            <v>196774.11</v>
          </cell>
          <cell r="CN277">
            <v>192961.76</v>
          </cell>
          <cell r="CO277">
            <v>194595.65</v>
          </cell>
          <cell r="CP277">
            <v>208472.32000000001</v>
          </cell>
          <cell r="CQ277">
            <v>206692.66</v>
          </cell>
          <cell r="CR277">
            <v>197976.18</v>
          </cell>
          <cell r="CS277">
            <v>201793.24</v>
          </cell>
          <cell r="CT277">
            <v>234118.61</v>
          </cell>
          <cell r="CU277">
            <v>203116.25</v>
          </cell>
          <cell r="CV277">
            <v>192083.52</v>
          </cell>
          <cell r="CW277">
            <v>197950.32</v>
          </cell>
          <cell r="CX277">
            <v>195074.99</v>
          </cell>
          <cell r="CY277">
            <v>200962.13</v>
          </cell>
          <cell r="CZ277">
            <v>191977.9</v>
          </cell>
          <cell r="DA277">
            <v>217519.63</v>
          </cell>
          <cell r="DB277">
            <v>196946.76</v>
          </cell>
          <cell r="DC277">
            <v>172578.56</v>
          </cell>
          <cell r="DD277">
            <v>157751.04999999999</v>
          </cell>
          <cell r="DE277">
            <v>566558.18999999994</v>
          </cell>
          <cell r="DF277">
            <v>194350.97</v>
          </cell>
          <cell r="DG277">
            <v>199157.46</v>
          </cell>
        </row>
        <row r="278">
          <cell r="A278">
            <v>6730050</v>
          </cell>
          <cell r="B278">
            <v>6730050</v>
          </cell>
          <cell r="C278" t="str">
            <v>Utilities-WasteTrash</v>
          </cell>
          <cell r="D278">
            <v>8534.77</v>
          </cell>
          <cell r="E278">
            <v>5612.72</v>
          </cell>
          <cell r="F278">
            <v>6202.99</v>
          </cell>
          <cell r="G278">
            <v>6960.79</v>
          </cell>
          <cell r="H278">
            <v>8077.71</v>
          </cell>
          <cell r="I278">
            <v>7221.53</v>
          </cell>
          <cell r="J278">
            <v>7673.15</v>
          </cell>
          <cell r="K278">
            <v>6380.41</v>
          </cell>
          <cell r="L278">
            <v>5572.29</v>
          </cell>
          <cell r="M278">
            <v>10429.129999999999</v>
          </cell>
          <cell r="N278">
            <v>6175</v>
          </cell>
          <cell r="O278">
            <v>7130.14</v>
          </cell>
          <cell r="P278">
            <v>6312.31</v>
          </cell>
          <cell r="Q278">
            <v>5424.86</v>
          </cell>
          <cell r="R278">
            <v>5363.7</v>
          </cell>
          <cell r="S278">
            <v>9008.58</v>
          </cell>
          <cell r="T278">
            <v>5284.79</v>
          </cell>
          <cell r="U278">
            <v>4934.5600000000004</v>
          </cell>
          <cell r="V278">
            <v>10712.86</v>
          </cell>
          <cell r="W278">
            <v>4417.76</v>
          </cell>
          <cell r="X278">
            <v>4508.1400000000003</v>
          </cell>
          <cell r="Y278">
            <v>7800.69</v>
          </cell>
          <cell r="Z278">
            <v>5221.92</v>
          </cell>
          <cell r="AA278">
            <v>5081.9399999999996</v>
          </cell>
          <cell r="AB278">
            <v>6850.96</v>
          </cell>
          <cell r="AC278">
            <v>5052.87</v>
          </cell>
          <cell r="AD278">
            <v>5593.55</v>
          </cell>
          <cell r="AE278">
            <v>7261.46</v>
          </cell>
          <cell r="AF278">
            <v>6841.84</v>
          </cell>
          <cell r="AG278">
            <v>7098.02</v>
          </cell>
          <cell r="AH278">
            <v>6902.9</v>
          </cell>
          <cell r="AI278">
            <v>5137.8599999999997</v>
          </cell>
          <cell r="AJ278">
            <v>10487.3</v>
          </cell>
          <cell r="AK278">
            <v>3558.62</v>
          </cell>
          <cell r="AL278">
            <v>8055.54</v>
          </cell>
          <cell r="AM278">
            <v>6733.78</v>
          </cell>
          <cell r="AN278">
            <v>11943.24</v>
          </cell>
          <cell r="AO278">
            <v>4077.8</v>
          </cell>
          <cell r="AP278">
            <v>3081.83</v>
          </cell>
          <cell r="AQ278">
            <v>4353.08</v>
          </cell>
          <cell r="AR278">
            <v>4322.3100000000004</v>
          </cell>
          <cell r="AS278">
            <v>2313.4</v>
          </cell>
          <cell r="AT278">
            <v>4553.32</v>
          </cell>
          <cell r="AU278">
            <v>3450.01</v>
          </cell>
          <cell r="AV278">
            <v>3448.84</v>
          </cell>
          <cell r="AW278">
            <v>7421.59</v>
          </cell>
          <cell r="AX278">
            <v>3572.91</v>
          </cell>
          <cell r="AY278">
            <v>3379.65</v>
          </cell>
          <cell r="AZ278">
            <v>4435.1499999999996</v>
          </cell>
          <cell r="BA278">
            <v>3246.09</v>
          </cell>
          <cell r="BB278">
            <v>2031.81</v>
          </cell>
          <cell r="BC278">
            <v>7134.7</v>
          </cell>
          <cell r="BD278">
            <v>3834.52</v>
          </cell>
          <cell r="BE278">
            <v>2885.1</v>
          </cell>
          <cell r="BF278">
            <v>7335.27</v>
          </cell>
          <cell r="BG278">
            <v>6204.1</v>
          </cell>
          <cell r="BH278">
            <v>962.14</v>
          </cell>
          <cell r="BI278">
            <v>3365.18</v>
          </cell>
          <cell r="BJ278">
            <v>6962.2</v>
          </cell>
          <cell r="BK278">
            <v>2022.95</v>
          </cell>
          <cell r="BL278">
            <v>6266.28</v>
          </cell>
          <cell r="BM278">
            <v>3904.66</v>
          </cell>
          <cell r="BN278">
            <v>4387.49</v>
          </cell>
          <cell r="BO278">
            <v>4639.37</v>
          </cell>
          <cell r="BP278">
            <v>6725.54</v>
          </cell>
          <cell r="BQ278">
            <v>3026.35</v>
          </cell>
          <cell r="BR278">
            <v>6793.21</v>
          </cell>
          <cell r="BS278">
            <v>5288.25</v>
          </cell>
          <cell r="BT278">
            <v>6026.93</v>
          </cell>
          <cell r="BU278">
            <v>7381.67</v>
          </cell>
          <cell r="BV278">
            <v>6499.53</v>
          </cell>
          <cell r="BW278">
            <v>5143.0200000000004</v>
          </cell>
          <cell r="BX278">
            <v>8908.19</v>
          </cell>
          <cell r="BY278">
            <v>6960.34</v>
          </cell>
          <cell r="BZ278">
            <v>6608.39</v>
          </cell>
          <cell r="CA278">
            <v>7767.43</v>
          </cell>
          <cell r="CB278">
            <v>12918.15</v>
          </cell>
          <cell r="CC278">
            <v>12304.93</v>
          </cell>
          <cell r="CD278">
            <v>1512.05</v>
          </cell>
          <cell r="CE278">
            <v>5095.22</v>
          </cell>
          <cell r="CF278">
            <v>5508.99</v>
          </cell>
          <cell r="CG278">
            <v>6151.77</v>
          </cell>
          <cell r="CH278">
            <v>6457.96</v>
          </cell>
          <cell r="CI278">
            <v>5778.79</v>
          </cell>
          <cell r="CJ278">
            <v>16088.08</v>
          </cell>
          <cell r="CK278">
            <v>3117.8</v>
          </cell>
          <cell r="CL278">
            <v>10264.73</v>
          </cell>
          <cell r="CM278">
            <v>7361.33</v>
          </cell>
          <cell r="CN278">
            <v>6251.09</v>
          </cell>
          <cell r="CO278">
            <v>9154.32</v>
          </cell>
          <cell r="CP278">
            <v>9728</v>
          </cell>
          <cell r="CQ278">
            <v>6710.73</v>
          </cell>
          <cell r="CR278">
            <v>15562.68</v>
          </cell>
          <cell r="CS278">
            <v>6636.96</v>
          </cell>
          <cell r="CT278">
            <v>10563.15</v>
          </cell>
          <cell r="CU278">
            <v>9157.1</v>
          </cell>
          <cell r="CV278">
            <v>14006.31</v>
          </cell>
          <cell r="CW278">
            <v>3636.76</v>
          </cell>
          <cell r="CX278">
            <v>8312.66</v>
          </cell>
          <cell r="CY278">
            <v>9362.99</v>
          </cell>
          <cell r="CZ278">
            <v>11634.43</v>
          </cell>
          <cell r="DA278">
            <v>12853.09</v>
          </cell>
          <cell r="DB278">
            <v>5929.35</v>
          </cell>
          <cell r="DC278">
            <v>4375.6099999999997</v>
          </cell>
          <cell r="DD278">
            <v>4546.8999999999996</v>
          </cell>
          <cell r="DE278">
            <v>12287.94</v>
          </cell>
          <cell r="DF278">
            <v>5593.98</v>
          </cell>
          <cell r="DG278">
            <v>4477.6899999999996</v>
          </cell>
        </row>
        <row r="279">
          <cell r="A279">
            <v>6730060</v>
          </cell>
          <cell r="B279">
            <v>6730060</v>
          </cell>
          <cell r="C279" t="str">
            <v>Utilities-Water</v>
          </cell>
          <cell r="D279">
            <v>1625.42</v>
          </cell>
          <cell r="E279">
            <v>2114.34</v>
          </cell>
          <cell r="F279">
            <v>2582.84</v>
          </cell>
          <cell r="G279">
            <v>500.83</v>
          </cell>
          <cell r="H279">
            <v>3133.64</v>
          </cell>
          <cell r="I279">
            <v>1673.29</v>
          </cell>
          <cell r="J279">
            <v>2129.3200000000002</v>
          </cell>
          <cell r="K279">
            <v>715.06</v>
          </cell>
          <cell r="L279">
            <v>1172.21</v>
          </cell>
          <cell r="M279">
            <v>2507.29</v>
          </cell>
          <cell r="N279">
            <v>1090.3900000000001</v>
          </cell>
          <cell r="O279">
            <v>1316.64</v>
          </cell>
          <cell r="P279">
            <v>1741.6</v>
          </cell>
          <cell r="Q279">
            <v>296.45</v>
          </cell>
          <cell r="R279">
            <v>2362.83</v>
          </cell>
          <cell r="S279">
            <v>1823.5</v>
          </cell>
          <cell r="T279">
            <v>937.43</v>
          </cell>
          <cell r="U279">
            <v>1763.05</v>
          </cell>
          <cell r="V279">
            <v>1530.4</v>
          </cell>
          <cell r="W279">
            <v>502.28</v>
          </cell>
          <cell r="X279">
            <v>2453.06</v>
          </cell>
          <cell r="Y279">
            <v>1500.49</v>
          </cell>
          <cell r="Z279">
            <v>1371</v>
          </cell>
          <cell r="AA279">
            <v>1241.26</v>
          </cell>
          <cell r="AB279">
            <v>734.83</v>
          </cell>
          <cell r="AC279">
            <v>1376.13</v>
          </cell>
          <cell r="AD279">
            <v>1240.76</v>
          </cell>
          <cell r="AE279">
            <v>1323.14</v>
          </cell>
          <cell r="AF279">
            <v>1280.75</v>
          </cell>
          <cell r="AG279">
            <v>1678.26</v>
          </cell>
          <cell r="AH279">
            <v>1385.17</v>
          </cell>
          <cell r="AI279">
            <v>1826.87</v>
          </cell>
          <cell r="AJ279">
            <v>704</v>
          </cell>
          <cell r="AK279">
            <v>2059.04</v>
          </cell>
          <cell r="AL279">
            <v>1472.07</v>
          </cell>
          <cell r="AM279">
            <v>4281.84</v>
          </cell>
          <cell r="AN279">
            <v>1859.11</v>
          </cell>
          <cell r="AO279">
            <v>1529.68</v>
          </cell>
          <cell r="AP279">
            <v>2072.2199999999998</v>
          </cell>
          <cell r="AQ279">
            <v>1397.06</v>
          </cell>
          <cell r="AR279">
            <v>1235.6099999999999</v>
          </cell>
          <cell r="AS279">
            <v>2824.4</v>
          </cell>
          <cell r="AT279">
            <v>5553.41</v>
          </cell>
          <cell r="AU279">
            <v>3414.51</v>
          </cell>
          <cell r="AV279">
            <v>3575.5</v>
          </cell>
          <cell r="AW279">
            <v>9530.73</v>
          </cell>
          <cell r="AX279">
            <v>2071.98</v>
          </cell>
          <cell r="AY279">
            <v>8313.15</v>
          </cell>
          <cell r="AZ279">
            <v>12581.92</v>
          </cell>
          <cell r="BA279">
            <v>3483.88</v>
          </cell>
          <cell r="BB279">
            <v>3217.75</v>
          </cell>
          <cell r="BC279">
            <v>3790.01</v>
          </cell>
          <cell r="BD279">
            <v>2885.68</v>
          </cell>
          <cell r="BE279">
            <v>5041.07</v>
          </cell>
          <cell r="BF279">
            <v>9084.4500000000007</v>
          </cell>
          <cell r="BG279">
            <v>1666.38</v>
          </cell>
          <cell r="BH279">
            <v>674.04</v>
          </cell>
          <cell r="BI279">
            <v>10996.08</v>
          </cell>
          <cell r="BJ279">
            <v>2918.35</v>
          </cell>
          <cell r="BK279">
            <v>2893.69</v>
          </cell>
          <cell r="BL279">
            <v>9703.66</v>
          </cell>
          <cell r="BM279">
            <v>2266.37</v>
          </cell>
          <cell r="BN279">
            <v>5068.99</v>
          </cell>
          <cell r="BO279">
            <v>4803.55</v>
          </cell>
          <cell r="BP279">
            <v>7047.93</v>
          </cell>
          <cell r="BQ279">
            <v>3775.37</v>
          </cell>
          <cell r="BR279">
            <v>3118.77</v>
          </cell>
          <cell r="BS279">
            <v>1477.91</v>
          </cell>
          <cell r="BT279">
            <v>3561.98</v>
          </cell>
          <cell r="BU279">
            <v>6921.73</v>
          </cell>
          <cell r="BV279">
            <v>2949.25</v>
          </cell>
          <cell r="BW279">
            <v>3569.77</v>
          </cell>
          <cell r="BX279">
            <v>3113.87</v>
          </cell>
          <cell r="BY279">
            <v>3294.7</v>
          </cell>
          <cell r="BZ279">
            <v>3333.15</v>
          </cell>
          <cell r="CA279">
            <v>4920.92</v>
          </cell>
          <cell r="CB279">
            <v>1172.76</v>
          </cell>
          <cell r="CC279">
            <v>306.29000000000002</v>
          </cell>
          <cell r="CD279">
            <v>17439.62</v>
          </cell>
          <cell r="CE279">
            <v>3775.06</v>
          </cell>
          <cell r="CF279">
            <v>702.26</v>
          </cell>
          <cell r="CG279">
            <v>2454.54</v>
          </cell>
          <cell r="CH279">
            <v>6010.88</v>
          </cell>
          <cell r="CI279">
            <v>6675.81</v>
          </cell>
          <cell r="CJ279">
            <v>4508.09</v>
          </cell>
          <cell r="CK279">
            <v>1378.69</v>
          </cell>
          <cell r="CL279">
            <v>6098.82</v>
          </cell>
          <cell r="CM279">
            <v>4422.08</v>
          </cell>
          <cell r="CN279">
            <v>3969.17</v>
          </cell>
          <cell r="CO279">
            <v>4261.03</v>
          </cell>
          <cell r="CP279">
            <v>3909.56</v>
          </cell>
          <cell r="CQ279">
            <v>3136.6</v>
          </cell>
          <cell r="CR279">
            <v>3928.99</v>
          </cell>
          <cell r="CS279">
            <v>1122.46</v>
          </cell>
          <cell r="CT279">
            <v>6466.73</v>
          </cell>
          <cell r="CU279">
            <v>467.35</v>
          </cell>
          <cell r="CV279">
            <v>706.08</v>
          </cell>
          <cell r="CW279">
            <v>14985.57</v>
          </cell>
          <cell r="CX279">
            <v>2022.32</v>
          </cell>
          <cell r="CY279">
            <v>1246.03</v>
          </cell>
          <cell r="CZ279">
            <v>1003.18</v>
          </cell>
          <cell r="DA279">
            <v>1694.46</v>
          </cell>
          <cell r="DB279">
            <v>5585.77</v>
          </cell>
          <cell r="DC279">
            <v>10722.74</v>
          </cell>
          <cell r="DD279">
            <v>7847.61</v>
          </cell>
          <cell r="DE279">
            <v>23479.59</v>
          </cell>
          <cell r="DF279">
            <v>7398.82</v>
          </cell>
          <cell r="DG279">
            <v>1584.66</v>
          </cell>
        </row>
        <row r="280">
          <cell r="A280">
            <v>6730800</v>
          </cell>
          <cell r="B280">
            <v>6730800</v>
          </cell>
          <cell r="C280" t="str">
            <v>Utilities-Other</v>
          </cell>
          <cell r="D280">
            <v>1992</v>
          </cell>
          <cell r="E280">
            <v>672.53</v>
          </cell>
          <cell r="F280">
            <v>770.04</v>
          </cell>
          <cell r="G280">
            <v>1029.6500000000001</v>
          </cell>
          <cell r="H280">
            <v>573.97</v>
          </cell>
          <cell r="I280">
            <v>1239.57</v>
          </cell>
          <cell r="J280">
            <v>1284.55</v>
          </cell>
          <cell r="K280">
            <v>175.09</v>
          </cell>
          <cell r="L280">
            <v>1458.17</v>
          </cell>
          <cell r="M280">
            <v>1879.26</v>
          </cell>
          <cell r="N280">
            <v>321.35000000000002</v>
          </cell>
          <cell r="O280">
            <v>831.08</v>
          </cell>
          <cell r="P280">
            <v>464.97</v>
          </cell>
          <cell r="Q280">
            <v>-42.86</v>
          </cell>
          <cell r="R280">
            <v>1027.07</v>
          </cell>
          <cell r="S280">
            <v>524.83000000000004</v>
          </cell>
          <cell r="T280">
            <v>1262.1400000000001</v>
          </cell>
          <cell r="U280">
            <v>1005.68</v>
          </cell>
          <cell r="V280">
            <v>458.23</v>
          </cell>
          <cell r="W280">
            <v>469.51</v>
          </cell>
          <cell r="X280">
            <v>840.45</v>
          </cell>
          <cell r="Y280">
            <v>347</v>
          </cell>
          <cell r="Z280">
            <v>596.02</v>
          </cell>
          <cell r="AA280">
            <v>913.47</v>
          </cell>
          <cell r="AB280">
            <v>342.34</v>
          </cell>
          <cell r="AC280">
            <v>789.26</v>
          </cell>
          <cell r="AD280">
            <v>711.35</v>
          </cell>
          <cell r="AE280">
            <v>650.57000000000005</v>
          </cell>
          <cell r="AF280">
            <v>9988.69</v>
          </cell>
          <cell r="AG280">
            <v>681.23</v>
          </cell>
          <cell r="AH280">
            <v>652.67999999999995</v>
          </cell>
          <cell r="AI280">
            <v>1262.43</v>
          </cell>
          <cell r="AJ280">
            <v>110.13</v>
          </cell>
          <cell r="AK280">
            <v>791.77</v>
          </cell>
          <cell r="AL280">
            <v>2870.39</v>
          </cell>
          <cell r="AM280">
            <v>714.77</v>
          </cell>
          <cell r="AN280">
            <v>801.01</v>
          </cell>
          <cell r="AO280">
            <v>504.66</v>
          </cell>
          <cell r="AP280">
            <v>791.96</v>
          </cell>
          <cell r="AQ280">
            <v>780.73</v>
          </cell>
          <cell r="AR280">
            <v>428.61</v>
          </cell>
          <cell r="AS280">
            <v>585.73</v>
          </cell>
          <cell r="AT280">
            <v>763.84</v>
          </cell>
          <cell r="AU280">
            <v>1878.36</v>
          </cell>
          <cell r="AV280">
            <v>651.07000000000005</v>
          </cell>
          <cell r="AW280">
            <v>1141.5899999999999</v>
          </cell>
          <cell r="AX280">
            <v>780.22</v>
          </cell>
          <cell r="AY280">
            <v>1024.17</v>
          </cell>
          <cell r="AZ280">
            <v>1620.3</v>
          </cell>
          <cell r="BA280">
            <v>555.69000000000005</v>
          </cell>
          <cell r="BB280">
            <v>785.72</v>
          </cell>
          <cell r="BC280">
            <v>998.77</v>
          </cell>
          <cell r="BD280">
            <v>664.9</v>
          </cell>
          <cell r="BE280">
            <v>952.39</v>
          </cell>
          <cell r="BF280">
            <v>336.33</v>
          </cell>
          <cell r="BG280">
            <v>813.45</v>
          </cell>
          <cell r="BH280">
            <v>599.64</v>
          </cell>
          <cell r="BI280">
            <v>1102.56</v>
          </cell>
          <cell r="BJ280">
            <v>421.14</v>
          </cell>
          <cell r="BK280">
            <v>707.63</v>
          </cell>
          <cell r="BL280">
            <v>538.19000000000005</v>
          </cell>
          <cell r="BM280">
            <v>2482.0300000000002</v>
          </cell>
          <cell r="BN280">
            <v>495.64</v>
          </cell>
          <cell r="BO280">
            <v>411.88</v>
          </cell>
          <cell r="BP280">
            <v>763.9</v>
          </cell>
          <cell r="BQ280">
            <v>929.99</v>
          </cell>
          <cell r="BR280">
            <v>894.56</v>
          </cell>
          <cell r="BS280">
            <v>2308.25</v>
          </cell>
          <cell r="BT280">
            <v>758.15</v>
          </cell>
          <cell r="BU280">
            <v>1403.5</v>
          </cell>
          <cell r="BV280">
            <v>421.37</v>
          </cell>
          <cell r="BW280">
            <v>882.35</v>
          </cell>
          <cell r="BX280">
            <v>1594.23</v>
          </cell>
          <cell r="BY280">
            <v>1052.82</v>
          </cell>
          <cell r="BZ280">
            <v>1243.1300000000001</v>
          </cell>
          <cell r="CA280">
            <v>512.80999999999995</v>
          </cell>
          <cell r="CB280">
            <v>937.02</v>
          </cell>
          <cell r="CC280">
            <v>1409.76</v>
          </cell>
          <cell r="CD280">
            <v>1745.31</v>
          </cell>
          <cell r="CE280">
            <v>2141.73</v>
          </cell>
          <cell r="CF280">
            <v>1922.42</v>
          </cell>
          <cell r="CG280">
            <v>1696.64</v>
          </cell>
          <cell r="CH280">
            <v>4218.18</v>
          </cell>
          <cell r="CI280">
            <v>1539.97</v>
          </cell>
          <cell r="CJ280">
            <v>2308.0700000000002</v>
          </cell>
          <cell r="CK280">
            <v>3010.39</v>
          </cell>
          <cell r="CL280">
            <v>2181.4499999999998</v>
          </cell>
          <cell r="CM280">
            <v>856.68</v>
          </cell>
          <cell r="CN280">
            <v>840.85</v>
          </cell>
          <cell r="CO280">
            <v>1477.27</v>
          </cell>
          <cell r="CP280">
            <v>1844.23</v>
          </cell>
          <cell r="CQ280">
            <v>2349.7600000000002</v>
          </cell>
          <cell r="CR280">
            <v>1552.46</v>
          </cell>
          <cell r="CS280">
            <v>8057.66</v>
          </cell>
          <cell r="CT280">
            <v>1134.54</v>
          </cell>
          <cell r="CU280">
            <v>13260.27</v>
          </cell>
          <cell r="CV280">
            <v>3870.94</v>
          </cell>
          <cell r="CW280">
            <v>6408.42</v>
          </cell>
          <cell r="CX280">
            <v>-4313.96</v>
          </cell>
          <cell r="CY280">
            <v>3964.26</v>
          </cell>
          <cell r="CZ280">
            <v>2431.5300000000002</v>
          </cell>
          <cell r="DA280">
            <v>1630.11</v>
          </cell>
          <cell r="DB280">
            <v>2370.3000000000002</v>
          </cell>
          <cell r="DC280">
            <v>3521.08</v>
          </cell>
          <cell r="DD280">
            <v>5005.46</v>
          </cell>
          <cell r="DE280">
            <v>-1308.19</v>
          </cell>
          <cell r="DF280">
            <v>3290.79</v>
          </cell>
          <cell r="DG280">
            <v>5865.67</v>
          </cell>
        </row>
        <row r="281">
          <cell r="A281">
            <v>6739000</v>
          </cell>
          <cell r="B281">
            <v>6739000</v>
          </cell>
          <cell r="C281" t="str">
            <v>Utilities to BalSht</v>
          </cell>
          <cell r="D281">
            <v>-4481.5200000000004</v>
          </cell>
          <cell r="E281">
            <v>-8.15</v>
          </cell>
          <cell r="F281">
            <v>-4478.99</v>
          </cell>
          <cell r="G281">
            <v>-5.34</v>
          </cell>
          <cell r="H281">
            <v>-5.53</v>
          </cell>
          <cell r="I281">
            <v>-8.14</v>
          </cell>
          <cell r="J281">
            <v>-9.59</v>
          </cell>
          <cell r="K281">
            <v>0</v>
          </cell>
          <cell r="L281">
            <v>-5.18</v>
          </cell>
          <cell r="M281">
            <v>-10.16</v>
          </cell>
          <cell r="N281">
            <v>0</v>
          </cell>
          <cell r="O281">
            <v>-5.08</v>
          </cell>
          <cell r="P281">
            <v>-5.18</v>
          </cell>
          <cell r="Q281">
            <v>-5.04</v>
          </cell>
          <cell r="R281">
            <v>-35.96</v>
          </cell>
          <cell r="S281">
            <v>-5.07</v>
          </cell>
          <cell r="T281">
            <v>-260.33999999999997</v>
          </cell>
          <cell r="U281">
            <v>-173.33</v>
          </cell>
          <cell r="V281">
            <v>-130.44</v>
          </cell>
          <cell r="W281">
            <v>-132.30000000000001</v>
          </cell>
          <cell r="X281">
            <v>-137.49</v>
          </cell>
          <cell r="Y281">
            <v>-137.38999999999999</v>
          </cell>
          <cell r="Z281">
            <v>-137.35</v>
          </cell>
          <cell r="AA281">
            <v>-125094.92</v>
          </cell>
          <cell r="AB281">
            <v>-138.08000000000001</v>
          </cell>
          <cell r="AC281">
            <v>-138.54</v>
          </cell>
          <cell r="AD281">
            <v>-133.13</v>
          </cell>
          <cell r="AE281">
            <v>-133.13999999999999</v>
          </cell>
          <cell r="AF281">
            <v>-9189.2099999999991</v>
          </cell>
          <cell r="AG281">
            <v>-266.24</v>
          </cell>
          <cell r="AH281">
            <v>-135.49</v>
          </cell>
          <cell r="AI281">
            <v>-141.91</v>
          </cell>
          <cell r="AJ281">
            <v>-5.2</v>
          </cell>
          <cell r="AK281">
            <v>-7.47</v>
          </cell>
          <cell r="AL281">
            <v>-5.07</v>
          </cell>
          <cell r="AM281">
            <v>-5.07</v>
          </cell>
          <cell r="AN281">
            <v>-7.43</v>
          </cell>
          <cell r="AO281">
            <v>-6.03</v>
          </cell>
          <cell r="AP281">
            <v>-8.49</v>
          </cell>
          <cell r="AQ281">
            <v>-14.93</v>
          </cell>
          <cell r="AR281">
            <v>-6.4</v>
          </cell>
          <cell r="AS281">
            <v>-499.96</v>
          </cell>
          <cell r="AT281">
            <v>-6.48</v>
          </cell>
          <cell r="AU281">
            <v>-6.25</v>
          </cell>
          <cell r="AV281">
            <v>-221.27</v>
          </cell>
          <cell r="AW281">
            <v>-7550.18</v>
          </cell>
          <cell r="AX281">
            <v>-487.7</v>
          </cell>
          <cell r="AY281">
            <v>-214.64</v>
          </cell>
          <cell r="AZ281">
            <v>-11059.83</v>
          </cell>
          <cell r="BA281">
            <v>-82.36</v>
          </cell>
          <cell r="BB281">
            <v>-1940.76</v>
          </cell>
          <cell r="BC281">
            <v>572.87</v>
          </cell>
          <cell r="BD281">
            <v>-165.04</v>
          </cell>
          <cell r="BE281">
            <v>-252.73</v>
          </cell>
          <cell r="BF281">
            <v>-7264.39</v>
          </cell>
          <cell r="BG281">
            <v>-195.47</v>
          </cell>
          <cell r="BH281">
            <v>-52136.61</v>
          </cell>
          <cell r="BI281">
            <v>-7082.86</v>
          </cell>
          <cell r="BJ281">
            <v>-839.53</v>
          </cell>
          <cell r="BK281">
            <v>-99.13</v>
          </cell>
          <cell r="BL281">
            <v>-5229.2299999999996</v>
          </cell>
          <cell r="BM281">
            <v>-63.4</v>
          </cell>
          <cell r="BN281">
            <v>-1203.19</v>
          </cell>
          <cell r="BO281">
            <v>-87.81</v>
          </cell>
          <cell r="BP281">
            <v>-4992.5</v>
          </cell>
          <cell r="BQ281">
            <v>-2403.25</v>
          </cell>
          <cell r="BR281">
            <v>-4045.79</v>
          </cell>
          <cell r="BS281">
            <v>-5927.36</v>
          </cell>
          <cell r="BT281">
            <v>-3671.55</v>
          </cell>
          <cell r="BU281">
            <v>-4938.47</v>
          </cell>
          <cell r="BV281">
            <v>-3589.58</v>
          </cell>
          <cell r="BW281">
            <v>-4350.41</v>
          </cell>
          <cell r="BX281">
            <v>-4839.62</v>
          </cell>
          <cell r="BY281">
            <v>-5898.09</v>
          </cell>
          <cell r="BZ281">
            <v>-4473.38</v>
          </cell>
          <cell r="CA281">
            <v>-4397.03</v>
          </cell>
          <cell r="CB281">
            <v>-4001.23</v>
          </cell>
          <cell r="CC281">
            <v>-4195.29</v>
          </cell>
          <cell r="CD281">
            <v>-5017.08</v>
          </cell>
          <cell r="CE281">
            <v>-4685.84</v>
          </cell>
          <cell r="CF281">
            <v>-5692.38</v>
          </cell>
          <cell r="CG281">
            <v>-4276.1000000000004</v>
          </cell>
          <cell r="CH281">
            <v>-11217.75</v>
          </cell>
          <cell r="CI281">
            <v>-6359.23</v>
          </cell>
          <cell r="CJ281">
            <v>-6451.39</v>
          </cell>
          <cell r="CK281">
            <v>-8000.49</v>
          </cell>
          <cell r="CL281">
            <v>-4909.33</v>
          </cell>
          <cell r="CM281">
            <v>-9028.7099999999991</v>
          </cell>
          <cell r="CN281">
            <v>-9500.5300000000007</v>
          </cell>
          <cell r="CO281">
            <v>-8620.61</v>
          </cell>
          <cell r="CP281">
            <v>-20779.169999999998</v>
          </cell>
          <cell r="CQ281">
            <v>-14865.6</v>
          </cell>
          <cell r="CR281">
            <v>-12642.8</v>
          </cell>
          <cell r="CS281">
            <v>-14440.88</v>
          </cell>
          <cell r="CT281">
            <v>-46456.03</v>
          </cell>
          <cell r="CU281">
            <v>-20917.5</v>
          </cell>
          <cell r="CV281">
            <v>-11773.84</v>
          </cell>
          <cell r="CW281">
            <v>-11590.87</v>
          </cell>
          <cell r="CX281">
            <v>-10563.38</v>
          </cell>
          <cell r="CY281">
            <v>-22788.2</v>
          </cell>
          <cell r="CZ281">
            <v>-4891.95</v>
          </cell>
          <cell r="DA281">
            <v>-32301.68</v>
          </cell>
          <cell r="DB281">
            <v>-4542.97</v>
          </cell>
          <cell r="DC281">
            <v>-4404.3999999999996</v>
          </cell>
          <cell r="DD281">
            <v>-4690.8900000000003</v>
          </cell>
          <cell r="DE281">
            <v>-460584.16</v>
          </cell>
          <cell r="DF281">
            <v>-11610.64</v>
          </cell>
          <cell r="DG281">
            <v>-11632.73</v>
          </cell>
        </row>
        <row r="282">
          <cell r="A282">
            <v>6780020</v>
          </cell>
          <cell r="B282">
            <v>6780020</v>
          </cell>
          <cell r="C282" t="str">
            <v>Misc Bill Ex MtlSale</v>
          </cell>
          <cell r="D282">
            <v>-19918.57</v>
          </cell>
          <cell r="E282">
            <v>-23155.26</v>
          </cell>
          <cell r="F282">
            <v>-18041.55</v>
          </cell>
          <cell r="G282">
            <v>-1248.47</v>
          </cell>
          <cell r="H282">
            <v>-25829</v>
          </cell>
          <cell r="I282">
            <v>-17092.75</v>
          </cell>
          <cell r="J282">
            <v>-30366.15</v>
          </cell>
          <cell r="K282">
            <v>0</v>
          </cell>
          <cell r="L282">
            <v>-13574.4</v>
          </cell>
          <cell r="M282">
            <v>-14021.25</v>
          </cell>
          <cell r="N282">
            <v>-14421.05</v>
          </cell>
          <cell r="O282">
            <v>-11276.9</v>
          </cell>
          <cell r="P282">
            <v>-96</v>
          </cell>
          <cell r="Q282">
            <v>0</v>
          </cell>
          <cell r="R282">
            <v>-62233.55</v>
          </cell>
          <cell r="S282">
            <v>-1472</v>
          </cell>
          <cell r="T282">
            <v>-31357.65</v>
          </cell>
          <cell r="U282">
            <v>-10410.6</v>
          </cell>
          <cell r="V282">
            <v>-4293.6000000000004</v>
          </cell>
          <cell r="W282">
            <v>-10551.7</v>
          </cell>
          <cell r="X282">
            <v>-3344.1</v>
          </cell>
          <cell r="Y282">
            <v>-34312.75</v>
          </cell>
          <cell r="Z282">
            <v>-29056.75</v>
          </cell>
          <cell r="AA282">
            <v>-12343.95</v>
          </cell>
          <cell r="AB282">
            <v>-8394.65</v>
          </cell>
          <cell r="AC282">
            <v>-2894.4</v>
          </cell>
          <cell r="AD282">
            <v>-64921.15</v>
          </cell>
          <cell r="AE282">
            <v>-4216.8999999999996</v>
          </cell>
          <cell r="AF282">
            <v>-77657.95</v>
          </cell>
          <cell r="AG282">
            <v>-10459.15</v>
          </cell>
          <cell r="AH282">
            <v>-3006</v>
          </cell>
          <cell r="AI282">
            <v>-13665.1</v>
          </cell>
          <cell r="AJ282">
            <v>-39087.199999999997</v>
          </cell>
          <cell r="AK282">
            <v>-26559.65</v>
          </cell>
          <cell r="AL282">
            <v>-8182.63</v>
          </cell>
          <cell r="AM282">
            <v>-12216.13</v>
          </cell>
          <cell r="AN282">
            <v>-5086</v>
          </cell>
          <cell r="AO282">
            <v>-28667.15</v>
          </cell>
          <cell r="AP282">
            <v>-6065</v>
          </cell>
          <cell r="AQ282">
            <v>-43566.5</v>
          </cell>
          <cell r="AR282">
            <v>-29775</v>
          </cell>
          <cell r="AS282">
            <v>-8865</v>
          </cell>
          <cell r="AT282">
            <v>-20945</v>
          </cell>
          <cell r="AU282">
            <v>-15809.55</v>
          </cell>
          <cell r="AV282">
            <v>0</v>
          </cell>
          <cell r="AW282">
            <v>-1363.8</v>
          </cell>
          <cell r="AX282">
            <v>-34450</v>
          </cell>
          <cell r="AY282">
            <v>-1470.25</v>
          </cell>
          <cell r="AZ282">
            <v>-326</v>
          </cell>
          <cell r="BA282">
            <v>0</v>
          </cell>
          <cell r="BB282">
            <v>-1268.45</v>
          </cell>
          <cell r="BC282">
            <v>-33161.5</v>
          </cell>
          <cell r="BD282">
            <v>-46608.04</v>
          </cell>
          <cell r="BE282">
            <v>0</v>
          </cell>
          <cell r="BF282">
            <v>-1731.9</v>
          </cell>
          <cell r="BG282">
            <v>-45791.75</v>
          </cell>
          <cell r="BH282">
            <v>-74534</v>
          </cell>
          <cell r="BI282">
            <v>-287.01</v>
          </cell>
          <cell r="BJ282">
            <v>0</v>
          </cell>
          <cell r="BK282">
            <v>213.89</v>
          </cell>
          <cell r="BL282">
            <v>-1042.5999999999999</v>
          </cell>
          <cell r="BM282">
            <v>-1351.1</v>
          </cell>
          <cell r="BN282">
            <v>0</v>
          </cell>
          <cell r="BO282">
            <v>-53581.1</v>
          </cell>
          <cell r="BP282">
            <v>0</v>
          </cell>
          <cell r="BQ282">
            <v>-108136</v>
          </cell>
          <cell r="BR282">
            <v>-39928.949999999997</v>
          </cell>
          <cell r="BS282">
            <v>-12960</v>
          </cell>
          <cell r="BT282">
            <v>-661.6</v>
          </cell>
          <cell r="BU282">
            <v>-17596.87</v>
          </cell>
          <cell r="BV282">
            <v>-3840</v>
          </cell>
          <cell r="BW282">
            <v>-47940</v>
          </cell>
          <cell r="BX282">
            <v>-29753.34</v>
          </cell>
          <cell r="BY282">
            <v>-5918.3</v>
          </cell>
          <cell r="BZ282">
            <v>-79035</v>
          </cell>
          <cell r="CA282">
            <v>-1264.55</v>
          </cell>
          <cell r="CB282">
            <v>735.3</v>
          </cell>
          <cell r="CC282">
            <v>-573.04999999999995</v>
          </cell>
          <cell r="CD282">
            <v>-47047.8</v>
          </cell>
          <cell r="CE282">
            <v>-226.56</v>
          </cell>
          <cell r="CF282">
            <v>-37229.550000000003</v>
          </cell>
          <cell r="CG282">
            <v>-10522</v>
          </cell>
          <cell r="CH282">
            <v>-42081.5</v>
          </cell>
          <cell r="CI282">
            <v>0</v>
          </cell>
          <cell r="CJ282">
            <v>0</v>
          </cell>
          <cell r="CK282">
            <v>0</v>
          </cell>
          <cell r="CL282">
            <v>-32490</v>
          </cell>
          <cell r="CM282">
            <v>0</v>
          </cell>
          <cell r="CN282">
            <v>-67925</v>
          </cell>
          <cell r="CO282">
            <v>-12587</v>
          </cell>
          <cell r="CP282">
            <v>0</v>
          </cell>
          <cell r="CQ282">
            <v>0</v>
          </cell>
          <cell r="CR282">
            <v>-137560</v>
          </cell>
          <cell r="CS282">
            <v>-25256.5</v>
          </cell>
          <cell r="CT282">
            <v>-21506.95</v>
          </cell>
          <cell r="CU282">
            <v>-112385</v>
          </cell>
          <cell r="CV282">
            <v>0</v>
          </cell>
          <cell r="CW282">
            <v>0</v>
          </cell>
          <cell r="CX282">
            <v>0</v>
          </cell>
          <cell r="CY282">
            <v>0</v>
          </cell>
          <cell r="CZ282">
            <v>-1710</v>
          </cell>
          <cell r="DA282">
            <v>0</v>
          </cell>
          <cell r="DB282">
            <v>-33089.19</v>
          </cell>
          <cell r="DC282">
            <v>0</v>
          </cell>
          <cell r="DD282">
            <v>0</v>
          </cell>
          <cell r="DE282">
            <v>0</v>
          </cell>
          <cell r="DF282">
            <v>-136962</v>
          </cell>
          <cell r="DG282">
            <v>0</v>
          </cell>
        </row>
        <row r="283">
          <cell r="A283">
            <v>6780040</v>
          </cell>
          <cell r="B283">
            <v>6780040</v>
          </cell>
          <cell r="C283" t="str">
            <v>Dmgd Faclty Billing</v>
          </cell>
          <cell r="D283">
            <v>185206.3</v>
          </cell>
          <cell r="E283">
            <v>20677.919999999998</v>
          </cell>
          <cell r="F283">
            <v>-62019.05</v>
          </cell>
          <cell r="G283">
            <v>-35352.910000000003</v>
          </cell>
          <cell r="H283">
            <v>51380.92</v>
          </cell>
          <cell r="I283">
            <v>-26610.67</v>
          </cell>
          <cell r="J283">
            <v>-76924.94</v>
          </cell>
          <cell r="K283">
            <v>-42186.38</v>
          </cell>
          <cell r="L283">
            <v>-10100.209999999999</v>
          </cell>
          <cell r="M283">
            <v>-29464.85</v>
          </cell>
          <cell r="N283">
            <v>-25741.58</v>
          </cell>
          <cell r="O283">
            <v>-43746.91</v>
          </cell>
          <cell r="P283">
            <v>24565.05</v>
          </cell>
          <cell r="Q283">
            <v>-51131.45</v>
          </cell>
          <cell r="R283">
            <v>-96891.61</v>
          </cell>
          <cell r="S283">
            <v>-30756.76</v>
          </cell>
          <cell r="T283">
            <v>-44437.38</v>
          </cell>
          <cell r="U283">
            <v>-32046.6</v>
          </cell>
          <cell r="V283">
            <v>-17744.650000000001</v>
          </cell>
          <cell r="W283">
            <v>-25125.02</v>
          </cell>
          <cell r="X283">
            <v>23952.19</v>
          </cell>
          <cell r="Y283">
            <v>-37612.25</v>
          </cell>
          <cell r="Z283">
            <v>-37180.910000000003</v>
          </cell>
          <cell r="AA283">
            <v>-127421.75999999999</v>
          </cell>
          <cell r="AB283">
            <v>-38496.86</v>
          </cell>
          <cell r="AC283">
            <v>-12543.69</v>
          </cell>
          <cell r="AD283">
            <v>-43962.19</v>
          </cell>
          <cell r="AE283">
            <v>-39427.370000000003</v>
          </cell>
          <cell r="AF283">
            <v>-7778.84</v>
          </cell>
          <cell r="AG283">
            <v>-125545.84</v>
          </cell>
          <cell r="AH283">
            <v>3596.23</v>
          </cell>
          <cell r="AI283">
            <v>22783.24</v>
          </cell>
          <cell r="AJ283">
            <v>-106393.7</v>
          </cell>
          <cell r="AK283">
            <v>-133099.81</v>
          </cell>
          <cell r="AL283">
            <v>-52250.57</v>
          </cell>
          <cell r="AM283">
            <v>-67705.2</v>
          </cell>
          <cell r="AN283">
            <v>-23239.16</v>
          </cell>
          <cell r="AO283">
            <v>-35364.11</v>
          </cell>
          <cell r="AP283">
            <v>-230422.62</v>
          </cell>
          <cell r="AQ283">
            <v>145888.79999999999</v>
          </cell>
          <cell r="AR283">
            <v>-68297.19</v>
          </cell>
          <cell r="AS283">
            <v>-25271.040000000001</v>
          </cell>
          <cell r="AT283">
            <v>10790.61</v>
          </cell>
          <cell r="AU283">
            <v>80139.47</v>
          </cell>
          <cell r="AV283">
            <v>-36115.839999999997</v>
          </cell>
          <cell r="AW283">
            <v>-127152.89</v>
          </cell>
          <cell r="AX283">
            <v>19301.5</v>
          </cell>
          <cell r="AY283">
            <v>-241846.27</v>
          </cell>
          <cell r="AZ283">
            <v>24834.94</v>
          </cell>
          <cell r="BA283">
            <v>-50747.74</v>
          </cell>
          <cell r="BB283">
            <v>-60514.78</v>
          </cell>
          <cell r="BC283">
            <v>-115303.62</v>
          </cell>
          <cell r="BD283">
            <v>-40473.94</v>
          </cell>
          <cell r="BE283">
            <v>-51231.16</v>
          </cell>
          <cell r="BF283">
            <v>-122511.52</v>
          </cell>
          <cell r="BG283">
            <v>-139039.94</v>
          </cell>
          <cell r="BH283">
            <v>-69582.429999999993</v>
          </cell>
          <cell r="BI283">
            <v>-4463.28</v>
          </cell>
          <cell r="BJ283">
            <v>-3857.55</v>
          </cell>
          <cell r="BK283">
            <v>-175220.58</v>
          </cell>
          <cell r="BL283">
            <v>-22386.79</v>
          </cell>
          <cell r="BM283">
            <v>-64029.42</v>
          </cell>
          <cell r="BN283">
            <v>-97432.2</v>
          </cell>
          <cell r="BO283">
            <v>-89058.14</v>
          </cell>
          <cell r="BP283">
            <v>-42857.11</v>
          </cell>
          <cell r="BQ283">
            <v>-45772.639999999999</v>
          </cell>
          <cell r="BR283">
            <v>-114816.58</v>
          </cell>
          <cell r="BS283">
            <v>-13020.95</v>
          </cell>
          <cell r="BT283">
            <v>-130794.84</v>
          </cell>
          <cell r="BU283">
            <v>-19817.52</v>
          </cell>
          <cell r="BV283">
            <v>-75682.19</v>
          </cell>
          <cell r="BW283">
            <v>-71333.039999999994</v>
          </cell>
          <cell r="BX283">
            <v>-20416.759999999998</v>
          </cell>
          <cell r="BY283">
            <v>-53993.99</v>
          </cell>
          <cell r="BZ283">
            <v>-46214.5</v>
          </cell>
          <cell r="CA283">
            <v>-141281.96</v>
          </cell>
          <cell r="CB283">
            <v>-205545.59</v>
          </cell>
          <cell r="CC283">
            <v>-180735.1</v>
          </cell>
          <cell r="CD283">
            <v>-83813.75</v>
          </cell>
          <cell r="CE283">
            <v>-9950.61</v>
          </cell>
          <cell r="CF283">
            <v>-83191.070000000007</v>
          </cell>
          <cell r="CG283">
            <v>19442.89</v>
          </cell>
          <cell r="CH283">
            <v>-116876.74</v>
          </cell>
          <cell r="CI283">
            <v>14461.41</v>
          </cell>
          <cell r="CJ283">
            <v>-18379.419999999998</v>
          </cell>
          <cell r="CK283">
            <v>-110492.69</v>
          </cell>
          <cell r="CL283">
            <v>-15737.33</v>
          </cell>
          <cell r="CM283">
            <v>-132804.34</v>
          </cell>
          <cell r="CN283">
            <v>-21256.46</v>
          </cell>
          <cell r="CO283">
            <v>-130532.43</v>
          </cell>
          <cell r="CP283">
            <v>-49612.9</v>
          </cell>
          <cell r="CQ283">
            <v>-272228.08</v>
          </cell>
          <cell r="CR283">
            <v>-44816.65</v>
          </cell>
          <cell r="CS283">
            <v>-24077.27</v>
          </cell>
          <cell r="CT283">
            <v>-88668.09</v>
          </cell>
          <cell r="CU283">
            <v>-7388.53</v>
          </cell>
          <cell r="CV283">
            <v>-82048.039999999994</v>
          </cell>
          <cell r="CW283">
            <v>-111546.69</v>
          </cell>
          <cell r="CX283">
            <v>-59414.31</v>
          </cell>
          <cell r="CY283">
            <v>-101246.36</v>
          </cell>
          <cell r="CZ283">
            <v>-62090.69</v>
          </cell>
          <cell r="DA283">
            <v>2447.17</v>
          </cell>
          <cell r="DB283">
            <v>-230045.9</v>
          </cell>
          <cell r="DC283">
            <v>-246742.14</v>
          </cell>
          <cell r="DD283">
            <v>-49813.599999999999</v>
          </cell>
          <cell r="DE283">
            <v>-87744.35</v>
          </cell>
          <cell r="DF283">
            <v>31297.51</v>
          </cell>
          <cell r="DG283">
            <v>-531274.30000000005</v>
          </cell>
        </row>
        <row r="284">
          <cell r="A284">
            <v>6780800</v>
          </cell>
          <cell r="B284">
            <v>6780800</v>
          </cell>
          <cell r="C284" t="str">
            <v>Misc Bill Ex General</v>
          </cell>
          <cell r="D284">
            <v>0</v>
          </cell>
          <cell r="E284">
            <v>0</v>
          </cell>
          <cell r="F284">
            <v>0</v>
          </cell>
          <cell r="G284">
            <v>-26.62</v>
          </cell>
          <cell r="H284">
            <v>0</v>
          </cell>
          <cell r="I284">
            <v>-50690.51</v>
          </cell>
          <cell r="J284">
            <v>0</v>
          </cell>
          <cell r="K284">
            <v>-59737.5</v>
          </cell>
          <cell r="L284">
            <v>-17083.330000000002</v>
          </cell>
          <cell r="M284">
            <v>-53.17</v>
          </cell>
          <cell r="N284">
            <v>0</v>
          </cell>
          <cell r="O284">
            <v>-4559.6000000000004</v>
          </cell>
          <cell r="P284">
            <v>0</v>
          </cell>
          <cell r="Q284">
            <v>0</v>
          </cell>
          <cell r="R284">
            <v>-3020.5</v>
          </cell>
          <cell r="S284">
            <v>-31109.47</v>
          </cell>
          <cell r="T284">
            <v>-588.36</v>
          </cell>
          <cell r="U284">
            <v>-588.36</v>
          </cell>
          <cell r="V284">
            <v>-60502.8</v>
          </cell>
          <cell r="W284">
            <v>-2995.87</v>
          </cell>
          <cell r="X284">
            <v>-2349.62</v>
          </cell>
          <cell r="Y284">
            <v>-3037.83</v>
          </cell>
          <cell r="Z284">
            <v>-943.51</v>
          </cell>
          <cell r="AA284">
            <v>0</v>
          </cell>
          <cell r="AB284">
            <v>0</v>
          </cell>
          <cell r="AC284">
            <v>-46897.38</v>
          </cell>
          <cell r="AD284">
            <v>-615.24</v>
          </cell>
          <cell r="AE284">
            <v>-33506.86</v>
          </cell>
          <cell r="AF284">
            <v>-566363.25</v>
          </cell>
          <cell r="AG284">
            <v>-2923.93</v>
          </cell>
          <cell r="AH284">
            <v>-746.21</v>
          </cell>
          <cell r="AI284">
            <v>-24611.72</v>
          </cell>
          <cell r="AJ284">
            <v>24865.68</v>
          </cell>
          <cell r="AK284">
            <v>-687.49</v>
          </cell>
          <cell r="AL284">
            <v>-98.36</v>
          </cell>
          <cell r="AM284">
            <v>-27663.69</v>
          </cell>
          <cell r="AN284">
            <v>-1343.27</v>
          </cell>
          <cell r="AO284">
            <v>-42.1</v>
          </cell>
          <cell r="AP284">
            <v>-321.29000000000002</v>
          </cell>
          <cell r="AQ284">
            <v>-283.56</v>
          </cell>
          <cell r="AR284">
            <v>-358201.59</v>
          </cell>
          <cell r="AS284">
            <v>67654.94</v>
          </cell>
          <cell r="AT284">
            <v>-59471.29</v>
          </cell>
          <cell r="AU284">
            <v>-404.89</v>
          </cell>
          <cell r="AV284">
            <v>-228.4</v>
          </cell>
          <cell r="AW284">
            <v>-911.99</v>
          </cell>
          <cell r="AX284">
            <v>0</v>
          </cell>
          <cell r="AY284">
            <v>-224.01</v>
          </cell>
          <cell r="AZ284">
            <v>-149.69</v>
          </cell>
          <cell r="BA284">
            <v>59014.99</v>
          </cell>
          <cell r="BB284">
            <v>-7640.01</v>
          </cell>
          <cell r="BC284">
            <v>-5335.77</v>
          </cell>
          <cell r="BD284">
            <v>-387613.36</v>
          </cell>
          <cell r="BE284">
            <v>236979.51</v>
          </cell>
          <cell r="BF284">
            <v>-4579</v>
          </cell>
          <cell r="BG284">
            <v>-22746.98</v>
          </cell>
          <cell r="BH284">
            <v>97980.66</v>
          </cell>
          <cell r="BI284">
            <v>-624.96</v>
          </cell>
          <cell r="BJ284">
            <v>-1755.49</v>
          </cell>
          <cell r="BK284">
            <v>-2089.9299999999998</v>
          </cell>
          <cell r="BL284">
            <v>-3957.31</v>
          </cell>
          <cell r="BM284">
            <v>-815.89</v>
          </cell>
          <cell r="BN284">
            <v>-1218.1099999999999</v>
          </cell>
          <cell r="BO284">
            <v>-9572.4699999999993</v>
          </cell>
          <cell r="BP284">
            <v>-31408.63</v>
          </cell>
          <cell r="BQ284">
            <v>-1033.0899999999999</v>
          </cell>
          <cell r="BR284">
            <v>-35972.97</v>
          </cell>
          <cell r="BS284">
            <v>-1045.04</v>
          </cell>
          <cell r="BT284">
            <v>-988.77</v>
          </cell>
          <cell r="BU284">
            <v>-681.46</v>
          </cell>
          <cell r="BV284">
            <v>-2280.9499999999998</v>
          </cell>
          <cell r="BW284">
            <v>0</v>
          </cell>
          <cell r="BX284">
            <v>-62.19</v>
          </cell>
          <cell r="BY284">
            <v>0</v>
          </cell>
          <cell r="BZ284">
            <v>-7931.33</v>
          </cell>
          <cell r="CA284">
            <v>-712.3</v>
          </cell>
          <cell r="CB284">
            <v>-19212.36</v>
          </cell>
          <cell r="CC284">
            <v>-73882.7</v>
          </cell>
          <cell r="CD284">
            <v>-2844.76</v>
          </cell>
          <cell r="CE284">
            <v>-19714.36</v>
          </cell>
          <cell r="CF284">
            <v>-38169.47</v>
          </cell>
          <cell r="CG284">
            <v>-10657.67</v>
          </cell>
          <cell r="CH284">
            <v>-746732.71</v>
          </cell>
          <cell r="CI284">
            <v>15821.74</v>
          </cell>
          <cell r="CJ284">
            <v>-1504.65</v>
          </cell>
          <cell r="CK284">
            <v>-1260.1099999999999</v>
          </cell>
          <cell r="CL284">
            <v>-573.03</v>
          </cell>
          <cell r="CM284">
            <v>-57097.83</v>
          </cell>
          <cell r="CN284">
            <v>-343.91</v>
          </cell>
          <cell r="CO284">
            <v>-913.94</v>
          </cell>
          <cell r="CP284">
            <v>-686.18</v>
          </cell>
          <cell r="CQ284">
            <v>-3438.63</v>
          </cell>
          <cell r="CR284">
            <v>-633.44000000000005</v>
          </cell>
          <cell r="CS284">
            <v>-777.69</v>
          </cell>
          <cell r="CT284">
            <v>45000.42</v>
          </cell>
          <cell r="CU284">
            <v>-671.61</v>
          </cell>
          <cell r="CV284">
            <v>-1505.86</v>
          </cell>
          <cell r="CW284">
            <v>-1128.27</v>
          </cell>
          <cell r="CX284">
            <v>-97.91</v>
          </cell>
          <cell r="CY284">
            <v>-674.22</v>
          </cell>
          <cell r="CZ284">
            <v>-310.98</v>
          </cell>
          <cell r="DA284">
            <v>-10882.65</v>
          </cell>
          <cell r="DB284">
            <v>-4797.8999999999996</v>
          </cell>
          <cell r="DC284">
            <v>-7086</v>
          </cell>
          <cell r="DD284">
            <v>-3924.34</v>
          </cell>
          <cell r="DE284">
            <v>-179.77</v>
          </cell>
          <cell r="DF284">
            <v>0</v>
          </cell>
          <cell r="DG284">
            <v>-34536.46</v>
          </cell>
        </row>
        <row r="285">
          <cell r="A285">
            <v>6789000</v>
          </cell>
          <cell r="B285">
            <v>6789000</v>
          </cell>
          <cell r="C285" t="str">
            <v>Misc Bill Bal Sheet</v>
          </cell>
          <cell r="D285">
            <v>19918.57</v>
          </cell>
          <cell r="E285">
            <v>23155.26</v>
          </cell>
          <cell r="F285">
            <v>18041.55</v>
          </cell>
          <cell r="G285">
            <v>1248.47</v>
          </cell>
          <cell r="H285">
            <v>25829</v>
          </cell>
          <cell r="I285">
            <v>67783.259999999995</v>
          </cell>
          <cell r="J285">
            <v>30366.15</v>
          </cell>
          <cell r="K285">
            <v>0</v>
          </cell>
          <cell r="L285">
            <v>13574.4</v>
          </cell>
          <cell r="M285">
            <v>14021.25</v>
          </cell>
          <cell r="N285">
            <v>14421.05</v>
          </cell>
          <cell r="O285">
            <v>11276.9</v>
          </cell>
          <cell r="P285">
            <v>96</v>
          </cell>
          <cell r="Q285">
            <v>0</v>
          </cell>
          <cell r="R285">
            <v>62233.55</v>
          </cell>
          <cell r="S285">
            <v>24404.89</v>
          </cell>
          <cell r="T285">
            <v>31357.65</v>
          </cell>
          <cell r="U285">
            <v>24593.01</v>
          </cell>
          <cell r="V285">
            <v>64208.04</v>
          </cell>
          <cell r="W285">
            <v>10551.7</v>
          </cell>
          <cell r="X285">
            <v>3344.1</v>
          </cell>
          <cell r="Y285">
            <v>34312.75</v>
          </cell>
          <cell r="Z285">
            <v>29056.75</v>
          </cell>
          <cell r="AA285">
            <v>40426.480000000003</v>
          </cell>
          <cell r="AB285">
            <v>8394.65</v>
          </cell>
          <cell r="AC285">
            <v>49791.78</v>
          </cell>
          <cell r="AD285">
            <v>64921.15</v>
          </cell>
          <cell r="AE285">
            <v>29511.31</v>
          </cell>
          <cell r="AF285">
            <v>77657.95</v>
          </cell>
          <cell r="AG285">
            <v>10459.15</v>
          </cell>
          <cell r="AH285">
            <v>3006</v>
          </cell>
          <cell r="AI285">
            <v>37784.51</v>
          </cell>
          <cell r="AJ285">
            <v>13792.79</v>
          </cell>
          <cell r="AK285">
            <v>26559.65</v>
          </cell>
          <cell r="AL285">
            <v>4806.5</v>
          </cell>
          <cell r="AM285">
            <v>-15531.7</v>
          </cell>
          <cell r="AN285">
            <v>5086</v>
          </cell>
          <cell r="AO285">
            <v>28667.15</v>
          </cell>
          <cell r="AP285">
            <v>72382.8</v>
          </cell>
          <cell r="AQ285">
            <v>43566.5</v>
          </cell>
          <cell r="AR285">
            <v>386538.41</v>
          </cell>
          <cell r="AS285">
            <v>-63642.19</v>
          </cell>
          <cell r="AT285">
            <v>80021.759999999995</v>
          </cell>
          <cell r="AU285">
            <v>15809.55</v>
          </cell>
          <cell r="AV285">
            <v>0</v>
          </cell>
          <cell r="AW285">
            <v>1363.8</v>
          </cell>
          <cell r="AX285">
            <v>34450</v>
          </cell>
          <cell r="AY285">
            <v>1470.25</v>
          </cell>
          <cell r="AZ285">
            <v>326</v>
          </cell>
          <cell r="BA285">
            <v>-59076.76</v>
          </cell>
          <cell r="BB285">
            <v>1268.45</v>
          </cell>
          <cell r="BC285">
            <v>33161.5</v>
          </cell>
          <cell r="BD285">
            <v>433929.75</v>
          </cell>
          <cell r="BE285">
            <v>-243123.01</v>
          </cell>
          <cell r="BF285">
            <v>1731.9</v>
          </cell>
          <cell r="BG285">
            <v>67487.81</v>
          </cell>
          <cell r="BH285">
            <v>-31354.43</v>
          </cell>
          <cell r="BI285">
            <v>500.9</v>
          </cell>
          <cell r="BJ285">
            <v>0</v>
          </cell>
          <cell r="BK285">
            <v>0</v>
          </cell>
          <cell r="BL285">
            <v>1042.5999999999999</v>
          </cell>
          <cell r="BM285">
            <v>1351.1</v>
          </cell>
          <cell r="BN285">
            <v>0</v>
          </cell>
          <cell r="BO285">
            <v>53581.1</v>
          </cell>
          <cell r="BP285">
            <v>24180.68</v>
          </cell>
          <cell r="BQ285">
            <v>108136</v>
          </cell>
          <cell r="BR285">
            <v>75588.679999999993</v>
          </cell>
          <cell r="BS285">
            <v>12960</v>
          </cell>
          <cell r="BT285">
            <v>42921.01</v>
          </cell>
          <cell r="BU285">
            <v>17596.87</v>
          </cell>
          <cell r="BV285">
            <v>3840</v>
          </cell>
          <cell r="BW285">
            <v>47940</v>
          </cell>
          <cell r="BX285">
            <v>29753.34</v>
          </cell>
          <cell r="BY285">
            <v>5918.3</v>
          </cell>
          <cell r="BZ285">
            <v>79035</v>
          </cell>
          <cell r="CA285">
            <v>1264.55</v>
          </cell>
          <cell r="CB285">
            <v>-735.3</v>
          </cell>
          <cell r="CC285">
            <v>12532.23</v>
          </cell>
          <cell r="CD285">
            <v>47047.8</v>
          </cell>
          <cell r="CE285">
            <v>16273.92</v>
          </cell>
          <cell r="CF285">
            <v>73721.539999999994</v>
          </cell>
          <cell r="CG285">
            <v>10522</v>
          </cell>
          <cell r="CH285">
            <v>786710</v>
          </cell>
          <cell r="CI285">
            <v>-16273.92</v>
          </cell>
          <cell r="CJ285">
            <v>0</v>
          </cell>
          <cell r="CK285">
            <v>0</v>
          </cell>
          <cell r="CL285">
            <v>32490</v>
          </cell>
          <cell r="CM285">
            <v>33399.33</v>
          </cell>
          <cell r="CN285">
            <v>67925</v>
          </cell>
          <cell r="CO285">
            <v>12587</v>
          </cell>
          <cell r="CP285">
            <v>0</v>
          </cell>
          <cell r="CQ285">
            <v>0</v>
          </cell>
          <cell r="CR285">
            <v>144750.03</v>
          </cell>
          <cell r="CS285">
            <v>25256.5</v>
          </cell>
          <cell r="CT285">
            <v>-25221.7</v>
          </cell>
          <cell r="CU285">
            <v>112385</v>
          </cell>
          <cell r="CV285">
            <v>0</v>
          </cell>
          <cell r="CW285">
            <v>0</v>
          </cell>
          <cell r="CX285">
            <v>0</v>
          </cell>
          <cell r="CY285">
            <v>0</v>
          </cell>
          <cell r="CZ285">
            <v>1710</v>
          </cell>
          <cell r="DA285">
            <v>0</v>
          </cell>
          <cell r="DB285">
            <v>37887.089999999997</v>
          </cell>
          <cell r="DC285">
            <v>0</v>
          </cell>
          <cell r="DD285">
            <v>0</v>
          </cell>
          <cell r="DE285">
            <v>0</v>
          </cell>
          <cell r="DF285">
            <v>136962</v>
          </cell>
          <cell r="DG285">
            <v>25347.040000000001</v>
          </cell>
        </row>
        <row r="286">
          <cell r="A286">
            <v>6790010</v>
          </cell>
          <cell r="B286">
            <v>6790010</v>
          </cell>
          <cell r="C286" t="str">
            <v>Bad Debt Exp CIS</v>
          </cell>
          <cell r="D286">
            <v>97804.19</v>
          </cell>
          <cell r="E286">
            <v>82692.84</v>
          </cell>
          <cell r="F286">
            <v>70189.19</v>
          </cell>
          <cell r="G286">
            <v>59875.16</v>
          </cell>
          <cell r="H286">
            <v>53558.16</v>
          </cell>
          <cell r="I286">
            <v>58082.75</v>
          </cell>
          <cell r="J286">
            <v>54404.7</v>
          </cell>
          <cell r="K286">
            <v>51660.88</v>
          </cell>
          <cell r="L286">
            <v>70514.58</v>
          </cell>
          <cell r="M286">
            <v>59189.55</v>
          </cell>
          <cell r="N286">
            <v>65188.66</v>
          </cell>
          <cell r="O286">
            <v>85258.13</v>
          </cell>
          <cell r="P286">
            <v>93028.45</v>
          </cell>
          <cell r="Q286">
            <v>107974.73</v>
          </cell>
          <cell r="R286">
            <v>83578.3</v>
          </cell>
          <cell r="S286">
            <v>68383.14</v>
          </cell>
          <cell r="T286">
            <v>60045.99</v>
          </cell>
          <cell r="U286">
            <v>62134.94</v>
          </cell>
          <cell r="V286">
            <v>58948.7</v>
          </cell>
          <cell r="W286">
            <v>55054.61</v>
          </cell>
          <cell r="X286">
            <v>51768.56</v>
          </cell>
          <cell r="Y286">
            <v>51341.64</v>
          </cell>
          <cell r="Z286">
            <v>53788.18</v>
          </cell>
          <cell r="AA286">
            <v>59504.91</v>
          </cell>
          <cell r="AB286">
            <v>74274.12</v>
          </cell>
          <cell r="AC286">
            <v>78933.679999999993</v>
          </cell>
          <cell r="AD286">
            <v>62765.72</v>
          </cell>
          <cell r="AE286">
            <v>54382.35</v>
          </cell>
          <cell r="AF286">
            <v>46770.37</v>
          </cell>
          <cell r="AG286">
            <v>45252.35</v>
          </cell>
          <cell r="AH286">
            <v>44995.9</v>
          </cell>
          <cell r="AI286">
            <v>45495.18</v>
          </cell>
          <cell r="AJ286">
            <v>49920.85</v>
          </cell>
          <cell r="AK286">
            <v>50283.05</v>
          </cell>
          <cell r="AL286">
            <v>57802.77</v>
          </cell>
          <cell r="AM286">
            <v>-682282.52</v>
          </cell>
          <cell r="AN286">
            <v>76995.02</v>
          </cell>
          <cell r="AO286">
            <v>54207.81</v>
          </cell>
          <cell r="AP286">
            <v>145179.68</v>
          </cell>
          <cell r="AQ286">
            <v>165397.71</v>
          </cell>
          <cell r="AR286">
            <v>46453.84</v>
          </cell>
          <cell r="AS286">
            <v>68074.42</v>
          </cell>
          <cell r="AT286">
            <v>154655.26</v>
          </cell>
          <cell r="AU286">
            <v>195006.49</v>
          </cell>
          <cell r="AV286">
            <v>289967.14</v>
          </cell>
          <cell r="AW286">
            <v>240698.39</v>
          </cell>
          <cell r="AX286">
            <v>112863.83</v>
          </cell>
          <cell r="AY286">
            <v>58467.89</v>
          </cell>
          <cell r="AZ286">
            <v>168961.33</v>
          </cell>
          <cell r="BA286">
            <v>-38525.449999999997</v>
          </cell>
          <cell r="BB286">
            <v>43301.16</v>
          </cell>
          <cell r="BC286">
            <v>143130.59</v>
          </cell>
          <cell r="BD286">
            <v>143320.99</v>
          </cell>
          <cell r="BE286">
            <v>90887.9</v>
          </cell>
          <cell r="BF286">
            <v>145585.75</v>
          </cell>
          <cell r="BG286">
            <v>126038.48</v>
          </cell>
          <cell r="BH286">
            <v>107666.72</v>
          </cell>
          <cell r="BI286">
            <v>116781.94</v>
          </cell>
          <cell r="BJ286">
            <v>134630.57</v>
          </cell>
          <cell r="BK286">
            <v>247068.93</v>
          </cell>
          <cell r="BL286">
            <v>138773.31</v>
          </cell>
          <cell r="BM286">
            <v>81454.31</v>
          </cell>
          <cell r="BN286">
            <v>159889.56</v>
          </cell>
          <cell r="BO286">
            <v>233621</v>
          </cell>
          <cell r="BP286">
            <v>86929.16</v>
          </cell>
          <cell r="BQ286">
            <v>63624.33</v>
          </cell>
          <cell r="BR286">
            <v>75912.66</v>
          </cell>
          <cell r="BS286">
            <v>75049.919999999998</v>
          </cell>
          <cell r="BT286">
            <v>110212.54</v>
          </cell>
          <cell r="BU286">
            <v>69666.13</v>
          </cell>
          <cell r="BV286">
            <v>82098.64</v>
          </cell>
          <cell r="BW286">
            <v>86964.55</v>
          </cell>
          <cell r="BX286">
            <v>123636.72</v>
          </cell>
          <cell r="BY286">
            <v>7329.83</v>
          </cell>
          <cell r="BZ286">
            <v>176173.92</v>
          </cell>
          <cell r="CA286">
            <v>224333.44</v>
          </cell>
          <cell r="CB286">
            <v>232939.77</v>
          </cell>
          <cell r="CC286">
            <v>265926.84999999998</v>
          </cell>
          <cell r="CD286">
            <v>203420.81</v>
          </cell>
          <cell r="CE286">
            <v>-322058.40000000002</v>
          </cell>
          <cell r="CF286">
            <v>169282.07</v>
          </cell>
          <cell r="CG286">
            <v>893944.83</v>
          </cell>
          <cell r="CH286">
            <v>204824.7</v>
          </cell>
          <cell r="CI286">
            <v>-313308.84000000003</v>
          </cell>
          <cell r="CJ286">
            <v>282197.19</v>
          </cell>
          <cell r="CK286">
            <v>218948.86</v>
          </cell>
          <cell r="CL286">
            <v>-291477.07</v>
          </cell>
          <cell r="CM286">
            <v>211401.44</v>
          </cell>
          <cell r="CN286">
            <v>178845.64</v>
          </cell>
          <cell r="CO286">
            <v>128740.2</v>
          </cell>
          <cell r="CP286">
            <v>172822.22</v>
          </cell>
          <cell r="CQ286">
            <v>163962.43</v>
          </cell>
          <cell r="CR286">
            <v>148518.26</v>
          </cell>
          <cell r="CS286">
            <v>191030.26</v>
          </cell>
          <cell r="CT286">
            <v>45370.22</v>
          </cell>
          <cell r="CU286">
            <v>122363.13</v>
          </cell>
          <cell r="CV286">
            <v>142723.4</v>
          </cell>
          <cell r="CW286">
            <v>32303.99</v>
          </cell>
          <cell r="CX286">
            <v>104964.45</v>
          </cell>
          <cell r="CY286">
            <v>2052.12</v>
          </cell>
          <cell r="CZ286">
            <v>124809.87</v>
          </cell>
          <cell r="DA286">
            <v>168268.32</v>
          </cell>
          <cell r="DB286">
            <v>115013.96</v>
          </cell>
          <cell r="DC286">
            <v>209525.8</v>
          </cell>
          <cell r="DD286">
            <v>110156.43</v>
          </cell>
          <cell r="DE286">
            <v>108616.66</v>
          </cell>
          <cell r="DF286">
            <v>36241.58</v>
          </cell>
          <cell r="DG286">
            <v>-163884.82999999999</v>
          </cell>
        </row>
        <row r="287">
          <cell r="A287">
            <v>6790020</v>
          </cell>
          <cell r="B287">
            <v>6790020</v>
          </cell>
          <cell r="C287" t="str">
            <v>Bad Debt Exp ARM</v>
          </cell>
          <cell r="D287">
            <v>0</v>
          </cell>
          <cell r="E287">
            <v>0</v>
          </cell>
          <cell r="F287">
            <v>0</v>
          </cell>
          <cell r="G287">
            <v>5850</v>
          </cell>
          <cell r="H287">
            <v>600</v>
          </cell>
          <cell r="I287">
            <v>-4387.5</v>
          </cell>
          <cell r="J287">
            <v>-2062.5</v>
          </cell>
          <cell r="K287">
            <v>0</v>
          </cell>
          <cell r="L287">
            <v>0</v>
          </cell>
          <cell r="M287">
            <v>0</v>
          </cell>
          <cell r="N287">
            <v>0</v>
          </cell>
          <cell r="O287">
            <v>0</v>
          </cell>
          <cell r="P287">
            <v>0</v>
          </cell>
          <cell r="Q287">
            <v>0</v>
          </cell>
          <cell r="R287">
            <v>0</v>
          </cell>
          <cell r="S287">
            <v>0</v>
          </cell>
          <cell r="T287">
            <v>0</v>
          </cell>
          <cell r="U287">
            <v>0</v>
          </cell>
          <cell r="V287">
            <v>0</v>
          </cell>
          <cell r="W287">
            <v>1060.7</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50000</v>
          </cell>
          <cell r="AN287">
            <v>0</v>
          </cell>
          <cell r="AO287">
            <v>0</v>
          </cell>
          <cell r="AP287">
            <v>0</v>
          </cell>
          <cell r="AQ287">
            <v>0</v>
          </cell>
          <cell r="AR287">
            <v>0</v>
          </cell>
          <cell r="AS287">
            <v>0</v>
          </cell>
          <cell r="AT287">
            <v>0</v>
          </cell>
          <cell r="AU287">
            <v>0</v>
          </cell>
          <cell r="AV287">
            <v>0</v>
          </cell>
          <cell r="AW287"/>
          <cell r="AX287"/>
          <cell r="AY287"/>
          <cell r="AZ287"/>
          <cell r="BA287"/>
          <cell r="BB287"/>
          <cell r="BC287"/>
          <cell r="BD287"/>
          <cell r="BE287"/>
          <cell r="BF287"/>
          <cell r="BG287"/>
          <cell r="BH287"/>
          <cell r="BI287"/>
          <cell r="BJ287"/>
          <cell r="BK287"/>
          <cell r="BL287"/>
          <cell r="BM287"/>
          <cell r="BN287"/>
          <cell r="BO287"/>
          <cell r="BP287"/>
          <cell r="BQ287"/>
          <cell r="BR287"/>
          <cell r="BS287"/>
          <cell r="BT287"/>
          <cell r="BU287"/>
          <cell r="BV287"/>
          <cell r="BW287"/>
          <cell r="BX287"/>
          <cell r="BY287"/>
          <cell r="BZ287"/>
          <cell r="CA287"/>
          <cell r="CB287"/>
          <cell r="CC287"/>
          <cell r="CD287"/>
          <cell r="CE287"/>
          <cell r="CF287"/>
          <cell r="CG287"/>
          <cell r="CH287"/>
          <cell r="CI287"/>
          <cell r="CJ287"/>
          <cell r="CK287"/>
          <cell r="CL287"/>
          <cell r="CM287"/>
          <cell r="CN287"/>
          <cell r="CO287"/>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row>
        <row r="288">
          <cell r="A288">
            <v>6790030</v>
          </cell>
          <cell r="B288">
            <v>6790030</v>
          </cell>
          <cell r="C288" t="str">
            <v>Director's Expenses</v>
          </cell>
          <cell r="D288"/>
          <cell r="E288"/>
          <cell r="F288"/>
          <cell r="G288"/>
          <cell r="H288"/>
          <cell r="I288"/>
          <cell r="J288"/>
          <cell r="K288"/>
          <cell r="L288"/>
          <cell r="M288"/>
          <cell r="N288"/>
          <cell r="O288"/>
          <cell r="P288"/>
          <cell r="Q288"/>
          <cell r="R288"/>
          <cell r="S288"/>
          <cell r="T288"/>
          <cell r="U288"/>
          <cell r="V288"/>
          <cell r="W288"/>
          <cell r="X288"/>
          <cell r="Y288"/>
          <cell r="Z288"/>
          <cell r="AA288"/>
          <cell r="AB288"/>
          <cell r="AC288"/>
          <cell r="AD288"/>
          <cell r="AE288"/>
          <cell r="AF288"/>
          <cell r="AG288"/>
          <cell r="AH288"/>
          <cell r="AI288"/>
          <cell r="AJ288"/>
          <cell r="AK288"/>
          <cell r="AL288"/>
          <cell r="AM288"/>
          <cell r="AN288"/>
          <cell r="AO288"/>
          <cell r="AP288"/>
          <cell r="AQ288"/>
          <cell r="AR288"/>
          <cell r="AS288"/>
          <cell r="AT288"/>
          <cell r="AU288"/>
          <cell r="AV288"/>
          <cell r="AW288"/>
          <cell r="AX288"/>
          <cell r="AY288"/>
          <cell r="AZ288"/>
          <cell r="BA288"/>
          <cell r="BB288"/>
          <cell r="BC288"/>
          <cell r="BD288"/>
          <cell r="BE288"/>
          <cell r="BF288"/>
          <cell r="BG288"/>
          <cell r="BH288"/>
          <cell r="BI288"/>
          <cell r="BJ288"/>
          <cell r="BK288"/>
          <cell r="BL288">
            <v>0</v>
          </cell>
          <cell r="BM288">
            <v>0</v>
          </cell>
          <cell r="BN288">
            <v>0</v>
          </cell>
          <cell r="BO288">
            <v>0</v>
          </cell>
          <cell r="BP288">
            <v>0</v>
          </cell>
          <cell r="BQ288">
            <v>0</v>
          </cell>
          <cell r="BR288">
            <v>0</v>
          </cell>
          <cell r="BS288">
            <v>38.86</v>
          </cell>
          <cell r="BT288">
            <v>15.73</v>
          </cell>
          <cell r="BU288">
            <v>0</v>
          </cell>
          <cell r="BV288">
            <v>0</v>
          </cell>
          <cell r="BW288">
            <v>0</v>
          </cell>
          <cell r="BX288">
            <v>0</v>
          </cell>
          <cell r="BY288">
            <v>0</v>
          </cell>
          <cell r="BZ288">
            <v>0</v>
          </cell>
          <cell r="CA288">
            <v>0</v>
          </cell>
          <cell r="CB288">
            <v>0</v>
          </cell>
          <cell r="CC288">
            <v>57347.55</v>
          </cell>
          <cell r="CD288">
            <v>0</v>
          </cell>
          <cell r="CE288">
            <v>0</v>
          </cell>
          <cell r="CF288">
            <v>0</v>
          </cell>
          <cell r="CG288">
            <v>20645.12</v>
          </cell>
          <cell r="CH288">
            <v>0</v>
          </cell>
          <cell r="CI288">
            <v>28502.76</v>
          </cell>
          <cell r="CJ288">
            <v>274.06</v>
          </cell>
          <cell r="CK288">
            <v>0</v>
          </cell>
          <cell r="CL288">
            <v>0</v>
          </cell>
          <cell r="CM288">
            <v>28664.74</v>
          </cell>
          <cell r="CN288">
            <v>9587.81</v>
          </cell>
          <cell r="CO288">
            <v>28531.64</v>
          </cell>
          <cell r="CP288">
            <v>0</v>
          </cell>
          <cell r="CQ288">
            <v>0</v>
          </cell>
          <cell r="CR288">
            <v>28535.07</v>
          </cell>
          <cell r="CS288">
            <v>0</v>
          </cell>
          <cell r="CT288">
            <v>0</v>
          </cell>
          <cell r="CU288">
            <v>28535.07</v>
          </cell>
          <cell r="CV288">
            <v>0</v>
          </cell>
          <cell r="CW288">
            <v>0</v>
          </cell>
          <cell r="CX288">
            <v>32436</v>
          </cell>
          <cell r="CY288">
            <v>0</v>
          </cell>
          <cell r="CZ288">
            <v>0</v>
          </cell>
          <cell r="DA288">
            <v>0</v>
          </cell>
          <cell r="DB288">
            <v>32436</v>
          </cell>
          <cell r="DC288">
            <v>0</v>
          </cell>
          <cell r="DD288">
            <v>32436</v>
          </cell>
          <cell r="DE288">
            <v>0</v>
          </cell>
          <cell r="DF288">
            <v>0</v>
          </cell>
          <cell r="DG288">
            <v>31916.83</v>
          </cell>
        </row>
        <row r="289">
          <cell r="A289">
            <v>6790040</v>
          </cell>
          <cell r="B289">
            <v>6790040</v>
          </cell>
          <cell r="C289" t="str">
            <v>Director RestrStk Ex</v>
          </cell>
          <cell r="D289">
            <v>16.440000000000001</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-1780.93</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cell r="AL289"/>
          <cell r="AM289"/>
          <cell r="AN289"/>
          <cell r="AO289"/>
          <cell r="AP289"/>
          <cell r="AQ289"/>
          <cell r="AR289"/>
          <cell r="AS289"/>
          <cell r="AT289"/>
          <cell r="AU289"/>
          <cell r="AV289"/>
          <cell r="AW289"/>
          <cell r="AX289"/>
          <cell r="AY289"/>
          <cell r="AZ289"/>
          <cell r="BA289"/>
          <cell r="BB289"/>
          <cell r="BC289"/>
          <cell r="BD289"/>
          <cell r="BE289"/>
          <cell r="BF289"/>
          <cell r="BG289"/>
          <cell r="BH289"/>
          <cell r="BI289"/>
          <cell r="BJ289"/>
          <cell r="BK289"/>
          <cell r="BL289"/>
          <cell r="BM289"/>
          <cell r="BN289"/>
          <cell r="BO289"/>
          <cell r="BP289"/>
          <cell r="BQ289"/>
          <cell r="BR289"/>
          <cell r="BS289"/>
          <cell r="BT289"/>
          <cell r="BU289"/>
          <cell r="BV289"/>
          <cell r="BW289"/>
          <cell r="BX289"/>
          <cell r="BY289"/>
          <cell r="BZ289"/>
          <cell r="CA289"/>
          <cell r="CB289"/>
          <cell r="CC289"/>
          <cell r="CD289"/>
          <cell r="CE289"/>
          <cell r="CF289"/>
          <cell r="CG289"/>
          <cell r="CH289"/>
          <cell r="CI289"/>
          <cell r="CJ289"/>
          <cell r="CK289"/>
          <cell r="CL289"/>
          <cell r="CM289"/>
          <cell r="CN289"/>
          <cell r="CO289"/>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row>
        <row r="290">
          <cell r="A290">
            <v>6790055</v>
          </cell>
          <cell r="B290">
            <v>6790055</v>
          </cell>
          <cell r="C290" t="str">
            <v>Economic Development</v>
          </cell>
          <cell r="D290">
            <v>20000</v>
          </cell>
          <cell r="E290">
            <v>40850</v>
          </cell>
          <cell r="F290">
            <v>63684</v>
          </cell>
          <cell r="G290">
            <v>35925</v>
          </cell>
          <cell r="H290">
            <v>51032</v>
          </cell>
          <cell r="I290">
            <v>1675</v>
          </cell>
          <cell r="J290">
            <v>1710</v>
          </cell>
          <cell r="K290">
            <v>11600</v>
          </cell>
          <cell r="L290">
            <v>23320</v>
          </cell>
          <cell r="M290">
            <v>1079.8800000000001</v>
          </cell>
          <cell r="N290">
            <v>995.12</v>
          </cell>
          <cell r="O290">
            <v>3875</v>
          </cell>
          <cell r="P290">
            <v>25000</v>
          </cell>
          <cell r="Q290">
            <v>74625</v>
          </cell>
          <cell r="R290">
            <v>2001.88</v>
          </cell>
          <cell r="S290">
            <v>74620</v>
          </cell>
          <cell r="T290">
            <v>14185</v>
          </cell>
          <cell r="U290">
            <v>7475</v>
          </cell>
          <cell r="V290">
            <v>16175</v>
          </cell>
          <cell r="W290">
            <v>12276.88</v>
          </cell>
          <cell r="X290">
            <v>15000</v>
          </cell>
          <cell r="Y290">
            <v>4859.88</v>
          </cell>
          <cell r="Z290">
            <v>1595.12</v>
          </cell>
          <cell r="AA290">
            <v>18045</v>
          </cell>
          <cell r="AB290">
            <v>135000</v>
          </cell>
          <cell r="AC290">
            <v>14000</v>
          </cell>
          <cell r="AD290">
            <v>57067</v>
          </cell>
          <cell r="AE290">
            <v>2910</v>
          </cell>
          <cell r="AF290">
            <v>4675</v>
          </cell>
          <cell r="AG290">
            <v>9135</v>
          </cell>
          <cell r="AH290">
            <v>4850</v>
          </cell>
          <cell r="AI290">
            <v>5612.59</v>
          </cell>
          <cell r="AJ290">
            <v>8372.59</v>
          </cell>
          <cell r="AK290">
            <v>21940.080000000002</v>
          </cell>
          <cell r="AL290">
            <v>26575.119999999999</v>
          </cell>
          <cell r="AM290">
            <v>150831</v>
          </cell>
          <cell r="AN290">
            <v>20436.32</v>
          </cell>
          <cell r="AO290">
            <v>5436.5</v>
          </cell>
          <cell r="AP290">
            <v>12500</v>
          </cell>
          <cell r="AQ290">
            <v>750</v>
          </cell>
          <cell r="AR290">
            <v>3722.11</v>
          </cell>
          <cell r="AS290">
            <v>256.89999999999998</v>
          </cell>
          <cell r="AT290">
            <v>17073.8</v>
          </cell>
          <cell r="AU290">
            <v>5600</v>
          </cell>
          <cell r="AV290">
            <v>5977.33</v>
          </cell>
          <cell r="AW290">
            <v>16739.98</v>
          </cell>
          <cell r="AX290">
            <v>6000</v>
          </cell>
          <cell r="AY290">
            <v>84295</v>
          </cell>
          <cell r="AZ290">
            <v>47998</v>
          </cell>
          <cell r="BA290">
            <v>15045</v>
          </cell>
          <cell r="BB290">
            <v>39596.61</v>
          </cell>
          <cell r="BC290">
            <v>2853</v>
          </cell>
          <cell r="BD290">
            <v>25705</v>
          </cell>
          <cell r="BE290">
            <v>68320</v>
          </cell>
          <cell r="BF290">
            <v>39133.199999999997</v>
          </cell>
          <cell r="BG290">
            <v>2100</v>
          </cell>
          <cell r="BH290">
            <v>5925</v>
          </cell>
          <cell r="BI290">
            <v>18600</v>
          </cell>
          <cell r="BJ290">
            <v>12745</v>
          </cell>
          <cell r="BK290">
            <v>35405</v>
          </cell>
          <cell r="BL290">
            <v>54941</v>
          </cell>
          <cell r="BM290">
            <v>50736.07</v>
          </cell>
          <cell r="BN290">
            <v>7845</v>
          </cell>
          <cell r="BO290">
            <v>52038.16</v>
          </cell>
          <cell r="BP290">
            <v>26405</v>
          </cell>
          <cell r="BQ290">
            <v>64332.46</v>
          </cell>
          <cell r="BR290">
            <v>2014.94</v>
          </cell>
          <cell r="BS290">
            <v>-23445</v>
          </cell>
          <cell r="BT290">
            <v>5750</v>
          </cell>
          <cell r="BU290">
            <v>14545</v>
          </cell>
          <cell r="BV290">
            <v>8120</v>
          </cell>
          <cell r="BW290">
            <v>33923.32</v>
          </cell>
          <cell r="BX290">
            <v>65982.100000000006</v>
          </cell>
          <cell r="BY290">
            <v>64297.68</v>
          </cell>
          <cell r="BZ290">
            <v>1057.3</v>
          </cell>
          <cell r="CA290">
            <v>6570.68</v>
          </cell>
          <cell r="CB290">
            <v>39700</v>
          </cell>
          <cell r="CC290">
            <v>4205</v>
          </cell>
          <cell r="CD290">
            <v>16900</v>
          </cell>
          <cell r="CE290">
            <v>25000</v>
          </cell>
          <cell r="CF290">
            <v>5955</v>
          </cell>
          <cell r="CG290">
            <v>6125</v>
          </cell>
          <cell r="CH290">
            <v>14500</v>
          </cell>
          <cell r="CI290">
            <v>98044.32</v>
          </cell>
          <cell r="CJ290">
            <v>0</v>
          </cell>
          <cell r="CK290">
            <v>109190.5</v>
          </cell>
          <cell r="CL290">
            <v>43795</v>
          </cell>
          <cell r="CM290">
            <v>28675</v>
          </cell>
          <cell r="CN290">
            <v>2320.5300000000002</v>
          </cell>
          <cell r="CO290">
            <v>15057.28</v>
          </cell>
          <cell r="CP290">
            <v>2600</v>
          </cell>
          <cell r="CQ290">
            <v>24545.33</v>
          </cell>
          <cell r="CR290">
            <v>12388.44</v>
          </cell>
          <cell r="CS290">
            <v>38080.9</v>
          </cell>
          <cell r="CT290">
            <v>8239.1</v>
          </cell>
          <cell r="CU290">
            <v>87525</v>
          </cell>
          <cell r="CV290">
            <v>85195</v>
          </cell>
          <cell r="CW290">
            <v>4091.15</v>
          </cell>
          <cell r="CX290">
            <v>16190.92</v>
          </cell>
          <cell r="CY290">
            <v>10080</v>
          </cell>
          <cell r="CZ290">
            <v>58857.96</v>
          </cell>
          <cell r="DA290">
            <v>10108.959999999999</v>
          </cell>
          <cell r="DB290">
            <v>21943</v>
          </cell>
          <cell r="DC290">
            <v>34084.959999999999</v>
          </cell>
          <cell r="DD290">
            <v>13450</v>
          </cell>
          <cell r="DE290">
            <v>5275</v>
          </cell>
          <cell r="DF290">
            <v>19250</v>
          </cell>
          <cell r="DG290">
            <v>43085</v>
          </cell>
        </row>
        <row r="291">
          <cell r="A291">
            <v>6790060</v>
          </cell>
          <cell r="B291">
            <v>6790060</v>
          </cell>
          <cell r="C291" t="str">
            <v>Industry Dues</v>
          </cell>
          <cell r="D291">
            <v>59121.67</v>
          </cell>
          <cell r="E291">
            <v>87660.39</v>
          </cell>
          <cell r="F291">
            <v>191237.17</v>
          </cell>
          <cell r="G291">
            <v>41216.67</v>
          </cell>
          <cell r="H291">
            <v>52661.67</v>
          </cell>
          <cell r="I291">
            <v>41666.67</v>
          </cell>
          <cell r="J291">
            <v>297384.42</v>
          </cell>
          <cell r="K291">
            <v>41666.67</v>
          </cell>
          <cell r="L291">
            <v>41766.67</v>
          </cell>
          <cell r="M291">
            <v>42866.67</v>
          </cell>
          <cell r="N291">
            <v>148386.67000000001</v>
          </cell>
          <cell r="O291">
            <v>56666.67</v>
          </cell>
          <cell r="P291">
            <v>10000</v>
          </cell>
          <cell r="Q291">
            <v>130291.32</v>
          </cell>
          <cell r="R291">
            <v>4333</v>
          </cell>
          <cell r="S291">
            <v>60204</v>
          </cell>
          <cell r="T291">
            <v>2400</v>
          </cell>
          <cell r="U291">
            <v>7000</v>
          </cell>
          <cell r="V291">
            <v>61204</v>
          </cell>
          <cell r="W291">
            <v>27300</v>
          </cell>
          <cell r="X291">
            <v>189359</v>
          </cell>
          <cell r="Y291">
            <v>0</v>
          </cell>
          <cell r="Z291">
            <v>78204</v>
          </cell>
          <cell r="AA291">
            <v>15193</v>
          </cell>
          <cell r="AB291">
            <v>12583.33</v>
          </cell>
          <cell r="AC291">
            <v>56818.5</v>
          </cell>
          <cell r="AD291">
            <v>0</v>
          </cell>
          <cell r="AE291">
            <v>56818.5</v>
          </cell>
          <cell r="AF291">
            <v>500</v>
          </cell>
          <cell r="AG291">
            <v>216559</v>
          </cell>
          <cell r="AH291">
            <v>61818.5</v>
          </cell>
          <cell r="AI291">
            <v>11333</v>
          </cell>
          <cell r="AJ291">
            <v>600</v>
          </cell>
          <cell r="AK291">
            <v>80951.5</v>
          </cell>
          <cell r="AL291">
            <v>6050</v>
          </cell>
          <cell r="AM291">
            <v>62316.04</v>
          </cell>
          <cell r="AN291">
            <v>44166.67</v>
          </cell>
          <cell r="AO291">
            <v>72221.33</v>
          </cell>
          <cell r="AP291">
            <v>29166.66</v>
          </cell>
          <cell r="AQ291">
            <v>90668.34</v>
          </cell>
          <cell r="AR291">
            <v>48499.99</v>
          </cell>
          <cell r="AS291">
            <v>29166.66</v>
          </cell>
          <cell r="AT291">
            <v>172121.34</v>
          </cell>
          <cell r="AU291">
            <v>56366.66</v>
          </cell>
          <cell r="AV291">
            <v>29536.66</v>
          </cell>
          <cell r="AW291">
            <v>84721.34</v>
          </cell>
          <cell r="AX291">
            <v>31666.66</v>
          </cell>
          <cell r="AY291">
            <v>105435.18</v>
          </cell>
          <cell r="AZ291">
            <v>33333.33</v>
          </cell>
          <cell r="BA291">
            <v>291133.05</v>
          </cell>
          <cell r="BB291">
            <v>36833.33</v>
          </cell>
          <cell r="BC291">
            <v>58333.33</v>
          </cell>
          <cell r="BD291">
            <v>84274.05</v>
          </cell>
          <cell r="BE291">
            <v>62533.33</v>
          </cell>
          <cell r="BF291">
            <v>84494.06</v>
          </cell>
          <cell r="BG291">
            <v>39083.33</v>
          </cell>
          <cell r="BH291">
            <v>33333.33</v>
          </cell>
          <cell r="BI291">
            <v>84274.05</v>
          </cell>
          <cell r="BJ291">
            <v>33333.33</v>
          </cell>
          <cell r="BK291">
            <v>37083.33</v>
          </cell>
          <cell r="BL291">
            <v>44166.67</v>
          </cell>
          <cell r="BM291">
            <v>120950.81</v>
          </cell>
          <cell r="BN291">
            <v>261025.67</v>
          </cell>
          <cell r="BO291">
            <v>124170.81</v>
          </cell>
          <cell r="BP291">
            <v>41685.629999999997</v>
          </cell>
          <cell r="BQ291">
            <v>41666.67</v>
          </cell>
          <cell r="BR291">
            <v>117570.81</v>
          </cell>
          <cell r="BS291">
            <v>52416.67</v>
          </cell>
          <cell r="BT291">
            <v>79166.67</v>
          </cell>
          <cell r="BU291">
            <v>101670.81</v>
          </cell>
          <cell r="BV291">
            <v>41666.67</v>
          </cell>
          <cell r="BW291">
            <v>41666.67</v>
          </cell>
          <cell r="BX291">
            <v>82016.67</v>
          </cell>
          <cell r="BY291">
            <v>274150.67</v>
          </cell>
          <cell r="BZ291">
            <v>63886.67</v>
          </cell>
          <cell r="CA291">
            <v>100231.67</v>
          </cell>
          <cell r="CB291">
            <v>41666.67</v>
          </cell>
          <cell r="CC291">
            <v>41666.67</v>
          </cell>
          <cell r="CD291">
            <v>100231.67</v>
          </cell>
          <cell r="CE291">
            <v>25000</v>
          </cell>
          <cell r="CF291">
            <v>0</v>
          </cell>
          <cell r="CG291">
            <v>66565</v>
          </cell>
          <cell r="CH291">
            <v>0</v>
          </cell>
          <cell r="CI291">
            <v>200000</v>
          </cell>
          <cell r="CJ291">
            <v>177669</v>
          </cell>
          <cell r="CK291">
            <v>95445.75</v>
          </cell>
          <cell r="CL291">
            <v>21780</v>
          </cell>
          <cell r="CM291">
            <v>56345.75</v>
          </cell>
          <cell r="CN291">
            <v>0</v>
          </cell>
          <cell r="CO291">
            <v>62711.13</v>
          </cell>
          <cell r="CP291">
            <v>86345.75</v>
          </cell>
          <cell r="CQ291">
            <v>0</v>
          </cell>
          <cell r="CR291">
            <v>0</v>
          </cell>
          <cell r="CS291">
            <v>56345.75</v>
          </cell>
          <cell r="CT291">
            <v>4993.8599999999997</v>
          </cell>
          <cell r="CU291">
            <v>39530</v>
          </cell>
          <cell r="CV291">
            <v>403578</v>
          </cell>
          <cell r="CW291">
            <v>59720</v>
          </cell>
          <cell r="CX291">
            <v>0</v>
          </cell>
          <cell r="CY291">
            <v>294720</v>
          </cell>
          <cell r="CZ291">
            <v>30000</v>
          </cell>
          <cell r="DA291">
            <v>8000</v>
          </cell>
          <cell r="DB291">
            <v>73720</v>
          </cell>
          <cell r="DC291">
            <v>0</v>
          </cell>
          <cell r="DD291">
            <v>0</v>
          </cell>
          <cell r="DE291">
            <v>57220</v>
          </cell>
          <cell r="DF291">
            <v>0</v>
          </cell>
          <cell r="DG291">
            <v>44530</v>
          </cell>
        </row>
        <row r="292">
          <cell r="A292">
            <v>6790090</v>
          </cell>
          <cell r="B292">
            <v>6790090</v>
          </cell>
          <cell r="C292" t="str">
            <v>Donations (501c)</v>
          </cell>
          <cell r="D292">
            <v>6731</v>
          </cell>
          <cell r="E292">
            <v>2817.55</v>
          </cell>
          <cell r="F292">
            <v>3519.22</v>
          </cell>
          <cell r="G292">
            <v>1595.49</v>
          </cell>
          <cell r="H292">
            <v>5464</v>
          </cell>
          <cell r="I292">
            <v>1097.3800000000001</v>
          </cell>
          <cell r="J292">
            <v>527.75</v>
          </cell>
          <cell r="K292">
            <v>312.14</v>
          </cell>
          <cell r="L292">
            <v>3215.22</v>
          </cell>
          <cell r="M292">
            <v>2171.48</v>
          </cell>
          <cell r="N292">
            <v>4744.5</v>
          </cell>
          <cell r="O292">
            <v>14512.1</v>
          </cell>
          <cell r="P292">
            <v>4684.55</v>
          </cell>
          <cell r="Q292">
            <v>5011.38</v>
          </cell>
          <cell r="R292">
            <v>4431.88</v>
          </cell>
          <cell r="S292">
            <v>34482.68</v>
          </cell>
          <cell r="T292">
            <v>506</v>
          </cell>
          <cell r="U292">
            <v>6894.15</v>
          </cell>
          <cell r="V292">
            <v>3714</v>
          </cell>
          <cell r="W292">
            <v>3758</v>
          </cell>
          <cell r="X292">
            <v>7005.05</v>
          </cell>
          <cell r="Y292">
            <v>6618.5</v>
          </cell>
          <cell r="Z292">
            <v>1469.72</v>
          </cell>
          <cell r="AA292">
            <v>18310.5</v>
          </cell>
          <cell r="AB292">
            <v>1025.3499999999999</v>
          </cell>
          <cell r="AC292">
            <v>6781.3</v>
          </cell>
          <cell r="AD292">
            <v>3728.58</v>
          </cell>
          <cell r="AE292">
            <v>12765.73</v>
          </cell>
          <cell r="AF292">
            <v>8009.55</v>
          </cell>
          <cell r="AG292">
            <v>38552.730000000003</v>
          </cell>
          <cell r="AH292">
            <v>623.29</v>
          </cell>
          <cell r="AI292">
            <v>1082.18</v>
          </cell>
          <cell r="AJ292">
            <v>10765.58</v>
          </cell>
          <cell r="AK292">
            <v>13197.61</v>
          </cell>
          <cell r="AL292">
            <v>6612.4</v>
          </cell>
          <cell r="AM292">
            <v>20749.46</v>
          </cell>
          <cell r="AN292">
            <v>957.32</v>
          </cell>
          <cell r="AO292">
            <v>6072.54</v>
          </cell>
          <cell r="AP292">
            <v>1057.5</v>
          </cell>
          <cell r="AQ292">
            <v>1182.5</v>
          </cell>
          <cell r="AR292">
            <v>3177.29</v>
          </cell>
          <cell r="AS292">
            <v>2883.27</v>
          </cell>
          <cell r="AT292">
            <v>17541.47</v>
          </cell>
          <cell r="AU292">
            <v>6174.47</v>
          </cell>
          <cell r="AV292">
            <v>6407.5</v>
          </cell>
          <cell r="AW292">
            <v>5605.76</v>
          </cell>
          <cell r="AX292">
            <v>3608.18</v>
          </cell>
          <cell r="AY292">
            <v>7134.77</v>
          </cell>
          <cell r="AZ292">
            <v>799.02</v>
          </cell>
          <cell r="BA292">
            <v>1943.08</v>
          </cell>
          <cell r="BB292">
            <v>6092.5</v>
          </cell>
          <cell r="BC292">
            <v>5261.5</v>
          </cell>
          <cell r="BD292">
            <v>384.5</v>
          </cell>
          <cell r="BE292">
            <v>4429.9399999999996</v>
          </cell>
          <cell r="BF292">
            <v>3897.37</v>
          </cell>
          <cell r="BG292">
            <v>8607.6200000000008</v>
          </cell>
          <cell r="BH292">
            <v>1637.46</v>
          </cell>
          <cell r="BI292">
            <v>30323.53</v>
          </cell>
          <cell r="BJ292">
            <v>1709.3</v>
          </cell>
          <cell r="BK292">
            <v>19639.71</v>
          </cell>
          <cell r="BL292">
            <v>10101.6</v>
          </cell>
          <cell r="BM292">
            <v>4000</v>
          </cell>
          <cell r="BN292">
            <v>3850</v>
          </cell>
          <cell r="BO292">
            <v>1275</v>
          </cell>
          <cell r="BP292">
            <v>15196.52</v>
          </cell>
          <cell r="BQ292">
            <v>3818.5</v>
          </cell>
          <cell r="BR292">
            <v>700</v>
          </cell>
          <cell r="BS292">
            <v>7550</v>
          </cell>
          <cell r="BT292">
            <v>20738.52</v>
          </cell>
          <cell r="BU292">
            <v>1539</v>
          </cell>
          <cell r="BV292">
            <v>4220.96</v>
          </cell>
          <cell r="BW292">
            <v>10552.35</v>
          </cell>
          <cell r="BX292">
            <v>3700</v>
          </cell>
          <cell r="BY292">
            <v>5698.44</v>
          </cell>
          <cell r="BZ292">
            <v>10350</v>
          </cell>
          <cell r="CA292">
            <v>105026.33</v>
          </cell>
          <cell r="CB292">
            <v>20264.29</v>
          </cell>
          <cell r="CC292">
            <v>50910</v>
          </cell>
          <cell r="CD292">
            <v>0</v>
          </cell>
          <cell r="CE292">
            <v>4564.78</v>
          </cell>
          <cell r="CF292">
            <v>2238.0700000000002</v>
          </cell>
          <cell r="CG292">
            <v>4816.9799999999996</v>
          </cell>
          <cell r="CH292">
            <v>3160.74</v>
          </cell>
          <cell r="CI292">
            <v>34509.040000000001</v>
          </cell>
          <cell r="CJ292">
            <v>703.58</v>
          </cell>
          <cell r="CK292">
            <v>6057.47</v>
          </cell>
          <cell r="CL292">
            <v>16557.38</v>
          </cell>
          <cell r="CM292">
            <v>16215.92</v>
          </cell>
          <cell r="CN292">
            <v>312.93</v>
          </cell>
          <cell r="CO292">
            <v>82.06</v>
          </cell>
          <cell r="CP292">
            <v>250</v>
          </cell>
          <cell r="CQ292">
            <v>20256.32</v>
          </cell>
          <cell r="CR292">
            <v>4205.74</v>
          </cell>
          <cell r="CS292">
            <v>9743.86</v>
          </cell>
          <cell r="CT292">
            <v>15009.98</v>
          </cell>
          <cell r="CU292">
            <v>69067.69</v>
          </cell>
          <cell r="CV292">
            <v>1355.61</v>
          </cell>
          <cell r="CW292">
            <v>1925</v>
          </cell>
          <cell r="CX292">
            <v>11280.06</v>
          </cell>
          <cell r="CY292">
            <v>39249.949999999997</v>
          </cell>
          <cell r="CZ292">
            <v>13726.27</v>
          </cell>
          <cell r="DA292">
            <v>21026.67</v>
          </cell>
          <cell r="DB292">
            <v>16058.18</v>
          </cell>
          <cell r="DC292">
            <v>-6481.25</v>
          </cell>
          <cell r="DD292">
            <v>23113.75</v>
          </cell>
          <cell r="DE292">
            <v>54155.56</v>
          </cell>
          <cell r="DF292">
            <v>36878.03</v>
          </cell>
          <cell r="DG292">
            <v>25187.68</v>
          </cell>
        </row>
        <row r="293">
          <cell r="A293">
            <v>6790091</v>
          </cell>
          <cell r="B293">
            <v>6790091</v>
          </cell>
          <cell r="C293" t="str">
            <v>Donations NonDed</v>
          </cell>
          <cell r="D293">
            <v>840</v>
          </cell>
          <cell r="E293">
            <v>50</v>
          </cell>
          <cell r="F293">
            <v>3160</v>
          </cell>
          <cell r="G293">
            <v>550</v>
          </cell>
          <cell r="H293">
            <v>2075</v>
          </cell>
          <cell r="I293">
            <v>205.47</v>
          </cell>
          <cell r="J293">
            <v>2032.21</v>
          </cell>
          <cell r="K293">
            <v>1150</v>
          </cell>
          <cell r="L293">
            <v>0</v>
          </cell>
          <cell r="M293">
            <v>780</v>
          </cell>
          <cell r="N293">
            <v>1500</v>
          </cell>
          <cell r="O293">
            <v>7604.06</v>
          </cell>
          <cell r="P293">
            <v>4230</v>
          </cell>
          <cell r="Q293">
            <v>1965.42</v>
          </cell>
          <cell r="R293">
            <v>12935.55</v>
          </cell>
          <cell r="S293">
            <v>310</v>
          </cell>
          <cell r="T293">
            <v>3033.49</v>
          </cell>
          <cell r="U293">
            <v>3368.77</v>
          </cell>
          <cell r="V293">
            <v>8545.0400000000009</v>
          </cell>
          <cell r="W293">
            <v>1220</v>
          </cell>
          <cell r="X293">
            <v>3121.27</v>
          </cell>
          <cell r="Y293">
            <v>2508</v>
          </cell>
          <cell r="Z293">
            <v>330.18</v>
          </cell>
          <cell r="AA293">
            <v>3198.57</v>
          </cell>
          <cell r="AB293">
            <v>1850</v>
          </cell>
          <cell r="AC293">
            <v>1831.15</v>
          </cell>
          <cell r="AD293">
            <v>16841.95</v>
          </cell>
          <cell r="AE293">
            <v>1535</v>
          </cell>
          <cell r="AF293">
            <v>0</v>
          </cell>
          <cell r="AG293">
            <v>5315</v>
          </cell>
          <cell r="AH293">
            <v>1495</v>
          </cell>
          <cell r="AI293">
            <v>5220</v>
          </cell>
          <cell r="AJ293">
            <v>2301.65</v>
          </cell>
          <cell r="AK293">
            <v>5792.59</v>
          </cell>
          <cell r="AL293">
            <v>1250</v>
          </cell>
          <cell r="AM293">
            <v>1384.31</v>
          </cell>
          <cell r="AN293">
            <v>6606.15</v>
          </cell>
          <cell r="AO293">
            <v>1886.32</v>
          </cell>
          <cell r="AP293">
            <v>3302</v>
          </cell>
          <cell r="AQ293">
            <v>14411.56</v>
          </cell>
          <cell r="AR293">
            <v>2825</v>
          </cell>
          <cell r="AS293">
            <v>2500</v>
          </cell>
          <cell r="AT293">
            <v>5925</v>
          </cell>
          <cell r="AU293">
            <v>2000</v>
          </cell>
          <cell r="AV293">
            <v>16504</v>
          </cell>
          <cell r="AW293">
            <v>7436.78</v>
          </cell>
          <cell r="AX293">
            <v>1565</v>
          </cell>
          <cell r="AY293">
            <v>5893.92</v>
          </cell>
          <cell r="AZ293">
            <v>4252.0600000000004</v>
          </cell>
          <cell r="BA293">
            <v>4295</v>
          </cell>
          <cell r="BB293">
            <v>9829.6</v>
          </cell>
          <cell r="BC293">
            <v>15201.13</v>
          </cell>
          <cell r="BD293">
            <v>5975</v>
          </cell>
          <cell r="BE293">
            <v>4605.34</v>
          </cell>
          <cell r="BF293">
            <v>1200</v>
          </cell>
          <cell r="BG293">
            <v>1725</v>
          </cell>
          <cell r="BH293">
            <v>4205</v>
          </cell>
          <cell r="BI293">
            <v>1304.98</v>
          </cell>
          <cell r="BJ293">
            <v>9200</v>
          </cell>
          <cell r="BK293">
            <v>2188.52</v>
          </cell>
          <cell r="BL293">
            <v>15350</v>
          </cell>
          <cell r="BM293">
            <v>5150</v>
          </cell>
          <cell r="BN293">
            <v>5200</v>
          </cell>
          <cell r="BO293">
            <v>6630</v>
          </cell>
          <cell r="BP293">
            <v>5625</v>
          </cell>
          <cell r="BQ293">
            <v>0</v>
          </cell>
          <cell r="BR293">
            <v>4884</v>
          </cell>
          <cell r="BS293">
            <v>4950</v>
          </cell>
          <cell r="BT293">
            <v>42455</v>
          </cell>
          <cell r="BU293">
            <v>8368.33</v>
          </cell>
          <cell r="BV293">
            <v>4299</v>
          </cell>
          <cell r="BW293">
            <v>20114.88</v>
          </cell>
          <cell r="BX293">
            <v>1350</v>
          </cell>
          <cell r="BY293">
            <v>61961.96</v>
          </cell>
          <cell r="BZ293">
            <v>26250</v>
          </cell>
          <cell r="CA293">
            <v>125.19</v>
          </cell>
          <cell r="CB293">
            <v>8500</v>
          </cell>
          <cell r="CC293">
            <v>1700</v>
          </cell>
          <cell r="CD293">
            <v>0</v>
          </cell>
          <cell r="CE293">
            <v>0</v>
          </cell>
          <cell r="CF293">
            <v>0</v>
          </cell>
          <cell r="CG293">
            <v>13000</v>
          </cell>
          <cell r="CH293">
            <v>9500</v>
          </cell>
          <cell r="CI293">
            <v>5535</v>
          </cell>
          <cell r="CJ293">
            <v>0</v>
          </cell>
          <cell r="CK293">
            <v>34617.69</v>
          </cell>
          <cell r="CL293">
            <v>0</v>
          </cell>
          <cell r="CM293">
            <v>1500</v>
          </cell>
          <cell r="CN293">
            <v>7000</v>
          </cell>
          <cell r="CO293">
            <v>2500</v>
          </cell>
          <cell r="CP293">
            <v>3020</v>
          </cell>
          <cell r="CQ293">
            <v>5000</v>
          </cell>
          <cell r="CR293">
            <v>16642.009999999998</v>
          </cell>
          <cell r="CS293">
            <v>0</v>
          </cell>
          <cell r="CT293">
            <v>1550</v>
          </cell>
          <cell r="CU293">
            <v>5284</v>
          </cell>
          <cell r="CV293">
            <v>49902.5</v>
          </cell>
          <cell r="CW293">
            <v>295</v>
          </cell>
          <cell r="CX293">
            <v>3425</v>
          </cell>
          <cell r="CY293">
            <v>7306.15</v>
          </cell>
          <cell r="CZ293">
            <v>22216.39</v>
          </cell>
          <cell r="DA293">
            <v>0</v>
          </cell>
          <cell r="DB293">
            <v>4000</v>
          </cell>
          <cell r="DC293">
            <v>3688.89</v>
          </cell>
          <cell r="DD293">
            <v>92.24</v>
          </cell>
          <cell r="DE293">
            <v>4156.25</v>
          </cell>
          <cell r="DF293">
            <v>7679.68</v>
          </cell>
          <cell r="DG293">
            <v>-344.68</v>
          </cell>
        </row>
        <row r="294">
          <cell r="A294">
            <v>6790092</v>
          </cell>
          <cell r="B294">
            <v>6790092</v>
          </cell>
          <cell r="C294" t="str">
            <v>Donations Other</v>
          </cell>
          <cell r="D294">
            <v>2005</v>
          </cell>
          <cell r="E294">
            <v>4630.7</v>
          </cell>
          <cell r="F294">
            <v>13633</v>
          </cell>
          <cell r="G294">
            <v>2884</v>
          </cell>
          <cell r="H294">
            <v>23658.18</v>
          </cell>
          <cell r="I294">
            <v>7833</v>
          </cell>
          <cell r="J294">
            <v>15773</v>
          </cell>
          <cell r="K294">
            <v>9924</v>
          </cell>
          <cell r="L294">
            <v>1232</v>
          </cell>
          <cell r="M294">
            <v>1866</v>
          </cell>
          <cell r="N294">
            <v>4793</v>
          </cell>
          <cell r="O294">
            <v>22166</v>
          </cell>
          <cell r="P294">
            <v>6592</v>
          </cell>
          <cell r="Q294">
            <v>6917</v>
          </cell>
          <cell r="R294">
            <v>32297</v>
          </cell>
          <cell r="S294">
            <v>12206.48</v>
          </cell>
          <cell r="T294">
            <v>10339</v>
          </cell>
          <cell r="U294">
            <v>5853</v>
          </cell>
          <cell r="V294">
            <v>15706.98</v>
          </cell>
          <cell r="W294">
            <v>7653.5</v>
          </cell>
          <cell r="X294">
            <v>6553.05</v>
          </cell>
          <cell r="Y294">
            <v>9413</v>
          </cell>
          <cell r="Z294">
            <v>3185.46</v>
          </cell>
          <cell r="AA294">
            <v>16157.2</v>
          </cell>
          <cell r="AB294">
            <v>19338</v>
          </cell>
          <cell r="AC294">
            <v>3577</v>
          </cell>
          <cell r="AD294">
            <v>14047</v>
          </cell>
          <cell r="AE294">
            <v>5961</v>
          </cell>
          <cell r="AF294">
            <v>11965</v>
          </cell>
          <cell r="AG294">
            <v>29735</v>
          </cell>
          <cell r="AH294">
            <v>11063</v>
          </cell>
          <cell r="AI294">
            <v>11049.98</v>
          </cell>
          <cell r="AJ294">
            <v>14206.5</v>
          </cell>
          <cell r="AK294">
            <v>8993</v>
          </cell>
          <cell r="AL294">
            <v>6630</v>
          </cell>
          <cell r="AM294">
            <v>36478</v>
          </cell>
          <cell r="AN294">
            <v>-25068.26</v>
          </cell>
          <cell r="AO294">
            <v>12078.08</v>
          </cell>
          <cell r="AP294">
            <v>3134.5</v>
          </cell>
          <cell r="AQ294">
            <v>9248</v>
          </cell>
          <cell r="AR294">
            <v>9219</v>
          </cell>
          <cell r="AS294">
            <v>8412</v>
          </cell>
          <cell r="AT294">
            <v>7696.25</v>
          </cell>
          <cell r="AU294">
            <v>16766.73</v>
          </cell>
          <cell r="AV294">
            <v>12560</v>
          </cell>
          <cell r="AW294">
            <v>5603</v>
          </cell>
          <cell r="AX294">
            <v>14257</v>
          </cell>
          <cell r="AY294">
            <v>18529</v>
          </cell>
          <cell r="AZ294">
            <v>8415</v>
          </cell>
          <cell r="BA294">
            <v>8833</v>
          </cell>
          <cell r="BB294">
            <v>4786</v>
          </cell>
          <cell r="BC294">
            <v>25532</v>
          </cell>
          <cell r="BD294">
            <v>24092</v>
          </cell>
          <cell r="BE294">
            <v>4331</v>
          </cell>
          <cell r="BF294">
            <v>2291.5</v>
          </cell>
          <cell r="BG294">
            <v>16854</v>
          </cell>
          <cell r="BH294">
            <v>9125</v>
          </cell>
          <cell r="BI294">
            <v>32828.480000000003</v>
          </cell>
          <cell r="BJ294">
            <v>27992</v>
          </cell>
          <cell r="BK294">
            <v>9367</v>
          </cell>
          <cell r="BL294">
            <v>8918</v>
          </cell>
          <cell r="BM294">
            <v>10410</v>
          </cell>
          <cell r="BN294">
            <v>15438</v>
          </cell>
          <cell r="BO294">
            <v>10298.969999999999</v>
          </cell>
          <cell r="BP294">
            <v>11217</v>
          </cell>
          <cell r="BQ294">
            <v>13650</v>
          </cell>
          <cell r="BR294">
            <v>4460.66</v>
          </cell>
          <cell r="BS294">
            <v>13238</v>
          </cell>
          <cell r="BT294">
            <v>8317</v>
          </cell>
          <cell r="BU294">
            <v>2810</v>
          </cell>
          <cell r="BV294">
            <v>31376</v>
          </cell>
          <cell r="BW294">
            <v>31810.25</v>
          </cell>
          <cell r="BX294">
            <v>3789</v>
          </cell>
          <cell r="BY294">
            <v>7058</v>
          </cell>
          <cell r="BZ294">
            <v>3870</v>
          </cell>
          <cell r="CA294">
            <v>1346</v>
          </cell>
          <cell r="CB294">
            <v>1581</v>
          </cell>
          <cell r="CC294">
            <v>4119</v>
          </cell>
          <cell r="CD294">
            <v>1499</v>
          </cell>
          <cell r="CE294">
            <v>4575</v>
          </cell>
          <cell r="CF294">
            <v>1909</v>
          </cell>
          <cell r="CG294">
            <v>12215</v>
          </cell>
          <cell r="CH294">
            <v>4352.96</v>
          </cell>
          <cell r="CI294">
            <v>30593.94</v>
          </cell>
          <cell r="CJ294">
            <v>1658</v>
          </cell>
          <cell r="CK294">
            <v>3438.21</v>
          </cell>
          <cell r="CL294">
            <v>4461</v>
          </cell>
          <cell r="CM294">
            <v>1917</v>
          </cell>
          <cell r="CN294">
            <v>2112</v>
          </cell>
          <cell r="CO294">
            <v>4794</v>
          </cell>
          <cell r="CP294">
            <v>2505.25</v>
          </cell>
          <cell r="CQ294">
            <v>2632.47</v>
          </cell>
          <cell r="CR294">
            <v>15140</v>
          </cell>
          <cell r="CS294">
            <v>2375</v>
          </cell>
          <cell r="CT294">
            <v>633.01</v>
          </cell>
          <cell r="CU294">
            <v>6592.5</v>
          </cell>
          <cell r="CV294">
            <v>2289</v>
          </cell>
          <cell r="CW294">
            <v>5080</v>
          </cell>
          <cell r="CX294">
            <v>7619</v>
          </cell>
          <cell r="CY294">
            <v>9237</v>
          </cell>
          <cell r="CZ294">
            <v>2335.5300000000002</v>
          </cell>
          <cell r="DA294">
            <v>3757</v>
          </cell>
          <cell r="DB294">
            <v>2525</v>
          </cell>
          <cell r="DC294">
            <v>4081</v>
          </cell>
          <cell r="DD294">
            <v>2804</v>
          </cell>
          <cell r="DE294">
            <v>5920</v>
          </cell>
          <cell r="DF294">
            <v>9477</v>
          </cell>
          <cell r="DG294">
            <v>21439.45</v>
          </cell>
        </row>
        <row r="295">
          <cell r="A295">
            <v>6790101</v>
          </cell>
          <cell r="B295">
            <v>6790101</v>
          </cell>
          <cell r="C295" t="str">
            <v>Fees-Bank</v>
          </cell>
          <cell r="D295">
            <v>31766.41</v>
          </cell>
          <cell r="E295">
            <v>65137.41</v>
          </cell>
          <cell r="F295">
            <v>29000.16</v>
          </cell>
          <cell r="G295">
            <v>55022.36</v>
          </cell>
          <cell r="H295">
            <v>29812.7</v>
          </cell>
          <cell r="I295">
            <v>28383.54</v>
          </cell>
          <cell r="J295">
            <v>55510.53</v>
          </cell>
          <cell r="K295">
            <v>30436.29</v>
          </cell>
          <cell r="L295">
            <v>55639.72</v>
          </cell>
          <cell r="M295">
            <v>27996.28</v>
          </cell>
          <cell r="N295">
            <v>28348.22</v>
          </cell>
          <cell r="O295">
            <v>33877.279999999999</v>
          </cell>
          <cell r="P295">
            <v>55113.120000000003</v>
          </cell>
          <cell r="Q295">
            <v>27379.119999999999</v>
          </cell>
          <cell r="R295">
            <v>26987.17</v>
          </cell>
          <cell r="S295">
            <v>53035.63</v>
          </cell>
          <cell r="T295">
            <v>28096.11</v>
          </cell>
          <cell r="U295">
            <v>29544.74</v>
          </cell>
          <cell r="V295">
            <v>57556.02</v>
          </cell>
          <cell r="W295">
            <v>31122.69</v>
          </cell>
          <cell r="X295">
            <v>30489.08</v>
          </cell>
          <cell r="Y295">
            <v>56857.3</v>
          </cell>
          <cell r="Z295">
            <v>30624.75</v>
          </cell>
          <cell r="AA295">
            <v>36334.69</v>
          </cell>
          <cell r="AB295">
            <v>55206.36</v>
          </cell>
          <cell r="AC295">
            <v>28228.6</v>
          </cell>
          <cell r="AD295">
            <v>31163.34</v>
          </cell>
          <cell r="AE295">
            <v>58385.66</v>
          </cell>
          <cell r="AF295">
            <v>31309.43</v>
          </cell>
          <cell r="AG295">
            <v>28824</v>
          </cell>
          <cell r="AH295">
            <v>55405.43</v>
          </cell>
          <cell r="AI295">
            <v>18348.96</v>
          </cell>
          <cell r="AJ295">
            <v>29388.77</v>
          </cell>
          <cell r="AK295">
            <v>54966.79</v>
          </cell>
          <cell r="AL295">
            <v>27933.94</v>
          </cell>
          <cell r="AM295">
            <v>33551.89</v>
          </cell>
          <cell r="AN295">
            <v>52960.84</v>
          </cell>
          <cell r="AO295">
            <v>33715.120000000003</v>
          </cell>
          <cell r="AP295">
            <v>42416.05</v>
          </cell>
          <cell r="AQ295">
            <v>77360.13</v>
          </cell>
          <cell r="AR295">
            <v>28355.3</v>
          </cell>
          <cell r="AS295">
            <v>28880.89</v>
          </cell>
          <cell r="AT295">
            <v>55028.25</v>
          </cell>
          <cell r="AU295">
            <v>28499.68</v>
          </cell>
          <cell r="AV295">
            <v>29543.73</v>
          </cell>
          <cell r="AW295">
            <v>52791.06</v>
          </cell>
          <cell r="AX295">
            <v>28407.45</v>
          </cell>
          <cell r="AY295">
            <v>24187.06</v>
          </cell>
          <cell r="AZ295">
            <v>43080.68</v>
          </cell>
          <cell r="BA295">
            <v>18744.259999999998</v>
          </cell>
          <cell r="BB295">
            <v>25885.02</v>
          </cell>
          <cell r="BC295">
            <v>45499.67</v>
          </cell>
          <cell r="BD295">
            <v>18119.740000000002</v>
          </cell>
          <cell r="BE295">
            <v>22184.85</v>
          </cell>
          <cell r="BF295">
            <v>47383.360000000001</v>
          </cell>
          <cell r="BG295">
            <v>22720.66</v>
          </cell>
          <cell r="BH295">
            <v>21910.51</v>
          </cell>
          <cell r="BI295">
            <v>47238.38</v>
          </cell>
          <cell r="BJ295">
            <v>18796.560000000001</v>
          </cell>
          <cell r="BK295">
            <v>19024.990000000002</v>
          </cell>
          <cell r="BL295">
            <v>45426.78</v>
          </cell>
          <cell r="BM295">
            <v>19521.71</v>
          </cell>
          <cell r="BN295">
            <v>25493.59</v>
          </cell>
          <cell r="BO295">
            <v>45738.44</v>
          </cell>
          <cell r="BP295">
            <v>20879.91</v>
          </cell>
          <cell r="BQ295">
            <v>23443.87</v>
          </cell>
          <cell r="BR295">
            <v>48867.199999999997</v>
          </cell>
          <cell r="BS295">
            <v>24627.01</v>
          </cell>
          <cell r="BT295">
            <v>24889.200000000001</v>
          </cell>
          <cell r="BU295">
            <v>42216.95</v>
          </cell>
          <cell r="BV295">
            <v>34522.04</v>
          </cell>
          <cell r="BW295">
            <v>23951.01</v>
          </cell>
          <cell r="BX295">
            <v>51677.05</v>
          </cell>
          <cell r="BY295">
            <v>24618.07</v>
          </cell>
          <cell r="BZ295">
            <v>30713.02</v>
          </cell>
          <cell r="CA295">
            <v>57830.65</v>
          </cell>
          <cell r="CB295">
            <v>23926.93</v>
          </cell>
          <cell r="CC295">
            <v>23758.41</v>
          </cell>
          <cell r="CD295">
            <v>56754.239999999998</v>
          </cell>
          <cell r="CE295">
            <v>25320.39</v>
          </cell>
          <cell r="CF295">
            <v>25845.15</v>
          </cell>
          <cell r="CG295">
            <v>55900.79</v>
          </cell>
          <cell r="CH295">
            <v>24518.99</v>
          </cell>
          <cell r="CI295">
            <v>54813.760000000002</v>
          </cell>
          <cell r="CJ295">
            <v>34939.599999999999</v>
          </cell>
          <cell r="CK295">
            <v>23158.65</v>
          </cell>
          <cell r="CL295">
            <v>20642.259999999998</v>
          </cell>
          <cell r="CM295">
            <v>82158.55</v>
          </cell>
          <cell r="CN295">
            <v>13902.21</v>
          </cell>
          <cell r="CO295">
            <v>13585.18</v>
          </cell>
          <cell r="CP295">
            <v>79773.81</v>
          </cell>
          <cell r="CQ295">
            <v>15047.02</v>
          </cell>
          <cell r="CR295">
            <v>16523.27</v>
          </cell>
          <cell r="CS295">
            <v>81516.37</v>
          </cell>
          <cell r="CT295">
            <v>17315.25</v>
          </cell>
          <cell r="CU295">
            <v>76204.25</v>
          </cell>
          <cell r="CV295">
            <v>29249.54</v>
          </cell>
          <cell r="CW295">
            <v>17484.68</v>
          </cell>
          <cell r="CX295">
            <v>19137.96</v>
          </cell>
          <cell r="CY295">
            <v>85193.279999999999</v>
          </cell>
          <cell r="CZ295">
            <v>18130.43</v>
          </cell>
          <cell r="DA295">
            <v>18865.95</v>
          </cell>
          <cell r="DB295">
            <v>83934.6</v>
          </cell>
          <cell r="DC295">
            <v>20585.099999999999</v>
          </cell>
          <cell r="DD295">
            <v>25051.21</v>
          </cell>
          <cell r="DE295">
            <v>87642.26</v>
          </cell>
          <cell r="DF295">
            <v>20314.97</v>
          </cell>
          <cell r="DG295">
            <v>18262.7</v>
          </cell>
        </row>
        <row r="296">
          <cell r="A296">
            <v>6790102</v>
          </cell>
          <cell r="B296">
            <v>6790102</v>
          </cell>
          <cell r="C296" t="str">
            <v>Fees-Report Filing</v>
          </cell>
          <cell r="D296">
            <v>0</v>
          </cell>
          <cell r="E296">
            <v>0</v>
          </cell>
          <cell r="F296">
            <v>150</v>
          </cell>
          <cell r="G296">
            <v>0</v>
          </cell>
          <cell r="H296">
            <v>0</v>
          </cell>
          <cell r="I296">
            <v>0</v>
          </cell>
          <cell r="J296">
            <v>0</v>
          </cell>
          <cell r="K296">
            <v>0</v>
          </cell>
          <cell r="L296">
            <v>0</v>
          </cell>
          <cell r="M296">
            <v>0</v>
          </cell>
          <cell r="N296">
            <v>0</v>
          </cell>
          <cell r="O296">
            <v>0</v>
          </cell>
          <cell r="P296">
            <v>150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cell r="AL296"/>
          <cell r="AM296"/>
          <cell r="AN296">
            <v>138.75</v>
          </cell>
          <cell r="AO296">
            <v>0</v>
          </cell>
          <cell r="AP296">
            <v>0</v>
          </cell>
          <cell r="AQ296">
            <v>0</v>
          </cell>
          <cell r="AR296">
            <v>0</v>
          </cell>
          <cell r="AS296">
            <v>0</v>
          </cell>
          <cell r="AT296">
            <v>0</v>
          </cell>
          <cell r="AU296">
            <v>0</v>
          </cell>
          <cell r="AV296">
            <v>0</v>
          </cell>
          <cell r="AW296">
            <v>0</v>
          </cell>
          <cell r="AX296">
            <v>0</v>
          </cell>
          <cell r="AY296">
            <v>0</v>
          </cell>
          <cell r="AZ296">
            <v>150</v>
          </cell>
          <cell r="BA296">
            <v>0</v>
          </cell>
          <cell r="BB296">
            <v>0</v>
          </cell>
          <cell r="BC296">
            <v>0</v>
          </cell>
          <cell r="BD296">
            <v>0</v>
          </cell>
          <cell r="BE296">
            <v>0</v>
          </cell>
          <cell r="BF296">
            <v>0</v>
          </cell>
          <cell r="BG296">
            <v>0</v>
          </cell>
          <cell r="BH296">
            <v>0</v>
          </cell>
          <cell r="BI296">
            <v>0</v>
          </cell>
          <cell r="BJ296">
            <v>0</v>
          </cell>
          <cell r="BK296">
            <v>0</v>
          </cell>
          <cell r="BL296">
            <v>150</v>
          </cell>
          <cell r="BM296">
            <v>15000</v>
          </cell>
          <cell r="BN296">
            <v>700</v>
          </cell>
          <cell r="BO296">
            <v>-15000</v>
          </cell>
          <cell r="BP296">
            <v>0</v>
          </cell>
          <cell r="BQ296">
            <v>0</v>
          </cell>
          <cell r="BR296">
            <v>0</v>
          </cell>
          <cell r="BS296">
            <v>0</v>
          </cell>
          <cell r="BT296">
            <v>0</v>
          </cell>
          <cell r="BU296">
            <v>0</v>
          </cell>
          <cell r="BV296">
            <v>0</v>
          </cell>
          <cell r="BW296">
            <v>0</v>
          </cell>
          <cell r="BX296">
            <v>150</v>
          </cell>
          <cell r="BY296">
            <v>0</v>
          </cell>
          <cell r="BZ296">
            <v>1915</v>
          </cell>
          <cell r="CA296">
            <v>0</v>
          </cell>
          <cell r="CB296">
            <v>0</v>
          </cell>
          <cell r="CC296">
            <v>0</v>
          </cell>
          <cell r="CD296">
            <v>0</v>
          </cell>
          <cell r="CE296">
            <v>0</v>
          </cell>
          <cell r="CF296">
            <v>15000</v>
          </cell>
          <cell r="CG296">
            <v>0</v>
          </cell>
          <cell r="CH296">
            <v>0</v>
          </cell>
          <cell r="CI296">
            <v>3000</v>
          </cell>
          <cell r="CJ296">
            <v>0</v>
          </cell>
          <cell r="CK296">
            <v>150</v>
          </cell>
          <cell r="CL296">
            <v>0</v>
          </cell>
          <cell r="CM296">
            <v>0</v>
          </cell>
          <cell r="CN296">
            <v>0</v>
          </cell>
          <cell r="CO296">
            <v>0</v>
          </cell>
          <cell r="CP296">
            <v>0</v>
          </cell>
          <cell r="CQ296">
            <v>0</v>
          </cell>
          <cell r="CR296">
            <v>0</v>
          </cell>
          <cell r="CS296">
            <v>0</v>
          </cell>
          <cell r="CT296">
            <v>0</v>
          </cell>
          <cell r="CU296">
            <v>0</v>
          </cell>
          <cell r="CV296">
            <v>0</v>
          </cell>
          <cell r="CW296">
            <v>150</v>
          </cell>
          <cell r="CX296">
            <v>0</v>
          </cell>
          <cell r="CY296">
            <v>0</v>
          </cell>
          <cell r="CZ296">
            <v>0</v>
          </cell>
          <cell r="DA296">
            <v>0</v>
          </cell>
          <cell r="DB296">
            <v>0</v>
          </cell>
          <cell r="DC296">
            <v>0</v>
          </cell>
          <cell r="DD296">
            <v>0</v>
          </cell>
          <cell r="DE296">
            <v>0</v>
          </cell>
          <cell r="DF296">
            <v>0</v>
          </cell>
          <cell r="DG296">
            <v>0</v>
          </cell>
        </row>
        <row r="297">
          <cell r="A297">
            <v>6790103</v>
          </cell>
          <cell r="B297">
            <v>6790103</v>
          </cell>
          <cell r="C297" t="str">
            <v>Fees-Registration</v>
          </cell>
          <cell r="D297">
            <v>0</v>
          </cell>
          <cell r="E297">
            <v>1220</v>
          </cell>
          <cell r="F297">
            <v>1149</v>
          </cell>
          <cell r="G297">
            <v>845</v>
          </cell>
          <cell r="H297">
            <v>1167</v>
          </cell>
          <cell r="I297">
            <v>0</v>
          </cell>
          <cell r="J297">
            <v>1500</v>
          </cell>
          <cell r="K297">
            <v>0</v>
          </cell>
          <cell r="L297">
            <v>0</v>
          </cell>
          <cell r="M297">
            <v>795</v>
          </cell>
          <cell r="N297">
            <v>0</v>
          </cell>
          <cell r="O297">
            <v>805</v>
          </cell>
          <cell r="P297">
            <v>0</v>
          </cell>
          <cell r="Q297">
            <v>0</v>
          </cell>
          <cell r="R297">
            <v>650</v>
          </cell>
          <cell r="S297">
            <v>50</v>
          </cell>
          <cell r="T297">
            <v>1075</v>
          </cell>
          <cell r="U297">
            <v>0</v>
          </cell>
          <cell r="V297">
            <v>0</v>
          </cell>
          <cell r="W297">
            <v>2618.77</v>
          </cell>
          <cell r="X297">
            <v>0</v>
          </cell>
          <cell r="Y297">
            <v>0</v>
          </cell>
          <cell r="Z297">
            <v>0</v>
          </cell>
          <cell r="AA297">
            <v>0</v>
          </cell>
          <cell r="AB297">
            <v>0</v>
          </cell>
          <cell r="AC297">
            <v>1219.5</v>
          </cell>
          <cell r="AD297">
            <v>13950</v>
          </cell>
          <cell r="AE297">
            <v>0</v>
          </cell>
          <cell r="AF297">
            <v>675</v>
          </cell>
          <cell r="AG297">
            <v>300</v>
          </cell>
          <cell r="AH297">
            <v>0</v>
          </cell>
          <cell r="AI297">
            <v>195</v>
          </cell>
          <cell r="AJ297">
            <v>4804.3</v>
          </cell>
          <cell r="AK297">
            <v>875</v>
          </cell>
          <cell r="AL297">
            <v>8</v>
          </cell>
          <cell r="AM297">
            <v>625</v>
          </cell>
          <cell r="AN297">
            <v>2400</v>
          </cell>
          <cell r="AO297">
            <v>0</v>
          </cell>
          <cell r="AP297">
            <v>0</v>
          </cell>
          <cell r="AQ297">
            <v>820</v>
          </cell>
          <cell r="AR297">
            <v>20</v>
          </cell>
          <cell r="AS297">
            <v>0</v>
          </cell>
          <cell r="AT297">
            <v>925</v>
          </cell>
          <cell r="AU297">
            <v>0</v>
          </cell>
          <cell r="AV297">
            <v>2269</v>
          </cell>
          <cell r="AW297">
            <v>597</v>
          </cell>
          <cell r="AX297">
            <v>0</v>
          </cell>
          <cell r="AY297">
            <v>1650</v>
          </cell>
          <cell r="AZ297">
            <v>0</v>
          </cell>
          <cell r="BA297">
            <v>-1000</v>
          </cell>
          <cell r="BB297">
            <v>0</v>
          </cell>
          <cell r="BC297">
            <v>0</v>
          </cell>
          <cell r="BD297">
            <v>500</v>
          </cell>
          <cell r="BE297">
            <v>0</v>
          </cell>
          <cell r="BF297">
            <v>0</v>
          </cell>
          <cell r="BG297">
            <v>0</v>
          </cell>
          <cell r="BH297">
            <v>0</v>
          </cell>
          <cell r="BI297">
            <v>100</v>
          </cell>
          <cell r="BJ297">
            <v>0</v>
          </cell>
          <cell r="BK297">
            <v>639</v>
          </cell>
          <cell r="BL297">
            <v>0</v>
          </cell>
          <cell r="BM297">
            <v>0</v>
          </cell>
          <cell r="BN297">
            <v>0</v>
          </cell>
          <cell r="BO297">
            <v>550</v>
          </cell>
          <cell r="BP297">
            <v>0</v>
          </cell>
          <cell r="BQ297">
            <v>0</v>
          </cell>
          <cell r="BR297">
            <v>-450</v>
          </cell>
          <cell r="BS297">
            <v>0</v>
          </cell>
          <cell r="BT297">
            <v>1065.74</v>
          </cell>
          <cell r="BU297">
            <v>0</v>
          </cell>
          <cell r="BV297">
            <v>67</v>
          </cell>
          <cell r="BW297">
            <v>724</v>
          </cell>
          <cell r="BX297">
            <v>0</v>
          </cell>
          <cell r="BY297">
            <v>500</v>
          </cell>
          <cell r="BZ297">
            <v>545</v>
          </cell>
          <cell r="CA297">
            <v>225</v>
          </cell>
          <cell r="CB297">
            <v>0</v>
          </cell>
          <cell r="CC297">
            <v>150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row>
        <row r="298">
          <cell r="A298">
            <v>6790105</v>
          </cell>
          <cell r="B298">
            <v>6790105</v>
          </cell>
          <cell r="C298" t="str">
            <v>Fees-Trsm Line-Spot</v>
          </cell>
          <cell r="D298"/>
          <cell r="E298"/>
          <cell r="F298"/>
          <cell r="G298"/>
          <cell r="H298"/>
          <cell r="I298"/>
          <cell r="J298"/>
          <cell r="K298"/>
          <cell r="L298"/>
          <cell r="M298"/>
          <cell r="N298"/>
          <cell r="O298"/>
          <cell r="P298"/>
          <cell r="Q298"/>
          <cell r="R298"/>
          <cell r="S298"/>
          <cell r="T298"/>
          <cell r="U298"/>
          <cell r="V298"/>
          <cell r="W298"/>
          <cell r="X298"/>
          <cell r="Y298"/>
          <cell r="Z298"/>
          <cell r="AA298"/>
          <cell r="AB298"/>
          <cell r="AC298"/>
          <cell r="AD298"/>
          <cell r="AE298">
            <v>0</v>
          </cell>
          <cell r="AF298">
            <v>47979.360000000001</v>
          </cell>
          <cell r="AG298">
            <v>0</v>
          </cell>
          <cell r="AH298">
            <v>0</v>
          </cell>
          <cell r="AI298">
            <v>0</v>
          </cell>
          <cell r="AJ298">
            <v>0</v>
          </cell>
          <cell r="AK298">
            <v>0</v>
          </cell>
          <cell r="AL298">
            <v>0</v>
          </cell>
          <cell r="AM298">
            <v>0</v>
          </cell>
          <cell r="AN298">
            <v>0</v>
          </cell>
          <cell r="AO298">
            <v>0</v>
          </cell>
          <cell r="AP298">
            <v>0</v>
          </cell>
          <cell r="AQ298">
            <v>0</v>
          </cell>
          <cell r="AR298">
            <v>0</v>
          </cell>
          <cell r="AS298">
            <v>25858.44</v>
          </cell>
          <cell r="AT298">
            <v>0</v>
          </cell>
          <cell r="AU298">
            <v>12.72</v>
          </cell>
          <cell r="AV298">
            <v>0</v>
          </cell>
          <cell r="AW298">
            <v>0</v>
          </cell>
          <cell r="AX298">
            <v>0</v>
          </cell>
          <cell r="AY298">
            <v>0</v>
          </cell>
          <cell r="AZ298">
            <v>0</v>
          </cell>
          <cell r="BA298">
            <v>0</v>
          </cell>
          <cell r="BB298">
            <v>0</v>
          </cell>
          <cell r="BC298">
            <v>25070.68</v>
          </cell>
          <cell r="BD298">
            <v>0</v>
          </cell>
          <cell r="BE298">
            <v>30054.639999999999</v>
          </cell>
          <cell r="BF298">
            <v>0</v>
          </cell>
          <cell r="BG298">
            <v>0</v>
          </cell>
          <cell r="BH298">
            <v>0</v>
          </cell>
          <cell r="BI298">
            <v>0</v>
          </cell>
          <cell r="BJ298">
            <v>0</v>
          </cell>
          <cell r="BK298">
            <v>0</v>
          </cell>
          <cell r="BL298">
            <v>0</v>
          </cell>
          <cell r="BM298">
            <v>0</v>
          </cell>
          <cell r="BN298">
            <v>0</v>
          </cell>
          <cell r="BO298">
            <v>56148.68</v>
          </cell>
          <cell r="BP298">
            <v>0</v>
          </cell>
          <cell r="BQ298">
            <v>0</v>
          </cell>
          <cell r="BR298">
            <v>0</v>
          </cell>
          <cell r="BS298">
            <v>0</v>
          </cell>
          <cell r="BT298">
            <v>0</v>
          </cell>
          <cell r="BU298">
            <v>0</v>
          </cell>
          <cell r="BV298">
            <v>0</v>
          </cell>
          <cell r="BW298">
            <v>0</v>
          </cell>
          <cell r="BX298">
            <v>0</v>
          </cell>
          <cell r="BY298">
            <v>0</v>
          </cell>
          <cell r="BZ298">
            <v>0</v>
          </cell>
          <cell r="CA298">
            <v>0</v>
          </cell>
          <cell r="CB298">
            <v>57941.61</v>
          </cell>
          <cell r="CC298">
            <v>0</v>
          </cell>
          <cell r="CD298">
            <v>0</v>
          </cell>
          <cell r="CE298">
            <v>0</v>
          </cell>
          <cell r="CF298">
            <v>0</v>
          </cell>
          <cell r="CG298">
            <v>0</v>
          </cell>
          <cell r="CH298">
            <v>0</v>
          </cell>
          <cell r="CI298">
            <v>0</v>
          </cell>
          <cell r="CJ298">
            <v>0</v>
          </cell>
          <cell r="CK298">
            <v>0</v>
          </cell>
          <cell r="CL298">
            <v>0</v>
          </cell>
          <cell r="CM298">
            <v>57873.96</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64799.68</v>
          </cell>
          <cell r="DB298">
            <v>0</v>
          </cell>
          <cell r="DC298">
            <v>0</v>
          </cell>
          <cell r="DD298">
            <v>0</v>
          </cell>
          <cell r="DE298">
            <v>0</v>
          </cell>
          <cell r="DF298">
            <v>0</v>
          </cell>
          <cell r="DG298">
            <v>0</v>
          </cell>
        </row>
        <row r="299">
          <cell r="A299">
            <v>6790198</v>
          </cell>
          <cell r="B299">
            <v>6790198</v>
          </cell>
          <cell r="C299" t="str">
            <v>Fees - Miscellaneous - Above the line</v>
          </cell>
          <cell r="D299"/>
          <cell r="E299"/>
          <cell r="F299"/>
          <cell r="G299"/>
          <cell r="H299"/>
          <cell r="I299"/>
          <cell r="J299"/>
          <cell r="K299"/>
          <cell r="L299"/>
          <cell r="M299"/>
          <cell r="N299"/>
          <cell r="O299"/>
          <cell r="P299"/>
          <cell r="Q299"/>
          <cell r="R299"/>
          <cell r="S299"/>
          <cell r="T299"/>
          <cell r="U299"/>
          <cell r="V299"/>
          <cell r="W299"/>
          <cell r="X299"/>
          <cell r="Y299"/>
          <cell r="Z299"/>
          <cell r="AA299"/>
          <cell r="AB299"/>
          <cell r="AC299"/>
          <cell r="AD299"/>
          <cell r="AE299"/>
          <cell r="AF299"/>
          <cell r="AG299"/>
          <cell r="AH299"/>
          <cell r="AI299"/>
          <cell r="AJ299"/>
          <cell r="AK299"/>
          <cell r="AL299"/>
          <cell r="AM299"/>
          <cell r="AN299"/>
          <cell r="AO299"/>
          <cell r="AP299"/>
          <cell r="AQ299"/>
          <cell r="AR299"/>
          <cell r="AS299"/>
          <cell r="AT299"/>
          <cell r="AU299"/>
          <cell r="AV299"/>
          <cell r="AW299"/>
          <cell r="AX299"/>
          <cell r="AY299"/>
          <cell r="AZ299"/>
          <cell r="BA299"/>
          <cell r="BB299"/>
          <cell r="BC299"/>
          <cell r="BD299"/>
          <cell r="BE299"/>
          <cell r="BF299"/>
          <cell r="BG299"/>
          <cell r="BH299"/>
          <cell r="BI299"/>
          <cell r="BJ299"/>
          <cell r="BK299"/>
          <cell r="BL299"/>
          <cell r="BM299"/>
          <cell r="BN299"/>
          <cell r="BO299"/>
          <cell r="BP299"/>
          <cell r="BQ299"/>
          <cell r="BR299"/>
          <cell r="BS299"/>
          <cell r="BT299"/>
          <cell r="BU299"/>
          <cell r="BV299"/>
          <cell r="BW299"/>
          <cell r="BX299"/>
          <cell r="BY299"/>
          <cell r="BZ299"/>
          <cell r="CA299"/>
          <cell r="CB299"/>
          <cell r="CC299"/>
          <cell r="CD299"/>
          <cell r="CE299"/>
          <cell r="CF299"/>
          <cell r="CG299"/>
          <cell r="CH299"/>
          <cell r="CI299"/>
          <cell r="CJ299"/>
          <cell r="CK299"/>
          <cell r="CL299"/>
          <cell r="CM299"/>
          <cell r="CN299"/>
          <cell r="CO299"/>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row>
        <row r="300">
          <cell r="A300">
            <v>6790199</v>
          </cell>
          <cell r="B300">
            <v>6790199</v>
          </cell>
          <cell r="C300" t="str">
            <v>Fees-Miscellaneous</v>
          </cell>
          <cell r="D300">
            <v>986.62</v>
          </cell>
          <cell r="E300">
            <v>16250.06</v>
          </cell>
          <cell r="F300">
            <v>1699.24</v>
          </cell>
          <cell r="G300">
            <v>42465.59</v>
          </cell>
          <cell r="H300">
            <v>26444.04</v>
          </cell>
          <cell r="I300">
            <v>2343.1</v>
          </cell>
          <cell r="J300">
            <v>3741.61</v>
          </cell>
          <cell r="K300">
            <v>1712.5</v>
          </cell>
          <cell r="L300">
            <v>3806.87</v>
          </cell>
          <cell r="M300">
            <v>679.12</v>
          </cell>
          <cell r="N300">
            <v>316.61</v>
          </cell>
          <cell r="O300">
            <v>183.99</v>
          </cell>
          <cell r="P300">
            <v>17.489999999999998</v>
          </cell>
          <cell r="Q300">
            <v>5640.53</v>
          </cell>
          <cell r="R300">
            <v>280.14</v>
          </cell>
          <cell r="S300">
            <v>50304.85</v>
          </cell>
          <cell r="T300">
            <v>45</v>
          </cell>
          <cell r="U300">
            <v>4187.45</v>
          </cell>
          <cell r="V300">
            <v>772.44</v>
          </cell>
          <cell r="W300">
            <v>83.9</v>
          </cell>
          <cell r="X300">
            <v>1086.79</v>
          </cell>
          <cell r="Y300">
            <v>24</v>
          </cell>
          <cell r="Z300">
            <v>63.1</v>
          </cell>
          <cell r="AA300">
            <v>112.71</v>
          </cell>
          <cell r="AB300">
            <v>0</v>
          </cell>
          <cell r="AC300">
            <v>5894.23</v>
          </cell>
          <cell r="AD300">
            <v>5</v>
          </cell>
          <cell r="AE300">
            <v>295</v>
          </cell>
          <cell r="AF300">
            <v>195.51</v>
          </cell>
          <cell r="AG300">
            <v>25</v>
          </cell>
          <cell r="AH300">
            <v>285.94</v>
          </cell>
          <cell r="AI300">
            <v>145.88999999999999</v>
          </cell>
          <cell r="AJ300">
            <v>4450</v>
          </cell>
          <cell r="AK300">
            <v>0</v>
          </cell>
          <cell r="AL300">
            <v>11</v>
          </cell>
          <cell r="AM300">
            <v>512.51</v>
          </cell>
          <cell r="AN300">
            <v>44.9</v>
          </cell>
          <cell r="AO300">
            <v>8419.2999999999993</v>
          </cell>
          <cell r="AP300">
            <v>709.08</v>
          </cell>
          <cell r="AQ300">
            <v>282.5</v>
          </cell>
          <cell r="AR300">
            <v>108.07</v>
          </cell>
          <cell r="AS300">
            <v>30022.240000000002</v>
          </cell>
          <cell r="AT300">
            <v>3273.87</v>
          </cell>
          <cell r="AU300">
            <v>373.72</v>
          </cell>
          <cell r="AV300">
            <v>1118</v>
          </cell>
          <cell r="AW300">
            <v>15327.98</v>
          </cell>
          <cell r="AX300">
            <v>238.5</v>
          </cell>
          <cell r="AY300">
            <v>752.13</v>
          </cell>
          <cell r="AZ300">
            <v>0</v>
          </cell>
          <cell r="BA300">
            <v>6265.73</v>
          </cell>
          <cell r="BB300">
            <v>459.36</v>
          </cell>
          <cell r="BC300">
            <v>345.76</v>
          </cell>
          <cell r="BD300">
            <v>1014.01</v>
          </cell>
          <cell r="BE300">
            <v>1072.0999999999999</v>
          </cell>
          <cell r="BF300">
            <v>2394.9899999999998</v>
          </cell>
          <cell r="BG300">
            <v>3474.39</v>
          </cell>
          <cell r="BH300">
            <v>183</v>
          </cell>
          <cell r="BI300">
            <v>266.38</v>
          </cell>
          <cell r="BJ300">
            <v>0</v>
          </cell>
          <cell r="BK300">
            <v>801.64</v>
          </cell>
          <cell r="BL300">
            <v>275</v>
          </cell>
          <cell r="BM300">
            <v>6240.79</v>
          </cell>
          <cell r="BN300">
            <v>-5739.43</v>
          </cell>
          <cell r="BO300">
            <v>2</v>
          </cell>
          <cell r="BP300">
            <v>51</v>
          </cell>
          <cell r="BQ300">
            <v>210</v>
          </cell>
          <cell r="BR300">
            <v>1904.19</v>
          </cell>
          <cell r="BS300">
            <v>195.54</v>
          </cell>
          <cell r="BT300">
            <v>565.85</v>
          </cell>
          <cell r="BU300">
            <v>5451.5</v>
          </cell>
          <cell r="BV300">
            <v>3013.15</v>
          </cell>
          <cell r="BW300">
            <v>669</v>
          </cell>
          <cell r="BX300">
            <v>24284.71</v>
          </cell>
          <cell r="BY300">
            <v>175</v>
          </cell>
          <cell r="BZ300">
            <v>608.23</v>
          </cell>
          <cell r="CA300">
            <v>11.24</v>
          </cell>
          <cell r="CB300">
            <v>45</v>
          </cell>
          <cell r="CC300">
            <v>5989.4</v>
          </cell>
          <cell r="CD300">
            <v>0</v>
          </cell>
          <cell r="CE300">
            <v>1227.5</v>
          </cell>
          <cell r="CF300">
            <v>205.57</v>
          </cell>
          <cell r="CG300">
            <v>775.37</v>
          </cell>
          <cell r="CH300">
            <v>559.16</v>
          </cell>
          <cell r="CI300">
            <v>590.17999999999995</v>
          </cell>
          <cell r="CJ300">
            <v>2752.42</v>
          </cell>
          <cell r="CK300">
            <v>165.58</v>
          </cell>
          <cell r="CL300">
            <v>1661.11</v>
          </cell>
          <cell r="CM300">
            <v>309.33</v>
          </cell>
          <cell r="CN300">
            <v>544.64</v>
          </cell>
          <cell r="CO300">
            <v>1655.98</v>
          </cell>
          <cell r="CP300">
            <v>2414.29</v>
          </cell>
          <cell r="CQ300">
            <v>1600.42</v>
          </cell>
          <cell r="CR300">
            <v>186.73</v>
          </cell>
          <cell r="CS300">
            <v>2784.75</v>
          </cell>
          <cell r="CT300">
            <v>12490.15</v>
          </cell>
          <cell r="CU300">
            <v>5794.52</v>
          </cell>
          <cell r="CV300">
            <v>1030.71</v>
          </cell>
          <cell r="CW300">
            <v>1987.91</v>
          </cell>
          <cell r="CX300">
            <v>2585.13</v>
          </cell>
          <cell r="CY300">
            <v>9630.4500000000007</v>
          </cell>
          <cell r="CZ300">
            <v>5391.82</v>
          </cell>
          <cell r="DA300">
            <v>3697.03</v>
          </cell>
          <cell r="DB300">
            <v>967.45</v>
          </cell>
          <cell r="DC300">
            <v>19911.59</v>
          </cell>
          <cell r="DD300">
            <v>3946.46</v>
          </cell>
          <cell r="DE300">
            <v>2362.84</v>
          </cell>
          <cell r="DF300">
            <v>8410.76</v>
          </cell>
          <cell r="DG300">
            <v>1984.29</v>
          </cell>
        </row>
        <row r="301">
          <cell r="A301">
            <v>6790200</v>
          </cell>
          <cell r="B301">
            <v>6790200</v>
          </cell>
          <cell r="C301" t="str">
            <v>Penalties</v>
          </cell>
          <cell r="D301"/>
          <cell r="E301"/>
          <cell r="F301"/>
          <cell r="G301"/>
          <cell r="H301"/>
          <cell r="I301"/>
          <cell r="J301"/>
          <cell r="K301"/>
          <cell r="L301"/>
          <cell r="M301"/>
          <cell r="N301"/>
          <cell r="O301"/>
          <cell r="P301"/>
          <cell r="Q301"/>
          <cell r="R301"/>
          <cell r="S301"/>
          <cell r="T301"/>
          <cell r="U301"/>
          <cell r="V301"/>
          <cell r="W301"/>
          <cell r="X301"/>
          <cell r="Y301"/>
          <cell r="Z301"/>
          <cell r="AA301"/>
          <cell r="AB301"/>
          <cell r="AC301"/>
          <cell r="AD301">
            <v>1000000</v>
          </cell>
          <cell r="AE301">
            <v>0</v>
          </cell>
          <cell r="AF301">
            <v>0</v>
          </cell>
          <cell r="AG301">
            <v>0</v>
          </cell>
          <cell r="AH301">
            <v>0</v>
          </cell>
          <cell r="AI301">
            <v>0</v>
          </cell>
          <cell r="AJ301">
            <v>0</v>
          </cell>
          <cell r="AK301">
            <v>0</v>
          </cell>
          <cell r="AL301">
            <v>0</v>
          </cell>
          <cell r="AM301">
            <v>0</v>
          </cell>
          <cell r="AN301">
            <v>0</v>
          </cell>
          <cell r="AO301">
            <v>0</v>
          </cell>
          <cell r="AP301">
            <v>0</v>
          </cell>
          <cell r="AQ301">
            <v>973.26</v>
          </cell>
          <cell r="AR301">
            <v>0</v>
          </cell>
          <cell r="AS301">
            <v>49.71</v>
          </cell>
          <cell r="AT301">
            <v>0</v>
          </cell>
          <cell r="AU301">
            <v>0</v>
          </cell>
          <cell r="AV301">
            <v>0</v>
          </cell>
          <cell r="AW301">
            <v>0</v>
          </cell>
          <cell r="AX301">
            <v>0</v>
          </cell>
          <cell r="AY301">
            <v>0</v>
          </cell>
          <cell r="AZ301">
            <v>0</v>
          </cell>
          <cell r="BA301">
            <v>692.94</v>
          </cell>
          <cell r="BB301">
            <v>0</v>
          </cell>
          <cell r="BC301">
            <v>0</v>
          </cell>
          <cell r="BD301">
            <v>0</v>
          </cell>
          <cell r="BE301">
            <v>0</v>
          </cell>
          <cell r="BF301">
            <v>0</v>
          </cell>
          <cell r="BG301">
            <v>0</v>
          </cell>
          <cell r="BH301">
            <v>0</v>
          </cell>
          <cell r="BI301">
            <v>500</v>
          </cell>
          <cell r="BJ301">
            <v>-500</v>
          </cell>
          <cell r="BK301">
            <v>0</v>
          </cell>
          <cell r="BL301">
            <v>0</v>
          </cell>
          <cell r="BM301">
            <v>0</v>
          </cell>
          <cell r="BN301">
            <v>0</v>
          </cell>
          <cell r="BO301">
            <v>0</v>
          </cell>
          <cell r="BP301">
            <v>0</v>
          </cell>
          <cell r="BQ301">
            <v>0</v>
          </cell>
          <cell r="BR301">
            <v>0</v>
          </cell>
          <cell r="BS301">
            <v>0</v>
          </cell>
          <cell r="BT301">
            <v>0</v>
          </cell>
          <cell r="BU301">
            <v>555.34</v>
          </cell>
          <cell r="BV301">
            <v>-441.91</v>
          </cell>
          <cell r="BW301">
            <v>0</v>
          </cell>
          <cell r="BX301">
            <v>0</v>
          </cell>
          <cell r="BY301">
            <v>0</v>
          </cell>
          <cell r="BZ301">
            <v>0</v>
          </cell>
          <cell r="CA301">
            <v>0</v>
          </cell>
          <cell r="CB301">
            <v>0</v>
          </cell>
          <cell r="CC301">
            <v>0</v>
          </cell>
          <cell r="CD301">
            <v>0</v>
          </cell>
          <cell r="CE301">
            <v>0</v>
          </cell>
          <cell r="CF301">
            <v>0</v>
          </cell>
          <cell r="CG301"/>
          <cell r="CH301"/>
          <cell r="CI301"/>
          <cell r="CJ301"/>
          <cell r="CK301"/>
          <cell r="CL301"/>
          <cell r="CM301"/>
          <cell r="CN301"/>
          <cell r="CO301"/>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row>
        <row r="302">
          <cell r="A302">
            <v>6790210</v>
          </cell>
          <cell r="B302">
            <v>6790210</v>
          </cell>
          <cell r="C302" t="str">
            <v>Permitting</v>
          </cell>
          <cell r="D302">
            <v>39226.199999999997</v>
          </cell>
          <cell r="E302">
            <v>14855.65</v>
          </cell>
          <cell r="F302">
            <v>107533.11</v>
          </cell>
          <cell r="G302">
            <v>13090.81</v>
          </cell>
          <cell r="H302">
            <v>122453.35</v>
          </cell>
          <cell r="I302">
            <v>153337.46</v>
          </cell>
          <cell r="J302">
            <v>60052.38</v>
          </cell>
          <cell r="K302">
            <v>207486.02</v>
          </cell>
          <cell r="L302">
            <v>50941.49</v>
          </cell>
          <cell r="M302">
            <v>48479.74</v>
          </cell>
          <cell r="N302">
            <v>145606.32</v>
          </cell>
          <cell r="O302">
            <v>80809.119999999995</v>
          </cell>
          <cell r="P302">
            <v>24830.23</v>
          </cell>
          <cell r="Q302">
            <v>20490.98</v>
          </cell>
          <cell r="R302">
            <v>12946.83</v>
          </cell>
          <cell r="S302">
            <v>21581.02</v>
          </cell>
          <cell r="T302">
            <v>14849.35</v>
          </cell>
          <cell r="U302">
            <v>15496.63</v>
          </cell>
          <cell r="V302">
            <v>28912.639999999999</v>
          </cell>
          <cell r="W302">
            <v>3037.56</v>
          </cell>
          <cell r="X302">
            <v>29992.51</v>
          </cell>
          <cell r="Y302">
            <v>15271.14</v>
          </cell>
          <cell r="Z302">
            <v>15436.62</v>
          </cell>
          <cell r="AA302">
            <v>111665.67</v>
          </cell>
          <cell r="AB302">
            <v>20794.810000000001</v>
          </cell>
          <cell r="AC302">
            <v>50657.57</v>
          </cell>
          <cell r="AD302">
            <v>29481.27</v>
          </cell>
          <cell r="AE302">
            <v>31431.79</v>
          </cell>
          <cell r="AF302">
            <v>32128.49</v>
          </cell>
          <cell r="AG302">
            <v>39555.29</v>
          </cell>
          <cell r="AH302">
            <v>20452.12</v>
          </cell>
          <cell r="AI302">
            <v>30229.43</v>
          </cell>
          <cell r="AJ302">
            <v>43830.55</v>
          </cell>
          <cell r="AK302">
            <v>38730.949999999997</v>
          </cell>
          <cell r="AL302">
            <v>46247.92</v>
          </cell>
          <cell r="AM302">
            <v>111226.14</v>
          </cell>
          <cell r="AN302">
            <v>24218.99</v>
          </cell>
          <cell r="AO302">
            <v>24300.31</v>
          </cell>
          <cell r="AP302">
            <v>68457.539999999994</v>
          </cell>
          <cell r="AQ302">
            <v>60747.07</v>
          </cell>
          <cell r="AR302">
            <v>74640.259999999995</v>
          </cell>
          <cell r="AS302">
            <v>43608.63</v>
          </cell>
          <cell r="AT302">
            <v>8140.68</v>
          </cell>
          <cell r="AU302">
            <v>43456.65</v>
          </cell>
          <cell r="AV302">
            <v>28305.58</v>
          </cell>
          <cell r="AW302">
            <v>42185.56</v>
          </cell>
          <cell r="AX302">
            <v>26219.8</v>
          </cell>
          <cell r="AY302">
            <v>142280.75</v>
          </cell>
          <cell r="AZ302">
            <v>21682.14</v>
          </cell>
          <cell r="BA302">
            <v>86044.68</v>
          </cell>
          <cell r="BB302">
            <v>47767.93</v>
          </cell>
          <cell r="BC302">
            <v>49656.35</v>
          </cell>
          <cell r="BD302">
            <v>49777.13</v>
          </cell>
          <cell r="BE302">
            <v>79125.31</v>
          </cell>
          <cell r="BF302">
            <v>29759.16</v>
          </cell>
          <cell r="BG302">
            <v>68503.27</v>
          </cell>
          <cell r="BH302">
            <v>50575.17</v>
          </cell>
          <cell r="BI302">
            <v>83724.02</v>
          </cell>
          <cell r="BJ302">
            <v>272268.06</v>
          </cell>
          <cell r="BK302">
            <v>154080.73000000001</v>
          </cell>
          <cell r="BL302">
            <v>17941</v>
          </cell>
          <cell r="BM302">
            <v>52092.06</v>
          </cell>
          <cell r="BN302">
            <v>98490.43</v>
          </cell>
          <cell r="BO302">
            <v>42526.59</v>
          </cell>
          <cell r="BP302">
            <v>138693.95000000001</v>
          </cell>
          <cell r="BQ302">
            <v>75306.240000000005</v>
          </cell>
          <cell r="BR302">
            <v>84128.76</v>
          </cell>
          <cell r="BS302">
            <v>89245.93</v>
          </cell>
          <cell r="BT302">
            <v>82221.16</v>
          </cell>
          <cell r="BU302">
            <v>89528.6</v>
          </cell>
          <cell r="BV302">
            <v>38170.519999999997</v>
          </cell>
          <cell r="BW302">
            <v>162217.56</v>
          </cell>
          <cell r="BX302">
            <v>32360.3</v>
          </cell>
          <cell r="BY302">
            <v>-79225.100000000006</v>
          </cell>
          <cell r="BZ302">
            <v>104939.77</v>
          </cell>
          <cell r="CA302">
            <v>55645.06</v>
          </cell>
          <cell r="CB302">
            <v>125919.76</v>
          </cell>
          <cell r="CC302">
            <v>31322.16</v>
          </cell>
          <cell r="CD302">
            <v>340800.99</v>
          </cell>
          <cell r="CE302">
            <v>132754.22</v>
          </cell>
          <cell r="CF302">
            <v>170407.94</v>
          </cell>
          <cell r="CG302">
            <v>254662.53</v>
          </cell>
          <cell r="CH302">
            <v>187215.88</v>
          </cell>
          <cell r="CI302">
            <v>122199.54</v>
          </cell>
          <cell r="CJ302">
            <v>38054.629999999997</v>
          </cell>
          <cell r="CK302">
            <v>375979.1</v>
          </cell>
          <cell r="CL302">
            <v>75021.460000000006</v>
          </cell>
          <cell r="CM302">
            <v>88944.54</v>
          </cell>
          <cell r="CN302">
            <v>76776.83</v>
          </cell>
          <cell r="CO302">
            <v>57837.63</v>
          </cell>
          <cell r="CP302">
            <v>67498.740000000005</v>
          </cell>
          <cell r="CQ302">
            <v>77636.88</v>
          </cell>
          <cell r="CR302">
            <v>151340.49</v>
          </cell>
          <cell r="CS302">
            <v>66066.289999999994</v>
          </cell>
          <cell r="CT302">
            <v>124086.46</v>
          </cell>
          <cell r="CU302">
            <v>180439.46</v>
          </cell>
          <cell r="CV302">
            <v>14653.97</v>
          </cell>
          <cell r="CW302">
            <v>75348.83</v>
          </cell>
          <cell r="CX302">
            <v>146024.42000000001</v>
          </cell>
          <cell r="CY302">
            <v>75788.320000000007</v>
          </cell>
          <cell r="CZ302">
            <v>90977.59</v>
          </cell>
          <cell r="DA302">
            <v>103455.37</v>
          </cell>
          <cell r="DB302">
            <v>68959</v>
          </cell>
          <cell r="DC302">
            <v>100046.89</v>
          </cell>
          <cell r="DD302">
            <v>101083.87</v>
          </cell>
          <cell r="DE302">
            <v>45566.21</v>
          </cell>
          <cell r="DF302">
            <v>46883.55</v>
          </cell>
          <cell r="DG302">
            <v>137102.64000000001</v>
          </cell>
        </row>
        <row r="303">
          <cell r="A303">
            <v>6790220</v>
          </cell>
          <cell r="B303">
            <v>6790220</v>
          </cell>
          <cell r="C303" t="str">
            <v>Political Contrib</v>
          </cell>
          <cell r="D303">
            <v>4166.66</v>
          </cell>
          <cell r="E303">
            <v>8333.32</v>
          </cell>
          <cell r="F303">
            <v>4166.66</v>
          </cell>
          <cell r="G303">
            <v>4166.66</v>
          </cell>
          <cell r="H303">
            <v>4166.66</v>
          </cell>
          <cell r="I303">
            <v>4166.66</v>
          </cell>
          <cell r="J303">
            <v>4166.66</v>
          </cell>
          <cell r="K303">
            <v>4166.66</v>
          </cell>
          <cell r="L303">
            <v>4166.66</v>
          </cell>
          <cell r="M303">
            <v>4166.66</v>
          </cell>
          <cell r="N303">
            <v>4166.66</v>
          </cell>
          <cell r="O303">
            <v>8333.32</v>
          </cell>
          <cell r="P303">
            <v>4166.66</v>
          </cell>
          <cell r="Q303">
            <v>4166.66</v>
          </cell>
          <cell r="R303">
            <v>4166.66</v>
          </cell>
          <cell r="S303">
            <v>21333.3</v>
          </cell>
          <cell r="T303">
            <v>8333.32</v>
          </cell>
          <cell r="U303">
            <v>8333.32</v>
          </cell>
          <cell r="V303">
            <v>8333.32</v>
          </cell>
          <cell r="W303">
            <v>8333.32</v>
          </cell>
          <cell r="X303">
            <v>8398.85</v>
          </cell>
          <cell r="Y303">
            <v>8333.32</v>
          </cell>
          <cell r="Z303">
            <v>8358.5499999999993</v>
          </cell>
          <cell r="AA303">
            <v>38333.32</v>
          </cell>
          <cell r="AB303">
            <v>8333.32</v>
          </cell>
          <cell r="AC303">
            <v>8333.32</v>
          </cell>
          <cell r="AD303">
            <v>8333.32</v>
          </cell>
          <cell r="AE303">
            <v>8333.32</v>
          </cell>
          <cell r="AF303">
            <v>8333.32</v>
          </cell>
          <cell r="AG303">
            <v>18468.66</v>
          </cell>
          <cell r="AH303">
            <v>8333.32</v>
          </cell>
          <cell r="AI303">
            <v>8333.32</v>
          </cell>
          <cell r="AJ303">
            <v>8333.32</v>
          </cell>
          <cell r="AK303">
            <v>8333.32</v>
          </cell>
          <cell r="AL303">
            <v>8333.32</v>
          </cell>
          <cell r="AM303">
            <v>8333.32</v>
          </cell>
          <cell r="AN303">
            <v>4166.66</v>
          </cell>
          <cell r="AO303">
            <v>-4166.66</v>
          </cell>
          <cell r="AP303">
            <v>0</v>
          </cell>
          <cell r="AQ303">
            <v>0</v>
          </cell>
          <cell r="AR303">
            <v>0</v>
          </cell>
          <cell r="AS303">
            <v>0</v>
          </cell>
          <cell r="AT303">
            <v>0</v>
          </cell>
          <cell r="AU303">
            <v>0</v>
          </cell>
          <cell r="AV303">
            <v>4166.66</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25000</v>
          </cell>
          <cell r="BK303">
            <v>0</v>
          </cell>
          <cell r="BL303">
            <v>0</v>
          </cell>
          <cell r="BM303">
            <v>0</v>
          </cell>
          <cell r="BN303">
            <v>0</v>
          </cell>
          <cell r="BO303">
            <v>0</v>
          </cell>
          <cell r="BP303">
            <v>0</v>
          </cell>
          <cell r="BQ303">
            <v>0</v>
          </cell>
          <cell r="BR303">
            <v>0</v>
          </cell>
          <cell r="BS303">
            <v>0</v>
          </cell>
          <cell r="BT303">
            <v>0</v>
          </cell>
          <cell r="BU303"/>
          <cell r="BV303"/>
          <cell r="BW303"/>
          <cell r="BX303"/>
          <cell r="BY303"/>
          <cell r="BZ303"/>
          <cell r="CA303"/>
          <cell r="CB303">
            <v>1100</v>
          </cell>
          <cell r="CC303">
            <v>0</v>
          </cell>
          <cell r="CD303">
            <v>0</v>
          </cell>
          <cell r="CE303">
            <v>0</v>
          </cell>
          <cell r="CF303">
            <v>0</v>
          </cell>
          <cell r="CG303">
            <v>5000</v>
          </cell>
          <cell r="CH303">
            <v>0</v>
          </cell>
          <cell r="CI303">
            <v>0</v>
          </cell>
          <cell r="CJ303">
            <v>0</v>
          </cell>
          <cell r="CK303">
            <v>0</v>
          </cell>
          <cell r="CL303">
            <v>10000</v>
          </cell>
          <cell r="CM303">
            <v>0</v>
          </cell>
          <cell r="CN303">
            <v>0</v>
          </cell>
          <cell r="CO303">
            <v>0</v>
          </cell>
          <cell r="CP303">
            <v>0</v>
          </cell>
          <cell r="CQ303">
            <v>0</v>
          </cell>
          <cell r="CR303">
            <v>0</v>
          </cell>
          <cell r="CS303">
            <v>0</v>
          </cell>
          <cell r="CT303">
            <v>0</v>
          </cell>
          <cell r="CU303">
            <v>0</v>
          </cell>
          <cell r="CV303">
            <v>0</v>
          </cell>
          <cell r="CW303">
            <v>0</v>
          </cell>
          <cell r="CX303">
            <v>24000</v>
          </cell>
          <cell r="CY303">
            <v>10000</v>
          </cell>
          <cell r="CZ303">
            <v>0</v>
          </cell>
          <cell r="DA303">
            <v>0</v>
          </cell>
          <cell r="DB303">
            <v>0</v>
          </cell>
          <cell r="DC303">
            <v>16000</v>
          </cell>
          <cell r="DD303">
            <v>1000</v>
          </cell>
          <cell r="DE303">
            <v>0</v>
          </cell>
          <cell r="DF303">
            <v>0</v>
          </cell>
          <cell r="DG303">
            <v>0</v>
          </cell>
        </row>
        <row r="304">
          <cell r="A304">
            <v>6790230</v>
          </cell>
          <cell r="B304">
            <v>6790230</v>
          </cell>
          <cell r="C304" t="str">
            <v>Postage Ship Courier</v>
          </cell>
          <cell r="D304">
            <v>145413.54999999999</v>
          </cell>
          <cell r="E304">
            <v>135669.16</v>
          </cell>
          <cell r="F304">
            <v>133858.75</v>
          </cell>
          <cell r="G304">
            <v>151658.54999999999</v>
          </cell>
          <cell r="H304">
            <v>150052.21</v>
          </cell>
          <cell r="I304">
            <v>155413.43</v>
          </cell>
          <cell r="J304">
            <v>159178.19</v>
          </cell>
          <cell r="K304">
            <v>147205.38</v>
          </cell>
          <cell r="L304">
            <v>144543.92000000001</v>
          </cell>
          <cell r="M304">
            <v>150886.87</v>
          </cell>
          <cell r="N304">
            <v>151993.01</v>
          </cell>
          <cell r="O304">
            <v>157502.82</v>
          </cell>
          <cell r="P304">
            <v>143089.89000000001</v>
          </cell>
          <cell r="Q304">
            <v>147180.29</v>
          </cell>
          <cell r="R304">
            <v>148729.37</v>
          </cell>
          <cell r="S304">
            <v>143070.43</v>
          </cell>
          <cell r="T304">
            <v>143701.64000000001</v>
          </cell>
          <cell r="U304">
            <v>149630.41</v>
          </cell>
          <cell r="V304">
            <v>150873.92000000001</v>
          </cell>
          <cell r="W304">
            <v>147302.22</v>
          </cell>
          <cell r="X304">
            <v>143215.91</v>
          </cell>
          <cell r="Y304">
            <v>152678.73000000001</v>
          </cell>
          <cell r="Z304">
            <v>158251.37</v>
          </cell>
          <cell r="AA304">
            <v>158575.66</v>
          </cell>
          <cell r="AB304">
            <v>146595.26999999999</v>
          </cell>
          <cell r="AC304">
            <v>163017.34</v>
          </cell>
          <cell r="AD304">
            <v>173083.65</v>
          </cell>
          <cell r="AE304">
            <v>148781.15</v>
          </cell>
          <cell r="AF304">
            <v>151967.37</v>
          </cell>
          <cell r="AG304">
            <v>144907.82</v>
          </cell>
          <cell r="AH304">
            <v>135384.76</v>
          </cell>
          <cell r="AI304">
            <v>162138.42000000001</v>
          </cell>
          <cell r="AJ304">
            <v>162237.43</v>
          </cell>
          <cell r="AK304">
            <v>150717.14000000001</v>
          </cell>
          <cell r="AL304">
            <v>153572.39000000001</v>
          </cell>
          <cell r="AM304">
            <v>199239.69</v>
          </cell>
          <cell r="AN304">
            <v>145115.25</v>
          </cell>
          <cell r="AO304">
            <v>147259.76</v>
          </cell>
          <cell r="AP304">
            <v>-73423.31</v>
          </cell>
          <cell r="AQ304">
            <v>61544.54</v>
          </cell>
          <cell r="AR304">
            <v>13888.28</v>
          </cell>
          <cell r="AS304">
            <v>18252.91</v>
          </cell>
          <cell r="AT304">
            <v>12396.55</v>
          </cell>
          <cell r="AU304">
            <v>13532.87</v>
          </cell>
          <cell r="AV304">
            <v>-30614</v>
          </cell>
          <cell r="AW304">
            <v>18667.740000000002</v>
          </cell>
          <cell r="AX304">
            <v>10407.77</v>
          </cell>
          <cell r="AY304">
            <v>17283.21</v>
          </cell>
          <cell r="AZ304">
            <v>10769.5</v>
          </cell>
          <cell r="BA304">
            <v>9598.91</v>
          </cell>
          <cell r="BB304">
            <v>21602.58</v>
          </cell>
          <cell r="BC304">
            <v>9353.3700000000008</v>
          </cell>
          <cell r="BD304">
            <v>12504.37</v>
          </cell>
          <cell r="BE304">
            <v>13438.85</v>
          </cell>
          <cell r="BF304">
            <v>17439.88</v>
          </cell>
          <cell r="BG304">
            <v>11611.17</v>
          </cell>
          <cell r="BH304">
            <v>15275.87</v>
          </cell>
          <cell r="BI304">
            <v>9945.52</v>
          </cell>
          <cell r="BJ304">
            <v>9155.49</v>
          </cell>
          <cell r="BK304">
            <v>18168.900000000001</v>
          </cell>
          <cell r="BL304">
            <v>11991.49</v>
          </cell>
          <cell r="BM304">
            <v>21530.69</v>
          </cell>
          <cell r="BN304">
            <v>19344.349999999999</v>
          </cell>
          <cell r="BO304">
            <v>14216.77</v>
          </cell>
          <cell r="BP304">
            <v>25131.83</v>
          </cell>
          <cell r="BQ304">
            <v>9113.32</v>
          </cell>
          <cell r="BR304">
            <v>19460.55</v>
          </cell>
          <cell r="BS304">
            <v>11889.6</v>
          </cell>
          <cell r="BT304">
            <v>8726.77</v>
          </cell>
          <cell r="BU304">
            <v>6406.66</v>
          </cell>
          <cell r="BV304">
            <v>8836.9500000000007</v>
          </cell>
          <cell r="BW304">
            <v>11968.47</v>
          </cell>
          <cell r="BX304">
            <v>7026.03</v>
          </cell>
          <cell r="BY304">
            <v>15062.63</v>
          </cell>
          <cell r="BZ304">
            <v>6728.49</v>
          </cell>
          <cell r="CA304">
            <v>9333.2800000000007</v>
          </cell>
          <cell r="CB304">
            <v>19065.28</v>
          </cell>
          <cell r="CC304">
            <v>15926.84</v>
          </cell>
          <cell r="CD304">
            <v>6141.16</v>
          </cell>
          <cell r="CE304">
            <v>21197.14</v>
          </cell>
          <cell r="CF304">
            <v>50999.54</v>
          </cell>
          <cell r="CG304">
            <v>24061.14</v>
          </cell>
          <cell r="CH304">
            <v>6641.23</v>
          </cell>
          <cell r="CI304">
            <v>20447.07</v>
          </cell>
          <cell r="CJ304">
            <v>26767.95</v>
          </cell>
          <cell r="CK304">
            <v>17703.32</v>
          </cell>
          <cell r="CL304">
            <v>10914.08</v>
          </cell>
          <cell r="CM304">
            <v>16006.87</v>
          </cell>
          <cell r="CN304">
            <v>13922.13</v>
          </cell>
          <cell r="CO304">
            <v>39721.5</v>
          </cell>
          <cell r="CP304">
            <v>21239.64</v>
          </cell>
          <cell r="CQ304">
            <v>6015.55</v>
          </cell>
          <cell r="CR304">
            <v>5763.73</v>
          </cell>
          <cell r="CS304">
            <v>14639.23</v>
          </cell>
          <cell r="CT304">
            <v>18296.73</v>
          </cell>
          <cell r="CU304">
            <v>18764.669999999998</v>
          </cell>
          <cell r="CV304">
            <v>8651.2199999999993</v>
          </cell>
          <cell r="CW304">
            <v>21998.19</v>
          </cell>
          <cell r="CX304">
            <v>15631.47</v>
          </cell>
          <cell r="CY304">
            <v>28304.48</v>
          </cell>
          <cell r="CZ304">
            <v>13285.85</v>
          </cell>
          <cell r="DA304">
            <v>31820.67</v>
          </cell>
          <cell r="DB304">
            <v>8270.98</v>
          </cell>
          <cell r="DC304">
            <v>10237.83</v>
          </cell>
          <cell r="DD304">
            <v>8246.34</v>
          </cell>
          <cell r="DE304">
            <v>8148.23</v>
          </cell>
          <cell r="DF304">
            <v>9181.16</v>
          </cell>
          <cell r="DG304">
            <v>22178.67</v>
          </cell>
        </row>
        <row r="305">
          <cell r="A305">
            <v>6790250</v>
          </cell>
          <cell r="B305">
            <v>6790250</v>
          </cell>
          <cell r="C305" t="str">
            <v>Ene Conserv Allow</v>
          </cell>
          <cell r="D305">
            <v>949747.72</v>
          </cell>
          <cell r="E305">
            <v>664070.30000000005</v>
          </cell>
          <cell r="F305">
            <v>661395.06000000006</v>
          </cell>
          <cell r="G305">
            <v>725438.33</v>
          </cell>
          <cell r="H305">
            <v>691790.3</v>
          </cell>
          <cell r="I305">
            <v>749104.7</v>
          </cell>
          <cell r="J305">
            <v>1066480.49</v>
          </cell>
          <cell r="K305">
            <v>722618.03</v>
          </cell>
          <cell r="L305">
            <v>916547.67</v>
          </cell>
          <cell r="M305">
            <v>871316.52</v>
          </cell>
          <cell r="N305">
            <v>789809</v>
          </cell>
          <cell r="O305">
            <v>659061.64</v>
          </cell>
          <cell r="P305">
            <v>1238673.71</v>
          </cell>
          <cell r="Q305">
            <v>798909.74</v>
          </cell>
          <cell r="R305">
            <v>982440.77</v>
          </cell>
          <cell r="S305">
            <v>750071.64</v>
          </cell>
          <cell r="T305">
            <v>972817.13</v>
          </cell>
          <cell r="U305">
            <v>860955.2</v>
          </cell>
          <cell r="V305">
            <v>835690.83</v>
          </cell>
          <cell r="W305">
            <v>884452.64</v>
          </cell>
          <cell r="X305">
            <v>801866.48</v>
          </cell>
          <cell r="Y305">
            <v>1094078.82</v>
          </cell>
          <cell r="Z305">
            <v>799705.5</v>
          </cell>
          <cell r="AA305">
            <v>744157</v>
          </cell>
          <cell r="AB305">
            <v>973248.13</v>
          </cell>
          <cell r="AC305">
            <v>893701.61</v>
          </cell>
          <cell r="AD305">
            <v>903086.13</v>
          </cell>
          <cell r="AE305">
            <v>803985.28</v>
          </cell>
          <cell r="AF305">
            <v>1092920.43</v>
          </cell>
          <cell r="AG305">
            <v>999892.63</v>
          </cell>
          <cell r="AH305">
            <v>943172.28</v>
          </cell>
          <cell r="AI305">
            <v>1082283.04</v>
          </cell>
          <cell r="AJ305">
            <v>789706</v>
          </cell>
          <cell r="AK305">
            <v>1108295</v>
          </cell>
          <cell r="AL305">
            <v>794355</v>
          </cell>
          <cell r="AM305">
            <v>1407418.43</v>
          </cell>
          <cell r="AN305">
            <v>310156.13</v>
          </cell>
          <cell r="AO305">
            <v>606636.23</v>
          </cell>
          <cell r="AP305">
            <v>838760</v>
          </cell>
          <cell r="AQ305">
            <v>815111.9</v>
          </cell>
          <cell r="AR305">
            <v>1318245.74</v>
          </cell>
          <cell r="AS305">
            <v>1393443.36</v>
          </cell>
          <cell r="AT305">
            <v>1338417.76</v>
          </cell>
          <cell r="AU305">
            <v>1558462.55</v>
          </cell>
          <cell r="AV305">
            <v>1236449.33</v>
          </cell>
          <cell r="AW305">
            <v>1536339.34</v>
          </cell>
          <cell r="AX305">
            <v>1053332.5</v>
          </cell>
          <cell r="AY305">
            <v>929645.42</v>
          </cell>
          <cell r="AZ305">
            <v>1200823.93</v>
          </cell>
          <cell r="BA305">
            <v>1460370.95</v>
          </cell>
          <cell r="BB305">
            <v>1683817.51</v>
          </cell>
          <cell r="BC305">
            <v>2493383.5499999998</v>
          </cell>
          <cell r="BD305">
            <v>897165.18</v>
          </cell>
          <cell r="BE305">
            <v>968573.87</v>
          </cell>
          <cell r="BF305">
            <v>1917275.91</v>
          </cell>
          <cell r="BG305">
            <v>1282213.32</v>
          </cell>
          <cell r="BH305">
            <v>840282.22</v>
          </cell>
          <cell r="BI305">
            <v>1629079.68</v>
          </cell>
          <cell r="BJ305">
            <v>940347.54</v>
          </cell>
          <cell r="BK305">
            <v>1251110.43</v>
          </cell>
          <cell r="BL305">
            <v>1596912.9</v>
          </cell>
          <cell r="BM305">
            <v>735501.5</v>
          </cell>
          <cell r="BN305">
            <v>947344.03</v>
          </cell>
          <cell r="BO305">
            <v>1151279.18</v>
          </cell>
          <cell r="BP305">
            <v>925124.02</v>
          </cell>
          <cell r="BQ305">
            <v>1723184.5</v>
          </cell>
          <cell r="BR305">
            <v>1992930.82</v>
          </cell>
          <cell r="BS305">
            <v>1308875</v>
          </cell>
          <cell r="BT305">
            <v>901355.78</v>
          </cell>
          <cell r="BU305">
            <v>1214722.19</v>
          </cell>
          <cell r="BV305">
            <v>1237925</v>
          </cell>
          <cell r="BW305">
            <v>1323290.27</v>
          </cell>
          <cell r="BX305">
            <v>1431402.19</v>
          </cell>
          <cell r="BY305">
            <v>1001450</v>
          </cell>
          <cell r="BZ305">
            <v>983821.67</v>
          </cell>
          <cell r="CA305">
            <v>1322282.1599999999</v>
          </cell>
          <cell r="CB305">
            <v>1188625</v>
          </cell>
          <cell r="CC305">
            <v>1323574.3400000001</v>
          </cell>
          <cell r="CD305">
            <v>1155282.55</v>
          </cell>
          <cell r="CE305">
            <v>1204895</v>
          </cell>
          <cell r="CF305">
            <v>1574379.68</v>
          </cell>
          <cell r="CG305">
            <v>1436685.15</v>
          </cell>
          <cell r="CH305">
            <v>1170515.52</v>
          </cell>
          <cell r="CI305">
            <v>1300004.18</v>
          </cell>
          <cell r="CJ305">
            <v>1165084.99</v>
          </cell>
          <cell r="CK305">
            <v>1474994.81</v>
          </cell>
          <cell r="CL305">
            <v>1512938.21</v>
          </cell>
          <cell r="CM305">
            <v>1312487.97</v>
          </cell>
          <cell r="CN305">
            <v>1151022.1100000001</v>
          </cell>
          <cell r="CO305">
            <v>1138248.71</v>
          </cell>
          <cell r="CP305">
            <v>1285814.52</v>
          </cell>
          <cell r="CQ305">
            <v>912122.83</v>
          </cell>
          <cell r="CR305">
            <v>1422266.67</v>
          </cell>
          <cell r="CS305">
            <v>1374323.46</v>
          </cell>
          <cell r="CT305">
            <v>1332031.74</v>
          </cell>
          <cell r="CU305">
            <v>1042586.03</v>
          </cell>
          <cell r="CV305">
            <v>1611741.49</v>
          </cell>
          <cell r="CW305">
            <v>1348559.31</v>
          </cell>
          <cell r="CX305">
            <v>2526455.63</v>
          </cell>
          <cell r="CY305">
            <v>1326253.45</v>
          </cell>
          <cell r="CZ305">
            <v>1051077.49</v>
          </cell>
          <cell r="DA305">
            <v>734608.53</v>
          </cell>
          <cell r="DB305">
            <v>2843416.59</v>
          </cell>
          <cell r="DC305">
            <v>1635224.13</v>
          </cell>
          <cell r="DD305">
            <v>2126065.61</v>
          </cell>
          <cell r="DE305">
            <v>1771693.16</v>
          </cell>
          <cell r="DF305">
            <v>1902959.89</v>
          </cell>
          <cell r="DG305">
            <v>1884431.12</v>
          </cell>
        </row>
        <row r="306">
          <cell r="A306">
            <v>6790255</v>
          </cell>
          <cell r="B306">
            <v>6790255</v>
          </cell>
          <cell r="C306" t="str">
            <v>Selling Mktg Exp</v>
          </cell>
          <cell r="D306">
            <v>28703.45</v>
          </cell>
          <cell r="E306">
            <v>8415.6200000000008</v>
          </cell>
          <cell r="F306">
            <v>12240</v>
          </cell>
          <cell r="G306">
            <v>10673.48</v>
          </cell>
          <cell r="H306">
            <v>35110.870000000003</v>
          </cell>
          <cell r="I306">
            <v>1072.56</v>
          </cell>
          <cell r="J306">
            <v>35119.71</v>
          </cell>
          <cell r="K306">
            <v>44010.32</v>
          </cell>
          <cell r="L306">
            <v>41096.82</v>
          </cell>
          <cell r="M306">
            <v>4537.0600000000004</v>
          </cell>
          <cell r="N306">
            <v>39148</v>
          </cell>
          <cell r="O306">
            <v>217946.21</v>
          </cell>
          <cell r="P306">
            <v>27202.799999999999</v>
          </cell>
          <cell r="Q306">
            <v>23459.63</v>
          </cell>
          <cell r="R306">
            <v>48424.6</v>
          </cell>
          <cell r="S306">
            <v>18817.36</v>
          </cell>
          <cell r="T306">
            <v>20928.060000000001</v>
          </cell>
          <cell r="U306">
            <v>34030.54</v>
          </cell>
          <cell r="V306">
            <v>69579.47</v>
          </cell>
          <cell r="W306">
            <v>85925.83</v>
          </cell>
          <cell r="X306">
            <v>24464.52</v>
          </cell>
          <cell r="Y306">
            <v>2940.42</v>
          </cell>
          <cell r="Z306">
            <v>169102.86</v>
          </cell>
          <cell r="AA306">
            <v>9925.5</v>
          </cell>
          <cell r="AB306">
            <v>16184.06</v>
          </cell>
          <cell r="AC306">
            <v>43901.45</v>
          </cell>
          <cell r="AD306">
            <v>18749.68</v>
          </cell>
          <cell r="AE306">
            <v>3346.5</v>
          </cell>
          <cell r="AF306">
            <v>209465.51</v>
          </cell>
          <cell r="AG306">
            <v>19640.189999999999</v>
          </cell>
          <cell r="AH306">
            <v>18012.490000000002</v>
          </cell>
          <cell r="AI306">
            <v>7416.01</v>
          </cell>
          <cell r="AJ306">
            <v>4854.8999999999996</v>
          </cell>
          <cell r="AK306">
            <v>26182.45</v>
          </cell>
          <cell r="AL306">
            <v>1833.19</v>
          </cell>
          <cell r="AM306">
            <v>49753.19</v>
          </cell>
          <cell r="AN306">
            <v>6170</v>
          </cell>
          <cell r="AO306">
            <v>15675</v>
          </cell>
          <cell r="AP306">
            <v>13190.68</v>
          </cell>
          <cell r="AQ306">
            <v>7045.14</v>
          </cell>
          <cell r="AR306">
            <v>5727</v>
          </cell>
          <cell r="AS306">
            <v>5000</v>
          </cell>
          <cell r="AT306">
            <v>158000</v>
          </cell>
          <cell r="AU306">
            <v>16575</v>
          </cell>
          <cell r="AV306">
            <v>10888.76</v>
          </cell>
          <cell r="AW306">
            <v>39988.629999999997</v>
          </cell>
          <cell r="AX306">
            <v>48248.58</v>
          </cell>
          <cell r="AY306">
            <v>-78016.05</v>
          </cell>
          <cell r="AZ306">
            <v>25475</v>
          </cell>
          <cell r="BA306">
            <v>16750</v>
          </cell>
          <cell r="BB306">
            <v>16399.3</v>
          </cell>
          <cell r="BC306">
            <v>-10934.5</v>
          </cell>
          <cell r="BD306">
            <v>7784</v>
          </cell>
          <cell r="BE306">
            <v>227.65</v>
          </cell>
          <cell r="BF306">
            <v>19875</v>
          </cell>
          <cell r="BG306">
            <v>4955.71</v>
          </cell>
          <cell r="BH306">
            <v>475.17</v>
          </cell>
          <cell r="BI306">
            <v>16951.55</v>
          </cell>
          <cell r="BJ306">
            <v>16103.77</v>
          </cell>
          <cell r="BK306">
            <v>40314.32</v>
          </cell>
          <cell r="BL306">
            <v>13835.11</v>
          </cell>
          <cell r="BM306">
            <v>17503.63</v>
          </cell>
          <cell r="BN306">
            <v>0</v>
          </cell>
          <cell r="BO306">
            <v>0</v>
          </cell>
          <cell r="BP306">
            <v>165194.6</v>
          </cell>
          <cell r="BQ306">
            <v>0</v>
          </cell>
          <cell r="BR306">
            <v>1684.78</v>
          </cell>
          <cell r="BS306">
            <v>0</v>
          </cell>
          <cell r="BT306">
            <v>7247.77</v>
          </cell>
          <cell r="BU306">
            <v>1554.98</v>
          </cell>
          <cell r="BV306">
            <v>39218.730000000003</v>
          </cell>
          <cell r="BW306">
            <v>47906.34</v>
          </cell>
          <cell r="BX306">
            <v>0</v>
          </cell>
          <cell r="BY306">
            <v>13000</v>
          </cell>
          <cell r="BZ306">
            <v>25028.02</v>
          </cell>
          <cell r="CA306">
            <v>4549</v>
          </cell>
          <cell r="CB306">
            <v>16322.34</v>
          </cell>
          <cell r="CC306">
            <v>0</v>
          </cell>
          <cell r="CD306">
            <v>3410</v>
          </cell>
          <cell r="CE306">
            <v>658.5</v>
          </cell>
          <cell r="CF306">
            <v>153000</v>
          </cell>
          <cell r="CG306">
            <v>11100</v>
          </cell>
          <cell r="CH306">
            <v>-153000</v>
          </cell>
          <cell r="CI306">
            <v>10300</v>
          </cell>
          <cell r="CJ306">
            <v>0</v>
          </cell>
          <cell r="CK306">
            <v>0</v>
          </cell>
          <cell r="CL306">
            <v>0</v>
          </cell>
          <cell r="CM306">
            <v>20600</v>
          </cell>
          <cell r="CN306">
            <v>-20600</v>
          </cell>
          <cell r="CO306">
            <v>22500</v>
          </cell>
          <cell r="CP306">
            <v>0</v>
          </cell>
          <cell r="CQ306">
            <v>0</v>
          </cell>
          <cell r="CR306">
            <v>0</v>
          </cell>
          <cell r="CS306">
            <v>0</v>
          </cell>
          <cell r="CT306">
            <v>28675</v>
          </cell>
          <cell r="CU306">
            <v>0</v>
          </cell>
          <cell r="CV306">
            <v>0</v>
          </cell>
          <cell r="CW306">
            <v>0</v>
          </cell>
          <cell r="CX306">
            <v>0</v>
          </cell>
          <cell r="CY306">
            <v>0</v>
          </cell>
          <cell r="CZ306">
            <v>0</v>
          </cell>
          <cell r="DA306">
            <v>0</v>
          </cell>
          <cell r="DB306">
            <v>0</v>
          </cell>
          <cell r="DC306">
            <v>43550</v>
          </cell>
          <cell r="DD306">
            <v>0</v>
          </cell>
          <cell r="DE306">
            <v>0</v>
          </cell>
          <cell r="DF306">
            <v>0</v>
          </cell>
          <cell r="DG306">
            <v>0</v>
          </cell>
        </row>
        <row r="307">
          <cell r="A307">
            <v>6790260</v>
          </cell>
          <cell r="B307">
            <v>6790260</v>
          </cell>
          <cell r="C307" t="str">
            <v>Settlement/Claim Exp</v>
          </cell>
          <cell r="D307">
            <v>130</v>
          </cell>
          <cell r="E307">
            <v>4574.88</v>
          </cell>
          <cell r="F307">
            <v>-2381923.23</v>
          </cell>
          <cell r="G307">
            <v>17163.490000000002</v>
          </cell>
          <cell r="H307">
            <v>7590.5</v>
          </cell>
          <cell r="I307">
            <v>8731.99</v>
          </cell>
          <cell r="J307">
            <v>2208.17</v>
          </cell>
          <cell r="K307">
            <v>4256.41</v>
          </cell>
          <cell r="L307">
            <v>-3741.31</v>
          </cell>
          <cell r="M307">
            <v>15465.71</v>
          </cell>
          <cell r="N307">
            <v>1822.79</v>
          </cell>
          <cell r="O307">
            <v>23353.81</v>
          </cell>
          <cell r="P307">
            <v>9219</v>
          </cell>
          <cell r="Q307">
            <v>15289.17</v>
          </cell>
          <cell r="R307">
            <v>29327.94</v>
          </cell>
          <cell r="S307">
            <v>3964.51</v>
          </cell>
          <cell r="T307">
            <v>7939.17</v>
          </cell>
          <cell r="U307">
            <v>19888.34</v>
          </cell>
          <cell r="V307">
            <v>16141.24</v>
          </cell>
          <cell r="W307">
            <v>7503.14</v>
          </cell>
          <cell r="X307">
            <v>30656.95</v>
          </cell>
          <cell r="Y307">
            <v>37016.050000000003</v>
          </cell>
          <cell r="Z307">
            <v>22454.97</v>
          </cell>
          <cell r="AA307">
            <v>512697.81</v>
          </cell>
          <cell r="AB307">
            <v>3209.97</v>
          </cell>
          <cell r="AC307">
            <v>15083.18</v>
          </cell>
          <cell r="AD307">
            <v>10193.9</v>
          </cell>
          <cell r="AE307">
            <v>11299.75</v>
          </cell>
          <cell r="AF307">
            <v>6813.87</v>
          </cell>
          <cell r="AG307">
            <v>17117.759999999998</v>
          </cell>
          <cell r="AH307">
            <v>5422.69</v>
          </cell>
          <cell r="AI307">
            <v>10518.5</v>
          </cell>
          <cell r="AJ307">
            <v>56575.57</v>
          </cell>
          <cell r="AK307">
            <v>135027.73000000001</v>
          </cell>
          <cell r="AL307">
            <v>33857.199999999997</v>
          </cell>
          <cell r="AM307">
            <v>24529.32</v>
          </cell>
          <cell r="AN307">
            <v>5559.74</v>
          </cell>
          <cell r="AO307">
            <v>20812.61</v>
          </cell>
          <cell r="AP307">
            <v>16065.63</v>
          </cell>
          <cell r="AQ307">
            <v>1421.87</v>
          </cell>
          <cell r="AR307">
            <v>31144.7</v>
          </cell>
          <cell r="AS307">
            <v>14777.55</v>
          </cell>
          <cell r="AT307">
            <v>12025.19</v>
          </cell>
          <cell r="AU307">
            <v>4548.22</v>
          </cell>
          <cell r="AV307">
            <v>95</v>
          </cell>
          <cell r="AW307">
            <v>20571.36</v>
          </cell>
          <cell r="AX307">
            <v>3497.21</v>
          </cell>
          <cell r="AY307">
            <v>87015.34</v>
          </cell>
          <cell r="AZ307">
            <v>5225.87</v>
          </cell>
          <cell r="BA307">
            <v>19910.75</v>
          </cell>
          <cell r="BB307">
            <v>16277.8</v>
          </cell>
          <cell r="BC307">
            <v>62405.2</v>
          </cell>
          <cell r="BD307">
            <v>71464.160000000003</v>
          </cell>
          <cell r="BE307">
            <v>7467.79</v>
          </cell>
          <cell r="BF307">
            <v>17331.349999999999</v>
          </cell>
          <cell r="BG307">
            <v>38339.53</v>
          </cell>
          <cell r="BH307">
            <v>92890.81</v>
          </cell>
          <cell r="BI307">
            <v>-2386.89</v>
          </cell>
          <cell r="BJ307">
            <v>24274.18</v>
          </cell>
          <cell r="BK307">
            <v>57897.2</v>
          </cell>
          <cell r="BL307">
            <v>125</v>
          </cell>
          <cell r="BM307">
            <v>23957.439999999999</v>
          </cell>
          <cell r="BN307">
            <v>17266.88</v>
          </cell>
          <cell r="BO307">
            <v>37290.269999999997</v>
          </cell>
          <cell r="BP307">
            <v>17905.71</v>
          </cell>
          <cell r="BQ307">
            <v>92656.79</v>
          </cell>
          <cell r="BR307">
            <v>22133.06</v>
          </cell>
          <cell r="BS307">
            <v>13986.86</v>
          </cell>
          <cell r="BT307">
            <v>40124.089999999997</v>
          </cell>
          <cell r="BU307">
            <v>55205.91</v>
          </cell>
          <cell r="BV307">
            <v>17540.57</v>
          </cell>
          <cell r="BW307">
            <v>31006.85</v>
          </cell>
          <cell r="BX307">
            <v>16483.310000000001</v>
          </cell>
          <cell r="BY307">
            <v>49381.59</v>
          </cell>
          <cell r="BZ307">
            <v>7071.39</v>
          </cell>
          <cell r="CA307">
            <v>10559.94</v>
          </cell>
          <cell r="CB307">
            <v>33044.199999999997</v>
          </cell>
          <cell r="CC307">
            <v>56188.5</v>
          </cell>
          <cell r="CD307">
            <v>19666.650000000001</v>
          </cell>
          <cell r="CE307">
            <v>3494.96</v>
          </cell>
          <cell r="CF307">
            <v>44677.1</v>
          </cell>
          <cell r="CG307">
            <v>62120.21</v>
          </cell>
          <cell r="CH307">
            <v>17508.14</v>
          </cell>
          <cell r="CI307">
            <v>11563.91</v>
          </cell>
          <cell r="CJ307">
            <v>54993.14</v>
          </cell>
          <cell r="CK307">
            <v>30741.5</v>
          </cell>
          <cell r="CL307">
            <v>27095.35</v>
          </cell>
          <cell r="CM307">
            <v>28619.38</v>
          </cell>
          <cell r="CN307">
            <v>387547.08</v>
          </cell>
          <cell r="CO307">
            <v>60845.81</v>
          </cell>
          <cell r="CP307">
            <v>28755.91</v>
          </cell>
          <cell r="CQ307">
            <v>96575.85</v>
          </cell>
          <cell r="CR307">
            <v>19722.66</v>
          </cell>
          <cell r="CS307">
            <v>30653.759999999998</v>
          </cell>
          <cell r="CT307">
            <v>75220.94</v>
          </cell>
          <cell r="CU307">
            <v>20485.38</v>
          </cell>
          <cell r="CV307">
            <v>17402.509999999998</v>
          </cell>
          <cell r="CW307">
            <v>48862.26</v>
          </cell>
          <cell r="CX307">
            <v>25956.99</v>
          </cell>
          <cell r="CY307">
            <v>55324.44</v>
          </cell>
          <cell r="CZ307">
            <v>33177.550000000003</v>
          </cell>
          <cell r="DA307">
            <v>37267.599999999999</v>
          </cell>
          <cell r="DB307">
            <v>43693.09</v>
          </cell>
          <cell r="DC307">
            <v>76323.91</v>
          </cell>
          <cell r="DD307">
            <v>1107.5</v>
          </cell>
          <cell r="DE307">
            <v>50274.96</v>
          </cell>
          <cell r="DF307">
            <v>30698</v>
          </cell>
          <cell r="DG307">
            <v>287851.06</v>
          </cell>
        </row>
        <row r="308">
          <cell r="A308">
            <v>6790280</v>
          </cell>
          <cell r="B308">
            <v>6790280</v>
          </cell>
          <cell r="C308" t="str">
            <v>Stadium-Food</v>
          </cell>
          <cell r="D308">
            <v>0</v>
          </cell>
          <cell r="E308">
            <v>8541.2999999999993</v>
          </cell>
          <cell r="F308">
            <v>18661</v>
          </cell>
          <cell r="G308">
            <v>0</v>
          </cell>
          <cell r="H308">
            <v>2415</v>
          </cell>
          <cell r="I308">
            <v>0</v>
          </cell>
          <cell r="J308">
            <v>0</v>
          </cell>
          <cell r="K308">
            <v>3050.12</v>
          </cell>
          <cell r="L308">
            <v>0</v>
          </cell>
          <cell r="M308">
            <v>0</v>
          </cell>
          <cell r="N308">
            <v>0</v>
          </cell>
          <cell r="O308">
            <v>0</v>
          </cell>
          <cell r="P308">
            <v>0</v>
          </cell>
          <cell r="Q308">
            <v>0</v>
          </cell>
          <cell r="R308">
            <v>0</v>
          </cell>
          <cell r="S308">
            <v>0</v>
          </cell>
          <cell r="T308">
            <v>0</v>
          </cell>
          <cell r="U308">
            <v>0</v>
          </cell>
          <cell r="V308">
            <v>0</v>
          </cell>
          <cell r="W308">
            <v>3328.88</v>
          </cell>
          <cell r="X308">
            <v>0</v>
          </cell>
          <cell r="Y308">
            <v>0</v>
          </cell>
          <cell r="Z308">
            <v>0</v>
          </cell>
          <cell r="AA308">
            <v>0</v>
          </cell>
          <cell r="AB308">
            <v>0</v>
          </cell>
          <cell r="AC308">
            <v>0</v>
          </cell>
          <cell r="AD308">
            <v>0</v>
          </cell>
          <cell r="AE308">
            <v>0</v>
          </cell>
          <cell r="AF308">
            <v>0</v>
          </cell>
          <cell r="AG308">
            <v>0</v>
          </cell>
          <cell r="AH308">
            <v>0</v>
          </cell>
          <cell r="AI308">
            <v>4428.75</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89.14</v>
          </cell>
          <cell r="AX308">
            <v>2044.17</v>
          </cell>
          <cell r="AY308">
            <v>0</v>
          </cell>
          <cell r="AZ308">
            <v>0</v>
          </cell>
          <cell r="BA308">
            <v>0</v>
          </cell>
          <cell r="BB308">
            <v>0</v>
          </cell>
          <cell r="BC308">
            <v>458.23</v>
          </cell>
          <cell r="BD308">
            <v>650.45000000000005</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cell r="BV308"/>
          <cell r="BW308"/>
          <cell r="BX308"/>
          <cell r="BY308"/>
          <cell r="BZ308"/>
          <cell r="CA308"/>
          <cell r="CB308"/>
          <cell r="CC308"/>
          <cell r="CD308"/>
          <cell r="CE308"/>
          <cell r="CF308"/>
          <cell r="CG308"/>
          <cell r="CH308"/>
          <cell r="CI308"/>
          <cell r="CJ308"/>
          <cell r="CK308"/>
          <cell r="CL308"/>
          <cell r="CM308"/>
          <cell r="CN308"/>
          <cell r="CO308"/>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row>
        <row r="309">
          <cell r="A309">
            <v>6790281</v>
          </cell>
          <cell r="B309">
            <v>6790281</v>
          </cell>
          <cell r="C309" t="str">
            <v>Stadium-Other</v>
          </cell>
          <cell r="D309">
            <v>0</v>
          </cell>
          <cell r="E309">
            <v>8541.2999999999993</v>
          </cell>
          <cell r="F309">
            <v>18661</v>
          </cell>
          <cell r="G309">
            <v>0</v>
          </cell>
          <cell r="H309">
            <v>2415</v>
          </cell>
          <cell r="I309">
            <v>0</v>
          </cell>
          <cell r="J309">
            <v>0</v>
          </cell>
          <cell r="K309">
            <v>3050.12</v>
          </cell>
          <cell r="L309">
            <v>0</v>
          </cell>
          <cell r="M309">
            <v>0</v>
          </cell>
          <cell r="N309">
            <v>0</v>
          </cell>
          <cell r="O309">
            <v>0</v>
          </cell>
          <cell r="P309">
            <v>0</v>
          </cell>
          <cell r="Q309">
            <v>0</v>
          </cell>
          <cell r="R309">
            <v>0</v>
          </cell>
          <cell r="S309">
            <v>0</v>
          </cell>
          <cell r="T309">
            <v>0</v>
          </cell>
          <cell r="U309">
            <v>0</v>
          </cell>
          <cell r="V309">
            <v>0</v>
          </cell>
          <cell r="W309">
            <v>3328.88</v>
          </cell>
          <cell r="X309">
            <v>0</v>
          </cell>
          <cell r="Y309">
            <v>0</v>
          </cell>
          <cell r="Z309">
            <v>0</v>
          </cell>
          <cell r="AA309">
            <v>0</v>
          </cell>
          <cell r="AB309">
            <v>0</v>
          </cell>
          <cell r="AC309">
            <v>0</v>
          </cell>
          <cell r="AD309">
            <v>0</v>
          </cell>
          <cell r="AE309">
            <v>0</v>
          </cell>
          <cell r="AF309">
            <v>0</v>
          </cell>
          <cell r="AG309">
            <v>0</v>
          </cell>
          <cell r="AH309">
            <v>0</v>
          </cell>
          <cell r="AI309">
            <v>4428.75</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cell r="AX309"/>
          <cell r="AY309"/>
          <cell r="AZ309"/>
          <cell r="BA309"/>
          <cell r="BB309"/>
          <cell r="BC309"/>
          <cell r="BD309"/>
          <cell r="BE309"/>
          <cell r="BF309"/>
          <cell r="BG309"/>
          <cell r="BH309"/>
          <cell r="BI309"/>
          <cell r="BJ309"/>
          <cell r="BK309"/>
          <cell r="BL309"/>
          <cell r="BM309"/>
          <cell r="BN309"/>
          <cell r="BO309"/>
          <cell r="BP309"/>
          <cell r="BQ309"/>
          <cell r="BR309"/>
          <cell r="BS309"/>
          <cell r="BT309"/>
          <cell r="BU309"/>
          <cell r="BV309"/>
          <cell r="BW309"/>
          <cell r="BX309"/>
          <cell r="BY309"/>
          <cell r="BZ309"/>
          <cell r="CA309"/>
          <cell r="CB309"/>
          <cell r="CC309"/>
          <cell r="CD309"/>
          <cell r="CE309"/>
          <cell r="CF309"/>
          <cell r="CG309"/>
          <cell r="CH309"/>
          <cell r="CI309"/>
          <cell r="CJ309"/>
          <cell r="CK309"/>
          <cell r="CL309"/>
          <cell r="CM309"/>
          <cell r="CN309"/>
          <cell r="CO309"/>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row>
        <row r="310">
          <cell r="A310">
            <v>6790300</v>
          </cell>
          <cell r="B310">
            <v>6790300</v>
          </cell>
          <cell r="C310" t="str">
            <v>Cash Discounts Taken</v>
          </cell>
          <cell r="D310">
            <v>-747.72</v>
          </cell>
          <cell r="E310">
            <v>-265.95999999999998</v>
          </cell>
          <cell r="F310">
            <v>-380.17</v>
          </cell>
          <cell r="G310">
            <v>-846.95</v>
          </cell>
          <cell r="H310">
            <v>-1283.01</v>
          </cell>
          <cell r="I310">
            <v>-591.19000000000005</v>
          </cell>
          <cell r="J310">
            <v>-1138.6400000000001</v>
          </cell>
          <cell r="K310">
            <v>-1212.3900000000001</v>
          </cell>
          <cell r="L310">
            <v>-541.38</v>
          </cell>
          <cell r="M310">
            <v>-431.8</v>
          </cell>
          <cell r="N310">
            <v>-623.79999999999995</v>
          </cell>
          <cell r="O310">
            <v>-477.64</v>
          </cell>
          <cell r="P310">
            <v>-555.28</v>
          </cell>
          <cell r="Q310">
            <v>-383.34</v>
          </cell>
          <cell r="R310">
            <v>-489.41</v>
          </cell>
          <cell r="S310">
            <v>-541.15</v>
          </cell>
          <cell r="T310">
            <v>-647.24</v>
          </cell>
          <cell r="U310">
            <v>-529.04999999999995</v>
          </cell>
          <cell r="V310">
            <v>-783.71</v>
          </cell>
          <cell r="W310">
            <v>-513.67999999999995</v>
          </cell>
          <cell r="X310">
            <v>-145.80000000000001</v>
          </cell>
          <cell r="Y310">
            <v>-270.38</v>
          </cell>
          <cell r="Z310">
            <v>-298.97000000000003</v>
          </cell>
          <cell r="AA310">
            <v>-87.76</v>
          </cell>
          <cell r="AB310">
            <v>-75.38</v>
          </cell>
          <cell r="AC310">
            <v>-49.15</v>
          </cell>
          <cell r="AD310">
            <v>-47.13</v>
          </cell>
          <cell r="AE310">
            <v>-22.91</v>
          </cell>
          <cell r="AF310">
            <v>-93.15</v>
          </cell>
          <cell r="AG310">
            <v>-82.03</v>
          </cell>
          <cell r="AH310">
            <v>-17.86</v>
          </cell>
          <cell r="AI310">
            <v>-34.85</v>
          </cell>
          <cell r="AJ310">
            <v>-13.74</v>
          </cell>
          <cell r="AK310">
            <v>-4.8600000000000003</v>
          </cell>
          <cell r="AL310">
            <v>-54.04</v>
          </cell>
          <cell r="AM310">
            <v>-17.23</v>
          </cell>
          <cell r="AN310">
            <v>-17.2</v>
          </cell>
          <cell r="AO310">
            <v>-30.28</v>
          </cell>
          <cell r="AP310">
            <v>-105.43</v>
          </cell>
          <cell r="AQ310">
            <v>-189.58</v>
          </cell>
          <cell r="AR310">
            <v>0</v>
          </cell>
          <cell r="AS310">
            <v>-4035.22</v>
          </cell>
          <cell r="AT310">
            <v>-36.33</v>
          </cell>
          <cell r="AU310">
            <v>-33.72</v>
          </cell>
          <cell r="AV310">
            <v>-16.600000000000001</v>
          </cell>
          <cell r="AW310">
            <v>-11.5</v>
          </cell>
          <cell r="AX310">
            <v>-62.66</v>
          </cell>
          <cell r="AY310">
            <v>-8.14</v>
          </cell>
          <cell r="AZ310">
            <v>-86.46</v>
          </cell>
          <cell r="BA310">
            <v>-0.84</v>
          </cell>
          <cell r="BB310">
            <v>-13.6</v>
          </cell>
          <cell r="BC310">
            <v>0</v>
          </cell>
          <cell r="BD310">
            <v>-23.42</v>
          </cell>
          <cell r="BE310">
            <v>-6.6</v>
          </cell>
          <cell r="BF310">
            <v>0</v>
          </cell>
          <cell r="BG310">
            <v>-32.880000000000003</v>
          </cell>
          <cell r="BH310">
            <v>-175.01</v>
          </cell>
          <cell r="BI310">
            <v>-4.91</v>
          </cell>
          <cell r="BJ310">
            <v>-32.869999999999997</v>
          </cell>
          <cell r="BK310">
            <v>-3.91</v>
          </cell>
          <cell r="BL310">
            <v>-48.02</v>
          </cell>
          <cell r="BM310">
            <v>-9.4700000000000006</v>
          </cell>
          <cell r="BN310">
            <v>-28.77</v>
          </cell>
          <cell r="BO310">
            <v>-24.35</v>
          </cell>
          <cell r="BP310">
            <v>-9.86</v>
          </cell>
          <cell r="BQ310">
            <v>-28.2</v>
          </cell>
          <cell r="BR310">
            <v>-2.4500000000000002</v>
          </cell>
          <cell r="BS310">
            <v>-9.66</v>
          </cell>
          <cell r="BT310">
            <v>-29.07</v>
          </cell>
          <cell r="BU310">
            <v>-18.91</v>
          </cell>
          <cell r="BV310">
            <v>-9.9</v>
          </cell>
          <cell r="BW310">
            <v>0</v>
          </cell>
          <cell r="BX310">
            <v>-1.99</v>
          </cell>
          <cell r="BY310">
            <v>-9.36</v>
          </cell>
          <cell r="BZ310">
            <v>0</v>
          </cell>
          <cell r="CA310">
            <v>0</v>
          </cell>
          <cell r="CB310">
            <v>-42.3</v>
          </cell>
          <cell r="CC310">
            <v>-15.35</v>
          </cell>
          <cell r="CD310">
            <v>0</v>
          </cell>
          <cell r="CE310">
            <v>0</v>
          </cell>
          <cell r="CF310">
            <v>-6.36</v>
          </cell>
          <cell r="CG310">
            <v>0</v>
          </cell>
          <cell r="CH310">
            <v>0</v>
          </cell>
          <cell r="CI310">
            <v>0</v>
          </cell>
          <cell r="CJ310">
            <v>0</v>
          </cell>
          <cell r="CK310">
            <v>-362.42</v>
          </cell>
          <cell r="CL310">
            <v>0</v>
          </cell>
          <cell r="CM310">
            <v>-8.4499999999999993</v>
          </cell>
          <cell r="CN310">
            <v>-1.28</v>
          </cell>
          <cell r="CO310">
            <v>0</v>
          </cell>
          <cell r="CP310">
            <v>-1.62</v>
          </cell>
          <cell r="CQ310">
            <v>0</v>
          </cell>
          <cell r="CR310">
            <v>-31.01</v>
          </cell>
          <cell r="CS310">
            <v>-3.05</v>
          </cell>
          <cell r="CT310">
            <v>-12.91</v>
          </cell>
          <cell r="CU310">
            <v>-1.88</v>
          </cell>
          <cell r="CV310">
            <v>-0.7</v>
          </cell>
          <cell r="CW310">
            <v>-5.61</v>
          </cell>
          <cell r="CX310">
            <v>-49.57</v>
          </cell>
          <cell r="CY310">
            <v>-42.05</v>
          </cell>
          <cell r="CZ310">
            <v>-26.04</v>
          </cell>
          <cell r="DA310">
            <v>-78.81</v>
          </cell>
          <cell r="DB310">
            <v>-67.13</v>
          </cell>
          <cell r="DC310">
            <v>-49.34</v>
          </cell>
          <cell r="DD310">
            <v>-109.44</v>
          </cell>
          <cell r="DE310">
            <v>-1.66</v>
          </cell>
          <cell r="DF310">
            <v>-88.89</v>
          </cell>
          <cell r="DG310">
            <v>-15.49</v>
          </cell>
        </row>
        <row r="311">
          <cell r="A311">
            <v>6790305</v>
          </cell>
          <cell r="B311">
            <v>6790305</v>
          </cell>
          <cell r="C311" t="str">
            <v>A&amp;G Allocation</v>
          </cell>
          <cell r="D311">
            <v>333333</v>
          </cell>
          <cell r="E311">
            <v>333333</v>
          </cell>
          <cell r="F311">
            <v>333333</v>
          </cell>
          <cell r="G311">
            <v>333333</v>
          </cell>
          <cell r="H311">
            <v>333333</v>
          </cell>
          <cell r="I311">
            <v>333333</v>
          </cell>
          <cell r="J311">
            <v>333333</v>
          </cell>
          <cell r="K311">
            <v>333333</v>
          </cell>
          <cell r="L311">
            <v>333333</v>
          </cell>
          <cell r="M311">
            <v>333333</v>
          </cell>
          <cell r="N311">
            <v>333333</v>
          </cell>
          <cell r="O311">
            <v>333333</v>
          </cell>
          <cell r="P311">
            <v>333333</v>
          </cell>
          <cell r="Q311">
            <v>333333</v>
          </cell>
          <cell r="R311">
            <v>333333</v>
          </cell>
          <cell r="S311">
            <v>333333</v>
          </cell>
          <cell r="T311">
            <v>333333</v>
          </cell>
          <cell r="U311">
            <v>333333</v>
          </cell>
          <cell r="V311">
            <v>333333</v>
          </cell>
          <cell r="W311">
            <v>333333</v>
          </cell>
          <cell r="X311">
            <v>333333</v>
          </cell>
          <cell r="Y311">
            <v>333333</v>
          </cell>
          <cell r="Z311">
            <v>333333</v>
          </cell>
          <cell r="AA311">
            <v>333333</v>
          </cell>
          <cell r="AB311">
            <v>333333</v>
          </cell>
          <cell r="AC311">
            <v>333333</v>
          </cell>
          <cell r="AD311">
            <v>333333</v>
          </cell>
          <cell r="AE311">
            <v>381312.36</v>
          </cell>
          <cell r="AF311">
            <v>285353.64</v>
          </cell>
          <cell r="AG311">
            <v>333333</v>
          </cell>
          <cell r="AH311">
            <v>333333</v>
          </cell>
          <cell r="AI311">
            <v>333342.65999999997</v>
          </cell>
          <cell r="AJ311">
            <v>333333</v>
          </cell>
          <cell r="AK311">
            <v>333333</v>
          </cell>
          <cell r="AL311">
            <v>333333</v>
          </cell>
          <cell r="AM311">
            <v>333333</v>
          </cell>
          <cell r="AN311">
            <v>333333</v>
          </cell>
          <cell r="AO311">
            <v>333333</v>
          </cell>
          <cell r="AP311">
            <v>333333</v>
          </cell>
          <cell r="AQ311">
            <v>333333</v>
          </cell>
          <cell r="AR311">
            <v>333333</v>
          </cell>
          <cell r="AS311">
            <v>333333</v>
          </cell>
          <cell r="AT311">
            <v>500000</v>
          </cell>
          <cell r="AU311">
            <v>500401.2</v>
          </cell>
          <cell r="AV311">
            <v>500000</v>
          </cell>
          <cell r="AW311">
            <v>500000</v>
          </cell>
          <cell r="AX311">
            <v>500000</v>
          </cell>
          <cell r="AY311">
            <v>500000</v>
          </cell>
          <cell r="AZ311">
            <v>500000</v>
          </cell>
          <cell r="BA311">
            <v>500000</v>
          </cell>
          <cell r="BB311">
            <v>500000</v>
          </cell>
          <cell r="BC311">
            <v>500000</v>
          </cell>
          <cell r="BD311">
            <v>500000</v>
          </cell>
          <cell r="BE311">
            <v>500000</v>
          </cell>
          <cell r="BF311">
            <v>500000</v>
          </cell>
          <cell r="BG311">
            <v>500000</v>
          </cell>
          <cell r="BH311">
            <v>500000</v>
          </cell>
          <cell r="BI311">
            <v>500000</v>
          </cell>
          <cell r="BJ311">
            <v>500000</v>
          </cell>
          <cell r="BK311">
            <v>500000</v>
          </cell>
          <cell r="BL311">
            <v>500000</v>
          </cell>
          <cell r="BM311">
            <v>500000</v>
          </cell>
          <cell r="BN311">
            <v>1000000</v>
          </cell>
          <cell r="BO311">
            <v>666666.67000000004</v>
          </cell>
          <cell r="BP311">
            <v>666666.67000000004</v>
          </cell>
          <cell r="BQ311">
            <v>666666.67000000004</v>
          </cell>
          <cell r="BR311">
            <v>666666.67000000004</v>
          </cell>
          <cell r="BS311">
            <v>666666.67000000004</v>
          </cell>
          <cell r="BT311">
            <v>666666.67000000004</v>
          </cell>
          <cell r="BU311">
            <v>666666.67000000004</v>
          </cell>
          <cell r="BV311">
            <v>666666.67000000004</v>
          </cell>
          <cell r="BW311">
            <v>666666.67000000004</v>
          </cell>
          <cell r="BX311">
            <v>666666.67000000004</v>
          </cell>
          <cell r="BY311">
            <v>666666.67000000004</v>
          </cell>
          <cell r="BZ311">
            <v>666666.67000000004</v>
          </cell>
          <cell r="CA311">
            <v>666666.67000000004</v>
          </cell>
          <cell r="CB311">
            <v>666666.67000000004</v>
          </cell>
          <cell r="CC311">
            <v>666666.67000000004</v>
          </cell>
          <cell r="CD311">
            <v>666666.67000000004</v>
          </cell>
          <cell r="CE311">
            <v>666666.67000000004</v>
          </cell>
          <cell r="CF311">
            <v>680419.7</v>
          </cell>
          <cell r="CG311">
            <v>666880.01</v>
          </cell>
          <cell r="CH311">
            <v>666666.67000000004</v>
          </cell>
          <cell r="CI311">
            <v>666666.63</v>
          </cell>
          <cell r="CJ311">
            <v>630430.63</v>
          </cell>
          <cell r="CK311">
            <v>666666.63</v>
          </cell>
          <cell r="CL311">
            <v>666666.63</v>
          </cell>
          <cell r="CM311">
            <v>666666.67000000004</v>
          </cell>
          <cell r="CN311">
            <v>666666.67000000004</v>
          </cell>
          <cell r="CO311">
            <v>666666.67000000004</v>
          </cell>
          <cell r="CP311">
            <v>666666.67000000004</v>
          </cell>
          <cell r="CQ311">
            <v>666666.67000000004</v>
          </cell>
          <cell r="CR311">
            <v>839854.36</v>
          </cell>
          <cell r="CS311">
            <v>684827.82</v>
          </cell>
          <cell r="CT311">
            <v>1602371.46</v>
          </cell>
          <cell r="CU311">
            <v>771269.92</v>
          </cell>
          <cell r="CV311">
            <v>860468.56</v>
          </cell>
          <cell r="CW311">
            <v>838414.83</v>
          </cell>
          <cell r="CX311">
            <v>835737.27</v>
          </cell>
          <cell r="CY311">
            <v>833883.08</v>
          </cell>
          <cell r="CZ311">
            <v>833932.98</v>
          </cell>
          <cell r="DA311">
            <v>835478.6</v>
          </cell>
          <cell r="DB311">
            <v>833696.98</v>
          </cell>
          <cell r="DC311">
            <v>834842.53</v>
          </cell>
          <cell r="DD311">
            <v>833902.92</v>
          </cell>
          <cell r="DE311">
            <v>834067.11</v>
          </cell>
          <cell r="DF311">
            <v>833333.33</v>
          </cell>
          <cell r="DG311">
            <v>1833333.36</v>
          </cell>
        </row>
        <row r="312">
          <cell r="A312">
            <v>6790310</v>
          </cell>
          <cell r="B312">
            <v>6790310</v>
          </cell>
          <cell r="C312" t="str">
            <v>A&amp;G Alloc to Capital</v>
          </cell>
          <cell r="D312">
            <v>-283333</v>
          </cell>
          <cell r="E312">
            <v>-283333</v>
          </cell>
          <cell r="F312">
            <v>-283333</v>
          </cell>
          <cell r="G312">
            <v>-283333</v>
          </cell>
          <cell r="H312">
            <v>-283333</v>
          </cell>
          <cell r="I312">
            <v>-283333</v>
          </cell>
          <cell r="J312">
            <v>-283333</v>
          </cell>
          <cell r="K312">
            <v>-283333</v>
          </cell>
          <cell r="L312">
            <v>-283333</v>
          </cell>
          <cell r="M312">
            <v>-283333</v>
          </cell>
          <cell r="N312">
            <v>-283333</v>
          </cell>
          <cell r="O312">
            <v>-283333</v>
          </cell>
          <cell r="P312">
            <v>-283333</v>
          </cell>
          <cell r="Q312">
            <v>-283333</v>
          </cell>
          <cell r="R312">
            <v>-283333</v>
          </cell>
          <cell r="S312">
            <v>-283333</v>
          </cell>
          <cell r="T312">
            <v>-283333</v>
          </cell>
          <cell r="U312">
            <v>-283333</v>
          </cell>
          <cell r="V312">
            <v>-283333</v>
          </cell>
          <cell r="W312">
            <v>-283333</v>
          </cell>
          <cell r="X312">
            <v>-283333</v>
          </cell>
          <cell r="Y312">
            <v>-283333</v>
          </cell>
          <cell r="Z312">
            <v>-283333</v>
          </cell>
          <cell r="AA312">
            <v>-283333</v>
          </cell>
          <cell r="AB312">
            <v>-283333</v>
          </cell>
          <cell r="AC312">
            <v>-283333</v>
          </cell>
          <cell r="AD312">
            <v>-283333</v>
          </cell>
          <cell r="AE312">
            <v>-283333</v>
          </cell>
          <cell r="AF312">
            <v>-283333</v>
          </cell>
          <cell r="AG312">
            <v>-283333</v>
          </cell>
          <cell r="AH312">
            <v>-283333</v>
          </cell>
          <cell r="AI312">
            <v>-283333</v>
          </cell>
          <cell r="AJ312">
            <v>-283333</v>
          </cell>
          <cell r="AK312">
            <v>-283333</v>
          </cell>
          <cell r="AL312">
            <v>-283333</v>
          </cell>
          <cell r="AM312">
            <v>-283333</v>
          </cell>
          <cell r="AN312">
            <v>-283333</v>
          </cell>
          <cell r="AO312">
            <v>-283333</v>
          </cell>
          <cell r="AP312">
            <v>-283333</v>
          </cell>
          <cell r="AQ312">
            <v>-283333</v>
          </cell>
          <cell r="AR312">
            <v>-283333</v>
          </cell>
          <cell r="AS312">
            <v>-283333</v>
          </cell>
          <cell r="AT312">
            <v>-500000</v>
          </cell>
          <cell r="AU312">
            <v>-500000</v>
          </cell>
          <cell r="AV312">
            <v>-500000</v>
          </cell>
          <cell r="AW312">
            <v>-500000</v>
          </cell>
          <cell r="AX312">
            <v>-500000</v>
          </cell>
          <cell r="AY312">
            <v>-500000</v>
          </cell>
          <cell r="AZ312">
            <v>-500000</v>
          </cell>
          <cell r="BA312">
            <v>-500000</v>
          </cell>
          <cell r="BB312">
            <v>-500000</v>
          </cell>
          <cell r="BC312">
            <v>-500000</v>
          </cell>
          <cell r="BD312">
            <v>-500000</v>
          </cell>
          <cell r="BE312">
            <v>-500000</v>
          </cell>
          <cell r="BF312">
            <v>-500000</v>
          </cell>
          <cell r="BG312">
            <v>-500000</v>
          </cell>
          <cell r="BH312">
            <v>-500000</v>
          </cell>
          <cell r="BI312">
            <v>-500000</v>
          </cell>
          <cell r="BJ312">
            <v>-500000</v>
          </cell>
          <cell r="BK312">
            <v>-500000</v>
          </cell>
          <cell r="BL312">
            <v>-500000</v>
          </cell>
          <cell r="BM312">
            <v>-500000</v>
          </cell>
          <cell r="BN312">
            <v>-1000000</v>
          </cell>
          <cell r="BO312">
            <v>-666666.67000000004</v>
          </cell>
          <cell r="BP312">
            <v>-666666.67000000004</v>
          </cell>
          <cell r="BQ312">
            <v>-666666.67000000004</v>
          </cell>
          <cell r="BR312">
            <v>-666666.67000000004</v>
          </cell>
          <cell r="BS312">
            <v>-666666.67000000004</v>
          </cell>
          <cell r="BT312">
            <v>-666666.67000000004</v>
          </cell>
          <cell r="BU312">
            <v>-666666.67000000004</v>
          </cell>
          <cell r="BV312">
            <v>-666666.67000000004</v>
          </cell>
          <cell r="BW312">
            <v>-666666.67000000004</v>
          </cell>
          <cell r="BX312">
            <v>-666666.67000000004</v>
          </cell>
          <cell r="BY312">
            <v>-666666.67000000004</v>
          </cell>
          <cell r="BZ312">
            <v>-666666.67000000004</v>
          </cell>
          <cell r="CA312">
            <v>-666666.67000000004</v>
          </cell>
          <cell r="CB312">
            <v>-666666.67000000004</v>
          </cell>
          <cell r="CC312">
            <v>-666666.67000000004</v>
          </cell>
          <cell r="CD312">
            <v>-666666.67000000004</v>
          </cell>
          <cell r="CE312">
            <v>-666666.67000000004</v>
          </cell>
          <cell r="CF312">
            <v>-666666.67000000004</v>
          </cell>
          <cell r="CG312">
            <v>-666666.67000000004</v>
          </cell>
          <cell r="CH312">
            <v>-666666.67000000004</v>
          </cell>
          <cell r="CI312">
            <v>-666666.63</v>
          </cell>
          <cell r="CJ312">
            <v>-666666.63</v>
          </cell>
          <cell r="CK312">
            <v>-666666.63</v>
          </cell>
          <cell r="CL312">
            <v>-666666.63</v>
          </cell>
          <cell r="CM312">
            <v>-666666.67000000004</v>
          </cell>
          <cell r="CN312">
            <v>-666666.67000000004</v>
          </cell>
          <cell r="CO312">
            <v>-666666.67000000004</v>
          </cell>
          <cell r="CP312">
            <v>-666666.67000000004</v>
          </cell>
          <cell r="CQ312">
            <v>-666666.67000000004</v>
          </cell>
          <cell r="CR312">
            <v>-666666.67000000004</v>
          </cell>
          <cell r="CS312">
            <v>-666666.67000000004</v>
          </cell>
          <cell r="CT312">
            <v>-1583333.37</v>
          </cell>
          <cell r="CU312">
            <v>-750000</v>
          </cell>
          <cell r="CV312">
            <v>-833333.37</v>
          </cell>
          <cell r="CW312">
            <v>-833333.37</v>
          </cell>
          <cell r="CX312">
            <v>-833333.3</v>
          </cell>
          <cell r="CY312">
            <v>-833333.3</v>
          </cell>
          <cell r="CZ312">
            <v>-833333.33</v>
          </cell>
          <cell r="DA312">
            <v>-833333.33</v>
          </cell>
          <cell r="DB312">
            <v>-833333.33</v>
          </cell>
          <cell r="DC312">
            <v>-833333.33</v>
          </cell>
          <cell r="DD312">
            <v>-833333.33</v>
          </cell>
          <cell r="DE312">
            <v>-833333.33</v>
          </cell>
          <cell r="DF312">
            <v>-833333.33</v>
          </cell>
          <cell r="DG312">
            <v>-1833333.36</v>
          </cell>
        </row>
        <row r="313">
          <cell r="A313">
            <v>6790315</v>
          </cell>
          <cell r="B313">
            <v>6790315</v>
          </cell>
          <cell r="C313" t="str">
            <v>I&amp;D Alloc to Capital</v>
          </cell>
          <cell r="D313">
            <v>-50000</v>
          </cell>
          <cell r="E313">
            <v>-50000</v>
          </cell>
          <cell r="F313">
            <v>-50000</v>
          </cell>
          <cell r="G313">
            <v>-50000</v>
          </cell>
          <cell r="H313">
            <v>-50000</v>
          </cell>
          <cell r="I313">
            <v>-50000</v>
          </cell>
          <cell r="J313">
            <v>-50000</v>
          </cell>
          <cell r="K313">
            <v>-50000</v>
          </cell>
          <cell r="L313">
            <v>-50000</v>
          </cell>
          <cell r="M313">
            <v>-50000</v>
          </cell>
          <cell r="N313">
            <v>-50000</v>
          </cell>
          <cell r="O313">
            <v>-50000</v>
          </cell>
          <cell r="P313">
            <v>-50000</v>
          </cell>
          <cell r="Q313">
            <v>-50000</v>
          </cell>
          <cell r="R313">
            <v>-50000</v>
          </cell>
          <cell r="S313">
            <v>-50000</v>
          </cell>
          <cell r="T313">
            <v>-50000</v>
          </cell>
          <cell r="U313">
            <v>-50000</v>
          </cell>
          <cell r="V313">
            <v>-50000</v>
          </cell>
          <cell r="W313">
            <v>-50000</v>
          </cell>
          <cell r="X313">
            <v>-50000</v>
          </cell>
          <cell r="Y313">
            <v>-50000</v>
          </cell>
          <cell r="Z313">
            <v>-50000</v>
          </cell>
          <cell r="AA313">
            <v>-50000</v>
          </cell>
          <cell r="AB313">
            <v>-50000</v>
          </cell>
          <cell r="AC313">
            <v>-50000</v>
          </cell>
          <cell r="AD313">
            <v>-50000</v>
          </cell>
          <cell r="AE313">
            <v>-50000</v>
          </cell>
          <cell r="AF313">
            <v>-50000</v>
          </cell>
          <cell r="AG313">
            <v>-50000</v>
          </cell>
          <cell r="AH313">
            <v>-50000</v>
          </cell>
          <cell r="AI313">
            <v>-50000</v>
          </cell>
          <cell r="AJ313">
            <v>-50000</v>
          </cell>
          <cell r="AK313">
            <v>-50000</v>
          </cell>
          <cell r="AL313">
            <v>-50000</v>
          </cell>
          <cell r="AM313">
            <v>-50000</v>
          </cell>
          <cell r="AN313">
            <v>-50000</v>
          </cell>
          <cell r="AO313">
            <v>-50000</v>
          </cell>
          <cell r="AP313">
            <v>-50000</v>
          </cell>
          <cell r="AQ313">
            <v>-50000</v>
          </cell>
          <cell r="AR313">
            <v>-50000</v>
          </cell>
          <cell r="AS313">
            <v>-50000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cell r="BJ313"/>
          <cell r="BK313"/>
          <cell r="BL313"/>
          <cell r="BM313"/>
          <cell r="BN313"/>
          <cell r="BO313"/>
          <cell r="BP313"/>
          <cell r="BQ313"/>
          <cell r="BR313"/>
          <cell r="BS313"/>
          <cell r="BT313"/>
          <cell r="BU313"/>
          <cell r="BV313"/>
          <cell r="BW313"/>
          <cell r="BX313"/>
          <cell r="BY313"/>
          <cell r="BZ313"/>
          <cell r="CA313"/>
          <cell r="CB313"/>
          <cell r="CC313"/>
          <cell r="CD313"/>
          <cell r="CE313"/>
          <cell r="CF313"/>
          <cell r="CG313"/>
          <cell r="CH313"/>
          <cell r="CI313"/>
          <cell r="CJ313"/>
          <cell r="CK313"/>
          <cell r="CL313"/>
          <cell r="CM313"/>
          <cell r="CN313"/>
          <cell r="CO313"/>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row>
        <row r="314">
          <cell r="A314">
            <v>6790320</v>
          </cell>
          <cell r="B314">
            <v>6790320</v>
          </cell>
          <cell r="C314" t="str">
            <v>Fleet Allocation</v>
          </cell>
          <cell r="D314"/>
          <cell r="E314"/>
          <cell r="F314"/>
          <cell r="G314"/>
          <cell r="H314"/>
          <cell r="I314"/>
          <cell r="J314"/>
          <cell r="K314"/>
          <cell r="L314"/>
          <cell r="M314"/>
          <cell r="N314"/>
          <cell r="O314"/>
          <cell r="P314"/>
          <cell r="Q314"/>
          <cell r="R314"/>
          <cell r="S314"/>
          <cell r="T314"/>
          <cell r="U314"/>
          <cell r="V314"/>
          <cell r="W314"/>
          <cell r="X314"/>
          <cell r="Y314"/>
          <cell r="Z314"/>
          <cell r="AA314"/>
          <cell r="AB314"/>
          <cell r="AC314"/>
          <cell r="AD314"/>
          <cell r="AE314"/>
          <cell r="AF314"/>
          <cell r="AG314"/>
          <cell r="AH314"/>
          <cell r="AI314"/>
          <cell r="AJ314"/>
          <cell r="AK314"/>
          <cell r="AL314"/>
          <cell r="AM314"/>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3188.55</v>
          </cell>
          <cell r="BK314">
            <v>-3188.55</v>
          </cell>
          <cell r="BL314">
            <v>0</v>
          </cell>
          <cell r="BM314">
            <v>0</v>
          </cell>
          <cell r="BN314">
            <v>-487.74</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row>
        <row r="315">
          <cell r="A315">
            <v>6790321</v>
          </cell>
          <cell r="B315">
            <v>6790321</v>
          </cell>
          <cell r="C315" t="str">
            <v>Stores Allocation</v>
          </cell>
          <cell r="D315"/>
          <cell r="E315"/>
          <cell r="F315"/>
          <cell r="G315"/>
          <cell r="H315"/>
          <cell r="I315"/>
          <cell r="J315"/>
          <cell r="K315"/>
          <cell r="L315"/>
          <cell r="M315"/>
          <cell r="N315"/>
          <cell r="O315"/>
          <cell r="P315"/>
          <cell r="Q315"/>
          <cell r="R315"/>
          <cell r="S315"/>
          <cell r="T315"/>
          <cell r="U315"/>
          <cell r="V315"/>
          <cell r="W315"/>
          <cell r="X315"/>
          <cell r="Y315"/>
          <cell r="Z315"/>
          <cell r="AA315"/>
          <cell r="AB315"/>
          <cell r="AC315"/>
          <cell r="AD315"/>
          <cell r="AE315"/>
          <cell r="AF315"/>
          <cell r="AG315"/>
          <cell r="AH315"/>
          <cell r="AI315"/>
          <cell r="AJ315"/>
          <cell r="AK315"/>
          <cell r="AL315"/>
          <cell r="AM315"/>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row>
        <row r="316">
          <cell r="A316">
            <v>6790324</v>
          </cell>
          <cell r="B316">
            <v>6790324</v>
          </cell>
          <cell r="C316" t="str">
            <v>E&amp;S Allocation</v>
          </cell>
          <cell r="D316"/>
          <cell r="E316"/>
          <cell r="F316"/>
          <cell r="G316"/>
          <cell r="H316"/>
          <cell r="I316"/>
          <cell r="J316"/>
          <cell r="K316"/>
          <cell r="L316"/>
          <cell r="M316"/>
          <cell r="N316"/>
          <cell r="O316"/>
          <cell r="P316"/>
          <cell r="Q316"/>
          <cell r="R316"/>
          <cell r="S316"/>
          <cell r="T316"/>
          <cell r="U316"/>
          <cell r="V316"/>
          <cell r="W316"/>
          <cell r="X316"/>
          <cell r="Y316"/>
          <cell r="Z316"/>
          <cell r="AA316"/>
          <cell r="AB316"/>
          <cell r="AC316"/>
          <cell r="AD316"/>
          <cell r="AE316"/>
          <cell r="AF316"/>
          <cell r="AG316"/>
          <cell r="AH316"/>
          <cell r="AI316"/>
          <cell r="AJ316"/>
          <cell r="AK316"/>
          <cell r="AL316"/>
          <cell r="AM316"/>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96.28</v>
          </cell>
          <cell r="CG316">
            <v>2</v>
          </cell>
          <cell r="CH316">
            <v>0</v>
          </cell>
          <cell r="CI316">
            <v>0</v>
          </cell>
          <cell r="CJ316">
            <v>0</v>
          </cell>
          <cell r="CK316">
            <v>0</v>
          </cell>
          <cell r="CL316">
            <v>0</v>
          </cell>
          <cell r="CM316">
            <v>0</v>
          </cell>
          <cell r="CN316">
            <v>0</v>
          </cell>
          <cell r="CO316">
            <v>0</v>
          </cell>
          <cell r="CP316">
            <v>0</v>
          </cell>
          <cell r="CQ316">
            <v>0</v>
          </cell>
          <cell r="CR316">
            <v>1594.45</v>
          </cell>
          <cell r="CS316">
            <v>162.91</v>
          </cell>
          <cell r="CT316">
            <v>202.02</v>
          </cell>
          <cell r="CU316">
            <v>245.83</v>
          </cell>
          <cell r="CV316">
            <v>322.39999999999998</v>
          </cell>
          <cell r="CW316">
            <v>63.39</v>
          </cell>
          <cell r="CX316">
            <v>26.45</v>
          </cell>
          <cell r="CY316">
            <v>7.7</v>
          </cell>
          <cell r="CZ316">
            <v>8.02</v>
          </cell>
          <cell r="DA316">
            <v>26.06</v>
          </cell>
          <cell r="DB316">
            <v>4.88</v>
          </cell>
          <cell r="DC316">
            <v>16.2</v>
          </cell>
          <cell r="DD316">
            <v>6.69</v>
          </cell>
          <cell r="DE316">
            <v>0</v>
          </cell>
          <cell r="DF316">
            <v>0</v>
          </cell>
          <cell r="DG316">
            <v>0</v>
          </cell>
        </row>
        <row r="317">
          <cell r="A317">
            <v>6790700</v>
          </cell>
          <cell r="B317">
            <v>6790700</v>
          </cell>
          <cell r="C317" t="str">
            <v>Intercompany Charges</v>
          </cell>
          <cell r="D317">
            <v>45570.879999999997</v>
          </cell>
          <cell r="E317">
            <v>29205.11</v>
          </cell>
          <cell r="F317">
            <v>51595.42</v>
          </cell>
          <cell r="G317">
            <v>16420.43</v>
          </cell>
          <cell r="H317">
            <v>100339.08</v>
          </cell>
          <cell r="I317">
            <v>262931.67</v>
          </cell>
          <cell r="J317">
            <v>121219.41</v>
          </cell>
          <cell r="K317">
            <v>128825.24</v>
          </cell>
          <cell r="L317">
            <v>11134.4</v>
          </cell>
          <cell r="M317">
            <v>-195994.03</v>
          </cell>
          <cell r="N317">
            <v>45785.63</v>
          </cell>
          <cell r="O317">
            <v>-462677.38</v>
          </cell>
          <cell r="P317">
            <v>67756.289999999994</v>
          </cell>
          <cell r="Q317">
            <v>70271.75</v>
          </cell>
          <cell r="R317">
            <v>15574.25</v>
          </cell>
          <cell r="S317">
            <v>50140.04</v>
          </cell>
          <cell r="T317">
            <v>24947.35</v>
          </cell>
          <cell r="U317">
            <v>78089.22</v>
          </cell>
          <cell r="V317">
            <v>45827.31</v>
          </cell>
          <cell r="W317">
            <v>51103.25</v>
          </cell>
          <cell r="X317">
            <v>47596.55</v>
          </cell>
          <cell r="Y317">
            <v>16520.240000000002</v>
          </cell>
          <cell r="Z317">
            <v>45601.18</v>
          </cell>
          <cell r="AA317">
            <v>85393.41</v>
          </cell>
          <cell r="AB317">
            <v>211053.51</v>
          </cell>
          <cell r="AC317">
            <v>52439.94</v>
          </cell>
          <cell r="AD317">
            <v>73337.13</v>
          </cell>
          <cell r="AE317">
            <v>86312.09</v>
          </cell>
          <cell r="AF317">
            <v>38971.75</v>
          </cell>
          <cell r="AG317">
            <v>81442.09</v>
          </cell>
          <cell r="AH317">
            <v>46605.89</v>
          </cell>
          <cell r="AI317">
            <v>44394.6</v>
          </cell>
          <cell r="AJ317">
            <v>250463.67</v>
          </cell>
          <cell r="AK317">
            <v>50325.67</v>
          </cell>
          <cell r="AL317">
            <v>39847.440000000002</v>
          </cell>
          <cell r="AM317">
            <v>293171.24</v>
          </cell>
          <cell r="AN317">
            <v>33604.68</v>
          </cell>
          <cell r="AO317">
            <v>42753.279999999999</v>
          </cell>
          <cell r="AP317">
            <v>97396.96</v>
          </cell>
          <cell r="AQ317">
            <v>79770.89</v>
          </cell>
          <cell r="AR317">
            <v>53800.01</v>
          </cell>
          <cell r="AS317">
            <v>73992.86</v>
          </cell>
          <cell r="AT317">
            <v>61935.89</v>
          </cell>
          <cell r="AU317">
            <v>49129.95</v>
          </cell>
          <cell r="AV317">
            <v>84339.92</v>
          </cell>
          <cell r="AW317">
            <v>42954.13</v>
          </cell>
          <cell r="AX317">
            <v>44008.82</v>
          </cell>
          <cell r="AY317">
            <v>85942.6</v>
          </cell>
          <cell r="AZ317">
            <v>57438.84</v>
          </cell>
          <cell r="BA317">
            <v>118081.98</v>
          </cell>
          <cell r="BB317">
            <v>107666.53</v>
          </cell>
          <cell r="BC317">
            <v>60877.54</v>
          </cell>
          <cell r="BD317">
            <v>49059.6</v>
          </cell>
          <cell r="BE317">
            <v>59675.99</v>
          </cell>
          <cell r="BF317">
            <v>28497.34</v>
          </cell>
          <cell r="BG317">
            <v>45953.14</v>
          </cell>
          <cell r="BH317">
            <v>47222.63</v>
          </cell>
          <cell r="BI317">
            <v>75473.22</v>
          </cell>
          <cell r="BJ317">
            <v>48965.93</v>
          </cell>
          <cell r="BK317">
            <v>65135.18</v>
          </cell>
          <cell r="BL317">
            <v>8252.4</v>
          </cell>
          <cell r="BM317">
            <v>47195.91</v>
          </cell>
          <cell r="BN317">
            <v>65130.42</v>
          </cell>
          <cell r="BO317">
            <v>48110.5</v>
          </cell>
          <cell r="BP317">
            <v>39356.1</v>
          </cell>
          <cell r="BQ317">
            <v>43787.57</v>
          </cell>
          <cell r="BR317">
            <v>38986.92</v>
          </cell>
          <cell r="BS317">
            <v>119572.41</v>
          </cell>
          <cell r="BT317">
            <v>162653.17000000001</v>
          </cell>
          <cell r="BU317">
            <v>50891.09</v>
          </cell>
          <cell r="BV317">
            <v>7851.7</v>
          </cell>
          <cell r="BW317">
            <v>107913.54</v>
          </cell>
          <cell r="BX317">
            <v>-19752.13</v>
          </cell>
          <cell r="BY317">
            <v>-151.51</v>
          </cell>
          <cell r="BZ317">
            <v>-16089.69</v>
          </cell>
          <cell r="CA317">
            <v>-13038.22</v>
          </cell>
          <cell r="CB317">
            <v>-19551.5</v>
          </cell>
          <cell r="CC317">
            <v>-19648.98</v>
          </cell>
          <cell r="CD317">
            <v>-16175.28</v>
          </cell>
          <cell r="CE317">
            <v>-4655.26</v>
          </cell>
          <cell r="CF317">
            <v>-12572.37</v>
          </cell>
          <cell r="CG317">
            <v>-11070.97</v>
          </cell>
          <cell r="CH317">
            <v>-6970.09</v>
          </cell>
          <cell r="CI317">
            <v>-9294.2900000000009</v>
          </cell>
          <cell r="CJ317">
            <v>-42105.02</v>
          </cell>
          <cell r="CK317">
            <v>-6860.25</v>
          </cell>
          <cell r="CL317">
            <v>-17775.330000000002</v>
          </cell>
          <cell r="CM317">
            <v>-13928.46</v>
          </cell>
          <cell r="CN317">
            <v>15978.08</v>
          </cell>
          <cell r="CO317">
            <v>-282401.55</v>
          </cell>
          <cell r="CP317">
            <v>-59314.5</v>
          </cell>
          <cell r="CQ317">
            <v>-53723.24</v>
          </cell>
          <cell r="CR317">
            <v>-51702.29</v>
          </cell>
          <cell r="CS317">
            <v>-59832.14</v>
          </cell>
          <cell r="CT317">
            <v>-52627.8</v>
          </cell>
          <cell r="CU317">
            <v>-46887.61</v>
          </cell>
          <cell r="CV317">
            <v>-43415.07</v>
          </cell>
          <cell r="CW317">
            <v>-55363.71</v>
          </cell>
          <cell r="CX317">
            <v>-57199.07</v>
          </cell>
          <cell r="CY317">
            <v>-52651.32</v>
          </cell>
          <cell r="CZ317">
            <v>-66308.240000000005</v>
          </cell>
          <cell r="DA317">
            <v>-53355.72</v>
          </cell>
          <cell r="DB317">
            <v>-38550.94</v>
          </cell>
          <cell r="DC317">
            <v>-10054.66</v>
          </cell>
          <cell r="DD317">
            <v>-57265.99</v>
          </cell>
          <cell r="DE317">
            <v>-61474.37</v>
          </cell>
          <cell r="DF317">
            <v>-657317.65</v>
          </cell>
          <cell r="DG317">
            <v>-87938.37</v>
          </cell>
        </row>
        <row r="318">
          <cell r="A318">
            <v>6790702</v>
          </cell>
          <cell r="B318">
            <v>6790702</v>
          </cell>
          <cell r="C318" t="str">
            <v>IC Fee</v>
          </cell>
          <cell r="D318">
            <v>615970</v>
          </cell>
          <cell r="E318">
            <v>739607</v>
          </cell>
          <cell r="F318">
            <v>615970</v>
          </cell>
          <cell r="G318">
            <v>615970</v>
          </cell>
          <cell r="H318">
            <v>615970</v>
          </cell>
          <cell r="I318">
            <v>615970</v>
          </cell>
          <cell r="J318">
            <v>615970</v>
          </cell>
          <cell r="K318">
            <v>615970</v>
          </cell>
          <cell r="L318">
            <v>615970</v>
          </cell>
          <cell r="M318">
            <v>615970</v>
          </cell>
          <cell r="N318">
            <v>615970</v>
          </cell>
          <cell r="O318">
            <v>865970</v>
          </cell>
          <cell r="P318">
            <v>625209</v>
          </cell>
          <cell r="Q318">
            <v>625209</v>
          </cell>
          <cell r="R318">
            <v>625209</v>
          </cell>
          <cell r="S318">
            <v>625209</v>
          </cell>
          <cell r="T318">
            <v>625209</v>
          </cell>
          <cell r="U318">
            <v>625209</v>
          </cell>
          <cell r="V318">
            <v>625209</v>
          </cell>
          <cell r="W318">
            <v>625209</v>
          </cell>
          <cell r="X318">
            <v>625209</v>
          </cell>
          <cell r="Y318">
            <v>625209</v>
          </cell>
          <cell r="Z318">
            <v>625209</v>
          </cell>
          <cell r="AA318">
            <v>889996</v>
          </cell>
          <cell r="AB318">
            <v>635213</v>
          </cell>
          <cell r="AC318">
            <v>635213</v>
          </cell>
          <cell r="AD318">
            <v>635213</v>
          </cell>
          <cell r="AE318">
            <v>635213</v>
          </cell>
          <cell r="AF318">
            <v>635213</v>
          </cell>
          <cell r="AG318">
            <v>635213</v>
          </cell>
          <cell r="AH318">
            <v>635213</v>
          </cell>
          <cell r="AI318">
            <v>635213</v>
          </cell>
          <cell r="AJ318">
            <v>635213</v>
          </cell>
          <cell r="AK318">
            <v>635213</v>
          </cell>
          <cell r="AL318">
            <v>635213</v>
          </cell>
          <cell r="AM318">
            <v>899026</v>
          </cell>
          <cell r="AN318">
            <v>635847</v>
          </cell>
          <cell r="AO318">
            <v>635847</v>
          </cell>
          <cell r="AP318">
            <v>635847</v>
          </cell>
          <cell r="AQ318">
            <v>635847</v>
          </cell>
          <cell r="AR318">
            <v>635847</v>
          </cell>
          <cell r="AS318">
            <v>635847</v>
          </cell>
          <cell r="AT318">
            <v>635847</v>
          </cell>
          <cell r="AU318">
            <v>635847</v>
          </cell>
          <cell r="AV318">
            <v>635847</v>
          </cell>
          <cell r="AW318">
            <v>635847</v>
          </cell>
          <cell r="AX318">
            <v>635847</v>
          </cell>
          <cell r="AY318">
            <v>885847</v>
          </cell>
          <cell r="AZ318">
            <v>644113</v>
          </cell>
          <cell r="BA318">
            <v>644113</v>
          </cell>
          <cell r="BB318">
            <v>644113</v>
          </cell>
          <cell r="BC318">
            <v>644113</v>
          </cell>
          <cell r="BD318">
            <v>644113</v>
          </cell>
          <cell r="BE318">
            <v>644113</v>
          </cell>
          <cell r="BF318">
            <v>644113</v>
          </cell>
          <cell r="BG318">
            <v>644113</v>
          </cell>
          <cell r="BH318">
            <v>644113</v>
          </cell>
          <cell r="BI318">
            <v>644113</v>
          </cell>
          <cell r="BJ318">
            <v>644113</v>
          </cell>
          <cell r="BK318">
            <v>838251</v>
          </cell>
          <cell r="BL318">
            <v>657640</v>
          </cell>
          <cell r="BM318">
            <v>657640</v>
          </cell>
          <cell r="BN318">
            <v>657640</v>
          </cell>
          <cell r="BO318">
            <v>657640</v>
          </cell>
          <cell r="BP318">
            <v>657640</v>
          </cell>
          <cell r="BQ318">
            <v>657640</v>
          </cell>
          <cell r="BR318">
            <v>657640</v>
          </cell>
          <cell r="BS318">
            <v>657640</v>
          </cell>
          <cell r="BT318">
            <v>657640</v>
          </cell>
          <cell r="BU318">
            <v>657640</v>
          </cell>
          <cell r="BV318">
            <v>657640</v>
          </cell>
          <cell r="BW318">
            <v>916066.78</v>
          </cell>
          <cell r="BX318">
            <v>670135</v>
          </cell>
          <cell r="BY318">
            <v>670135</v>
          </cell>
          <cell r="BZ318">
            <v>670135</v>
          </cell>
          <cell r="CA318">
            <v>670135</v>
          </cell>
          <cell r="CB318">
            <v>670135</v>
          </cell>
          <cell r="CC318">
            <v>670135</v>
          </cell>
          <cell r="CD318">
            <v>670135</v>
          </cell>
          <cell r="CE318">
            <v>670135</v>
          </cell>
          <cell r="CF318">
            <v>670135</v>
          </cell>
          <cell r="CG318">
            <v>670135</v>
          </cell>
          <cell r="CH318">
            <v>670135</v>
          </cell>
          <cell r="CI318">
            <v>858234</v>
          </cell>
          <cell r="CJ318">
            <v>685545</v>
          </cell>
          <cell r="CK318">
            <v>685545</v>
          </cell>
          <cell r="CL318">
            <v>685545</v>
          </cell>
          <cell r="CM318">
            <v>685545</v>
          </cell>
          <cell r="CN318">
            <v>685545</v>
          </cell>
          <cell r="CO318">
            <v>685545</v>
          </cell>
          <cell r="CP318">
            <v>685545</v>
          </cell>
          <cell r="CQ318">
            <v>685545</v>
          </cell>
          <cell r="CR318">
            <v>685545</v>
          </cell>
          <cell r="CS318">
            <v>685545</v>
          </cell>
          <cell r="CT318">
            <v>685545</v>
          </cell>
          <cell r="CU318">
            <v>822331</v>
          </cell>
          <cell r="CV318">
            <v>693771</v>
          </cell>
          <cell r="CW318">
            <v>693771</v>
          </cell>
          <cell r="CX318">
            <v>693771</v>
          </cell>
          <cell r="CY318">
            <v>693771</v>
          </cell>
          <cell r="CZ318">
            <v>693771</v>
          </cell>
          <cell r="DA318">
            <v>693771</v>
          </cell>
          <cell r="DB318">
            <v>693771</v>
          </cell>
          <cell r="DC318">
            <v>693771</v>
          </cell>
          <cell r="DD318">
            <v>693771</v>
          </cell>
          <cell r="DE318">
            <v>693771</v>
          </cell>
          <cell r="DF318">
            <v>693771</v>
          </cell>
          <cell r="DG318">
            <v>854509</v>
          </cell>
        </row>
        <row r="319">
          <cell r="A319">
            <v>6790704</v>
          </cell>
          <cell r="B319">
            <v>6790704</v>
          </cell>
          <cell r="C319" t="str">
            <v>IC Corp Services</v>
          </cell>
          <cell r="D319"/>
          <cell r="E319"/>
          <cell r="F319"/>
          <cell r="G319"/>
          <cell r="H319"/>
          <cell r="I319"/>
          <cell r="J319"/>
          <cell r="K319"/>
          <cell r="L319"/>
          <cell r="M319"/>
          <cell r="N319"/>
          <cell r="O319"/>
          <cell r="P319"/>
          <cell r="Q319"/>
          <cell r="R319"/>
          <cell r="S319"/>
          <cell r="T319"/>
          <cell r="U319"/>
          <cell r="V319"/>
          <cell r="W319"/>
          <cell r="X319"/>
          <cell r="Y319"/>
          <cell r="Z319"/>
          <cell r="AA319"/>
          <cell r="AB319"/>
          <cell r="AC319"/>
          <cell r="AD319"/>
          <cell r="AE319"/>
          <cell r="AF319"/>
          <cell r="AG319"/>
          <cell r="AH319"/>
          <cell r="AI319"/>
          <cell r="AJ319"/>
          <cell r="AK319"/>
          <cell r="AL319"/>
          <cell r="AM319"/>
          <cell r="AN319"/>
          <cell r="AO319"/>
          <cell r="AP319"/>
          <cell r="AQ319"/>
          <cell r="AR319"/>
          <cell r="AS319"/>
          <cell r="AT319"/>
          <cell r="AU319"/>
          <cell r="AV319"/>
          <cell r="AW319"/>
          <cell r="AX319"/>
          <cell r="AY319"/>
          <cell r="AZ319">
            <v>0</v>
          </cell>
          <cell r="BA319">
            <v>9232.48</v>
          </cell>
          <cell r="BB319">
            <v>4492.7299999999996</v>
          </cell>
          <cell r="BC319">
            <v>30277.9</v>
          </cell>
          <cell r="BD319">
            <v>4513.32</v>
          </cell>
          <cell r="BE319">
            <v>4425.3100000000004</v>
          </cell>
          <cell r="BF319">
            <v>48982.05</v>
          </cell>
          <cell r="BG319">
            <v>11767.71</v>
          </cell>
          <cell r="BH319">
            <v>14747.31</v>
          </cell>
          <cell r="BI319">
            <v>6658.71</v>
          </cell>
          <cell r="BJ319">
            <v>15519.77</v>
          </cell>
          <cell r="BK319">
            <v>9831.8799999999992</v>
          </cell>
          <cell r="BL319">
            <v>18955.95</v>
          </cell>
          <cell r="BM319">
            <v>33349.83</v>
          </cell>
          <cell r="BN319">
            <v>33034.04</v>
          </cell>
          <cell r="BO319">
            <v>28498.42</v>
          </cell>
          <cell r="BP319">
            <v>24243.91</v>
          </cell>
          <cell r="BQ319">
            <v>56319.93</v>
          </cell>
          <cell r="BR319">
            <v>29780.17</v>
          </cell>
          <cell r="BS319">
            <v>15956.92</v>
          </cell>
          <cell r="BT319">
            <v>31080.59</v>
          </cell>
          <cell r="BU319">
            <v>23654.28</v>
          </cell>
          <cell r="BV319">
            <v>23566.73</v>
          </cell>
          <cell r="BW319">
            <v>42032.11</v>
          </cell>
          <cell r="BX319">
            <v>45494.89</v>
          </cell>
          <cell r="BY319">
            <v>29800.25</v>
          </cell>
          <cell r="BZ319">
            <v>38039.39</v>
          </cell>
          <cell r="CA319">
            <v>29906.21</v>
          </cell>
          <cell r="CB319">
            <v>38997.56</v>
          </cell>
          <cell r="CC319">
            <v>25350.19</v>
          </cell>
          <cell r="CD319">
            <v>35291.06</v>
          </cell>
          <cell r="CE319">
            <v>190963.01</v>
          </cell>
          <cell r="CF319">
            <v>42138.02</v>
          </cell>
          <cell r="CG319">
            <v>38733.89</v>
          </cell>
          <cell r="CH319">
            <v>53434.21</v>
          </cell>
          <cell r="CI319">
            <v>102700.83</v>
          </cell>
          <cell r="CJ319">
            <v>43924.68</v>
          </cell>
          <cell r="CK319">
            <v>26728.720000000001</v>
          </cell>
          <cell r="CL319">
            <v>44676.27</v>
          </cell>
          <cell r="CM319">
            <v>65809.06</v>
          </cell>
          <cell r="CN319">
            <v>46892.69</v>
          </cell>
          <cell r="CO319">
            <v>22028.59</v>
          </cell>
          <cell r="CP319">
            <v>38059.410000000003</v>
          </cell>
          <cell r="CQ319">
            <v>32507.82</v>
          </cell>
          <cell r="CR319">
            <v>46641.52</v>
          </cell>
          <cell r="CS319">
            <v>39404.78</v>
          </cell>
          <cell r="CT319">
            <v>30890.58</v>
          </cell>
          <cell r="CU319">
            <v>36830.410000000003</v>
          </cell>
          <cell r="CV319">
            <v>75363.33</v>
          </cell>
          <cell r="CW319">
            <v>47958.85</v>
          </cell>
          <cell r="CX319">
            <v>52078.75</v>
          </cell>
          <cell r="CY319">
            <v>62471.360000000001</v>
          </cell>
          <cell r="CZ319">
            <v>61690.9</v>
          </cell>
          <cell r="DA319">
            <v>28477.25</v>
          </cell>
          <cell r="DB319">
            <v>62859.21</v>
          </cell>
          <cell r="DC319">
            <v>43095.38</v>
          </cell>
          <cell r="DD319">
            <v>70535.509999999995</v>
          </cell>
          <cell r="DE319">
            <v>78336.83</v>
          </cell>
          <cell r="DF319">
            <v>58552.67</v>
          </cell>
          <cell r="DG319">
            <v>55725.08</v>
          </cell>
        </row>
        <row r="320">
          <cell r="A320">
            <v>6790705</v>
          </cell>
          <cell r="B320">
            <v>6790705</v>
          </cell>
          <cell r="C320" t="str">
            <v>IC Print Shop</v>
          </cell>
          <cell r="D320">
            <v>4270.6499999999996</v>
          </cell>
          <cell r="E320">
            <v>1978.59</v>
          </cell>
          <cell r="F320">
            <v>3955.7</v>
          </cell>
          <cell r="G320">
            <v>9073.9599999999991</v>
          </cell>
          <cell r="H320">
            <v>7692.96</v>
          </cell>
          <cell r="I320">
            <v>6911.98</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cell r="AF320"/>
          <cell r="AG320"/>
          <cell r="AH320"/>
          <cell r="AI320"/>
          <cell r="AJ320"/>
          <cell r="AK320"/>
          <cell r="AL320"/>
          <cell r="AM320"/>
          <cell r="AN320"/>
          <cell r="AO320"/>
          <cell r="AP320"/>
          <cell r="AQ320"/>
          <cell r="AR320"/>
          <cell r="AS320"/>
          <cell r="AT320"/>
          <cell r="AU320"/>
          <cell r="AV320"/>
          <cell r="AW320"/>
          <cell r="AX320"/>
          <cell r="AY320"/>
          <cell r="AZ320"/>
          <cell r="BA320"/>
          <cell r="BB320"/>
          <cell r="BC320"/>
          <cell r="BD320"/>
          <cell r="BE320"/>
          <cell r="BF320"/>
          <cell r="BG320"/>
          <cell r="BH320"/>
          <cell r="BI320"/>
          <cell r="BJ320"/>
          <cell r="BK320"/>
          <cell r="BL320"/>
          <cell r="BM320"/>
          <cell r="BN320"/>
          <cell r="BO320"/>
          <cell r="BP320"/>
          <cell r="BQ320"/>
          <cell r="BR320"/>
          <cell r="BS320"/>
          <cell r="BT320"/>
          <cell r="BU320"/>
          <cell r="BV320"/>
          <cell r="BW320"/>
          <cell r="BX320"/>
          <cell r="BY320"/>
          <cell r="BZ320"/>
          <cell r="CA320"/>
          <cell r="CB320"/>
          <cell r="CC320"/>
          <cell r="CD320"/>
          <cell r="CE320"/>
          <cell r="CF320"/>
          <cell r="CG320"/>
          <cell r="CH320"/>
          <cell r="CI320"/>
          <cell r="CJ320"/>
          <cell r="CK320"/>
          <cell r="CL320"/>
          <cell r="CM320"/>
          <cell r="CN320"/>
          <cell r="CO320"/>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row>
        <row r="321">
          <cell r="A321">
            <v>6790706</v>
          </cell>
          <cell r="B321">
            <v>6790706</v>
          </cell>
          <cell r="C321" t="str">
            <v>IC Reten Mail Svc</v>
          </cell>
          <cell r="D321">
            <v>300.7</v>
          </cell>
          <cell r="E321">
            <v>315.97000000000003</v>
          </cell>
          <cell r="F321">
            <v>426.95</v>
          </cell>
          <cell r="G321">
            <v>508.09</v>
          </cell>
          <cell r="H321">
            <v>398.42</v>
          </cell>
          <cell r="I321">
            <v>344.68</v>
          </cell>
          <cell r="J321">
            <v>245.08</v>
          </cell>
          <cell r="K321">
            <v>384.46</v>
          </cell>
          <cell r="L321">
            <v>267.04000000000002</v>
          </cell>
          <cell r="M321">
            <v>349.72</v>
          </cell>
          <cell r="N321">
            <v>364.42</v>
          </cell>
          <cell r="O321">
            <v>361.59</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cell r="AF321"/>
          <cell r="AG321"/>
          <cell r="AH321"/>
          <cell r="AI321"/>
          <cell r="AJ321"/>
          <cell r="AK321"/>
          <cell r="AL321"/>
          <cell r="AM321"/>
          <cell r="AN321"/>
          <cell r="AO321"/>
          <cell r="AP321"/>
          <cell r="AQ321"/>
          <cell r="AR321"/>
          <cell r="AS321"/>
          <cell r="AT321"/>
          <cell r="AU321"/>
          <cell r="AV321"/>
          <cell r="AW321"/>
          <cell r="AX321"/>
          <cell r="AY321"/>
          <cell r="AZ321"/>
          <cell r="BA321"/>
          <cell r="BB321"/>
          <cell r="BC321"/>
          <cell r="BD321"/>
          <cell r="BE321"/>
          <cell r="BF321"/>
          <cell r="BG321"/>
          <cell r="BH321"/>
          <cell r="BI321"/>
          <cell r="BJ321"/>
          <cell r="BK321"/>
          <cell r="BL321"/>
          <cell r="BM321"/>
          <cell r="BN321"/>
          <cell r="BO321"/>
          <cell r="BP321"/>
          <cell r="BQ321"/>
          <cell r="BR321"/>
          <cell r="BS321"/>
          <cell r="BT321"/>
          <cell r="BU321"/>
          <cell r="BV321"/>
          <cell r="BW321"/>
          <cell r="BX321"/>
          <cell r="BY321"/>
          <cell r="BZ321"/>
          <cell r="CA321"/>
          <cell r="CB321"/>
          <cell r="CC321"/>
          <cell r="CD321"/>
          <cell r="CE321"/>
          <cell r="CF321"/>
          <cell r="CG321"/>
          <cell r="CH321"/>
          <cell r="CI321"/>
          <cell r="CJ321"/>
          <cell r="CK321"/>
          <cell r="CL321"/>
          <cell r="CM321"/>
          <cell r="CN321"/>
          <cell r="CO321"/>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row>
        <row r="322">
          <cell r="A322">
            <v>6790707</v>
          </cell>
          <cell r="B322">
            <v>6790707</v>
          </cell>
          <cell r="C322" t="str">
            <v>IC Direct fr Svc Co</v>
          </cell>
          <cell r="D322">
            <v>46911.48</v>
          </cell>
          <cell r="E322">
            <v>42131.61</v>
          </cell>
          <cell r="F322">
            <v>42369.05</v>
          </cell>
          <cell r="G322">
            <v>42340.29</v>
          </cell>
          <cell r="H322">
            <v>47866.87</v>
          </cell>
          <cell r="I322">
            <v>48024.85</v>
          </cell>
          <cell r="J322">
            <v>49219.97</v>
          </cell>
          <cell r="K322">
            <v>45012.99</v>
          </cell>
          <cell r="L322">
            <v>44769.41</v>
          </cell>
          <cell r="M322">
            <v>48967.06</v>
          </cell>
          <cell r="N322">
            <v>54440.79</v>
          </cell>
          <cell r="O322">
            <v>45207.91</v>
          </cell>
          <cell r="P322">
            <v>0</v>
          </cell>
          <cell r="Q322">
            <v>-6607.42</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cell r="AL322"/>
          <cell r="AM322"/>
          <cell r="AN322"/>
          <cell r="AO322"/>
          <cell r="AP322"/>
          <cell r="AQ322"/>
          <cell r="AR322"/>
          <cell r="AS322"/>
          <cell r="AT322"/>
          <cell r="AU322"/>
          <cell r="AV322"/>
          <cell r="AW322"/>
          <cell r="AX322"/>
          <cell r="AY322"/>
          <cell r="AZ322"/>
          <cell r="BA322"/>
          <cell r="BB322"/>
          <cell r="BC322"/>
          <cell r="BD322"/>
          <cell r="BE322"/>
          <cell r="BF322"/>
          <cell r="BG322"/>
          <cell r="BH322"/>
          <cell r="BI322"/>
          <cell r="BJ322"/>
          <cell r="BK322"/>
          <cell r="BL322"/>
          <cell r="BM322"/>
          <cell r="BN322"/>
          <cell r="BO322"/>
          <cell r="BP322"/>
          <cell r="BQ322"/>
          <cell r="BR322"/>
          <cell r="BS322"/>
          <cell r="BT322"/>
          <cell r="BU322"/>
          <cell r="BV322"/>
          <cell r="BW322"/>
          <cell r="BX322"/>
          <cell r="BY322"/>
          <cell r="BZ322"/>
          <cell r="CA322"/>
          <cell r="CB322"/>
          <cell r="CC322"/>
          <cell r="CD322"/>
          <cell r="CE322"/>
          <cell r="CF322"/>
          <cell r="CG322"/>
          <cell r="CH322"/>
          <cell r="CI322"/>
          <cell r="CJ322"/>
          <cell r="CK322"/>
          <cell r="CL322"/>
          <cell r="CM322"/>
          <cell r="CN322"/>
          <cell r="CO322"/>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row>
        <row r="323">
          <cell r="A323">
            <v>6790708</v>
          </cell>
          <cell r="B323">
            <v>6790708</v>
          </cell>
          <cell r="C323" t="str">
            <v>IC Indirect fr SvcCo</v>
          </cell>
          <cell r="D323">
            <v>345963.48</v>
          </cell>
          <cell r="E323">
            <v>369148.83</v>
          </cell>
          <cell r="F323">
            <v>430049.67</v>
          </cell>
          <cell r="G323">
            <v>378627.15</v>
          </cell>
          <cell r="H323">
            <v>378205.63</v>
          </cell>
          <cell r="I323">
            <v>389216.03</v>
          </cell>
          <cell r="J323">
            <v>344275.23</v>
          </cell>
          <cell r="K323">
            <v>323798.90000000002</v>
          </cell>
          <cell r="L323">
            <v>323257.27</v>
          </cell>
          <cell r="M323">
            <v>329364.77</v>
          </cell>
          <cell r="N323">
            <v>302912.05</v>
          </cell>
          <cell r="O323">
            <v>393352.48</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cell r="AF323"/>
          <cell r="AG323"/>
          <cell r="AH323"/>
          <cell r="AI323"/>
          <cell r="AJ323"/>
          <cell r="AK323"/>
          <cell r="AL323"/>
          <cell r="AM323"/>
          <cell r="AN323"/>
          <cell r="AO323"/>
          <cell r="AP323"/>
          <cell r="AQ323"/>
          <cell r="AR323"/>
          <cell r="AS323"/>
          <cell r="AT323"/>
          <cell r="AU323"/>
          <cell r="AV323"/>
          <cell r="AW323"/>
          <cell r="AX323"/>
          <cell r="AY323"/>
          <cell r="AZ323"/>
          <cell r="BA323"/>
          <cell r="BB323"/>
          <cell r="BC323"/>
          <cell r="BD323"/>
          <cell r="BE323"/>
          <cell r="BF323"/>
          <cell r="BG323"/>
          <cell r="BH323"/>
          <cell r="BI323"/>
          <cell r="BJ323"/>
          <cell r="BK323"/>
          <cell r="BL323"/>
          <cell r="BM323"/>
          <cell r="BN323"/>
          <cell r="BO323"/>
          <cell r="BP323"/>
          <cell r="BQ323"/>
          <cell r="BR323"/>
          <cell r="BS323"/>
          <cell r="BT323"/>
          <cell r="BU323"/>
          <cell r="BV323"/>
          <cell r="BW323"/>
          <cell r="BX323"/>
          <cell r="BY323"/>
          <cell r="BZ323"/>
          <cell r="CA323"/>
          <cell r="CB323"/>
          <cell r="CC323"/>
          <cell r="CD323"/>
          <cell r="CE323"/>
          <cell r="CF323"/>
          <cell r="CG323"/>
          <cell r="CH323"/>
          <cell r="CI323"/>
          <cell r="CJ323"/>
          <cell r="CK323"/>
          <cell r="CL323"/>
          <cell r="CM323"/>
          <cell r="CN323"/>
          <cell r="CO323"/>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row>
        <row r="324">
          <cell r="A324">
            <v>6790709</v>
          </cell>
          <cell r="B324">
            <v>6790709</v>
          </cell>
          <cell r="C324" t="str">
            <v>IC Asset Usage Fee</v>
          </cell>
          <cell r="D324">
            <v>345963.48</v>
          </cell>
          <cell r="E324">
            <v>369148.83</v>
          </cell>
          <cell r="F324">
            <v>430049.67</v>
          </cell>
          <cell r="G324">
            <v>378627.15</v>
          </cell>
          <cell r="H324">
            <v>378205.63</v>
          </cell>
          <cell r="I324">
            <v>389216.03</v>
          </cell>
          <cell r="J324">
            <v>344275.23</v>
          </cell>
          <cell r="K324">
            <v>323798.90000000002</v>
          </cell>
          <cell r="L324">
            <v>323257.27</v>
          </cell>
          <cell r="M324">
            <v>329364.77</v>
          </cell>
          <cell r="N324">
            <v>302912.05</v>
          </cell>
          <cell r="O324">
            <v>393352.48</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79010.740000000005</v>
          </cell>
          <cell r="AF324">
            <v>78145.039999999994</v>
          </cell>
          <cell r="AG324">
            <v>76402.16</v>
          </cell>
          <cell r="AH324">
            <v>76187.44</v>
          </cell>
          <cell r="AI324">
            <v>75925.789999999994</v>
          </cell>
          <cell r="AJ324">
            <v>-275458.92</v>
          </cell>
          <cell r="AK324">
            <v>38726.269999999997</v>
          </cell>
          <cell r="AL324">
            <v>38726.269999999997</v>
          </cell>
          <cell r="AM324">
            <v>40135.21</v>
          </cell>
          <cell r="AN324">
            <v>40751.74</v>
          </cell>
          <cell r="AO324">
            <v>41361.269999999997</v>
          </cell>
          <cell r="AP324">
            <v>199995.26</v>
          </cell>
          <cell r="AQ324">
            <v>215136.01</v>
          </cell>
          <cell r="AR324">
            <v>202716.59</v>
          </cell>
          <cell r="AS324">
            <v>207815.81</v>
          </cell>
          <cell r="AT324">
            <v>206609.86</v>
          </cell>
          <cell r="AU324">
            <v>206126.61</v>
          </cell>
          <cell r="AV324">
            <v>212787.74</v>
          </cell>
          <cell r="AW324">
            <v>207851.5</v>
          </cell>
          <cell r="AX324">
            <v>212826.64</v>
          </cell>
          <cell r="AY324">
            <v>212352.13</v>
          </cell>
          <cell r="AZ324">
            <v>214449.29</v>
          </cell>
          <cell r="BA324">
            <v>215883.06</v>
          </cell>
          <cell r="BB324">
            <v>219641.78</v>
          </cell>
          <cell r="BC324">
            <v>220316.19</v>
          </cell>
          <cell r="BD324">
            <v>220310.18</v>
          </cell>
          <cell r="BE324">
            <v>225391.99</v>
          </cell>
          <cell r="BF324">
            <v>225418.59</v>
          </cell>
          <cell r="BG324">
            <v>238526.09</v>
          </cell>
          <cell r="BH324">
            <v>259754.21</v>
          </cell>
          <cell r="BI324">
            <v>242074.23999999999</v>
          </cell>
          <cell r="BJ324">
            <v>244119</v>
          </cell>
          <cell r="BK324">
            <v>251684.56</v>
          </cell>
          <cell r="BL324">
            <v>257927.73</v>
          </cell>
          <cell r="BM324">
            <v>259419.22</v>
          </cell>
          <cell r="BN324">
            <v>260805.17</v>
          </cell>
          <cell r="BO324">
            <v>263581.13</v>
          </cell>
          <cell r="BP324">
            <v>261356.72</v>
          </cell>
          <cell r="BQ324">
            <v>263766.28000000003</v>
          </cell>
          <cell r="BR324">
            <v>278173</v>
          </cell>
          <cell r="BS324">
            <v>279215</v>
          </cell>
          <cell r="BT324">
            <v>280361</v>
          </cell>
          <cell r="BU324">
            <v>229185.23</v>
          </cell>
          <cell r="BV324">
            <v>267560.98</v>
          </cell>
          <cell r="BW324">
            <v>269325.39</v>
          </cell>
          <cell r="BX324">
            <v>278390.28999999998</v>
          </cell>
          <cell r="BY324">
            <v>286658.63</v>
          </cell>
          <cell r="BZ324">
            <v>286692.84999999998</v>
          </cell>
          <cell r="CA324">
            <v>286285.55</v>
          </cell>
          <cell r="CB324">
            <v>286266.92</v>
          </cell>
          <cell r="CC324">
            <v>286446.34000000003</v>
          </cell>
          <cell r="CD324">
            <v>286525.03000000003</v>
          </cell>
          <cell r="CE324">
            <v>248614.88</v>
          </cell>
          <cell r="CF324">
            <v>281305.59999999998</v>
          </cell>
          <cell r="CG324">
            <v>280145.01</v>
          </cell>
          <cell r="CH324">
            <v>281623.61</v>
          </cell>
          <cell r="CI324">
            <v>273275.63</v>
          </cell>
          <cell r="CJ324">
            <v>274027.87</v>
          </cell>
          <cell r="CK324">
            <v>292745.88</v>
          </cell>
          <cell r="CL324">
            <v>293699.89</v>
          </cell>
          <cell r="CM324">
            <v>292591.86</v>
          </cell>
          <cell r="CN324">
            <v>293940.82</v>
          </cell>
          <cell r="CO324">
            <v>293833.38</v>
          </cell>
          <cell r="CP324">
            <v>291163.21000000002</v>
          </cell>
          <cell r="CQ324">
            <v>292145.12</v>
          </cell>
          <cell r="CR324">
            <v>294204.26</v>
          </cell>
          <cell r="CS324">
            <v>-410757.68</v>
          </cell>
          <cell r="CT324">
            <v>268638.81</v>
          </cell>
          <cell r="CU324">
            <v>269878.27</v>
          </cell>
          <cell r="CV324">
            <v>269648.84999999998</v>
          </cell>
          <cell r="CW324">
            <v>274137.51</v>
          </cell>
          <cell r="CX324">
            <v>274121.34000000003</v>
          </cell>
          <cell r="CY324">
            <v>274090.13</v>
          </cell>
          <cell r="CZ324">
            <v>274067.02</v>
          </cell>
          <cell r="DA324">
            <v>281436.84000000003</v>
          </cell>
          <cell r="DB324">
            <v>281516.26</v>
          </cell>
          <cell r="DC324">
            <v>285502.26</v>
          </cell>
          <cell r="DD324">
            <v>284704.18</v>
          </cell>
          <cell r="DE324">
            <v>284648.74</v>
          </cell>
          <cell r="DF324">
            <v>282060.65999999997</v>
          </cell>
          <cell r="DG324">
            <v>279417.02</v>
          </cell>
        </row>
        <row r="325">
          <cell r="A325">
            <v>6790800</v>
          </cell>
          <cell r="B325">
            <v>6790800</v>
          </cell>
          <cell r="C325" t="str">
            <v>Other Oper-Misc</v>
          </cell>
          <cell r="D325">
            <v>20034.669999999998</v>
          </cell>
          <cell r="E325">
            <v>23400.5</v>
          </cell>
          <cell r="F325">
            <v>16972.689999999999</v>
          </cell>
          <cell r="G325">
            <v>37600.839999999997</v>
          </cell>
          <cell r="H325">
            <v>12689.84</v>
          </cell>
          <cell r="I325">
            <v>58387.91</v>
          </cell>
          <cell r="J325">
            <v>28277.85</v>
          </cell>
          <cell r="K325">
            <v>245616.5</v>
          </cell>
          <cell r="L325">
            <v>163305.16</v>
          </cell>
          <cell r="M325">
            <v>20955.02</v>
          </cell>
          <cell r="N325">
            <v>18296.63</v>
          </cell>
          <cell r="O325">
            <v>6016547.8600000003</v>
          </cell>
          <cell r="P325">
            <v>-5099.18</v>
          </cell>
          <cell r="Q325">
            <v>-50907.040000000001</v>
          </cell>
          <cell r="R325">
            <v>850636.39</v>
          </cell>
          <cell r="S325">
            <v>-1732623.13</v>
          </cell>
          <cell r="T325">
            <v>12321.94</v>
          </cell>
          <cell r="U325">
            <v>8509.7099999999991</v>
          </cell>
          <cell r="V325">
            <v>60807.61</v>
          </cell>
          <cell r="W325">
            <v>-473742.69</v>
          </cell>
          <cell r="X325">
            <v>61389.36</v>
          </cell>
          <cell r="Y325">
            <v>41658.83</v>
          </cell>
          <cell r="Z325">
            <v>-19305.330000000002</v>
          </cell>
          <cell r="AA325">
            <v>-28433.96</v>
          </cell>
          <cell r="AB325">
            <v>17983.61</v>
          </cell>
          <cell r="AC325">
            <v>24371.93</v>
          </cell>
          <cell r="AD325">
            <v>19081.54</v>
          </cell>
          <cell r="AE325">
            <v>14050.4</v>
          </cell>
          <cell r="AF325">
            <v>28387.29</v>
          </cell>
          <cell r="AG325">
            <v>136857.01999999999</v>
          </cell>
          <cell r="AH325">
            <v>-101066.99</v>
          </cell>
          <cell r="AI325">
            <v>17060.419999999998</v>
          </cell>
          <cell r="AJ325">
            <v>278009.21000000002</v>
          </cell>
          <cell r="AK325">
            <v>7776.83</v>
          </cell>
          <cell r="AL325">
            <v>-393691.19</v>
          </cell>
          <cell r="AM325">
            <v>583224.04</v>
          </cell>
          <cell r="AN325">
            <v>-345962.28</v>
          </cell>
          <cell r="AO325">
            <v>35448.26</v>
          </cell>
          <cell r="AP325">
            <v>-1438.77</v>
          </cell>
          <cell r="AQ325">
            <v>28349.84</v>
          </cell>
          <cell r="AR325">
            <v>50440.99</v>
          </cell>
          <cell r="AS325">
            <v>-1305418.83</v>
          </cell>
          <cell r="AT325">
            <v>-1535445.11</v>
          </cell>
          <cell r="AU325">
            <v>-253165.54</v>
          </cell>
          <cell r="AV325">
            <v>-385668.07</v>
          </cell>
          <cell r="AW325">
            <v>57600.11</v>
          </cell>
          <cell r="AX325">
            <v>-11448.41</v>
          </cell>
          <cell r="AY325">
            <v>-556531.87</v>
          </cell>
          <cell r="AZ325">
            <v>-151880.15</v>
          </cell>
          <cell r="BA325">
            <v>12749.1</v>
          </cell>
          <cell r="BB325">
            <v>17501.77</v>
          </cell>
          <cell r="BC325">
            <v>105674.5</v>
          </cell>
          <cell r="BD325">
            <v>228516.39</v>
          </cell>
          <cell r="BE325">
            <v>24391.34</v>
          </cell>
          <cell r="BF325">
            <v>-502024.23</v>
          </cell>
          <cell r="BG325">
            <v>160816.5</v>
          </cell>
          <cell r="BH325">
            <v>-231410.74</v>
          </cell>
          <cell r="BI325">
            <v>-54689.4</v>
          </cell>
          <cell r="BJ325">
            <v>1129599.29</v>
          </cell>
          <cell r="BK325">
            <v>-571469.12</v>
          </cell>
          <cell r="BL325">
            <v>69347.59</v>
          </cell>
          <cell r="BM325">
            <v>-36181.1</v>
          </cell>
          <cell r="BN325">
            <v>16991.09</v>
          </cell>
          <cell r="BO325">
            <v>30936.18</v>
          </cell>
          <cell r="BP325">
            <v>3371052.29</v>
          </cell>
          <cell r="BQ325">
            <v>59711.49</v>
          </cell>
          <cell r="BR325">
            <v>1947214.49</v>
          </cell>
          <cell r="BS325">
            <v>-188001.06</v>
          </cell>
          <cell r="BT325">
            <v>6282124.1699999999</v>
          </cell>
          <cell r="BU325">
            <v>468487.81</v>
          </cell>
          <cell r="BV325">
            <v>838344.13</v>
          </cell>
          <cell r="BW325">
            <v>443032.21</v>
          </cell>
          <cell r="BX325">
            <v>-3625549.5</v>
          </cell>
          <cell r="BY325">
            <v>8161156.46</v>
          </cell>
          <cell r="BZ325">
            <v>-134025.31</v>
          </cell>
          <cell r="CA325">
            <v>829247.68</v>
          </cell>
          <cell r="CB325">
            <v>337833.71</v>
          </cell>
          <cell r="CC325">
            <v>5110198.04</v>
          </cell>
          <cell r="CD325">
            <v>3242869.27</v>
          </cell>
          <cell r="CE325">
            <v>9339663.3300000001</v>
          </cell>
          <cell r="CF325">
            <v>143793.91</v>
          </cell>
          <cell r="CG325">
            <v>564652.39</v>
          </cell>
          <cell r="CH325">
            <v>81693.55</v>
          </cell>
          <cell r="CI325">
            <v>814710.33</v>
          </cell>
          <cell r="CJ325">
            <v>161947.85999999999</v>
          </cell>
          <cell r="CK325">
            <v>215831.13</v>
          </cell>
          <cell r="CL325">
            <v>177107.3</v>
          </cell>
          <cell r="CM325">
            <v>175607.03</v>
          </cell>
          <cell r="CN325">
            <v>686502.75</v>
          </cell>
          <cell r="CO325">
            <v>370375.36</v>
          </cell>
          <cell r="CP325">
            <v>181436.45</v>
          </cell>
          <cell r="CQ325">
            <v>169785.14</v>
          </cell>
          <cell r="CR325">
            <v>-1450568.34</v>
          </cell>
          <cell r="CS325">
            <v>165964.97</v>
          </cell>
          <cell r="CT325">
            <v>181189.52</v>
          </cell>
          <cell r="CU325">
            <v>-729807.26</v>
          </cell>
          <cell r="CV325">
            <v>89190.25</v>
          </cell>
          <cell r="CW325">
            <v>593595.16</v>
          </cell>
          <cell r="CX325">
            <v>768385.98</v>
          </cell>
          <cell r="CY325">
            <v>521615.17</v>
          </cell>
          <cell r="CZ325">
            <v>344759.61</v>
          </cell>
          <cell r="DA325">
            <v>630006.74</v>
          </cell>
          <cell r="DB325">
            <v>433075.28</v>
          </cell>
          <cell r="DC325">
            <v>561335.53</v>
          </cell>
          <cell r="DD325">
            <v>3896862.6</v>
          </cell>
          <cell r="DE325">
            <v>-3738159.7</v>
          </cell>
          <cell r="DF325">
            <v>447083.45</v>
          </cell>
          <cell r="DG325">
            <v>1571039.75</v>
          </cell>
        </row>
        <row r="326">
          <cell r="A326">
            <v>6790801</v>
          </cell>
          <cell r="B326">
            <v>6790801</v>
          </cell>
          <cell r="C326" t="str">
            <v>Other Oper-GAAP Adj</v>
          </cell>
          <cell r="D326"/>
          <cell r="E326"/>
          <cell r="F326"/>
          <cell r="G326"/>
          <cell r="H326"/>
          <cell r="I326"/>
          <cell r="J326"/>
          <cell r="K326"/>
          <cell r="L326"/>
          <cell r="M326"/>
          <cell r="N326"/>
          <cell r="O326"/>
          <cell r="P326"/>
          <cell r="Q326"/>
          <cell r="R326"/>
          <cell r="S326"/>
          <cell r="T326"/>
          <cell r="U326"/>
          <cell r="V326"/>
          <cell r="W326"/>
          <cell r="X326"/>
          <cell r="Y326"/>
          <cell r="Z326"/>
          <cell r="AA326"/>
          <cell r="AB326"/>
          <cell r="AC326"/>
          <cell r="AD326"/>
          <cell r="AE326">
            <v>0</v>
          </cell>
          <cell r="AF326">
            <v>0</v>
          </cell>
          <cell r="AG326">
            <v>-65059</v>
          </cell>
          <cell r="AH326">
            <v>-21686</v>
          </cell>
          <cell r="AI326">
            <v>-21686</v>
          </cell>
          <cell r="AJ326">
            <v>-21686</v>
          </cell>
          <cell r="AK326">
            <v>-21687</v>
          </cell>
          <cell r="AL326">
            <v>-36838</v>
          </cell>
          <cell r="AM326">
            <v>-29262</v>
          </cell>
          <cell r="AN326">
            <v>-29262</v>
          </cell>
          <cell r="AO326">
            <v>-29262</v>
          </cell>
          <cell r="AP326">
            <v>-29262</v>
          </cell>
          <cell r="AQ326">
            <v>-59215</v>
          </cell>
          <cell r="AR326">
            <v>-59215</v>
          </cell>
          <cell r="AS326">
            <v>-59215</v>
          </cell>
          <cell r="AT326">
            <v>-59215</v>
          </cell>
          <cell r="AU326">
            <v>-59215</v>
          </cell>
          <cell r="AV326">
            <v>-59215</v>
          </cell>
          <cell r="AW326">
            <v>-69679</v>
          </cell>
          <cell r="AX326">
            <v>-69679</v>
          </cell>
          <cell r="AY326">
            <v>-69679</v>
          </cell>
          <cell r="AZ326">
            <v>-69679</v>
          </cell>
          <cell r="BA326">
            <v>-69679</v>
          </cell>
          <cell r="BB326">
            <v>-69679</v>
          </cell>
          <cell r="BC326">
            <v>-69679</v>
          </cell>
          <cell r="BD326">
            <v>-69679</v>
          </cell>
          <cell r="BE326">
            <v>-69679</v>
          </cell>
          <cell r="BF326">
            <v>-69679</v>
          </cell>
          <cell r="BG326">
            <v>-69679</v>
          </cell>
          <cell r="BH326">
            <v>-69679</v>
          </cell>
          <cell r="BI326">
            <v>-69679</v>
          </cell>
          <cell r="BJ326">
            <v>-69679</v>
          </cell>
          <cell r="BK326">
            <v>-69679</v>
          </cell>
          <cell r="BL326">
            <v>-69679</v>
          </cell>
          <cell r="BM326">
            <v>-69679</v>
          </cell>
          <cell r="BN326">
            <v>-69679</v>
          </cell>
          <cell r="BO326">
            <v>-69679</v>
          </cell>
          <cell r="BP326">
            <v>-69679</v>
          </cell>
          <cell r="BQ326">
            <v>-69679</v>
          </cell>
          <cell r="BR326">
            <v>-69679</v>
          </cell>
          <cell r="BS326">
            <v>-69679</v>
          </cell>
          <cell r="BT326">
            <v>-69679</v>
          </cell>
          <cell r="BU326">
            <v>-69678</v>
          </cell>
          <cell r="BV326">
            <v>-69678</v>
          </cell>
          <cell r="BW326">
            <v>-69678</v>
          </cell>
          <cell r="BX326">
            <v>-69678</v>
          </cell>
          <cell r="BY326">
            <v>-69679</v>
          </cell>
          <cell r="BZ326">
            <v>-69679</v>
          </cell>
          <cell r="CA326">
            <v>-61412</v>
          </cell>
          <cell r="CB326">
            <v>-61412</v>
          </cell>
          <cell r="CC326">
            <v>-61412</v>
          </cell>
          <cell r="CD326">
            <v>-61412</v>
          </cell>
          <cell r="CE326">
            <v>-61412</v>
          </cell>
          <cell r="CF326">
            <v>-61412</v>
          </cell>
          <cell r="CG326">
            <v>-58524</v>
          </cell>
          <cell r="CH326">
            <v>-58524</v>
          </cell>
          <cell r="CI326">
            <v>-58524</v>
          </cell>
          <cell r="CJ326">
            <v>-58524</v>
          </cell>
          <cell r="CK326">
            <v>-58524</v>
          </cell>
          <cell r="CL326">
            <v>-58525</v>
          </cell>
          <cell r="CM326">
            <v>-58525</v>
          </cell>
          <cell r="CN326">
            <v>-58525</v>
          </cell>
          <cell r="CO326">
            <v>-58525</v>
          </cell>
          <cell r="CP326">
            <v>-58525</v>
          </cell>
          <cell r="CQ326">
            <v>-58525</v>
          </cell>
          <cell r="CR326">
            <v>-58525</v>
          </cell>
          <cell r="CS326">
            <v>-58525</v>
          </cell>
          <cell r="CT326">
            <v>-58525</v>
          </cell>
          <cell r="CU326">
            <v>-58525</v>
          </cell>
          <cell r="CV326">
            <v>-58525</v>
          </cell>
          <cell r="CW326">
            <v>-58525</v>
          </cell>
          <cell r="CX326">
            <v>-58525</v>
          </cell>
          <cell r="CY326">
            <v>-43373</v>
          </cell>
          <cell r="CZ326">
            <v>-43373</v>
          </cell>
          <cell r="DA326">
            <v>-43373</v>
          </cell>
          <cell r="DB326">
            <v>-43373</v>
          </cell>
          <cell r="DC326">
            <v>0</v>
          </cell>
          <cell r="DD326">
            <v>0</v>
          </cell>
          <cell r="DE326">
            <v>0</v>
          </cell>
          <cell r="DF326">
            <v>0</v>
          </cell>
          <cell r="DG326">
            <v>0</v>
          </cell>
        </row>
        <row r="327">
          <cell r="A327">
            <v>6790802</v>
          </cell>
          <cell r="B327">
            <v>6790802</v>
          </cell>
          <cell r="C327" t="str">
            <v>Other Below the Line</v>
          </cell>
          <cell r="D327"/>
          <cell r="E327"/>
          <cell r="F327"/>
          <cell r="G327"/>
          <cell r="H327"/>
          <cell r="I327"/>
          <cell r="J327"/>
          <cell r="K327"/>
          <cell r="L327"/>
          <cell r="M327"/>
          <cell r="N327"/>
          <cell r="O327"/>
          <cell r="P327"/>
          <cell r="Q327"/>
          <cell r="R327"/>
          <cell r="S327"/>
          <cell r="T327"/>
          <cell r="U327"/>
          <cell r="V327"/>
          <cell r="W327"/>
          <cell r="X327"/>
          <cell r="Y327"/>
          <cell r="Z327"/>
          <cell r="AA327"/>
          <cell r="AB327"/>
          <cell r="AC327"/>
          <cell r="AD327"/>
          <cell r="AE327"/>
          <cell r="AF327"/>
          <cell r="AG327"/>
          <cell r="AH327"/>
          <cell r="AI327"/>
          <cell r="AJ327"/>
          <cell r="AK327"/>
          <cell r="AL327"/>
          <cell r="AM327"/>
          <cell r="AN327"/>
          <cell r="AO327"/>
          <cell r="AP327"/>
          <cell r="AQ327"/>
          <cell r="AR327"/>
          <cell r="AS327"/>
          <cell r="AT327"/>
          <cell r="AU327"/>
          <cell r="AV327"/>
          <cell r="AW327"/>
          <cell r="AX327"/>
          <cell r="AY327"/>
          <cell r="AZ327"/>
          <cell r="BA327"/>
          <cell r="BB327"/>
          <cell r="BC327"/>
          <cell r="BD327"/>
          <cell r="BE327"/>
          <cell r="BF327"/>
          <cell r="BG327"/>
          <cell r="BH327"/>
          <cell r="BI327"/>
          <cell r="BJ327"/>
          <cell r="BK327"/>
          <cell r="BL327"/>
          <cell r="BM327"/>
          <cell r="BN327"/>
          <cell r="BO327"/>
          <cell r="BP327"/>
          <cell r="BQ327"/>
          <cell r="BR327"/>
          <cell r="BS327"/>
          <cell r="BT327"/>
          <cell r="BU327"/>
          <cell r="BV327"/>
          <cell r="BW327"/>
          <cell r="BX327"/>
          <cell r="BY327"/>
          <cell r="BZ327"/>
          <cell r="CA327"/>
          <cell r="CB327"/>
          <cell r="CC327"/>
          <cell r="CD327"/>
          <cell r="CE327"/>
          <cell r="CF327"/>
          <cell r="CG327"/>
          <cell r="CH327"/>
          <cell r="CI327"/>
          <cell r="CJ327"/>
          <cell r="CK327"/>
          <cell r="CL327"/>
          <cell r="CM327"/>
          <cell r="CN327"/>
          <cell r="CO327"/>
          <cell r="CP327"/>
          <cell r="CQ327"/>
          <cell r="CR327"/>
          <cell r="CS327"/>
          <cell r="CT327"/>
          <cell r="CU327"/>
          <cell r="CV327"/>
          <cell r="CW327"/>
          <cell r="CX327"/>
          <cell r="CY327"/>
          <cell r="CZ327"/>
          <cell r="DA327"/>
          <cell r="DB327"/>
          <cell r="DC327"/>
          <cell r="DD327"/>
          <cell r="DE327">
            <v>0</v>
          </cell>
          <cell r="DF327">
            <v>339.23</v>
          </cell>
          <cell r="DG327">
            <v>0</v>
          </cell>
        </row>
        <row r="328">
          <cell r="A328">
            <v>6791000</v>
          </cell>
          <cell r="B328">
            <v>6791000</v>
          </cell>
          <cell r="C328" t="str">
            <v>Rate Case Expense</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526.23</v>
          </cell>
          <cell r="CD328">
            <v>-567.46</v>
          </cell>
          <cell r="CE328">
            <v>0</v>
          </cell>
          <cell r="CF328">
            <v>0</v>
          </cell>
          <cell r="CG328">
            <v>0</v>
          </cell>
          <cell r="CH328">
            <v>0</v>
          </cell>
          <cell r="CI328">
            <v>0</v>
          </cell>
          <cell r="CJ328">
            <v>34179.129999999997</v>
          </cell>
          <cell r="CK328">
            <v>35838.28</v>
          </cell>
          <cell r="CL328">
            <v>35012.35</v>
          </cell>
          <cell r="CM328">
            <v>35009.919999999998</v>
          </cell>
          <cell r="CN328">
            <v>36408.83</v>
          </cell>
          <cell r="CO328">
            <v>35289.699999999997</v>
          </cell>
          <cell r="CP328">
            <v>35289.699999999997</v>
          </cell>
          <cell r="CQ328">
            <v>35289.699999999997</v>
          </cell>
          <cell r="CR328">
            <v>35289.699999999997</v>
          </cell>
          <cell r="CS328">
            <v>35289.699999999997</v>
          </cell>
          <cell r="CT328">
            <v>35289.699999999997</v>
          </cell>
          <cell r="CU328">
            <v>35289.699999999997</v>
          </cell>
          <cell r="CV328">
            <v>35289.699999999997</v>
          </cell>
          <cell r="CW328">
            <v>35289.699999999997</v>
          </cell>
          <cell r="CX328">
            <v>35289.699999999997</v>
          </cell>
          <cell r="CY328">
            <v>35289.699999999997</v>
          </cell>
          <cell r="CZ328">
            <v>35289.699999999997</v>
          </cell>
          <cell r="DA328">
            <v>35289.699999999997</v>
          </cell>
          <cell r="DB328">
            <v>35289.699999999997</v>
          </cell>
          <cell r="DC328">
            <v>35289.699999999997</v>
          </cell>
          <cell r="DD328">
            <v>35289.699999999997</v>
          </cell>
          <cell r="DE328">
            <v>35289.699999999997</v>
          </cell>
          <cell r="DF328">
            <v>35289.699999999997</v>
          </cell>
          <cell r="DG328">
            <v>35289.72</v>
          </cell>
        </row>
        <row r="329">
          <cell r="A329">
            <v>6798999</v>
          </cell>
          <cell r="B329">
            <v>6798999</v>
          </cell>
          <cell r="C329" t="str">
            <v>Oth Oper Exp Reclass</v>
          </cell>
          <cell r="D329">
            <v>15.4</v>
          </cell>
          <cell r="E329">
            <v>0</v>
          </cell>
          <cell r="F329">
            <v>-91090.559999999998</v>
          </cell>
          <cell r="G329">
            <v>-344699.84</v>
          </cell>
          <cell r="H329">
            <v>-38511.11</v>
          </cell>
          <cell r="I329">
            <v>-275235.74</v>
          </cell>
          <cell r="J329">
            <v>-703003.47</v>
          </cell>
          <cell r="K329">
            <v>-457434.98</v>
          </cell>
          <cell r="L329">
            <v>-139822.26</v>
          </cell>
          <cell r="M329">
            <v>-73593.8</v>
          </cell>
          <cell r="N329">
            <v>14713.87</v>
          </cell>
          <cell r="O329">
            <v>-130772.29</v>
          </cell>
          <cell r="P329">
            <v>-164659.79999999999</v>
          </cell>
          <cell r="Q329">
            <v>-116252.61</v>
          </cell>
          <cell r="R329">
            <v>-298091.69</v>
          </cell>
          <cell r="S329">
            <v>-91059.8</v>
          </cell>
          <cell r="T329">
            <v>-100075.5</v>
          </cell>
          <cell r="U329">
            <v>-40929.519999999997</v>
          </cell>
          <cell r="V329">
            <v>-37018.07</v>
          </cell>
          <cell r="W329">
            <v>-14455.56</v>
          </cell>
          <cell r="X329">
            <v>-11968.17</v>
          </cell>
          <cell r="Y329">
            <v>-20134.13</v>
          </cell>
          <cell r="Z329">
            <v>-368.92</v>
          </cell>
          <cell r="AA329">
            <v>912091.47</v>
          </cell>
          <cell r="AB329">
            <v>-13228.33</v>
          </cell>
          <cell r="AC329">
            <v>0</v>
          </cell>
          <cell r="AD329">
            <v>1000000</v>
          </cell>
          <cell r="AE329">
            <v>0</v>
          </cell>
          <cell r="AF329">
            <v>0</v>
          </cell>
          <cell r="AG329">
            <v>60892.23</v>
          </cell>
          <cell r="AH329">
            <v>0</v>
          </cell>
          <cell r="AI329">
            <v>5211.57</v>
          </cell>
          <cell r="AJ329">
            <v>0</v>
          </cell>
          <cell r="AK329">
            <v>0</v>
          </cell>
          <cell r="AL329">
            <v>0</v>
          </cell>
          <cell r="AM329">
            <v>-106937.09</v>
          </cell>
          <cell r="AN329">
            <v>0</v>
          </cell>
          <cell r="AO329">
            <v>-553692.48</v>
          </cell>
          <cell r="AP329">
            <v>0</v>
          </cell>
          <cell r="AQ329">
            <v>0</v>
          </cell>
          <cell r="AR329">
            <v>0</v>
          </cell>
          <cell r="AS329">
            <v>0</v>
          </cell>
          <cell r="AT329">
            <v>0</v>
          </cell>
          <cell r="AU329">
            <v>1055.48</v>
          </cell>
          <cell r="AV329">
            <v>0</v>
          </cell>
          <cell r="AW329">
            <v>0</v>
          </cell>
          <cell r="AX329">
            <v>0</v>
          </cell>
          <cell r="AY329">
            <v>12500</v>
          </cell>
          <cell r="AZ329">
            <v>0</v>
          </cell>
          <cell r="BA329">
            <v>-2005.14</v>
          </cell>
          <cell r="BB329">
            <v>0</v>
          </cell>
          <cell r="BC329">
            <v>114.61</v>
          </cell>
          <cell r="BD329">
            <v>0</v>
          </cell>
          <cell r="BE329">
            <v>0</v>
          </cell>
          <cell r="BF329">
            <v>0</v>
          </cell>
          <cell r="BG329">
            <v>0</v>
          </cell>
          <cell r="BH329">
            <v>0</v>
          </cell>
          <cell r="BI329">
            <v>31829.45</v>
          </cell>
          <cell r="BJ329">
            <v>145000</v>
          </cell>
          <cell r="BK329">
            <v>-467536.86</v>
          </cell>
          <cell r="BL329">
            <v>0</v>
          </cell>
          <cell r="BM329">
            <v>-481.09</v>
          </cell>
          <cell r="BN329">
            <v>905.83</v>
          </cell>
          <cell r="BO329">
            <v>487.61</v>
          </cell>
          <cell r="BP329">
            <v>1653.6</v>
          </cell>
          <cell r="BQ329">
            <v>1606.72</v>
          </cell>
          <cell r="BR329">
            <v>1252.3699999999999</v>
          </cell>
          <cell r="BS329">
            <v>1252.32</v>
          </cell>
          <cell r="BT329">
            <v>2837.46</v>
          </cell>
          <cell r="BU329">
            <v>622.79</v>
          </cell>
          <cell r="BV329">
            <v>47.92</v>
          </cell>
          <cell r="BW329">
            <v>-28545.26</v>
          </cell>
          <cell r="BX329">
            <v>0</v>
          </cell>
          <cell r="BY329">
            <v>47.92</v>
          </cell>
          <cell r="BZ329">
            <v>66.31</v>
          </cell>
          <cell r="CA329">
            <v>0</v>
          </cell>
          <cell r="CB329">
            <v>-44760.2</v>
          </cell>
          <cell r="CC329">
            <v>500</v>
          </cell>
          <cell r="CD329">
            <v>0</v>
          </cell>
          <cell r="CE329">
            <v>0</v>
          </cell>
          <cell r="CF329">
            <v>-592817.74</v>
          </cell>
          <cell r="CG329">
            <v>594014.88</v>
          </cell>
          <cell r="CH329">
            <v>769.11</v>
          </cell>
          <cell r="CI329">
            <v>402.24</v>
          </cell>
          <cell r="CJ329">
            <v>-26342.77</v>
          </cell>
          <cell r="CK329">
            <v>0</v>
          </cell>
          <cell r="CL329">
            <v>-4947</v>
          </cell>
          <cell r="CM329">
            <v>0</v>
          </cell>
          <cell r="CN329">
            <v>0</v>
          </cell>
          <cell r="CO329">
            <v>0</v>
          </cell>
          <cell r="CP329">
            <v>-582</v>
          </cell>
          <cell r="CQ329">
            <v>0</v>
          </cell>
          <cell r="CR329">
            <v>0</v>
          </cell>
          <cell r="CS329">
            <v>0</v>
          </cell>
          <cell r="CT329">
            <v>0</v>
          </cell>
          <cell r="CU329">
            <v>49626.080000000002</v>
          </cell>
          <cell r="CV329">
            <v>3323.77</v>
          </cell>
          <cell r="CW329">
            <v>1165.79</v>
          </cell>
          <cell r="CX329">
            <v>2328.17</v>
          </cell>
          <cell r="CY329">
            <v>23511.63</v>
          </cell>
          <cell r="CZ329">
            <v>10618.39</v>
          </cell>
          <cell r="DA329">
            <v>-16994.25</v>
          </cell>
          <cell r="DB329">
            <v>1403.95</v>
          </cell>
          <cell r="DC329">
            <v>-1563.5</v>
          </cell>
          <cell r="DD329">
            <v>3916.61</v>
          </cell>
          <cell r="DE329">
            <v>-234.04</v>
          </cell>
          <cell r="DF329">
            <v>4920.68</v>
          </cell>
          <cell r="DG329">
            <v>48074.28</v>
          </cell>
        </row>
        <row r="330">
          <cell r="A330">
            <v>6799000</v>
          </cell>
          <cell r="B330">
            <v>6799000</v>
          </cell>
          <cell r="C330" t="str">
            <v>Other Oper to BalSht</v>
          </cell>
          <cell r="D330">
            <v>-458487.5</v>
          </cell>
          <cell r="E330">
            <v>-420646.25</v>
          </cell>
          <cell r="F330">
            <v>-434815.81</v>
          </cell>
          <cell r="G330">
            <v>-83274.3</v>
          </cell>
          <cell r="H330">
            <v>-554344.04</v>
          </cell>
          <cell r="I330">
            <v>-511133.25</v>
          </cell>
          <cell r="J330">
            <v>157063.54</v>
          </cell>
          <cell r="K330">
            <v>-484746.42</v>
          </cell>
          <cell r="L330">
            <v>-447144.2</v>
          </cell>
          <cell r="M330">
            <v>-160223.04000000001</v>
          </cell>
          <cell r="N330">
            <v>-565955.02</v>
          </cell>
          <cell r="O330">
            <v>-6328072.8200000003</v>
          </cell>
          <cell r="P330">
            <v>-290140.96000000002</v>
          </cell>
          <cell r="Q330">
            <v>-278630.94</v>
          </cell>
          <cell r="R330">
            <v>-937427.5</v>
          </cell>
          <cell r="S330">
            <v>1420608.84</v>
          </cell>
          <cell r="T330">
            <v>-296291.63</v>
          </cell>
          <cell r="U330">
            <v>-397884.77</v>
          </cell>
          <cell r="V330">
            <v>-446677.29</v>
          </cell>
          <cell r="W330">
            <v>99324.88</v>
          </cell>
          <cell r="X330">
            <v>-439022.03</v>
          </cell>
          <cell r="Y330">
            <v>-374258.68</v>
          </cell>
          <cell r="Z330">
            <v>-393835.64</v>
          </cell>
          <cell r="AA330">
            <v>-443960.37</v>
          </cell>
          <cell r="AB330">
            <v>-565381.59</v>
          </cell>
          <cell r="AC330">
            <v>-435359.54</v>
          </cell>
          <cell r="AD330">
            <v>-453175.32</v>
          </cell>
          <cell r="AE330">
            <v>-438793.91</v>
          </cell>
          <cell r="AF330">
            <v>-432260.9</v>
          </cell>
          <cell r="AG330">
            <v>-434459.32</v>
          </cell>
          <cell r="AH330">
            <v>-403168.4</v>
          </cell>
          <cell r="AI330">
            <v>-419284.05</v>
          </cell>
          <cell r="AJ330">
            <v>-902860.1</v>
          </cell>
          <cell r="AK330">
            <v>-539206.78</v>
          </cell>
          <cell r="AL330">
            <v>-22636.11</v>
          </cell>
          <cell r="AM330">
            <v>-1149424.26</v>
          </cell>
          <cell r="AN330">
            <v>-13832.16</v>
          </cell>
          <cell r="AO330">
            <v>140541.43</v>
          </cell>
          <cell r="AP330">
            <v>-439915.72</v>
          </cell>
          <cell r="AQ330">
            <v>-437692.47</v>
          </cell>
          <cell r="AR330">
            <v>-484019.47</v>
          </cell>
          <cell r="AS330">
            <v>865487.95</v>
          </cell>
          <cell r="AT330">
            <v>987938.81</v>
          </cell>
          <cell r="AU330">
            <v>-318951.8</v>
          </cell>
          <cell r="AV330">
            <v>-172226.74</v>
          </cell>
          <cell r="AW330">
            <v>-657547.82999999996</v>
          </cell>
          <cell r="AX330">
            <v>-543119.84</v>
          </cell>
          <cell r="AY330">
            <v>-138212.24</v>
          </cell>
          <cell r="AZ330">
            <v>-397910.97</v>
          </cell>
          <cell r="BA330">
            <v>-630015.62</v>
          </cell>
          <cell r="BB330">
            <v>-587253.91</v>
          </cell>
          <cell r="BC330">
            <v>-661220.4</v>
          </cell>
          <cell r="BD330">
            <v>-651511.57999999996</v>
          </cell>
          <cell r="BE330">
            <v>-631772.69999999995</v>
          </cell>
          <cell r="BF330">
            <v>-43712.45</v>
          </cell>
          <cell r="BG330">
            <v>-626577.53</v>
          </cell>
          <cell r="BH330">
            <v>-402632.04</v>
          </cell>
          <cell r="BI330">
            <v>-478340.84</v>
          </cell>
          <cell r="BJ330">
            <v>-1798919.32</v>
          </cell>
          <cell r="BK330">
            <v>39200.379999999997</v>
          </cell>
          <cell r="BL330">
            <v>-553319.73</v>
          </cell>
          <cell r="BM330">
            <v>-569231.65</v>
          </cell>
          <cell r="BN330">
            <v>-1216936.24</v>
          </cell>
          <cell r="BO330">
            <v>-769947.79</v>
          </cell>
          <cell r="BP330">
            <v>-4217632.82</v>
          </cell>
          <cell r="BQ330">
            <v>-880287.08</v>
          </cell>
          <cell r="BR330">
            <v>-2728349.95</v>
          </cell>
          <cell r="BS330">
            <v>-656685.93000000005</v>
          </cell>
          <cell r="BT330">
            <v>-7184027.3200000003</v>
          </cell>
          <cell r="BU330">
            <v>-1291999.22</v>
          </cell>
          <cell r="BV330">
            <v>-1567651.24</v>
          </cell>
          <cell r="BW330">
            <v>-1430576.57</v>
          </cell>
          <cell r="BX330">
            <v>2867467.28</v>
          </cell>
          <cell r="BY330">
            <v>-8774101.5199999996</v>
          </cell>
          <cell r="BZ330">
            <v>-644123.81000000006</v>
          </cell>
          <cell r="CA330">
            <v>-1582491.19</v>
          </cell>
          <cell r="CB330">
            <v>-1124996.6000000001</v>
          </cell>
          <cell r="CC330">
            <v>-5843841.7999999998</v>
          </cell>
          <cell r="CD330">
            <v>-4222087.72</v>
          </cell>
          <cell r="CE330">
            <v>-10144570.560000001</v>
          </cell>
          <cell r="CF330">
            <v>-1019938.61</v>
          </cell>
          <cell r="CG330">
            <v>-1477051.33</v>
          </cell>
          <cell r="CH330">
            <v>-957784.59</v>
          </cell>
          <cell r="CI330">
            <v>-1164167.01</v>
          </cell>
          <cell r="CJ330">
            <v>-772983.06</v>
          </cell>
          <cell r="CK330">
            <v>-1223484.8899999999</v>
          </cell>
          <cell r="CL330">
            <v>-881067.56</v>
          </cell>
          <cell r="CM330">
            <v>-871463.29</v>
          </cell>
          <cell r="CN330">
            <v>-1391844.08</v>
          </cell>
          <cell r="CO330">
            <v>-987263.79</v>
          </cell>
          <cell r="CP330">
            <v>-859307.72</v>
          </cell>
          <cell r="CQ330">
            <v>-862984.16</v>
          </cell>
          <cell r="CR330">
            <v>504477.53</v>
          </cell>
          <cell r="CS330">
            <v>-854471.77</v>
          </cell>
          <cell r="CT330">
            <v>-1812683.92</v>
          </cell>
          <cell r="CU330">
            <v>-58329.59</v>
          </cell>
          <cell r="CV330">
            <v>-989584.73</v>
          </cell>
          <cell r="CW330">
            <v>-1447414.56</v>
          </cell>
          <cell r="CX330">
            <v>-1696664.26</v>
          </cell>
          <cell r="CY330">
            <v>-1441299.23</v>
          </cell>
          <cell r="CZ330">
            <v>-1214294.28</v>
          </cell>
          <cell r="DA330">
            <v>-1385093.67</v>
          </cell>
          <cell r="DB330">
            <v>-1275151.07</v>
          </cell>
          <cell r="DC330">
            <v>-1319231.25</v>
          </cell>
          <cell r="DD330">
            <v>-1642177.95</v>
          </cell>
          <cell r="DE330">
            <v>-255821.76</v>
          </cell>
          <cell r="DF330">
            <v>-1374541.18</v>
          </cell>
          <cell r="DG330">
            <v>-3364277.43</v>
          </cell>
        </row>
        <row r="331">
          <cell r="A331">
            <v>6799105</v>
          </cell>
          <cell r="B331">
            <v>6799105</v>
          </cell>
          <cell r="C331" t="str">
            <v>Fleet Chgs BalSht</v>
          </cell>
          <cell r="D331">
            <v>-93099.48</v>
          </cell>
          <cell r="E331">
            <v>-86697.15</v>
          </cell>
          <cell r="F331">
            <v>-89549.77</v>
          </cell>
          <cell r="G331">
            <v>-81877.279999999999</v>
          </cell>
          <cell r="H331">
            <v>-95010.46</v>
          </cell>
          <cell r="I331">
            <v>-94123.35</v>
          </cell>
          <cell r="J331">
            <v>-90303.84</v>
          </cell>
          <cell r="K331">
            <v>-101806.5</v>
          </cell>
          <cell r="L331">
            <v>-99852.32</v>
          </cell>
          <cell r="M331">
            <v>-102109.15</v>
          </cell>
          <cell r="N331">
            <v>-104857.76</v>
          </cell>
          <cell r="O331">
            <v>-100830.53</v>
          </cell>
          <cell r="P331">
            <v>-73915.520000000004</v>
          </cell>
          <cell r="Q331">
            <v>-70886.559999999998</v>
          </cell>
          <cell r="R331">
            <v>-74762.539999999994</v>
          </cell>
          <cell r="S331">
            <v>-79305.210000000006</v>
          </cell>
          <cell r="T331">
            <v>-86804.7</v>
          </cell>
          <cell r="U331">
            <v>-86916.88</v>
          </cell>
          <cell r="V331">
            <v>-82359.520000000004</v>
          </cell>
          <cell r="W331">
            <v>-78171.78</v>
          </cell>
          <cell r="X331">
            <v>-75433.259999999995</v>
          </cell>
          <cell r="Y331">
            <v>-66544.679999999993</v>
          </cell>
          <cell r="Z331">
            <v>-103763.11</v>
          </cell>
          <cell r="AA331">
            <v>-104546.86</v>
          </cell>
          <cell r="AB331">
            <v>-73401.539999999994</v>
          </cell>
          <cell r="AC331">
            <v>-105318.08</v>
          </cell>
          <cell r="AD331">
            <v>-109976.79</v>
          </cell>
          <cell r="AE331">
            <v>-114235.31</v>
          </cell>
          <cell r="AF331">
            <v>-106843.64</v>
          </cell>
          <cell r="AG331">
            <v>-129898.87</v>
          </cell>
          <cell r="AH331">
            <v>-92375.32</v>
          </cell>
          <cell r="AI331">
            <v>-140813.76999999999</v>
          </cell>
          <cell r="AJ331">
            <v>-104255.26</v>
          </cell>
          <cell r="AK331">
            <v>-108122.77</v>
          </cell>
          <cell r="AL331">
            <v>-117340.27</v>
          </cell>
          <cell r="AM331">
            <v>-152442.82</v>
          </cell>
          <cell r="AN331">
            <v>-53335.29</v>
          </cell>
          <cell r="AO331">
            <v>-64896</v>
          </cell>
          <cell r="AP331">
            <v>-251247</v>
          </cell>
          <cell r="AQ331">
            <v>-128804.96</v>
          </cell>
          <cell r="AR331">
            <v>-125329.37</v>
          </cell>
          <cell r="AS331">
            <v>-136421.04</v>
          </cell>
          <cell r="AT331">
            <v>-123907.31</v>
          </cell>
          <cell r="AU331">
            <v>-135357.22</v>
          </cell>
          <cell r="AV331">
            <v>-137457.5</v>
          </cell>
          <cell r="AW331">
            <v>-134578.29</v>
          </cell>
          <cell r="AX331">
            <v>-142395.46</v>
          </cell>
          <cell r="AY331">
            <v>-142462.5</v>
          </cell>
          <cell r="AZ331">
            <v>-122680.34</v>
          </cell>
          <cell r="BA331">
            <v>-157136.6</v>
          </cell>
          <cell r="BB331">
            <v>-144678.45000000001</v>
          </cell>
          <cell r="BC331">
            <v>-144910.85</v>
          </cell>
          <cell r="BD331">
            <v>-167265.69</v>
          </cell>
          <cell r="BE331">
            <v>-145218.85999999999</v>
          </cell>
          <cell r="BF331">
            <v>-184857.88</v>
          </cell>
          <cell r="BG331">
            <v>-196041.13</v>
          </cell>
          <cell r="BH331">
            <v>-165184.51999999999</v>
          </cell>
          <cell r="BI331">
            <v>-205841.28</v>
          </cell>
          <cell r="BJ331">
            <v>-194902.24</v>
          </cell>
          <cell r="BK331">
            <v>-220140.94</v>
          </cell>
          <cell r="BL331">
            <v>-158427.03</v>
          </cell>
          <cell r="BM331">
            <v>-184632.07</v>
          </cell>
          <cell r="BN331">
            <v>-169300.81</v>
          </cell>
          <cell r="BO331">
            <v>-179693.58</v>
          </cell>
          <cell r="BP331">
            <v>-174235.49</v>
          </cell>
          <cell r="BQ331">
            <v>-192232.52</v>
          </cell>
          <cell r="BR331">
            <v>-191963.02</v>
          </cell>
          <cell r="BS331">
            <v>-180327.85</v>
          </cell>
          <cell r="BT331">
            <v>-165418.01</v>
          </cell>
          <cell r="BU331">
            <v>-193596.05</v>
          </cell>
          <cell r="BV331">
            <v>-184015.86</v>
          </cell>
          <cell r="BW331">
            <v>-214378.61</v>
          </cell>
          <cell r="BX331">
            <v>-155824.56</v>
          </cell>
          <cell r="BY331">
            <v>-175927.54</v>
          </cell>
          <cell r="BZ331">
            <v>-163386.82</v>
          </cell>
          <cell r="CA331">
            <v>-172717.85</v>
          </cell>
          <cell r="CB331">
            <v>-152643.1</v>
          </cell>
          <cell r="CC331">
            <v>-159767.65</v>
          </cell>
          <cell r="CD331">
            <v>-188637.28</v>
          </cell>
          <cell r="CE331">
            <v>-180992.77</v>
          </cell>
          <cell r="CF331">
            <v>-183345.4</v>
          </cell>
          <cell r="CG331">
            <v>-191204.64</v>
          </cell>
          <cell r="CH331">
            <v>-190762.13</v>
          </cell>
          <cell r="CI331">
            <v>-210948.33</v>
          </cell>
          <cell r="CJ331">
            <v>-120239.18</v>
          </cell>
          <cell r="CK331">
            <v>-152623.47</v>
          </cell>
          <cell r="CL331">
            <v>-137221.20000000001</v>
          </cell>
          <cell r="CM331">
            <v>-166256.51999999999</v>
          </cell>
          <cell r="CN331">
            <v>-146169.17000000001</v>
          </cell>
          <cell r="CO331">
            <v>-173060.12</v>
          </cell>
          <cell r="CP331">
            <v>-169948.54</v>
          </cell>
          <cell r="CQ331">
            <v>-174850.36</v>
          </cell>
          <cell r="CR331">
            <v>-146566.65</v>
          </cell>
          <cell r="CS331">
            <v>-181822.82</v>
          </cell>
          <cell r="CT331">
            <v>-156461.99</v>
          </cell>
          <cell r="CU331">
            <v>-159427.63</v>
          </cell>
          <cell r="CV331">
            <v>-185583.45</v>
          </cell>
          <cell r="CW331">
            <v>-199886.91</v>
          </cell>
          <cell r="CX331">
            <v>-209218.82</v>
          </cell>
          <cell r="CY331">
            <v>-266968.24</v>
          </cell>
          <cell r="CZ331">
            <v>-191795.92</v>
          </cell>
          <cell r="DA331">
            <v>-249895.83</v>
          </cell>
          <cell r="DB331">
            <v>-260723.41</v>
          </cell>
          <cell r="DC331">
            <v>-260813.39</v>
          </cell>
          <cell r="DD331">
            <v>-241950.27</v>
          </cell>
          <cell r="DE331">
            <v>-219220.08</v>
          </cell>
          <cell r="DF331">
            <v>-257777.64</v>
          </cell>
          <cell r="DG331">
            <v>-229538.28</v>
          </cell>
        </row>
        <row r="332">
          <cell r="A332">
            <v>6799107</v>
          </cell>
          <cell r="B332">
            <v>6799107</v>
          </cell>
          <cell r="C332" t="str">
            <v>Stores Clrg BalSht</v>
          </cell>
          <cell r="D332">
            <v>-22109.05</v>
          </cell>
          <cell r="E332">
            <v>-19411.580000000002</v>
          </cell>
          <cell r="F332">
            <v>-20349.27</v>
          </cell>
          <cell r="G332">
            <v>-17766.98</v>
          </cell>
          <cell r="H332">
            <v>-19915.509999999998</v>
          </cell>
          <cell r="I332">
            <v>-20375.66</v>
          </cell>
          <cell r="J332">
            <v>-11820.04</v>
          </cell>
          <cell r="K332">
            <v>-8311.02</v>
          </cell>
          <cell r="L332">
            <v>-30187.3</v>
          </cell>
          <cell r="M332">
            <v>-29387.31</v>
          </cell>
          <cell r="N332">
            <v>-2403.0500000000002</v>
          </cell>
          <cell r="O332">
            <v>-20049.77</v>
          </cell>
          <cell r="P332">
            <v>-28443.27</v>
          </cell>
          <cell r="Q332">
            <v>-15099.03</v>
          </cell>
          <cell r="R332">
            <v>-34822.660000000003</v>
          </cell>
          <cell r="S332">
            <v>-32518.83</v>
          </cell>
          <cell r="T332">
            <v>-35081.43</v>
          </cell>
          <cell r="U332">
            <v>-23527.34</v>
          </cell>
          <cell r="V332">
            <v>-18593.88</v>
          </cell>
          <cell r="W332">
            <v>-24927.35</v>
          </cell>
          <cell r="X332">
            <v>-27309.24</v>
          </cell>
          <cell r="Y332">
            <v>-37046.449999999997</v>
          </cell>
          <cell r="Z332">
            <v>-22864.53</v>
          </cell>
          <cell r="AA332">
            <v>-114153.45</v>
          </cell>
          <cell r="AB332">
            <v>-14777.14</v>
          </cell>
          <cell r="AC332">
            <v>-17738.509999999998</v>
          </cell>
          <cell r="AD332">
            <v>-20849.060000000001</v>
          </cell>
          <cell r="AE332">
            <v>-21519.57</v>
          </cell>
          <cell r="AF332">
            <v>-23882.87</v>
          </cell>
          <cell r="AG332">
            <v>-20138.689999999999</v>
          </cell>
          <cell r="AH332">
            <v>-21970.93</v>
          </cell>
          <cell r="AI332">
            <v>-25698.639999999999</v>
          </cell>
          <cell r="AJ332">
            <v>-22827.439999999999</v>
          </cell>
          <cell r="AK332">
            <v>-15812.26</v>
          </cell>
          <cell r="AL332">
            <v>-25075.279999999999</v>
          </cell>
          <cell r="AM332">
            <v>-69892.72</v>
          </cell>
          <cell r="AN332">
            <v>-24611.279999999999</v>
          </cell>
          <cell r="AO332">
            <v>-19911.18</v>
          </cell>
          <cell r="AP332">
            <v>-21927.64</v>
          </cell>
          <cell r="AQ332">
            <v>-19332.439999999999</v>
          </cell>
          <cell r="AR332">
            <v>-26803.01</v>
          </cell>
          <cell r="AS332">
            <v>-21594.47</v>
          </cell>
          <cell r="AT332">
            <v>-22277.14</v>
          </cell>
          <cell r="AU332">
            <v>-37242.019999999997</v>
          </cell>
          <cell r="AV332">
            <v>-40103.08</v>
          </cell>
          <cell r="AW332">
            <v>-60949.67</v>
          </cell>
          <cell r="AX332">
            <v>-53656.36</v>
          </cell>
          <cell r="AY332">
            <v>-100675.93</v>
          </cell>
          <cell r="AZ332">
            <v>-107903.33</v>
          </cell>
          <cell r="BA332">
            <v>-36878.57</v>
          </cell>
          <cell r="BB332">
            <v>-78699.38</v>
          </cell>
          <cell r="BC332">
            <v>-36409.660000000003</v>
          </cell>
          <cell r="BD332">
            <v>-53988.24</v>
          </cell>
          <cell r="BE332">
            <v>-26640.58</v>
          </cell>
          <cell r="BF332">
            <v>-64779.59</v>
          </cell>
          <cell r="BG332">
            <v>-54345.68</v>
          </cell>
          <cell r="BH332">
            <v>-62764.01</v>
          </cell>
          <cell r="BI332">
            <v>-79079.77</v>
          </cell>
          <cell r="BJ332">
            <v>-76243.83</v>
          </cell>
          <cell r="BK332">
            <v>-68519.62</v>
          </cell>
          <cell r="BL332">
            <v>-55990.02</v>
          </cell>
          <cell r="BM332">
            <v>-51656.639999999999</v>
          </cell>
          <cell r="BN332">
            <v>-81576.05</v>
          </cell>
          <cell r="BO332">
            <v>-86201.39</v>
          </cell>
          <cell r="BP332">
            <v>-62361.82</v>
          </cell>
          <cell r="BQ332">
            <v>-71031.03</v>
          </cell>
          <cell r="BR332">
            <v>-45012</v>
          </cell>
          <cell r="BS332">
            <v>-60433.01</v>
          </cell>
          <cell r="BT332">
            <v>-57178.53</v>
          </cell>
          <cell r="BU332">
            <v>-56404.86</v>
          </cell>
          <cell r="BV332">
            <v>-59661.23</v>
          </cell>
          <cell r="BW332">
            <v>-160080.35</v>
          </cell>
          <cell r="BX332">
            <v>-48363.4</v>
          </cell>
          <cell r="BY332">
            <v>-69311.539999999994</v>
          </cell>
          <cell r="BZ332">
            <v>-83944.03</v>
          </cell>
          <cell r="CA332">
            <v>-74034.460000000006</v>
          </cell>
          <cell r="CB332">
            <v>-26034.04</v>
          </cell>
          <cell r="CC332">
            <v>-22464.35</v>
          </cell>
          <cell r="CD332">
            <v>-31530.53</v>
          </cell>
          <cell r="CE332">
            <v>-29079.3</v>
          </cell>
          <cell r="CF332">
            <v>-39439.64</v>
          </cell>
          <cell r="CG332">
            <v>-33715.47</v>
          </cell>
          <cell r="CH332">
            <v>-167680.49</v>
          </cell>
          <cell r="CI332">
            <v>-45584.46</v>
          </cell>
          <cell r="CJ332">
            <v>-33131.980000000003</v>
          </cell>
          <cell r="CK332">
            <v>-57494.32</v>
          </cell>
          <cell r="CL332">
            <v>-95059.68</v>
          </cell>
          <cell r="CM332">
            <v>-57313.51</v>
          </cell>
          <cell r="CN332">
            <v>-35987.83</v>
          </cell>
          <cell r="CO332">
            <v>-53598.27</v>
          </cell>
          <cell r="CP332">
            <v>-84787.78</v>
          </cell>
          <cell r="CQ332">
            <v>-46793.58</v>
          </cell>
          <cell r="CR332">
            <v>-44240.69</v>
          </cell>
          <cell r="CS332">
            <v>-45877.45</v>
          </cell>
          <cell r="CT332">
            <v>-67319.16</v>
          </cell>
          <cell r="CU332">
            <v>-124197.03</v>
          </cell>
          <cell r="CV332">
            <v>-40388.959999999999</v>
          </cell>
          <cell r="CW332">
            <v>-49880.57</v>
          </cell>
          <cell r="CX332">
            <v>-53544.2</v>
          </cell>
          <cell r="CY332">
            <v>-50736.58</v>
          </cell>
          <cell r="CZ332">
            <v>-49494.15</v>
          </cell>
          <cell r="DA332">
            <v>-59425.33</v>
          </cell>
          <cell r="DB332">
            <v>-58634.81</v>
          </cell>
          <cell r="DC332">
            <v>-62932.23</v>
          </cell>
          <cell r="DD332">
            <v>-49747.55</v>
          </cell>
          <cell r="DE332">
            <v>-59442.59</v>
          </cell>
          <cell r="DF332">
            <v>-34818.47</v>
          </cell>
          <cell r="DG332">
            <v>-614751.68000000005</v>
          </cell>
        </row>
        <row r="333">
          <cell r="A333">
            <v>6799109</v>
          </cell>
          <cell r="B333">
            <v>6799109</v>
          </cell>
          <cell r="C333" t="str">
            <v>SupMgmt Chgs BalSht</v>
          </cell>
          <cell r="D333">
            <v>-189097.83</v>
          </cell>
          <cell r="E333">
            <v>-150164.35</v>
          </cell>
          <cell r="F333">
            <v>-182380.9</v>
          </cell>
          <cell r="G333">
            <v>-182805.08</v>
          </cell>
          <cell r="H333">
            <v>-188133.3</v>
          </cell>
          <cell r="I333">
            <v>-180890.01</v>
          </cell>
          <cell r="J333">
            <v>-166526.09</v>
          </cell>
          <cell r="K333">
            <v>-145859.63</v>
          </cell>
          <cell r="L333">
            <v>-146154.39000000001</v>
          </cell>
          <cell r="M333">
            <v>-162193.01999999999</v>
          </cell>
          <cell r="N333">
            <v>-145041.70000000001</v>
          </cell>
          <cell r="O333">
            <v>-172196.15</v>
          </cell>
          <cell r="P333">
            <v>-201381.9</v>
          </cell>
          <cell r="Q333">
            <v>-150726.82</v>
          </cell>
          <cell r="R333">
            <v>-239990.11</v>
          </cell>
          <cell r="S333">
            <v>-200344.31</v>
          </cell>
          <cell r="T333">
            <v>-185005.34</v>
          </cell>
          <cell r="U333">
            <v>-224038.61</v>
          </cell>
          <cell r="V333">
            <v>-232870.92</v>
          </cell>
          <cell r="W333">
            <v>-224199.89</v>
          </cell>
          <cell r="X333">
            <v>-188466.95</v>
          </cell>
          <cell r="Y333">
            <v>-289462.69</v>
          </cell>
          <cell r="Z333">
            <v>-206552.79</v>
          </cell>
          <cell r="AA333">
            <v>-216895.41</v>
          </cell>
          <cell r="AB333">
            <v>-227509.3</v>
          </cell>
          <cell r="AC333">
            <v>-264368.21000000002</v>
          </cell>
          <cell r="AD333">
            <v>-311859.99</v>
          </cell>
          <cell r="AE333">
            <v>-371221.26</v>
          </cell>
          <cell r="AF333">
            <v>-407311.98</v>
          </cell>
          <cell r="AG333">
            <v>-491263.27</v>
          </cell>
          <cell r="AH333">
            <v>-450455.11</v>
          </cell>
          <cell r="AI333">
            <v>-464700.49</v>
          </cell>
          <cell r="AJ333">
            <v>-505269.19</v>
          </cell>
          <cell r="AK333">
            <v>-563807.19999999995</v>
          </cell>
          <cell r="AL333">
            <v>-599144.25</v>
          </cell>
          <cell r="AM333">
            <v>-591991.98</v>
          </cell>
          <cell r="AN333">
            <v>-587807.35</v>
          </cell>
          <cell r="AO333">
            <v>-576494.93999999994</v>
          </cell>
          <cell r="AP333">
            <v>-628120.72</v>
          </cell>
          <cell r="AQ333">
            <v>-562442.42000000004</v>
          </cell>
          <cell r="AR333">
            <v>-626959.75</v>
          </cell>
          <cell r="AS333">
            <v>-599464.81000000006</v>
          </cell>
          <cell r="AT333">
            <v>-636941.96</v>
          </cell>
          <cell r="AU333">
            <v>-691048.21</v>
          </cell>
          <cell r="AV333">
            <v>-611567.79</v>
          </cell>
          <cell r="AW333">
            <v>-624217.66</v>
          </cell>
          <cell r="AX333">
            <v>-644764.4</v>
          </cell>
          <cell r="AY333">
            <v>-600223.14</v>
          </cell>
          <cell r="AZ333">
            <v>-654207.92000000004</v>
          </cell>
          <cell r="BA333">
            <v>-589355.72</v>
          </cell>
          <cell r="BB333">
            <v>-682261.66</v>
          </cell>
          <cell r="BC333">
            <v>-671939.57</v>
          </cell>
          <cell r="BD333">
            <v>-707296.55</v>
          </cell>
          <cell r="BE333">
            <v>-696847.65</v>
          </cell>
          <cell r="BF333">
            <v>-709588.03</v>
          </cell>
          <cell r="BG333">
            <v>-812876.61</v>
          </cell>
          <cell r="BH333">
            <v>-773893.34</v>
          </cell>
          <cell r="BI333">
            <v>-852288.11</v>
          </cell>
          <cell r="BJ333">
            <v>-748793.17</v>
          </cell>
          <cell r="BK333">
            <v>-771734.87</v>
          </cell>
          <cell r="BL333">
            <v>-911300.17</v>
          </cell>
          <cell r="BM333">
            <v>-772515.9</v>
          </cell>
          <cell r="BN333">
            <v>-845619.91</v>
          </cell>
          <cell r="BO333">
            <v>-855303.79</v>
          </cell>
          <cell r="BP333">
            <v>-912438.37</v>
          </cell>
          <cell r="BQ333">
            <v>-948328.3</v>
          </cell>
          <cell r="BR333">
            <v>-1104471.53</v>
          </cell>
          <cell r="BS333">
            <v>-956049</v>
          </cell>
          <cell r="BT333">
            <v>-916155.51</v>
          </cell>
          <cell r="BU333">
            <v>-1013841.58</v>
          </cell>
          <cell r="BV333">
            <v>-929448.75</v>
          </cell>
          <cell r="BW333">
            <v>-1074984.6299999999</v>
          </cell>
          <cell r="BX333">
            <v>-998300.33</v>
          </cell>
          <cell r="BY333">
            <v>-926750.44</v>
          </cell>
          <cell r="BZ333">
            <v>-1133508.74</v>
          </cell>
          <cell r="CA333">
            <v>-1016728.87</v>
          </cell>
          <cell r="CB333">
            <v>-1008968.35</v>
          </cell>
          <cell r="CC333">
            <v>-999823.06</v>
          </cell>
          <cell r="CD333">
            <v>-1178378.78</v>
          </cell>
          <cell r="CE333">
            <v>-1026901.8</v>
          </cell>
          <cell r="CF333">
            <v>-1038515.81</v>
          </cell>
          <cell r="CG333">
            <v>-1059831.6599999999</v>
          </cell>
          <cell r="CH333">
            <v>-961539.11</v>
          </cell>
          <cell r="CI333">
            <v>-1063472.6299999999</v>
          </cell>
          <cell r="CJ333">
            <v>-1070896.6299999999</v>
          </cell>
          <cell r="CK333">
            <v>-1009269.02</v>
          </cell>
          <cell r="CL333">
            <v>-1119582.06</v>
          </cell>
          <cell r="CM333">
            <v>-1132842.8899999999</v>
          </cell>
          <cell r="CN333">
            <v>-1046355.03</v>
          </cell>
          <cell r="CO333">
            <v>-983801.94</v>
          </cell>
          <cell r="CP333">
            <v>-1011858.99</v>
          </cell>
          <cell r="CQ333">
            <v>-1029450.42</v>
          </cell>
          <cell r="CR333">
            <v>-1010735.99</v>
          </cell>
          <cell r="CS333">
            <v>-1008930.28</v>
          </cell>
          <cell r="CT333">
            <v>-1143433.54</v>
          </cell>
          <cell r="CU333">
            <v>-1228958.7</v>
          </cell>
          <cell r="CV333">
            <v>-1036206.01</v>
          </cell>
          <cell r="CW333">
            <v>-1088146.79</v>
          </cell>
          <cell r="CX333">
            <v>-1268558.71</v>
          </cell>
          <cell r="CY333">
            <v>-1180696.22</v>
          </cell>
          <cell r="CZ333">
            <v>-1289257.8600000001</v>
          </cell>
          <cell r="DA333">
            <v>-1312907.48</v>
          </cell>
          <cell r="DB333">
            <v>-1358459.42</v>
          </cell>
          <cell r="DC333">
            <v>-1514698.91</v>
          </cell>
          <cell r="DD333">
            <v>-1307189.45</v>
          </cell>
          <cell r="DE333">
            <v>-1278132.1200000001</v>
          </cell>
          <cell r="DF333">
            <v>-1410022.44</v>
          </cell>
          <cell r="DG333">
            <v>-1508503.3</v>
          </cell>
        </row>
        <row r="334">
          <cell r="A334">
            <v>6799200</v>
          </cell>
          <cell r="B334">
            <v>6799200</v>
          </cell>
          <cell r="C334" t="str">
            <v>TSI Cap to BalSht</v>
          </cell>
          <cell r="D334"/>
          <cell r="E334"/>
          <cell r="F334"/>
          <cell r="G334"/>
          <cell r="H334"/>
          <cell r="I334"/>
          <cell r="J334"/>
          <cell r="K334"/>
          <cell r="L334"/>
          <cell r="M334"/>
          <cell r="N334"/>
          <cell r="O334"/>
          <cell r="P334"/>
          <cell r="Q334"/>
          <cell r="R334"/>
          <cell r="S334"/>
          <cell r="T334"/>
          <cell r="U334">
            <v>-2692.32</v>
          </cell>
          <cell r="V334">
            <v>-41029.07</v>
          </cell>
          <cell r="W334">
            <v>-22454.65</v>
          </cell>
          <cell r="X334">
            <v>0</v>
          </cell>
          <cell r="Y334">
            <v>-4841.5600000000004</v>
          </cell>
          <cell r="Z334">
            <v>-11322.94</v>
          </cell>
          <cell r="AA334">
            <v>-16696.18</v>
          </cell>
          <cell r="AB334">
            <v>-10044.06</v>
          </cell>
          <cell r="AC334">
            <v>-8007.07</v>
          </cell>
          <cell r="AD334">
            <v>-20510.61</v>
          </cell>
          <cell r="AE334">
            <v>-8858.57</v>
          </cell>
          <cell r="AF334">
            <v>-5304.18</v>
          </cell>
          <cell r="AG334">
            <v>-22000.57</v>
          </cell>
          <cell r="AH334">
            <v>-21356.69</v>
          </cell>
          <cell r="AI334">
            <v>-3157.7</v>
          </cell>
          <cell r="AJ334">
            <v>-2104.58</v>
          </cell>
          <cell r="AK334">
            <v>-6158.65</v>
          </cell>
          <cell r="AL334">
            <v>-7324.83</v>
          </cell>
          <cell r="AM334">
            <v>-7128.4</v>
          </cell>
          <cell r="AN334">
            <v>-3416.85</v>
          </cell>
          <cell r="AO334">
            <v>-6576.02</v>
          </cell>
          <cell r="AP334">
            <v>-2900.04</v>
          </cell>
          <cell r="AQ334">
            <v>-112.17</v>
          </cell>
          <cell r="AR334">
            <v>-10912.3</v>
          </cell>
          <cell r="AS334">
            <v>-4043.72</v>
          </cell>
          <cell r="AT334">
            <v>-5305.79</v>
          </cell>
          <cell r="AU334">
            <v>-4728.67</v>
          </cell>
          <cell r="AV334">
            <v>-14364.27</v>
          </cell>
          <cell r="AW334">
            <v>-16508.47</v>
          </cell>
          <cell r="AX334">
            <v>-8787.82</v>
          </cell>
          <cell r="AY334">
            <v>-11286.25</v>
          </cell>
          <cell r="AZ334">
            <v>-25831.16</v>
          </cell>
          <cell r="BA334">
            <v>-30008.63</v>
          </cell>
          <cell r="BB334">
            <v>-45293.87</v>
          </cell>
          <cell r="BC334">
            <v>-42111.41</v>
          </cell>
          <cell r="BD334">
            <v>-36318.32</v>
          </cell>
          <cell r="BE334">
            <v>-41362.68</v>
          </cell>
          <cell r="BF334">
            <v>-51961.25</v>
          </cell>
          <cell r="BG334">
            <v>-63976.21</v>
          </cell>
          <cell r="BH334">
            <v>-70044.23</v>
          </cell>
          <cell r="BI334">
            <v>-87887.76</v>
          </cell>
          <cell r="BJ334">
            <v>-90977.07</v>
          </cell>
          <cell r="BK334">
            <v>-148825.29999999999</v>
          </cell>
          <cell r="BL334">
            <v>-91991.86</v>
          </cell>
          <cell r="BM334">
            <v>-73523.990000000005</v>
          </cell>
          <cell r="BN334">
            <v>-65113.62</v>
          </cell>
          <cell r="BO334">
            <v>-67375.94</v>
          </cell>
          <cell r="BP334">
            <v>-70973.240000000005</v>
          </cell>
          <cell r="BQ334">
            <v>-61015.34</v>
          </cell>
          <cell r="BR334">
            <v>-61102.23</v>
          </cell>
          <cell r="BS334">
            <v>-67805.45</v>
          </cell>
          <cell r="BT334">
            <v>-73825.850000000006</v>
          </cell>
          <cell r="BU334">
            <v>-57799.55</v>
          </cell>
          <cell r="BV334">
            <v>-56142.5</v>
          </cell>
          <cell r="BW334">
            <v>-51836.24</v>
          </cell>
          <cell r="BX334">
            <v>0</v>
          </cell>
          <cell r="BY334">
            <v>0</v>
          </cell>
          <cell r="BZ334">
            <v>0</v>
          </cell>
          <cell r="CA334">
            <v>0</v>
          </cell>
          <cell r="CB334">
            <v>0</v>
          </cell>
          <cell r="CC334">
            <v>0</v>
          </cell>
          <cell r="CD334">
            <v>0</v>
          </cell>
          <cell r="CE334">
            <v>0</v>
          </cell>
          <cell r="CF334">
            <v>0</v>
          </cell>
          <cell r="CG334"/>
          <cell r="CH334"/>
          <cell r="CI334"/>
          <cell r="CJ334"/>
          <cell r="CK334"/>
          <cell r="CL334"/>
          <cell r="CM334"/>
          <cell r="CN334"/>
          <cell r="CO334"/>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row>
        <row r="335">
          <cell r="A335">
            <v>6800010</v>
          </cell>
          <cell r="B335">
            <v>6800010</v>
          </cell>
          <cell r="C335" t="str">
            <v>Amtz-Utility Plant</v>
          </cell>
          <cell r="D335">
            <v>147191.46</v>
          </cell>
          <cell r="E335">
            <v>150189.5</v>
          </cell>
          <cell r="F335">
            <v>150194.57999999999</v>
          </cell>
          <cell r="G335">
            <v>150194.63</v>
          </cell>
          <cell r="H335">
            <v>150484.89000000001</v>
          </cell>
          <cell r="I335">
            <v>150486.68</v>
          </cell>
          <cell r="J335">
            <v>150488.16</v>
          </cell>
          <cell r="K335">
            <v>148336.57999999999</v>
          </cell>
          <cell r="L335">
            <v>154584.12</v>
          </cell>
          <cell r="M335">
            <v>154782.59</v>
          </cell>
          <cell r="N335">
            <v>154803.57999999999</v>
          </cell>
          <cell r="O335">
            <v>154804.53</v>
          </cell>
          <cell r="P335">
            <v>154806.53</v>
          </cell>
          <cell r="Q335">
            <v>154806.63</v>
          </cell>
          <cell r="R335">
            <v>134962.85</v>
          </cell>
          <cell r="S335">
            <v>135733.29</v>
          </cell>
          <cell r="T335">
            <v>147032.15</v>
          </cell>
          <cell r="U335">
            <v>146988.38</v>
          </cell>
          <cell r="V335">
            <v>147053.41</v>
          </cell>
          <cell r="W335">
            <v>148150.35999999999</v>
          </cell>
          <cell r="X335">
            <v>148668.26999999999</v>
          </cell>
          <cell r="Y335">
            <v>149307.07999999999</v>
          </cell>
          <cell r="Z335">
            <v>148928.76</v>
          </cell>
          <cell r="AA335">
            <v>149025.72</v>
          </cell>
          <cell r="AB335">
            <v>149157.06</v>
          </cell>
          <cell r="AC335">
            <v>149157.44</v>
          </cell>
          <cell r="AD335">
            <v>149159.98000000001</v>
          </cell>
          <cell r="AE335">
            <v>149093.32999999999</v>
          </cell>
          <cell r="AF335">
            <v>149095.4</v>
          </cell>
          <cell r="AG335">
            <v>149095.99</v>
          </cell>
          <cell r="AH335">
            <v>151055.9</v>
          </cell>
          <cell r="AI335">
            <v>158659.17000000001</v>
          </cell>
          <cell r="AJ335">
            <v>158665.84</v>
          </cell>
          <cell r="AK335">
            <v>158827.91</v>
          </cell>
          <cell r="AL335">
            <v>160395.59</v>
          </cell>
          <cell r="AM335">
            <v>160906.1</v>
          </cell>
          <cell r="AN335">
            <v>155958.22</v>
          </cell>
          <cell r="AO335">
            <v>155958.41</v>
          </cell>
          <cell r="AP335">
            <v>155959.65</v>
          </cell>
          <cell r="AQ335">
            <v>158368.13</v>
          </cell>
          <cell r="AR335">
            <v>157782.47</v>
          </cell>
          <cell r="AS335">
            <v>157809.01999999999</v>
          </cell>
          <cell r="AT335">
            <v>158117.35999999999</v>
          </cell>
          <cell r="AU335">
            <v>158131.23000000001</v>
          </cell>
          <cell r="AV335">
            <v>158476.85</v>
          </cell>
          <cell r="AW335">
            <v>158503.75</v>
          </cell>
          <cell r="AX335">
            <v>158595.5</v>
          </cell>
          <cell r="AY335">
            <v>158595.15</v>
          </cell>
          <cell r="AZ335">
            <v>160184.29999999999</v>
          </cell>
          <cell r="BA335">
            <v>160187.41</v>
          </cell>
          <cell r="BB335">
            <v>160210.32999999999</v>
          </cell>
          <cell r="BC335">
            <v>161347.1</v>
          </cell>
          <cell r="BD335">
            <v>161706.65</v>
          </cell>
          <cell r="BE335">
            <v>161723.91</v>
          </cell>
          <cell r="BF335">
            <v>161648.19</v>
          </cell>
          <cell r="BG335">
            <v>163599.94</v>
          </cell>
          <cell r="BH335">
            <v>163761.54</v>
          </cell>
          <cell r="BI335">
            <v>163948.59</v>
          </cell>
          <cell r="BJ335">
            <v>168391.29</v>
          </cell>
          <cell r="BK335">
            <v>168590.2</v>
          </cell>
          <cell r="BL335">
            <v>175750.58</v>
          </cell>
          <cell r="BM335">
            <v>176244.21</v>
          </cell>
          <cell r="BN335">
            <v>176111.99</v>
          </cell>
          <cell r="BO335">
            <v>176101.6</v>
          </cell>
          <cell r="BP335">
            <v>176152.95</v>
          </cell>
          <cell r="BQ335">
            <v>172556.62</v>
          </cell>
          <cell r="BR335">
            <v>172563.25</v>
          </cell>
          <cell r="BS335">
            <v>172487.48</v>
          </cell>
          <cell r="BT335">
            <v>172554.12</v>
          </cell>
          <cell r="BU335">
            <v>178817.54</v>
          </cell>
          <cell r="BV335">
            <v>179457.42</v>
          </cell>
          <cell r="BW335">
            <v>180492.46</v>
          </cell>
          <cell r="BX335">
            <v>186368.99</v>
          </cell>
          <cell r="BY335">
            <v>184231.94</v>
          </cell>
          <cell r="BZ335">
            <v>185353.5</v>
          </cell>
          <cell r="CA335">
            <v>184520.25</v>
          </cell>
          <cell r="CB335">
            <v>184391.25</v>
          </cell>
          <cell r="CC335">
            <v>184507.58</v>
          </cell>
          <cell r="CD335">
            <v>185260.31</v>
          </cell>
          <cell r="CE335">
            <v>185376.15</v>
          </cell>
          <cell r="CF335">
            <v>183665.84</v>
          </cell>
          <cell r="CG335">
            <v>183812.57</v>
          </cell>
          <cell r="CH335">
            <v>274286.36</v>
          </cell>
          <cell r="CI335">
            <v>274706.28999999998</v>
          </cell>
          <cell r="CJ335">
            <v>270651.27</v>
          </cell>
          <cell r="CK335">
            <v>270886.17</v>
          </cell>
          <cell r="CL335">
            <v>271218.26</v>
          </cell>
          <cell r="CM335">
            <v>285406.7</v>
          </cell>
          <cell r="CN335">
            <v>301060.37</v>
          </cell>
          <cell r="CO335">
            <v>302455.27</v>
          </cell>
          <cell r="CP335">
            <v>303895.84999999998</v>
          </cell>
          <cell r="CQ335">
            <v>305319.11</v>
          </cell>
          <cell r="CR335">
            <v>305870.89</v>
          </cell>
          <cell r="CS335">
            <v>306026.75</v>
          </cell>
          <cell r="CT335">
            <v>306171.98</v>
          </cell>
          <cell r="CU335">
            <v>306369.34999999998</v>
          </cell>
          <cell r="CV335">
            <v>306480.17</v>
          </cell>
          <cell r="CW335">
            <v>306715.53999999998</v>
          </cell>
          <cell r="CX335">
            <v>339061.6</v>
          </cell>
          <cell r="CY335">
            <v>339744.77</v>
          </cell>
          <cell r="CZ335">
            <v>339862.64</v>
          </cell>
          <cell r="DA335">
            <v>340197.19</v>
          </cell>
          <cell r="DB335">
            <v>339366.82</v>
          </cell>
          <cell r="DC335">
            <v>339490.01</v>
          </cell>
          <cell r="DD335">
            <v>339472.62</v>
          </cell>
          <cell r="DE335">
            <v>339739.91</v>
          </cell>
          <cell r="DF335">
            <v>339859.61</v>
          </cell>
          <cell r="DG335">
            <v>343378.44</v>
          </cell>
        </row>
        <row r="336">
          <cell r="A336">
            <v>6800040</v>
          </cell>
          <cell r="B336">
            <v>6800040</v>
          </cell>
          <cell r="C336" t="str">
            <v>Amtz-Acqu Adj ATL</v>
          </cell>
          <cell r="D336">
            <v>12428.82</v>
          </cell>
          <cell r="E336">
            <v>12428.82</v>
          </cell>
          <cell r="F336">
            <v>12428.82</v>
          </cell>
          <cell r="G336">
            <v>12428.82</v>
          </cell>
          <cell r="H336">
            <v>12428.82</v>
          </cell>
          <cell r="I336">
            <v>12428.82</v>
          </cell>
          <cell r="J336">
            <v>12428.82</v>
          </cell>
          <cell r="K336">
            <v>12428.82</v>
          </cell>
          <cell r="L336">
            <v>12428.82</v>
          </cell>
          <cell r="M336">
            <v>12428.82</v>
          </cell>
          <cell r="N336">
            <v>12428.82</v>
          </cell>
          <cell r="O336">
            <v>12428.82</v>
          </cell>
          <cell r="P336">
            <v>12428.82</v>
          </cell>
          <cell r="Q336">
            <v>12428.82</v>
          </cell>
          <cell r="R336">
            <v>12428.82</v>
          </cell>
          <cell r="S336">
            <v>12428.82</v>
          </cell>
          <cell r="T336">
            <v>12428.82</v>
          </cell>
          <cell r="U336">
            <v>12428.82</v>
          </cell>
          <cell r="V336">
            <v>12428.82</v>
          </cell>
          <cell r="W336">
            <v>12428.82</v>
          </cell>
          <cell r="X336">
            <v>12428.82</v>
          </cell>
          <cell r="Y336">
            <v>12428.82</v>
          </cell>
          <cell r="Z336">
            <v>12428.82</v>
          </cell>
          <cell r="AA336">
            <v>12428.82</v>
          </cell>
          <cell r="AB336">
            <v>12428.82</v>
          </cell>
          <cell r="AC336">
            <v>12428.82</v>
          </cell>
          <cell r="AD336">
            <v>12428.82</v>
          </cell>
          <cell r="AE336">
            <v>12428.82</v>
          </cell>
          <cell r="AF336">
            <v>12428.82</v>
          </cell>
          <cell r="AG336">
            <v>12428.82</v>
          </cell>
          <cell r="AH336">
            <v>12428.82</v>
          </cell>
          <cell r="AI336">
            <v>12428.82</v>
          </cell>
          <cell r="AJ336">
            <v>12428.82</v>
          </cell>
          <cell r="AK336">
            <v>12428.82</v>
          </cell>
          <cell r="AL336">
            <v>12428.82</v>
          </cell>
          <cell r="AM336">
            <v>12428.82</v>
          </cell>
          <cell r="AN336">
            <v>12428.82</v>
          </cell>
          <cell r="AO336">
            <v>12428.82</v>
          </cell>
          <cell r="AP336">
            <v>12428.82</v>
          </cell>
          <cell r="AQ336">
            <v>12428.82</v>
          </cell>
          <cell r="AR336">
            <v>12428.82</v>
          </cell>
          <cell r="AS336">
            <v>12428.82</v>
          </cell>
          <cell r="AT336">
            <v>12428.82</v>
          </cell>
          <cell r="AU336">
            <v>12428.82</v>
          </cell>
          <cell r="AV336">
            <v>12428.82</v>
          </cell>
          <cell r="AW336">
            <v>12428.82</v>
          </cell>
          <cell r="AX336">
            <v>12428.82</v>
          </cell>
          <cell r="AY336">
            <v>12428.82</v>
          </cell>
          <cell r="AZ336">
            <v>12428.82</v>
          </cell>
          <cell r="BA336">
            <v>12428.82</v>
          </cell>
          <cell r="BB336">
            <v>12428.82</v>
          </cell>
          <cell r="BC336">
            <v>12428.82</v>
          </cell>
          <cell r="BD336">
            <v>12428.82</v>
          </cell>
          <cell r="BE336">
            <v>12428.82</v>
          </cell>
          <cell r="BF336">
            <v>12428.82</v>
          </cell>
          <cell r="BG336">
            <v>12428.82</v>
          </cell>
          <cell r="BH336">
            <v>12428.82</v>
          </cell>
          <cell r="BI336">
            <v>12428.82</v>
          </cell>
          <cell r="BJ336">
            <v>12428.82</v>
          </cell>
          <cell r="BK336">
            <v>12428.82</v>
          </cell>
          <cell r="BL336">
            <v>12428.82</v>
          </cell>
          <cell r="BM336">
            <v>12428.82</v>
          </cell>
          <cell r="BN336">
            <v>12428.82</v>
          </cell>
          <cell r="BO336">
            <v>12428.82</v>
          </cell>
          <cell r="BP336">
            <v>12428.82</v>
          </cell>
          <cell r="BQ336">
            <v>12428.82</v>
          </cell>
          <cell r="BR336">
            <v>12428.82</v>
          </cell>
          <cell r="BS336">
            <v>12428.82</v>
          </cell>
          <cell r="BT336">
            <v>12428.82</v>
          </cell>
          <cell r="BU336">
            <v>12428.82</v>
          </cell>
          <cell r="BV336">
            <v>12428.82</v>
          </cell>
          <cell r="BW336">
            <v>12428.82</v>
          </cell>
          <cell r="BX336">
            <v>12428.82</v>
          </cell>
          <cell r="BY336">
            <v>12428.82</v>
          </cell>
          <cell r="BZ336">
            <v>12428.82</v>
          </cell>
          <cell r="CA336">
            <v>12428.82</v>
          </cell>
          <cell r="CB336">
            <v>12428.82</v>
          </cell>
          <cell r="CC336">
            <v>12428.82</v>
          </cell>
          <cell r="CD336">
            <v>12428.82</v>
          </cell>
          <cell r="CE336">
            <v>12428.82</v>
          </cell>
          <cell r="CF336">
            <v>12428.82</v>
          </cell>
          <cell r="CG336">
            <v>5949.73</v>
          </cell>
          <cell r="CH336">
            <v>5949.73</v>
          </cell>
          <cell r="CI336">
            <v>5949.73</v>
          </cell>
          <cell r="CJ336">
            <v>5949.73</v>
          </cell>
          <cell r="CK336">
            <v>5949.73</v>
          </cell>
          <cell r="CL336">
            <v>5949.73</v>
          </cell>
          <cell r="CM336">
            <v>5949.73</v>
          </cell>
          <cell r="CN336">
            <v>5949.73</v>
          </cell>
          <cell r="CO336">
            <v>5949.73</v>
          </cell>
          <cell r="CP336">
            <v>5949.73</v>
          </cell>
          <cell r="CQ336">
            <v>-687.37</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row>
        <row r="337">
          <cell r="A337">
            <v>6800050</v>
          </cell>
          <cell r="B337">
            <v>6800050</v>
          </cell>
          <cell r="C337" t="str">
            <v>Amtz-Environ Remedia</v>
          </cell>
          <cell r="D337">
            <v>53333</v>
          </cell>
          <cell r="E337">
            <v>53333</v>
          </cell>
          <cell r="F337">
            <v>53333</v>
          </cell>
          <cell r="G337">
            <v>53333</v>
          </cell>
          <cell r="H337">
            <v>53333</v>
          </cell>
          <cell r="I337">
            <v>53333</v>
          </cell>
          <cell r="J337">
            <v>53333</v>
          </cell>
          <cell r="K337">
            <v>53333</v>
          </cell>
          <cell r="L337">
            <v>53333</v>
          </cell>
          <cell r="M337">
            <v>53333</v>
          </cell>
          <cell r="N337">
            <v>53333</v>
          </cell>
          <cell r="O337">
            <v>53333</v>
          </cell>
          <cell r="P337">
            <v>53333</v>
          </cell>
          <cell r="Q337">
            <v>53333</v>
          </cell>
          <cell r="R337">
            <v>53333</v>
          </cell>
          <cell r="S337">
            <v>53333</v>
          </cell>
          <cell r="T337">
            <v>53333</v>
          </cell>
          <cell r="U337">
            <v>53333</v>
          </cell>
          <cell r="V337">
            <v>53333</v>
          </cell>
          <cell r="W337">
            <v>53333</v>
          </cell>
          <cell r="X337">
            <v>53333</v>
          </cell>
          <cell r="Y337">
            <v>53333</v>
          </cell>
          <cell r="Z337">
            <v>53333</v>
          </cell>
          <cell r="AA337">
            <v>53333</v>
          </cell>
          <cell r="AB337">
            <v>53333</v>
          </cell>
          <cell r="AC337">
            <v>53333</v>
          </cell>
          <cell r="AD337">
            <v>53333</v>
          </cell>
          <cell r="AE337">
            <v>53333</v>
          </cell>
          <cell r="AF337">
            <v>53333</v>
          </cell>
          <cell r="AG337">
            <v>53333</v>
          </cell>
          <cell r="AH337">
            <v>53333</v>
          </cell>
          <cell r="AI337">
            <v>53333</v>
          </cell>
          <cell r="AJ337">
            <v>53333</v>
          </cell>
          <cell r="AK337">
            <v>53333</v>
          </cell>
          <cell r="AL337">
            <v>53333</v>
          </cell>
          <cell r="AM337">
            <v>16053333</v>
          </cell>
          <cell r="AN337">
            <v>470000</v>
          </cell>
          <cell r="AO337">
            <v>470000</v>
          </cell>
          <cell r="AP337">
            <v>470000</v>
          </cell>
          <cell r="AQ337">
            <v>470000</v>
          </cell>
          <cell r="AR337">
            <v>470000</v>
          </cell>
          <cell r="AS337">
            <v>470000</v>
          </cell>
          <cell r="AT337">
            <v>470000</v>
          </cell>
          <cell r="AU337">
            <v>470000</v>
          </cell>
          <cell r="AV337">
            <v>470000</v>
          </cell>
          <cell r="AW337">
            <v>470000</v>
          </cell>
          <cell r="AX337">
            <v>470000</v>
          </cell>
          <cell r="AY337">
            <v>-755743</v>
          </cell>
          <cell r="AZ337">
            <v>0</v>
          </cell>
          <cell r="BA337">
            <v>583333.34</v>
          </cell>
          <cell r="BB337">
            <v>2916666.68</v>
          </cell>
          <cell r="BC337">
            <v>0</v>
          </cell>
          <cell r="BD337">
            <v>0</v>
          </cell>
          <cell r="BE337">
            <v>0</v>
          </cell>
          <cell r="BF337">
            <v>0</v>
          </cell>
          <cell r="BG337">
            <v>0</v>
          </cell>
          <cell r="BH337">
            <v>6517958</v>
          </cell>
          <cell r="BI337">
            <v>463895</v>
          </cell>
          <cell r="BJ337">
            <v>463895</v>
          </cell>
          <cell r="BK337">
            <v>0</v>
          </cell>
          <cell r="BL337">
            <v>0</v>
          </cell>
          <cell r="BM337">
            <v>0</v>
          </cell>
          <cell r="BN337">
            <v>0</v>
          </cell>
          <cell r="BO337">
            <v>0</v>
          </cell>
          <cell r="BP337">
            <v>0</v>
          </cell>
          <cell r="BQ337">
            <v>0</v>
          </cell>
          <cell r="BR337">
            <v>0</v>
          </cell>
          <cell r="BS337">
            <v>0</v>
          </cell>
          <cell r="BT337">
            <v>0</v>
          </cell>
          <cell r="BU337"/>
          <cell r="BV337"/>
          <cell r="BW337"/>
          <cell r="BX337"/>
          <cell r="BY337"/>
          <cell r="BZ337"/>
          <cell r="CA337"/>
          <cell r="CB337"/>
          <cell r="CC337"/>
          <cell r="CD337"/>
          <cell r="CE337"/>
          <cell r="CF337"/>
          <cell r="CG337"/>
          <cell r="CH337"/>
          <cell r="CI337"/>
          <cell r="CJ337">
            <v>83333.33</v>
          </cell>
          <cell r="CK337">
            <v>83333.33</v>
          </cell>
          <cell r="CL337">
            <v>83333.33</v>
          </cell>
          <cell r="CM337">
            <v>83333.33</v>
          </cell>
          <cell r="CN337">
            <v>83333.33</v>
          </cell>
          <cell r="CO337">
            <v>83333.33</v>
          </cell>
          <cell r="CP337">
            <v>83333.33</v>
          </cell>
          <cell r="CQ337">
            <v>83333.33</v>
          </cell>
          <cell r="CR337">
            <v>83333.33</v>
          </cell>
          <cell r="CS337">
            <v>83333.33</v>
          </cell>
          <cell r="CT337">
            <v>83333.33</v>
          </cell>
          <cell r="CU337">
            <v>83333.33</v>
          </cell>
          <cell r="CV337">
            <v>83333.33</v>
          </cell>
          <cell r="CW337">
            <v>83333.33</v>
          </cell>
          <cell r="CX337">
            <v>83333.33</v>
          </cell>
          <cell r="CY337">
            <v>83333.33</v>
          </cell>
          <cell r="CZ337">
            <v>83333.33</v>
          </cell>
          <cell r="DA337">
            <v>83333.33</v>
          </cell>
          <cell r="DB337">
            <v>83333.33</v>
          </cell>
          <cell r="DC337">
            <v>83333.33</v>
          </cell>
          <cell r="DD337">
            <v>83333.33</v>
          </cell>
          <cell r="DE337">
            <v>83333.33</v>
          </cell>
          <cell r="DF337">
            <v>83333.33</v>
          </cell>
          <cell r="DG337">
            <v>83333.33</v>
          </cell>
        </row>
        <row r="338">
          <cell r="A338">
            <v>6800100</v>
          </cell>
          <cell r="B338">
            <v>6800100</v>
          </cell>
          <cell r="C338" t="str">
            <v>Amtz-Regulatory CRs</v>
          </cell>
          <cell r="D338"/>
          <cell r="E338"/>
          <cell r="F338"/>
          <cell r="G338"/>
          <cell r="H338"/>
          <cell r="I338"/>
          <cell r="J338"/>
          <cell r="K338"/>
          <cell r="L338"/>
          <cell r="M338"/>
          <cell r="N338"/>
          <cell r="O338"/>
          <cell r="P338"/>
          <cell r="Q338"/>
          <cell r="R338"/>
          <cell r="S338"/>
          <cell r="T338"/>
          <cell r="U338"/>
          <cell r="V338"/>
          <cell r="W338"/>
          <cell r="X338"/>
          <cell r="Y338"/>
          <cell r="Z338"/>
          <cell r="AA338"/>
          <cell r="AB338"/>
          <cell r="AC338"/>
          <cell r="AD338"/>
          <cell r="AE338"/>
          <cell r="AF338"/>
          <cell r="AG338"/>
          <cell r="AH338"/>
          <cell r="AI338"/>
          <cell r="AJ338"/>
          <cell r="AK338"/>
          <cell r="AL338"/>
          <cell r="AM338"/>
          <cell r="AN338"/>
          <cell r="AO338"/>
          <cell r="AP338"/>
          <cell r="AQ338"/>
          <cell r="AR338"/>
          <cell r="AS338"/>
          <cell r="AT338"/>
          <cell r="AU338"/>
          <cell r="AV338"/>
          <cell r="AW338"/>
          <cell r="AX338"/>
          <cell r="AY338"/>
          <cell r="AZ338"/>
          <cell r="BA338"/>
          <cell r="BB338"/>
          <cell r="BC338"/>
          <cell r="BD338"/>
          <cell r="BE338"/>
          <cell r="BF338"/>
          <cell r="BG338"/>
          <cell r="BH338"/>
          <cell r="BI338"/>
          <cell r="BJ338"/>
          <cell r="BK338"/>
          <cell r="BL338"/>
          <cell r="BM338"/>
          <cell r="BN338"/>
          <cell r="BO338"/>
          <cell r="BP338"/>
          <cell r="BQ338"/>
          <cell r="BR338"/>
          <cell r="BS338"/>
          <cell r="BT338"/>
          <cell r="BU338">
            <v>35086.79</v>
          </cell>
          <cell r="BV338">
            <v>-35086.79</v>
          </cell>
          <cell r="BW338">
            <v>0</v>
          </cell>
          <cell r="BX338">
            <v>0</v>
          </cell>
          <cell r="BY338">
            <v>0</v>
          </cell>
          <cell r="BZ338">
            <v>0</v>
          </cell>
          <cell r="CA338">
            <v>0</v>
          </cell>
          <cell r="CB338">
            <v>0</v>
          </cell>
          <cell r="CC338">
            <v>0</v>
          </cell>
          <cell r="CD338">
            <v>0</v>
          </cell>
          <cell r="CE338">
            <v>0</v>
          </cell>
          <cell r="CF338">
            <v>0</v>
          </cell>
          <cell r="CG338"/>
          <cell r="CH338"/>
          <cell r="CI338"/>
          <cell r="CJ338"/>
          <cell r="CK338"/>
          <cell r="CL338"/>
          <cell r="CM338"/>
          <cell r="CN338"/>
          <cell r="CO338"/>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row>
        <row r="339">
          <cell r="A339">
            <v>6809000</v>
          </cell>
          <cell r="B339">
            <v>6809000</v>
          </cell>
          <cell r="C339" t="str">
            <v>Amtz to BalSheet</v>
          </cell>
          <cell r="D339"/>
          <cell r="E339"/>
          <cell r="F339"/>
          <cell r="G339"/>
          <cell r="H339"/>
          <cell r="I339"/>
          <cell r="J339"/>
          <cell r="K339"/>
          <cell r="L339"/>
          <cell r="M339"/>
          <cell r="N339"/>
          <cell r="O339"/>
          <cell r="P339"/>
          <cell r="Q339"/>
          <cell r="R339"/>
          <cell r="S339"/>
          <cell r="T339"/>
          <cell r="U339"/>
          <cell r="V339"/>
          <cell r="W339"/>
          <cell r="X339"/>
          <cell r="Y339"/>
          <cell r="Z339"/>
          <cell r="AA339"/>
          <cell r="AB339"/>
          <cell r="AC339"/>
          <cell r="AD339"/>
          <cell r="AE339"/>
          <cell r="AF339"/>
          <cell r="AG339"/>
          <cell r="AH339"/>
          <cell r="AI339"/>
          <cell r="AJ339"/>
          <cell r="AK339"/>
          <cell r="AL339"/>
          <cell r="AM339"/>
          <cell r="AN339"/>
          <cell r="AO339"/>
          <cell r="AP339"/>
          <cell r="AQ339"/>
          <cell r="AR339"/>
          <cell r="AS339"/>
          <cell r="AT339"/>
          <cell r="AU339"/>
          <cell r="AV339"/>
          <cell r="AW339"/>
          <cell r="AX339"/>
          <cell r="AY339"/>
          <cell r="AZ339"/>
          <cell r="BA339"/>
          <cell r="BB339"/>
          <cell r="BC339"/>
          <cell r="BD339"/>
          <cell r="BE339"/>
          <cell r="BF339"/>
          <cell r="BG339"/>
          <cell r="BH339"/>
          <cell r="BI339"/>
          <cell r="BJ339"/>
          <cell r="BK339"/>
          <cell r="BL339"/>
          <cell r="BM339"/>
          <cell r="BN339"/>
          <cell r="BO339"/>
          <cell r="BP339"/>
          <cell r="BQ339"/>
          <cell r="BR339"/>
          <cell r="BS339"/>
          <cell r="BT339"/>
          <cell r="BU339">
            <v>-35086.79</v>
          </cell>
          <cell r="BV339">
            <v>35086.79</v>
          </cell>
          <cell r="BW339">
            <v>0</v>
          </cell>
          <cell r="BX339">
            <v>0</v>
          </cell>
          <cell r="BY339">
            <v>0</v>
          </cell>
          <cell r="BZ339">
            <v>0</v>
          </cell>
          <cell r="CA339">
            <v>0</v>
          </cell>
          <cell r="CB339">
            <v>0</v>
          </cell>
          <cell r="CC339">
            <v>0</v>
          </cell>
          <cell r="CD339">
            <v>0</v>
          </cell>
          <cell r="CE339">
            <v>0</v>
          </cell>
          <cell r="CF339">
            <v>0</v>
          </cell>
          <cell r="CG339"/>
          <cell r="CH339"/>
          <cell r="CI339"/>
          <cell r="CJ339"/>
          <cell r="CK339"/>
          <cell r="CL339"/>
          <cell r="CM339"/>
          <cell r="CN339"/>
          <cell r="CO339"/>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row>
        <row r="340">
          <cell r="A340">
            <v>6810010</v>
          </cell>
          <cell r="B340">
            <v>6810010</v>
          </cell>
          <cell r="C340" t="str">
            <v>Depr-Utility Plant</v>
          </cell>
          <cell r="D340">
            <v>4224895.26</v>
          </cell>
          <cell r="E340">
            <v>4185779.14</v>
          </cell>
          <cell r="F340">
            <v>4191196.42</v>
          </cell>
          <cell r="G340">
            <v>4196298.99</v>
          </cell>
          <cell r="H340">
            <v>4212094.55</v>
          </cell>
          <cell r="I340">
            <v>4222655.87</v>
          </cell>
          <cell r="J340">
            <v>4232059.4800000004</v>
          </cell>
          <cell r="K340">
            <v>4262661.43</v>
          </cell>
          <cell r="L340">
            <v>4277694.4000000004</v>
          </cell>
          <cell r="M340">
            <v>4291526.7300000004</v>
          </cell>
          <cell r="N340">
            <v>4318799.1100000003</v>
          </cell>
          <cell r="O340">
            <v>4336471.91</v>
          </cell>
          <cell r="P340">
            <v>4430283.71</v>
          </cell>
          <cell r="Q340">
            <v>4378665.71</v>
          </cell>
          <cell r="R340">
            <v>4379435.84</v>
          </cell>
          <cell r="S340">
            <v>4391615.12</v>
          </cell>
          <cell r="T340">
            <v>4411311.6100000003</v>
          </cell>
          <cell r="U340">
            <v>4431205.87</v>
          </cell>
          <cell r="V340">
            <v>4476925.3499999996</v>
          </cell>
          <cell r="W340">
            <v>4488349.9000000004</v>
          </cell>
          <cell r="X340">
            <v>4500464.3600000003</v>
          </cell>
          <cell r="Y340">
            <v>4519428.87</v>
          </cell>
          <cell r="Z340">
            <v>4536882.1100000003</v>
          </cell>
          <cell r="AA340">
            <v>4562485.3</v>
          </cell>
          <cell r="AB340">
            <v>4595012.33</v>
          </cell>
          <cell r="AC340">
            <v>4630409.0599999996</v>
          </cell>
          <cell r="AD340">
            <v>4648217.08</v>
          </cell>
          <cell r="AE340">
            <v>4666475.21</v>
          </cell>
          <cell r="AF340">
            <v>4685767.54</v>
          </cell>
          <cell r="AG340">
            <v>4697735.12</v>
          </cell>
          <cell r="AH340">
            <v>4832869.8499999996</v>
          </cell>
          <cell r="AI340">
            <v>4694245.7699999996</v>
          </cell>
          <cell r="AJ340">
            <v>4792246.45</v>
          </cell>
          <cell r="AK340">
            <v>4789762.08</v>
          </cell>
          <cell r="AL340">
            <v>4839191.68</v>
          </cell>
          <cell r="AM340">
            <v>-11543387.310000001</v>
          </cell>
          <cell r="AN340">
            <v>3455096.72</v>
          </cell>
          <cell r="AO340">
            <v>3496565.79</v>
          </cell>
          <cell r="AP340">
            <v>3501075.51</v>
          </cell>
          <cell r="AQ340">
            <v>3505109.32</v>
          </cell>
          <cell r="AR340">
            <v>3505145.38</v>
          </cell>
          <cell r="AS340">
            <v>3521399.73</v>
          </cell>
          <cell r="AT340">
            <v>3535183.23</v>
          </cell>
          <cell r="AU340">
            <v>3550461.63</v>
          </cell>
          <cell r="AV340">
            <v>3569379.77</v>
          </cell>
          <cell r="AW340">
            <v>3605793.55</v>
          </cell>
          <cell r="AX340">
            <v>3624645.6</v>
          </cell>
          <cell r="AY340">
            <v>3637384.83</v>
          </cell>
          <cell r="AZ340">
            <v>3661059.86</v>
          </cell>
          <cell r="BA340">
            <v>3690800.04</v>
          </cell>
          <cell r="BB340">
            <v>3707651.2</v>
          </cell>
          <cell r="BC340">
            <v>3728141.11</v>
          </cell>
          <cell r="BD340">
            <v>3742644.69</v>
          </cell>
          <cell r="BE340">
            <v>3764641.05</v>
          </cell>
          <cell r="BF340">
            <v>3783217.4</v>
          </cell>
          <cell r="BG340">
            <v>3801249.38</v>
          </cell>
          <cell r="BH340">
            <v>3841773.51</v>
          </cell>
          <cell r="BI340">
            <v>3826813.45</v>
          </cell>
          <cell r="BJ340">
            <v>3867414.58</v>
          </cell>
          <cell r="BK340">
            <v>3904767.59</v>
          </cell>
          <cell r="BL340">
            <v>2934688.97</v>
          </cell>
          <cell r="BM340">
            <v>2952641.62</v>
          </cell>
          <cell r="BN340">
            <v>2978909.57</v>
          </cell>
          <cell r="BO340">
            <v>3002377.31</v>
          </cell>
          <cell r="BP340">
            <v>3018393.21</v>
          </cell>
          <cell r="BQ340">
            <v>3037868.19</v>
          </cell>
          <cell r="BR340">
            <v>3064217.73</v>
          </cell>
          <cell r="BS340">
            <v>3079625.91</v>
          </cell>
          <cell r="BT340">
            <v>3093590.79</v>
          </cell>
          <cell r="BU340">
            <v>3125330.53</v>
          </cell>
          <cell r="BV340">
            <v>3135179.43</v>
          </cell>
          <cell r="BW340">
            <v>3163298.54</v>
          </cell>
          <cell r="BX340">
            <v>3192245.11</v>
          </cell>
          <cell r="BY340">
            <v>3207661.71</v>
          </cell>
          <cell r="BZ340">
            <v>3241482.99</v>
          </cell>
          <cell r="CA340">
            <v>3261304.49</v>
          </cell>
          <cell r="CB340">
            <v>3279834.72</v>
          </cell>
          <cell r="CC340">
            <v>3298307.42</v>
          </cell>
          <cell r="CD340">
            <v>3321832.65</v>
          </cell>
          <cell r="CE340">
            <v>3338484.81</v>
          </cell>
          <cell r="CF340">
            <v>3366430.75</v>
          </cell>
          <cell r="CG340">
            <v>3390082.75</v>
          </cell>
          <cell r="CH340">
            <v>3482803.59</v>
          </cell>
          <cell r="CI340">
            <v>3512901.43</v>
          </cell>
          <cell r="CJ340">
            <v>4014104.16</v>
          </cell>
          <cell r="CK340">
            <v>4039568.89</v>
          </cell>
          <cell r="CL340">
            <v>4032907.24</v>
          </cell>
          <cell r="CM340">
            <v>4060323.96</v>
          </cell>
          <cell r="CN340">
            <v>4193158.12</v>
          </cell>
          <cell r="CO340">
            <v>4218060.79</v>
          </cell>
          <cell r="CP340">
            <v>4242272.97</v>
          </cell>
          <cell r="CQ340">
            <v>4259295.82</v>
          </cell>
          <cell r="CR340">
            <v>4279673.78</v>
          </cell>
          <cell r="CS340">
            <v>4291604.01</v>
          </cell>
          <cell r="CT340">
            <v>4316111.74</v>
          </cell>
          <cell r="CU340">
            <v>4445760.51</v>
          </cell>
          <cell r="CV340">
            <v>4473831.7699999996</v>
          </cell>
          <cell r="CW340">
            <v>4497554.79</v>
          </cell>
          <cell r="CX340">
            <v>-277519.33</v>
          </cell>
          <cell r="CY340">
            <v>4546511.57</v>
          </cell>
          <cell r="CZ340">
            <v>4578220.93</v>
          </cell>
          <cell r="DA340">
            <v>-173059.11</v>
          </cell>
          <cell r="DB340">
            <v>4636875.54</v>
          </cell>
          <cell r="DC340">
            <v>4662298.9800000004</v>
          </cell>
          <cell r="DD340">
            <v>-91907.83</v>
          </cell>
          <cell r="DE340">
            <v>4712669.83</v>
          </cell>
          <cell r="DF340">
            <v>4814827.2300000004</v>
          </cell>
          <cell r="DG340">
            <v>4837016.1399999997</v>
          </cell>
        </row>
        <row r="341">
          <cell r="A341">
            <v>6810071</v>
          </cell>
          <cell r="B341">
            <v>6810071</v>
          </cell>
          <cell r="C341" t="str">
            <v>Depr-CI/BSR Rider</v>
          </cell>
          <cell r="D341">
            <v>20266</v>
          </cell>
          <cell r="E341">
            <v>21340</v>
          </cell>
          <cell r="F341">
            <v>23035</v>
          </cell>
          <cell r="G341">
            <v>26180.63</v>
          </cell>
          <cell r="H341">
            <v>28987.91</v>
          </cell>
          <cell r="I341">
            <v>28931</v>
          </cell>
          <cell r="J341">
            <v>29946</v>
          </cell>
          <cell r="K341">
            <v>35475</v>
          </cell>
          <cell r="L341">
            <v>38692</v>
          </cell>
          <cell r="M341">
            <v>42921</v>
          </cell>
          <cell r="N341">
            <v>46273</v>
          </cell>
          <cell r="O341">
            <v>47889</v>
          </cell>
          <cell r="P341">
            <v>-23185</v>
          </cell>
          <cell r="Q341">
            <v>46751.7</v>
          </cell>
          <cell r="R341">
            <v>51796.68</v>
          </cell>
          <cell r="S341">
            <v>54567.78</v>
          </cell>
          <cell r="T341">
            <v>56167.8</v>
          </cell>
          <cell r="U341">
            <v>57460.03</v>
          </cell>
          <cell r="V341">
            <v>61075.39</v>
          </cell>
          <cell r="W341">
            <v>62176.19</v>
          </cell>
          <cell r="X341">
            <v>62298.94</v>
          </cell>
          <cell r="Y341">
            <v>65301.23</v>
          </cell>
          <cell r="Z341">
            <v>67080.98</v>
          </cell>
          <cell r="AA341">
            <v>69366.2</v>
          </cell>
          <cell r="AB341">
            <v>72135.429999999993</v>
          </cell>
          <cell r="AC341">
            <v>74455.61</v>
          </cell>
          <cell r="AD341">
            <v>75128.23</v>
          </cell>
          <cell r="AE341">
            <v>77009.06</v>
          </cell>
          <cell r="AF341">
            <v>77978.8</v>
          </cell>
          <cell r="AG341">
            <v>79729.759999999995</v>
          </cell>
          <cell r="AH341">
            <v>83385.960000000006</v>
          </cell>
          <cell r="AI341">
            <v>86009.94</v>
          </cell>
          <cell r="AJ341">
            <v>89473.7</v>
          </cell>
          <cell r="AK341">
            <v>101299.18</v>
          </cell>
          <cell r="AL341">
            <v>104846.84</v>
          </cell>
          <cell r="AM341">
            <v>-113018.26</v>
          </cell>
          <cell r="AN341">
            <v>96519.4</v>
          </cell>
          <cell r="AO341">
            <v>75574.33</v>
          </cell>
          <cell r="AP341">
            <v>88141.19</v>
          </cell>
          <cell r="AQ341">
            <v>93042.77</v>
          </cell>
          <cell r="AR341">
            <v>97407.29</v>
          </cell>
          <cell r="AS341">
            <v>99144.09</v>
          </cell>
          <cell r="AT341">
            <v>101751.93</v>
          </cell>
          <cell r="AU341">
            <v>104951.78</v>
          </cell>
          <cell r="AV341">
            <v>107437.77</v>
          </cell>
          <cell r="AW341">
            <v>109187.73</v>
          </cell>
          <cell r="AX341">
            <v>115959.47</v>
          </cell>
          <cell r="AY341">
            <v>120916.8</v>
          </cell>
          <cell r="AZ341">
            <v>123662.3</v>
          </cell>
          <cell r="BA341">
            <v>123959.58</v>
          </cell>
          <cell r="BB341">
            <v>125406.7</v>
          </cell>
          <cell r="BC341">
            <v>127467.73</v>
          </cell>
          <cell r="BD341">
            <v>129946.96</v>
          </cell>
          <cell r="BE341">
            <v>147674.97</v>
          </cell>
          <cell r="BF341">
            <v>149450.60999999999</v>
          </cell>
          <cell r="BG341">
            <v>150888.73000000001</v>
          </cell>
          <cell r="BH341">
            <v>153193.07</v>
          </cell>
          <cell r="BI341">
            <v>154355.09</v>
          </cell>
          <cell r="BJ341">
            <v>155193.71</v>
          </cell>
          <cell r="BK341">
            <v>179736.85</v>
          </cell>
          <cell r="BL341">
            <v>123134.96</v>
          </cell>
          <cell r="BM341">
            <v>124984.57</v>
          </cell>
          <cell r="BN341">
            <v>135319</v>
          </cell>
          <cell r="BO341">
            <v>140386.76</v>
          </cell>
          <cell r="BP341">
            <v>142628.81</v>
          </cell>
          <cell r="BQ341">
            <v>147968.45000000001</v>
          </cell>
          <cell r="BR341">
            <v>150503.04000000001</v>
          </cell>
          <cell r="BS341">
            <v>157043.65</v>
          </cell>
          <cell r="BT341">
            <v>158558.57</v>
          </cell>
          <cell r="BU341">
            <v>163523.09</v>
          </cell>
          <cell r="BV341">
            <v>165041.46</v>
          </cell>
          <cell r="BW341">
            <v>177485.13</v>
          </cell>
          <cell r="BX341">
            <v>181567.07</v>
          </cell>
          <cell r="BY341">
            <v>182403.98</v>
          </cell>
          <cell r="BZ341">
            <v>186206.29</v>
          </cell>
          <cell r="CA341">
            <v>197568.45</v>
          </cell>
          <cell r="CB341">
            <v>200080.26</v>
          </cell>
          <cell r="CC341">
            <v>202622.93</v>
          </cell>
          <cell r="CD341">
            <v>203476.94</v>
          </cell>
          <cell r="CE341">
            <v>205236.8</v>
          </cell>
          <cell r="CF341">
            <v>211242.97</v>
          </cell>
          <cell r="CG341">
            <v>212184.05</v>
          </cell>
          <cell r="CH341">
            <v>215449.68</v>
          </cell>
          <cell r="CI341">
            <v>221506.58</v>
          </cell>
          <cell r="CJ341">
            <v>-9971.86</v>
          </cell>
          <cell r="CK341">
            <v>-1905.14</v>
          </cell>
          <cell r="CL341">
            <v>401.93</v>
          </cell>
          <cell r="CM341">
            <v>4034.39</v>
          </cell>
          <cell r="CN341">
            <v>5684.58</v>
          </cell>
          <cell r="CO341">
            <v>6508.95</v>
          </cell>
          <cell r="CP341">
            <v>7800.93</v>
          </cell>
          <cell r="CQ341">
            <v>9314.52</v>
          </cell>
          <cell r="CR341">
            <v>10174.290000000001</v>
          </cell>
          <cell r="CS341">
            <v>12031.25</v>
          </cell>
          <cell r="CT341">
            <v>12745.7</v>
          </cell>
          <cell r="CU341">
            <v>14393.46</v>
          </cell>
          <cell r="CV341">
            <v>27690.1</v>
          </cell>
          <cell r="CW341">
            <v>28350.720000000001</v>
          </cell>
          <cell r="CX341">
            <v>30346.71</v>
          </cell>
          <cell r="CY341">
            <v>31350.63</v>
          </cell>
          <cell r="CZ341">
            <v>31738.92</v>
          </cell>
          <cell r="DA341">
            <v>33579.47</v>
          </cell>
          <cell r="DB341">
            <v>37413.120000000003</v>
          </cell>
          <cell r="DC341">
            <v>37695.410000000003</v>
          </cell>
          <cell r="DD341">
            <v>38883.26</v>
          </cell>
          <cell r="DE341">
            <v>38968.58</v>
          </cell>
          <cell r="DF341">
            <v>39446.120000000003</v>
          </cell>
          <cell r="DG341">
            <v>39895.629999999997</v>
          </cell>
        </row>
        <row r="342">
          <cell r="A342">
            <v>6810801</v>
          </cell>
          <cell r="B342">
            <v>6810801</v>
          </cell>
          <cell r="C342" t="str">
            <v>Deprec Other-GAAP</v>
          </cell>
          <cell r="D342"/>
          <cell r="E342"/>
          <cell r="F342"/>
          <cell r="G342"/>
          <cell r="H342"/>
          <cell r="I342"/>
          <cell r="J342"/>
          <cell r="K342"/>
          <cell r="L342"/>
          <cell r="M342"/>
          <cell r="N342"/>
          <cell r="O342"/>
          <cell r="P342"/>
          <cell r="Q342"/>
          <cell r="R342"/>
          <cell r="S342"/>
          <cell r="T342"/>
          <cell r="U342"/>
          <cell r="V342"/>
          <cell r="W342"/>
          <cell r="X342"/>
          <cell r="Y342"/>
          <cell r="Z342"/>
          <cell r="AA342"/>
          <cell r="AB342"/>
          <cell r="AC342"/>
          <cell r="AD342"/>
          <cell r="AE342">
            <v>0</v>
          </cell>
          <cell r="AF342">
            <v>0</v>
          </cell>
          <cell r="AG342">
            <v>-98151</v>
          </cell>
          <cell r="AH342">
            <v>-32717</v>
          </cell>
          <cell r="AI342">
            <v>-32717</v>
          </cell>
          <cell r="AJ342">
            <v>-32717</v>
          </cell>
          <cell r="AK342">
            <v>-32717</v>
          </cell>
          <cell r="AL342">
            <v>-55592</v>
          </cell>
          <cell r="AM342">
            <v>-44155</v>
          </cell>
          <cell r="AN342">
            <v>-44155</v>
          </cell>
          <cell r="AO342">
            <v>-44155</v>
          </cell>
          <cell r="AP342">
            <v>-44155</v>
          </cell>
          <cell r="AQ342">
            <v>-44155</v>
          </cell>
          <cell r="AR342">
            <v>-44155</v>
          </cell>
          <cell r="AS342">
            <v>-44155</v>
          </cell>
          <cell r="AT342">
            <v>-44155</v>
          </cell>
          <cell r="AU342">
            <v>-44155</v>
          </cell>
          <cell r="AV342">
            <v>-44155</v>
          </cell>
          <cell r="AW342">
            <v>-44155</v>
          </cell>
          <cell r="AX342">
            <v>-44155</v>
          </cell>
          <cell r="AY342">
            <v>-44155</v>
          </cell>
          <cell r="AZ342">
            <v>-44155</v>
          </cell>
          <cell r="BA342">
            <v>-44155</v>
          </cell>
          <cell r="BB342">
            <v>-44155</v>
          </cell>
          <cell r="BC342">
            <v>-44155</v>
          </cell>
          <cell r="BD342">
            <v>-44155</v>
          </cell>
          <cell r="BE342">
            <v>-44155</v>
          </cell>
          <cell r="BF342">
            <v>-44155</v>
          </cell>
          <cell r="BG342">
            <v>-44155</v>
          </cell>
          <cell r="BH342">
            <v>-44155</v>
          </cell>
          <cell r="BI342">
            <v>-44155</v>
          </cell>
          <cell r="BJ342">
            <v>-44155</v>
          </cell>
          <cell r="BK342">
            <v>-44155</v>
          </cell>
          <cell r="BL342">
            <v>-44155</v>
          </cell>
          <cell r="BM342">
            <v>-44155</v>
          </cell>
          <cell r="BN342">
            <v>-44155</v>
          </cell>
          <cell r="BO342">
            <v>-44155</v>
          </cell>
          <cell r="BP342">
            <v>-44155</v>
          </cell>
          <cell r="BQ342">
            <v>-44155</v>
          </cell>
          <cell r="BR342">
            <v>-44155</v>
          </cell>
          <cell r="BS342">
            <v>-44155</v>
          </cell>
          <cell r="BT342">
            <v>-44155</v>
          </cell>
          <cell r="BU342">
            <v>-44155</v>
          </cell>
          <cell r="BV342">
            <v>-44155</v>
          </cell>
          <cell r="BW342">
            <v>-44155</v>
          </cell>
          <cell r="BX342">
            <v>-44155</v>
          </cell>
          <cell r="BY342">
            <v>-44155</v>
          </cell>
          <cell r="BZ342">
            <v>-44155</v>
          </cell>
          <cell r="CA342">
            <v>-44155</v>
          </cell>
          <cell r="CB342">
            <v>-44155</v>
          </cell>
          <cell r="CC342">
            <v>-44155</v>
          </cell>
          <cell r="CD342">
            <v>-44155</v>
          </cell>
          <cell r="CE342">
            <v>-44155</v>
          </cell>
          <cell r="CF342">
            <v>-44155</v>
          </cell>
          <cell r="CG342">
            <v>-44155</v>
          </cell>
          <cell r="CH342">
            <v>-44155</v>
          </cell>
          <cell r="CI342">
            <v>-44155</v>
          </cell>
          <cell r="CJ342">
            <v>-44155</v>
          </cell>
          <cell r="CK342">
            <v>-44155</v>
          </cell>
          <cell r="CL342">
            <v>-44155</v>
          </cell>
          <cell r="CM342">
            <v>-44155</v>
          </cell>
          <cell r="CN342">
            <v>-44155</v>
          </cell>
          <cell r="CO342">
            <v>-44155</v>
          </cell>
          <cell r="CP342">
            <v>-44155</v>
          </cell>
          <cell r="CQ342">
            <v>-44155</v>
          </cell>
          <cell r="CR342">
            <v>-44155</v>
          </cell>
          <cell r="CS342">
            <v>-44155</v>
          </cell>
          <cell r="CT342">
            <v>-44155</v>
          </cell>
          <cell r="CU342">
            <v>-44155</v>
          </cell>
          <cell r="CV342">
            <v>-44155</v>
          </cell>
          <cell r="CW342">
            <v>-44155</v>
          </cell>
          <cell r="CX342">
            <v>-44155</v>
          </cell>
          <cell r="CY342">
            <v>-32717</v>
          </cell>
          <cell r="CZ342">
            <v>-32717</v>
          </cell>
          <cell r="DA342">
            <v>-32717</v>
          </cell>
          <cell r="DB342">
            <v>-32717</v>
          </cell>
          <cell r="DC342">
            <v>0</v>
          </cell>
          <cell r="DD342">
            <v>0</v>
          </cell>
          <cell r="DE342">
            <v>0</v>
          </cell>
          <cell r="DF342">
            <v>0</v>
          </cell>
          <cell r="DG342">
            <v>0</v>
          </cell>
        </row>
        <row r="343">
          <cell r="A343">
            <v>6810802</v>
          </cell>
          <cell r="B343">
            <v>6810802</v>
          </cell>
          <cell r="C343" t="str">
            <v>Deprec Leased Assets</v>
          </cell>
          <cell r="D343"/>
          <cell r="E343"/>
          <cell r="F343"/>
          <cell r="G343"/>
          <cell r="H343"/>
          <cell r="I343"/>
          <cell r="J343"/>
          <cell r="K343"/>
          <cell r="L343"/>
          <cell r="M343"/>
          <cell r="N343"/>
          <cell r="O343"/>
          <cell r="P343"/>
          <cell r="Q343"/>
          <cell r="R343"/>
          <cell r="S343"/>
          <cell r="T343"/>
          <cell r="U343"/>
          <cell r="V343"/>
          <cell r="W343"/>
          <cell r="X343"/>
          <cell r="Y343"/>
          <cell r="Z343"/>
          <cell r="AA343"/>
          <cell r="AB343"/>
          <cell r="AC343"/>
          <cell r="AD343"/>
          <cell r="AE343">
            <v>0</v>
          </cell>
          <cell r="AF343">
            <v>0</v>
          </cell>
          <cell r="AG343"/>
          <cell r="AH343">
            <v>43185.87</v>
          </cell>
          <cell r="AI343">
            <v>57190.12</v>
          </cell>
          <cell r="AJ343">
            <v>57190.12</v>
          </cell>
          <cell r="AK343">
            <v>58290.12</v>
          </cell>
          <cell r="AL343">
            <v>58290.12</v>
          </cell>
          <cell r="AM343">
            <v>-22300.51</v>
          </cell>
          <cell r="AN343">
            <v>44159.19</v>
          </cell>
          <cell r="AO343">
            <v>44159.19</v>
          </cell>
          <cell r="AP343">
            <v>44159.19</v>
          </cell>
          <cell r="AQ343">
            <v>44159.19</v>
          </cell>
          <cell r="AR343">
            <v>44159.19</v>
          </cell>
          <cell r="AS343">
            <v>44159.19</v>
          </cell>
          <cell r="AT343">
            <v>44159.19</v>
          </cell>
          <cell r="AU343">
            <v>44159.19</v>
          </cell>
          <cell r="AV343">
            <v>44159.19</v>
          </cell>
          <cell r="AW343">
            <v>44159.19</v>
          </cell>
          <cell r="AX343">
            <v>44159.19</v>
          </cell>
          <cell r="AY343">
            <v>44159.19</v>
          </cell>
          <cell r="AZ343">
            <v>44159.19</v>
          </cell>
          <cell r="BA343">
            <v>44159.19</v>
          </cell>
          <cell r="BB343">
            <v>44172.67</v>
          </cell>
          <cell r="BC343">
            <v>50138.69</v>
          </cell>
          <cell r="BD343">
            <v>50138.69</v>
          </cell>
          <cell r="BE343">
            <v>50138.69</v>
          </cell>
          <cell r="BF343">
            <v>50138.69</v>
          </cell>
          <cell r="BG343">
            <v>50138.69</v>
          </cell>
          <cell r="BH343">
            <v>50138.69</v>
          </cell>
          <cell r="BI343">
            <v>50138.69</v>
          </cell>
          <cell r="BJ343">
            <v>50138.69</v>
          </cell>
          <cell r="BK343">
            <v>50138.69</v>
          </cell>
          <cell r="BL343">
            <v>50138.69</v>
          </cell>
          <cell r="BM343">
            <v>50138.69</v>
          </cell>
          <cell r="BN343">
            <v>50166.52</v>
          </cell>
          <cell r="BO343">
            <v>50166.52</v>
          </cell>
          <cell r="BP343">
            <v>54729.68</v>
          </cell>
          <cell r="BQ343">
            <v>54729.68</v>
          </cell>
          <cell r="BR343">
            <v>54729.68</v>
          </cell>
          <cell r="BS343">
            <v>54729.68</v>
          </cell>
          <cell r="BT343">
            <v>54729.68</v>
          </cell>
          <cell r="BU343">
            <v>54729.68</v>
          </cell>
          <cell r="BV343">
            <v>54729.68</v>
          </cell>
          <cell r="BW343">
            <v>54729.68</v>
          </cell>
          <cell r="BX343">
            <v>54729.68</v>
          </cell>
          <cell r="BY343">
            <v>54729.68</v>
          </cell>
          <cell r="BZ343">
            <v>54729.68</v>
          </cell>
          <cell r="CA343">
            <v>54729.68</v>
          </cell>
          <cell r="CB343">
            <v>54729.68</v>
          </cell>
          <cell r="CC343">
            <v>54729.68</v>
          </cell>
          <cell r="CD343">
            <v>54729.68</v>
          </cell>
          <cell r="CE343">
            <v>54729.68</v>
          </cell>
          <cell r="CF343">
            <v>54729.68</v>
          </cell>
          <cell r="CG343">
            <v>54729.68</v>
          </cell>
          <cell r="CH343">
            <v>54729.68</v>
          </cell>
          <cell r="CI343">
            <v>54729.68</v>
          </cell>
          <cell r="CJ343">
            <v>54729.68</v>
          </cell>
          <cell r="CK343">
            <v>54729.68</v>
          </cell>
          <cell r="CL343">
            <v>54729.68</v>
          </cell>
          <cell r="CM343">
            <v>54729.68</v>
          </cell>
          <cell r="CN343">
            <v>54701.85</v>
          </cell>
          <cell r="CO343">
            <v>54701.85</v>
          </cell>
          <cell r="CP343">
            <v>54701.85</v>
          </cell>
          <cell r="CQ343">
            <v>54701.85</v>
          </cell>
          <cell r="CR343">
            <v>54701.85</v>
          </cell>
          <cell r="CS343">
            <v>54701.85</v>
          </cell>
          <cell r="CT343">
            <v>54701.85</v>
          </cell>
          <cell r="CU343">
            <v>54701.85</v>
          </cell>
          <cell r="CV343">
            <v>54701.85</v>
          </cell>
          <cell r="CW343">
            <v>54701.85</v>
          </cell>
          <cell r="CX343">
            <v>54701.85</v>
          </cell>
          <cell r="CY343">
            <v>43259.23</v>
          </cell>
          <cell r="CZ343">
            <v>43259.23</v>
          </cell>
          <cell r="DA343">
            <v>43259.23</v>
          </cell>
          <cell r="DB343">
            <v>43259.23</v>
          </cell>
          <cell r="DC343">
            <v>10529.17</v>
          </cell>
          <cell r="DD343">
            <v>10529.17</v>
          </cell>
          <cell r="DE343">
            <v>10529.17</v>
          </cell>
          <cell r="DF343">
            <v>10529.17</v>
          </cell>
          <cell r="DG343">
            <v>10529.17</v>
          </cell>
        </row>
        <row r="344">
          <cell r="A344">
            <v>6900010</v>
          </cell>
          <cell r="B344">
            <v>6900010</v>
          </cell>
          <cell r="C344" t="str">
            <v>TOTI-Franchise Fees</v>
          </cell>
          <cell r="D344">
            <v>962488.02</v>
          </cell>
          <cell r="E344">
            <v>970766.68</v>
          </cell>
          <cell r="F344">
            <v>818115.57</v>
          </cell>
          <cell r="G344">
            <v>765780.78</v>
          </cell>
          <cell r="H344">
            <v>634682.4</v>
          </cell>
          <cell r="I344">
            <v>659680.96</v>
          </cell>
          <cell r="J344">
            <v>611352.59</v>
          </cell>
          <cell r="K344">
            <v>579391.89</v>
          </cell>
          <cell r="L344">
            <v>612396.09</v>
          </cell>
          <cell r="M344">
            <v>613588.09</v>
          </cell>
          <cell r="N344">
            <v>654532.75</v>
          </cell>
          <cell r="O344">
            <v>821418.82</v>
          </cell>
          <cell r="P344">
            <v>921564.01</v>
          </cell>
          <cell r="Q344">
            <v>930701.6</v>
          </cell>
          <cell r="R344">
            <v>876713.12</v>
          </cell>
          <cell r="S344">
            <v>716711.79</v>
          </cell>
          <cell r="T344">
            <v>628787.68999999994</v>
          </cell>
          <cell r="U344">
            <v>659683.54</v>
          </cell>
          <cell r="V344">
            <v>731931.03</v>
          </cell>
          <cell r="W344">
            <v>555618.9</v>
          </cell>
          <cell r="X344">
            <v>659420.37</v>
          </cell>
          <cell r="Y344">
            <v>663224.89</v>
          </cell>
          <cell r="Z344">
            <v>711130.29</v>
          </cell>
          <cell r="AA344">
            <v>786432.01</v>
          </cell>
          <cell r="AB344">
            <v>944707.49</v>
          </cell>
          <cell r="AC344">
            <v>1061673.83</v>
          </cell>
          <cell r="AD344">
            <v>932956.59</v>
          </cell>
          <cell r="AE344">
            <v>853197.85</v>
          </cell>
          <cell r="AF344">
            <v>771462.93</v>
          </cell>
          <cell r="AG344">
            <v>715451.39</v>
          </cell>
          <cell r="AH344">
            <v>671022.66</v>
          </cell>
          <cell r="AI344">
            <v>666345.05000000005</v>
          </cell>
          <cell r="AJ344">
            <v>666261.43999999994</v>
          </cell>
          <cell r="AK344">
            <v>662989.31999999995</v>
          </cell>
          <cell r="AL344">
            <v>721183.81</v>
          </cell>
          <cell r="AM344">
            <v>827905.41</v>
          </cell>
          <cell r="AN344">
            <v>908405.3</v>
          </cell>
          <cell r="AO344">
            <v>873855.53</v>
          </cell>
          <cell r="AP344">
            <v>843831.69</v>
          </cell>
          <cell r="AQ344">
            <v>823902.14</v>
          </cell>
          <cell r="AR344">
            <v>745675.26</v>
          </cell>
          <cell r="AS344">
            <v>703437.52</v>
          </cell>
          <cell r="AT344">
            <v>662025.48</v>
          </cell>
          <cell r="AU344">
            <v>665891.54</v>
          </cell>
          <cell r="AV344">
            <v>688518.25</v>
          </cell>
          <cell r="AW344">
            <v>719407.09</v>
          </cell>
          <cell r="AX344">
            <v>784829.67</v>
          </cell>
          <cell r="AY344">
            <v>896025.55</v>
          </cell>
          <cell r="AZ344">
            <v>1200983.6299999999</v>
          </cell>
          <cell r="BA344">
            <v>1074141.94</v>
          </cell>
          <cell r="BB344">
            <v>943123.05</v>
          </cell>
          <cell r="BC344">
            <v>935732.52</v>
          </cell>
          <cell r="BD344">
            <v>849832.03</v>
          </cell>
          <cell r="BE344">
            <v>812558.07</v>
          </cell>
          <cell r="BF344">
            <v>746757.66</v>
          </cell>
          <cell r="BG344">
            <v>728620.03</v>
          </cell>
          <cell r="BH344">
            <v>772746.52</v>
          </cell>
          <cell r="BI344">
            <v>716676.54</v>
          </cell>
          <cell r="BJ344">
            <v>769378.23</v>
          </cell>
          <cell r="BK344">
            <v>937801.05</v>
          </cell>
          <cell r="BL344">
            <v>1066822.57</v>
          </cell>
          <cell r="BM344">
            <v>1041144.7</v>
          </cell>
          <cell r="BN344">
            <v>965206.94</v>
          </cell>
          <cell r="BO344">
            <v>930781.64</v>
          </cell>
          <cell r="BP344">
            <v>806809.96</v>
          </cell>
          <cell r="BQ344">
            <v>775019.29</v>
          </cell>
          <cell r="BR344">
            <v>753787.61</v>
          </cell>
          <cell r="BS344">
            <v>720129.45</v>
          </cell>
          <cell r="BT344">
            <v>756683.05</v>
          </cell>
          <cell r="BU344">
            <v>740014.74</v>
          </cell>
          <cell r="BV344">
            <v>823134.47</v>
          </cell>
          <cell r="BW344">
            <v>993293.22</v>
          </cell>
          <cell r="BX344">
            <v>1099027.43</v>
          </cell>
          <cell r="BY344">
            <v>1057497.58</v>
          </cell>
          <cell r="BZ344">
            <v>995565.97</v>
          </cell>
          <cell r="CA344">
            <v>858234.19</v>
          </cell>
          <cell r="CB344">
            <v>757404.7</v>
          </cell>
          <cell r="CC344">
            <v>703815.08</v>
          </cell>
          <cell r="CD344">
            <v>735672.65</v>
          </cell>
          <cell r="CE344">
            <v>728815.39</v>
          </cell>
          <cell r="CF344">
            <v>712266.38</v>
          </cell>
          <cell r="CG344">
            <v>741461.7</v>
          </cell>
          <cell r="CH344">
            <v>845673.32</v>
          </cell>
          <cell r="CI344">
            <v>974505.53</v>
          </cell>
          <cell r="CJ344">
            <v>1339279.8</v>
          </cell>
          <cell r="CK344">
            <v>1246435.1200000001</v>
          </cell>
          <cell r="CL344">
            <v>1168468.74</v>
          </cell>
          <cell r="CM344">
            <v>1172223.43</v>
          </cell>
          <cell r="CN344">
            <v>1047174.69</v>
          </cell>
          <cell r="CO344">
            <v>984453.81</v>
          </cell>
          <cell r="CP344">
            <v>986918.97</v>
          </cell>
          <cell r="CQ344">
            <v>919524.78</v>
          </cell>
          <cell r="CR344">
            <v>971650.93</v>
          </cell>
          <cell r="CS344">
            <v>923528.5</v>
          </cell>
          <cell r="CT344">
            <v>1044670.42</v>
          </cell>
          <cell r="CU344">
            <v>1264591.1000000001</v>
          </cell>
          <cell r="CV344">
            <v>1438551.14</v>
          </cell>
          <cell r="CW344">
            <v>1520736.87</v>
          </cell>
          <cell r="CX344">
            <v>1360442.37</v>
          </cell>
          <cell r="CY344">
            <v>1250057.25</v>
          </cell>
          <cell r="CZ344">
            <v>1182465.3400000001</v>
          </cell>
          <cell r="DA344">
            <v>1080663.08</v>
          </cell>
          <cell r="DB344">
            <v>1009625.02</v>
          </cell>
          <cell r="DC344">
            <v>1121007.94</v>
          </cell>
          <cell r="DD344">
            <v>1157497.69</v>
          </cell>
          <cell r="DE344">
            <v>1217081</v>
          </cell>
          <cell r="DF344">
            <v>1117482.67</v>
          </cell>
          <cell r="DG344">
            <v>1244950.2</v>
          </cell>
        </row>
        <row r="345">
          <cell r="A345">
            <v>6900030</v>
          </cell>
          <cell r="B345">
            <v>6900030</v>
          </cell>
          <cell r="C345" t="str">
            <v>TOTI-Gross Receipts</v>
          </cell>
          <cell r="D345">
            <v>1465731.05</v>
          </cell>
          <cell r="E345">
            <v>1421595.38</v>
          </cell>
          <cell r="F345">
            <v>1286642.43</v>
          </cell>
          <cell r="G345">
            <v>1142563.07</v>
          </cell>
          <cell r="H345">
            <v>973728.84</v>
          </cell>
          <cell r="I345">
            <v>877486.41</v>
          </cell>
          <cell r="J345">
            <v>810814.72</v>
          </cell>
          <cell r="K345">
            <v>823589.01</v>
          </cell>
          <cell r="L345">
            <v>877702.84</v>
          </cell>
          <cell r="M345">
            <v>906182.37</v>
          </cell>
          <cell r="N345">
            <v>1020693.12</v>
          </cell>
          <cell r="O345">
            <v>1299279.1100000001</v>
          </cell>
          <cell r="P345">
            <v>1442235.87</v>
          </cell>
          <cell r="Q345">
            <v>1486286.69</v>
          </cell>
          <cell r="R345">
            <v>1457304.46</v>
          </cell>
          <cell r="S345">
            <v>1148076.8</v>
          </cell>
          <cell r="T345">
            <v>937863.33</v>
          </cell>
          <cell r="U345">
            <v>958209.06</v>
          </cell>
          <cell r="V345">
            <v>1195531.6200000001</v>
          </cell>
          <cell r="W345">
            <v>686270.15</v>
          </cell>
          <cell r="X345">
            <v>909597.35</v>
          </cell>
          <cell r="Y345">
            <v>950741.2</v>
          </cell>
          <cell r="Z345">
            <v>1034527.47</v>
          </cell>
          <cell r="AA345">
            <v>1206266.96</v>
          </cell>
          <cell r="AB345">
            <v>1498909.7</v>
          </cell>
          <cell r="AC345">
            <v>1616852.72</v>
          </cell>
          <cell r="AD345">
            <v>1429511.29</v>
          </cell>
          <cell r="AE345">
            <v>1127332.1000000001</v>
          </cell>
          <cell r="AF345">
            <v>1110115.95</v>
          </cell>
          <cell r="AG345">
            <v>967475.79</v>
          </cell>
          <cell r="AH345">
            <v>931908.86</v>
          </cell>
          <cell r="AI345">
            <v>821047.49</v>
          </cell>
          <cell r="AJ345">
            <v>915385.39</v>
          </cell>
          <cell r="AK345">
            <v>897013.57</v>
          </cell>
          <cell r="AL345">
            <v>1056768.1499999999</v>
          </cell>
          <cell r="AM345">
            <v>1254297.95</v>
          </cell>
          <cell r="AN345">
            <v>1421653.55</v>
          </cell>
          <cell r="AO345">
            <v>1324602.05</v>
          </cell>
          <cell r="AP345">
            <v>1298064.1200000001</v>
          </cell>
          <cell r="AQ345">
            <v>1249194.8400000001</v>
          </cell>
          <cell r="AR345">
            <v>1077161.9099999999</v>
          </cell>
          <cell r="AS345">
            <v>949099.08</v>
          </cell>
          <cell r="AT345">
            <v>776245.84</v>
          </cell>
          <cell r="AU345">
            <v>875004.59</v>
          </cell>
          <cell r="AV345">
            <v>875395.73</v>
          </cell>
          <cell r="AW345">
            <v>936251.45</v>
          </cell>
          <cell r="AX345">
            <v>1049937.8400000001</v>
          </cell>
          <cell r="AY345">
            <v>1278413.8400000001</v>
          </cell>
          <cell r="AZ345">
            <v>1748087.86</v>
          </cell>
          <cell r="BA345">
            <v>1508987.86</v>
          </cell>
          <cell r="BB345">
            <v>1277608.48</v>
          </cell>
          <cell r="BC345">
            <v>1337389.19</v>
          </cell>
          <cell r="BD345">
            <v>1076048.68</v>
          </cell>
          <cell r="BE345">
            <v>1033662.19</v>
          </cell>
          <cell r="BF345">
            <v>894234.75</v>
          </cell>
          <cell r="BG345">
            <v>837829.54</v>
          </cell>
          <cell r="BH345">
            <v>986490.61</v>
          </cell>
          <cell r="BI345">
            <v>891540.29</v>
          </cell>
          <cell r="BJ345">
            <v>1009116.81</v>
          </cell>
          <cell r="BK345">
            <v>1392204.59</v>
          </cell>
          <cell r="BL345">
            <v>1655787.55</v>
          </cell>
          <cell r="BM345">
            <v>1640421.41</v>
          </cell>
          <cell r="BN345">
            <v>1424624.07</v>
          </cell>
          <cell r="BO345">
            <v>1125549.97</v>
          </cell>
          <cell r="BP345">
            <v>1177922.3799999999</v>
          </cell>
          <cell r="BQ345">
            <v>1016378.54</v>
          </cell>
          <cell r="BR345">
            <v>984361.68</v>
          </cell>
          <cell r="BS345">
            <v>932359.53</v>
          </cell>
          <cell r="BT345">
            <v>949375.97</v>
          </cell>
          <cell r="BU345">
            <v>936155.2</v>
          </cell>
          <cell r="BV345">
            <v>1112587.07</v>
          </cell>
          <cell r="BW345">
            <v>1504303.85</v>
          </cell>
          <cell r="BX345">
            <v>1618178.97</v>
          </cell>
          <cell r="BY345">
            <v>1572436.88</v>
          </cell>
          <cell r="BZ345">
            <v>1352878.21</v>
          </cell>
          <cell r="CA345">
            <v>1062025.6200000001</v>
          </cell>
          <cell r="CB345">
            <v>953525.89</v>
          </cell>
          <cell r="CC345">
            <v>967309.63</v>
          </cell>
          <cell r="CD345">
            <v>851851.75</v>
          </cell>
          <cell r="CE345">
            <v>911904.78</v>
          </cell>
          <cell r="CF345">
            <v>870947.67</v>
          </cell>
          <cell r="CG345">
            <v>954992.39</v>
          </cell>
          <cell r="CH345">
            <v>1095394.1499999999</v>
          </cell>
          <cell r="CI345">
            <v>1396326.38</v>
          </cell>
          <cell r="CJ345">
            <v>1837558.54</v>
          </cell>
          <cell r="CK345">
            <v>1655338.08</v>
          </cell>
          <cell r="CL345">
            <v>1457150.65</v>
          </cell>
          <cell r="CM345">
            <v>1426996.58</v>
          </cell>
          <cell r="CN345">
            <v>1201056.29</v>
          </cell>
          <cell r="CO345">
            <v>1108542.6499999999</v>
          </cell>
          <cell r="CP345">
            <v>1134501.22</v>
          </cell>
          <cell r="CQ345">
            <v>1011208.09</v>
          </cell>
          <cell r="CR345">
            <v>1071922.69</v>
          </cell>
          <cell r="CS345">
            <v>1072270.76</v>
          </cell>
          <cell r="CT345">
            <v>1236232.4099999999</v>
          </cell>
          <cell r="CU345">
            <v>1610219.3</v>
          </cell>
          <cell r="CV345">
            <v>1747412.92</v>
          </cell>
          <cell r="CW345">
            <v>1727920.15</v>
          </cell>
          <cell r="CX345">
            <v>1638802.23</v>
          </cell>
          <cell r="CY345">
            <v>1466977.23</v>
          </cell>
          <cell r="CZ345">
            <v>1329404.5900000001</v>
          </cell>
          <cell r="DA345">
            <v>1171609.3500000001</v>
          </cell>
          <cell r="DB345">
            <v>1070368.31</v>
          </cell>
          <cell r="DC345">
            <v>1017536.8</v>
          </cell>
          <cell r="DD345">
            <v>1080019.73</v>
          </cell>
          <cell r="DE345">
            <v>1183729.3700000001</v>
          </cell>
          <cell r="DF345">
            <v>1255346.49</v>
          </cell>
          <cell r="DG345">
            <v>1563688.22</v>
          </cell>
        </row>
        <row r="346">
          <cell r="A346">
            <v>6900040</v>
          </cell>
          <cell r="B346">
            <v>6900040</v>
          </cell>
          <cell r="C346" t="str">
            <v>TOTI-Payroll Tax</v>
          </cell>
          <cell r="D346">
            <v>513899.56</v>
          </cell>
          <cell r="E346">
            <v>192111.83</v>
          </cell>
          <cell r="F346">
            <v>188788.5</v>
          </cell>
          <cell r="G346">
            <v>190675.25</v>
          </cell>
          <cell r="H346">
            <v>295409.40000000002</v>
          </cell>
          <cell r="I346">
            <v>183266.06</v>
          </cell>
          <cell r="J346">
            <v>184336.22</v>
          </cell>
          <cell r="K346">
            <v>183479.86</v>
          </cell>
          <cell r="L346">
            <v>179951.44</v>
          </cell>
          <cell r="M346">
            <v>268881.18</v>
          </cell>
          <cell r="N346">
            <v>189043.54</v>
          </cell>
          <cell r="O346">
            <v>267749.59000000003</v>
          </cell>
          <cell r="P346">
            <v>219788.02</v>
          </cell>
          <cell r="Q346">
            <v>338383.19</v>
          </cell>
          <cell r="R346">
            <v>240386.72</v>
          </cell>
          <cell r="S346">
            <v>294165.48</v>
          </cell>
          <cell r="T346">
            <v>187157.9</v>
          </cell>
          <cell r="U346">
            <v>193915.67</v>
          </cell>
          <cell r="V346">
            <v>180169.74</v>
          </cell>
          <cell r="W346">
            <v>184111.85</v>
          </cell>
          <cell r="X346">
            <v>167316.93</v>
          </cell>
          <cell r="Y346">
            <v>269874.71999999997</v>
          </cell>
          <cell r="Z346">
            <v>206913.99</v>
          </cell>
          <cell r="AA346">
            <v>268648.63</v>
          </cell>
          <cell r="AB346">
            <v>316057</v>
          </cell>
          <cell r="AC346">
            <v>259509.29</v>
          </cell>
          <cell r="AD346">
            <v>310442.06</v>
          </cell>
          <cell r="AE346">
            <v>200506.94</v>
          </cell>
          <cell r="AF346">
            <v>198256.83</v>
          </cell>
          <cell r="AG346">
            <v>197124.07</v>
          </cell>
          <cell r="AH346">
            <v>211087.52</v>
          </cell>
          <cell r="AI346">
            <v>246196.5</v>
          </cell>
          <cell r="AJ346">
            <v>313282.81</v>
          </cell>
          <cell r="AK346">
            <v>202268.7</v>
          </cell>
          <cell r="AL346">
            <v>161152.97</v>
          </cell>
          <cell r="AM346">
            <v>231861.72</v>
          </cell>
          <cell r="AN346">
            <v>264460.69</v>
          </cell>
          <cell r="AO346">
            <v>249825.81</v>
          </cell>
          <cell r="AP346">
            <v>330954.64</v>
          </cell>
          <cell r="AQ346">
            <v>224962.66</v>
          </cell>
          <cell r="AR346">
            <v>214288.17</v>
          </cell>
          <cell r="AS346">
            <v>221205.38</v>
          </cell>
          <cell r="AT346">
            <v>220045.88</v>
          </cell>
          <cell r="AU346">
            <v>330319.28000000003</v>
          </cell>
          <cell r="AV346">
            <v>226256.26</v>
          </cell>
          <cell r="AW346">
            <v>202242.11</v>
          </cell>
          <cell r="AX346">
            <v>223910.43</v>
          </cell>
          <cell r="AY346">
            <v>228088.02</v>
          </cell>
          <cell r="AZ346">
            <v>255845.55</v>
          </cell>
          <cell r="BA346">
            <v>318437.59999999998</v>
          </cell>
          <cell r="BB346">
            <v>350276.78</v>
          </cell>
          <cell r="BC346">
            <v>239945.3</v>
          </cell>
          <cell r="BD346">
            <v>237282.78</v>
          </cell>
          <cell r="BE346">
            <v>238344.06</v>
          </cell>
          <cell r="BF346">
            <v>247595.76</v>
          </cell>
          <cell r="BG346">
            <v>388768.2</v>
          </cell>
          <cell r="BH346">
            <v>246965.68</v>
          </cell>
          <cell r="BI346">
            <v>268739.77</v>
          </cell>
          <cell r="BJ346">
            <v>263371.71999999997</v>
          </cell>
          <cell r="BK346">
            <v>340349.92</v>
          </cell>
          <cell r="BL346">
            <v>410969.53</v>
          </cell>
          <cell r="BM346">
            <v>287161.67</v>
          </cell>
          <cell r="BN346">
            <v>261423.12</v>
          </cell>
          <cell r="BO346">
            <v>256504.34</v>
          </cell>
          <cell r="BP346">
            <v>256781.97</v>
          </cell>
          <cell r="BQ346">
            <v>256459.01</v>
          </cell>
          <cell r="BR346">
            <v>260533.29</v>
          </cell>
          <cell r="BS346">
            <v>375637.89</v>
          </cell>
          <cell r="BT346">
            <v>261612.34</v>
          </cell>
          <cell r="BU346">
            <v>254524.98</v>
          </cell>
          <cell r="BV346">
            <v>315412.69</v>
          </cell>
          <cell r="BW346">
            <v>382810.19</v>
          </cell>
          <cell r="BX346">
            <v>337906.09</v>
          </cell>
          <cell r="BY346">
            <v>373135.64</v>
          </cell>
          <cell r="BZ346">
            <v>311945.71999999997</v>
          </cell>
          <cell r="CA346">
            <v>276934.52</v>
          </cell>
          <cell r="CB346">
            <v>277587.19</v>
          </cell>
          <cell r="CC346">
            <v>264970.82</v>
          </cell>
          <cell r="CD346">
            <v>397312.17</v>
          </cell>
          <cell r="CE346">
            <v>271030.08</v>
          </cell>
          <cell r="CF346">
            <v>120850.93</v>
          </cell>
          <cell r="CG346">
            <v>268781.05</v>
          </cell>
          <cell r="CH346">
            <v>277307.40999999997</v>
          </cell>
          <cell r="CI346">
            <v>356983.64</v>
          </cell>
          <cell r="CJ346">
            <v>334886.88</v>
          </cell>
          <cell r="CK346">
            <v>313955.82</v>
          </cell>
          <cell r="CL346">
            <v>363252</v>
          </cell>
          <cell r="CM346">
            <v>303140</v>
          </cell>
          <cell r="CN346">
            <v>302745.43</v>
          </cell>
          <cell r="CO346">
            <v>218448.63</v>
          </cell>
          <cell r="CP346">
            <v>426721.29</v>
          </cell>
          <cell r="CQ346">
            <v>282078</v>
          </cell>
          <cell r="CR346">
            <v>264677.14</v>
          </cell>
          <cell r="CS346">
            <v>340171.16</v>
          </cell>
          <cell r="CT346">
            <v>301178.21999999997</v>
          </cell>
          <cell r="CU346">
            <v>534773.48</v>
          </cell>
          <cell r="CV346">
            <v>358131.84</v>
          </cell>
          <cell r="CW346">
            <v>359312.84</v>
          </cell>
          <cell r="CX346">
            <v>391884.06</v>
          </cell>
          <cell r="CY346">
            <v>337409.64</v>
          </cell>
          <cell r="CZ346">
            <v>338598.56</v>
          </cell>
          <cell r="DA346">
            <v>547591.06999999995</v>
          </cell>
          <cell r="DB346">
            <v>354170.16</v>
          </cell>
          <cell r="DC346">
            <v>353955.75</v>
          </cell>
          <cell r="DD346">
            <v>355260.52</v>
          </cell>
          <cell r="DE346">
            <v>375242.96</v>
          </cell>
          <cell r="DF346">
            <v>403795.20000000001</v>
          </cell>
          <cell r="DG346">
            <v>696010.53</v>
          </cell>
        </row>
        <row r="347">
          <cell r="A347">
            <v>6900060</v>
          </cell>
          <cell r="B347">
            <v>6900060</v>
          </cell>
          <cell r="C347" t="str">
            <v>TOTI-Prop Tax ATL</v>
          </cell>
          <cell r="D347">
            <v>809000</v>
          </cell>
          <cell r="E347">
            <v>809000</v>
          </cell>
          <cell r="F347">
            <v>809000</v>
          </cell>
          <cell r="G347">
            <v>809000</v>
          </cell>
          <cell r="H347">
            <v>809000</v>
          </cell>
          <cell r="I347">
            <v>807092.51</v>
          </cell>
          <cell r="J347">
            <v>809000</v>
          </cell>
          <cell r="K347">
            <v>471000</v>
          </cell>
          <cell r="L347">
            <v>766977</v>
          </cell>
          <cell r="M347">
            <v>766977</v>
          </cell>
          <cell r="N347">
            <v>812057</v>
          </cell>
          <cell r="O347">
            <v>800196.96</v>
          </cell>
          <cell r="P347">
            <v>819204.37</v>
          </cell>
          <cell r="Q347">
            <v>819000</v>
          </cell>
          <cell r="R347">
            <v>819000</v>
          </cell>
          <cell r="S347">
            <v>819000</v>
          </cell>
          <cell r="T347">
            <v>819000</v>
          </cell>
          <cell r="U347">
            <v>819000</v>
          </cell>
          <cell r="V347">
            <v>819000</v>
          </cell>
          <cell r="W347">
            <v>467000.35</v>
          </cell>
          <cell r="X347">
            <v>775000</v>
          </cell>
          <cell r="Y347">
            <v>775000</v>
          </cell>
          <cell r="Z347">
            <v>775000</v>
          </cell>
          <cell r="AA347">
            <v>718621.41</v>
          </cell>
          <cell r="AB347">
            <v>809000</v>
          </cell>
          <cell r="AC347">
            <v>809000</v>
          </cell>
          <cell r="AD347">
            <v>809000</v>
          </cell>
          <cell r="AE347">
            <v>809000</v>
          </cell>
          <cell r="AF347">
            <v>809000</v>
          </cell>
          <cell r="AG347">
            <v>809000</v>
          </cell>
          <cell r="AH347">
            <v>809000</v>
          </cell>
          <cell r="AI347">
            <v>809000</v>
          </cell>
          <cell r="AJ347">
            <v>809000</v>
          </cell>
          <cell r="AK347">
            <v>809000</v>
          </cell>
          <cell r="AL347">
            <v>399570.32</v>
          </cell>
          <cell r="AM347">
            <v>771779.1</v>
          </cell>
          <cell r="AN347">
            <v>876000</v>
          </cell>
          <cell r="AO347">
            <v>876000</v>
          </cell>
          <cell r="AP347">
            <v>876000</v>
          </cell>
          <cell r="AQ347">
            <v>876000</v>
          </cell>
          <cell r="AR347">
            <v>626000</v>
          </cell>
          <cell r="AS347">
            <v>826000</v>
          </cell>
          <cell r="AT347">
            <v>826000</v>
          </cell>
          <cell r="AU347">
            <v>684666.4</v>
          </cell>
          <cell r="AV347">
            <v>808333.3</v>
          </cell>
          <cell r="AW347">
            <v>808333.3</v>
          </cell>
          <cell r="AX347">
            <v>514410.1</v>
          </cell>
          <cell r="AY347">
            <v>781613.01</v>
          </cell>
          <cell r="AZ347">
            <v>943820</v>
          </cell>
          <cell r="BA347">
            <v>943820</v>
          </cell>
          <cell r="BB347">
            <v>943820</v>
          </cell>
          <cell r="BC347">
            <v>943820</v>
          </cell>
          <cell r="BD347">
            <v>943820</v>
          </cell>
          <cell r="BE347">
            <v>943820</v>
          </cell>
          <cell r="BF347">
            <v>943820</v>
          </cell>
          <cell r="BG347">
            <v>943820</v>
          </cell>
          <cell r="BH347">
            <v>943820</v>
          </cell>
          <cell r="BI347">
            <v>943820</v>
          </cell>
          <cell r="BJ347">
            <v>422195.93</v>
          </cell>
          <cell r="BK347">
            <v>896399.7</v>
          </cell>
          <cell r="BL347">
            <v>1063964</v>
          </cell>
          <cell r="BM347">
            <v>1063964</v>
          </cell>
          <cell r="BN347">
            <v>1063964</v>
          </cell>
          <cell r="BO347">
            <v>1063964</v>
          </cell>
          <cell r="BP347">
            <v>1063964</v>
          </cell>
          <cell r="BQ347">
            <v>1063964</v>
          </cell>
          <cell r="BR347">
            <v>1063964</v>
          </cell>
          <cell r="BS347">
            <v>552252</v>
          </cell>
          <cell r="BT347">
            <v>1000000</v>
          </cell>
          <cell r="BU347">
            <v>1000000</v>
          </cell>
          <cell r="BV347">
            <v>1000000</v>
          </cell>
          <cell r="BW347">
            <v>1033067.6</v>
          </cell>
          <cell r="BX347">
            <v>1159498</v>
          </cell>
          <cell r="BY347">
            <v>1159498</v>
          </cell>
          <cell r="BZ347">
            <v>1159498</v>
          </cell>
          <cell r="CA347">
            <v>1159498</v>
          </cell>
          <cell r="CB347">
            <v>1159498</v>
          </cell>
          <cell r="CC347">
            <v>1159498</v>
          </cell>
          <cell r="CD347">
            <v>1159498</v>
          </cell>
          <cell r="CE347">
            <v>1159498</v>
          </cell>
          <cell r="CF347">
            <v>1159498</v>
          </cell>
          <cell r="CG347">
            <v>1159498</v>
          </cell>
          <cell r="CH347">
            <v>662910.97</v>
          </cell>
          <cell r="CI347">
            <v>661943.87</v>
          </cell>
          <cell r="CJ347">
            <v>1232571.23</v>
          </cell>
          <cell r="CK347">
            <v>1232571.23</v>
          </cell>
          <cell r="CL347">
            <v>1232571.23</v>
          </cell>
          <cell r="CM347">
            <v>1232571.23</v>
          </cell>
          <cell r="CN347">
            <v>1232571.23</v>
          </cell>
          <cell r="CO347">
            <v>1232614.9099999999</v>
          </cell>
          <cell r="CP347">
            <v>1232571.23</v>
          </cell>
          <cell r="CQ347">
            <v>1232571.23</v>
          </cell>
          <cell r="CR347">
            <v>564430.73</v>
          </cell>
          <cell r="CS347">
            <v>1158333.3999999999</v>
          </cell>
          <cell r="CT347">
            <v>1158333.3999999999</v>
          </cell>
          <cell r="CU347">
            <v>1029673.84</v>
          </cell>
          <cell r="CV347">
            <v>1468499.19</v>
          </cell>
          <cell r="CW347">
            <v>1468499.19</v>
          </cell>
          <cell r="CX347">
            <v>1468499.19</v>
          </cell>
          <cell r="CY347">
            <v>1584100.99</v>
          </cell>
          <cell r="CZ347">
            <v>1526300.09</v>
          </cell>
          <cell r="DA347">
            <v>1526300.09</v>
          </cell>
          <cell r="DB347">
            <v>1526300.09</v>
          </cell>
          <cell r="DC347">
            <v>1526300.09</v>
          </cell>
          <cell r="DD347">
            <v>842701.08</v>
          </cell>
          <cell r="DE347">
            <v>1437500</v>
          </cell>
          <cell r="DF347">
            <v>1084423.19</v>
          </cell>
          <cell r="DG347">
            <v>1396088.82</v>
          </cell>
        </row>
        <row r="348">
          <cell r="A348">
            <v>6900049</v>
          </cell>
          <cell r="B348">
            <v>6900049</v>
          </cell>
          <cell r="C348" t="str">
            <v>TOTI - Payroll Tax Reclass</v>
          </cell>
          <cell r="D348"/>
          <cell r="E348"/>
          <cell r="F348"/>
          <cell r="G348"/>
          <cell r="H348"/>
          <cell r="I348"/>
          <cell r="J348"/>
          <cell r="K348"/>
          <cell r="L348"/>
          <cell r="M348"/>
          <cell r="N348"/>
          <cell r="O348"/>
          <cell r="P348"/>
          <cell r="Q348"/>
          <cell r="R348"/>
          <cell r="S348"/>
          <cell r="T348"/>
          <cell r="U348"/>
          <cell r="V348"/>
          <cell r="W348"/>
          <cell r="X348"/>
          <cell r="Y348"/>
          <cell r="Z348"/>
          <cell r="AA348"/>
          <cell r="AB348"/>
          <cell r="AC348"/>
          <cell r="AD348"/>
          <cell r="AE348"/>
          <cell r="AF348"/>
          <cell r="AG348"/>
          <cell r="AH348"/>
          <cell r="AI348"/>
          <cell r="AJ348"/>
          <cell r="AK348"/>
          <cell r="AL348"/>
          <cell r="AM348"/>
          <cell r="AN348"/>
          <cell r="AO348"/>
          <cell r="AP348"/>
          <cell r="AQ348"/>
          <cell r="AR348"/>
          <cell r="AS348"/>
          <cell r="AT348"/>
          <cell r="AU348"/>
          <cell r="AV348"/>
          <cell r="AW348"/>
          <cell r="AX348"/>
          <cell r="AY348"/>
          <cell r="AZ348"/>
          <cell r="BA348"/>
          <cell r="BB348"/>
          <cell r="BC348"/>
          <cell r="BD348"/>
          <cell r="BE348"/>
          <cell r="BF348"/>
          <cell r="BG348"/>
          <cell r="BH348"/>
          <cell r="BI348"/>
          <cell r="BJ348"/>
          <cell r="BK348"/>
          <cell r="BL348"/>
          <cell r="BM348"/>
          <cell r="BN348"/>
          <cell r="BO348"/>
          <cell r="BP348"/>
          <cell r="BQ348"/>
          <cell r="BR348"/>
          <cell r="BS348"/>
          <cell r="BT348"/>
          <cell r="BU348"/>
          <cell r="BV348"/>
          <cell r="BW348"/>
          <cell r="BX348"/>
          <cell r="BY348"/>
          <cell r="BZ348"/>
          <cell r="CA348"/>
          <cell r="CB348"/>
          <cell r="CC348"/>
          <cell r="CD348"/>
          <cell r="CE348"/>
          <cell r="CF348"/>
          <cell r="CG348"/>
          <cell r="CH348"/>
          <cell r="CI348"/>
          <cell r="CJ348"/>
          <cell r="CK348"/>
          <cell r="CL348"/>
          <cell r="CM348"/>
          <cell r="CN348"/>
          <cell r="CO348"/>
          <cell r="CP348"/>
          <cell r="CQ348"/>
          <cell r="CR348"/>
          <cell r="CS348"/>
          <cell r="CT348"/>
          <cell r="CU348"/>
          <cell r="CV348"/>
          <cell r="CW348"/>
          <cell r="CX348"/>
          <cell r="CY348">
            <v>0</v>
          </cell>
          <cell r="CZ348">
            <v>0</v>
          </cell>
          <cell r="DA348">
            <v>-823.46</v>
          </cell>
          <cell r="DB348">
            <v>-1959.38</v>
          </cell>
          <cell r="DC348">
            <v>-572.96</v>
          </cell>
          <cell r="DD348">
            <v>-958.8</v>
          </cell>
          <cell r="DE348">
            <v>-1031.4100000000001</v>
          </cell>
          <cell r="DF348">
            <v>0</v>
          </cell>
          <cell r="DG348">
            <v>1519.08</v>
          </cell>
        </row>
        <row r="349">
          <cell r="A349">
            <v>6900061</v>
          </cell>
          <cell r="B349">
            <v>6900061</v>
          </cell>
          <cell r="C349" t="str">
            <v>TOTI-PropTx ATL GAAP</v>
          </cell>
          <cell r="D349"/>
          <cell r="E349"/>
          <cell r="F349"/>
          <cell r="G349"/>
          <cell r="H349"/>
          <cell r="I349"/>
          <cell r="J349"/>
          <cell r="K349"/>
          <cell r="L349"/>
          <cell r="M349"/>
          <cell r="N349"/>
          <cell r="O349"/>
          <cell r="P349"/>
          <cell r="Q349"/>
          <cell r="R349"/>
          <cell r="S349"/>
          <cell r="T349"/>
          <cell r="U349"/>
          <cell r="V349"/>
          <cell r="W349"/>
          <cell r="X349"/>
          <cell r="Y349"/>
          <cell r="Z349"/>
          <cell r="AA349"/>
          <cell r="AB349"/>
          <cell r="AC349"/>
          <cell r="AD349"/>
          <cell r="AE349">
            <v>0</v>
          </cell>
          <cell r="AF349">
            <v>0</v>
          </cell>
          <cell r="AG349">
            <v>-29445</v>
          </cell>
          <cell r="AH349">
            <v>-9815</v>
          </cell>
          <cell r="AI349">
            <v>-9815</v>
          </cell>
          <cell r="AJ349">
            <v>-9815</v>
          </cell>
          <cell r="AK349">
            <v>-9815</v>
          </cell>
          <cell r="AL349">
            <v>-16677</v>
          </cell>
          <cell r="AM349">
            <v>-13246</v>
          </cell>
          <cell r="AN349">
            <v>-12834</v>
          </cell>
          <cell r="AO349">
            <v>-12835</v>
          </cell>
          <cell r="AP349">
            <v>-12835</v>
          </cell>
          <cell r="AQ349">
            <v>-12835</v>
          </cell>
          <cell r="AR349">
            <v>-12835</v>
          </cell>
          <cell r="AS349">
            <v>-12835</v>
          </cell>
          <cell r="AT349">
            <v>-12835</v>
          </cell>
          <cell r="AU349">
            <v>-12835</v>
          </cell>
          <cell r="AV349">
            <v>-12835</v>
          </cell>
          <cell r="AW349">
            <v>-12835</v>
          </cell>
          <cell r="AX349">
            <v>-12835</v>
          </cell>
          <cell r="AY349">
            <v>-12835</v>
          </cell>
          <cell r="AZ349">
            <v>-12173</v>
          </cell>
          <cell r="BA349">
            <v>-12173</v>
          </cell>
          <cell r="BB349">
            <v>-12173</v>
          </cell>
          <cell r="BC349">
            <v>-12173</v>
          </cell>
          <cell r="BD349">
            <v>-12173</v>
          </cell>
          <cell r="BE349">
            <v>-12167</v>
          </cell>
          <cell r="BF349">
            <v>-12172</v>
          </cell>
          <cell r="BG349">
            <v>-12173</v>
          </cell>
          <cell r="BH349">
            <v>-12173</v>
          </cell>
          <cell r="BI349">
            <v>-12173</v>
          </cell>
          <cell r="BJ349">
            <v>-12173</v>
          </cell>
          <cell r="BK349">
            <v>-12173</v>
          </cell>
          <cell r="BL349">
            <v>-11510</v>
          </cell>
          <cell r="BM349">
            <v>-11510</v>
          </cell>
          <cell r="BN349">
            <v>-11510</v>
          </cell>
          <cell r="BO349">
            <v>-11510</v>
          </cell>
          <cell r="BP349">
            <v>-11510</v>
          </cell>
          <cell r="BQ349">
            <v>-11510</v>
          </cell>
          <cell r="BR349">
            <v>-11510</v>
          </cell>
          <cell r="BS349">
            <v>-11510</v>
          </cell>
          <cell r="BT349">
            <v>-11510</v>
          </cell>
          <cell r="BU349">
            <v>-11510</v>
          </cell>
          <cell r="BV349">
            <v>-11510</v>
          </cell>
          <cell r="BW349">
            <v>-11510</v>
          </cell>
          <cell r="BX349">
            <v>-10849</v>
          </cell>
          <cell r="BY349">
            <v>-10849</v>
          </cell>
          <cell r="BZ349">
            <v>-10849</v>
          </cell>
          <cell r="CA349">
            <v>-10849</v>
          </cell>
          <cell r="CB349">
            <v>-10849</v>
          </cell>
          <cell r="CC349">
            <v>-10849</v>
          </cell>
          <cell r="CD349">
            <v>-10849</v>
          </cell>
          <cell r="CE349">
            <v>-10849</v>
          </cell>
          <cell r="CF349">
            <v>-10849</v>
          </cell>
          <cell r="CG349">
            <v>-10849</v>
          </cell>
          <cell r="CH349">
            <v>-10849</v>
          </cell>
          <cell r="CI349">
            <v>-10849</v>
          </cell>
          <cell r="CJ349">
            <v>-10186</v>
          </cell>
          <cell r="CK349">
            <v>-10186</v>
          </cell>
          <cell r="CL349">
            <v>-10186</v>
          </cell>
          <cell r="CM349">
            <v>-10186</v>
          </cell>
          <cell r="CN349">
            <v>-10186</v>
          </cell>
          <cell r="CO349">
            <v>-10186</v>
          </cell>
          <cell r="CP349">
            <v>-10186</v>
          </cell>
          <cell r="CQ349">
            <v>-10186</v>
          </cell>
          <cell r="CR349">
            <v>-10186</v>
          </cell>
          <cell r="CS349">
            <v>-10186</v>
          </cell>
          <cell r="CT349">
            <v>-10186</v>
          </cell>
          <cell r="CU349">
            <v>-10186</v>
          </cell>
          <cell r="CV349">
            <v>-9524</v>
          </cell>
          <cell r="CW349">
            <v>-9524</v>
          </cell>
          <cell r="CX349">
            <v>-9524</v>
          </cell>
          <cell r="CY349">
            <v>-6993</v>
          </cell>
          <cell r="CZ349">
            <v>-6993</v>
          </cell>
          <cell r="DA349">
            <v>-6993</v>
          </cell>
          <cell r="DB349">
            <v>-6993</v>
          </cell>
          <cell r="DC349">
            <v>0</v>
          </cell>
          <cell r="DD349">
            <v>0</v>
          </cell>
          <cell r="DE349">
            <v>0</v>
          </cell>
          <cell r="DF349">
            <v>0</v>
          </cell>
          <cell r="DG349">
            <v>0</v>
          </cell>
        </row>
        <row r="350">
          <cell r="A350">
            <v>6900070</v>
          </cell>
          <cell r="B350">
            <v>6900070</v>
          </cell>
          <cell r="C350" t="str">
            <v>TOTI-Reg Assess Fee</v>
          </cell>
          <cell r="D350">
            <v>190106.41</v>
          </cell>
          <cell r="E350">
            <v>178244.85</v>
          </cell>
          <cell r="F350">
            <v>152307.96</v>
          </cell>
          <cell r="G350">
            <v>136766.87</v>
          </cell>
          <cell r="H350">
            <v>125067.01</v>
          </cell>
          <cell r="I350">
            <v>115244.77</v>
          </cell>
          <cell r="J350">
            <v>111157.89</v>
          </cell>
          <cell r="K350">
            <v>104862.12</v>
          </cell>
          <cell r="L350">
            <v>138566.35999999999</v>
          </cell>
          <cell r="M350">
            <v>79139.25</v>
          </cell>
          <cell r="N350">
            <v>118099.26</v>
          </cell>
          <cell r="O350">
            <v>190104.65</v>
          </cell>
          <cell r="P350">
            <v>173194.35</v>
          </cell>
          <cell r="Q350">
            <v>172300.56</v>
          </cell>
          <cell r="R350">
            <v>165117.4</v>
          </cell>
          <cell r="S350">
            <v>128986.18</v>
          </cell>
          <cell r="T350">
            <v>136626.10999999999</v>
          </cell>
          <cell r="U350">
            <v>122925.82</v>
          </cell>
          <cell r="V350">
            <v>120321.46</v>
          </cell>
          <cell r="W350">
            <v>115236.63</v>
          </cell>
          <cell r="X350">
            <v>126306.09</v>
          </cell>
          <cell r="Y350">
            <v>123591.56</v>
          </cell>
          <cell r="Z350">
            <v>128782.04</v>
          </cell>
          <cell r="AA350">
            <v>155270.85</v>
          </cell>
          <cell r="AB350">
            <v>165747.07</v>
          </cell>
          <cell r="AC350">
            <v>184487.17</v>
          </cell>
          <cell r="AD350">
            <v>161719.97</v>
          </cell>
          <cell r="AE350">
            <v>145017.46</v>
          </cell>
          <cell r="AF350">
            <v>134033.91</v>
          </cell>
          <cell r="AG350">
            <v>147424.18</v>
          </cell>
          <cell r="AH350">
            <v>135357.71</v>
          </cell>
          <cell r="AI350">
            <v>147344.25</v>
          </cell>
          <cell r="AJ350">
            <v>142040.09</v>
          </cell>
          <cell r="AK350">
            <v>140638.31</v>
          </cell>
          <cell r="AL350">
            <v>139655.96</v>
          </cell>
          <cell r="AM350">
            <v>139422.57</v>
          </cell>
          <cell r="AN350">
            <v>164471.87</v>
          </cell>
          <cell r="AO350">
            <v>163845.14000000001</v>
          </cell>
          <cell r="AP350">
            <v>153868.12</v>
          </cell>
          <cell r="AQ350">
            <v>151260.76999999999</v>
          </cell>
          <cell r="AR350">
            <v>146118.57999999999</v>
          </cell>
          <cell r="AS350">
            <v>137944.79</v>
          </cell>
          <cell r="AT350">
            <v>127049.95</v>
          </cell>
          <cell r="AU350">
            <v>131260.43</v>
          </cell>
          <cell r="AV350">
            <v>138190.48000000001</v>
          </cell>
          <cell r="AW350">
            <v>131213.89000000001</v>
          </cell>
          <cell r="AX350">
            <v>148033.01</v>
          </cell>
          <cell r="AY350">
            <v>173217.98</v>
          </cell>
          <cell r="AZ350">
            <v>224566.48</v>
          </cell>
          <cell r="BA350">
            <v>208661.42</v>
          </cell>
          <cell r="BB350">
            <v>168561.81</v>
          </cell>
          <cell r="BC350">
            <v>173036.45</v>
          </cell>
          <cell r="BD350">
            <v>151341.87</v>
          </cell>
          <cell r="BE350">
            <v>148590.45000000001</v>
          </cell>
          <cell r="BF350">
            <v>141468.37</v>
          </cell>
          <cell r="BG350">
            <v>149505</v>
          </cell>
          <cell r="BH350">
            <v>149474.21</v>
          </cell>
          <cell r="BI350">
            <v>139261.81</v>
          </cell>
          <cell r="BJ350">
            <v>150265.22</v>
          </cell>
          <cell r="BK350">
            <v>178957.13</v>
          </cell>
          <cell r="BL350">
            <v>192312.36</v>
          </cell>
          <cell r="BM350">
            <v>192561.32</v>
          </cell>
          <cell r="BN350">
            <v>173146.54</v>
          </cell>
          <cell r="BO350">
            <v>166352.44</v>
          </cell>
          <cell r="BP350">
            <v>156239.94</v>
          </cell>
          <cell r="BQ350">
            <v>144986.88</v>
          </cell>
          <cell r="BR350">
            <v>138172.34</v>
          </cell>
          <cell r="BS350">
            <v>132512.26</v>
          </cell>
          <cell r="BT350">
            <v>136917.5</v>
          </cell>
          <cell r="BU350">
            <v>141768.03</v>
          </cell>
          <cell r="BV350">
            <v>141768.03</v>
          </cell>
          <cell r="BW350">
            <v>176726.28</v>
          </cell>
          <cell r="BX350">
            <v>194367.62</v>
          </cell>
          <cell r="BY350">
            <v>188167.73</v>
          </cell>
          <cell r="BZ350">
            <v>177744.29</v>
          </cell>
          <cell r="CA350">
            <v>131900.16</v>
          </cell>
          <cell r="CB350">
            <v>140744.25</v>
          </cell>
          <cell r="CC350">
            <v>137373.29999999999</v>
          </cell>
          <cell r="CD350">
            <v>151799.5</v>
          </cell>
          <cell r="CE350">
            <v>133983.67000000001</v>
          </cell>
          <cell r="CF350">
            <v>127094.12</v>
          </cell>
          <cell r="CG350">
            <v>135590.22</v>
          </cell>
          <cell r="CH350">
            <v>148605.32</v>
          </cell>
          <cell r="CI350">
            <v>178741.87</v>
          </cell>
          <cell r="CJ350">
            <v>247852.69</v>
          </cell>
          <cell r="CK350">
            <v>233717.86</v>
          </cell>
          <cell r="CL350">
            <v>210269.24</v>
          </cell>
          <cell r="CM350">
            <v>213234.81</v>
          </cell>
          <cell r="CN350">
            <v>187290.12</v>
          </cell>
          <cell r="CO350">
            <v>180968.28</v>
          </cell>
          <cell r="CP350">
            <v>172135.59</v>
          </cell>
          <cell r="CQ350">
            <v>162802.17000000001</v>
          </cell>
          <cell r="CR350">
            <v>170596.77</v>
          </cell>
          <cell r="CS350">
            <v>169604.49</v>
          </cell>
          <cell r="CT350">
            <v>206204.79999999999</v>
          </cell>
          <cell r="CU350">
            <v>224752.08</v>
          </cell>
          <cell r="CV350">
            <v>254295.39</v>
          </cell>
          <cell r="CW350">
            <v>285930.43</v>
          </cell>
          <cell r="CX350">
            <v>254830.35</v>
          </cell>
          <cell r="CY350">
            <v>240871.56</v>
          </cell>
          <cell r="CZ350">
            <v>229510.57</v>
          </cell>
          <cell r="DA350">
            <v>227147.19</v>
          </cell>
          <cell r="DB350">
            <v>207906.27</v>
          </cell>
          <cell r="DC350">
            <v>242009.04</v>
          </cell>
          <cell r="DD350">
            <v>237417.8</v>
          </cell>
          <cell r="DE350">
            <v>241857.75</v>
          </cell>
          <cell r="DF350">
            <v>210034.16</v>
          </cell>
          <cell r="DG350">
            <v>235251.06</v>
          </cell>
        </row>
        <row r="351">
          <cell r="A351">
            <v>6900110</v>
          </cell>
          <cell r="B351">
            <v>6900110</v>
          </cell>
          <cell r="C351" t="str">
            <v>TOTI-Fed Excise Tax</v>
          </cell>
          <cell r="D351">
            <v>0</v>
          </cell>
          <cell r="E351">
            <v>0</v>
          </cell>
          <cell r="F351">
            <v>0</v>
          </cell>
          <cell r="G351">
            <v>0</v>
          </cell>
          <cell r="H351">
            <v>0</v>
          </cell>
          <cell r="I351">
            <v>0</v>
          </cell>
          <cell r="J351">
            <v>7215.96</v>
          </cell>
          <cell r="K351">
            <v>0</v>
          </cell>
          <cell r="L351">
            <v>0</v>
          </cell>
          <cell r="M351">
            <v>952.88</v>
          </cell>
          <cell r="N351">
            <v>457.92</v>
          </cell>
          <cell r="O351">
            <v>52.11</v>
          </cell>
          <cell r="P351">
            <v>35.409999999999997</v>
          </cell>
          <cell r="Q351">
            <v>31.04</v>
          </cell>
          <cell r="R351">
            <v>69.03</v>
          </cell>
          <cell r="S351">
            <v>34.51</v>
          </cell>
          <cell r="T351">
            <v>78.75</v>
          </cell>
          <cell r="U351">
            <v>88.8</v>
          </cell>
          <cell r="V351">
            <v>6942.84</v>
          </cell>
          <cell r="W351">
            <v>196.84</v>
          </cell>
          <cell r="X351">
            <v>84.23</v>
          </cell>
          <cell r="Y351">
            <v>68.84</v>
          </cell>
          <cell r="Z351">
            <v>108.74</v>
          </cell>
          <cell r="AA351">
            <v>87.47</v>
          </cell>
          <cell r="AB351">
            <v>147.63</v>
          </cell>
          <cell r="AC351">
            <v>199.82</v>
          </cell>
          <cell r="AD351">
            <v>98.15</v>
          </cell>
          <cell r="AE351">
            <v>146.15</v>
          </cell>
          <cell r="AF351">
            <v>104.3</v>
          </cell>
          <cell r="AG351">
            <v>90.16</v>
          </cell>
          <cell r="AH351">
            <v>6995.76</v>
          </cell>
          <cell r="AI351">
            <v>137.41</v>
          </cell>
          <cell r="AJ351">
            <v>115.81</v>
          </cell>
          <cell r="AK351">
            <v>118.04</v>
          </cell>
          <cell r="AL351">
            <v>83.8</v>
          </cell>
          <cell r="AM351">
            <v>107.66</v>
          </cell>
          <cell r="AN351">
            <v>104.6</v>
          </cell>
          <cell r="AO351">
            <v>124.94</v>
          </cell>
          <cell r="AP351">
            <v>75.5</v>
          </cell>
          <cell r="AQ351">
            <v>85.09</v>
          </cell>
          <cell r="AR351">
            <v>6684.51</v>
          </cell>
          <cell r="AS351">
            <v>54.77</v>
          </cell>
          <cell r="AT351">
            <v>0</v>
          </cell>
          <cell r="AU351">
            <v>73.52</v>
          </cell>
          <cell r="AV351">
            <v>-3658.45</v>
          </cell>
          <cell r="AW351">
            <v>185.56</v>
          </cell>
          <cell r="AX351">
            <v>47.37</v>
          </cell>
          <cell r="AY351">
            <v>59.55</v>
          </cell>
          <cell r="AZ351">
            <v>62.92</v>
          </cell>
          <cell r="BA351">
            <v>68.86</v>
          </cell>
          <cell r="BB351">
            <v>45.11</v>
          </cell>
          <cell r="BC351">
            <v>46.04</v>
          </cell>
          <cell r="BD351">
            <v>62.64</v>
          </cell>
          <cell r="BE351">
            <v>54.74</v>
          </cell>
          <cell r="BF351">
            <v>60.52</v>
          </cell>
          <cell r="BG351">
            <v>40.700000000000003</v>
          </cell>
          <cell r="BH351">
            <v>59.49</v>
          </cell>
          <cell r="BI351">
            <v>15.74</v>
          </cell>
          <cell r="BJ351">
            <v>35.17</v>
          </cell>
          <cell r="BK351">
            <v>56</v>
          </cell>
          <cell r="BL351">
            <v>23.16</v>
          </cell>
          <cell r="BM351">
            <v>25.5</v>
          </cell>
          <cell r="BN351">
            <v>33.700000000000003</v>
          </cell>
          <cell r="BO351">
            <v>12.41</v>
          </cell>
          <cell r="BP351">
            <v>12.6</v>
          </cell>
          <cell r="BQ351">
            <v>6.27</v>
          </cell>
          <cell r="BR351">
            <v>13.49</v>
          </cell>
          <cell r="BS351">
            <v>16.920000000000002</v>
          </cell>
          <cell r="BT351">
            <v>1.48</v>
          </cell>
          <cell r="BU351">
            <v>20.73</v>
          </cell>
          <cell r="BV351">
            <v>8.58</v>
          </cell>
          <cell r="BW351">
            <v>19.71</v>
          </cell>
          <cell r="BX351">
            <v>16.170000000000002</v>
          </cell>
          <cell r="BY351">
            <v>11.85</v>
          </cell>
          <cell r="BZ351">
            <v>10.37</v>
          </cell>
          <cell r="CA351">
            <v>23.7</v>
          </cell>
          <cell r="CB351">
            <v>3.26</v>
          </cell>
          <cell r="CC351">
            <v>50.35</v>
          </cell>
          <cell r="CD351">
            <v>35.54</v>
          </cell>
          <cell r="CE351">
            <v>2.15</v>
          </cell>
          <cell r="CF351">
            <v>1.48</v>
          </cell>
          <cell r="CG351">
            <v>3.29</v>
          </cell>
          <cell r="CH351">
            <v>0</v>
          </cell>
          <cell r="CI351">
            <v>27.21</v>
          </cell>
          <cell r="CJ351">
            <v>13.33</v>
          </cell>
          <cell r="CK351">
            <v>1.64</v>
          </cell>
          <cell r="CL351">
            <v>7.4</v>
          </cell>
          <cell r="CM351">
            <v>-1.17</v>
          </cell>
          <cell r="CN351">
            <v>8.89</v>
          </cell>
          <cell r="CO351">
            <v>6.78</v>
          </cell>
          <cell r="CP351">
            <v>5.92</v>
          </cell>
          <cell r="CQ351">
            <v>12.66</v>
          </cell>
          <cell r="CR351">
            <v>5.31</v>
          </cell>
          <cell r="CS351">
            <v>2.35</v>
          </cell>
          <cell r="CT351">
            <v>8.14</v>
          </cell>
          <cell r="CU351">
            <v>0</v>
          </cell>
          <cell r="CV351">
            <v>18.95</v>
          </cell>
          <cell r="CW351">
            <v>3.54</v>
          </cell>
          <cell r="CX351">
            <v>4.4400000000000004</v>
          </cell>
          <cell r="CY351">
            <v>4.74</v>
          </cell>
          <cell r="CZ351">
            <v>0</v>
          </cell>
          <cell r="DA351">
            <v>4.4400000000000004</v>
          </cell>
          <cell r="DB351">
            <v>0</v>
          </cell>
          <cell r="DC351">
            <v>1.48</v>
          </cell>
          <cell r="DD351">
            <v>23.17</v>
          </cell>
          <cell r="DE351">
            <v>0</v>
          </cell>
          <cell r="DF351">
            <v>11.24</v>
          </cell>
          <cell r="DG351">
            <v>7.68</v>
          </cell>
        </row>
        <row r="352">
          <cell r="A352">
            <v>6900120</v>
          </cell>
          <cell r="B352">
            <v>6900120</v>
          </cell>
          <cell r="C352" t="str">
            <v>TOTI-CntyCityBusiLic</v>
          </cell>
          <cell r="D352">
            <v>60</v>
          </cell>
          <cell r="E352">
            <v>0</v>
          </cell>
          <cell r="F352">
            <v>0</v>
          </cell>
          <cell r="G352">
            <v>1477.5</v>
          </cell>
          <cell r="H352">
            <v>0</v>
          </cell>
          <cell r="I352">
            <v>0</v>
          </cell>
          <cell r="J352">
            <v>2699.64</v>
          </cell>
          <cell r="K352">
            <v>6603.05</v>
          </cell>
          <cell r="L352">
            <v>3660.93</v>
          </cell>
          <cell r="M352">
            <v>356.15</v>
          </cell>
          <cell r="N352">
            <v>0</v>
          </cell>
          <cell r="O352">
            <v>108.08</v>
          </cell>
          <cell r="P352">
            <v>0</v>
          </cell>
          <cell r="Q352">
            <v>0</v>
          </cell>
          <cell r="R352">
            <v>0</v>
          </cell>
          <cell r="S352">
            <v>0</v>
          </cell>
          <cell r="T352">
            <v>440.5</v>
          </cell>
          <cell r="U352">
            <v>0</v>
          </cell>
          <cell r="V352">
            <v>2624.64</v>
          </cell>
          <cell r="W352">
            <v>6257.35</v>
          </cell>
          <cell r="X352">
            <v>1398.43</v>
          </cell>
          <cell r="Y352">
            <v>216.15</v>
          </cell>
          <cell r="Z352">
            <v>0</v>
          </cell>
          <cell r="AA352">
            <v>270</v>
          </cell>
          <cell r="AB352">
            <v>108.08</v>
          </cell>
          <cell r="AC352">
            <v>0</v>
          </cell>
          <cell r="AD352">
            <v>-27</v>
          </cell>
          <cell r="AE352">
            <v>0</v>
          </cell>
          <cell r="AF352">
            <v>0</v>
          </cell>
          <cell r="AG352">
            <v>477.9</v>
          </cell>
          <cell r="AH352">
            <v>2441.0100000000002</v>
          </cell>
          <cell r="AI352">
            <v>6361.43</v>
          </cell>
          <cell r="AJ352">
            <v>1258.43</v>
          </cell>
          <cell r="AK352">
            <v>203.5</v>
          </cell>
          <cell r="AL352">
            <v>0</v>
          </cell>
          <cell r="AM352">
            <v>183.63</v>
          </cell>
          <cell r="AN352">
            <v>0</v>
          </cell>
          <cell r="AO352">
            <v>60</v>
          </cell>
          <cell r="AP352">
            <v>1968.76</v>
          </cell>
          <cell r="AQ352">
            <v>0</v>
          </cell>
          <cell r="AR352">
            <v>445</v>
          </cell>
          <cell r="AS352">
            <v>479.35</v>
          </cell>
          <cell r="AT352">
            <v>156.63</v>
          </cell>
          <cell r="AU352">
            <v>9329.69</v>
          </cell>
          <cell r="AV352">
            <v>590.03</v>
          </cell>
          <cell r="AW352">
            <v>817.74</v>
          </cell>
          <cell r="AX352">
            <v>0</v>
          </cell>
          <cell r="AY352">
            <v>222</v>
          </cell>
          <cell r="AZ352">
            <v>0</v>
          </cell>
          <cell r="BA352">
            <v>60</v>
          </cell>
          <cell r="BB352">
            <v>0</v>
          </cell>
          <cell r="BC352">
            <v>111</v>
          </cell>
          <cell r="BD352">
            <v>0</v>
          </cell>
          <cell r="BE352">
            <v>479.35</v>
          </cell>
          <cell r="BF352">
            <v>0</v>
          </cell>
          <cell r="BG352">
            <v>6558.83</v>
          </cell>
          <cell r="BH352">
            <v>3679.51</v>
          </cell>
          <cell r="BI352">
            <v>3391.1</v>
          </cell>
          <cell r="BJ352">
            <v>222</v>
          </cell>
          <cell r="BK352">
            <v>-111</v>
          </cell>
          <cell r="BL352">
            <v>0</v>
          </cell>
          <cell r="BM352">
            <v>58.75</v>
          </cell>
          <cell r="BN352">
            <v>0</v>
          </cell>
          <cell r="BO352">
            <v>0</v>
          </cell>
          <cell r="BP352">
            <v>0</v>
          </cell>
          <cell r="BQ352">
            <v>479.35</v>
          </cell>
          <cell r="BR352">
            <v>0</v>
          </cell>
          <cell r="BS352">
            <v>5769.74</v>
          </cell>
          <cell r="BT352">
            <v>798.51</v>
          </cell>
          <cell r="BU352">
            <v>29.5</v>
          </cell>
          <cell r="BV352">
            <v>222</v>
          </cell>
          <cell r="BW352">
            <v>90</v>
          </cell>
          <cell r="BX352">
            <v>0</v>
          </cell>
          <cell r="BY352">
            <v>0</v>
          </cell>
          <cell r="BZ352">
            <v>0</v>
          </cell>
          <cell r="CA352">
            <v>0</v>
          </cell>
          <cell r="CB352">
            <v>0</v>
          </cell>
          <cell r="CC352">
            <v>1588.74</v>
          </cell>
          <cell r="CD352">
            <v>258.94</v>
          </cell>
          <cell r="CE352">
            <v>7780.68</v>
          </cell>
          <cell r="CF352">
            <v>4174.59</v>
          </cell>
          <cell r="CG352">
            <v>2515.35</v>
          </cell>
          <cell r="CH352">
            <v>231.11</v>
          </cell>
          <cell r="CI352">
            <v>249.56</v>
          </cell>
          <cell r="CJ352">
            <v>-9.11</v>
          </cell>
          <cell r="CK352">
            <v>52.7</v>
          </cell>
          <cell r="CL352">
            <v>-222</v>
          </cell>
          <cell r="CM352">
            <v>115.55</v>
          </cell>
          <cell r="CN352">
            <v>0</v>
          </cell>
          <cell r="CO352">
            <v>0</v>
          </cell>
          <cell r="CP352">
            <v>2681.32</v>
          </cell>
          <cell r="CQ352">
            <v>860.82</v>
          </cell>
          <cell r="CR352">
            <v>7777.6</v>
          </cell>
          <cell r="CS352">
            <v>0</v>
          </cell>
          <cell r="CT352">
            <v>231.11</v>
          </cell>
          <cell r="CU352">
            <v>0</v>
          </cell>
          <cell r="CV352">
            <v>-1527.5</v>
          </cell>
          <cell r="CW352">
            <v>-800</v>
          </cell>
          <cell r="CX352">
            <v>0</v>
          </cell>
          <cell r="CY352">
            <v>0</v>
          </cell>
          <cell r="CZ352">
            <v>0</v>
          </cell>
          <cell r="DA352">
            <v>0</v>
          </cell>
          <cell r="DB352">
            <v>1125.32</v>
          </cell>
          <cell r="DC352">
            <v>7466.12</v>
          </cell>
          <cell r="DD352">
            <v>4321.82</v>
          </cell>
          <cell r="DE352">
            <v>0</v>
          </cell>
          <cell r="DF352">
            <v>130.25</v>
          </cell>
          <cell r="DG352">
            <v>0</v>
          </cell>
        </row>
        <row r="353">
          <cell r="A353">
            <v>6900800</v>
          </cell>
          <cell r="B353">
            <v>6900800</v>
          </cell>
          <cell r="C353" t="str">
            <v>TOTI-Other</v>
          </cell>
          <cell r="D353">
            <v>-48807.46</v>
          </cell>
          <cell r="E353">
            <v>-135451.97</v>
          </cell>
          <cell r="F353">
            <v>26239.97</v>
          </cell>
          <cell r="G353">
            <v>-49930.37</v>
          </cell>
          <cell r="H353">
            <v>-50384.11</v>
          </cell>
          <cell r="I353">
            <v>-73813.75</v>
          </cell>
          <cell r="J353">
            <v>-50214</v>
          </cell>
          <cell r="K353">
            <v>-46647.73</v>
          </cell>
          <cell r="L353">
            <v>-47126.080000000002</v>
          </cell>
          <cell r="M353">
            <v>-48863.56</v>
          </cell>
          <cell r="N353">
            <v>-77853.850000000006</v>
          </cell>
          <cell r="O353">
            <v>-57133.2</v>
          </cell>
          <cell r="P353">
            <v>-72703.97</v>
          </cell>
          <cell r="Q353">
            <v>-99341.82</v>
          </cell>
          <cell r="R353">
            <v>-13501</v>
          </cell>
          <cell r="S353">
            <v>-40207.870000000003</v>
          </cell>
          <cell r="T353">
            <v>-76809.13</v>
          </cell>
          <cell r="U353">
            <v>-51572.54</v>
          </cell>
          <cell r="V353">
            <v>-50648.4</v>
          </cell>
          <cell r="W353">
            <v>-47570.07</v>
          </cell>
          <cell r="X353">
            <v>-47788.87</v>
          </cell>
          <cell r="Y353">
            <v>-43464.05</v>
          </cell>
          <cell r="Z353">
            <v>-65706.25</v>
          </cell>
          <cell r="AA353">
            <v>4059.48</v>
          </cell>
          <cell r="AB353">
            <v>-58793.55</v>
          </cell>
          <cell r="AC353">
            <v>-51020.78</v>
          </cell>
          <cell r="AD353">
            <v>-45462.78</v>
          </cell>
          <cell r="AE353">
            <v>-81814.990000000005</v>
          </cell>
          <cell r="AF353">
            <v>-52247.46</v>
          </cell>
          <cell r="AG353">
            <v>-53660.31</v>
          </cell>
          <cell r="AH353">
            <v>-54460.23</v>
          </cell>
          <cell r="AI353">
            <v>-53419.55</v>
          </cell>
          <cell r="AJ353">
            <v>-57056.12</v>
          </cell>
          <cell r="AK353">
            <v>-82980.44</v>
          </cell>
          <cell r="AL353">
            <v>-59035.56</v>
          </cell>
          <cell r="AM353">
            <v>-55504.7</v>
          </cell>
          <cell r="AN353">
            <v>-58906.95</v>
          </cell>
          <cell r="AO353">
            <v>-83863.98</v>
          </cell>
          <cell r="AP353">
            <v>-76884.14</v>
          </cell>
          <cell r="AQ353">
            <v>-106902.41</v>
          </cell>
          <cell r="AR353">
            <v>-71244.31</v>
          </cell>
          <cell r="AS353">
            <v>-72504.41</v>
          </cell>
          <cell r="AT353">
            <v>-68967.7</v>
          </cell>
          <cell r="AU353">
            <v>-79966.899999999994</v>
          </cell>
          <cell r="AV353">
            <v>-108577.48</v>
          </cell>
          <cell r="AW353">
            <v>-80500.08</v>
          </cell>
          <cell r="AX353">
            <v>-70659.77</v>
          </cell>
          <cell r="AY353">
            <v>224152.95999999999</v>
          </cell>
          <cell r="AZ353">
            <v>-68162.259999999995</v>
          </cell>
          <cell r="BA353">
            <v>-79551.72</v>
          </cell>
          <cell r="BB353">
            <v>-285132.02</v>
          </cell>
          <cell r="BC353">
            <v>-111216.47</v>
          </cell>
          <cell r="BD353">
            <v>-74994.649999999994</v>
          </cell>
          <cell r="BE353">
            <v>-72823.820000000007</v>
          </cell>
          <cell r="BF353">
            <v>-77567.86</v>
          </cell>
          <cell r="BG353">
            <v>-75004.320000000007</v>
          </cell>
          <cell r="BH353">
            <v>-126087.66</v>
          </cell>
          <cell r="BI353">
            <v>-84472.6</v>
          </cell>
          <cell r="BJ353">
            <v>-118922.82</v>
          </cell>
          <cell r="BK353">
            <v>-132921.5</v>
          </cell>
          <cell r="BL353">
            <v>-89597.69</v>
          </cell>
          <cell r="BM353">
            <v>-143198.71</v>
          </cell>
          <cell r="BN353">
            <v>-86987.67</v>
          </cell>
          <cell r="BO353">
            <v>-88912.93</v>
          </cell>
          <cell r="BP353">
            <v>-82749.179999999993</v>
          </cell>
          <cell r="BQ353">
            <v>-86852.22</v>
          </cell>
          <cell r="BR353">
            <v>-88517.45</v>
          </cell>
          <cell r="BS353">
            <v>-79630.81</v>
          </cell>
          <cell r="BT353">
            <v>-123013.92</v>
          </cell>
          <cell r="BU353">
            <v>-82046.87</v>
          </cell>
          <cell r="BV353">
            <v>-83007.97</v>
          </cell>
          <cell r="BW353">
            <v>-86679.39</v>
          </cell>
          <cell r="BX353">
            <v>-85530.95</v>
          </cell>
          <cell r="BY353">
            <v>-144480.37</v>
          </cell>
          <cell r="BZ353">
            <v>-92741.06</v>
          </cell>
          <cell r="CA353">
            <v>-101081.49</v>
          </cell>
          <cell r="CB353">
            <v>-89042.34</v>
          </cell>
          <cell r="CC353">
            <v>-94202.240000000005</v>
          </cell>
          <cell r="CD353">
            <v>-91517.53</v>
          </cell>
          <cell r="CE353">
            <v>-133633.17000000001</v>
          </cell>
          <cell r="CF353">
            <v>-86124.87</v>
          </cell>
          <cell r="CG353">
            <v>-89387.31</v>
          </cell>
          <cell r="CH353">
            <v>-87022.04</v>
          </cell>
          <cell r="CI353">
            <v>-95069.18</v>
          </cell>
          <cell r="CJ353">
            <v>-138043.67000000001</v>
          </cell>
          <cell r="CK353">
            <v>-102209.32</v>
          </cell>
          <cell r="CL353">
            <v>-107357.14</v>
          </cell>
          <cell r="CM353">
            <v>-116516.81</v>
          </cell>
          <cell r="CN353">
            <v>-99684.93</v>
          </cell>
          <cell r="CO353">
            <v>-100875.61</v>
          </cell>
          <cell r="CP353">
            <v>-98293.92</v>
          </cell>
          <cell r="CQ353">
            <v>-143614.45000000001</v>
          </cell>
          <cell r="CR353">
            <v>-93135.22</v>
          </cell>
          <cell r="CS353">
            <v>-199137.48</v>
          </cell>
          <cell r="CT353">
            <v>-103963.92</v>
          </cell>
          <cell r="CU353">
            <v>-100772.44</v>
          </cell>
          <cell r="CV353">
            <v>0</v>
          </cell>
          <cell r="CW353">
            <v>0</v>
          </cell>
          <cell r="CX353">
            <v>0</v>
          </cell>
          <cell r="CY353">
            <v>0</v>
          </cell>
          <cell r="CZ353">
            <v>0</v>
          </cell>
          <cell r="DA353">
            <v>0</v>
          </cell>
          <cell r="DB353">
            <v>0</v>
          </cell>
          <cell r="DC353">
            <v>0</v>
          </cell>
          <cell r="DD353">
            <v>0</v>
          </cell>
          <cell r="DE353">
            <v>0</v>
          </cell>
          <cell r="DF353">
            <v>0</v>
          </cell>
          <cell r="DG353">
            <v>0</v>
          </cell>
        </row>
        <row r="354">
          <cell r="A354">
            <v>6909000</v>
          </cell>
          <cell r="B354">
            <v>6909000</v>
          </cell>
          <cell r="C354" t="str">
            <v>TOTI to BalSheet</v>
          </cell>
          <cell r="D354"/>
          <cell r="E354"/>
          <cell r="F354"/>
          <cell r="G354"/>
          <cell r="H354"/>
          <cell r="I354"/>
          <cell r="J354"/>
          <cell r="K354"/>
          <cell r="L354"/>
          <cell r="M354"/>
          <cell r="N354"/>
          <cell r="O354"/>
          <cell r="P354"/>
          <cell r="Q354"/>
          <cell r="R354"/>
          <cell r="S354"/>
          <cell r="T354"/>
          <cell r="U354"/>
          <cell r="V354"/>
          <cell r="W354"/>
          <cell r="X354"/>
          <cell r="Y354"/>
          <cell r="Z354"/>
          <cell r="AA354"/>
          <cell r="AB354"/>
          <cell r="AC354"/>
          <cell r="AD354"/>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-132.04</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-466.55</v>
          </cell>
          <cell r="BJ354">
            <v>-508.49</v>
          </cell>
          <cell r="BK354">
            <v>-2364.2199999999998</v>
          </cell>
          <cell r="BL354">
            <v>-579.83000000000004</v>
          </cell>
          <cell r="BM354">
            <v>-542.4</v>
          </cell>
          <cell r="BN354">
            <v>-652.21</v>
          </cell>
          <cell r="BO354">
            <v>0</v>
          </cell>
          <cell r="BP354">
            <v>-1110.1300000000001</v>
          </cell>
          <cell r="BQ354">
            <v>-628.77</v>
          </cell>
          <cell r="BR354">
            <v>-3561.03</v>
          </cell>
          <cell r="BS354">
            <v>-704.42</v>
          </cell>
          <cell r="BT354">
            <v>-532.71</v>
          </cell>
          <cell r="BU354">
            <v>-529.86</v>
          </cell>
          <cell r="BV354">
            <v>-968.45</v>
          </cell>
          <cell r="BW354">
            <v>-719.94</v>
          </cell>
          <cell r="BX354">
            <v>-656.46</v>
          </cell>
          <cell r="BY354">
            <v>-764.45</v>
          </cell>
          <cell r="BZ354">
            <v>-831.41</v>
          </cell>
          <cell r="CA354">
            <v>-874.03</v>
          </cell>
          <cell r="CB354">
            <v>-609.95000000000005</v>
          </cell>
          <cell r="CC354">
            <v>-877.36</v>
          </cell>
          <cell r="CD354">
            <v>-1016.21</v>
          </cell>
          <cell r="CE354">
            <v>-846.46</v>
          </cell>
          <cell r="CF354">
            <v>-3980.39</v>
          </cell>
          <cell r="CG354">
            <v>-874.57</v>
          </cell>
          <cell r="CH354">
            <v>-903.72</v>
          </cell>
          <cell r="CI354">
            <v>-922.74</v>
          </cell>
          <cell r="CJ354">
            <v>-750.94</v>
          </cell>
          <cell r="CK354">
            <v>-812.96</v>
          </cell>
          <cell r="CL354">
            <v>-1017.36</v>
          </cell>
          <cell r="CM354">
            <v>216.67</v>
          </cell>
          <cell r="CN354">
            <v>-779.75</v>
          </cell>
          <cell r="CO354">
            <v>-794.02</v>
          </cell>
          <cell r="CP354">
            <v>-757.53</v>
          </cell>
          <cell r="CQ354">
            <v>-685.78</v>
          </cell>
          <cell r="CR354">
            <v>-1387.03</v>
          </cell>
          <cell r="CS354">
            <v>-768.94</v>
          </cell>
          <cell r="CT354">
            <v>-870.56</v>
          </cell>
          <cell r="CU354">
            <v>-1295.01</v>
          </cell>
          <cell r="CV354">
            <v>-48440.2</v>
          </cell>
          <cell r="CW354">
            <v>-55021.760000000002</v>
          </cell>
          <cell r="CX354">
            <v>-56803.79</v>
          </cell>
          <cell r="CY354">
            <v>-50512.31</v>
          </cell>
          <cell r="CZ354">
            <v>-59332.66</v>
          </cell>
          <cell r="DA354">
            <v>-60520.83</v>
          </cell>
          <cell r="DB354">
            <v>-66806.14</v>
          </cell>
          <cell r="DC354">
            <v>-68743.33</v>
          </cell>
          <cell r="DD354">
            <v>-63462.26</v>
          </cell>
          <cell r="DE354">
            <v>-59664.88</v>
          </cell>
          <cell r="DF354">
            <v>-99602.47</v>
          </cell>
          <cell r="DG354">
            <v>-55783.38</v>
          </cell>
        </row>
        <row r="355">
          <cell r="A355">
            <v>7000090</v>
          </cell>
          <cell r="B355">
            <v>7000090</v>
          </cell>
          <cell r="C355" t="str">
            <v>Interest Inc - Deferred Cost Recovery</v>
          </cell>
          <cell r="D355"/>
          <cell r="E355"/>
          <cell r="F355"/>
          <cell r="G355"/>
          <cell r="H355"/>
          <cell r="I355"/>
          <cell r="J355"/>
          <cell r="K355"/>
          <cell r="L355"/>
          <cell r="M355"/>
          <cell r="N355"/>
          <cell r="O355"/>
          <cell r="P355"/>
          <cell r="Q355"/>
          <cell r="R355"/>
          <cell r="S355"/>
          <cell r="T355"/>
          <cell r="U355"/>
          <cell r="V355"/>
          <cell r="W355"/>
          <cell r="X355"/>
          <cell r="Y355"/>
          <cell r="Z355"/>
          <cell r="AA355"/>
          <cell r="AB355"/>
          <cell r="AC355"/>
          <cell r="AD355"/>
          <cell r="AE355"/>
          <cell r="AF355"/>
          <cell r="AG355"/>
          <cell r="AH355"/>
          <cell r="AI355"/>
          <cell r="AJ355"/>
          <cell r="AK355"/>
          <cell r="AL355"/>
          <cell r="AM355"/>
          <cell r="AN355"/>
          <cell r="AO355"/>
          <cell r="AP355"/>
          <cell r="AQ355"/>
          <cell r="AR355"/>
          <cell r="AS355"/>
          <cell r="AT355"/>
          <cell r="AU355"/>
          <cell r="AV355"/>
          <cell r="AW355"/>
          <cell r="AX355"/>
          <cell r="AY355"/>
          <cell r="AZ355"/>
          <cell r="BA355"/>
          <cell r="BB355"/>
          <cell r="BC355"/>
          <cell r="BD355"/>
          <cell r="BE355"/>
          <cell r="BF355"/>
          <cell r="BG355"/>
          <cell r="BH355"/>
          <cell r="BI355"/>
          <cell r="BJ355"/>
          <cell r="BK355"/>
          <cell r="BL355"/>
          <cell r="BM355"/>
          <cell r="BN355"/>
          <cell r="BO355"/>
          <cell r="BP355"/>
          <cell r="BQ355"/>
          <cell r="BR355"/>
          <cell r="BS355"/>
          <cell r="BT355"/>
          <cell r="BU355"/>
          <cell r="BV355"/>
          <cell r="BW355"/>
          <cell r="BX355">
            <v>0</v>
          </cell>
          <cell r="BY355">
            <v>0</v>
          </cell>
          <cell r="BZ355">
            <v>-8502</v>
          </cell>
          <cell r="CA355">
            <v>-45218</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row>
        <row r="356">
          <cell r="A356">
            <v>7000240</v>
          </cell>
          <cell r="B356">
            <v>7000240</v>
          </cell>
          <cell r="C356" t="str">
            <v>IntInc-Dfd Conserv</v>
          </cell>
          <cell r="D356">
            <v>-91</v>
          </cell>
          <cell r="E356">
            <v>-43</v>
          </cell>
          <cell r="F356">
            <v>-4</v>
          </cell>
          <cell r="G356">
            <v>0</v>
          </cell>
          <cell r="H356">
            <v>0</v>
          </cell>
          <cell r="I356">
            <v>0</v>
          </cell>
          <cell r="J356">
            <v>0</v>
          </cell>
          <cell r="K356">
            <v>0</v>
          </cell>
          <cell r="L356">
            <v>-1</v>
          </cell>
          <cell r="M356">
            <v>-12</v>
          </cell>
          <cell r="N356">
            <v>-16</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cell r="AF356"/>
          <cell r="AG356"/>
          <cell r="AH356"/>
          <cell r="AI356"/>
          <cell r="AJ356"/>
          <cell r="AK356"/>
          <cell r="AL356"/>
          <cell r="AM356"/>
          <cell r="AN356"/>
          <cell r="AO356"/>
          <cell r="AP356"/>
          <cell r="AQ356"/>
          <cell r="AR356"/>
          <cell r="AS356"/>
          <cell r="AT356">
            <v>0</v>
          </cell>
          <cell r="AU356">
            <v>-210</v>
          </cell>
          <cell r="AV356">
            <v>-633</v>
          </cell>
          <cell r="AW356">
            <v>-1281</v>
          </cell>
          <cell r="AX356">
            <v>-2439</v>
          </cell>
          <cell r="AY356">
            <v>-3028</v>
          </cell>
          <cell r="AZ356">
            <v>-2600</v>
          </cell>
          <cell r="BA356">
            <v>-1811</v>
          </cell>
          <cell r="BB356">
            <v>-1999</v>
          </cell>
          <cell r="BC356">
            <v>-3139</v>
          </cell>
          <cell r="BD356">
            <v>-3719</v>
          </cell>
          <cell r="BE356">
            <v>-3586</v>
          </cell>
          <cell r="BF356">
            <v>-4543</v>
          </cell>
          <cell r="BG356">
            <v>-5885</v>
          </cell>
          <cell r="BH356">
            <v>-6516</v>
          </cell>
          <cell r="BI356">
            <v>-7730</v>
          </cell>
          <cell r="BJ356">
            <v>-8730</v>
          </cell>
          <cell r="BK356">
            <v>-8725</v>
          </cell>
          <cell r="BL356">
            <v>-8289</v>
          </cell>
          <cell r="BM356">
            <v>-6559</v>
          </cell>
          <cell r="BN356">
            <v>-4632</v>
          </cell>
          <cell r="BO356">
            <v>-3724</v>
          </cell>
          <cell r="BP356">
            <v>-3040</v>
          </cell>
          <cell r="BQ356">
            <v>-3159</v>
          </cell>
          <cell r="BR356">
            <v>-4386</v>
          </cell>
          <cell r="BS356">
            <v>-5182</v>
          </cell>
          <cell r="BT356">
            <v>-5071</v>
          </cell>
          <cell r="BU356">
            <v>-4748</v>
          </cell>
          <cell r="BV356">
            <v>-4646</v>
          </cell>
          <cell r="BW356">
            <v>-4484</v>
          </cell>
          <cell r="BX356">
            <v>-4057</v>
          </cell>
          <cell r="BY356">
            <v>-2890</v>
          </cell>
          <cell r="BZ356">
            <v>-1888</v>
          </cell>
          <cell r="CA356">
            <v>-672</v>
          </cell>
          <cell r="CB356">
            <v>-44</v>
          </cell>
          <cell r="CC356">
            <v>-63</v>
          </cell>
          <cell r="CD356">
            <v>-85</v>
          </cell>
          <cell r="CE356">
            <v>-100</v>
          </cell>
          <cell r="CF356">
            <v>-113</v>
          </cell>
          <cell r="CG356">
            <v>-142</v>
          </cell>
          <cell r="CH356">
            <v>-232</v>
          </cell>
          <cell r="CI356">
            <v>-208</v>
          </cell>
          <cell r="CJ356">
            <v>-125</v>
          </cell>
          <cell r="CK356">
            <v>-69</v>
          </cell>
          <cell r="CL356">
            <v>-45</v>
          </cell>
          <cell r="CM356">
            <v>-27</v>
          </cell>
          <cell r="CN356">
            <v>-7</v>
          </cell>
          <cell r="CO356">
            <v>-2</v>
          </cell>
          <cell r="CP356">
            <v>-6</v>
          </cell>
          <cell r="CQ356">
            <v>-7</v>
          </cell>
          <cell r="CR356">
            <v>-13</v>
          </cell>
          <cell r="CS356">
            <v>-37</v>
          </cell>
          <cell r="CT356">
            <v>-63</v>
          </cell>
          <cell r="CU356">
            <v>-56</v>
          </cell>
          <cell r="CV356">
            <v>-4</v>
          </cell>
          <cell r="CW356">
            <v>0</v>
          </cell>
          <cell r="CX356">
            <v>0</v>
          </cell>
          <cell r="CY356">
            <v>0</v>
          </cell>
          <cell r="CZ356">
            <v>0</v>
          </cell>
          <cell r="DA356">
            <v>0</v>
          </cell>
          <cell r="DB356">
            <v>0</v>
          </cell>
          <cell r="DC356">
            <v>0</v>
          </cell>
          <cell r="DD356">
            <v>0</v>
          </cell>
          <cell r="DE356">
            <v>0</v>
          </cell>
          <cell r="DF356">
            <v>0</v>
          </cell>
          <cell r="DG356">
            <v>0</v>
          </cell>
        </row>
        <row r="357">
          <cell r="A357">
            <v>7000260</v>
          </cell>
          <cell r="B357">
            <v>7000260</v>
          </cell>
          <cell r="C357" t="str">
            <v>IntInc-Dfd PGA</v>
          </cell>
          <cell r="D357">
            <v>-167</v>
          </cell>
          <cell r="E357">
            <v>10</v>
          </cell>
          <cell r="F357">
            <v>124</v>
          </cell>
          <cell r="G357">
            <v>33</v>
          </cell>
          <cell r="H357">
            <v>0</v>
          </cell>
          <cell r="I357">
            <v>0</v>
          </cell>
          <cell r="J357">
            <v>0</v>
          </cell>
          <cell r="K357">
            <v>0</v>
          </cell>
          <cell r="L357">
            <v>0</v>
          </cell>
          <cell r="M357">
            <v>0</v>
          </cell>
          <cell r="N357">
            <v>0</v>
          </cell>
          <cell r="O357">
            <v>0</v>
          </cell>
          <cell r="P357">
            <v>-34</v>
          </cell>
          <cell r="Q357">
            <v>-25</v>
          </cell>
          <cell r="R357">
            <v>22</v>
          </cell>
          <cell r="S357">
            <v>-22</v>
          </cell>
          <cell r="T357">
            <v>-54</v>
          </cell>
          <cell r="U357">
            <v>0</v>
          </cell>
          <cell r="V357">
            <v>0</v>
          </cell>
          <cell r="W357">
            <v>0</v>
          </cell>
          <cell r="X357">
            <v>0</v>
          </cell>
          <cell r="Y357">
            <v>-109</v>
          </cell>
          <cell r="Z357">
            <v>-383</v>
          </cell>
          <cell r="AA357">
            <v>-1075</v>
          </cell>
          <cell r="AB357">
            <v>-1449</v>
          </cell>
          <cell r="AC357">
            <v>-470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-455</v>
          </cell>
          <cell r="AX357">
            <v>-2886</v>
          </cell>
          <cell r="AY357">
            <v>-3736</v>
          </cell>
          <cell r="AZ357">
            <v>-285</v>
          </cell>
          <cell r="BA357">
            <v>0</v>
          </cell>
          <cell r="BB357">
            <v>0</v>
          </cell>
          <cell r="BC357">
            <v>0</v>
          </cell>
          <cell r="BD357">
            <v>0</v>
          </cell>
          <cell r="BE357">
            <v>0</v>
          </cell>
          <cell r="BF357">
            <v>0</v>
          </cell>
          <cell r="BG357">
            <v>0</v>
          </cell>
          <cell r="BH357">
            <v>0</v>
          </cell>
          <cell r="BI357">
            <v>0</v>
          </cell>
          <cell r="BJ357">
            <v>0</v>
          </cell>
          <cell r="BK357">
            <v>-1549</v>
          </cell>
          <cell r="BL357">
            <v>-3058</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cell r="CH357"/>
          <cell r="CI357"/>
          <cell r="CJ357"/>
          <cell r="CK357"/>
          <cell r="CL357"/>
          <cell r="CM357"/>
          <cell r="CN357"/>
          <cell r="CO357"/>
          <cell r="CP357">
            <v>0</v>
          </cell>
          <cell r="CQ357">
            <v>0</v>
          </cell>
          <cell r="CR357">
            <v>0</v>
          </cell>
          <cell r="CS357">
            <v>-55</v>
          </cell>
          <cell r="CT357">
            <v>-684</v>
          </cell>
          <cell r="CU357">
            <v>-973</v>
          </cell>
          <cell r="CV357">
            <v>-896</v>
          </cell>
          <cell r="CW357">
            <v>-760</v>
          </cell>
          <cell r="CX357">
            <v>-731</v>
          </cell>
          <cell r="CY357">
            <v>-189</v>
          </cell>
          <cell r="CZ357">
            <v>0</v>
          </cell>
          <cell r="DA357">
            <v>0</v>
          </cell>
          <cell r="DB357">
            <v>0</v>
          </cell>
          <cell r="DC357">
            <v>0</v>
          </cell>
          <cell r="DD357">
            <v>0</v>
          </cell>
          <cell r="DE357">
            <v>0</v>
          </cell>
          <cell r="DF357">
            <v>0</v>
          </cell>
          <cell r="DG357">
            <v>0</v>
          </cell>
        </row>
        <row r="358">
          <cell r="A358">
            <v>7000270</v>
          </cell>
          <cell r="B358">
            <v>7000270</v>
          </cell>
          <cell r="C358" t="str">
            <v>IntInc-Dfd CRA</v>
          </cell>
          <cell r="D358">
            <v>-212</v>
          </cell>
          <cell r="E358">
            <v>-194</v>
          </cell>
          <cell r="F358">
            <v>-180</v>
          </cell>
          <cell r="G358">
            <v>-201</v>
          </cell>
          <cell r="H358">
            <v>-158</v>
          </cell>
          <cell r="I358">
            <v>-120</v>
          </cell>
          <cell r="J358">
            <v>-142</v>
          </cell>
          <cell r="K358">
            <v>-138</v>
          </cell>
          <cell r="L358">
            <v>-135</v>
          </cell>
          <cell r="M358">
            <v>-130</v>
          </cell>
          <cell r="N358">
            <v>-170</v>
          </cell>
          <cell r="O358">
            <v>-226</v>
          </cell>
          <cell r="P358">
            <v>-223</v>
          </cell>
          <cell r="Q358">
            <v>-219</v>
          </cell>
          <cell r="R358">
            <v>-213</v>
          </cell>
          <cell r="S358">
            <v>-155</v>
          </cell>
          <cell r="T358">
            <v>-178</v>
          </cell>
          <cell r="U358">
            <v>-203</v>
          </cell>
          <cell r="V358">
            <v>-200</v>
          </cell>
          <cell r="W358">
            <v>-223</v>
          </cell>
          <cell r="X358">
            <v>-246</v>
          </cell>
          <cell r="Y358">
            <v>-244</v>
          </cell>
          <cell r="Z358">
            <v>-289</v>
          </cell>
          <cell r="AA358">
            <v>-499</v>
          </cell>
          <cell r="AB358">
            <v>-759</v>
          </cell>
          <cell r="AC358">
            <v>-884</v>
          </cell>
          <cell r="AD358">
            <v>-920</v>
          </cell>
          <cell r="AE358">
            <v>-839</v>
          </cell>
          <cell r="AF358">
            <v>-735</v>
          </cell>
          <cell r="AG358">
            <v>-784</v>
          </cell>
          <cell r="AH358">
            <v>-861</v>
          </cell>
          <cell r="AI358">
            <v>-881</v>
          </cell>
          <cell r="AJ358">
            <v>-939</v>
          </cell>
          <cell r="AK358">
            <v>-1017</v>
          </cell>
          <cell r="AL358">
            <v>-1090</v>
          </cell>
          <cell r="AM358">
            <v>-1366</v>
          </cell>
          <cell r="AN358">
            <v>-1663</v>
          </cell>
          <cell r="AO358">
            <v>-1575</v>
          </cell>
          <cell r="AP358">
            <v>-1773</v>
          </cell>
          <cell r="AQ358">
            <v>-202</v>
          </cell>
          <cell r="AR358">
            <v>-3836</v>
          </cell>
          <cell r="AS358">
            <v>-2294</v>
          </cell>
          <cell r="AT358">
            <v>-2480</v>
          </cell>
          <cell r="AU358">
            <v>-2402</v>
          </cell>
          <cell r="AV358">
            <v>-2035</v>
          </cell>
          <cell r="AW358">
            <v>-2491</v>
          </cell>
          <cell r="AX358">
            <v>-2795</v>
          </cell>
          <cell r="AY358">
            <v>-3142</v>
          </cell>
          <cell r="AZ358">
            <v>-3665</v>
          </cell>
          <cell r="BA358">
            <v>-3592</v>
          </cell>
          <cell r="BB358">
            <v>-3924</v>
          </cell>
          <cell r="BC358">
            <v>-4227</v>
          </cell>
          <cell r="BD358">
            <v>-4197</v>
          </cell>
          <cell r="BE358">
            <v>-4335</v>
          </cell>
          <cell r="BF358">
            <v>-4459</v>
          </cell>
          <cell r="BG358">
            <v>-4462</v>
          </cell>
          <cell r="BH358">
            <v>-4621</v>
          </cell>
          <cell r="BI358">
            <v>-4915</v>
          </cell>
          <cell r="BJ358">
            <v>-5481</v>
          </cell>
          <cell r="BK358">
            <v>-5657</v>
          </cell>
          <cell r="BL358">
            <v>-6125</v>
          </cell>
          <cell r="BM358">
            <v>-5967</v>
          </cell>
          <cell r="BN358">
            <v>-5980</v>
          </cell>
          <cell r="BO358">
            <v>-5961</v>
          </cell>
          <cell r="BP358">
            <v>-5755</v>
          </cell>
          <cell r="BQ358">
            <v>-5623</v>
          </cell>
          <cell r="BR358">
            <v>-5238</v>
          </cell>
          <cell r="BS358">
            <v>-4937</v>
          </cell>
          <cell r="BT358">
            <v>-4679</v>
          </cell>
          <cell r="BU358">
            <v>-4313</v>
          </cell>
          <cell r="BV358">
            <v>-4182</v>
          </cell>
          <cell r="BW358">
            <v>-4231</v>
          </cell>
          <cell r="BX358">
            <v>-4250</v>
          </cell>
          <cell r="BY358">
            <v>-4055</v>
          </cell>
          <cell r="BZ358">
            <v>-4055</v>
          </cell>
          <cell r="CA358">
            <v>-2769</v>
          </cell>
          <cell r="CB358">
            <v>-148</v>
          </cell>
          <cell r="CC358">
            <v>-241</v>
          </cell>
          <cell r="CD358">
            <v>-272</v>
          </cell>
          <cell r="CE358">
            <v>-271</v>
          </cell>
          <cell r="CF358">
            <v>-243</v>
          </cell>
          <cell r="CG358">
            <v>-215</v>
          </cell>
          <cell r="CH358">
            <v>-329</v>
          </cell>
          <cell r="CI358">
            <v>-328</v>
          </cell>
          <cell r="CJ358">
            <v>-334</v>
          </cell>
          <cell r="CK358">
            <v>-289</v>
          </cell>
          <cell r="CL358">
            <v>-254</v>
          </cell>
          <cell r="CM358">
            <v>-261</v>
          </cell>
          <cell r="CN358">
            <v>0</v>
          </cell>
          <cell r="CO358">
            <v>-65</v>
          </cell>
          <cell r="CP358">
            <v>-103</v>
          </cell>
          <cell r="CQ358">
            <v>-175</v>
          </cell>
          <cell r="CR358">
            <v>-179</v>
          </cell>
          <cell r="CS358">
            <v>-217</v>
          </cell>
          <cell r="CT358">
            <v>-315</v>
          </cell>
          <cell r="CU358">
            <v>-314</v>
          </cell>
          <cell r="CV358">
            <v>-338</v>
          </cell>
          <cell r="CW358">
            <v>-603</v>
          </cell>
          <cell r="CX358">
            <v>-1113</v>
          </cell>
          <cell r="CY358">
            <v>-1902</v>
          </cell>
          <cell r="CZ358">
            <v>-2834</v>
          </cell>
          <cell r="DA358">
            <v>-4177</v>
          </cell>
          <cell r="DB358">
            <v>-5948</v>
          </cell>
          <cell r="DC358">
            <v>-6558</v>
          </cell>
          <cell r="DD358">
            <v>-8403</v>
          </cell>
          <cell r="DE358">
            <v>-9440</v>
          </cell>
          <cell r="DF358">
            <v>-11932</v>
          </cell>
          <cell r="DG358">
            <v>-13420</v>
          </cell>
        </row>
        <row r="359">
          <cell r="A359">
            <v>7000271</v>
          </cell>
          <cell r="B359">
            <v>7000271</v>
          </cell>
          <cell r="C359" t="str">
            <v>IntInc-CI/BSR Rider</v>
          </cell>
          <cell r="D359">
            <v>-212</v>
          </cell>
          <cell r="E359">
            <v>-194</v>
          </cell>
          <cell r="F359">
            <v>-180</v>
          </cell>
          <cell r="G359">
            <v>-201</v>
          </cell>
          <cell r="H359">
            <v>-158</v>
          </cell>
          <cell r="I359">
            <v>-120</v>
          </cell>
          <cell r="J359">
            <v>-142</v>
          </cell>
          <cell r="K359">
            <v>-138</v>
          </cell>
          <cell r="L359">
            <v>-135</v>
          </cell>
          <cell r="M359">
            <v>-130</v>
          </cell>
          <cell r="N359">
            <v>-170</v>
          </cell>
          <cell r="O359">
            <v>-226</v>
          </cell>
          <cell r="P359">
            <v>-223</v>
          </cell>
          <cell r="Q359">
            <v>-219</v>
          </cell>
          <cell r="R359">
            <v>-213</v>
          </cell>
          <cell r="S359">
            <v>-155</v>
          </cell>
          <cell r="T359">
            <v>-178</v>
          </cell>
          <cell r="U359">
            <v>-203</v>
          </cell>
          <cell r="V359">
            <v>-200</v>
          </cell>
          <cell r="W359">
            <v>-223</v>
          </cell>
          <cell r="X359">
            <v>-246</v>
          </cell>
          <cell r="Y359">
            <v>0</v>
          </cell>
          <cell r="Z359">
            <v>0</v>
          </cell>
          <cell r="AA359">
            <v>-16</v>
          </cell>
          <cell r="AB359">
            <v>-12</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-156</v>
          </cell>
          <cell r="AX359">
            <v>-532</v>
          </cell>
          <cell r="AY359">
            <v>-970</v>
          </cell>
          <cell r="AZ359">
            <v>-914</v>
          </cell>
          <cell r="BA359">
            <v>-219</v>
          </cell>
          <cell r="BB359">
            <v>0</v>
          </cell>
          <cell r="BC359">
            <v>0</v>
          </cell>
          <cell r="BD359">
            <v>175</v>
          </cell>
          <cell r="BE359">
            <v>-138</v>
          </cell>
          <cell r="BF359">
            <v>0</v>
          </cell>
          <cell r="BG359">
            <v>0</v>
          </cell>
          <cell r="BH359">
            <v>0</v>
          </cell>
          <cell r="BI359">
            <v>0</v>
          </cell>
          <cell r="BJ359">
            <v>0</v>
          </cell>
          <cell r="BK359">
            <v>3</v>
          </cell>
          <cell r="BL359">
            <v>0</v>
          </cell>
          <cell r="BM359">
            <v>-15</v>
          </cell>
          <cell r="BN359">
            <v>0</v>
          </cell>
          <cell r="BO359">
            <v>0</v>
          </cell>
          <cell r="BP359">
            <v>0</v>
          </cell>
          <cell r="BQ359">
            <v>-194</v>
          </cell>
          <cell r="BR359">
            <v>-976</v>
          </cell>
          <cell r="BS359">
            <v>-1763</v>
          </cell>
          <cell r="BT359">
            <v>-2577</v>
          </cell>
          <cell r="BU359">
            <v>-2702</v>
          </cell>
          <cell r="BV359">
            <v>-3433</v>
          </cell>
          <cell r="BW359">
            <v>-6609</v>
          </cell>
          <cell r="BX359">
            <v>-4289</v>
          </cell>
          <cell r="BY359">
            <v>-3279</v>
          </cell>
          <cell r="BZ359">
            <v>-3115</v>
          </cell>
          <cell r="CA359">
            <v>-1745</v>
          </cell>
          <cell r="CB359">
            <v>-122</v>
          </cell>
          <cell r="CC359">
            <v>-186</v>
          </cell>
          <cell r="CD359">
            <v>-269</v>
          </cell>
          <cell r="CE359">
            <v>-315</v>
          </cell>
          <cell r="CF359">
            <v>-291</v>
          </cell>
          <cell r="CG359">
            <v>-288</v>
          </cell>
          <cell r="CH359">
            <v>-450</v>
          </cell>
          <cell r="CI359">
            <v>-461</v>
          </cell>
          <cell r="CJ359">
            <v>-383</v>
          </cell>
          <cell r="CK359">
            <v>-328</v>
          </cell>
          <cell r="CL359">
            <v>-250</v>
          </cell>
          <cell r="CM359">
            <v>-215</v>
          </cell>
          <cell r="CN359">
            <v>-115</v>
          </cell>
          <cell r="CO359">
            <v>-100</v>
          </cell>
          <cell r="CP359">
            <v>-104</v>
          </cell>
          <cell r="CQ359">
            <v>-75</v>
          </cell>
          <cell r="CR359">
            <v>-65</v>
          </cell>
          <cell r="CS359">
            <v>-67</v>
          </cell>
          <cell r="CT359">
            <v>-75</v>
          </cell>
          <cell r="CU359">
            <v>-56</v>
          </cell>
          <cell r="CV359">
            <v>-42</v>
          </cell>
          <cell r="CW359">
            <v>-39</v>
          </cell>
          <cell r="CX359">
            <v>-20</v>
          </cell>
          <cell r="CY359">
            <v>0</v>
          </cell>
          <cell r="CZ359">
            <v>0</v>
          </cell>
          <cell r="DA359">
            <v>0</v>
          </cell>
          <cell r="DB359">
            <v>0</v>
          </cell>
          <cell r="DC359">
            <v>0</v>
          </cell>
          <cell r="DD359">
            <v>-278</v>
          </cell>
          <cell r="DE359">
            <v>-1020</v>
          </cell>
          <cell r="DF359">
            <v>-1465</v>
          </cell>
          <cell r="DG359">
            <v>-2388</v>
          </cell>
        </row>
        <row r="360">
          <cell r="A360">
            <v>7000700</v>
          </cell>
          <cell r="B360">
            <v>7000700</v>
          </cell>
          <cell r="C360" t="str">
            <v>IntInc-Intercompany</v>
          </cell>
          <cell r="D360">
            <v>-949.64</v>
          </cell>
          <cell r="E360">
            <v>-391.98</v>
          </cell>
          <cell r="F360">
            <v>-537.23</v>
          </cell>
          <cell r="G360">
            <v>-1716.68</v>
          </cell>
          <cell r="H360">
            <v>-2592.81</v>
          </cell>
          <cell r="I360">
            <v>-81.83</v>
          </cell>
          <cell r="J360">
            <v>0</v>
          </cell>
          <cell r="K360">
            <v>-282.83</v>
          </cell>
          <cell r="L360">
            <v>-233.2</v>
          </cell>
          <cell r="M360">
            <v>-277.56</v>
          </cell>
          <cell r="N360">
            <v>0</v>
          </cell>
          <cell r="O360">
            <v>-983.42</v>
          </cell>
          <cell r="P360">
            <v>-769.58</v>
          </cell>
          <cell r="Q360">
            <v>-570.25</v>
          </cell>
          <cell r="R360">
            <v>-2664.93</v>
          </cell>
          <cell r="S360">
            <v>-5316.88</v>
          </cell>
          <cell r="T360">
            <v>-3236.73</v>
          </cell>
          <cell r="U360">
            <v>-479.98</v>
          </cell>
          <cell r="V360">
            <v>-664.18</v>
          </cell>
          <cell r="W360">
            <v>-237.7</v>
          </cell>
          <cell r="X360">
            <v>-327.07</v>
          </cell>
          <cell r="Y360">
            <v>-368.85</v>
          </cell>
          <cell r="Z360">
            <v>-664.38</v>
          </cell>
          <cell r="AA360">
            <v>-3034.31</v>
          </cell>
          <cell r="AB360">
            <v>-3244.46</v>
          </cell>
          <cell r="AC360">
            <v>-3989.13</v>
          </cell>
          <cell r="AD360">
            <v>-650.26</v>
          </cell>
          <cell r="AE360">
            <v>-11483.41</v>
          </cell>
          <cell r="AF360">
            <v>-13996.7</v>
          </cell>
          <cell r="AG360">
            <v>-2678.56</v>
          </cell>
          <cell r="AH360">
            <v>0</v>
          </cell>
          <cell r="AI360">
            <v>-4540.3900000000003</v>
          </cell>
          <cell r="AJ360">
            <v>-10.44</v>
          </cell>
          <cell r="AK360">
            <v>-1497.99</v>
          </cell>
          <cell r="AL360">
            <v>0</v>
          </cell>
          <cell r="AM360">
            <v>-900.17</v>
          </cell>
          <cell r="AN360">
            <v>0</v>
          </cell>
          <cell r="AO360">
            <v>0</v>
          </cell>
          <cell r="AP360">
            <v>0</v>
          </cell>
          <cell r="AQ360">
            <v>0</v>
          </cell>
          <cell r="AR360">
            <v>0</v>
          </cell>
          <cell r="AS360">
            <v>0</v>
          </cell>
          <cell r="AT360">
            <v>0</v>
          </cell>
          <cell r="AU360">
            <v>0</v>
          </cell>
          <cell r="AV360">
            <v>0</v>
          </cell>
          <cell r="AW360"/>
          <cell r="AX360"/>
          <cell r="AY360"/>
          <cell r="AZ360"/>
          <cell r="BA360"/>
          <cell r="BB360"/>
          <cell r="BC360"/>
          <cell r="BD360"/>
          <cell r="BE360"/>
          <cell r="BF360"/>
          <cell r="BG360"/>
          <cell r="BH360"/>
          <cell r="BI360"/>
          <cell r="BJ360"/>
          <cell r="BK360"/>
          <cell r="BL360"/>
          <cell r="BM360"/>
          <cell r="BN360"/>
          <cell r="BO360"/>
          <cell r="BP360"/>
          <cell r="BQ360"/>
          <cell r="BR360"/>
          <cell r="BS360"/>
          <cell r="BT360"/>
          <cell r="BU360"/>
          <cell r="BV360"/>
          <cell r="BW360"/>
          <cell r="BX360"/>
          <cell r="BY360"/>
          <cell r="BZ360"/>
          <cell r="CA360"/>
          <cell r="CB360"/>
          <cell r="CC360"/>
          <cell r="CD360"/>
          <cell r="CE360"/>
          <cell r="CF360"/>
          <cell r="CG360"/>
          <cell r="CH360"/>
          <cell r="CI360"/>
          <cell r="CJ360">
            <v>-9413.48</v>
          </cell>
          <cell r="CK360">
            <v>-9459.18</v>
          </cell>
          <cell r="CL360">
            <v>-9229.83</v>
          </cell>
          <cell r="CM360">
            <v>-5079.79</v>
          </cell>
          <cell r="CN360">
            <v>-10909.71</v>
          </cell>
          <cell r="CO360">
            <v>-4635.07</v>
          </cell>
          <cell r="CP360">
            <v>-2076.81</v>
          </cell>
          <cell r="CQ360">
            <v>-2131.5</v>
          </cell>
          <cell r="CR360">
            <v>-1986.29</v>
          </cell>
          <cell r="CS360">
            <v>-1910.9</v>
          </cell>
          <cell r="CT360">
            <v>-1944.63</v>
          </cell>
          <cell r="CU360">
            <v>-2449.88</v>
          </cell>
          <cell r="CV360">
            <v>-2657.93</v>
          </cell>
          <cell r="CW360">
            <v>-2452.38</v>
          </cell>
          <cell r="CX360">
            <v>-7580.94</v>
          </cell>
          <cell r="CY360">
            <v>-9835.57</v>
          </cell>
          <cell r="CZ360">
            <v>-10685.54</v>
          </cell>
          <cell r="DA360">
            <v>-13833.3</v>
          </cell>
          <cell r="DB360">
            <v>-17837.21</v>
          </cell>
          <cell r="DC360">
            <v>-25658.32</v>
          </cell>
          <cell r="DD360">
            <v>-29496.400000000001</v>
          </cell>
          <cell r="DE360">
            <v>-31965.72</v>
          </cell>
          <cell r="DF360">
            <v>-35430.39</v>
          </cell>
          <cell r="DG360">
            <v>-39515.410000000003</v>
          </cell>
        </row>
        <row r="361">
          <cell r="A361">
            <v>7000800</v>
          </cell>
          <cell r="B361">
            <v>7000800</v>
          </cell>
          <cell r="C361" t="str">
            <v>IntInc-Miscellaneous</v>
          </cell>
          <cell r="D361">
            <v>-32156.26</v>
          </cell>
          <cell r="E361">
            <v>-59768.59</v>
          </cell>
          <cell r="F361">
            <v>-16405.560000000001</v>
          </cell>
          <cell r="G361">
            <v>-11983.35</v>
          </cell>
          <cell r="H361">
            <v>-19841.05</v>
          </cell>
          <cell r="I361">
            <v>-34519.17</v>
          </cell>
          <cell r="J361">
            <v>-13577.67</v>
          </cell>
          <cell r="K361">
            <v>-15355.17</v>
          </cell>
          <cell r="L361">
            <v>-15121.38</v>
          </cell>
          <cell r="M361">
            <v>-16882.47</v>
          </cell>
          <cell r="N361">
            <v>-11242.67</v>
          </cell>
          <cell r="O361">
            <v>-29160.13</v>
          </cell>
          <cell r="P361">
            <v>-24518.29</v>
          </cell>
          <cell r="Q361">
            <v>-17993.23</v>
          </cell>
          <cell r="R361">
            <v>-17994.25</v>
          </cell>
          <cell r="S361">
            <v>-19822.23</v>
          </cell>
          <cell r="T361">
            <v>-41990.1</v>
          </cell>
          <cell r="U361">
            <v>-46082.1</v>
          </cell>
          <cell r="V361">
            <v>-12781.81</v>
          </cell>
          <cell r="W361">
            <v>-21453.43</v>
          </cell>
          <cell r="X361">
            <v>-15998.47</v>
          </cell>
          <cell r="Y361">
            <v>-17926.060000000001</v>
          </cell>
          <cell r="Z361">
            <v>-23394.54</v>
          </cell>
          <cell r="AA361">
            <v>-18115.330000000002</v>
          </cell>
          <cell r="AB361">
            <v>-14596.01</v>
          </cell>
          <cell r="AC361">
            <v>-64398.96</v>
          </cell>
          <cell r="AD361">
            <v>-24467.18</v>
          </cell>
          <cell r="AE361">
            <v>-25289.81</v>
          </cell>
          <cell r="AF361">
            <v>-24608.98</v>
          </cell>
          <cell r="AG361">
            <v>-45412.81</v>
          </cell>
          <cell r="AH361">
            <v>-53566.52</v>
          </cell>
          <cell r="AI361">
            <v>-37029.370000000003</v>
          </cell>
          <cell r="AJ361">
            <v>-29848.48</v>
          </cell>
          <cell r="AK361">
            <v>-22548.720000000001</v>
          </cell>
          <cell r="AL361">
            <v>-34613.72</v>
          </cell>
          <cell r="AM361">
            <v>-40897.17</v>
          </cell>
          <cell r="AN361">
            <v>-28006.81</v>
          </cell>
          <cell r="AO361">
            <v>-37984.57</v>
          </cell>
          <cell r="AP361">
            <v>-31193.17</v>
          </cell>
          <cell r="AQ361">
            <v>-30066.84</v>
          </cell>
          <cell r="AR361">
            <v>-9809.65</v>
          </cell>
          <cell r="AS361">
            <v>-20994.17</v>
          </cell>
          <cell r="AT361">
            <v>-1673.21</v>
          </cell>
          <cell r="AU361">
            <v>-5205.66</v>
          </cell>
          <cell r="AV361">
            <v>-1710.7</v>
          </cell>
          <cell r="AW361">
            <v>-2412.67</v>
          </cell>
          <cell r="AX361">
            <v>-653.58000000000004</v>
          </cell>
          <cell r="AY361">
            <v>-722.53</v>
          </cell>
          <cell r="AZ361">
            <v>-5980.14</v>
          </cell>
          <cell r="BA361">
            <v>-683.95</v>
          </cell>
          <cell r="BB361">
            <v>-593.34</v>
          </cell>
          <cell r="BC361">
            <v>-1242.23</v>
          </cell>
          <cell r="BD361">
            <v>-3325.19</v>
          </cell>
          <cell r="BE361">
            <v>-823.95</v>
          </cell>
          <cell r="BF361">
            <v>61.04</v>
          </cell>
          <cell r="BG361">
            <v>-774.42</v>
          </cell>
          <cell r="BH361">
            <v>-869.08</v>
          </cell>
          <cell r="BI361">
            <v>123.42</v>
          </cell>
          <cell r="BJ361">
            <v>-859.74</v>
          </cell>
          <cell r="BK361">
            <v>-1245.73</v>
          </cell>
          <cell r="BL361">
            <v>-1386.14</v>
          </cell>
          <cell r="BM361">
            <v>-1039.8</v>
          </cell>
          <cell r="BN361">
            <v>-926.46</v>
          </cell>
          <cell r="BO361">
            <v>-955.99</v>
          </cell>
          <cell r="BP361">
            <v>-1150.17</v>
          </cell>
          <cell r="BQ361">
            <v>-3577.39</v>
          </cell>
          <cell r="BR361">
            <v>-3981.29</v>
          </cell>
          <cell r="BS361">
            <v>-3921.99</v>
          </cell>
          <cell r="BT361">
            <v>-3048.89</v>
          </cell>
          <cell r="BU361">
            <v>-21.6</v>
          </cell>
          <cell r="BV361">
            <v>-5046.87</v>
          </cell>
          <cell r="BW361">
            <v>-1393.46</v>
          </cell>
          <cell r="BX361">
            <v>-1579.61</v>
          </cell>
          <cell r="BY361">
            <v>-1281.06</v>
          </cell>
          <cell r="BZ361">
            <v>-1072.8</v>
          </cell>
          <cell r="CA361">
            <v>-719.88</v>
          </cell>
          <cell r="CB361">
            <v>-1039.4000000000001</v>
          </cell>
          <cell r="CC361">
            <v>-750.75</v>
          </cell>
          <cell r="CD361">
            <v>-625.63</v>
          </cell>
          <cell r="CE361">
            <v>-738.82</v>
          </cell>
          <cell r="CF361">
            <v>-572.55999999999995</v>
          </cell>
          <cell r="CG361">
            <v>-534.87</v>
          </cell>
          <cell r="CH361">
            <v>-573.24</v>
          </cell>
          <cell r="CI361">
            <v>-664.81</v>
          </cell>
          <cell r="CJ361">
            <v>-842.29</v>
          </cell>
          <cell r="CK361">
            <v>-387.57</v>
          </cell>
          <cell r="CL361">
            <v>-485.21</v>
          </cell>
          <cell r="CM361">
            <v>-4509.24</v>
          </cell>
          <cell r="CN361">
            <v>-3492.65</v>
          </cell>
          <cell r="CO361">
            <v>-489.02</v>
          </cell>
          <cell r="CP361">
            <v>-1132.8800000000001</v>
          </cell>
          <cell r="CQ361">
            <v>-953.31</v>
          </cell>
          <cell r="CR361">
            <v>-818.78</v>
          </cell>
          <cell r="CS361">
            <v>-974.96</v>
          </cell>
          <cell r="CT361">
            <v>-899.24</v>
          </cell>
          <cell r="CU361">
            <v>-905.4</v>
          </cell>
          <cell r="CV361">
            <v>-1135.4000000000001</v>
          </cell>
          <cell r="CW361">
            <v>-449.26</v>
          </cell>
          <cell r="CX361">
            <v>-413.98</v>
          </cell>
          <cell r="CY361">
            <v>-633.27</v>
          </cell>
          <cell r="CZ361">
            <v>-603.95000000000005</v>
          </cell>
          <cell r="DA361">
            <v>-402.26</v>
          </cell>
          <cell r="DB361">
            <v>-512.79999999999995</v>
          </cell>
          <cell r="DC361">
            <v>-3804.42</v>
          </cell>
          <cell r="DD361">
            <v>-9140.0499999999993</v>
          </cell>
          <cell r="DE361">
            <v>-15357.5</v>
          </cell>
          <cell r="DF361">
            <v>-5153.2</v>
          </cell>
          <cell r="DG361">
            <v>-6663.68</v>
          </cell>
        </row>
        <row r="362">
          <cell r="A362">
            <v>7009000</v>
          </cell>
          <cell r="B362">
            <v>7009000</v>
          </cell>
          <cell r="C362" t="str">
            <v>IntInc to BalSheet</v>
          </cell>
          <cell r="D362"/>
          <cell r="E362"/>
          <cell r="F362"/>
          <cell r="G362"/>
          <cell r="H362"/>
          <cell r="I362"/>
          <cell r="J362"/>
          <cell r="K362"/>
          <cell r="L362"/>
          <cell r="M362"/>
          <cell r="N362"/>
          <cell r="O362"/>
          <cell r="P362"/>
          <cell r="Q362"/>
          <cell r="R362"/>
          <cell r="S362"/>
          <cell r="T362"/>
          <cell r="U362"/>
          <cell r="V362"/>
          <cell r="W362"/>
          <cell r="X362"/>
          <cell r="Y362"/>
          <cell r="Z362"/>
          <cell r="AA362"/>
          <cell r="AB362"/>
          <cell r="AC362"/>
          <cell r="AD362"/>
          <cell r="AE362"/>
          <cell r="AF362"/>
          <cell r="AG362"/>
          <cell r="AH362">
            <v>0</v>
          </cell>
          <cell r="AI362">
            <v>0</v>
          </cell>
          <cell r="AJ362">
            <v>140</v>
          </cell>
          <cell r="AK362">
            <v>-140</v>
          </cell>
          <cell r="AL362">
            <v>0</v>
          </cell>
          <cell r="AM362">
            <v>0</v>
          </cell>
          <cell r="AN362">
            <v>0</v>
          </cell>
          <cell r="AO362">
            <v>0</v>
          </cell>
          <cell r="AP362">
            <v>0</v>
          </cell>
          <cell r="AQ362">
            <v>0</v>
          </cell>
          <cell r="AR362">
            <v>0</v>
          </cell>
          <cell r="AS362">
            <v>0</v>
          </cell>
          <cell r="AT362">
            <v>0</v>
          </cell>
          <cell r="AU362">
            <v>0</v>
          </cell>
          <cell r="AV362">
            <v>0</v>
          </cell>
          <cell r="AW362"/>
          <cell r="AX362"/>
          <cell r="AY362"/>
          <cell r="AZ362"/>
          <cell r="BA362"/>
          <cell r="BB362"/>
          <cell r="BC362"/>
          <cell r="BD362"/>
          <cell r="BE362"/>
          <cell r="BF362"/>
          <cell r="BG362"/>
          <cell r="BH362"/>
          <cell r="BI362"/>
          <cell r="BJ362"/>
          <cell r="BK362"/>
          <cell r="BL362"/>
          <cell r="BM362"/>
          <cell r="BN362"/>
          <cell r="BO362"/>
          <cell r="BP362"/>
          <cell r="BQ362"/>
          <cell r="BR362"/>
          <cell r="BS362"/>
          <cell r="BT362"/>
          <cell r="BU362"/>
          <cell r="BV362"/>
          <cell r="BW362"/>
          <cell r="BX362"/>
          <cell r="BY362"/>
          <cell r="BZ362"/>
          <cell r="CA362"/>
          <cell r="CB362"/>
          <cell r="CC362"/>
          <cell r="CD362"/>
          <cell r="CE362"/>
          <cell r="CF362"/>
          <cell r="CG362"/>
          <cell r="CH362"/>
          <cell r="CI362"/>
          <cell r="CJ362"/>
          <cell r="CK362"/>
          <cell r="CL362"/>
          <cell r="CM362"/>
          <cell r="CN362"/>
          <cell r="CO362"/>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row>
        <row r="363">
          <cell r="A363">
            <v>7100010</v>
          </cell>
          <cell r="B363">
            <v>7100010</v>
          </cell>
          <cell r="C363" t="str">
            <v>Allow Oth Fund AFUDC</v>
          </cell>
          <cell r="D363"/>
          <cell r="E363"/>
          <cell r="F363"/>
          <cell r="G363"/>
          <cell r="H363"/>
          <cell r="I363"/>
          <cell r="J363"/>
          <cell r="K363"/>
          <cell r="L363"/>
          <cell r="M363"/>
          <cell r="N363"/>
          <cell r="O363"/>
          <cell r="P363"/>
          <cell r="Q363"/>
          <cell r="R363"/>
          <cell r="S363"/>
          <cell r="T363"/>
          <cell r="U363"/>
          <cell r="V363"/>
          <cell r="W363"/>
          <cell r="X363"/>
          <cell r="Y363"/>
          <cell r="Z363"/>
          <cell r="AA363"/>
          <cell r="AB363"/>
          <cell r="AC363"/>
          <cell r="AD363"/>
          <cell r="AE363"/>
          <cell r="AF363"/>
          <cell r="AG363"/>
          <cell r="AH363"/>
          <cell r="AI363"/>
          <cell r="AJ363"/>
          <cell r="AK363"/>
          <cell r="AL363"/>
          <cell r="AM363"/>
          <cell r="AN363"/>
          <cell r="AO363"/>
          <cell r="AP363"/>
          <cell r="AQ363"/>
          <cell r="AR363"/>
          <cell r="AS363"/>
          <cell r="AT363"/>
          <cell r="AU363"/>
          <cell r="AV363"/>
          <cell r="AW363"/>
          <cell r="AX363"/>
          <cell r="AY363"/>
          <cell r="AZ363"/>
          <cell r="BA363"/>
          <cell r="BB363"/>
          <cell r="BC363"/>
          <cell r="BD363"/>
          <cell r="BE363"/>
          <cell r="BF363"/>
          <cell r="BG363"/>
          <cell r="BH363"/>
          <cell r="BI363"/>
          <cell r="BJ363"/>
          <cell r="BK363"/>
          <cell r="BL363">
            <v>0</v>
          </cell>
          <cell r="BM363">
            <v>0</v>
          </cell>
          <cell r="BN363">
            <v>0</v>
          </cell>
          <cell r="BO363">
            <v>0</v>
          </cell>
          <cell r="BP363">
            <v>0</v>
          </cell>
          <cell r="BQ363">
            <v>0</v>
          </cell>
          <cell r="BR363">
            <v>0</v>
          </cell>
          <cell r="BS363">
            <v>-135260.79</v>
          </cell>
          <cell r="BT363">
            <v>-88143.23</v>
          </cell>
          <cell r="BU363">
            <v>-69984.350000000006</v>
          </cell>
          <cell r="BV363">
            <v>-78293.710000000006</v>
          </cell>
          <cell r="BW363">
            <v>-98731.87</v>
          </cell>
          <cell r="BX363">
            <v>-128109.59</v>
          </cell>
          <cell r="BY363">
            <v>-160068.20000000001</v>
          </cell>
          <cell r="BZ363">
            <v>-187039.09</v>
          </cell>
          <cell r="CA363">
            <v>-212810.96</v>
          </cell>
          <cell r="CB363">
            <v>-258036.43</v>
          </cell>
          <cell r="CC363">
            <v>-295038.21000000002</v>
          </cell>
          <cell r="CD363">
            <v>-317432.21000000002</v>
          </cell>
          <cell r="CE363">
            <v>-354208</v>
          </cell>
          <cell r="CF363">
            <v>-396170.73</v>
          </cell>
          <cell r="CG363">
            <v>-313400.96999999997</v>
          </cell>
          <cell r="CH363">
            <v>-231389.87</v>
          </cell>
          <cell r="CI363">
            <v>-267899.33</v>
          </cell>
          <cell r="CJ363">
            <v>-304757.78999999998</v>
          </cell>
          <cell r="CK363">
            <v>-370593.85</v>
          </cell>
          <cell r="CL363">
            <v>-389947.17</v>
          </cell>
          <cell r="CM363">
            <v>-326242.06</v>
          </cell>
          <cell r="CN363">
            <v>-221915.58</v>
          </cell>
          <cell r="CO363">
            <v>-230325.17</v>
          </cell>
          <cell r="CP363">
            <v>-249458.15</v>
          </cell>
          <cell r="CQ363">
            <v>-280763.06</v>
          </cell>
          <cell r="CR363">
            <v>-307772.68</v>
          </cell>
          <cell r="CS363">
            <v>-330307.34000000003</v>
          </cell>
          <cell r="CT363">
            <v>-118962.32</v>
          </cell>
          <cell r="CU363">
            <v>-163717.22</v>
          </cell>
          <cell r="CV363">
            <v>-180627.20000000001</v>
          </cell>
          <cell r="CW363">
            <v>-197146.68</v>
          </cell>
          <cell r="CX363">
            <v>-214283.86</v>
          </cell>
          <cell r="CY363">
            <v>-235931.8</v>
          </cell>
          <cell r="CZ363">
            <v>-260884.35</v>
          </cell>
          <cell r="DA363">
            <v>-291434.89</v>
          </cell>
          <cell r="DB363">
            <v>-325385.08</v>
          </cell>
          <cell r="DC363">
            <v>-349541.75</v>
          </cell>
          <cell r="DD363">
            <v>-370307.86</v>
          </cell>
          <cell r="DE363">
            <v>-167646.16</v>
          </cell>
          <cell r="DF363">
            <v>-245397.82</v>
          </cell>
          <cell r="DG363">
            <v>-265768.27</v>
          </cell>
        </row>
        <row r="364">
          <cell r="A364">
            <v>7100015</v>
          </cell>
          <cell r="B364">
            <v>7100015</v>
          </cell>
          <cell r="C364" t="str">
            <v>Captlz AFUDC Equity</v>
          </cell>
          <cell r="D364"/>
          <cell r="E364"/>
          <cell r="F364"/>
          <cell r="G364"/>
          <cell r="H364"/>
          <cell r="I364"/>
          <cell r="J364"/>
          <cell r="K364"/>
          <cell r="L364"/>
          <cell r="M364"/>
          <cell r="N364"/>
          <cell r="O364"/>
          <cell r="P364"/>
          <cell r="Q364"/>
          <cell r="R364"/>
          <cell r="S364"/>
          <cell r="T364"/>
          <cell r="U364"/>
          <cell r="V364"/>
          <cell r="W364"/>
          <cell r="X364"/>
          <cell r="Y364"/>
          <cell r="Z364"/>
          <cell r="AA364"/>
          <cell r="AB364"/>
          <cell r="AC364"/>
          <cell r="AD364"/>
          <cell r="AE364"/>
          <cell r="AF364"/>
          <cell r="AG364"/>
          <cell r="AH364"/>
          <cell r="AI364"/>
          <cell r="AJ364"/>
          <cell r="AK364"/>
          <cell r="AL364"/>
          <cell r="AM364"/>
          <cell r="AN364"/>
          <cell r="AO364"/>
          <cell r="AP364"/>
          <cell r="AQ364"/>
          <cell r="AR364"/>
          <cell r="AS364"/>
          <cell r="AT364"/>
          <cell r="AU364"/>
          <cell r="AV364"/>
          <cell r="AW364"/>
          <cell r="AX364"/>
          <cell r="AY364"/>
          <cell r="AZ364"/>
          <cell r="BA364"/>
          <cell r="BB364"/>
          <cell r="BC364"/>
          <cell r="BD364"/>
          <cell r="BE364"/>
          <cell r="BF364"/>
          <cell r="BG364"/>
          <cell r="BH364"/>
          <cell r="BI364"/>
          <cell r="BJ364"/>
          <cell r="BK364"/>
          <cell r="BL364"/>
          <cell r="BM364"/>
          <cell r="BN364"/>
          <cell r="BO364"/>
          <cell r="BP364"/>
          <cell r="BQ364"/>
          <cell r="BR364"/>
          <cell r="BS364"/>
          <cell r="BT364"/>
          <cell r="BU364">
            <v>0</v>
          </cell>
          <cell r="BV364">
            <v>0</v>
          </cell>
          <cell r="BW364">
            <v>470413.95</v>
          </cell>
          <cell r="BX364">
            <v>128109.59</v>
          </cell>
          <cell r="BY364">
            <v>160068.20000000001</v>
          </cell>
          <cell r="BZ364">
            <v>187039.09</v>
          </cell>
          <cell r="CA364">
            <v>212810.96</v>
          </cell>
          <cell r="CB364">
            <v>258036.43</v>
          </cell>
          <cell r="CC364">
            <v>295038.21000000002</v>
          </cell>
          <cell r="CD364">
            <v>317432.21000000002</v>
          </cell>
          <cell r="CE364">
            <v>354208</v>
          </cell>
          <cell r="CF364">
            <v>396170.73</v>
          </cell>
          <cell r="CG364">
            <v>313400.96999999997</v>
          </cell>
          <cell r="CH364">
            <v>231389.87</v>
          </cell>
          <cell r="CI364">
            <v>267899.33</v>
          </cell>
          <cell r="CJ364">
            <v>304757.78999999998</v>
          </cell>
          <cell r="CK364">
            <v>370593.85</v>
          </cell>
          <cell r="CL364">
            <v>389947.17</v>
          </cell>
          <cell r="CM364">
            <v>326242.06</v>
          </cell>
          <cell r="CN364">
            <v>221915.58</v>
          </cell>
          <cell r="CO364">
            <v>230325.17</v>
          </cell>
          <cell r="CP364">
            <v>249458.15</v>
          </cell>
          <cell r="CQ364">
            <v>280763.06</v>
          </cell>
          <cell r="CR364">
            <v>307772.68</v>
          </cell>
          <cell r="CS364">
            <v>330307.34000000003</v>
          </cell>
          <cell r="CT364">
            <v>118962.32</v>
          </cell>
          <cell r="CU364">
            <v>163717.22</v>
          </cell>
          <cell r="CV364">
            <v>180627.20000000001</v>
          </cell>
          <cell r="CW364">
            <v>197146.68</v>
          </cell>
          <cell r="CX364">
            <v>214283.86</v>
          </cell>
          <cell r="CY364">
            <v>235931.8</v>
          </cell>
          <cell r="CZ364">
            <v>260884.35</v>
          </cell>
          <cell r="DA364">
            <v>291434.89</v>
          </cell>
          <cell r="DB364">
            <v>325385.08</v>
          </cell>
          <cell r="DC364">
            <v>349541.75</v>
          </cell>
          <cell r="DD364">
            <v>370307.86</v>
          </cell>
          <cell r="DE364">
            <v>167646.16</v>
          </cell>
          <cell r="DF364">
            <v>245397.82</v>
          </cell>
          <cell r="DG364">
            <v>265768.27</v>
          </cell>
        </row>
        <row r="365">
          <cell r="A365">
            <v>7100020</v>
          </cell>
          <cell r="B365">
            <v>7100020</v>
          </cell>
          <cell r="C365" t="str">
            <v>Basic Order Agreemnt</v>
          </cell>
          <cell r="D365">
            <v>0</v>
          </cell>
          <cell r="E365">
            <v>-6767.39</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-687910.31</v>
          </cell>
          <cell r="AB365">
            <v>0</v>
          </cell>
          <cell r="AC365">
            <v>0</v>
          </cell>
          <cell r="AD365">
            <v>0</v>
          </cell>
          <cell r="AE365">
            <v>0</v>
          </cell>
          <cell r="AF365">
            <v>0</v>
          </cell>
          <cell r="AG365">
            <v>0</v>
          </cell>
          <cell r="AH365">
            <v>0</v>
          </cell>
          <cell r="AI365">
            <v>-214531</v>
          </cell>
          <cell r="AJ365">
            <v>0</v>
          </cell>
          <cell r="AK365">
            <v>-732275.85</v>
          </cell>
          <cell r="AL365">
            <v>0</v>
          </cell>
          <cell r="AM365">
            <v>0</v>
          </cell>
          <cell r="AN365">
            <v>0</v>
          </cell>
          <cell r="AO365">
            <v>0</v>
          </cell>
          <cell r="AP365">
            <v>0</v>
          </cell>
          <cell r="AQ365">
            <v>0</v>
          </cell>
          <cell r="AR365">
            <v>0</v>
          </cell>
          <cell r="AS365">
            <v>0</v>
          </cell>
          <cell r="AT365">
            <v>0</v>
          </cell>
          <cell r="AU365">
            <v>0</v>
          </cell>
          <cell r="AV365">
            <v>0</v>
          </cell>
          <cell r="AW365"/>
          <cell r="AX365"/>
          <cell r="AY365"/>
          <cell r="AZ365">
            <v>-8001.86</v>
          </cell>
          <cell r="BA365">
            <v>0</v>
          </cell>
          <cell r="BB365">
            <v>0</v>
          </cell>
          <cell r="BC365">
            <v>0</v>
          </cell>
          <cell r="BD365">
            <v>0</v>
          </cell>
          <cell r="BE365">
            <v>-1457.99</v>
          </cell>
          <cell r="BF365">
            <v>0</v>
          </cell>
          <cell r="BG365">
            <v>-357.9</v>
          </cell>
          <cell r="BH365">
            <v>-5833.64</v>
          </cell>
          <cell r="BI365">
            <v>-1458</v>
          </cell>
          <cell r="BJ365">
            <v>-178.95</v>
          </cell>
          <cell r="BK365">
            <v>0</v>
          </cell>
          <cell r="BL365">
            <v>-1958.92</v>
          </cell>
          <cell r="BM365">
            <v>0</v>
          </cell>
          <cell r="BN365">
            <v>0</v>
          </cell>
          <cell r="BO365">
            <v>-6839.54</v>
          </cell>
          <cell r="BP365">
            <v>0</v>
          </cell>
          <cell r="BQ365">
            <v>0</v>
          </cell>
          <cell r="BR365">
            <v>-2142.37</v>
          </cell>
          <cell r="BS365">
            <v>0</v>
          </cell>
          <cell r="BT365">
            <v>-1958.93</v>
          </cell>
          <cell r="BU365">
            <v>0</v>
          </cell>
          <cell r="BV365">
            <v>0</v>
          </cell>
          <cell r="BW365">
            <v>0</v>
          </cell>
          <cell r="BX365">
            <v>0</v>
          </cell>
          <cell r="BY365">
            <v>0</v>
          </cell>
          <cell r="BZ365">
            <v>-5691.65</v>
          </cell>
          <cell r="CA365">
            <v>0</v>
          </cell>
          <cell r="CB365">
            <v>0</v>
          </cell>
          <cell r="CC365">
            <v>0</v>
          </cell>
          <cell r="CD365">
            <v>0</v>
          </cell>
          <cell r="CE365">
            <v>-14669.15</v>
          </cell>
          <cell r="CF365">
            <v>0</v>
          </cell>
          <cell r="CG365">
            <v>-2211.61</v>
          </cell>
          <cell r="CH365">
            <v>0</v>
          </cell>
          <cell r="CI365">
            <v>-187.97</v>
          </cell>
          <cell r="CJ365">
            <v>0</v>
          </cell>
          <cell r="CK365">
            <v>0</v>
          </cell>
          <cell r="CL365">
            <v>0</v>
          </cell>
          <cell r="CM365">
            <v>-4005.72</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row>
        <row r="366">
          <cell r="A366">
            <v>7100800</v>
          </cell>
          <cell r="B366">
            <v>7100800</v>
          </cell>
          <cell r="C366" t="str">
            <v>Oth Inc/Exp-Misc</v>
          </cell>
          <cell r="D366">
            <v>-48</v>
          </cell>
          <cell r="E366">
            <v>-47</v>
          </cell>
          <cell r="F366">
            <v>-46</v>
          </cell>
          <cell r="G366">
            <v>-46</v>
          </cell>
          <cell r="H366">
            <v>-68</v>
          </cell>
          <cell r="I366">
            <v>-43</v>
          </cell>
          <cell r="J366">
            <v>-43</v>
          </cell>
          <cell r="K366">
            <v>-44</v>
          </cell>
          <cell r="L366">
            <v>-46</v>
          </cell>
          <cell r="M366">
            <v>-75</v>
          </cell>
          <cell r="N366">
            <v>-50</v>
          </cell>
          <cell r="O366">
            <v>-50</v>
          </cell>
          <cell r="P366">
            <v>-52</v>
          </cell>
          <cell r="Q366">
            <v>-51</v>
          </cell>
          <cell r="R366">
            <v>-49</v>
          </cell>
          <cell r="S366">
            <v>-78</v>
          </cell>
          <cell r="T366">
            <v>-52</v>
          </cell>
          <cell r="U366">
            <v>-53</v>
          </cell>
          <cell r="V366">
            <v>-49</v>
          </cell>
          <cell r="W366">
            <v>-50</v>
          </cell>
          <cell r="X366">
            <v>-52</v>
          </cell>
          <cell r="Y366">
            <v>-78</v>
          </cell>
          <cell r="Z366">
            <v>-50</v>
          </cell>
          <cell r="AA366">
            <v>-48</v>
          </cell>
          <cell r="AB366">
            <v>-48</v>
          </cell>
          <cell r="AC366">
            <v>-49</v>
          </cell>
          <cell r="AD366">
            <v>-75</v>
          </cell>
          <cell r="AE366">
            <v>-52</v>
          </cell>
          <cell r="AF366">
            <v>-52</v>
          </cell>
          <cell r="AG366">
            <v>-55</v>
          </cell>
          <cell r="AH366">
            <v>-53</v>
          </cell>
          <cell r="AI366">
            <v>-52</v>
          </cell>
          <cell r="AJ366">
            <v>-64.5</v>
          </cell>
          <cell r="AK366">
            <v>-40.5</v>
          </cell>
          <cell r="AL366">
            <v>-40</v>
          </cell>
          <cell r="AM366">
            <v>-40</v>
          </cell>
          <cell r="AN366">
            <v>-39.5</v>
          </cell>
          <cell r="AO366">
            <v>-22.5</v>
          </cell>
          <cell r="AP366">
            <v>-56</v>
          </cell>
          <cell r="AQ366">
            <v>-39</v>
          </cell>
          <cell r="AR366">
            <v>-25</v>
          </cell>
          <cell r="AS366">
            <v>-32</v>
          </cell>
          <cell r="AT366">
            <v>-32</v>
          </cell>
          <cell r="AU366">
            <v>-46</v>
          </cell>
          <cell r="AV366">
            <v>-32</v>
          </cell>
          <cell r="AW366">
            <v>-32</v>
          </cell>
          <cell r="AX366">
            <v>-32</v>
          </cell>
          <cell r="AY366">
            <v>-30</v>
          </cell>
          <cell r="AZ366">
            <v>-32</v>
          </cell>
          <cell r="BA366">
            <v>-34</v>
          </cell>
          <cell r="BB366">
            <v>-43</v>
          </cell>
          <cell r="BC366">
            <v>-29</v>
          </cell>
          <cell r="BD366">
            <v>-30</v>
          </cell>
          <cell r="BE366">
            <v>-30.5</v>
          </cell>
          <cell r="BF366">
            <v>-27</v>
          </cell>
          <cell r="BG366">
            <v>-37</v>
          </cell>
          <cell r="BH366">
            <v>-25</v>
          </cell>
          <cell r="BI366">
            <v>-25</v>
          </cell>
          <cell r="BJ366">
            <v>-25.5</v>
          </cell>
          <cell r="BK366">
            <v>-29</v>
          </cell>
          <cell r="BL366">
            <v>-43.5</v>
          </cell>
          <cell r="BM366">
            <v>-34</v>
          </cell>
          <cell r="BN366">
            <v>-25.5</v>
          </cell>
          <cell r="BO366">
            <v>-25</v>
          </cell>
          <cell r="BP366">
            <v>-25.5</v>
          </cell>
          <cell r="BQ366">
            <v>-28</v>
          </cell>
          <cell r="BR366">
            <v>-28.5</v>
          </cell>
          <cell r="BS366">
            <v>-40</v>
          </cell>
          <cell r="BT366">
            <v>-25.5</v>
          </cell>
          <cell r="BU366">
            <v>-23</v>
          </cell>
          <cell r="BV366">
            <v>-23.5</v>
          </cell>
          <cell r="BW366">
            <v>-24</v>
          </cell>
          <cell r="BX366">
            <v>-33.5</v>
          </cell>
          <cell r="BY366">
            <v>-26</v>
          </cell>
          <cell r="BZ366">
            <v>-25</v>
          </cell>
          <cell r="CA366">
            <v>-25</v>
          </cell>
          <cell r="CB366">
            <v>-25</v>
          </cell>
          <cell r="CC366">
            <v>-25</v>
          </cell>
          <cell r="CD366">
            <v>-35.5</v>
          </cell>
          <cell r="CE366">
            <v>-25</v>
          </cell>
          <cell r="CF366">
            <v>-25</v>
          </cell>
          <cell r="CG366">
            <v>-25</v>
          </cell>
          <cell r="CH366">
            <v>-25</v>
          </cell>
          <cell r="CI366">
            <v>-39.5</v>
          </cell>
          <cell r="CJ366">
            <v>-29</v>
          </cell>
          <cell r="CK366">
            <v>-29</v>
          </cell>
          <cell r="CL366">
            <v>-30.5</v>
          </cell>
          <cell r="CM366">
            <v>-32</v>
          </cell>
          <cell r="CN366">
            <v>-30</v>
          </cell>
          <cell r="CO366">
            <v>-29.5</v>
          </cell>
          <cell r="CP366">
            <v>-38.5</v>
          </cell>
          <cell r="CQ366">
            <v>-27</v>
          </cell>
          <cell r="CR366">
            <v>-27</v>
          </cell>
          <cell r="CS366">
            <v>-26</v>
          </cell>
          <cell r="CT366">
            <v>-26</v>
          </cell>
          <cell r="CU366">
            <v>-34.5</v>
          </cell>
          <cell r="CV366">
            <v>-23</v>
          </cell>
          <cell r="CW366">
            <v>-23</v>
          </cell>
          <cell r="CX366">
            <v>-22.5</v>
          </cell>
          <cell r="CY366">
            <v>-23</v>
          </cell>
          <cell r="CZ366">
            <v>-24.5</v>
          </cell>
          <cell r="DA366">
            <v>99068.71</v>
          </cell>
          <cell r="DB366">
            <v>-23</v>
          </cell>
          <cell r="DC366">
            <v>-23</v>
          </cell>
          <cell r="DD366">
            <v>-23</v>
          </cell>
          <cell r="DE366">
            <v>-27</v>
          </cell>
          <cell r="DF366">
            <v>-27</v>
          </cell>
          <cell r="DG366">
            <v>579.48</v>
          </cell>
        </row>
        <row r="367">
          <cell r="A367">
            <v>7101000</v>
          </cell>
          <cell r="B367">
            <v>7101000</v>
          </cell>
          <cell r="C367" t="str">
            <v>Gain Sale Util Prop</v>
          </cell>
          <cell r="D367"/>
          <cell r="E367"/>
          <cell r="F367"/>
          <cell r="G367"/>
          <cell r="H367"/>
          <cell r="I367"/>
          <cell r="J367"/>
          <cell r="K367"/>
          <cell r="L367"/>
          <cell r="M367"/>
          <cell r="N367"/>
          <cell r="O367"/>
          <cell r="P367"/>
          <cell r="Q367"/>
          <cell r="R367"/>
          <cell r="S367"/>
          <cell r="T367"/>
          <cell r="U367"/>
          <cell r="V367"/>
          <cell r="W367"/>
          <cell r="X367"/>
          <cell r="Y367"/>
          <cell r="Z367"/>
          <cell r="AA367"/>
          <cell r="AB367"/>
          <cell r="AC367"/>
          <cell r="AD367"/>
          <cell r="AE367"/>
          <cell r="AF367"/>
          <cell r="AG367"/>
          <cell r="AH367">
            <v>-178382.13</v>
          </cell>
          <cell r="AI367">
            <v>-178382.13</v>
          </cell>
          <cell r="AJ367">
            <v>-178382.13</v>
          </cell>
          <cell r="AK367">
            <v>-178382.13</v>
          </cell>
          <cell r="AL367">
            <v>-178382.13</v>
          </cell>
          <cell r="AM367">
            <v>-178382.13</v>
          </cell>
          <cell r="AN367">
            <v>-178382.13</v>
          </cell>
          <cell r="AO367">
            <v>-178382.13</v>
          </cell>
          <cell r="AP367">
            <v>-178382.13</v>
          </cell>
          <cell r="AQ367">
            <v>-178382.13</v>
          </cell>
          <cell r="AR367">
            <v>-178382.13</v>
          </cell>
          <cell r="AS367">
            <v>-178382.13</v>
          </cell>
          <cell r="AT367">
            <v>-178382.13</v>
          </cell>
          <cell r="AU367">
            <v>-178382.13</v>
          </cell>
          <cell r="AV367">
            <v>-178382.13</v>
          </cell>
          <cell r="AW367">
            <v>-178382.13</v>
          </cell>
          <cell r="AX367">
            <v>-178382.13</v>
          </cell>
          <cell r="AY367">
            <v>-178382.13</v>
          </cell>
          <cell r="AZ367">
            <v>-178382.13</v>
          </cell>
          <cell r="BA367">
            <v>-178382.13</v>
          </cell>
          <cell r="BB367">
            <v>-178382.13</v>
          </cell>
          <cell r="BC367">
            <v>-178382.13</v>
          </cell>
          <cell r="BD367">
            <v>-178382.13</v>
          </cell>
          <cell r="BE367">
            <v>-178382.13</v>
          </cell>
          <cell r="BF367">
            <v>-178382.13</v>
          </cell>
          <cell r="BG367">
            <v>-178382.13</v>
          </cell>
          <cell r="BH367">
            <v>-178382.13</v>
          </cell>
          <cell r="BI367">
            <v>-178382.13</v>
          </cell>
          <cell r="BJ367">
            <v>-178382.13</v>
          </cell>
          <cell r="BK367">
            <v>-178382.13</v>
          </cell>
          <cell r="BL367">
            <v>-178382.13</v>
          </cell>
          <cell r="BM367">
            <v>-178382.13</v>
          </cell>
          <cell r="BN367">
            <v>-178382.13</v>
          </cell>
          <cell r="BO367">
            <v>-178382.13</v>
          </cell>
          <cell r="BP367">
            <v>-178382.13</v>
          </cell>
          <cell r="BQ367">
            <v>-178382.13</v>
          </cell>
          <cell r="BR367">
            <v>-178382.13</v>
          </cell>
          <cell r="BS367">
            <v>-178382.13</v>
          </cell>
          <cell r="BT367">
            <v>-178382.13</v>
          </cell>
          <cell r="BU367">
            <v>-178382.13</v>
          </cell>
          <cell r="BV367">
            <v>-178382.13</v>
          </cell>
          <cell r="BW367">
            <v>-178382.13</v>
          </cell>
          <cell r="BX367">
            <v>-178382.13</v>
          </cell>
          <cell r="BY367">
            <v>-178382.13</v>
          </cell>
          <cell r="BZ367">
            <v>-178382.13</v>
          </cell>
          <cell r="CA367">
            <v>-178382.13</v>
          </cell>
          <cell r="CB367">
            <v>-134554.43</v>
          </cell>
          <cell r="CC367">
            <v>-156002.03</v>
          </cell>
          <cell r="CD367">
            <v>-21447.55</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-13450.42</v>
          </cell>
          <cell r="CZ367">
            <v>-13450.42</v>
          </cell>
          <cell r="DA367">
            <v>-13450.42</v>
          </cell>
          <cell r="DB367">
            <v>-13450.42</v>
          </cell>
          <cell r="DC367">
            <v>-46401.599999999999</v>
          </cell>
          <cell r="DD367">
            <v>-46401.599999999999</v>
          </cell>
          <cell r="DE367">
            <v>-46401.599999999999</v>
          </cell>
          <cell r="DF367">
            <v>-46401.599999999999</v>
          </cell>
          <cell r="DG367">
            <v>-46401.599999999999</v>
          </cell>
        </row>
        <row r="368">
          <cell r="A368">
            <v>7102000</v>
          </cell>
          <cell r="B368">
            <v>7102000</v>
          </cell>
          <cell r="C368" t="str">
            <v>CurrAdj Real Gain</v>
          </cell>
          <cell r="D368"/>
          <cell r="E368"/>
          <cell r="F368"/>
          <cell r="G368"/>
          <cell r="H368"/>
          <cell r="I368"/>
          <cell r="J368"/>
          <cell r="K368"/>
          <cell r="L368"/>
          <cell r="M368"/>
          <cell r="N368"/>
          <cell r="O368"/>
          <cell r="P368"/>
          <cell r="Q368"/>
          <cell r="R368"/>
          <cell r="S368"/>
          <cell r="T368"/>
          <cell r="U368"/>
          <cell r="V368"/>
          <cell r="W368"/>
          <cell r="X368"/>
          <cell r="Y368"/>
          <cell r="Z368"/>
          <cell r="AA368"/>
          <cell r="AB368"/>
          <cell r="AC368"/>
          <cell r="AD368"/>
          <cell r="AE368"/>
          <cell r="AF368"/>
          <cell r="AG368"/>
          <cell r="AH368"/>
          <cell r="AI368"/>
          <cell r="AJ368"/>
          <cell r="AK368"/>
          <cell r="AL368"/>
          <cell r="AM368"/>
          <cell r="AN368"/>
          <cell r="AO368"/>
          <cell r="AP368"/>
          <cell r="AQ368"/>
          <cell r="AR368"/>
          <cell r="AS368"/>
          <cell r="AT368"/>
          <cell r="AU368"/>
          <cell r="AV368"/>
          <cell r="AW368"/>
          <cell r="AX368"/>
          <cell r="AY368"/>
          <cell r="AZ368">
            <v>0</v>
          </cell>
          <cell r="BA368">
            <v>0</v>
          </cell>
          <cell r="BB368">
            <v>-161.44</v>
          </cell>
          <cell r="BC368">
            <v>39026.239999999998</v>
          </cell>
          <cell r="BD368">
            <v>0</v>
          </cell>
          <cell r="BE368">
            <v>-18.850000000000001</v>
          </cell>
          <cell r="BF368">
            <v>0</v>
          </cell>
          <cell r="BG368">
            <v>0</v>
          </cell>
          <cell r="BH368">
            <v>0</v>
          </cell>
          <cell r="BI368">
            <v>0</v>
          </cell>
          <cell r="BJ368">
            <v>0</v>
          </cell>
          <cell r="BK368">
            <v>-12.47</v>
          </cell>
          <cell r="BL368">
            <v>0</v>
          </cell>
          <cell r="BM368">
            <v>0</v>
          </cell>
          <cell r="BN368">
            <v>0</v>
          </cell>
          <cell r="BO368">
            <v>-342.88</v>
          </cell>
          <cell r="BP368">
            <v>0</v>
          </cell>
          <cell r="BQ368">
            <v>0</v>
          </cell>
          <cell r="BR368">
            <v>0</v>
          </cell>
          <cell r="BS368">
            <v>-2526.56</v>
          </cell>
          <cell r="BT368">
            <v>0</v>
          </cell>
          <cell r="BU368">
            <v>0</v>
          </cell>
          <cell r="BV368">
            <v>0</v>
          </cell>
          <cell r="BW368">
            <v>0</v>
          </cell>
          <cell r="BX368">
            <v>0</v>
          </cell>
          <cell r="BY368">
            <v>0</v>
          </cell>
          <cell r="BZ368">
            <v>-1998.92</v>
          </cell>
          <cell r="CA368">
            <v>2975</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-241.19</v>
          </cell>
          <cell r="CQ368">
            <v>0</v>
          </cell>
          <cell r="CR368">
            <v>0</v>
          </cell>
          <cell r="CS368">
            <v>0</v>
          </cell>
          <cell r="CT368">
            <v>-117.02</v>
          </cell>
          <cell r="CU368">
            <v>-94.72</v>
          </cell>
          <cell r="CV368">
            <v>0</v>
          </cell>
          <cell r="CW368">
            <v>0</v>
          </cell>
          <cell r="CX368">
            <v>0</v>
          </cell>
          <cell r="CY368">
            <v>0</v>
          </cell>
          <cell r="CZ368">
            <v>0</v>
          </cell>
          <cell r="DA368">
            <v>0</v>
          </cell>
          <cell r="DB368">
            <v>0</v>
          </cell>
          <cell r="DC368">
            <v>0</v>
          </cell>
          <cell r="DD368">
            <v>-6247.04</v>
          </cell>
          <cell r="DE368">
            <v>-3448.61</v>
          </cell>
          <cell r="DF368">
            <v>0</v>
          </cell>
          <cell r="DG368">
            <v>1496.92</v>
          </cell>
        </row>
        <row r="369">
          <cell r="A369">
            <v>7102100</v>
          </cell>
          <cell r="B369">
            <v>7102100</v>
          </cell>
          <cell r="C369" t="str">
            <v>CurrAdj Unreal Gain</v>
          </cell>
          <cell r="D369"/>
          <cell r="E369"/>
          <cell r="F369"/>
          <cell r="G369"/>
          <cell r="H369"/>
          <cell r="I369"/>
          <cell r="J369"/>
          <cell r="K369"/>
          <cell r="L369"/>
          <cell r="M369"/>
          <cell r="N369"/>
          <cell r="O369"/>
          <cell r="P369"/>
          <cell r="Q369"/>
          <cell r="R369"/>
          <cell r="S369"/>
          <cell r="T369"/>
          <cell r="U369"/>
          <cell r="V369"/>
          <cell r="W369"/>
          <cell r="X369"/>
          <cell r="Y369"/>
          <cell r="Z369"/>
          <cell r="AA369"/>
          <cell r="AB369"/>
          <cell r="AC369"/>
          <cell r="AD369"/>
          <cell r="AE369"/>
          <cell r="AF369"/>
          <cell r="AG369"/>
          <cell r="AH369"/>
          <cell r="AI369"/>
          <cell r="AJ369"/>
          <cell r="AK369">
            <v>0</v>
          </cell>
          <cell r="AL369">
            <v>0</v>
          </cell>
          <cell r="AM369">
            <v>19.100000000000001</v>
          </cell>
          <cell r="AN369">
            <v>0</v>
          </cell>
          <cell r="AO369">
            <v>0</v>
          </cell>
          <cell r="AP369">
            <v>-19.100000000000001</v>
          </cell>
          <cell r="AQ369">
            <v>0</v>
          </cell>
          <cell r="AR369">
            <v>0</v>
          </cell>
          <cell r="AS369">
            <v>0</v>
          </cell>
          <cell r="AT369">
            <v>0</v>
          </cell>
          <cell r="AU369">
            <v>0</v>
          </cell>
          <cell r="AV369">
            <v>0</v>
          </cell>
          <cell r="AW369">
            <v>-56.83</v>
          </cell>
          <cell r="AX369">
            <v>56.83</v>
          </cell>
          <cell r="AY369">
            <v>0</v>
          </cell>
          <cell r="AZ369">
            <v>0</v>
          </cell>
          <cell r="BA369">
            <v>-1188.0999999999999</v>
          </cell>
          <cell r="BB369">
            <v>1188.0999999999999</v>
          </cell>
          <cell r="BC369">
            <v>-36.619999999999997</v>
          </cell>
          <cell r="BD369">
            <v>-20.51</v>
          </cell>
          <cell r="BE369">
            <v>-82.5</v>
          </cell>
          <cell r="BF369">
            <v>-1660.88</v>
          </cell>
          <cell r="BG369">
            <v>-144.03</v>
          </cell>
          <cell r="BH369">
            <v>-1207.02</v>
          </cell>
          <cell r="BI369">
            <v>-428.82</v>
          </cell>
          <cell r="BJ369">
            <v>-664.97</v>
          </cell>
          <cell r="BK369">
            <v>-1524.85</v>
          </cell>
          <cell r="BL369">
            <v>-5453.53</v>
          </cell>
          <cell r="BM369">
            <v>-112.17</v>
          </cell>
          <cell r="BN369">
            <v>-1029.8</v>
          </cell>
          <cell r="BO369">
            <v>3646.31</v>
          </cell>
          <cell r="BP369">
            <v>-62.37</v>
          </cell>
          <cell r="BQ369">
            <v>8814.2099999999991</v>
          </cell>
          <cell r="BR369">
            <v>-5380.94</v>
          </cell>
          <cell r="BS369">
            <v>5479.95</v>
          </cell>
          <cell r="BT369">
            <v>145.38999999999999</v>
          </cell>
          <cell r="BU369">
            <v>18.010000000000002</v>
          </cell>
          <cell r="BV369">
            <v>-185.42</v>
          </cell>
          <cell r="BW369">
            <v>185.42</v>
          </cell>
          <cell r="BX369">
            <v>-918.74</v>
          </cell>
          <cell r="BY369">
            <v>-2109.54</v>
          </cell>
          <cell r="BZ369">
            <v>875.25</v>
          </cell>
          <cell r="CA369">
            <v>2153.0300000000002</v>
          </cell>
          <cell r="CB369">
            <v>0</v>
          </cell>
          <cell r="CC369">
            <v>-1597.18</v>
          </cell>
          <cell r="CD369">
            <v>469.92</v>
          </cell>
          <cell r="CE369">
            <v>1127.26</v>
          </cell>
          <cell r="CF369">
            <v>-739.55</v>
          </cell>
          <cell r="CG369">
            <v>-32.700000000000003</v>
          </cell>
          <cell r="CH369">
            <v>764.3</v>
          </cell>
          <cell r="CI369">
            <v>0</v>
          </cell>
          <cell r="CJ369">
            <v>-874.71</v>
          </cell>
          <cell r="CK369">
            <v>874.71</v>
          </cell>
          <cell r="CL369">
            <v>-19.64</v>
          </cell>
          <cell r="CM369">
            <v>19.64</v>
          </cell>
          <cell r="CN369">
            <v>0</v>
          </cell>
          <cell r="CO369">
            <v>-2691.33</v>
          </cell>
          <cell r="CP369">
            <v>2691.33</v>
          </cell>
          <cell r="CQ369">
            <v>-106.74</v>
          </cell>
          <cell r="CR369">
            <v>-1421.45</v>
          </cell>
          <cell r="CS369">
            <v>1528.19</v>
          </cell>
          <cell r="CT369">
            <v>-2675.34</v>
          </cell>
          <cell r="CU369">
            <v>2675.34</v>
          </cell>
          <cell r="CV369">
            <v>-1708.79</v>
          </cell>
          <cell r="CW369">
            <v>1708.79</v>
          </cell>
          <cell r="CX369">
            <v>0</v>
          </cell>
          <cell r="CY369">
            <v>-2300.8200000000002</v>
          </cell>
          <cell r="CZ369">
            <v>3334.34</v>
          </cell>
          <cell r="DA369">
            <v>-2849.23</v>
          </cell>
          <cell r="DB369">
            <v>1815.71</v>
          </cell>
          <cell r="DC369">
            <v>-2606.79</v>
          </cell>
          <cell r="DD369">
            <v>-5044.1499999999996</v>
          </cell>
          <cell r="DE369">
            <v>7650.94</v>
          </cell>
          <cell r="DF369">
            <v>-912.26</v>
          </cell>
          <cell r="DG369">
            <v>912.26</v>
          </cell>
        </row>
        <row r="370">
          <cell r="A370">
            <v>7103020</v>
          </cell>
          <cell r="B370">
            <v>7103020</v>
          </cell>
          <cell r="C370" t="str">
            <v>Jobbing Revenue</v>
          </cell>
          <cell r="D370">
            <v>-1875</v>
          </cell>
          <cell r="E370">
            <v>3655</v>
          </cell>
          <cell r="F370">
            <v>-1145</v>
          </cell>
          <cell r="G370">
            <v>-10415</v>
          </cell>
          <cell r="H370">
            <v>1325</v>
          </cell>
          <cell r="I370">
            <v>-1560</v>
          </cell>
          <cell r="J370">
            <v>-1000</v>
          </cell>
          <cell r="K370">
            <v>-42.5</v>
          </cell>
          <cell r="L370">
            <v>-2900</v>
          </cell>
          <cell r="M370">
            <v>-468</v>
          </cell>
          <cell r="N370">
            <v>965.5</v>
          </cell>
          <cell r="O370">
            <v>-75</v>
          </cell>
          <cell r="P370">
            <v>-9126</v>
          </cell>
          <cell r="Q370">
            <v>5641.39</v>
          </cell>
          <cell r="R370">
            <v>-70</v>
          </cell>
          <cell r="S370">
            <v>-73</v>
          </cell>
          <cell r="T370">
            <v>-3135</v>
          </cell>
          <cell r="U370">
            <v>1385</v>
          </cell>
          <cell r="V370">
            <v>-455</v>
          </cell>
          <cell r="W370">
            <v>-780</v>
          </cell>
          <cell r="X370">
            <v>-1772</v>
          </cell>
          <cell r="Y370">
            <v>-640</v>
          </cell>
          <cell r="Z370">
            <v>-75</v>
          </cell>
          <cell r="AA370">
            <v>-1222</v>
          </cell>
          <cell r="AB370">
            <v>-255</v>
          </cell>
          <cell r="AC370">
            <v>-850</v>
          </cell>
          <cell r="AD370">
            <v>-585</v>
          </cell>
          <cell r="AE370">
            <v>-510</v>
          </cell>
          <cell r="AF370">
            <v>-2080</v>
          </cell>
          <cell r="AG370">
            <v>-5455</v>
          </cell>
          <cell r="AH370">
            <v>-875</v>
          </cell>
          <cell r="AI370">
            <v>-810</v>
          </cell>
          <cell r="AJ370">
            <v>125.77</v>
          </cell>
          <cell r="AK370">
            <v>-4210</v>
          </cell>
          <cell r="AL370">
            <v>0</v>
          </cell>
          <cell r="AM370">
            <v>2335</v>
          </cell>
          <cell r="AN370">
            <v>0</v>
          </cell>
          <cell r="AO370">
            <v>0</v>
          </cell>
          <cell r="AP370">
            <v>0</v>
          </cell>
          <cell r="AQ370">
            <v>0</v>
          </cell>
          <cell r="AR370">
            <v>0</v>
          </cell>
          <cell r="AS370">
            <v>-260</v>
          </cell>
          <cell r="AT370">
            <v>0</v>
          </cell>
          <cell r="AU370">
            <v>-140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cell r="BJ370"/>
          <cell r="BK370"/>
          <cell r="BL370"/>
          <cell r="BM370"/>
          <cell r="BN370"/>
          <cell r="BO370"/>
          <cell r="BP370"/>
          <cell r="BQ370"/>
          <cell r="BR370"/>
          <cell r="BS370"/>
          <cell r="BT370"/>
          <cell r="BU370">
            <v>0</v>
          </cell>
          <cell r="BV370">
            <v>-260</v>
          </cell>
          <cell r="BW370">
            <v>0</v>
          </cell>
          <cell r="BX370">
            <v>0</v>
          </cell>
          <cell r="BY370">
            <v>0</v>
          </cell>
          <cell r="BZ370">
            <v>0</v>
          </cell>
          <cell r="CA370">
            <v>0</v>
          </cell>
          <cell r="CB370">
            <v>-283.32</v>
          </cell>
          <cell r="CC370">
            <v>0</v>
          </cell>
          <cell r="CD370">
            <v>0</v>
          </cell>
          <cell r="CE370">
            <v>0</v>
          </cell>
          <cell r="CF370">
            <v>0</v>
          </cell>
          <cell r="CG370">
            <v>-200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-75</v>
          </cell>
          <cell r="DB370">
            <v>0</v>
          </cell>
          <cell r="DC370">
            <v>0</v>
          </cell>
          <cell r="DD370">
            <v>0</v>
          </cell>
          <cell r="DE370">
            <v>0</v>
          </cell>
          <cell r="DF370">
            <v>0</v>
          </cell>
          <cell r="DG370">
            <v>0</v>
          </cell>
        </row>
        <row r="371">
          <cell r="A371">
            <v>7103060</v>
          </cell>
          <cell r="B371">
            <v>7103060</v>
          </cell>
          <cell r="C371" t="str">
            <v>CIAC</v>
          </cell>
          <cell r="D371">
            <v>-270754.78999999998</v>
          </cell>
          <cell r="E371">
            <v>-58833.5</v>
          </cell>
          <cell r="F371">
            <v>-111585.79</v>
          </cell>
          <cell r="G371">
            <v>-65864.429999999993</v>
          </cell>
          <cell r="H371">
            <v>-101929.74</v>
          </cell>
          <cell r="I371">
            <v>-285989.12</v>
          </cell>
          <cell r="J371">
            <v>-77132.179999999993</v>
          </cell>
          <cell r="K371">
            <v>-302484.2</v>
          </cell>
          <cell r="L371">
            <v>-160011.57999999999</v>
          </cell>
          <cell r="M371">
            <v>-93278.36</v>
          </cell>
          <cell r="N371">
            <v>-51273.38</v>
          </cell>
          <cell r="O371">
            <v>-120860.81</v>
          </cell>
          <cell r="P371">
            <v>-44634.95</v>
          </cell>
          <cell r="Q371">
            <v>-44174.080000000002</v>
          </cell>
          <cell r="R371">
            <v>-66319.58</v>
          </cell>
          <cell r="S371">
            <v>-129770</v>
          </cell>
          <cell r="T371">
            <v>-440448.58</v>
          </cell>
          <cell r="U371">
            <v>-129743.83</v>
          </cell>
          <cell r="V371">
            <v>-93615.98</v>
          </cell>
          <cell r="W371">
            <v>-42785.96</v>
          </cell>
          <cell r="X371">
            <v>-205791.62</v>
          </cell>
          <cell r="Y371">
            <v>-45799.87</v>
          </cell>
          <cell r="Z371">
            <v>-66691.899999999994</v>
          </cell>
          <cell r="AA371">
            <v>-71751.929999999993</v>
          </cell>
          <cell r="AB371">
            <v>-61753.65</v>
          </cell>
          <cell r="AC371">
            <v>-83352.789999999994</v>
          </cell>
          <cell r="AD371">
            <v>-136948.20000000001</v>
          </cell>
          <cell r="AE371">
            <v>-99073.75</v>
          </cell>
          <cell r="AF371">
            <v>-102444.42</v>
          </cell>
          <cell r="AG371">
            <v>-107222.02</v>
          </cell>
          <cell r="AH371">
            <v>-213077.19</v>
          </cell>
          <cell r="AI371">
            <v>-368734.44</v>
          </cell>
          <cell r="AJ371">
            <v>-155970.64000000001</v>
          </cell>
          <cell r="AK371">
            <v>-83866.559999999998</v>
          </cell>
          <cell r="AL371">
            <v>-108594.95</v>
          </cell>
          <cell r="AM371">
            <v>-41147.9</v>
          </cell>
          <cell r="AN371">
            <v>-309832.71000000002</v>
          </cell>
          <cell r="AO371">
            <v>-51558.83</v>
          </cell>
          <cell r="AP371">
            <v>-53658.39</v>
          </cell>
          <cell r="AQ371">
            <v>-78958</v>
          </cell>
          <cell r="AR371">
            <v>-73038.48</v>
          </cell>
          <cell r="AS371">
            <v>-75122</v>
          </cell>
          <cell r="AT371">
            <v>-642807</v>
          </cell>
          <cell r="AU371">
            <v>-231492</v>
          </cell>
          <cell r="AV371">
            <v>-95223.57</v>
          </cell>
          <cell r="AW371">
            <v>-97515</v>
          </cell>
          <cell r="AX371">
            <v>-200589.02</v>
          </cell>
          <cell r="AY371">
            <v>-177959.82</v>
          </cell>
          <cell r="AZ371">
            <v>-139376.16</v>
          </cell>
          <cell r="BA371">
            <v>-254024.26</v>
          </cell>
          <cell r="BB371">
            <v>-102967</v>
          </cell>
          <cell r="BC371">
            <v>-285206.33</v>
          </cell>
          <cell r="BD371">
            <v>-252607.21</v>
          </cell>
          <cell r="BE371">
            <v>-447034.64</v>
          </cell>
          <cell r="BF371">
            <v>-299507.63</v>
          </cell>
          <cell r="BG371">
            <v>-276698</v>
          </cell>
          <cell r="BH371">
            <v>-128130.24000000001</v>
          </cell>
          <cell r="BI371">
            <v>-160897</v>
          </cell>
          <cell r="BJ371">
            <v>-157433.51</v>
          </cell>
          <cell r="BK371">
            <v>-129715</v>
          </cell>
          <cell r="BL371">
            <v>-166132.70000000001</v>
          </cell>
          <cell r="BM371">
            <v>-108010</v>
          </cell>
          <cell r="BN371">
            <v>-193619.97</v>
          </cell>
          <cell r="BO371">
            <v>-336297.62</v>
          </cell>
          <cell r="BP371">
            <v>-141740</v>
          </cell>
          <cell r="BQ371">
            <v>-203895.25</v>
          </cell>
          <cell r="BR371">
            <v>-198251</v>
          </cell>
          <cell r="BS371">
            <v>-206992.36</v>
          </cell>
          <cell r="BT371">
            <v>-936286.5</v>
          </cell>
          <cell r="BU371">
            <v>-940303.99</v>
          </cell>
          <cell r="BV371">
            <v>-115026</v>
          </cell>
          <cell r="BW371">
            <v>-172705</v>
          </cell>
          <cell r="BX371">
            <v>-316988.84000000003</v>
          </cell>
          <cell r="BY371">
            <v>-210792</v>
          </cell>
          <cell r="BZ371">
            <v>-195316</v>
          </cell>
          <cell r="CA371">
            <v>-1350723.03</v>
          </cell>
          <cell r="CB371">
            <v>-174389.9</v>
          </cell>
          <cell r="CC371">
            <v>-289571</v>
          </cell>
          <cell r="CD371">
            <v>-217697.67</v>
          </cell>
          <cell r="CE371">
            <v>-189226</v>
          </cell>
          <cell r="CF371">
            <v>-140836.01999999999</v>
          </cell>
          <cell r="CG371">
            <v>-205667.64</v>
          </cell>
          <cell r="CH371">
            <v>-86848.28</v>
          </cell>
          <cell r="CI371">
            <v>-345711.35</v>
          </cell>
          <cell r="CJ371">
            <v>-393051.22</v>
          </cell>
          <cell r="CK371">
            <v>-273838.42</v>
          </cell>
          <cell r="CL371">
            <v>-360495.78</v>
          </cell>
          <cell r="CM371">
            <v>-149016.44</v>
          </cell>
          <cell r="CN371">
            <v>-185667.12</v>
          </cell>
          <cell r="CO371">
            <v>-271149.36</v>
          </cell>
          <cell r="CP371">
            <v>-235614.73</v>
          </cell>
          <cell r="CQ371">
            <v>-141267.48000000001</v>
          </cell>
          <cell r="CR371">
            <v>-172253.82</v>
          </cell>
          <cell r="CS371">
            <v>-215619.49</v>
          </cell>
          <cell r="CT371">
            <v>-136982.68</v>
          </cell>
          <cell r="CU371">
            <v>-105536.6</v>
          </cell>
          <cell r="CV371">
            <v>-276097</v>
          </cell>
          <cell r="CW371">
            <v>-376941.27</v>
          </cell>
          <cell r="CX371">
            <v>-115855.81</v>
          </cell>
          <cell r="CY371">
            <v>-127558.2</v>
          </cell>
          <cell r="CZ371">
            <v>-390082.55</v>
          </cell>
          <cell r="DA371">
            <v>-236282.2</v>
          </cell>
          <cell r="DB371">
            <v>-184926.96</v>
          </cell>
          <cell r="DC371">
            <v>-237647.44</v>
          </cell>
          <cell r="DD371">
            <v>-146211.6</v>
          </cell>
          <cell r="DE371">
            <v>-334931</v>
          </cell>
          <cell r="DF371">
            <v>-416143.81</v>
          </cell>
          <cell r="DG371">
            <v>-674399.04</v>
          </cell>
        </row>
        <row r="372">
          <cell r="A372">
            <v>7103070</v>
          </cell>
          <cell r="B372">
            <v>7103070</v>
          </cell>
          <cell r="C372" t="str">
            <v>MSEA/MEP Credits</v>
          </cell>
          <cell r="D372">
            <v>-94992.960000000006</v>
          </cell>
          <cell r="E372">
            <v>-127227.25</v>
          </cell>
          <cell r="F372">
            <v>-78594.31</v>
          </cell>
          <cell r="G372">
            <v>-73169.84</v>
          </cell>
          <cell r="H372">
            <v>-55505.19</v>
          </cell>
          <cell r="I372">
            <v>-48094.65</v>
          </cell>
          <cell r="J372">
            <v>-45389.69</v>
          </cell>
          <cell r="K372">
            <v>-42434.19</v>
          </cell>
          <cell r="L372">
            <v>-43794.04</v>
          </cell>
          <cell r="M372">
            <v>-45902.82</v>
          </cell>
          <cell r="N372">
            <v>-57947.89</v>
          </cell>
          <cell r="O372">
            <v>-73909.31</v>
          </cell>
          <cell r="P372">
            <v>-99204.99</v>
          </cell>
          <cell r="Q372">
            <v>-113440.53</v>
          </cell>
          <cell r="R372">
            <v>-110512.3</v>
          </cell>
          <cell r="S372">
            <v>-69132.14</v>
          </cell>
          <cell r="T372">
            <v>-50133.78</v>
          </cell>
          <cell r="U372">
            <v>-48733.43</v>
          </cell>
          <cell r="V372">
            <v>-45138.48</v>
          </cell>
          <cell r="W372">
            <v>-32977.21</v>
          </cell>
          <cell r="X372">
            <v>-32480.99</v>
          </cell>
          <cell r="Y372">
            <v>-33478.400000000001</v>
          </cell>
          <cell r="Z372">
            <v>-38216.800000000003</v>
          </cell>
          <cell r="AA372">
            <v>-39015.82</v>
          </cell>
          <cell r="AB372">
            <v>-45866.38</v>
          </cell>
          <cell r="AC372">
            <v>-48611.49</v>
          </cell>
          <cell r="AD372">
            <v>-30605.62</v>
          </cell>
          <cell r="AE372">
            <v>-25992.12</v>
          </cell>
          <cell r="AF372">
            <v>-22974.99</v>
          </cell>
          <cell r="AG372">
            <v>-20031.09</v>
          </cell>
          <cell r="AH372">
            <v>-17495.59</v>
          </cell>
          <cell r="AI372">
            <v>-17151.560000000001</v>
          </cell>
          <cell r="AJ372">
            <v>-400.62</v>
          </cell>
          <cell r="AK372">
            <v>-611.04999999999995</v>
          </cell>
          <cell r="AL372">
            <v>-782.39</v>
          </cell>
          <cell r="AM372">
            <v>-901.81</v>
          </cell>
          <cell r="AN372">
            <v>-1053.8499999999999</v>
          </cell>
          <cell r="AO372">
            <v>-1087.5</v>
          </cell>
          <cell r="AP372">
            <v>-1211.8499999999999</v>
          </cell>
          <cell r="AQ372">
            <v>-1303.5999999999999</v>
          </cell>
          <cell r="AR372">
            <v>-1534.05</v>
          </cell>
          <cell r="AS372">
            <v>-1701.1</v>
          </cell>
          <cell r="AT372">
            <v>-1800.45</v>
          </cell>
          <cell r="AU372">
            <v>-1855.5</v>
          </cell>
          <cell r="AV372">
            <v>-2018.25</v>
          </cell>
          <cell r="AW372">
            <v>-2007.55</v>
          </cell>
          <cell r="AX372">
            <v>-2291.1</v>
          </cell>
          <cell r="AY372">
            <v>-2593.25</v>
          </cell>
          <cell r="AZ372">
            <v>-3024.45</v>
          </cell>
          <cell r="BA372">
            <v>-2945.5</v>
          </cell>
          <cell r="BB372">
            <v>-3133.45</v>
          </cell>
          <cell r="BC372">
            <v>-3236.05</v>
          </cell>
          <cell r="BD372">
            <v>-3408.05</v>
          </cell>
          <cell r="BE372">
            <v>-3446.7</v>
          </cell>
          <cell r="BF372">
            <v>-3618.5</v>
          </cell>
          <cell r="BG372">
            <v>-3723.05</v>
          </cell>
          <cell r="BH372">
            <v>-3956</v>
          </cell>
          <cell r="BI372">
            <v>-4317.45</v>
          </cell>
          <cell r="BJ372">
            <v>-4440.95</v>
          </cell>
          <cell r="BK372">
            <v>-4727.1499999999996</v>
          </cell>
          <cell r="BL372">
            <v>-4821.3999999999996</v>
          </cell>
          <cell r="BM372">
            <v>-4944.3999999999996</v>
          </cell>
          <cell r="BN372">
            <v>-5100</v>
          </cell>
          <cell r="BO372">
            <v>-5189.3999999999996</v>
          </cell>
          <cell r="BP372">
            <v>-5389.45</v>
          </cell>
          <cell r="BQ372">
            <v>-5508.25</v>
          </cell>
          <cell r="BR372">
            <v>-5661.25</v>
          </cell>
          <cell r="BS372">
            <v>-5666.55</v>
          </cell>
          <cell r="BT372">
            <v>-5882.6</v>
          </cell>
          <cell r="BU372">
            <v>-5919.95</v>
          </cell>
          <cell r="BV372">
            <v>-6109.45</v>
          </cell>
          <cell r="BW372">
            <v>-6298.35</v>
          </cell>
          <cell r="BX372">
            <v>-6492.1</v>
          </cell>
          <cell r="BY372">
            <v>-6629.2</v>
          </cell>
          <cell r="BZ372">
            <v>-6776.5</v>
          </cell>
          <cell r="CA372">
            <v>-6904.9</v>
          </cell>
          <cell r="CB372">
            <v>-7114.75</v>
          </cell>
          <cell r="CC372">
            <v>-7208.1</v>
          </cell>
          <cell r="CD372">
            <v>-7324.4</v>
          </cell>
          <cell r="CE372">
            <v>-7429.65</v>
          </cell>
          <cell r="CF372">
            <v>-7436.45</v>
          </cell>
          <cell r="CG372">
            <v>-7729</v>
          </cell>
          <cell r="CH372">
            <v>-7893</v>
          </cell>
          <cell r="CI372">
            <v>-7944.9</v>
          </cell>
          <cell r="CJ372">
            <v>-8081.1</v>
          </cell>
          <cell r="CK372">
            <v>-8228.0499999999993</v>
          </cell>
          <cell r="CL372">
            <v>-8416</v>
          </cell>
          <cell r="CM372">
            <v>-8448.9500000000007</v>
          </cell>
          <cell r="CN372">
            <v>-8554.1</v>
          </cell>
          <cell r="CO372">
            <v>-8642.75</v>
          </cell>
          <cell r="CP372">
            <v>-8679.5</v>
          </cell>
          <cell r="CQ372">
            <v>-8830.7999999999993</v>
          </cell>
          <cell r="CR372">
            <v>-8981.75</v>
          </cell>
          <cell r="CS372">
            <v>-9018.7999999999993</v>
          </cell>
          <cell r="CT372">
            <v>-9087.25</v>
          </cell>
          <cell r="CU372">
            <v>-9116.6</v>
          </cell>
          <cell r="CV372">
            <v>-9209.6</v>
          </cell>
          <cell r="CW372">
            <v>-9262.15</v>
          </cell>
          <cell r="CX372">
            <v>-9401.2000000000007</v>
          </cell>
          <cell r="CY372">
            <v>-9441.6</v>
          </cell>
          <cell r="CZ372">
            <v>-9573.75</v>
          </cell>
          <cell r="DA372">
            <v>-9540.7999999999993</v>
          </cell>
          <cell r="DB372">
            <v>-9662</v>
          </cell>
          <cell r="DC372">
            <v>-9687.7000000000007</v>
          </cell>
          <cell r="DD372">
            <v>-9773.1</v>
          </cell>
          <cell r="DE372">
            <v>-9855.9</v>
          </cell>
          <cell r="DF372">
            <v>-9881.2000000000007</v>
          </cell>
          <cell r="DG372">
            <v>-9900.9</v>
          </cell>
        </row>
        <row r="373">
          <cell r="A373">
            <v>7109000</v>
          </cell>
          <cell r="B373">
            <v>7109000</v>
          </cell>
          <cell r="C373" t="str">
            <v>Oth Inc to BalSheet</v>
          </cell>
          <cell r="D373">
            <v>365747.75</v>
          </cell>
          <cell r="E373">
            <v>186060.75</v>
          </cell>
          <cell r="F373">
            <v>194991.42</v>
          </cell>
          <cell r="G373">
            <v>129909.27</v>
          </cell>
          <cell r="H373">
            <v>157434.93</v>
          </cell>
          <cell r="I373">
            <v>334083.77</v>
          </cell>
          <cell r="J373">
            <v>122521.87</v>
          </cell>
          <cell r="K373">
            <v>344918.39</v>
          </cell>
          <cell r="L373">
            <v>203805.62</v>
          </cell>
          <cell r="M373">
            <v>138188.42000000001</v>
          </cell>
          <cell r="N373">
            <v>109221.27</v>
          </cell>
          <cell r="O373">
            <v>194020.12</v>
          </cell>
          <cell r="P373">
            <v>142057.94</v>
          </cell>
          <cell r="Q373">
            <v>157556.60999999999</v>
          </cell>
          <cell r="R373">
            <v>176671.88</v>
          </cell>
          <cell r="S373">
            <v>197644.14</v>
          </cell>
          <cell r="T373">
            <v>489532.36</v>
          </cell>
          <cell r="U373">
            <v>172247.43</v>
          </cell>
          <cell r="V373">
            <v>134344.85999999999</v>
          </cell>
          <cell r="W373">
            <v>75763.17</v>
          </cell>
          <cell r="X373">
            <v>237822.61</v>
          </cell>
          <cell r="Y373">
            <v>78429.440000000002</v>
          </cell>
          <cell r="Z373">
            <v>104908.7</v>
          </cell>
          <cell r="AA373">
            <v>110767.75</v>
          </cell>
          <cell r="AB373">
            <v>107620.03</v>
          </cell>
          <cell r="AC373">
            <v>131964.28</v>
          </cell>
          <cell r="AD373">
            <v>165553.82</v>
          </cell>
          <cell r="AE373">
            <v>125065.87</v>
          </cell>
          <cell r="AF373">
            <v>125419.41</v>
          </cell>
          <cell r="AG373">
            <v>127253.11</v>
          </cell>
          <cell r="AH373">
            <v>225681.78</v>
          </cell>
          <cell r="AI373">
            <v>385886</v>
          </cell>
          <cell r="AJ373">
            <v>156371.26</v>
          </cell>
          <cell r="AK373">
            <v>84477.61</v>
          </cell>
          <cell r="AL373">
            <v>109377.34</v>
          </cell>
          <cell r="AM373">
            <v>42049.71</v>
          </cell>
          <cell r="AN373">
            <v>251595.56</v>
          </cell>
          <cell r="AO373">
            <v>52640.18</v>
          </cell>
          <cell r="AP373">
            <v>53658.39</v>
          </cell>
          <cell r="AQ373">
            <v>78958</v>
          </cell>
          <cell r="AR373">
            <v>70748.759999999995</v>
          </cell>
          <cell r="AS373">
            <v>71206.05</v>
          </cell>
          <cell r="AT373">
            <v>644404.6</v>
          </cell>
          <cell r="AU373">
            <v>233373.45</v>
          </cell>
          <cell r="AV373">
            <v>96894.57</v>
          </cell>
          <cell r="AW373">
            <v>99695.25</v>
          </cell>
          <cell r="AX373">
            <v>202571.27</v>
          </cell>
          <cell r="AY373">
            <v>179501.92</v>
          </cell>
          <cell r="AZ373">
            <v>141969.41</v>
          </cell>
          <cell r="BA373">
            <v>235898.01</v>
          </cell>
          <cell r="BB373">
            <v>105671.8</v>
          </cell>
          <cell r="BC373">
            <v>288339.78000000003</v>
          </cell>
          <cell r="BD373">
            <v>255843.26</v>
          </cell>
          <cell r="BE373">
            <v>446104.69</v>
          </cell>
          <cell r="BF373">
            <v>302954.33</v>
          </cell>
          <cell r="BG373">
            <v>280316.5</v>
          </cell>
          <cell r="BH373">
            <v>128713.05</v>
          </cell>
          <cell r="BI373">
            <v>164853</v>
          </cell>
          <cell r="BJ373">
            <v>161750.96</v>
          </cell>
          <cell r="BK373">
            <v>134155.95000000001</v>
          </cell>
          <cell r="BL373">
            <v>170859.85</v>
          </cell>
          <cell r="BM373">
            <v>112831.4</v>
          </cell>
          <cell r="BN373">
            <v>198564.37</v>
          </cell>
          <cell r="BO373">
            <v>339498.64</v>
          </cell>
          <cell r="BP373">
            <v>146929.4</v>
          </cell>
          <cell r="BQ373">
            <v>208884.7</v>
          </cell>
          <cell r="BR373">
            <v>203759.25</v>
          </cell>
          <cell r="BS373">
            <v>212403.61</v>
          </cell>
          <cell r="BT373">
            <v>941953.05</v>
          </cell>
          <cell r="BU373">
            <v>945636.59</v>
          </cell>
          <cell r="BV373">
            <v>120945.95</v>
          </cell>
          <cell r="BW373">
            <v>-297708.95</v>
          </cell>
          <cell r="BX373">
            <v>201287.05</v>
          </cell>
          <cell r="BY373">
            <v>57215.9</v>
          </cell>
          <cell r="BZ373">
            <v>14906.11</v>
          </cell>
          <cell r="CA373">
            <v>1144687.67</v>
          </cell>
          <cell r="CB373">
            <v>-76741.63</v>
          </cell>
          <cell r="CC373">
            <v>224.54</v>
          </cell>
          <cell r="CD373">
            <v>-92526.44</v>
          </cell>
          <cell r="CE373">
            <v>-157657.60000000001</v>
          </cell>
          <cell r="CF373">
            <v>-248155.06</v>
          </cell>
          <cell r="CG373">
            <v>-101499.08</v>
          </cell>
          <cell r="CH373">
            <v>-136812.59</v>
          </cell>
          <cell r="CI373">
            <v>85705.02</v>
          </cell>
          <cell r="CJ373">
            <v>96238.33</v>
          </cell>
          <cell r="CK373">
            <v>-88674.33</v>
          </cell>
          <cell r="CL373">
            <v>-21223.34</v>
          </cell>
          <cell r="CM373">
            <v>-168809.62</v>
          </cell>
          <cell r="CN373">
            <v>-27799.51</v>
          </cell>
          <cell r="CO373">
            <v>49378.29</v>
          </cell>
          <cell r="CP373">
            <v>-5200.67</v>
          </cell>
          <cell r="CQ373">
            <v>-140116.07999999999</v>
          </cell>
          <cell r="CR373">
            <v>-127423.06</v>
          </cell>
          <cell r="CS373">
            <v>-105706.1</v>
          </cell>
          <cell r="CT373">
            <v>23682.16</v>
          </cell>
          <cell r="CU373">
            <v>-49093.37</v>
          </cell>
          <cell r="CV373">
            <v>104586.4</v>
          </cell>
          <cell r="CW373">
            <v>183919.19</v>
          </cell>
          <cell r="CX373">
            <v>-90056.9</v>
          </cell>
          <cell r="CY373">
            <v>-99707.4</v>
          </cell>
          <cell r="CZ373">
            <v>133966.79999999999</v>
          </cell>
          <cell r="DA373">
            <v>-46928.94</v>
          </cell>
          <cell r="DB373">
            <v>-131761.32</v>
          </cell>
          <cell r="DC373">
            <v>-104832.31</v>
          </cell>
          <cell r="DD373">
            <v>-214408.56</v>
          </cell>
          <cell r="DE373">
            <v>177057.94</v>
          </cell>
          <cell r="DF373">
            <v>180107.58</v>
          </cell>
          <cell r="DG373">
            <v>417918.71999999997</v>
          </cell>
        </row>
        <row r="374">
          <cell r="A374">
            <v>7201000</v>
          </cell>
          <cell r="B374">
            <v>7201000</v>
          </cell>
          <cell r="C374" t="str">
            <v>Loss Sale Util Prop</v>
          </cell>
          <cell r="D374"/>
          <cell r="E374"/>
          <cell r="F374"/>
          <cell r="G374"/>
          <cell r="H374"/>
          <cell r="I374"/>
          <cell r="J374"/>
          <cell r="K374"/>
          <cell r="L374"/>
          <cell r="M374"/>
          <cell r="N374"/>
          <cell r="O374"/>
          <cell r="P374"/>
          <cell r="Q374"/>
          <cell r="R374"/>
          <cell r="S374"/>
          <cell r="T374"/>
          <cell r="U374"/>
          <cell r="V374"/>
          <cell r="W374"/>
          <cell r="X374"/>
          <cell r="Y374"/>
          <cell r="Z374"/>
          <cell r="AA374"/>
          <cell r="AB374"/>
          <cell r="AC374"/>
          <cell r="AD374"/>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cell r="AX374"/>
          <cell r="AY374"/>
          <cell r="AZ374"/>
          <cell r="BA374"/>
          <cell r="BB374"/>
          <cell r="BC374"/>
          <cell r="BD374"/>
          <cell r="BE374"/>
          <cell r="BF374"/>
          <cell r="BG374"/>
          <cell r="BH374"/>
          <cell r="BI374"/>
          <cell r="BJ374"/>
          <cell r="BK374"/>
          <cell r="BL374"/>
          <cell r="BM374"/>
          <cell r="BN374"/>
          <cell r="BO374"/>
          <cell r="BP374"/>
          <cell r="BQ374"/>
          <cell r="BR374"/>
          <cell r="BS374"/>
          <cell r="BT374"/>
          <cell r="BU374"/>
          <cell r="BV374"/>
          <cell r="BW374"/>
          <cell r="BX374">
            <v>0</v>
          </cell>
          <cell r="BY374">
            <v>0</v>
          </cell>
          <cell r="BZ374">
            <v>5165.29</v>
          </cell>
          <cell r="CA374">
            <v>5165.29</v>
          </cell>
          <cell r="CB374">
            <v>5165.29</v>
          </cell>
          <cell r="CC374">
            <v>5165.29</v>
          </cell>
          <cell r="CD374">
            <v>5165.29</v>
          </cell>
          <cell r="CE374">
            <v>5165.29</v>
          </cell>
          <cell r="CF374">
            <v>5165.29</v>
          </cell>
          <cell r="CG374">
            <v>5165.29</v>
          </cell>
          <cell r="CH374">
            <v>5165.29</v>
          </cell>
          <cell r="CI374">
            <v>5165.29</v>
          </cell>
          <cell r="CJ374">
            <v>5165.29</v>
          </cell>
          <cell r="CK374">
            <v>5165.29</v>
          </cell>
          <cell r="CL374">
            <v>5165.29</v>
          </cell>
          <cell r="CM374">
            <v>5165.29</v>
          </cell>
          <cell r="CN374">
            <v>5165.29</v>
          </cell>
          <cell r="CO374">
            <v>5165.29</v>
          </cell>
          <cell r="CP374">
            <v>5165.29</v>
          </cell>
          <cell r="CQ374">
            <v>5165.29</v>
          </cell>
          <cell r="CR374">
            <v>5165.29</v>
          </cell>
          <cell r="CS374">
            <v>5165.29</v>
          </cell>
          <cell r="CT374">
            <v>5165.29</v>
          </cell>
          <cell r="CU374">
            <v>5165.29</v>
          </cell>
          <cell r="CV374">
            <v>5165.29</v>
          </cell>
          <cell r="CW374">
            <v>5165.29</v>
          </cell>
          <cell r="CX374">
            <v>5165.29</v>
          </cell>
          <cell r="CY374">
            <v>5165.29</v>
          </cell>
          <cell r="CZ374">
            <v>5165.29</v>
          </cell>
          <cell r="DA374">
            <v>5165.29</v>
          </cell>
          <cell r="DB374">
            <v>5165.29</v>
          </cell>
          <cell r="DC374">
            <v>5165.29</v>
          </cell>
          <cell r="DD374">
            <v>5165.29</v>
          </cell>
          <cell r="DE374">
            <v>5165.29</v>
          </cell>
          <cell r="DF374">
            <v>5165.29</v>
          </cell>
          <cell r="DG374">
            <v>5165.29</v>
          </cell>
        </row>
        <row r="375">
          <cell r="A375">
            <v>7202000</v>
          </cell>
          <cell r="B375">
            <v>7202000</v>
          </cell>
          <cell r="C375" t="str">
            <v>CurrAdj Real Loss</v>
          </cell>
          <cell r="D375">
            <v>0</v>
          </cell>
          <cell r="E375">
            <v>8541.2999999999993</v>
          </cell>
          <cell r="F375">
            <v>18661</v>
          </cell>
          <cell r="G375">
            <v>0</v>
          </cell>
          <cell r="H375">
            <v>2415</v>
          </cell>
          <cell r="I375">
            <v>0</v>
          </cell>
          <cell r="J375">
            <v>0</v>
          </cell>
          <cell r="K375">
            <v>3050.12</v>
          </cell>
          <cell r="L375">
            <v>0</v>
          </cell>
          <cell r="M375">
            <v>0</v>
          </cell>
          <cell r="N375">
            <v>0</v>
          </cell>
          <cell r="O375">
            <v>0</v>
          </cell>
          <cell r="P375">
            <v>0</v>
          </cell>
          <cell r="Q375">
            <v>0</v>
          </cell>
          <cell r="R375">
            <v>0</v>
          </cell>
          <cell r="S375">
            <v>0</v>
          </cell>
          <cell r="T375">
            <v>0</v>
          </cell>
          <cell r="U375">
            <v>0</v>
          </cell>
          <cell r="V375">
            <v>0</v>
          </cell>
          <cell r="W375">
            <v>3328.88</v>
          </cell>
          <cell r="X375">
            <v>0</v>
          </cell>
          <cell r="Y375">
            <v>0</v>
          </cell>
          <cell r="Z375">
            <v>0</v>
          </cell>
          <cell r="AA375">
            <v>0</v>
          </cell>
          <cell r="AB375">
            <v>0</v>
          </cell>
          <cell r="AC375">
            <v>0</v>
          </cell>
          <cell r="AD375">
            <v>0</v>
          </cell>
          <cell r="AE375">
            <v>0</v>
          </cell>
          <cell r="AF375">
            <v>0</v>
          </cell>
          <cell r="AG375">
            <v>0</v>
          </cell>
          <cell r="AH375">
            <v>0</v>
          </cell>
          <cell r="AI375">
            <v>4428.75</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21.58</v>
          </cell>
          <cell r="AY375">
            <v>0</v>
          </cell>
          <cell r="AZ375">
            <v>0</v>
          </cell>
          <cell r="BA375">
            <v>0</v>
          </cell>
          <cell r="BB375">
            <v>0</v>
          </cell>
          <cell r="BC375">
            <v>183.42</v>
          </cell>
          <cell r="BD375">
            <v>39.76</v>
          </cell>
          <cell r="BE375">
            <v>0</v>
          </cell>
          <cell r="BF375">
            <v>243.13</v>
          </cell>
          <cell r="BG375">
            <v>176.27</v>
          </cell>
          <cell r="BH375">
            <v>1822.35</v>
          </cell>
          <cell r="BI375">
            <v>97.1</v>
          </cell>
          <cell r="BJ375">
            <v>22.08</v>
          </cell>
          <cell r="BK375">
            <v>0</v>
          </cell>
          <cell r="BL375">
            <v>300.82</v>
          </cell>
          <cell r="BM375">
            <v>774.74</v>
          </cell>
          <cell r="BN375">
            <v>575.51</v>
          </cell>
          <cell r="BO375">
            <v>496.56</v>
          </cell>
          <cell r="BP375">
            <v>796.26</v>
          </cell>
          <cell r="BQ375">
            <v>7469.41</v>
          </cell>
          <cell r="BR375">
            <v>0</v>
          </cell>
          <cell r="BS375">
            <v>0</v>
          </cell>
          <cell r="BT375">
            <v>1544.34</v>
          </cell>
          <cell r="BU375">
            <v>3861.69</v>
          </cell>
          <cell r="BV375">
            <v>883.12</v>
          </cell>
          <cell r="BW375">
            <v>1900.04</v>
          </cell>
          <cell r="BX375">
            <v>0</v>
          </cell>
          <cell r="BY375">
            <v>0</v>
          </cell>
          <cell r="BZ375">
            <v>0</v>
          </cell>
          <cell r="CA375">
            <v>0</v>
          </cell>
          <cell r="CB375">
            <v>2111.63</v>
          </cell>
          <cell r="CC375">
            <v>7747.55</v>
          </cell>
          <cell r="CD375">
            <v>3047.85</v>
          </cell>
          <cell r="CE375">
            <v>174.3</v>
          </cell>
          <cell r="CF375">
            <v>1087.82</v>
          </cell>
          <cell r="CG375">
            <v>3263.67</v>
          </cell>
          <cell r="CH375">
            <v>3223.46</v>
          </cell>
          <cell r="CI375">
            <v>4428.6000000000004</v>
          </cell>
          <cell r="CJ375">
            <v>5719.85</v>
          </cell>
          <cell r="CK375">
            <v>7798.65</v>
          </cell>
          <cell r="CL375">
            <v>3694.92</v>
          </cell>
          <cell r="CM375">
            <v>7769.99</v>
          </cell>
          <cell r="CN375">
            <v>8949.24</v>
          </cell>
          <cell r="CO375">
            <v>3663.96</v>
          </cell>
          <cell r="CP375">
            <v>0</v>
          </cell>
          <cell r="CQ375">
            <v>1429.11</v>
          </cell>
          <cell r="CR375">
            <v>1757.39</v>
          </cell>
          <cell r="CS375">
            <v>10398.459999999999</v>
          </cell>
          <cell r="CT375">
            <v>0</v>
          </cell>
          <cell r="CU375">
            <v>0</v>
          </cell>
          <cell r="CV375">
            <v>5492.82</v>
          </cell>
          <cell r="CW375">
            <v>310.52</v>
          </cell>
          <cell r="CX375">
            <v>4013.74</v>
          </cell>
          <cell r="CY375">
            <v>522.46</v>
          </cell>
          <cell r="CZ375">
            <v>3311.64</v>
          </cell>
          <cell r="DA375">
            <v>3993.23</v>
          </cell>
          <cell r="DB375">
            <v>2661.62</v>
          </cell>
          <cell r="DC375">
            <v>1855.67</v>
          </cell>
          <cell r="DD375">
            <v>0</v>
          </cell>
          <cell r="DE375">
            <v>0</v>
          </cell>
          <cell r="DF375">
            <v>3686.94</v>
          </cell>
          <cell r="DG375">
            <v>172.05</v>
          </cell>
        </row>
        <row r="376">
          <cell r="A376">
            <v>7202100</v>
          </cell>
          <cell r="B376">
            <v>7202100</v>
          </cell>
          <cell r="C376" t="str">
            <v>CurrAdj Unreal Loss</v>
          </cell>
          <cell r="D376"/>
          <cell r="E376"/>
          <cell r="F376"/>
          <cell r="G376"/>
          <cell r="H376"/>
          <cell r="I376"/>
          <cell r="J376"/>
          <cell r="K376"/>
          <cell r="L376"/>
          <cell r="M376"/>
          <cell r="N376"/>
          <cell r="O376"/>
          <cell r="P376"/>
          <cell r="Q376"/>
          <cell r="R376"/>
          <cell r="S376"/>
          <cell r="T376"/>
          <cell r="U376"/>
          <cell r="V376"/>
          <cell r="W376"/>
          <cell r="X376"/>
          <cell r="Y376"/>
          <cell r="Z376"/>
          <cell r="AA376"/>
          <cell r="AB376"/>
          <cell r="AC376"/>
          <cell r="AD376"/>
          <cell r="AE376"/>
          <cell r="AF376"/>
          <cell r="AG376"/>
          <cell r="AH376"/>
          <cell r="AI376"/>
          <cell r="AJ376"/>
          <cell r="AK376"/>
          <cell r="AL376"/>
          <cell r="AM376"/>
          <cell r="AN376"/>
          <cell r="AO376"/>
          <cell r="AP376"/>
          <cell r="AQ376"/>
          <cell r="AR376"/>
          <cell r="AS376"/>
          <cell r="AT376"/>
          <cell r="AU376"/>
          <cell r="AV376"/>
          <cell r="AW376"/>
          <cell r="AX376"/>
          <cell r="AY376"/>
          <cell r="AZ376">
            <v>322.72000000000003</v>
          </cell>
          <cell r="BA376">
            <v>-247.08</v>
          </cell>
          <cell r="BB376">
            <v>-60.48</v>
          </cell>
          <cell r="BC376">
            <v>-15.16</v>
          </cell>
          <cell r="BD376">
            <v>0</v>
          </cell>
          <cell r="BE376">
            <v>0</v>
          </cell>
          <cell r="BF376">
            <v>437.79</v>
          </cell>
          <cell r="BG376">
            <v>417.77</v>
          </cell>
          <cell r="BH376">
            <v>-131.16999999999999</v>
          </cell>
          <cell r="BI376">
            <v>2330.69</v>
          </cell>
          <cell r="BJ376">
            <v>1855.65</v>
          </cell>
          <cell r="BK376">
            <v>3833.85</v>
          </cell>
          <cell r="BL376">
            <v>2272.7199999999998</v>
          </cell>
          <cell r="BM376">
            <v>421.34</v>
          </cell>
          <cell r="BN376">
            <v>3661.16</v>
          </cell>
          <cell r="BO376">
            <v>-1500.92</v>
          </cell>
          <cell r="BP376">
            <v>1944.39</v>
          </cell>
          <cell r="BQ376">
            <v>-14438.81</v>
          </cell>
          <cell r="BR376">
            <v>674.95</v>
          </cell>
          <cell r="BS376">
            <v>-1987.58</v>
          </cell>
          <cell r="BT376">
            <v>-86.69</v>
          </cell>
          <cell r="BU376">
            <v>138.49</v>
          </cell>
          <cell r="BV376">
            <v>-138.49</v>
          </cell>
          <cell r="BW376">
            <v>1433.05</v>
          </cell>
          <cell r="BX376">
            <v>1716.41</v>
          </cell>
          <cell r="BY376">
            <v>1328.04</v>
          </cell>
          <cell r="BZ376">
            <v>-4447.1899999999996</v>
          </cell>
          <cell r="CA376">
            <v>204.78</v>
          </cell>
          <cell r="CB376">
            <v>2099.34</v>
          </cell>
          <cell r="CC376">
            <v>-2334.4299999999998</v>
          </cell>
          <cell r="CD376">
            <v>377.35</v>
          </cell>
          <cell r="CE376">
            <v>792.51</v>
          </cell>
          <cell r="CF376">
            <v>-1161.9100000000001</v>
          </cell>
          <cell r="CG376">
            <v>0</v>
          </cell>
          <cell r="CH376">
            <v>948.44</v>
          </cell>
          <cell r="CI376">
            <v>519.5</v>
          </cell>
          <cell r="CJ376">
            <v>-1467.94</v>
          </cell>
          <cell r="CK376">
            <v>139.77000000000001</v>
          </cell>
          <cell r="CL376">
            <v>-139.77000000000001</v>
          </cell>
          <cell r="CM376">
            <v>2894.78</v>
          </cell>
          <cell r="CN376">
            <v>-2004.23</v>
          </cell>
          <cell r="CO376">
            <v>-890.55</v>
          </cell>
          <cell r="CP376">
            <v>561.66999999999996</v>
          </cell>
          <cell r="CQ376">
            <v>-561.66999999999996</v>
          </cell>
          <cell r="CR376">
            <v>0</v>
          </cell>
          <cell r="CS376">
            <v>464.63</v>
          </cell>
          <cell r="CT376">
            <v>-464.63</v>
          </cell>
          <cell r="CU376">
            <v>2039.9</v>
          </cell>
          <cell r="CV376">
            <v>-2039.9</v>
          </cell>
          <cell r="CW376">
            <v>165.54</v>
          </cell>
          <cell r="CX376">
            <v>3093.02</v>
          </cell>
          <cell r="CY376">
            <v>-3258.56</v>
          </cell>
          <cell r="CZ376">
            <v>2389.62</v>
          </cell>
          <cell r="DA376">
            <v>-2389.62</v>
          </cell>
          <cell r="DB376">
            <v>1619.85</v>
          </cell>
          <cell r="DC376">
            <v>-1619.85</v>
          </cell>
          <cell r="DD376">
            <v>0</v>
          </cell>
          <cell r="DE376">
            <v>636.33000000000004</v>
          </cell>
          <cell r="DF376">
            <v>-636.33000000000004</v>
          </cell>
          <cell r="DG376">
            <v>941.38</v>
          </cell>
        </row>
        <row r="377">
          <cell r="A377">
            <v>7203020</v>
          </cell>
          <cell r="B377">
            <v>7203020</v>
          </cell>
          <cell r="C377" t="str">
            <v>Jobbing Expense</v>
          </cell>
          <cell r="D377">
            <v>1940</v>
          </cell>
          <cell r="E377">
            <v>-17953</v>
          </cell>
          <cell r="F377">
            <v>10400</v>
          </cell>
          <cell r="G377">
            <v>6500</v>
          </cell>
          <cell r="H377">
            <v>6600</v>
          </cell>
          <cell r="I377">
            <v>7410.6</v>
          </cell>
          <cell r="J377">
            <v>8020</v>
          </cell>
          <cell r="K377">
            <v>200</v>
          </cell>
          <cell r="L377">
            <v>0</v>
          </cell>
          <cell r="M377">
            <v>0</v>
          </cell>
          <cell r="N377">
            <v>0</v>
          </cell>
          <cell r="O377">
            <v>123735</v>
          </cell>
          <cell r="P377">
            <v>0</v>
          </cell>
          <cell r="Q377">
            <v>0</v>
          </cell>
          <cell r="R377">
            <v>0</v>
          </cell>
          <cell r="S377">
            <v>0</v>
          </cell>
          <cell r="T377">
            <v>0</v>
          </cell>
          <cell r="U377">
            <v>3800</v>
          </cell>
          <cell r="V377">
            <v>0</v>
          </cell>
          <cell r="W377">
            <v>0</v>
          </cell>
          <cell r="X377">
            <v>0</v>
          </cell>
          <cell r="Y377">
            <v>-3805</v>
          </cell>
          <cell r="Z377">
            <v>4500</v>
          </cell>
          <cell r="AA377">
            <v>106139</v>
          </cell>
          <cell r="AB377">
            <v>0</v>
          </cell>
          <cell r="AC377">
            <v>0</v>
          </cell>
          <cell r="AD377">
            <v>0</v>
          </cell>
          <cell r="AE377">
            <v>-1678.52</v>
          </cell>
          <cell r="AF377">
            <v>0</v>
          </cell>
          <cell r="AG377">
            <v>0</v>
          </cell>
          <cell r="AH377">
            <v>0</v>
          </cell>
          <cell r="AI377">
            <v>0</v>
          </cell>
          <cell r="AJ377">
            <v>0</v>
          </cell>
          <cell r="AK377">
            <v>0</v>
          </cell>
          <cell r="AL377">
            <v>0</v>
          </cell>
          <cell r="AM377">
            <v>13620</v>
          </cell>
          <cell r="AN377">
            <v>0</v>
          </cell>
          <cell r="AO377">
            <v>0</v>
          </cell>
          <cell r="AP377">
            <v>0</v>
          </cell>
          <cell r="AQ377">
            <v>0</v>
          </cell>
          <cell r="AR377">
            <v>0</v>
          </cell>
          <cell r="AS377">
            <v>0</v>
          </cell>
          <cell r="AT377">
            <v>0</v>
          </cell>
          <cell r="AU377">
            <v>0</v>
          </cell>
          <cell r="AV377">
            <v>0</v>
          </cell>
          <cell r="AW377">
            <v>0</v>
          </cell>
          <cell r="AX377">
            <v>0</v>
          </cell>
          <cell r="AY377">
            <v>-37947</v>
          </cell>
          <cell r="AZ377">
            <v>0</v>
          </cell>
          <cell r="BA377">
            <v>0</v>
          </cell>
          <cell r="BB377">
            <v>0</v>
          </cell>
          <cell r="BC377">
            <v>0</v>
          </cell>
          <cell r="BD377">
            <v>0</v>
          </cell>
          <cell r="BE377">
            <v>0</v>
          </cell>
          <cell r="BF377">
            <v>0</v>
          </cell>
          <cell r="BG377">
            <v>0</v>
          </cell>
          <cell r="BH377">
            <v>0</v>
          </cell>
          <cell r="BI377"/>
          <cell r="BJ377"/>
          <cell r="BK377"/>
          <cell r="BL377"/>
          <cell r="BM377"/>
          <cell r="BN377"/>
          <cell r="BO377"/>
          <cell r="BP377"/>
          <cell r="BQ377"/>
          <cell r="BR377"/>
          <cell r="BS377"/>
          <cell r="BT377"/>
          <cell r="BU377"/>
          <cell r="BV377"/>
          <cell r="BW377"/>
          <cell r="BX377"/>
          <cell r="BY377"/>
          <cell r="BZ377"/>
          <cell r="CA377"/>
          <cell r="CB377"/>
          <cell r="CC377"/>
          <cell r="CD377"/>
          <cell r="CE377"/>
          <cell r="CF377"/>
          <cell r="CG377"/>
          <cell r="CH377"/>
          <cell r="CI377"/>
          <cell r="CJ377"/>
          <cell r="CK377"/>
          <cell r="CL377"/>
          <cell r="CM377"/>
          <cell r="CN377"/>
          <cell r="CO377"/>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row>
        <row r="378">
          <cell r="A378">
            <v>7301000</v>
          </cell>
          <cell r="B378">
            <v>7301000</v>
          </cell>
          <cell r="C378" t="str">
            <v>Eq Ern Consol Affil</v>
          </cell>
          <cell r="D378">
            <v>-214296.28</v>
          </cell>
          <cell r="E378">
            <v>-330590.94</v>
          </cell>
          <cell r="F378">
            <v>-206491.26</v>
          </cell>
          <cell r="G378">
            <v>-280856.64</v>
          </cell>
          <cell r="H378">
            <v>-178527.23</v>
          </cell>
          <cell r="I378">
            <v>-262447.71999999997</v>
          </cell>
          <cell r="J378">
            <v>-240575.55</v>
          </cell>
          <cell r="K378">
            <v>-197832.04</v>
          </cell>
          <cell r="L378">
            <v>-68753.320000000007</v>
          </cell>
          <cell r="M378">
            <v>-294246.26</v>
          </cell>
          <cell r="N378">
            <v>-168347.11</v>
          </cell>
          <cell r="O378">
            <v>-192880.57</v>
          </cell>
          <cell r="P378">
            <v>-390775.07</v>
          </cell>
          <cell r="Q378">
            <v>-210884.69</v>
          </cell>
          <cell r="R378">
            <v>-150763.29</v>
          </cell>
          <cell r="S378">
            <v>-117072.92</v>
          </cell>
          <cell r="T378">
            <v>-224359.7</v>
          </cell>
          <cell r="U378">
            <v>-216294.17</v>
          </cell>
          <cell r="V378">
            <v>-152920.16</v>
          </cell>
          <cell r="W378">
            <v>-171043.58</v>
          </cell>
          <cell r="X378">
            <v>-223338.23999999999</v>
          </cell>
          <cell r="Y378">
            <v>-130233.48</v>
          </cell>
          <cell r="Z378">
            <v>-190346.84</v>
          </cell>
          <cell r="AA378">
            <v>-703834.01</v>
          </cell>
          <cell r="AB378">
            <v>-296280.46000000002</v>
          </cell>
          <cell r="AC378">
            <v>-362928.71</v>
          </cell>
          <cell r="AD378">
            <v>-102655.97</v>
          </cell>
          <cell r="AE378">
            <v>-122065.81</v>
          </cell>
          <cell r="AF378">
            <v>-290536.36</v>
          </cell>
          <cell r="AG378">
            <v>-148831.98000000001</v>
          </cell>
          <cell r="AH378">
            <v>-214871.25</v>
          </cell>
          <cell r="AI378">
            <v>-277765.40000000002</v>
          </cell>
          <cell r="AJ378">
            <v>-180270.99</v>
          </cell>
          <cell r="AK378">
            <v>-769396.37</v>
          </cell>
          <cell r="AL378">
            <v>-202984.49</v>
          </cell>
          <cell r="AM378">
            <v>-221317.04</v>
          </cell>
          <cell r="AN378">
            <v>-353932.4</v>
          </cell>
          <cell r="AO378">
            <v>-308136.26</v>
          </cell>
          <cell r="AP378">
            <v>-287169.15000000002</v>
          </cell>
          <cell r="AQ378">
            <v>-146968.54999999999</v>
          </cell>
          <cell r="AR378">
            <v>-331963.59000000003</v>
          </cell>
          <cell r="AS378">
            <v>153361.17000000001</v>
          </cell>
          <cell r="AT378">
            <v>-293256.39</v>
          </cell>
          <cell r="AU378">
            <v>-142790.04999999999</v>
          </cell>
          <cell r="AV378">
            <v>-297970.53000000003</v>
          </cell>
          <cell r="AW378">
            <v>-245610.76</v>
          </cell>
          <cell r="AX378">
            <v>-341556.85</v>
          </cell>
          <cell r="AY378">
            <v>-549068.92000000004</v>
          </cell>
          <cell r="AZ378">
            <v>-427265.75</v>
          </cell>
          <cell r="BA378">
            <v>-414555.12</v>
          </cell>
          <cell r="BB378">
            <v>-112602.5</v>
          </cell>
          <cell r="BC378">
            <v>-506278.72</v>
          </cell>
          <cell r="BD378">
            <v>-262049.55</v>
          </cell>
          <cell r="BE378">
            <v>-222660.19</v>
          </cell>
          <cell r="BF378">
            <v>-289543.83</v>
          </cell>
          <cell r="BG378">
            <v>-189620.79</v>
          </cell>
          <cell r="BH378">
            <v>-174472.46</v>
          </cell>
          <cell r="BI378">
            <v>-253677.03</v>
          </cell>
          <cell r="BJ378">
            <v>-242731.81</v>
          </cell>
          <cell r="BK378">
            <v>-417337.17</v>
          </cell>
          <cell r="BL378">
            <v>-256648.59</v>
          </cell>
          <cell r="BM378">
            <v>-285523.38</v>
          </cell>
          <cell r="BN378">
            <v>-461128.74</v>
          </cell>
          <cell r="BO378">
            <v>-417107.02</v>
          </cell>
          <cell r="BP378">
            <v>-323818.81</v>
          </cell>
          <cell r="BQ378">
            <v>-234534.32</v>
          </cell>
          <cell r="BR378">
            <v>-338930.12</v>
          </cell>
          <cell r="BS378">
            <v>-459463.36</v>
          </cell>
          <cell r="BT378">
            <v>-219164.33</v>
          </cell>
          <cell r="BU378">
            <v>-197590.86</v>
          </cell>
          <cell r="BV378">
            <v>-194188.46</v>
          </cell>
          <cell r="BW378">
            <v>-228792.44</v>
          </cell>
          <cell r="BX378">
            <v>-126272.64</v>
          </cell>
          <cell r="BY378">
            <v>-424898.82</v>
          </cell>
          <cell r="BZ378">
            <v>-93899.42</v>
          </cell>
          <cell r="CA378">
            <v>-334447.24</v>
          </cell>
          <cell r="CB378">
            <v>-410336.04</v>
          </cell>
          <cell r="CC378">
            <v>-224341.44</v>
          </cell>
          <cell r="CD378">
            <v>-188439.92</v>
          </cell>
          <cell r="CE378">
            <v>-311341.21000000002</v>
          </cell>
          <cell r="CF378">
            <v>-239230.3</v>
          </cell>
          <cell r="CG378">
            <v>-350793.42</v>
          </cell>
          <cell r="CH378">
            <v>-209032.59</v>
          </cell>
          <cell r="CI378">
            <v>-367048.31</v>
          </cell>
          <cell r="CJ378">
            <v>-334134.96999999997</v>
          </cell>
          <cell r="CK378">
            <v>-387862.25</v>
          </cell>
          <cell r="CL378">
            <v>-275361.32</v>
          </cell>
          <cell r="CM378">
            <v>-331471.51</v>
          </cell>
          <cell r="CN378">
            <v>-390513.08</v>
          </cell>
          <cell r="CO378">
            <v>-271490.58</v>
          </cell>
          <cell r="CP378">
            <v>-274120.75</v>
          </cell>
          <cell r="CQ378">
            <v>-337068.29</v>
          </cell>
          <cell r="CR378">
            <v>-295827.65000000002</v>
          </cell>
          <cell r="CS378">
            <v>-313747.78000000003</v>
          </cell>
          <cell r="CT378">
            <v>-273112.37</v>
          </cell>
          <cell r="CU378">
            <v>-159444.92000000001</v>
          </cell>
          <cell r="CV378">
            <v>-144996.4</v>
          </cell>
          <cell r="CW378">
            <v>-253318.71</v>
          </cell>
          <cell r="CX378">
            <v>-473623.69</v>
          </cell>
          <cell r="CY378">
            <v>-257376.17</v>
          </cell>
          <cell r="CZ378">
            <v>-276005.40999999997</v>
          </cell>
          <cell r="DA378">
            <v>-222974.37</v>
          </cell>
          <cell r="DB378">
            <v>-436612.73</v>
          </cell>
          <cell r="DC378">
            <v>-287987.53999999998</v>
          </cell>
          <cell r="DD378">
            <v>-337555.77</v>
          </cell>
          <cell r="DE378">
            <v>-251499.69</v>
          </cell>
          <cell r="DF378">
            <v>-300104.23</v>
          </cell>
          <cell r="DG378">
            <v>-13128.95</v>
          </cell>
        </row>
        <row r="379">
          <cell r="A379">
            <v>7500010</v>
          </cell>
          <cell r="B379">
            <v>7500010</v>
          </cell>
          <cell r="C379" t="str">
            <v>Allow Brw AFUDC Dbt</v>
          </cell>
          <cell r="D379"/>
          <cell r="E379"/>
          <cell r="F379"/>
          <cell r="G379"/>
          <cell r="H379"/>
          <cell r="I379"/>
          <cell r="J379"/>
          <cell r="K379"/>
          <cell r="L379"/>
          <cell r="M379"/>
          <cell r="N379"/>
          <cell r="O379"/>
          <cell r="P379"/>
          <cell r="Q379"/>
          <cell r="R379"/>
          <cell r="S379"/>
          <cell r="T379"/>
          <cell r="U379"/>
          <cell r="V379"/>
          <cell r="W379"/>
          <cell r="X379"/>
          <cell r="Y379"/>
          <cell r="Z379"/>
          <cell r="AA379"/>
          <cell r="AB379"/>
          <cell r="AC379"/>
          <cell r="AD379"/>
          <cell r="AE379"/>
          <cell r="AF379"/>
          <cell r="AG379"/>
          <cell r="AH379"/>
          <cell r="AI379"/>
          <cell r="AJ379"/>
          <cell r="AK379"/>
          <cell r="AL379"/>
          <cell r="AM379"/>
          <cell r="AN379"/>
          <cell r="AO379"/>
          <cell r="AP379"/>
          <cell r="AQ379"/>
          <cell r="AR379"/>
          <cell r="AS379"/>
          <cell r="AT379"/>
          <cell r="AU379"/>
          <cell r="AV379"/>
          <cell r="AW379"/>
          <cell r="AX379"/>
          <cell r="AY379"/>
          <cell r="AZ379"/>
          <cell r="BA379"/>
          <cell r="BB379"/>
          <cell r="BC379"/>
          <cell r="BD379"/>
          <cell r="BE379"/>
          <cell r="BF379"/>
          <cell r="BG379"/>
          <cell r="BH379"/>
          <cell r="BI379"/>
          <cell r="BJ379"/>
          <cell r="BK379"/>
          <cell r="BL379">
            <v>0</v>
          </cell>
          <cell r="BM379">
            <v>0</v>
          </cell>
          <cell r="BN379">
            <v>0</v>
          </cell>
          <cell r="BO379">
            <v>0</v>
          </cell>
          <cell r="BP379">
            <v>0</v>
          </cell>
          <cell r="BQ379">
            <v>0</v>
          </cell>
          <cell r="BR379">
            <v>0</v>
          </cell>
          <cell r="BS379">
            <v>-43419.48</v>
          </cell>
          <cell r="BT379">
            <v>-28294.53</v>
          </cell>
          <cell r="BU379">
            <v>-22465.39</v>
          </cell>
          <cell r="BV379">
            <v>-25132.7</v>
          </cell>
          <cell r="BW379">
            <v>-31693.47</v>
          </cell>
          <cell r="BX379">
            <v>-41123.9</v>
          </cell>
          <cell r="BY379">
            <v>-51382.78</v>
          </cell>
          <cell r="BZ379">
            <v>-60040.59</v>
          </cell>
          <cell r="CA379">
            <v>-68313.5</v>
          </cell>
          <cell r="CB379">
            <v>-82831.14</v>
          </cell>
          <cell r="CC379">
            <v>-94708.89</v>
          </cell>
          <cell r="CD379">
            <v>-101897.5</v>
          </cell>
          <cell r="CE379">
            <v>-113702.74</v>
          </cell>
          <cell r="CF379">
            <v>-127173</v>
          </cell>
          <cell r="CG379">
            <v>-100603.36</v>
          </cell>
          <cell r="CH379">
            <v>-74277.42</v>
          </cell>
          <cell r="CI379">
            <v>-85997.18</v>
          </cell>
          <cell r="CJ379">
            <v>-97828.96</v>
          </cell>
          <cell r="CK379">
            <v>-118962.67</v>
          </cell>
          <cell r="CL379">
            <v>-125175.22</v>
          </cell>
          <cell r="CM379">
            <v>-101772.96</v>
          </cell>
          <cell r="CN379">
            <v>-70765.289999999994</v>
          </cell>
          <cell r="CO379">
            <v>-73446.960000000006</v>
          </cell>
          <cell r="CP379">
            <v>-79548.13</v>
          </cell>
          <cell r="CQ379">
            <v>-89530.79</v>
          </cell>
          <cell r="CR379">
            <v>-98143.71</v>
          </cell>
          <cell r="CS379">
            <v>-105329.65</v>
          </cell>
          <cell r="CT379">
            <v>-37935.15</v>
          </cell>
          <cell r="CU379">
            <v>-52206.77</v>
          </cell>
          <cell r="CV379">
            <v>-57599.07</v>
          </cell>
          <cell r="CW379">
            <v>-62866.879999999997</v>
          </cell>
          <cell r="CX379">
            <v>-68331.64</v>
          </cell>
          <cell r="CY379">
            <v>-75234.820000000007</v>
          </cell>
          <cell r="CZ379">
            <v>-83191.78</v>
          </cell>
          <cell r="DA379">
            <v>-92933.84</v>
          </cell>
          <cell r="DB379">
            <v>-103760.02</v>
          </cell>
          <cell r="DC379">
            <v>-111463.17</v>
          </cell>
          <cell r="DD379">
            <v>-118085.17</v>
          </cell>
          <cell r="DE379">
            <v>-53459.64</v>
          </cell>
          <cell r="DF379">
            <v>-78253.39</v>
          </cell>
          <cell r="DG379">
            <v>-84749.19</v>
          </cell>
        </row>
        <row r="380">
          <cell r="A380">
            <v>7500015</v>
          </cell>
          <cell r="B380">
            <v>7500015</v>
          </cell>
          <cell r="C380" t="str">
            <v>Captlz AFUDC Debt</v>
          </cell>
          <cell r="D380"/>
          <cell r="E380"/>
          <cell r="F380"/>
          <cell r="G380"/>
          <cell r="H380"/>
          <cell r="I380"/>
          <cell r="J380"/>
          <cell r="K380"/>
          <cell r="L380"/>
          <cell r="M380"/>
          <cell r="N380"/>
          <cell r="O380"/>
          <cell r="P380"/>
          <cell r="Q380"/>
          <cell r="R380"/>
          <cell r="S380"/>
          <cell r="T380"/>
          <cell r="U380"/>
          <cell r="V380"/>
          <cell r="W380"/>
          <cell r="X380"/>
          <cell r="Y380"/>
          <cell r="Z380"/>
          <cell r="AA380"/>
          <cell r="AB380"/>
          <cell r="AC380"/>
          <cell r="AD380"/>
          <cell r="AE380"/>
          <cell r="AF380"/>
          <cell r="AG380"/>
          <cell r="AH380"/>
          <cell r="AI380"/>
          <cell r="AJ380"/>
          <cell r="AK380"/>
          <cell r="AL380"/>
          <cell r="AM380"/>
          <cell r="AN380"/>
          <cell r="AO380"/>
          <cell r="AP380"/>
          <cell r="AQ380"/>
          <cell r="AR380"/>
          <cell r="AS380"/>
          <cell r="AT380"/>
          <cell r="AU380"/>
          <cell r="AV380"/>
          <cell r="AW380"/>
          <cell r="AX380"/>
          <cell r="AY380"/>
          <cell r="AZ380"/>
          <cell r="BA380"/>
          <cell r="BB380"/>
          <cell r="BC380"/>
          <cell r="BD380"/>
          <cell r="BE380"/>
          <cell r="BF380"/>
          <cell r="BG380"/>
          <cell r="BH380"/>
          <cell r="BI380"/>
          <cell r="BJ380"/>
          <cell r="BK380"/>
          <cell r="BL380"/>
          <cell r="BM380"/>
          <cell r="BN380"/>
          <cell r="BO380"/>
          <cell r="BP380"/>
          <cell r="BQ380"/>
          <cell r="BR380"/>
          <cell r="BS380"/>
          <cell r="BT380"/>
          <cell r="BU380">
            <v>0</v>
          </cell>
          <cell r="BV380">
            <v>0</v>
          </cell>
          <cell r="BW380">
            <v>151005.57</v>
          </cell>
          <cell r="BX380">
            <v>41123.9</v>
          </cell>
          <cell r="BY380">
            <v>51382.78</v>
          </cell>
          <cell r="BZ380">
            <v>60040.59</v>
          </cell>
          <cell r="CA380">
            <v>68313.5</v>
          </cell>
          <cell r="CB380">
            <v>82831.14</v>
          </cell>
          <cell r="CC380">
            <v>94708.89</v>
          </cell>
          <cell r="CD380">
            <v>101897.5</v>
          </cell>
          <cell r="CE380">
            <v>113702.74</v>
          </cell>
          <cell r="CF380">
            <v>127173</v>
          </cell>
          <cell r="CG380">
            <v>100603.36</v>
          </cell>
          <cell r="CH380">
            <v>74277.42</v>
          </cell>
          <cell r="CI380">
            <v>85997.18</v>
          </cell>
          <cell r="CJ380">
            <v>97828.96</v>
          </cell>
          <cell r="CK380">
            <v>118962.67</v>
          </cell>
          <cell r="CL380">
            <v>125175.22</v>
          </cell>
          <cell r="CM380">
            <v>101772.96</v>
          </cell>
          <cell r="CN380">
            <v>70765.289999999994</v>
          </cell>
          <cell r="CO380">
            <v>73446.960000000006</v>
          </cell>
          <cell r="CP380">
            <v>79548.13</v>
          </cell>
          <cell r="CQ380">
            <v>89530.79</v>
          </cell>
          <cell r="CR380">
            <v>98143.71</v>
          </cell>
          <cell r="CS380">
            <v>105329.65</v>
          </cell>
          <cell r="CT380">
            <v>37935.15</v>
          </cell>
          <cell r="CU380">
            <v>52206.77</v>
          </cell>
          <cell r="CV380">
            <v>57599.07</v>
          </cell>
          <cell r="CW380">
            <v>62866.879999999997</v>
          </cell>
          <cell r="CX380">
            <v>68331.64</v>
          </cell>
          <cell r="CY380">
            <v>75234.820000000007</v>
          </cell>
          <cell r="CZ380">
            <v>83191.78</v>
          </cell>
          <cell r="DA380">
            <v>92933.84</v>
          </cell>
          <cell r="DB380">
            <v>103760.02</v>
          </cell>
          <cell r="DC380">
            <v>111463.17</v>
          </cell>
          <cell r="DD380">
            <v>118085.17</v>
          </cell>
          <cell r="DE380">
            <v>53459.64</v>
          </cell>
          <cell r="DF380">
            <v>78253.39</v>
          </cell>
          <cell r="DG380">
            <v>84749.19</v>
          </cell>
        </row>
        <row r="381">
          <cell r="A381">
            <v>7500020</v>
          </cell>
          <cell r="B381">
            <v>7500020</v>
          </cell>
          <cell r="C381" t="str">
            <v>AR Securitization</v>
          </cell>
          <cell r="D381">
            <v>8730.86</v>
          </cell>
          <cell r="E381">
            <v>4555.72</v>
          </cell>
          <cell r="F381">
            <v>1707.34</v>
          </cell>
          <cell r="G381">
            <v>84.78</v>
          </cell>
          <cell r="H381">
            <v>0</v>
          </cell>
          <cell r="I381">
            <v>0</v>
          </cell>
          <cell r="J381">
            <v>0</v>
          </cell>
          <cell r="K381">
            <v>0</v>
          </cell>
          <cell r="L381">
            <v>0</v>
          </cell>
          <cell r="M381">
            <v>0</v>
          </cell>
          <cell r="N381">
            <v>0</v>
          </cell>
          <cell r="O381">
            <v>1484.59</v>
          </cell>
          <cell r="P381">
            <v>5297.51</v>
          </cell>
          <cell r="Q381">
            <v>2912.52</v>
          </cell>
          <cell r="R381">
            <v>1569.14</v>
          </cell>
          <cell r="S381">
            <v>0</v>
          </cell>
          <cell r="T381">
            <v>0</v>
          </cell>
          <cell r="U381">
            <v>0</v>
          </cell>
          <cell r="V381">
            <v>0</v>
          </cell>
          <cell r="W381">
            <v>0</v>
          </cell>
          <cell r="X381">
            <v>0</v>
          </cell>
          <cell r="Y381">
            <v>0</v>
          </cell>
          <cell r="Z381">
            <v>0</v>
          </cell>
          <cell r="AA381">
            <v>0</v>
          </cell>
          <cell r="AB381">
            <v>0</v>
          </cell>
          <cell r="AC381">
            <v>58.73</v>
          </cell>
          <cell r="AD381">
            <v>10.98</v>
          </cell>
          <cell r="AE381">
            <v>0</v>
          </cell>
          <cell r="AF381">
            <v>0</v>
          </cell>
          <cell r="AG381">
            <v>615.94000000000005</v>
          </cell>
          <cell r="AH381">
            <v>919.76</v>
          </cell>
          <cell r="AI381">
            <v>1174.6099999999999</v>
          </cell>
          <cell r="AJ381">
            <v>2092.46</v>
          </cell>
          <cell r="AK381">
            <v>153.06</v>
          </cell>
          <cell r="AL381">
            <v>6259.33</v>
          </cell>
          <cell r="AM381">
            <v>22743.11</v>
          </cell>
          <cell r="AN381">
            <v>27951.37</v>
          </cell>
          <cell r="AO381">
            <v>16703.96</v>
          </cell>
          <cell r="AP381">
            <v>17194.43</v>
          </cell>
          <cell r="AQ381">
            <v>21539.71</v>
          </cell>
          <cell r="AR381">
            <v>14761.56</v>
          </cell>
          <cell r="AS381">
            <v>17612.86</v>
          </cell>
          <cell r="AT381">
            <v>21212.9</v>
          </cell>
          <cell r="AU381">
            <v>26543.24</v>
          </cell>
          <cell r="AV381">
            <v>23340.02</v>
          </cell>
          <cell r="AW381">
            <v>28357.279999999999</v>
          </cell>
          <cell r="AX381">
            <v>9669.6</v>
          </cell>
          <cell r="AY381">
            <v>0</v>
          </cell>
          <cell r="AZ381">
            <v>1302.08</v>
          </cell>
          <cell r="BA381">
            <v>2338.31</v>
          </cell>
          <cell r="BB381">
            <v>1517.92</v>
          </cell>
          <cell r="BC381">
            <v>1323.64</v>
          </cell>
          <cell r="BD381">
            <v>13990.11</v>
          </cell>
          <cell r="BE381">
            <v>14260.85</v>
          </cell>
          <cell r="BF381">
            <v>12072</v>
          </cell>
          <cell r="BG381">
            <v>6013.53</v>
          </cell>
          <cell r="BH381">
            <v>8272.64</v>
          </cell>
          <cell r="BI381">
            <v>2647.67</v>
          </cell>
          <cell r="BJ381">
            <v>40228.199999999997</v>
          </cell>
          <cell r="BK381">
            <v>83725.91</v>
          </cell>
          <cell r="BL381">
            <v>72850.350000000006</v>
          </cell>
          <cell r="BM381">
            <v>55834.26</v>
          </cell>
          <cell r="BN381">
            <v>46345.58</v>
          </cell>
          <cell r="BO381">
            <v>40380.199999999997</v>
          </cell>
          <cell r="BP381">
            <v>33115.96</v>
          </cell>
          <cell r="BQ381">
            <v>28771.46</v>
          </cell>
          <cell r="BR381">
            <v>32779.379999999997</v>
          </cell>
          <cell r="BS381">
            <v>89666.15</v>
          </cell>
          <cell r="BT381">
            <v>56198.26</v>
          </cell>
          <cell r="BU381">
            <v>18126.990000000002</v>
          </cell>
          <cell r="BV381">
            <v>83670.259999999995</v>
          </cell>
          <cell r="BW381">
            <v>35241.61</v>
          </cell>
          <cell r="BX381">
            <v>36112.730000000003</v>
          </cell>
          <cell r="BY381">
            <v>8081.86</v>
          </cell>
          <cell r="BZ381">
            <v>62323.75</v>
          </cell>
          <cell r="CA381">
            <v>30054.94</v>
          </cell>
          <cell r="CB381">
            <v>10575.66</v>
          </cell>
          <cell r="CC381">
            <v>1353.53</v>
          </cell>
          <cell r="CD381">
            <v>1353.53</v>
          </cell>
          <cell r="CE381">
            <v>3127.13</v>
          </cell>
          <cell r="CF381">
            <v>9745.27</v>
          </cell>
          <cell r="CG381">
            <v>7652.81</v>
          </cell>
          <cell r="CH381">
            <v>8249.43</v>
          </cell>
          <cell r="CI381">
            <v>18471.18</v>
          </cell>
          <cell r="CJ381">
            <v>22845.53</v>
          </cell>
          <cell r="CK381">
            <v>11141.68</v>
          </cell>
          <cell r="CL381">
            <v>10475.52</v>
          </cell>
          <cell r="CM381">
            <v>131.81</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row>
        <row r="382">
          <cell r="A382">
            <v>7500030</v>
          </cell>
          <cell r="B382">
            <v>7500030</v>
          </cell>
          <cell r="C382" t="str">
            <v>Int Exp Customer Dep</v>
          </cell>
          <cell r="D382">
            <v>81888.759999999995</v>
          </cell>
          <cell r="E382">
            <v>81946.080000000002</v>
          </cell>
          <cell r="F382">
            <v>82099.39</v>
          </cell>
          <cell r="G382">
            <v>82432.38</v>
          </cell>
          <cell r="H382">
            <v>82721.73</v>
          </cell>
          <cell r="I382">
            <v>82838.789999999994</v>
          </cell>
          <cell r="J382">
            <v>83059.78</v>
          </cell>
          <cell r="K382">
            <v>83473.91</v>
          </cell>
          <cell r="L382">
            <v>84096.54</v>
          </cell>
          <cell r="M382">
            <v>84586.99</v>
          </cell>
          <cell r="N382">
            <v>83849.83</v>
          </cell>
          <cell r="O382">
            <v>84583.05</v>
          </cell>
          <cell r="P382">
            <v>84931.32</v>
          </cell>
          <cell r="Q382">
            <v>84655.33</v>
          </cell>
          <cell r="R382">
            <v>84911.34</v>
          </cell>
          <cell r="S382">
            <v>84527.17</v>
          </cell>
          <cell r="T382">
            <v>85332.26</v>
          </cell>
          <cell r="U382">
            <v>85632.43</v>
          </cell>
          <cell r="V382">
            <v>85943.24</v>
          </cell>
          <cell r="W382">
            <v>86261.16</v>
          </cell>
          <cell r="X382">
            <v>86526.2</v>
          </cell>
          <cell r="Y382">
            <v>86730.98</v>
          </cell>
          <cell r="Z382">
            <v>87013.89</v>
          </cell>
          <cell r="AA382">
            <v>87193.38</v>
          </cell>
          <cell r="AB382">
            <v>87473.16</v>
          </cell>
          <cell r="AC382">
            <v>83962.2</v>
          </cell>
          <cell r="AD382">
            <v>81686.48</v>
          </cell>
          <cell r="AE382">
            <v>79084.69</v>
          </cell>
          <cell r="AF382">
            <v>77249.649999999994</v>
          </cell>
          <cell r="AG382">
            <v>75006.850000000006</v>
          </cell>
          <cell r="AH382">
            <v>72824.37</v>
          </cell>
          <cell r="AI382">
            <v>70476.73</v>
          </cell>
          <cell r="AJ382">
            <v>68089.320000000007</v>
          </cell>
          <cell r="AK382">
            <v>66051.56</v>
          </cell>
          <cell r="AL382">
            <v>62730.55</v>
          </cell>
          <cell r="AM382">
            <v>61008.99</v>
          </cell>
          <cell r="AN382">
            <v>58804</v>
          </cell>
          <cell r="AO382">
            <v>57673</v>
          </cell>
          <cell r="AP382">
            <v>57131</v>
          </cell>
          <cell r="AQ382">
            <v>57051</v>
          </cell>
          <cell r="AR382">
            <v>56744</v>
          </cell>
          <cell r="AS382">
            <v>56505</v>
          </cell>
          <cell r="AT382">
            <v>56115</v>
          </cell>
          <cell r="AU382">
            <v>56005</v>
          </cell>
          <cell r="AV382">
            <v>55816</v>
          </cell>
          <cell r="AW382">
            <v>55755.12</v>
          </cell>
          <cell r="AX382">
            <v>55425.88</v>
          </cell>
          <cell r="AY382">
            <v>68722.740000000005</v>
          </cell>
          <cell r="AZ382">
            <v>54753.9</v>
          </cell>
          <cell r="BA382">
            <v>54723.21</v>
          </cell>
          <cell r="BB382">
            <v>54724.01</v>
          </cell>
          <cell r="BC382">
            <v>54676.44</v>
          </cell>
          <cell r="BD382">
            <v>54806.87</v>
          </cell>
          <cell r="BE382">
            <v>54842.58</v>
          </cell>
          <cell r="BF382">
            <v>54865.06</v>
          </cell>
          <cell r="BG382">
            <v>55003.7</v>
          </cell>
          <cell r="BH382">
            <v>54939.74</v>
          </cell>
          <cell r="BI382">
            <v>55067.25</v>
          </cell>
          <cell r="BJ382">
            <v>55437.96</v>
          </cell>
          <cell r="BK382">
            <v>48365.77</v>
          </cell>
          <cell r="BL382">
            <v>55169.55</v>
          </cell>
          <cell r="BM382">
            <v>55205.35</v>
          </cell>
          <cell r="BN382">
            <v>55333.99</v>
          </cell>
          <cell r="BO382">
            <v>55165.16</v>
          </cell>
          <cell r="BP382">
            <v>55280.23</v>
          </cell>
          <cell r="BQ382">
            <v>55284.57</v>
          </cell>
          <cell r="BR382">
            <v>55092</v>
          </cell>
          <cell r="BS382">
            <v>54934.14</v>
          </cell>
          <cell r="BT382">
            <v>54913.05</v>
          </cell>
          <cell r="BU382">
            <v>55028.13</v>
          </cell>
          <cell r="BV382">
            <v>55015.55</v>
          </cell>
          <cell r="BW382">
            <v>42623.8</v>
          </cell>
          <cell r="BX382">
            <v>55003.35</v>
          </cell>
          <cell r="BY382">
            <v>55161.09</v>
          </cell>
          <cell r="BZ382">
            <v>55200.35</v>
          </cell>
          <cell r="CA382">
            <v>55190.61</v>
          </cell>
          <cell r="CB382">
            <v>55069.64</v>
          </cell>
          <cell r="CC382">
            <v>54910.879999999997</v>
          </cell>
          <cell r="CD382">
            <v>54900.4</v>
          </cell>
          <cell r="CE382">
            <v>54798.3</v>
          </cell>
          <cell r="CF382">
            <v>54843.46</v>
          </cell>
          <cell r="CG382">
            <v>54750.67</v>
          </cell>
          <cell r="CH382">
            <v>54601.17</v>
          </cell>
          <cell r="CI382">
            <v>43181.760000000002</v>
          </cell>
          <cell r="CJ382">
            <v>54454.27</v>
          </cell>
          <cell r="CK382">
            <v>54502.22</v>
          </cell>
          <cell r="CL382">
            <v>54701.38</v>
          </cell>
          <cell r="CM382">
            <v>54612.59</v>
          </cell>
          <cell r="CN382">
            <v>54794.78</v>
          </cell>
          <cell r="CO382">
            <v>55070.86</v>
          </cell>
          <cell r="CP382">
            <v>55445.67</v>
          </cell>
          <cell r="CQ382">
            <v>55611.72</v>
          </cell>
          <cell r="CR382">
            <v>55997.82</v>
          </cell>
          <cell r="CS382">
            <v>56225.65</v>
          </cell>
          <cell r="CT382">
            <v>56674.93</v>
          </cell>
          <cell r="CU382">
            <v>46807.44</v>
          </cell>
          <cell r="CV382">
            <v>57503.33</v>
          </cell>
          <cell r="CW382">
            <v>57771.41</v>
          </cell>
          <cell r="CX382">
            <v>58107.46</v>
          </cell>
          <cell r="CY382">
            <v>58306.14</v>
          </cell>
          <cell r="CZ382">
            <v>58701.51</v>
          </cell>
          <cell r="DA382">
            <v>59319.92</v>
          </cell>
          <cell r="DB382">
            <v>59722.239999999998</v>
          </cell>
          <cell r="DC382">
            <v>60098.95</v>
          </cell>
          <cell r="DD382">
            <v>60624.24</v>
          </cell>
          <cell r="DE382">
            <v>60904.25</v>
          </cell>
          <cell r="DF382">
            <v>61298.94</v>
          </cell>
          <cell r="DG382">
            <v>51968.53</v>
          </cell>
        </row>
        <row r="383">
          <cell r="A383">
            <v>7500080</v>
          </cell>
          <cell r="B383">
            <v>7500080</v>
          </cell>
          <cell r="C383" t="str">
            <v>Int Exp Cr Facility</v>
          </cell>
          <cell r="D383">
            <v>1197.6199999999999</v>
          </cell>
          <cell r="E383">
            <v>193.26</v>
          </cell>
          <cell r="F383">
            <v>6.99</v>
          </cell>
          <cell r="G383">
            <v>151.29</v>
          </cell>
          <cell r="H383">
            <v>0</v>
          </cell>
          <cell r="I383">
            <v>0</v>
          </cell>
          <cell r="J383">
            <v>0</v>
          </cell>
          <cell r="K383">
            <v>0</v>
          </cell>
          <cell r="L383">
            <v>0</v>
          </cell>
          <cell r="M383">
            <v>0</v>
          </cell>
          <cell r="N383">
            <v>0</v>
          </cell>
          <cell r="O383">
            <v>866.18</v>
          </cell>
          <cell r="P383">
            <v>1039.32</v>
          </cell>
          <cell r="Q383">
            <v>201.34</v>
          </cell>
          <cell r="R383">
            <v>1148.27</v>
          </cell>
          <cell r="S383">
            <v>0</v>
          </cell>
          <cell r="T383">
            <v>0</v>
          </cell>
          <cell r="U383">
            <v>0</v>
          </cell>
          <cell r="V383">
            <v>0</v>
          </cell>
          <cell r="W383">
            <v>0</v>
          </cell>
          <cell r="X383">
            <v>0</v>
          </cell>
          <cell r="Y383">
            <v>0</v>
          </cell>
          <cell r="Z383">
            <v>0</v>
          </cell>
          <cell r="AA383">
            <v>0</v>
          </cell>
          <cell r="AB383">
            <v>0</v>
          </cell>
          <cell r="AC383">
            <v>6.08</v>
          </cell>
          <cell r="AD383">
            <v>0</v>
          </cell>
          <cell r="AE383">
            <v>0</v>
          </cell>
          <cell r="AF383">
            <v>0</v>
          </cell>
          <cell r="AG383">
            <v>5.56</v>
          </cell>
          <cell r="AH383">
            <v>4.55</v>
          </cell>
          <cell r="AI383">
            <v>12.22</v>
          </cell>
          <cell r="AJ383">
            <v>37.74</v>
          </cell>
          <cell r="AK383">
            <v>0</v>
          </cell>
          <cell r="AL383">
            <v>292.10000000000002</v>
          </cell>
          <cell r="AM383">
            <v>4873</v>
          </cell>
          <cell r="AN383">
            <v>16954.3</v>
          </cell>
          <cell r="AO383">
            <v>32826.68</v>
          </cell>
          <cell r="AP383">
            <v>36453.06</v>
          </cell>
          <cell r="AQ383">
            <v>36234.11</v>
          </cell>
          <cell r="AR383">
            <v>20114.93</v>
          </cell>
          <cell r="AS383">
            <v>28984.09</v>
          </cell>
          <cell r="AT383">
            <v>38111.74</v>
          </cell>
          <cell r="AU383">
            <v>38051.24</v>
          </cell>
          <cell r="AV383">
            <v>109398.05</v>
          </cell>
          <cell r="AW383">
            <v>95373.94</v>
          </cell>
          <cell r="AX383">
            <v>7113.72</v>
          </cell>
          <cell r="AY383">
            <v>970.83</v>
          </cell>
          <cell r="AZ383">
            <v>5876.07</v>
          </cell>
          <cell r="BA383">
            <v>194609.49</v>
          </cell>
          <cell r="BB383">
            <v>-182381.3</v>
          </cell>
          <cell r="BC383">
            <v>6402.12</v>
          </cell>
          <cell r="BD383">
            <v>53475.59</v>
          </cell>
          <cell r="BE383">
            <v>70464.28</v>
          </cell>
          <cell r="BF383">
            <v>5876.07</v>
          </cell>
          <cell r="BG383">
            <v>5876.07</v>
          </cell>
          <cell r="BH383">
            <v>8837.2800000000007</v>
          </cell>
          <cell r="BI383">
            <v>10405.48</v>
          </cell>
          <cell r="BJ383">
            <v>6546</v>
          </cell>
          <cell r="BK383">
            <v>70158.22</v>
          </cell>
          <cell r="BL383">
            <v>149349.24</v>
          </cell>
          <cell r="BM383">
            <v>149272.71</v>
          </cell>
          <cell r="BN383">
            <v>136387.71</v>
          </cell>
          <cell r="BO383">
            <v>128595.4</v>
          </cell>
          <cell r="BP383">
            <v>75832.62</v>
          </cell>
          <cell r="BQ383">
            <v>-142669.13</v>
          </cell>
          <cell r="BR383">
            <v>82858.12</v>
          </cell>
          <cell r="BS383">
            <v>12758.09</v>
          </cell>
          <cell r="BT383">
            <v>55656.33</v>
          </cell>
          <cell r="BU383">
            <v>104937.93</v>
          </cell>
          <cell r="BV383">
            <v>46607.1</v>
          </cell>
          <cell r="BW383">
            <v>151912.15</v>
          </cell>
          <cell r="BX383">
            <v>174102.82</v>
          </cell>
          <cell r="BY383">
            <v>81033.11</v>
          </cell>
          <cell r="BZ383">
            <v>173380.65</v>
          </cell>
          <cell r="CA383">
            <v>63600.09</v>
          </cell>
          <cell r="CB383">
            <v>82038.13</v>
          </cell>
          <cell r="CC383">
            <v>-189338.35</v>
          </cell>
          <cell r="CD383">
            <v>79856.78</v>
          </cell>
          <cell r="CE383">
            <v>74863.97</v>
          </cell>
          <cell r="CF383">
            <v>65231.29</v>
          </cell>
          <cell r="CG383">
            <v>84812.63</v>
          </cell>
          <cell r="CH383">
            <v>100107.05</v>
          </cell>
          <cell r="CI383">
            <v>128129.2</v>
          </cell>
          <cell r="CJ383">
            <v>159645.94</v>
          </cell>
          <cell r="CK383">
            <v>160555.04999999999</v>
          </cell>
          <cell r="CL383">
            <v>131893.68</v>
          </cell>
          <cell r="CM383">
            <v>25497.43</v>
          </cell>
          <cell r="CN383">
            <v>47144.56</v>
          </cell>
          <cell r="CO383">
            <v>76453.02</v>
          </cell>
          <cell r="CP383">
            <v>20020.509999999998</v>
          </cell>
          <cell r="CQ383">
            <v>20020.509999999998</v>
          </cell>
          <cell r="CR383">
            <v>20020.509999999998</v>
          </cell>
          <cell r="CS383">
            <v>20020.509999999998</v>
          </cell>
          <cell r="CT383">
            <v>20020.509999999998</v>
          </cell>
          <cell r="CU383">
            <v>20020.509999999998</v>
          </cell>
          <cell r="CV383">
            <v>14646.42</v>
          </cell>
          <cell r="CW383">
            <v>14649.1</v>
          </cell>
          <cell r="CX383">
            <v>14647.65</v>
          </cell>
          <cell r="CY383">
            <v>14819.35</v>
          </cell>
          <cell r="CZ383">
            <v>14690.59</v>
          </cell>
          <cell r="DA383">
            <v>14690.59</v>
          </cell>
          <cell r="DB383">
            <v>14690.59</v>
          </cell>
          <cell r="DC383">
            <v>14690.59</v>
          </cell>
          <cell r="DD383">
            <v>14690.59</v>
          </cell>
          <cell r="DE383">
            <v>14690.59</v>
          </cell>
          <cell r="DF383">
            <v>14690.59</v>
          </cell>
          <cell r="DG383">
            <v>14690.59</v>
          </cell>
        </row>
        <row r="384">
          <cell r="A384">
            <v>7500090</v>
          </cell>
          <cell r="B384">
            <v>7500090</v>
          </cell>
          <cell r="C384" t="str">
            <v>Int Exp Oth ST Borrw</v>
          </cell>
          <cell r="D384"/>
          <cell r="E384"/>
          <cell r="F384"/>
          <cell r="G384"/>
          <cell r="H384"/>
          <cell r="I384"/>
          <cell r="J384"/>
          <cell r="K384"/>
          <cell r="L384"/>
          <cell r="M384"/>
          <cell r="N384"/>
          <cell r="O384"/>
          <cell r="P384"/>
          <cell r="Q384"/>
          <cell r="R384"/>
          <cell r="S384"/>
          <cell r="T384"/>
          <cell r="U384"/>
          <cell r="V384"/>
          <cell r="W384"/>
          <cell r="X384"/>
          <cell r="Y384"/>
          <cell r="Z384"/>
          <cell r="AA384"/>
          <cell r="AB384"/>
          <cell r="AC384"/>
          <cell r="AD384"/>
          <cell r="AE384"/>
          <cell r="AF384"/>
          <cell r="AG384"/>
          <cell r="AH384"/>
          <cell r="AI384"/>
          <cell r="AJ384"/>
          <cell r="AK384"/>
          <cell r="AL384"/>
          <cell r="AM384"/>
          <cell r="AN384"/>
          <cell r="AO384"/>
          <cell r="AP384"/>
          <cell r="AQ384"/>
          <cell r="AR384"/>
          <cell r="AS384"/>
          <cell r="AT384"/>
          <cell r="AU384"/>
          <cell r="AV384"/>
          <cell r="AW384"/>
          <cell r="AX384"/>
          <cell r="AY384"/>
          <cell r="AZ384">
            <v>0</v>
          </cell>
          <cell r="BA384">
            <v>0</v>
          </cell>
          <cell r="BB384">
            <v>307481.36</v>
          </cell>
          <cell r="BC384">
            <v>102797.2</v>
          </cell>
          <cell r="BD384">
            <v>74870.73</v>
          </cell>
          <cell r="BE384">
            <v>72428.31</v>
          </cell>
          <cell r="BF384">
            <v>64912.76</v>
          </cell>
          <cell r="BG384">
            <v>76242.16</v>
          </cell>
          <cell r="BH384">
            <v>84145.93</v>
          </cell>
          <cell r="BI384">
            <v>22617.87</v>
          </cell>
          <cell r="BJ384">
            <v>0</v>
          </cell>
          <cell r="BK384">
            <v>0</v>
          </cell>
          <cell r="BL384">
            <v>0</v>
          </cell>
          <cell r="BM384">
            <v>0</v>
          </cell>
          <cell r="BN384">
            <v>0</v>
          </cell>
          <cell r="BO384">
            <v>0</v>
          </cell>
          <cell r="BP384">
            <v>0</v>
          </cell>
          <cell r="BQ384">
            <v>0</v>
          </cell>
          <cell r="BR384">
            <v>0</v>
          </cell>
          <cell r="BS384">
            <v>0</v>
          </cell>
          <cell r="BT384">
            <v>0</v>
          </cell>
          <cell r="BU384"/>
          <cell r="BV384"/>
          <cell r="BW384"/>
          <cell r="BX384">
            <v>0</v>
          </cell>
          <cell r="BY384">
            <v>1029</v>
          </cell>
          <cell r="BZ384">
            <v>1905.17</v>
          </cell>
          <cell r="CA384">
            <v>1467.06</v>
          </cell>
          <cell r="CB384">
            <v>1467.06</v>
          </cell>
          <cell r="CC384">
            <v>286758.73</v>
          </cell>
          <cell r="CD384">
            <v>36342.06</v>
          </cell>
          <cell r="CE384">
            <v>36342.06</v>
          </cell>
          <cell r="CF384">
            <v>35217.06</v>
          </cell>
          <cell r="CG384">
            <v>36342.06</v>
          </cell>
          <cell r="CH384">
            <v>35217.06</v>
          </cell>
          <cell r="CI384">
            <v>36342.06</v>
          </cell>
          <cell r="CJ384">
            <v>36342.06</v>
          </cell>
          <cell r="CK384">
            <v>33687.96</v>
          </cell>
          <cell r="CL384">
            <v>27648.54</v>
          </cell>
          <cell r="CM384">
            <v>2543.25</v>
          </cell>
          <cell r="CN384">
            <v>0</v>
          </cell>
          <cell r="CO384">
            <v>15740.72</v>
          </cell>
          <cell r="CP384">
            <v>28556.34</v>
          </cell>
          <cell r="CQ384">
            <v>33177.919999999998</v>
          </cell>
          <cell r="CR384">
            <v>24179.1</v>
          </cell>
          <cell r="CS384">
            <v>37730.400000000001</v>
          </cell>
          <cell r="CT384">
            <v>38920.99</v>
          </cell>
          <cell r="CU384">
            <v>60485.26</v>
          </cell>
          <cell r="CV384">
            <v>100569.19</v>
          </cell>
          <cell r="CW384">
            <v>78520.929999999993</v>
          </cell>
          <cell r="CX384">
            <v>123584.72</v>
          </cell>
          <cell r="CY384">
            <v>165185.74</v>
          </cell>
          <cell r="CZ384">
            <v>233904.99</v>
          </cell>
          <cell r="DA384">
            <v>259724.36</v>
          </cell>
          <cell r="DB384">
            <v>317014.84999999998</v>
          </cell>
          <cell r="DC384">
            <v>247335.28</v>
          </cell>
          <cell r="DD384">
            <v>357594.99</v>
          </cell>
          <cell r="DE384">
            <v>503501.47</v>
          </cell>
          <cell r="DF384">
            <v>596762.27</v>
          </cell>
          <cell r="DG384">
            <v>747294.69</v>
          </cell>
        </row>
        <row r="385">
          <cell r="A385">
            <v>7500100</v>
          </cell>
          <cell r="B385">
            <v>7500100</v>
          </cell>
          <cell r="C385" t="str">
            <v>Int Exp Taxes</v>
          </cell>
          <cell r="D385"/>
          <cell r="E385"/>
          <cell r="F385"/>
          <cell r="G385"/>
          <cell r="H385"/>
          <cell r="I385"/>
          <cell r="J385"/>
          <cell r="K385"/>
          <cell r="L385"/>
          <cell r="M385"/>
          <cell r="N385"/>
          <cell r="O385"/>
          <cell r="P385"/>
          <cell r="Q385"/>
          <cell r="R385"/>
          <cell r="S385"/>
          <cell r="T385"/>
          <cell r="U385"/>
          <cell r="V385"/>
          <cell r="W385"/>
          <cell r="X385"/>
          <cell r="Y385"/>
          <cell r="Z385"/>
          <cell r="AA385"/>
          <cell r="AB385"/>
          <cell r="AC385"/>
          <cell r="AD385"/>
          <cell r="AE385"/>
          <cell r="AF385"/>
          <cell r="AG385"/>
          <cell r="AH385"/>
          <cell r="AI385"/>
          <cell r="AJ385"/>
          <cell r="AK385"/>
          <cell r="AL385"/>
          <cell r="AM385"/>
          <cell r="AN385"/>
          <cell r="AO385"/>
          <cell r="AP385"/>
          <cell r="AQ385"/>
          <cell r="AR385"/>
          <cell r="AS385"/>
          <cell r="AT385"/>
          <cell r="AU385"/>
          <cell r="AV385"/>
          <cell r="AW385"/>
          <cell r="AX385"/>
          <cell r="AY385"/>
          <cell r="AZ385"/>
          <cell r="BA385"/>
          <cell r="BB385"/>
          <cell r="BC385"/>
          <cell r="BD385"/>
          <cell r="BE385"/>
          <cell r="BF385"/>
          <cell r="BG385"/>
          <cell r="BH385"/>
          <cell r="BI385"/>
          <cell r="BJ385"/>
          <cell r="BK385"/>
          <cell r="BL385">
            <v>0</v>
          </cell>
          <cell r="BM385">
            <v>0</v>
          </cell>
          <cell r="BN385">
            <v>57.76</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98.91</v>
          </cell>
          <cell r="CI385">
            <v>0</v>
          </cell>
          <cell r="CJ385">
            <v>0</v>
          </cell>
          <cell r="CK385">
            <v>0</v>
          </cell>
          <cell r="CL385">
            <v>0</v>
          </cell>
          <cell r="CM385">
            <v>0</v>
          </cell>
          <cell r="CN385">
            <v>0</v>
          </cell>
          <cell r="CO385">
            <v>0</v>
          </cell>
          <cell r="CP385">
            <v>68.680000000000007</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row>
        <row r="386">
          <cell r="A386">
            <v>7500110</v>
          </cell>
          <cell r="B386">
            <v>7500110</v>
          </cell>
          <cell r="C386" t="str">
            <v>Int Exp LT Debt</v>
          </cell>
          <cell r="D386">
            <v>997107.72</v>
          </cell>
          <cell r="E386">
            <v>997107.72</v>
          </cell>
          <cell r="F386">
            <v>997107.72</v>
          </cell>
          <cell r="G386">
            <v>997107.72</v>
          </cell>
          <cell r="H386">
            <v>1015232.72</v>
          </cell>
          <cell r="I386">
            <v>1033357.72</v>
          </cell>
          <cell r="J386">
            <v>1033357.72</v>
          </cell>
          <cell r="K386">
            <v>1033357.72</v>
          </cell>
          <cell r="L386">
            <v>1033357.72</v>
          </cell>
          <cell r="M386">
            <v>1033357.72</v>
          </cell>
          <cell r="N386">
            <v>1033357.72</v>
          </cell>
          <cell r="O386">
            <v>1033357.72</v>
          </cell>
          <cell r="P386">
            <v>1033357.72</v>
          </cell>
          <cell r="Q386">
            <v>1033357.73</v>
          </cell>
          <cell r="R386">
            <v>1033357.73</v>
          </cell>
          <cell r="S386">
            <v>1033357.73</v>
          </cell>
          <cell r="T386">
            <v>1033357.73</v>
          </cell>
          <cell r="U386">
            <v>1136024.3999999999</v>
          </cell>
          <cell r="V386">
            <v>1103357.73</v>
          </cell>
          <cell r="W386">
            <v>1103357.73</v>
          </cell>
          <cell r="X386">
            <v>1103357.73</v>
          </cell>
          <cell r="Y386">
            <v>1103357.73</v>
          </cell>
          <cell r="Z386">
            <v>1103357.73</v>
          </cell>
          <cell r="AA386">
            <v>1103357.73</v>
          </cell>
          <cell r="AB386">
            <v>1103357.73</v>
          </cell>
          <cell r="AC386">
            <v>1103357.73</v>
          </cell>
          <cell r="AD386">
            <v>1103357.73</v>
          </cell>
          <cell r="AE386">
            <v>1103357.73</v>
          </cell>
          <cell r="AF386">
            <v>1103357.73</v>
          </cell>
          <cell r="AG386">
            <v>1103357.73</v>
          </cell>
          <cell r="AH386">
            <v>1103357.73</v>
          </cell>
          <cell r="AI386">
            <v>1093107.73</v>
          </cell>
          <cell r="AJ386">
            <v>1103357.73</v>
          </cell>
          <cell r="AK386">
            <v>1103357.73</v>
          </cell>
          <cell r="AL386">
            <v>1103357.73</v>
          </cell>
          <cell r="AM386">
            <v>1103357.73</v>
          </cell>
          <cell r="AN386">
            <v>1103357.73</v>
          </cell>
          <cell r="AO386">
            <v>1103357.73</v>
          </cell>
          <cell r="AP386">
            <v>1103357.73</v>
          </cell>
          <cell r="AQ386">
            <v>1103357.73</v>
          </cell>
          <cell r="AR386">
            <v>1103357.73</v>
          </cell>
          <cell r="AS386">
            <v>1103357.73</v>
          </cell>
          <cell r="AT386">
            <v>1103357.73</v>
          </cell>
          <cell r="AU386">
            <v>1103357.73</v>
          </cell>
          <cell r="AV386">
            <v>1103357.73</v>
          </cell>
          <cell r="AW386">
            <v>1103357.73</v>
          </cell>
          <cell r="AX386">
            <v>1103357.73</v>
          </cell>
          <cell r="AY386">
            <v>1103357.73</v>
          </cell>
          <cell r="AZ386">
            <v>1103357.73</v>
          </cell>
          <cell r="BA386">
            <v>1103357.73</v>
          </cell>
          <cell r="BB386">
            <v>1103357.73</v>
          </cell>
          <cell r="BC386">
            <v>1103357.73</v>
          </cell>
          <cell r="BD386">
            <v>976274</v>
          </cell>
          <cell r="BE386">
            <v>1055232.6499999999</v>
          </cell>
          <cell r="BF386">
            <v>1117941.06</v>
          </cell>
          <cell r="BG386">
            <v>1117941.06</v>
          </cell>
          <cell r="BH386">
            <v>1117941.06</v>
          </cell>
          <cell r="BI386">
            <v>1198288.32</v>
          </cell>
          <cell r="BJ386">
            <v>1210649.3899999999</v>
          </cell>
          <cell r="BK386">
            <v>1210649.3899999999</v>
          </cell>
          <cell r="BL386">
            <v>1210649.3899999999</v>
          </cell>
          <cell r="BM386">
            <v>1210649.3899999999</v>
          </cell>
          <cell r="BN386">
            <v>1210649.3899999999</v>
          </cell>
          <cell r="BO386">
            <v>1210649.3899999999</v>
          </cell>
          <cell r="BP386">
            <v>1210649.3899999999</v>
          </cell>
          <cell r="BQ386">
            <v>1210649.3899999999</v>
          </cell>
          <cell r="BR386">
            <v>1230788.28</v>
          </cell>
          <cell r="BS386">
            <v>1286170.22</v>
          </cell>
          <cell r="BT386">
            <v>1286170.22</v>
          </cell>
          <cell r="BU386">
            <v>1286170.22</v>
          </cell>
          <cell r="BV386">
            <v>1286170.22</v>
          </cell>
          <cell r="BW386">
            <v>1286170.22</v>
          </cell>
          <cell r="BX386">
            <v>1286170.22</v>
          </cell>
          <cell r="BY386">
            <v>1286170.22</v>
          </cell>
          <cell r="BZ386">
            <v>1281135.51</v>
          </cell>
          <cell r="CA386">
            <v>1286170.22</v>
          </cell>
          <cell r="CB386">
            <v>1286170.22</v>
          </cell>
          <cell r="CC386">
            <v>1286170.22</v>
          </cell>
          <cell r="CD386">
            <v>1286170.22</v>
          </cell>
          <cell r="CE386">
            <v>1286170.22</v>
          </cell>
          <cell r="CF386">
            <v>1286170.22</v>
          </cell>
          <cell r="CG386">
            <v>1286170.22</v>
          </cell>
          <cell r="CH386">
            <v>1286170.22</v>
          </cell>
          <cell r="CI386">
            <v>1286170.22</v>
          </cell>
          <cell r="CJ386">
            <v>1286170.22</v>
          </cell>
          <cell r="CK386">
            <v>1286170.22</v>
          </cell>
          <cell r="CL386">
            <v>1603857.72</v>
          </cell>
          <cell r="CM386">
            <v>1846795.22</v>
          </cell>
          <cell r="CN386">
            <v>1636354.16</v>
          </cell>
          <cell r="CO386">
            <v>1741574.69</v>
          </cell>
          <cell r="CP386">
            <v>1636354.16</v>
          </cell>
          <cell r="CQ386">
            <v>1636354.16</v>
          </cell>
          <cell r="CR386">
            <v>1542916.66</v>
          </cell>
          <cell r="CS386">
            <v>1636354.16</v>
          </cell>
          <cell r="CT386">
            <v>1636354.16</v>
          </cell>
          <cell r="CU386">
            <v>1636354.16</v>
          </cell>
          <cell r="CV386">
            <v>1636354.16</v>
          </cell>
          <cell r="CW386">
            <v>1636354.16</v>
          </cell>
          <cell r="CX386">
            <v>1636354.16</v>
          </cell>
          <cell r="CY386">
            <v>1636354.16</v>
          </cell>
          <cell r="CZ386">
            <v>1636354.16</v>
          </cell>
          <cell r="DA386">
            <v>1636354.16</v>
          </cell>
          <cell r="DB386">
            <v>1802760.41</v>
          </cell>
          <cell r="DC386">
            <v>1913697.91</v>
          </cell>
          <cell r="DD386">
            <v>1886614.45</v>
          </cell>
          <cell r="DE386">
            <v>1859531.24</v>
          </cell>
          <cell r="DF386">
            <v>1859531.24</v>
          </cell>
          <cell r="DG386">
            <v>1859531.24</v>
          </cell>
        </row>
        <row r="387">
          <cell r="A387">
            <v>7500120</v>
          </cell>
          <cell r="B387">
            <v>7500120</v>
          </cell>
          <cell r="C387" t="str">
            <v>Int Exp Amz Disc LTD</v>
          </cell>
          <cell r="D387">
            <v>1582.5</v>
          </cell>
          <cell r="E387">
            <v>1582.5</v>
          </cell>
          <cell r="F387">
            <v>1582.5</v>
          </cell>
          <cell r="G387">
            <v>1582.5</v>
          </cell>
          <cell r="H387">
            <v>1582.5</v>
          </cell>
          <cell r="I387">
            <v>1610.42</v>
          </cell>
          <cell r="J387">
            <v>1601.11</v>
          </cell>
          <cell r="K387">
            <v>1601.11</v>
          </cell>
          <cell r="L387">
            <v>1601.11</v>
          </cell>
          <cell r="M387">
            <v>1601.11</v>
          </cell>
          <cell r="N387">
            <v>1601.11</v>
          </cell>
          <cell r="O387">
            <v>1601.11</v>
          </cell>
          <cell r="P387">
            <v>1601.11</v>
          </cell>
          <cell r="Q387">
            <v>1601.11</v>
          </cell>
          <cell r="R387">
            <v>1601.11</v>
          </cell>
          <cell r="S387">
            <v>1601.11</v>
          </cell>
          <cell r="T387">
            <v>1601.11</v>
          </cell>
          <cell r="U387">
            <v>1705.64</v>
          </cell>
          <cell r="V387">
            <v>1704.44</v>
          </cell>
          <cell r="W387">
            <v>1704.44</v>
          </cell>
          <cell r="X387">
            <v>1704.44</v>
          </cell>
          <cell r="Y387">
            <v>1704.44</v>
          </cell>
          <cell r="Z387">
            <v>1704.44</v>
          </cell>
          <cell r="AA387">
            <v>1704.44</v>
          </cell>
          <cell r="AB387">
            <v>1704.44</v>
          </cell>
          <cell r="AC387">
            <v>1704.44</v>
          </cell>
          <cell r="AD387">
            <v>1704.44</v>
          </cell>
          <cell r="AE387">
            <v>1704.44</v>
          </cell>
          <cell r="AF387">
            <v>1704.44</v>
          </cell>
          <cell r="AG387">
            <v>1704.44</v>
          </cell>
          <cell r="AH387">
            <v>1704.44</v>
          </cell>
          <cell r="AI387">
            <v>1704.44</v>
          </cell>
          <cell r="AJ387">
            <v>1704.44</v>
          </cell>
          <cell r="AK387">
            <v>1704.44</v>
          </cell>
          <cell r="AL387">
            <v>1704.44</v>
          </cell>
          <cell r="AM387">
            <v>1704.44</v>
          </cell>
          <cell r="AN387">
            <v>1704.44</v>
          </cell>
          <cell r="AO387">
            <v>1704.44</v>
          </cell>
          <cell r="AP387">
            <v>1704.44</v>
          </cell>
          <cell r="AQ387">
            <v>1704.44</v>
          </cell>
          <cell r="AR387">
            <v>1704.44</v>
          </cell>
          <cell r="AS387">
            <v>1704.44</v>
          </cell>
          <cell r="AT387">
            <v>1704.44</v>
          </cell>
          <cell r="AU387">
            <v>1704.44</v>
          </cell>
          <cell r="AV387">
            <v>1704.44</v>
          </cell>
          <cell r="AW387">
            <v>1704.44</v>
          </cell>
          <cell r="AX387">
            <v>1704.44</v>
          </cell>
          <cell r="AY387">
            <v>1704.44</v>
          </cell>
          <cell r="AZ387">
            <v>1704.44</v>
          </cell>
          <cell r="BA387">
            <v>1704.44</v>
          </cell>
          <cell r="BB387">
            <v>1704.44</v>
          </cell>
          <cell r="BC387">
            <v>1704.44</v>
          </cell>
          <cell r="BD387">
            <v>1704.44</v>
          </cell>
          <cell r="BE387">
            <v>2819.91</v>
          </cell>
          <cell r="BF387">
            <v>2821.11</v>
          </cell>
          <cell r="BG387">
            <v>2821.11</v>
          </cell>
          <cell r="BH387">
            <v>2821.11</v>
          </cell>
          <cell r="BI387">
            <v>3167.06</v>
          </cell>
          <cell r="BJ387">
            <v>3168.26</v>
          </cell>
          <cell r="BK387">
            <v>3168.26</v>
          </cell>
          <cell r="BL387">
            <v>3168.26</v>
          </cell>
          <cell r="BM387">
            <v>3168.26</v>
          </cell>
          <cell r="BN387">
            <v>3168.26</v>
          </cell>
          <cell r="BO387">
            <v>3168.26</v>
          </cell>
          <cell r="BP387">
            <v>3168.26</v>
          </cell>
          <cell r="BQ387">
            <v>3168.26</v>
          </cell>
          <cell r="BR387">
            <v>3168.26</v>
          </cell>
          <cell r="BS387">
            <v>3992.76</v>
          </cell>
          <cell r="BT387">
            <v>3994.41</v>
          </cell>
          <cell r="BU387">
            <v>3994.41</v>
          </cell>
          <cell r="BV387">
            <v>3994.41</v>
          </cell>
          <cell r="BW387">
            <v>3994.41</v>
          </cell>
          <cell r="BX387">
            <v>3994.41</v>
          </cell>
          <cell r="BY387">
            <v>3994.41</v>
          </cell>
          <cell r="BZ387">
            <v>3994.41</v>
          </cell>
          <cell r="CA387">
            <v>3994.41</v>
          </cell>
          <cell r="CB387">
            <v>3994.41</v>
          </cell>
          <cell r="CC387">
            <v>3994.41</v>
          </cell>
          <cell r="CD387">
            <v>3994.41</v>
          </cell>
          <cell r="CE387">
            <v>3994.41</v>
          </cell>
          <cell r="CF387">
            <v>3994.41</v>
          </cell>
          <cell r="CG387">
            <v>3994.41</v>
          </cell>
          <cell r="CH387">
            <v>3994.41</v>
          </cell>
          <cell r="CI387">
            <v>3994.41</v>
          </cell>
          <cell r="CJ387">
            <v>3994.41</v>
          </cell>
          <cell r="CK387">
            <v>3994.41</v>
          </cell>
          <cell r="CL387">
            <v>7830.94</v>
          </cell>
          <cell r="CM387">
            <v>7652.44</v>
          </cell>
          <cell r="CN387">
            <v>7830.94</v>
          </cell>
          <cell r="CO387">
            <v>7830.94</v>
          </cell>
          <cell r="CP387">
            <v>7830.94</v>
          </cell>
          <cell r="CQ387">
            <v>7830.94</v>
          </cell>
          <cell r="CR387">
            <v>7830.94</v>
          </cell>
          <cell r="CS387">
            <v>7830.94</v>
          </cell>
          <cell r="CT387">
            <v>7830.94</v>
          </cell>
          <cell r="CU387">
            <v>7830.94</v>
          </cell>
          <cell r="CV387">
            <v>7830.94</v>
          </cell>
          <cell r="CW387">
            <v>7830.94</v>
          </cell>
          <cell r="CX387">
            <v>7830.94</v>
          </cell>
          <cell r="CY387">
            <v>7830.94</v>
          </cell>
          <cell r="CZ387">
            <v>7830.94</v>
          </cell>
          <cell r="DA387">
            <v>7830.94</v>
          </cell>
          <cell r="DB387">
            <v>8557.49</v>
          </cell>
          <cell r="DC387">
            <v>8555.8700000000008</v>
          </cell>
          <cell r="DD387">
            <v>8555.8700000000008</v>
          </cell>
          <cell r="DE387">
            <v>8301.7000000000007</v>
          </cell>
          <cell r="DF387">
            <v>8301.7000000000007</v>
          </cell>
          <cell r="DG387">
            <v>8301.7000000000007</v>
          </cell>
        </row>
        <row r="388">
          <cell r="A388">
            <v>7500130</v>
          </cell>
          <cell r="B388">
            <v>7500130</v>
          </cell>
          <cell r="C388" t="str">
            <v>Int Exp Amz Fees LTD</v>
          </cell>
          <cell r="D388">
            <v>43660.99</v>
          </cell>
          <cell r="E388">
            <v>43660.99</v>
          </cell>
          <cell r="F388">
            <v>43660.99</v>
          </cell>
          <cell r="G388">
            <v>43660.99</v>
          </cell>
          <cell r="H388">
            <v>43675.37</v>
          </cell>
          <cell r="I388">
            <v>44086.239999999998</v>
          </cell>
          <cell r="J388">
            <v>43971.83</v>
          </cell>
          <cell r="K388">
            <v>43963.13</v>
          </cell>
          <cell r="L388">
            <v>44167.34</v>
          </cell>
          <cell r="M388">
            <v>43995.54</v>
          </cell>
          <cell r="N388">
            <v>43993.45</v>
          </cell>
          <cell r="O388">
            <v>43993.45</v>
          </cell>
          <cell r="P388">
            <v>43993.45</v>
          </cell>
          <cell r="Q388">
            <v>43993.45</v>
          </cell>
          <cell r="R388">
            <v>43993.45</v>
          </cell>
          <cell r="S388">
            <v>43993.45</v>
          </cell>
          <cell r="T388">
            <v>76660.12</v>
          </cell>
          <cell r="U388">
            <v>10942.84</v>
          </cell>
          <cell r="V388">
            <v>43616.11</v>
          </cell>
          <cell r="W388">
            <v>43612.81</v>
          </cell>
          <cell r="X388">
            <v>43723.93</v>
          </cell>
          <cell r="Y388">
            <v>43640.59</v>
          </cell>
          <cell r="Z388">
            <v>43639.88</v>
          </cell>
          <cell r="AA388">
            <v>43658.71</v>
          </cell>
          <cell r="AB388">
            <v>43640.59</v>
          </cell>
          <cell r="AC388">
            <v>43640.59</v>
          </cell>
          <cell r="AD388">
            <v>43640.59</v>
          </cell>
          <cell r="AE388">
            <v>43640.59</v>
          </cell>
          <cell r="AF388">
            <v>43640.59</v>
          </cell>
          <cell r="AG388">
            <v>43640.59</v>
          </cell>
          <cell r="AH388">
            <v>43640.59</v>
          </cell>
          <cell r="AI388">
            <v>43640.59</v>
          </cell>
          <cell r="AJ388">
            <v>43640.59</v>
          </cell>
          <cell r="AK388">
            <v>43640.59</v>
          </cell>
          <cell r="AL388">
            <v>43640.59</v>
          </cell>
          <cell r="AM388">
            <v>43640.59</v>
          </cell>
          <cell r="AN388">
            <v>43640.59</v>
          </cell>
          <cell r="AO388">
            <v>43640.59</v>
          </cell>
          <cell r="AP388">
            <v>43640.59</v>
          </cell>
          <cell r="AQ388">
            <v>43640.59</v>
          </cell>
          <cell r="AR388">
            <v>43640.59</v>
          </cell>
          <cell r="AS388">
            <v>43640.59</v>
          </cell>
          <cell r="AT388">
            <v>43640.59</v>
          </cell>
          <cell r="AU388">
            <v>43640.59</v>
          </cell>
          <cell r="AV388">
            <v>43640.59</v>
          </cell>
          <cell r="AW388">
            <v>43640.59</v>
          </cell>
          <cell r="AX388">
            <v>43640.59</v>
          </cell>
          <cell r="AY388">
            <v>43640.59</v>
          </cell>
          <cell r="AZ388">
            <v>43640.59</v>
          </cell>
          <cell r="BA388">
            <v>43640.59</v>
          </cell>
          <cell r="BB388">
            <v>43640.59</v>
          </cell>
          <cell r="BC388">
            <v>43640.59</v>
          </cell>
          <cell r="BD388">
            <v>25664.55</v>
          </cell>
          <cell r="BE388">
            <v>9797.19</v>
          </cell>
          <cell r="BF388">
            <v>9883.1299999999992</v>
          </cell>
          <cell r="BG388">
            <v>9885.27</v>
          </cell>
          <cell r="BH388">
            <v>10320.620000000001</v>
          </cell>
          <cell r="BI388">
            <v>10636.85</v>
          </cell>
          <cell r="BJ388">
            <v>10660.83</v>
          </cell>
          <cell r="BK388">
            <v>10682.06</v>
          </cell>
          <cell r="BL388">
            <v>10654.62</v>
          </cell>
          <cell r="BM388">
            <v>10654.62</v>
          </cell>
          <cell r="BN388">
            <v>10884.14</v>
          </cell>
          <cell r="BO388">
            <v>10692.66</v>
          </cell>
          <cell r="BP388">
            <v>10692.66</v>
          </cell>
          <cell r="BQ388">
            <v>10692.66</v>
          </cell>
          <cell r="BR388">
            <v>10692.66</v>
          </cell>
          <cell r="BS388">
            <v>11405.86</v>
          </cell>
          <cell r="BT388">
            <v>11465.91</v>
          </cell>
          <cell r="BU388">
            <v>11435.41</v>
          </cell>
          <cell r="BV388">
            <v>11435.41</v>
          </cell>
          <cell r="BW388">
            <v>11633.81</v>
          </cell>
          <cell r="BX388">
            <v>11475.51</v>
          </cell>
          <cell r="BY388">
            <v>11475.51</v>
          </cell>
          <cell r="BZ388">
            <v>11486.87</v>
          </cell>
          <cell r="CA388">
            <v>11476.79</v>
          </cell>
          <cell r="CB388">
            <v>11476.79</v>
          </cell>
          <cell r="CC388">
            <v>11476.79</v>
          </cell>
          <cell r="CD388">
            <v>11476.79</v>
          </cell>
          <cell r="CE388">
            <v>11476.79</v>
          </cell>
          <cell r="CF388">
            <v>11476.79</v>
          </cell>
          <cell r="CG388">
            <v>11476.79</v>
          </cell>
          <cell r="CH388">
            <v>11476.79</v>
          </cell>
          <cell r="CI388">
            <v>11476.79</v>
          </cell>
          <cell r="CJ388">
            <v>11476.79</v>
          </cell>
          <cell r="CK388">
            <v>11476.79</v>
          </cell>
          <cell r="CL388">
            <v>21131.59</v>
          </cell>
          <cell r="CM388">
            <v>22693.21</v>
          </cell>
          <cell r="CN388">
            <v>24477.97</v>
          </cell>
          <cell r="CO388">
            <v>26535.63</v>
          </cell>
          <cell r="CP388">
            <v>23717.69</v>
          </cell>
          <cell r="CQ388">
            <v>23717.69</v>
          </cell>
          <cell r="CR388">
            <v>23717.69</v>
          </cell>
          <cell r="CS388">
            <v>23717.69</v>
          </cell>
          <cell r="CT388">
            <v>25183.59</v>
          </cell>
          <cell r="CU388">
            <v>23717.69</v>
          </cell>
          <cell r="CV388">
            <v>23717.69</v>
          </cell>
          <cell r="CW388">
            <v>23717.69</v>
          </cell>
          <cell r="CX388">
            <v>23717.69</v>
          </cell>
          <cell r="CY388">
            <v>23717.69</v>
          </cell>
          <cell r="CZ388">
            <v>23717.69</v>
          </cell>
          <cell r="DA388">
            <v>23717.69</v>
          </cell>
          <cell r="DB388">
            <v>29831.29</v>
          </cell>
          <cell r="DC388">
            <v>32956.74</v>
          </cell>
          <cell r="DD388">
            <v>31446.14</v>
          </cell>
          <cell r="DE388">
            <v>31017.47</v>
          </cell>
          <cell r="DF388">
            <v>30085.98</v>
          </cell>
          <cell r="DG388">
            <v>30085.98</v>
          </cell>
        </row>
        <row r="389">
          <cell r="A389">
            <v>7500240</v>
          </cell>
          <cell r="B389">
            <v>7500240</v>
          </cell>
          <cell r="C389" t="str">
            <v>Int Ex Dfd Conserv</v>
          </cell>
          <cell r="D389">
            <v>0</v>
          </cell>
          <cell r="E389">
            <v>0</v>
          </cell>
          <cell r="F389">
            <v>0</v>
          </cell>
          <cell r="G389">
            <v>26</v>
          </cell>
          <cell r="H389">
            <v>34</v>
          </cell>
          <cell r="I389">
            <v>33</v>
          </cell>
          <cell r="J389">
            <v>29</v>
          </cell>
          <cell r="K389">
            <v>12</v>
          </cell>
          <cell r="L389">
            <v>0</v>
          </cell>
          <cell r="M389">
            <v>0</v>
          </cell>
          <cell r="N389">
            <v>0</v>
          </cell>
          <cell r="O389">
            <v>2</v>
          </cell>
          <cell r="P389">
            <v>39</v>
          </cell>
          <cell r="Q389">
            <v>85</v>
          </cell>
          <cell r="R389">
            <v>141</v>
          </cell>
          <cell r="S389">
            <v>135</v>
          </cell>
          <cell r="T389">
            <v>169</v>
          </cell>
          <cell r="U389">
            <v>192</v>
          </cell>
          <cell r="V389">
            <v>191</v>
          </cell>
          <cell r="W389">
            <v>203</v>
          </cell>
          <cell r="X389">
            <v>208</v>
          </cell>
          <cell r="Y389">
            <v>181</v>
          </cell>
          <cell r="Z389">
            <v>186</v>
          </cell>
          <cell r="AA389">
            <v>449</v>
          </cell>
          <cell r="AB389">
            <v>731</v>
          </cell>
          <cell r="AC389">
            <v>850</v>
          </cell>
          <cell r="AD389">
            <v>998</v>
          </cell>
          <cell r="AE389">
            <v>952</v>
          </cell>
          <cell r="AF389">
            <v>887</v>
          </cell>
          <cell r="AG389">
            <v>825</v>
          </cell>
          <cell r="AH389">
            <v>710</v>
          </cell>
          <cell r="AI389">
            <v>537</v>
          </cell>
          <cell r="AJ389">
            <v>380</v>
          </cell>
          <cell r="AK389">
            <v>246</v>
          </cell>
          <cell r="AL389">
            <v>121</v>
          </cell>
          <cell r="AM389">
            <v>25</v>
          </cell>
          <cell r="AN389">
            <v>178</v>
          </cell>
          <cell r="AO389">
            <v>607</v>
          </cell>
          <cell r="AP389">
            <v>966</v>
          </cell>
          <cell r="AQ389">
            <v>1317</v>
          </cell>
          <cell r="AR389">
            <v>1260</v>
          </cell>
          <cell r="AS389">
            <v>977</v>
          </cell>
          <cell r="AT389">
            <v>470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cell r="BJ389"/>
          <cell r="BK389"/>
          <cell r="BL389"/>
          <cell r="BM389"/>
          <cell r="BN389"/>
          <cell r="BO389"/>
          <cell r="BP389"/>
          <cell r="BQ389"/>
          <cell r="BR389"/>
          <cell r="BS389"/>
          <cell r="BT389"/>
          <cell r="BU389"/>
          <cell r="BV389"/>
          <cell r="BW389"/>
          <cell r="BX389"/>
          <cell r="BY389"/>
          <cell r="BZ389"/>
          <cell r="CA389"/>
          <cell r="CB389"/>
          <cell r="CC389"/>
          <cell r="CD389"/>
          <cell r="CE389"/>
          <cell r="CF389"/>
          <cell r="CG389"/>
          <cell r="CH389"/>
          <cell r="CI389"/>
          <cell r="CJ389"/>
          <cell r="CK389"/>
          <cell r="CL389"/>
          <cell r="CM389"/>
          <cell r="CN389"/>
          <cell r="CO389"/>
          <cell r="CP389">
            <v>0</v>
          </cell>
          <cell r="CQ389">
            <v>0</v>
          </cell>
          <cell r="CR389">
            <v>0</v>
          </cell>
          <cell r="CS389">
            <v>0</v>
          </cell>
          <cell r="CT389">
            <v>0</v>
          </cell>
          <cell r="CU389">
            <v>0</v>
          </cell>
          <cell r="CV389">
            <v>0</v>
          </cell>
          <cell r="CW389">
            <v>213</v>
          </cell>
          <cell r="CX389">
            <v>586</v>
          </cell>
          <cell r="CY389">
            <v>1115</v>
          </cell>
          <cell r="CZ389">
            <v>2257</v>
          </cell>
          <cell r="DA389">
            <v>4470</v>
          </cell>
          <cell r="DB389">
            <v>6063</v>
          </cell>
          <cell r="DC389">
            <v>5314</v>
          </cell>
          <cell r="DD389">
            <v>5129</v>
          </cell>
          <cell r="DE389">
            <v>4808</v>
          </cell>
          <cell r="DF389">
            <v>4677</v>
          </cell>
          <cell r="DG389">
            <v>5145</v>
          </cell>
        </row>
        <row r="390">
          <cell r="A390">
            <v>7500260</v>
          </cell>
          <cell r="B390">
            <v>7500260</v>
          </cell>
          <cell r="C390" t="str">
            <v>Int Ex Dfd PGA</v>
          </cell>
          <cell r="D390">
            <v>0</v>
          </cell>
          <cell r="E390">
            <v>0</v>
          </cell>
          <cell r="F390">
            <v>0</v>
          </cell>
          <cell r="G390">
            <v>145</v>
          </cell>
          <cell r="H390">
            <v>142</v>
          </cell>
          <cell r="I390">
            <v>117</v>
          </cell>
          <cell r="J390">
            <v>206</v>
          </cell>
          <cell r="K390">
            <v>249</v>
          </cell>
          <cell r="L390">
            <v>246</v>
          </cell>
          <cell r="M390">
            <v>185</v>
          </cell>
          <cell r="N390">
            <v>-26</v>
          </cell>
          <cell r="O390">
            <v>-153</v>
          </cell>
          <cell r="P390">
            <v>0</v>
          </cell>
          <cell r="Q390">
            <v>0</v>
          </cell>
          <cell r="R390">
            <v>0</v>
          </cell>
          <cell r="S390">
            <v>39</v>
          </cell>
          <cell r="T390">
            <v>0</v>
          </cell>
          <cell r="U390">
            <v>7</v>
          </cell>
          <cell r="V390">
            <v>53</v>
          </cell>
          <cell r="W390">
            <v>32</v>
          </cell>
          <cell r="X390">
            <v>38</v>
          </cell>
          <cell r="Y390">
            <v>0</v>
          </cell>
          <cell r="Z390">
            <v>0</v>
          </cell>
          <cell r="AA390">
            <v>0</v>
          </cell>
          <cell r="AB390">
            <v>0</v>
          </cell>
          <cell r="AC390">
            <v>0</v>
          </cell>
          <cell r="AD390">
            <v>682</v>
          </cell>
          <cell r="AE390">
            <v>987</v>
          </cell>
          <cell r="AF390">
            <v>1333</v>
          </cell>
          <cell r="AG390">
            <v>1981</v>
          </cell>
          <cell r="AH390">
            <v>2510</v>
          </cell>
          <cell r="AI390">
            <v>2952</v>
          </cell>
          <cell r="AJ390">
            <v>3171</v>
          </cell>
          <cell r="AK390">
            <v>2765</v>
          </cell>
          <cell r="AL390">
            <v>1640</v>
          </cell>
          <cell r="AM390">
            <v>1208</v>
          </cell>
          <cell r="AN390">
            <v>1465</v>
          </cell>
          <cell r="AO390">
            <v>2428</v>
          </cell>
          <cell r="AP390">
            <v>2665</v>
          </cell>
          <cell r="AQ390">
            <v>2079</v>
          </cell>
          <cell r="AR390">
            <v>2454</v>
          </cell>
          <cell r="AS390">
            <v>2364</v>
          </cell>
          <cell r="AT390">
            <v>1592</v>
          </cell>
          <cell r="AU390">
            <v>489</v>
          </cell>
          <cell r="AV390">
            <v>396</v>
          </cell>
          <cell r="AW390">
            <v>0</v>
          </cell>
          <cell r="AX390">
            <v>0</v>
          </cell>
          <cell r="AY390">
            <v>0</v>
          </cell>
          <cell r="AZ390">
            <v>0</v>
          </cell>
          <cell r="BA390">
            <v>7008</v>
          </cell>
          <cell r="BB390">
            <v>10442</v>
          </cell>
          <cell r="BC390">
            <v>11887</v>
          </cell>
          <cell r="BD390">
            <v>14614</v>
          </cell>
          <cell r="BE390">
            <v>15470</v>
          </cell>
          <cell r="BF390">
            <v>16526</v>
          </cell>
          <cell r="BG390">
            <v>16307</v>
          </cell>
          <cell r="BH390">
            <v>17347</v>
          </cell>
          <cell r="BI390">
            <v>16180</v>
          </cell>
          <cell r="BJ390">
            <v>7595</v>
          </cell>
          <cell r="BK390">
            <v>0</v>
          </cell>
          <cell r="BL390">
            <v>0</v>
          </cell>
          <cell r="BM390">
            <v>2141</v>
          </cell>
          <cell r="BN390">
            <v>6687</v>
          </cell>
          <cell r="BO390">
            <v>10771</v>
          </cell>
          <cell r="BP390">
            <v>15937</v>
          </cell>
          <cell r="BQ390">
            <v>19071</v>
          </cell>
          <cell r="BR390">
            <v>19102</v>
          </cell>
          <cell r="BS390">
            <v>16727</v>
          </cell>
          <cell r="BT390">
            <v>15362</v>
          </cell>
          <cell r="BU390">
            <v>12311</v>
          </cell>
          <cell r="BV390">
            <v>7698</v>
          </cell>
          <cell r="BW390">
            <v>6973</v>
          </cell>
          <cell r="BX390">
            <v>10190</v>
          </cell>
          <cell r="BY390">
            <v>14048</v>
          </cell>
          <cell r="BZ390">
            <v>19934</v>
          </cell>
          <cell r="CA390">
            <v>12890</v>
          </cell>
          <cell r="CB390">
            <v>798</v>
          </cell>
          <cell r="CC390">
            <v>1089</v>
          </cell>
          <cell r="CD390">
            <v>1320</v>
          </cell>
          <cell r="CE390">
            <v>1275</v>
          </cell>
          <cell r="CF390">
            <v>881</v>
          </cell>
          <cell r="CG390">
            <v>579</v>
          </cell>
          <cell r="CH390">
            <v>442</v>
          </cell>
          <cell r="CI390">
            <v>228</v>
          </cell>
          <cell r="CJ390">
            <v>339</v>
          </cell>
          <cell r="CK390">
            <v>372</v>
          </cell>
          <cell r="CL390">
            <v>194</v>
          </cell>
          <cell r="CM390">
            <v>269</v>
          </cell>
          <cell r="CN390">
            <v>261</v>
          </cell>
          <cell r="CO390">
            <v>276</v>
          </cell>
          <cell r="CP390">
            <v>310</v>
          </cell>
          <cell r="CQ390">
            <v>248</v>
          </cell>
          <cell r="CR390">
            <v>201</v>
          </cell>
          <cell r="CS390">
            <v>0</v>
          </cell>
          <cell r="CT390">
            <v>0</v>
          </cell>
          <cell r="CU390">
            <v>0</v>
          </cell>
          <cell r="CV390">
            <v>0</v>
          </cell>
          <cell r="CW390">
            <v>0</v>
          </cell>
          <cell r="CX390">
            <v>0</v>
          </cell>
          <cell r="CY390">
            <v>0</v>
          </cell>
          <cell r="CZ390">
            <v>914</v>
          </cell>
          <cell r="DA390">
            <v>631</v>
          </cell>
          <cell r="DB390">
            <v>1830</v>
          </cell>
          <cell r="DC390">
            <v>6412</v>
          </cell>
          <cell r="DD390">
            <v>17668</v>
          </cell>
          <cell r="DE390">
            <v>32197</v>
          </cell>
          <cell r="DF390">
            <v>25709</v>
          </cell>
          <cell r="DG390">
            <v>2297</v>
          </cell>
        </row>
        <row r="391">
          <cell r="A391">
            <v>7500271</v>
          </cell>
          <cell r="B391">
            <v>7500271</v>
          </cell>
          <cell r="C391" t="str">
            <v>Int Ex CI/BSR Rider</v>
          </cell>
          <cell r="D391">
            <v>6</v>
          </cell>
          <cell r="E391">
            <v>11</v>
          </cell>
          <cell r="F391">
            <v>16</v>
          </cell>
          <cell r="G391">
            <v>23</v>
          </cell>
          <cell r="H391">
            <v>20</v>
          </cell>
          <cell r="I391">
            <v>16</v>
          </cell>
          <cell r="J391">
            <v>19</v>
          </cell>
          <cell r="K391">
            <v>16</v>
          </cell>
          <cell r="L391">
            <v>13</v>
          </cell>
          <cell r="M391">
            <v>9</v>
          </cell>
          <cell r="N391">
            <v>6</v>
          </cell>
          <cell r="O391">
            <v>4</v>
          </cell>
          <cell r="P391">
            <v>11</v>
          </cell>
          <cell r="Q391">
            <v>26</v>
          </cell>
          <cell r="R391">
            <v>37</v>
          </cell>
          <cell r="S391">
            <v>32</v>
          </cell>
          <cell r="T391">
            <v>36</v>
          </cell>
          <cell r="U391">
            <v>37</v>
          </cell>
          <cell r="V391">
            <v>31</v>
          </cell>
          <cell r="W391">
            <v>27</v>
          </cell>
          <cell r="X391">
            <v>21</v>
          </cell>
          <cell r="Y391">
            <v>11</v>
          </cell>
          <cell r="Z391">
            <v>0</v>
          </cell>
          <cell r="AA391">
            <v>0</v>
          </cell>
          <cell r="AB391">
            <v>0</v>
          </cell>
          <cell r="AC391">
            <v>39</v>
          </cell>
          <cell r="AD391">
            <v>91</v>
          </cell>
          <cell r="AE391">
            <v>106</v>
          </cell>
          <cell r="AF391">
            <v>103</v>
          </cell>
          <cell r="AG391">
            <v>93</v>
          </cell>
          <cell r="AH391">
            <v>743</v>
          </cell>
          <cell r="AI391">
            <v>721</v>
          </cell>
          <cell r="AJ391">
            <v>716</v>
          </cell>
          <cell r="AK391">
            <v>710</v>
          </cell>
          <cell r="AL391">
            <v>653</v>
          </cell>
          <cell r="AM391">
            <v>1225</v>
          </cell>
          <cell r="AN391">
            <v>1024</v>
          </cell>
          <cell r="AO391">
            <v>959</v>
          </cell>
          <cell r="AP391">
            <v>1024</v>
          </cell>
          <cell r="AQ391">
            <v>1072</v>
          </cell>
          <cell r="AR391">
            <v>939</v>
          </cell>
          <cell r="AS391">
            <v>865</v>
          </cell>
          <cell r="AT391">
            <v>681</v>
          </cell>
          <cell r="AU391">
            <v>396</v>
          </cell>
          <cell r="AV391">
            <v>96</v>
          </cell>
          <cell r="AW391">
            <v>0</v>
          </cell>
          <cell r="AX391">
            <v>-1</v>
          </cell>
          <cell r="AY391">
            <v>-879</v>
          </cell>
          <cell r="AZ391">
            <v>0</v>
          </cell>
          <cell r="BA391">
            <v>0</v>
          </cell>
          <cell r="BB391">
            <v>228</v>
          </cell>
          <cell r="BC391">
            <v>590</v>
          </cell>
          <cell r="BD391">
            <v>1916</v>
          </cell>
          <cell r="BE391">
            <v>902</v>
          </cell>
          <cell r="BF391">
            <v>1239</v>
          </cell>
          <cell r="BG391">
            <v>1048</v>
          </cell>
          <cell r="BH391">
            <v>887</v>
          </cell>
          <cell r="BI391">
            <v>635</v>
          </cell>
          <cell r="BJ391">
            <v>285</v>
          </cell>
          <cell r="BK391">
            <v>297</v>
          </cell>
          <cell r="BL391">
            <v>454</v>
          </cell>
          <cell r="BM391">
            <v>-285</v>
          </cell>
          <cell r="BN391">
            <v>935</v>
          </cell>
          <cell r="BO391">
            <v>806</v>
          </cell>
          <cell r="BP391">
            <v>435</v>
          </cell>
          <cell r="BQ391">
            <v>1</v>
          </cell>
          <cell r="BR391">
            <v>0</v>
          </cell>
          <cell r="BS391">
            <v>0</v>
          </cell>
          <cell r="BT391">
            <v>0</v>
          </cell>
          <cell r="BU391">
            <v>155</v>
          </cell>
          <cell r="BV391">
            <v>0</v>
          </cell>
          <cell r="BW391">
            <v>-634</v>
          </cell>
          <cell r="BX391">
            <v>0</v>
          </cell>
          <cell r="BY391">
            <v>0</v>
          </cell>
          <cell r="BZ391">
            <v>0</v>
          </cell>
          <cell r="CA391">
            <v>0</v>
          </cell>
          <cell r="CB391">
            <v>0</v>
          </cell>
          <cell r="CC391">
            <v>0</v>
          </cell>
          <cell r="CD391">
            <v>0</v>
          </cell>
          <cell r="CE391">
            <v>0</v>
          </cell>
          <cell r="CF391">
            <v>0</v>
          </cell>
          <cell r="CG391"/>
          <cell r="CH391"/>
          <cell r="CI391"/>
          <cell r="CJ391"/>
          <cell r="CK391"/>
          <cell r="CL391"/>
          <cell r="CM391"/>
          <cell r="CN391"/>
          <cell r="CO391"/>
          <cell r="CP391">
            <v>0</v>
          </cell>
          <cell r="CQ391">
            <v>0</v>
          </cell>
          <cell r="CR391">
            <v>0</v>
          </cell>
          <cell r="CS391">
            <v>0</v>
          </cell>
          <cell r="CT391">
            <v>0</v>
          </cell>
          <cell r="CU391">
            <v>0</v>
          </cell>
          <cell r="CV391">
            <v>0</v>
          </cell>
          <cell r="CW391">
            <v>0</v>
          </cell>
          <cell r="CX391">
            <v>0</v>
          </cell>
          <cell r="CY391">
            <v>13</v>
          </cell>
          <cell r="CZ391">
            <v>46</v>
          </cell>
          <cell r="DA391">
            <v>220</v>
          </cell>
          <cell r="DB391">
            <v>438</v>
          </cell>
          <cell r="DC391">
            <v>282</v>
          </cell>
          <cell r="DD391">
            <v>0</v>
          </cell>
          <cell r="DE391">
            <v>0</v>
          </cell>
          <cell r="DF391">
            <v>0</v>
          </cell>
          <cell r="DG391">
            <v>0</v>
          </cell>
        </row>
        <row r="392">
          <cell r="A392">
            <v>7500700</v>
          </cell>
          <cell r="B392">
            <v>7500700</v>
          </cell>
          <cell r="C392" t="str">
            <v>Int Exp Intercompany</v>
          </cell>
          <cell r="D392">
            <v>8.7899999999999991</v>
          </cell>
          <cell r="E392">
            <v>0</v>
          </cell>
          <cell r="F392">
            <v>0</v>
          </cell>
          <cell r="G392">
            <v>0</v>
          </cell>
          <cell r="H392">
            <v>0</v>
          </cell>
          <cell r="I392">
            <v>0</v>
          </cell>
          <cell r="J392">
            <v>0</v>
          </cell>
          <cell r="K392">
            <v>21.92</v>
          </cell>
          <cell r="L392">
            <v>471.22</v>
          </cell>
          <cell r="M392">
            <v>359.57</v>
          </cell>
          <cell r="N392">
            <v>0</v>
          </cell>
          <cell r="O392">
            <v>255.48</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cell r="AF392"/>
          <cell r="AG392"/>
          <cell r="AH392"/>
          <cell r="AI392"/>
          <cell r="AJ392"/>
          <cell r="AK392">
            <v>4.37</v>
          </cell>
          <cell r="AL392">
            <v>0</v>
          </cell>
          <cell r="AM392">
            <v>0</v>
          </cell>
          <cell r="AN392">
            <v>0</v>
          </cell>
          <cell r="AO392">
            <v>0</v>
          </cell>
          <cell r="AP392">
            <v>0</v>
          </cell>
          <cell r="AQ392">
            <v>0</v>
          </cell>
          <cell r="AR392">
            <v>0</v>
          </cell>
          <cell r="AS392">
            <v>0</v>
          </cell>
          <cell r="AT392">
            <v>0</v>
          </cell>
          <cell r="AU392">
            <v>0</v>
          </cell>
          <cell r="AV392">
            <v>0</v>
          </cell>
          <cell r="AW392">
            <v>0</v>
          </cell>
          <cell r="AX392">
            <v>11265.77</v>
          </cell>
          <cell r="AY392">
            <v>17164.080000000002</v>
          </cell>
          <cell r="AZ392">
            <v>0</v>
          </cell>
          <cell r="BA392">
            <v>0</v>
          </cell>
          <cell r="BB392">
            <v>0</v>
          </cell>
          <cell r="BC392">
            <v>0</v>
          </cell>
          <cell r="BD392">
            <v>0</v>
          </cell>
          <cell r="BE392">
            <v>0</v>
          </cell>
          <cell r="BF392">
            <v>0</v>
          </cell>
          <cell r="BG392">
            <v>0</v>
          </cell>
          <cell r="BH392">
            <v>0</v>
          </cell>
          <cell r="BI392">
            <v>10930.39</v>
          </cell>
          <cell r="BJ392">
            <v>9713.34</v>
          </cell>
          <cell r="BK392">
            <v>0</v>
          </cell>
          <cell r="BL392">
            <v>0</v>
          </cell>
          <cell r="BM392">
            <v>0</v>
          </cell>
          <cell r="BN392">
            <v>0</v>
          </cell>
          <cell r="BO392">
            <v>0</v>
          </cell>
          <cell r="BP392">
            <v>0</v>
          </cell>
          <cell r="BQ392">
            <v>0</v>
          </cell>
          <cell r="BR392">
            <v>0</v>
          </cell>
          <cell r="BS392">
            <v>0</v>
          </cell>
          <cell r="BT392">
            <v>0</v>
          </cell>
          <cell r="BU392"/>
          <cell r="BV392"/>
          <cell r="BW392"/>
          <cell r="BX392">
            <v>0</v>
          </cell>
          <cell r="BY392">
            <v>0</v>
          </cell>
          <cell r="BZ392">
            <v>219.4</v>
          </cell>
          <cell r="CA392">
            <v>0</v>
          </cell>
          <cell r="CB392">
            <v>0</v>
          </cell>
          <cell r="CC392">
            <v>0</v>
          </cell>
          <cell r="CD392">
            <v>0</v>
          </cell>
          <cell r="CE392">
            <v>0</v>
          </cell>
          <cell r="CF392">
            <v>0</v>
          </cell>
          <cell r="CG392">
            <v>0</v>
          </cell>
          <cell r="CH392">
            <v>0</v>
          </cell>
          <cell r="CI392">
            <v>0</v>
          </cell>
          <cell r="CJ392">
            <v>0</v>
          </cell>
          <cell r="CK392">
            <v>0</v>
          </cell>
          <cell r="CL392">
            <v>278.17</v>
          </cell>
          <cell r="CM392">
            <v>993.1</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17810.62</v>
          </cell>
          <cell r="DC392">
            <v>65441.59</v>
          </cell>
          <cell r="DD392">
            <v>30893.3</v>
          </cell>
          <cell r="DE392">
            <v>0</v>
          </cell>
          <cell r="DF392">
            <v>0</v>
          </cell>
          <cell r="DG392">
            <v>0</v>
          </cell>
        </row>
        <row r="393">
          <cell r="A393">
            <v>7500800</v>
          </cell>
          <cell r="B393">
            <v>7500800</v>
          </cell>
          <cell r="C393" t="str">
            <v>Int Exp Misc</v>
          </cell>
          <cell r="D393">
            <v>0</v>
          </cell>
          <cell r="E393">
            <v>137.62</v>
          </cell>
          <cell r="F393">
            <v>0</v>
          </cell>
          <cell r="G393">
            <v>0</v>
          </cell>
          <cell r="H393">
            <v>285.36</v>
          </cell>
          <cell r="I393">
            <v>0</v>
          </cell>
          <cell r="J393">
            <v>0</v>
          </cell>
          <cell r="K393">
            <v>0</v>
          </cell>
          <cell r="L393">
            <v>0</v>
          </cell>
          <cell r="M393">
            <v>0</v>
          </cell>
          <cell r="N393">
            <v>0</v>
          </cell>
          <cell r="O393">
            <v>0</v>
          </cell>
          <cell r="P393">
            <v>461.02</v>
          </cell>
          <cell r="Q393">
            <v>87.8</v>
          </cell>
          <cell r="R393">
            <v>505.88</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cell r="AL393"/>
          <cell r="AM393"/>
          <cell r="AN393"/>
          <cell r="AO393"/>
          <cell r="AP393"/>
          <cell r="AQ393"/>
          <cell r="AR393"/>
          <cell r="AS393"/>
          <cell r="AT393"/>
          <cell r="AU393"/>
          <cell r="AV393"/>
          <cell r="AW393">
            <v>0</v>
          </cell>
          <cell r="AX393">
            <v>0</v>
          </cell>
          <cell r="AY393">
            <v>7988.7</v>
          </cell>
          <cell r="AZ393">
            <v>0</v>
          </cell>
          <cell r="BA393">
            <v>0</v>
          </cell>
          <cell r="BB393">
            <v>0</v>
          </cell>
          <cell r="BC393">
            <v>0</v>
          </cell>
          <cell r="BD393">
            <v>0</v>
          </cell>
          <cell r="BE393">
            <v>0</v>
          </cell>
          <cell r="BF393">
            <v>0</v>
          </cell>
          <cell r="BG393">
            <v>74.58</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cell r="BV393"/>
          <cell r="BW393"/>
          <cell r="BX393"/>
          <cell r="BY393"/>
          <cell r="BZ393"/>
          <cell r="CA393"/>
          <cell r="CB393"/>
          <cell r="CC393"/>
          <cell r="CD393"/>
          <cell r="CE393"/>
          <cell r="CF393"/>
          <cell r="CG393"/>
          <cell r="CH393"/>
          <cell r="CI393"/>
          <cell r="CJ393"/>
          <cell r="CK393"/>
          <cell r="CL393"/>
          <cell r="CM393"/>
          <cell r="CN393"/>
          <cell r="CO393"/>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row>
        <row r="394">
          <cell r="A394">
            <v>7509000</v>
          </cell>
          <cell r="B394">
            <v>7509000</v>
          </cell>
          <cell r="C394" t="str">
            <v>Int Exp to BalSheet</v>
          </cell>
          <cell r="D394"/>
          <cell r="E394"/>
          <cell r="F394"/>
          <cell r="G394"/>
          <cell r="H394"/>
          <cell r="I394"/>
          <cell r="J394"/>
          <cell r="K394"/>
          <cell r="L394"/>
          <cell r="M394"/>
          <cell r="N394"/>
          <cell r="O394"/>
          <cell r="P394"/>
          <cell r="Q394"/>
          <cell r="R394"/>
          <cell r="S394"/>
          <cell r="T394"/>
          <cell r="U394"/>
          <cell r="V394"/>
          <cell r="W394"/>
          <cell r="X394"/>
          <cell r="Y394"/>
          <cell r="Z394"/>
          <cell r="AA394"/>
          <cell r="AB394"/>
          <cell r="AC394"/>
          <cell r="AD394"/>
          <cell r="AE394"/>
          <cell r="AF394"/>
          <cell r="AG394"/>
          <cell r="AH394"/>
          <cell r="AI394"/>
          <cell r="AJ394"/>
          <cell r="AK394"/>
          <cell r="AL394"/>
          <cell r="AM394"/>
          <cell r="AN394"/>
          <cell r="AO394"/>
          <cell r="AP394"/>
          <cell r="AQ394"/>
          <cell r="AR394"/>
          <cell r="AS394"/>
          <cell r="AT394"/>
          <cell r="AU394"/>
          <cell r="AV394"/>
          <cell r="AW394"/>
          <cell r="AX394"/>
          <cell r="AY394"/>
          <cell r="AZ394"/>
          <cell r="BA394"/>
          <cell r="BB394"/>
          <cell r="BC394"/>
          <cell r="BD394"/>
          <cell r="BE394"/>
          <cell r="BF394"/>
          <cell r="BG394"/>
          <cell r="BH394"/>
          <cell r="BI394"/>
          <cell r="BJ394"/>
          <cell r="BK394"/>
          <cell r="BL394"/>
          <cell r="BM394"/>
          <cell r="BN394"/>
          <cell r="BO394"/>
          <cell r="BP394"/>
          <cell r="BQ394"/>
          <cell r="BR394"/>
          <cell r="BS394"/>
          <cell r="BT394"/>
          <cell r="BU394">
            <v>0</v>
          </cell>
          <cell r="BV394">
            <v>0</v>
          </cell>
          <cell r="BW394">
            <v>-151005.57</v>
          </cell>
          <cell r="BX394">
            <v>-41123.9</v>
          </cell>
          <cell r="BY394">
            <v>-51382.78</v>
          </cell>
          <cell r="BZ394">
            <v>-60040.59</v>
          </cell>
          <cell r="CA394">
            <v>-68313.5</v>
          </cell>
          <cell r="CB394">
            <v>-82831.14</v>
          </cell>
          <cell r="CC394">
            <v>-94708.89</v>
          </cell>
          <cell r="CD394">
            <v>-101897.5</v>
          </cell>
          <cell r="CE394">
            <v>-113702.74</v>
          </cell>
          <cell r="CF394">
            <v>-127173</v>
          </cell>
          <cell r="CG394">
            <v>-100603.36</v>
          </cell>
          <cell r="CH394">
            <v>-74277.42</v>
          </cell>
          <cell r="CI394">
            <v>-85997.18</v>
          </cell>
          <cell r="CJ394">
            <v>-97828.96</v>
          </cell>
          <cell r="CK394">
            <v>-118962.67</v>
          </cell>
          <cell r="CL394">
            <v>-125175.22</v>
          </cell>
          <cell r="CM394">
            <v>-101772.96</v>
          </cell>
          <cell r="CN394">
            <v>-70765.289999999994</v>
          </cell>
          <cell r="CO394">
            <v>-73446.960000000006</v>
          </cell>
          <cell r="CP394">
            <v>-79548.13</v>
          </cell>
          <cell r="CQ394">
            <v>-89530.79</v>
          </cell>
          <cell r="CR394">
            <v>-98143.71</v>
          </cell>
          <cell r="CS394">
            <v>-105329.65</v>
          </cell>
          <cell r="CT394">
            <v>-37935.15</v>
          </cell>
          <cell r="CU394">
            <v>-52206.77</v>
          </cell>
          <cell r="CV394">
            <v>-57599.07</v>
          </cell>
          <cell r="CW394">
            <v>-62866.879999999997</v>
          </cell>
          <cell r="CX394">
            <v>-68331.64</v>
          </cell>
          <cell r="CY394">
            <v>-75234.820000000007</v>
          </cell>
          <cell r="CZ394">
            <v>-83191.78</v>
          </cell>
          <cell r="DA394">
            <v>-92933.84</v>
          </cell>
          <cell r="DB394">
            <v>-103760.02</v>
          </cell>
          <cell r="DC394">
            <v>-111463.17</v>
          </cell>
          <cell r="DD394">
            <v>-118085.17</v>
          </cell>
          <cell r="DE394">
            <v>-53459.64</v>
          </cell>
          <cell r="DF394">
            <v>-78253.39</v>
          </cell>
          <cell r="DG394">
            <v>-84749.19</v>
          </cell>
        </row>
        <row r="395">
          <cell r="A395">
            <v>8000300</v>
          </cell>
          <cell r="B395">
            <v>8000300</v>
          </cell>
          <cell r="C395" t="str">
            <v>FIT Expense</v>
          </cell>
          <cell r="D395">
            <v>10122.36</v>
          </cell>
          <cell r="E395">
            <v>25294.86</v>
          </cell>
          <cell r="F395">
            <v>-3700.35</v>
          </cell>
          <cell r="G395">
            <v>59824.84</v>
          </cell>
          <cell r="H395">
            <v>-75602.44</v>
          </cell>
          <cell r="I395">
            <v>5163.3</v>
          </cell>
          <cell r="J395">
            <v>-25949.67</v>
          </cell>
          <cell r="K395">
            <v>-176.25</v>
          </cell>
          <cell r="L395">
            <v>10965.6</v>
          </cell>
          <cell r="M395">
            <v>3161.79</v>
          </cell>
          <cell r="N395">
            <v>-1615.38</v>
          </cell>
          <cell r="O395">
            <v>-63004.54</v>
          </cell>
          <cell r="P395">
            <v>5381.85</v>
          </cell>
          <cell r="Q395">
            <v>-3546.26</v>
          </cell>
          <cell r="R395">
            <v>-16936.259999999998</v>
          </cell>
          <cell r="S395">
            <v>-14255.84</v>
          </cell>
          <cell r="T395">
            <v>8603.56</v>
          </cell>
          <cell r="U395">
            <v>54731.41</v>
          </cell>
          <cell r="V395">
            <v>-5930.27</v>
          </cell>
          <cell r="W395">
            <v>588.51</v>
          </cell>
          <cell r="X395">
            <v>-47242.42</v>
          </cell>
          <cell r="Y395">
            <v>-1020.55</v>
          </cell>
          <cell r="Z395">
            <v>1781.75</v>
          </cell>
          <cell r="AA395">
            <v>172124.63</v>
          </cell>
          <cell r="AB395">
            <v>-3781.53</v>
          </cell>
          <cell r="AC395">
            <v>15347.9</v>
          </cell>
          <cell r="AD395">
            <v>-8510.25</v>
          </cell>
          <cell r="AE395">
            <v>3723.48</v>
          </cell>
          <cell r="AF395">
            <v>3858.13</v>
          </cell>
          <cell r="AG395">
            <v>-12811.93</v>
          </cell>
          <cell r="AH395">
            <v>71554.399999999994</v>
          </cell>
          <cell r="AI395">
            <v>135643.66</v>
          </cell>
          <cell r="AJ395">
            <v>251997.05</v>
          </cell>
          <cell r="AK395">
            <v>299178.48</v>
          </cell>
          <cell r="AL395">
            <v>62872.31</v>
          </cell>
          <cell r="AM395">
            <v>-556784.52</v>
          </cell>
          <cell r="AN395">
            <v>92848.33</v>
          </cell>
          <cell r="AO395">
            <v>66780.37</v>
          </cell>
          <cell r="AP395">
            <v>-71138.710000000006</v>
          </cell>
          <cell r="AQ395">
            <v>61139.63</v>
          </cell>
          <cell r="AR395">
            <v>59751.73</v>
          </cell>
          <cell r="AS395">
            <v>-169119.88</v>
          </cell>
          <cell r="AT395">
            <v>49796.88</v>
          </cell>
          <cell r="AU395">
            <v>53389.22</v>
          </cell>
          <cell r="AV395">
            <v>-136021.54</v>
          </cell>
          <cell r="AW395">
            <v>55034</v>
          </cell>
          <cell r="AX395">
            <v>55756.78</v>
          </cell>
          <cell r="AY395">
            <v>-113989.37</v>
          </cell>
          <cell r="AZ395">
            <v>36835.35</v>
          </cell>
          <cell r="BA395">
            <v>37551.25</v>
          </cell>
          <cell r="BB395">
            <v>-57030.31</v>
          </cell>
          <cell r="BC395">
            <v>20225.560000000001</v>
          </cell>
          <cell r="BD395">
            <v>31519.63</v>
          </cell>
          <cell r="BE395">
            <v>-64769.19</v>
          </cell>
          <cell r="BF395">
            <v>35411.68</v>
          </cell>
          <cell r="BG395">
            <v>32253.11</v>
          </cell>
          <cell r="BH395">
            <v>-76720.649999999994</v>
          </cell>
          <cell r="BI395">
            <v>24561.97</v>
          </cell>
          <cell r="BJ395">
            <v>25472.53</v>
          </cell>
          <cell r="BK395">
            <v>-106607.26</v>
          </cell>
          <cell r="BL395">
            <v>31834.66</v>
          </cell>
          <cell r="BM395">
            <v>34047.11</v>
          </cell>
          <cell r="BN395">
            <v>-29119.27</v>
          </cell>
          <cell r="BO395">
            <v>35700.839999999997</v>
          </cell>
          <cell r="BP395">
            <v>30783.18</v>
          </cell>
          <cell r="BQ395">
            <v>-65700.22</v>
          </cell>
          <cell r="BR395">
            <v>36316.379999999997</v>
          </cell>
          <cell r="BS395">
            <v>60936.21</v>
          </cell>
          <cell r="BT395">
            <v>-64190.71</v>
          </cell>
          <cell r="BU395">
            <v>48994.2</v>
          </cell>
          <cell r="BV395">
            <v>46673.56</v>
          </cell>
          <cell r="BW395">
            <v>-105699.92</v>
          </cell>
          <cell r="BX395">
            <v>61284.160000000003</v>
          </cell>
          <cell r="BY395">
            <v>55255.78</v>
          </cell>
          <cell r="BZ395">
            <v>-68433.66</v>
          </cell>
          <cell r="CA395">
            <v>65775.91</v>
          </cell>
          <cell r="CB395">
            <v>71264.73</v>
          </cell>
          <cell r="CC395">
            <v>77081.289999999994</v>
          </cell>
          <cell r="CD395">
            <v>66153.63</v>
          </cell>
          <cell r="CE395">
            <v>71392.66</v>
          </cell>
          <cell r="CF395">
            <v>-259505.43</v>
          </cell>
          <cell r="CG395">
            <v>55129.61</v>
          </cell>
          <cell r="CH395">
            <v>41684.720000000001</v>
          </cell>
          <cell r="CI395">
            <v>-335893.09</v>
          </cell>
          <cell r="CJ395">
            <v>60084.54</v>
          </cell>
          <cell r="CK395">
            <v>64674.45</v>
          </cell>
          <cell r="CL395">
            <v>-69800.52</v>
          </cell>
          <cell r="CM395">
            <v>61763.78</v>
          </cell>
          <cell r="CN395">
            <v>42420.41</v>
          </cell>
          <cell r="CO395">
            <v>-84066.36</v>
          </cell>
          <cell r="CP395">
            <v>47131.27</v>
          </cell>
          <cell r="CQ395">
            <v>51985.35</v>
          </cell>
          <cell r="CR395">
            <v>-68204.160000000003</v>
          </cell>
          <cell r="CS395">
            <v>61934.62</v>
          </cell>
          <cell r="CT395">
            <v>20440.650000000001</v>
          </cell>
          <cell r="CU395">
            <v>-83078.460000000006</v>
          </cell>
          <cell r="CV395">
            <v>24109.95</v>
          </cell>
          <cell r="CW395">
            <v>38168.89</v>
          </cell>
          <cell r="CX395">
            <v>-7365.18</v>
          </cell>
          <cell r="CY395">
            <v>34245.730000000003</v>
          </cell>
          <cell r="CZ395">
            <v>47866.65</v>
          </cell>
          <cell r="DA395">
            <v>38030.76</v>
          </cell>
          <cell r="DB395">
            <v>66225.08</v>
          </cell>
          <cell r="DC395">
            <v>80586.92</v>
          </cell>
          <cell r="DD395">
            <v>86886.73</v>
          </cell>
          <cell r="DE395">
            <v>40575.79</v>
          </cell>
          <cell r="DF395">
            <v>56463.12</v>
          </cell>
          <cell r="DG395">
            <v>-588227.1</v>
          </cell>
        </row>
        <row r="396">
          <cell r="A396">
            <v>8000310</v>
          </cell>
          <cell r="B396">
            <v>8000310</v>
          </cell>
          <cell r="C396" t="str">
            <v>FIT Expense ATL</v>
          </cell>
          <cell r="D396">
            <v>2064386.37</v>
          </cell>
          <cell r="E396">
            <v>2571435.4500000002</v>
          </cell>
          <cell r="F396">
            <v>2720974.61</v>
          </cell>
          <cell r="G396">
            <v>1419590.41</v>
          </cell>
          <cell r="H396">
            <v>1368909.15</v>
          </cell>
          <cell r="I396">
            <v>964813.63</v>
          </cell>
          <cell r="J396">
            <v>585498.98</v>
          </cell>
          <cell r="K396">
            <v>335584.38</v>
          </cell>
          <cell r="L396">
            <v>-1440494.73</v>
          </cell>
          <cell r="M396">
            <v>1666897.1</v>
          </cell>
          <cell r="N396">
            <v>-989523.84</v>
          </cell>
          <cell r="O396">
            <v>-5934692.4100000001</v>
          </cell>
          <cell r="P396">
            <v>3092367.22</v>
          </cell>
          <cell r="Q396">
            <v>1356392.26</v>
          </cell>
          <cell r="R396">
            <v>2443576.7599999998</v>
          </cell>
          <cell r="S396">
            <v>1063438.46</v>
          </cell>
          <cell r="T396">
            <v>911085.07</v>
          </cell>
          <cell r="U396">
            <v>1328024.7</v>
          </cell>
          <cell r="V396">
            <v>1032068.85</v>
          </cell>
          <cell r="W396">
            <v>1041214.7</v>
          </cell>
          <cell r="X396">
            <v>-340093.6</v>
          </cell>
          <cell r="Y396">
            <v>-231977.58</v>
          </cell>
          <cell r="Z396">
            <v>-143324.25</v>
          </cell>
          <cell r="AA396">
            <v>-9406716.0899999999</v>
          </cell>
          <cell r="AB396">
            <v>1893147.91</v>
          </cell>
          <cell r="AC396">
            <v>2490082.4900000002</v>
          </cell>
          <cell r="AD396">
            <v>920944.22</v>
          </cell>
          <cell r="AE396">
            <v>461251.11</v>
          </cell>
          <cell r="AF396">
            <v>151914.46</v>
          </cell>
          <cell r="AG396">
            <v>-25607.040000000001</v>
          </cell>
          <cell r="AH396">
            <v>210102.48</v>
          </cell>
          <cell r="AI396">
            <v>-798849.92</v>
          </cell>
          <cell r="AJ396">
            <v>1077049.5900000001</v>
          </cell>
          <cell r="AK396">
            <v>-652907.23</v>
          </cell>
          <cell r="AL396">
            <v>-225097.1</v>
          </cell>
          <cell r="AM396">
            <v>527993.18000000005</v>
          </cell>
          <cell r="AN396">
            <v>1749506.33</v>
          </cell>
          <cell r="AO396">
            <v>-541872.85</v>
          </cell>
          <cell r="AP396">
            <v>39810.129999999997</v>
          </cell>
          <cell r="AQ396">
            <v>395846.5</v>
          </cell>
          <cell r="AR396">
            <v>-704499.48</v>
          </cell>
          <cell r="AS396">
            <v>-855500.59</v>
          </cell>
          <cell r="AT396">
            <v>-864763</v>
          </cell>
          <cell r="AU396">
            <v>-906942.67</v>
          </cell>
          <cell r="AV396">
            <v>1539013.49</v>
          </cell>
          <cell r="AW396">
            <v>-1752700.95</v>
          </cell>
          <cell r="AX396">
            <v>-903079.65</v>
          </cell>
          <cell r="AY396">
            <v>5428060.2800000003</v>
          </cell>
          <cell r="AZ396">
            <v>2576885.4900000002</v>
          </cell>
          <cell r="BA396">
            <v>361097.41</v>
          </cell>
          <cell r="BB396">
            <v>800032.71</v>
          </cell>
          <cell r="BC396">
            <v>1080651.92</v>
          </cell>
          <cell r="BD396">
            <v>255319.65</v>
          </cell>
          <cell r="BE396">
            <v>480004.13</v>
          </cell>
          <cell r="BF396">
            <v>224960.63</v>
          </cell>
          <cell r="BG396">
            <v>-909855.17</v>
          </cell>
          <cell r="BH396">
            <v>394063.87</v>
          </cell>
          <cell r="BI396">
            <v>-221786.83</v>
          </cell>
          <cell r="BJ396">
            <v>-3288246.17</v>
          </cell>
          <cell r="BK396">
            <v>1972591.15</v>
          </cell>
          <cell r="BL396">
            <v>1613712.42</v>
          </cell>
          <cell r="BM396">
            <v>36052.230000000003</v>
          </cell>
          <cell r="BN396">
            <v>1025371.45</v>
          </cell>
          <cell r="BO396">
            <v>553919.17000000004</v>
          </cell>
          <cell r="BP396">
            <v>336031.09</v>
          </cell>
          <cell r="BQ396">
            <v>267179.34000000003</v>
          </cell>
          <cell r="BR396">
            <v>106751.32</v>
          </cell>
          <cell r="BS396">
            <v>89990.02</v>
          </cell>
          <cell r="BT396">
            <v>186096.53</v>
          </cell>
          <cell r="BU396">
            <v>190805.14</v>
          </cell>
          <cell r="BV396">
            <v>491884.42</v>
          </cell>
          <cell r="BW396">
            <v>202471.14</v>
          </cell>
          <cell r="BX396">
            <v>2575571.04</v>
          </cell>
          <cell r="BY396">
            <v>-1617160.33</v>
          </cell>
          <cell r="BZ396">
            <v>455513.67</v>
          </cell>
          <cell r="CA396">
            <v>194425.77</v>
          </cell>
          <cell r="CB396">
            <v>-245727.53</v>
          </cell>
          <cell r="CC396">
            <v>65760.34</v>
          </cell>
          <cell r="CD396">
            <v>-328747.68</v>
          </cell>
          <cell r="CE396">
            <v>-69051.22</v>
          </cell>
          <cell r="CF396">
            <v>232796.89</v>
          </cell>
          <cell r="CG396">
            <v>-1301454.24</v>
          </cell>
          <cell r="CH396">
            <v>209489.76</v>
          </cell>
          <cell r="CI396">
            <v>466916.1</v>
          </cell>
          <cell r="CJ396">
            <v>2336145.2200000002</v>
          </cell>
          <cell r="CK396">
            <v>945831.72</v>
          </cell>
          <cell r="CL396">
            <v>-345762.75</v>
          </cell>
          <cell r="CM396">
            <v>847359.34</v>
          </cell>
          <cell r="CN396">
            <v>-203997.68</v>
          </cell>
          <cell r="CO396">
            <v>1667072.22</v>
          </cell>
          <cell r="CP396">
            <v>-241107.61</v>
          </cell>
          <cell r="CQ396">
            <v>542237.17000000004</v>
          </cell>
          <cell r="CR396">
            <v>1423656.53</v>
          </cell>
          <cell r="CS396">
            <v>-1386541.32</v>
          </cell>
          <cell r="CT396">
            <v>-1358183.9</v>
          </cell>
          <cell r="CU396">
            <v>3287146.75</v>
          </cell>
          <cell r="CV396">
            <v>2249478.2000000002</v>
          </cell>
          <cell r="CW396">
            <v>2714231.25</v>
          </cell>
          <cell r="CX396">
            <v>205788.01</v>
          </cell>
          <cell r="CY396">
            <v>931922.02</v>
          </cell>
          <cell r="CZ396">
            <v>362376.66</v>
          </cell>
          <cell r="DA396">
            <v>269352.5</v>
          </cell>
          <cell r="DB396">
            <v>-173544</v>
          </cell>
          <cell r="DC396">
            <v>-2722463.79</v>
          </cell>
          <cell r="DD396">
            <v>631907.04</v>
          </cell>
          <cell r="DE396">
            <v>-460870.6</v>
          </cell>
          <cell r="DF396">
            <v>5056.24</v>
          </cell>
          <cell r="DG396">
            <v>-111306.76</v>
          </cell>
        </row>
        <row r="397">
          <cell r="A397">
            <v>8000400</v>
          </cell>
          <cell r="B397">
            <v>8000400</v>
          </cell>
          <cell r="C397" t="str">
            <v>SIT Expense</v>
          </cell>
          <cell r="D397">
            <v>1683.23</v>
          </cell>
          <cell r="E397">
            <v>4206.25</v>
          </cell>
          <cell r="F397">
            <v>-615.32000000000005</v>
          </cell>
          <cell r="G397">
            <v>9948.19</v>
          </cell>
          <cell r="H397">
            <v>-12571.83</v>
          </cell>
          <cell r="I397">
            <v>858.6</v>
          </cell>
          <cell r="J397">
            <v>-4315.1400000000003</v>
          </cell>
          <cell r="K397">
            <v>-29.31</v>
          </cell>
          <cell r="L397">
            <v>1823.46</v>
          </cell>
          <cell r="M397">
            <v>525.77</v>
          </cell>
          <cell r="N397">
            <v>-268.62</v>
          </cell>
          <cell r="O397">
            <v>-10476.94</v>
          </cell>
          <cell r="P397">
            <v>894.94</v>
          </cell>
          <cell r="Q397">
            <v>-589.70000000000005</v>
          </cell>
          <cell r="R397">
            <v>-2816.31</v>
          </cell>
          <cell r="S397">
            <v>-2370.59</v>
          </cell>
          <cell r="T397">
            <v>1430.68</v>
          </cell>
          <cell r="U397">
            <v>9101.2099999999991</v>
          </cell>
          <cell r="V397">
            <v>-986.13</v>
          </cell>
          <cell r="W397">
            <v>97.86</v>
          </cell>
          <cell r="X397">
            <v>-7855.88</v>
          </cell>
          <cell r="Y397">
            <v>-169.71</v>
          </cell>
          <cell r="Z397">
            <v>296.29000000000002</v>
          </cell>
          <cell r="AA397">
            <v>28622.38</v>
          </cell>
          <cell r="AB397">
            <v>-628.83000000000004</v>
          </cell>
          <cell r="AC397">
            <v>2552.19</v>
          </cell>
          <cell r="AD397">
            <v>-1415.16</v>
          </cell>
          <cell r="AE397">
            <v>619.16999999999996</v>
          </cell>
          <cell r="AF397">
            <v>641.57000000000005</v>
          </cell>
          <cell r="AG397">
            <v>-2130.4899999999998</v>
          </cell>
          <cell r="AH397">
            <v>11898.7</v>
          </cell>
          <cell r="AI397">
            <v>22556.01</v>
          </cell>
          <cell r="AJ397">
            <v>41904.269999999997</v>
          </cell>
          <cell r="AK397">
            <v>49750.01</v>
          </cell>
          <cell r="AL397">
            <v>10454.959999999999</v>
          </cell>
          <cell r="AM397">
            <v>-92586.99</v>
          </cell>
          <cell r="AN397">
            <v>15439.63</v>
          </cell>
          <cell r="AO397">
            <v>11104.82</v>
          </cell>
          <cell r="AP397">
            <v>-11829.56</v>
          </cell>
          <cell r="AQ397">
            <v>10166.83</v>
          </cell>
          <cell r="AR397">
            <v>9936.0400000000009</v>
          </cell>
          <cell r="AS397">
            <v>-28122.73</v>
          </cell>
          <cell r="AT397">
            <v>8280.66</v>
          </cell>
          <cell r="AU397">
            <v>8878.0300000000007</v>
          </cell>
          <cell r="AV397">
            <v>-22618.86</v>
          </cell>
          <cell r="AW397">
            <v>9151.5400000000009</v>
          </cell>
          <cell r="AX397">
            <v>9271.7199999999993</v>
          </cell>
          <cell r="AY397">
            <v>-18955.150000000001</v>
          </cell>
          <cell r="AZ397">
            <v>10208.84</v>
          </cell>
          <cell r="BA397">
            <v>10407.25</v>
          </cell>
          <cell r="BB397">
            <v>-15805.83</v>
          </cell>
          <cell r="BC397">
            <v>5605.47</v>
          </cell>
          <cell r="BD397">
            <v>8735.6</v>
          </cell>
          <cell r="BE397">
            <v>-17950.650000000001</v>
          </cell>
          <cell r="BF397">
            <v>9814.2800000000007</v>
          </cell>
          <cell r="BG397">
            <v>8938.8799999999992</v>
          </cell>
          <cell r="BH397">
            <v>-21262.97</v>
          </cell>
          <cell r="BI397">
            <v>6807.3</v>
          </cell>
          <cell r="BJ397">
            <v>7059.66</v>
          </cell>
          <cell r="BK397">
            <v>-29545.98</v>
          </cell>
          <cell r="BL397">
            <v>8822.91</v>
          </cell>
          <cell r="BM397">
            <v>9436.08</v>
          </cell>
          <cell r="BN397">
            <v>-8070.34</v>
          </cell>
          <cell r="BO397">
            <v>9894.41</v>
          </cell>
          <cell r="BP397">
            <v>8531.5</v>
          </cell>
          <cell r="BQ397">
            <v>-18208.68</v>
          </cell>
          <cell r="BR397">
            <v>10065.01</v>
          </cell>
          <cell r="BS397">
            <v>16888.34</v>
          </cell>
          <cell r="BT397">
            <v>-21670.73</v>
          </cell>
          <cell r="BU397">
            <v>10886.07</v>
          </cell>
          <cell r="BV397">
            <v>10370.44</v>
          </cell>
          <cell r="BW397">
            <v>-23485.56</v>
          </cell>
          <cell r="BX397">
            <v>13616.79</v>
          </cell>
          <cell r="BY397">
            <v>12277.33</v>
          </cell>
          <cell r="BZ397">
            <v>-15205.34</v>
          </cell>
          <cell r="CA397">
            <v>14614.82</v>
          </cell>
          <cell r="CB397">
            <v>15834.38</v>
          </cell>
          <cell r="CC397">
            <v>17126.759999999998</v>
          </cell>
          <cell r="CD397">
            <v>14698.75</v>
          </cell>
          <cell r="CE397">
            <v>15862.8</v>
          </cell>
          <cell r="CF397">
            <v>-57659.77</v>
          </cell>
          <cell r="CG397">
            <v>12249.31</v>
          </cell>
          <cell r="CH397">
            <v>9261.9699999999993</v>
          </cell>
          <cell r="CI397">
            <v>-74632.42</v>
          </cell>
          <cell r="CJ397">
            <v>13350.24</v>
          </cell>
          <cell r="CK397">
            <v>14370.08</v>
          </cell>
          <cell r="CL397">
            <v>-15509.04</v>
          </cell>
          <cell r="CM397">
            <v>13723.35</v>
          </cell>
          <cell r="CN397">
            <v>9425.43</v>
          </cell>
          <cell r="CO397">
            <v>-18678.78</v>
          </cell>
          <cell r="CP397">
            <v>10472.14</v>
          </cell>
          <cell r="CQ397">
            <v>11550.68</v>
          </cell>
          <cell r="CR397">
            <v>-20208.849999999999</v>
          </cell>
          <cell r="CS397">
            <v>10807.71</v>
          </cell>
          <cell r="CT397">
            <v>3566.94</v>
          </cell>
          <cell r="CU397">
            <v>-14497.36</v>
          </cell>
          <cell r="CV397">
            <v>6682.02</v>
          </cell>
          <cell r="CW397">
            <v>10578.43</v>
          </cell>
          <cell r="CX397">
            <v>-2041.24</v>
          </cell>
          <cell r="CY397">
            <v>9491.1299999999992</v>
          </cell>
          <cell r="CZ397">
            <v>13266.14</v>
          </cell>
          <cell r="DA397">
            <v>10540.15</v>
          </cell>
          <cell r="DB397">
            <v>18354.13</v>
          </cell>
          <cell r="DC397">
            <v>22334.5</v>
          </cell>
          <cell r="DD397">
            <v>24080.48</v>
          </cell>
          <cell r="DE397">
            <v>11245.49</v>
          </cell>
          <cell r="DF397">
            <v>15648.63</v>
          </cell>
          <cell r="DG397">
            <v>-163025.9</v>
          </cell>
        </row>
        <row r="398">
          <cell r="A398">
            <v>8000410</v>
          </cell>
          <cell r="B398">
            <v>8000410</v>
          </cell>
          <cell r="C398" t="str">
            <v>SIT Expense ATL</v>
          </cell>
          <cell r="D398">
            <v>246936.25</v>
          </cell>
          <cell r="E398">
            <v>331252.8</v>
          </cell>
          <cell r="F398">
            <v>356119.49</v>
          </cell>
          <cell r="G398">
            <v>139713.94</v>
          </cell>
          <cell r="H398">
            <v>131286.22</v>
          </cell>
          <cell r="I398">
            <v>64089.69</v>
          </cell>
          <cell r="J398">
            <v>1013.93</v>
          </cell>
          <cell r="K398">
            <v>-40544.04</v>
          </cell>
          <cell r="L398">
            <v>-91349.66</v>
          </cell>
          <cell r="M398">
            <v>39467.040000000001</v>
          </cell>
          <cell r="N398">
            <v>-402265.84</v>
          </cell>
          <cell r="O398">
            <v>-90061.24</v>
          </cell>
          <cell r="P398">
            <v>419238.6</v>
          </cell>
          <cell r="Q398">
            <v>130565.53</v>
          </cell>
          <cell r="R398">
            <v>311352.05</v>
          </cell>
          <cell r="S398">
            <v>81850.61</v>
          </cell>
          <cell r="T398">
            <v>56515.95</v>
          </cell>
          <cell r="U398">
            <v>125848.32000000001</v>
          </cell>
          <cell r="V398">
            <v>76634.19</v>
          </cell>
          <cell r="W398">
            <v>78155.039999999994</v>
          </cell>
          <cell r="X398">
            <v>37153.050000000003</v>
          </cell>
          <cell r="Y398">
            <v>-131913.56</v>
          </cell>
          <cell r="Z398">
            <v>-117171.5</v>
          </cell>
          <cell r="AA398">
            <v>-305338.65999999997</v>
          </cell>
          <cell r="AB398">
            <v>335589.12</v>
          </cell>
          <cell r="AC398">
            <v>434852.62</v>
          </cell>
          <cell r="AD398">
            <v>173922.6</v>
          </cell>
          <cell r="AE398">
            <v>97480.81</v>
          </cell>
          <cell r="AF398">
            <v>46041.61</v>
          </cell>
          <cell r="AG398">
            <v>181018.72</v>
          </cell>
          <cell r="AH398">
            <v>55717.62</v>
          </cell>
          <cell r="AI398">
            <v>-131911.20000000001</v>
          </cell>
          <cell r="AJ398">
            <v>-4131.18</v>
          </cell>
          <cell r="AK398">
            <v>-107642.59</v>
          </cell>
          <cell r="AL398">
            <v>-36502.57</v>
          </cell>
          <cell r="AM398">
            <v>18680.599999999999</v>
          </cell>
          <cell r="AN398">
            <v>291319.28000000003</v>
          </cell>
          <cell r="AO398">
            <v>-89711.28</v>
          </cell>
          <cell r="AP398">
            <v>155003.29999999999</v>
          </cell>
          <cell r="AQ398">
            <v>115549.96</v>
          </cell>
          <cell r="AR398">
            <v>-137769.22</v>
          </cell>
          <cell r="AS398">
            <v>-106603.75</v>
          </cell>
          <cell r="AT398">
            <v>-108144</v>
          </cell>
          <cell r="AU398">
            <v>-115157.99</v>
          </cell>
          <cell r="AV398">
            <v>45059.81</v>
          </cell>
          <cell r="AW398">
            <v>-255798.08</v>
          </cell>
          <cell r="AX398">
            <v>-114515.62</v>
          </cell>
          <cell r="AY398">
            <v>297299.46000000002</v>
          </cell>
          <cell r="AZ398">
            <v>595955.29</v>
          </cell>
          <cell r="BA398">
            <v>-18145.72</v>
          </cell>
          <cell r="BB398">
            <v>95284.3</v>
          </cell>
          <cell r="BC398">
            <v>178537.3</v>
          </cell>
          <cell r="BD398">
            <v>-50201.8</v>
          </cell>
          <cell r="BE398">
            <v>12069.03</v>
          </cell>
          <cell r="BF398">
            <v>-58615.75</v>
          </cell>
          <cell r="BG398">
            <v>30518.68</v>
          </cell>
          <cell r="BH398">
            <v>38706.65</v>
          </cell>
          <cell r="BI398">
            <v>-131975.07</v>
          </cell>
          <cell r="BJ398">
            <v>-95156.160000000003</v>
          </cell>
          <cell r="BK398">
            <v>-548193.18000000005</v>
          </cell>
          <cell r="BL398">
            <v>284517.39</v>
          </cell>
          <cell r="BM398">
            <v>-123812.1</v>
          </cell>
          <cell r="BN398">
            <v>135917.76999999999</v>
          </cell>
          <cell r="BO398">
            <v>5255.78</v>
          </cell>
          <cell r="BP398">
            <v>-55131.45</v>
          </cell>
          <cell r="BQ398">
            <v>-74213.570000000007</v>
          </cell>
          <cell r="BR398">
            <v>-118675.85</v>
          </cell>
          <cell r="BS398">
            <v>-123321.18</v>
          </cell>
          <cell r="BT398">
            <v>-63739.12</v>
          </cell>
          <cell r="BU398">
            <v>-76467.08</v>
          </cell>
          <cell r="BV398">
            <v>-9569.98</v>
          </cell>
          <cell r="BW398">
            <v>-117447.52</v>
          </cell>
          <cell r="BX398">
            <v>474043.05</v>
          </cell>
          <cell r="BY398">
            <v>-457560.88</v>
          </cell>
          <cell r="BZ398">
            <v>2987.09</v>
          </cell>
          <cell r="CA398">
            <v>-55024.3</v>
          </cell>
          <cell r="CB398">
            <v>-152822.39000000001</v>
          </cell>
          <cell r="CC398">
            <v>-83612.59</v>
          </cell>
          <cell r="CD398">
            <v>-171268.72</v>
          </cell>
          <cell r="CE398">
            <v>-47658.54</v>
          </cell>
          <cell r="CF398">
            <v>-112401.54</v>
          </cell>
          <cell r="CG398">
            <v>-399432.42</v>
          </cell>
          <cell r="CH398">
            <v>-51678.89</v>
          </cell>
          <cell r="CI398">
            <v>-143363.22</v>
          </cell>
          <cell r="CJ398">
            <v>437579.17</v>
          </cell>
          <cell r="CK398">
            <v>128664.03</v>
          </cell>
          <cell r="CL398">
            <v>-158316.62</v>
          </cell>
          <cell r="CM398">
            <v>106784.36</v>
          </cell>
          <cell r="CN398">
            <v>-126817.7</v>
          </cell>
          <cell r="CO398">
            <v>288917.15999999997</v>
          </cell>
          <cell r="CP398">
            <v>-135063.19</v>
          </cell>
          <cell r="CQ398">
            <v>38988.949999999997</v>
          </cell>
          <cell r="CR398">
            <v>59786.34</v>
          </cell>
          <cell r="CS398">
            <v>-305954.93</v>
          </cell>
          <cell r="CT398">
            <v>-301006.5</v>
          </cell>
          <cell r="CU398">
            <v>691135.72</v>
          </cell>
          <cell r="CV398">
            <v>558856.85</v>
          </cell>
          <cell r="CW398">
            <v>687662.19</v>
          </cell>
          <cell r="CX398">
            <v>-7547.64</v>
          </cell>
          <cell r="CY398">
            <v>193698.94</v>
          </cell>
          <cell r="CZ398">
            <v>35850.639999999999</v>
          </cell>
          <cell r="DA398">
            <v>10069.18</v>
          </cell>
          <cell r="DB398">
            <v>-112678.64</v>
          </cell>
          <cell r="DC398">
            <v>-806278.7</v>
          </cell>
          <cell r="DD398">
            <v>112416.65</v>
          </cell>
          <cell r="DE398">
            <v>-190021.24</v>
          </cell>
          <cell r="DF398">
            <v>-60749.69</v>
          </cell>
          <cell r="DG398">
            <v>39721.730000000003</v>
          </cell>
        </row>
        <row r="399">
          <cell r="A399">
            <v>8010300</v>
          </cell>
          <cell r="B399">
            <v>8010300</v>
          </cell>
          <cell r="C399" t="str">
            <v>DIT Federal</v>
          </cell>
          <cell r="D399">
            <v>601431.35</v>
          </cell>
          <cell r="E399">
            <v>-340098.17</v>
          </cell>
          <cell r="F399">
            <v>-180250.75</v>
          </cell>
          <cell r="G399">
            <v>139483.21</v>
          </cell>
          <cell r="H399">
            <v>-403728.33</v>
          </cell>
          <cell r="I399">
            <v>229881.63</v>
          </cell>
          <cell r="J399">
            <v>249049.21</v>
          </cell>
          <cell r="K399">
            <v>486417.48</v>
          </cell>
          <cell r="L399">
            <v>2134507.46</v>
          </cell>
          <cell r="M399">
            <v>-518009.56</v>
          </cell>
          <cell r="N399">
            <v>2428029.71</v>
          </cell>
          <cell r="O399">
            <v>7917193.0999999996</v>
          </cell>
          <cell r="P399">
            <v>-318017.55</v>
          </cell>
          <cell r="Q399">
            <v>1219867.56</v>
          </cell>
          <cell r="R399">
            <v>-277916.02</v>
          </cell>
          <cell r="S399">
            <v>182932.81</v>
          </cell>
          <cell r="T399">
            <v>231193.94</v>
          </cell>
          <cell r="U399">
            <v>16201.45</v>
          </cell>
          <cell r="V399">
            <v>-106908.68</v>
          </cell>
          <cell r="W399">
            <v>501851.87</v>
          </cell>
          <cell r="X399">
            <v>1294302.71</v>
          </cell>
          <cell r="Y399">
            <v>1331940.01</v>
          </cell>
          <cell r="Z399">
            <v>1026352.68</v>
          </cell>
          <cell r="AA399">
            <v>10478245.810000001</v>
          </cell>
          <cell r="AB399">
            <v>809880.79</v>
          </cell>
          <cell r="AC399">
            <v>247877.75</v>
          </cell>
          <cell r="AD399">
            <v>867099.94</v>
          </cell>
          <cell r="AE399">
            <v>1067455.97</v>
          </cell>
          <cell r="AF399">
            <v>1191965.99</v>
          </cell>
          <cell r="AG399">
            <v>686745.34</v>
          </cell>
          <cell r="AH399">
            <v>1023221.12</v>
          </cell>
          <cell r="AI399">
            <v>1063533.6100000001</v>
          </cell>
          <cell r="AJ399">
            <v>-259208.13</v>
          </cell>
          <cell r="AK399">
            <v>1537485.19</v>
          </cell>
          <cell r="AL399">
            <v>1737134.91</v>
          </cell>
          <cell r="AM399">
            <v>1035457.41</v>
          </cell>
          <cell r="AN399">
            <v>864440.96</v>
          </cell>
          <cell r="AO399">
            <v>2403821.2599999998</v>
          </cell>
          <cell r="AP399">
            <v>2323297.88</v>
          </cell>
          <cell r="AQ399">
            <v>1539277.84</v>
          </cell>
          <cell r="AR399">
            <v>2473119.4300000002</v>
          </cell>
          <cell r="AS399">
            <v>2233308.4500000002</v>
          </cell>
          <cell r="AT399">
            <v>2181436.9700000002</v>
          </cell>
          <cell r="AU399">
            <v>2126525.64</v>
          </cell>
          <cell r="AV399">
            <v>-93314.22</v>
          </cell>
          <cell r="AW399">
            <v>2990531.82</v>
          </cell>
          <cell r="AX399">
            <v>2538493.4700000002</v>
          </cell>
          <cell r="AY399">
            <v>-2592723.4</v>
          </cell>
          <cell r="AZ399">
            <v>-460859.54</v>
          </cell>
          <cell r="BA399">
            <v>485845.47</v>
          </cell>
          <cell r="BB399">
            <v>-271377.28999999998</v>
          </cell>
          <cell r="BC399">
            <v>60330.9</v>
          </cell>
          <cell r="BD399">
            <v>678325.23</v>
          </cell>
          <cell r="BE399">
            <v>321863.56</v>
          </cell>
          <cell r="BF399">
            <v>463731.76</v>
          </cell>
          <cell r="BG399">
            <v>1485382.46</v>
          </cell>
          <cell r="BH399">
            <v>593924.77</v>
          </cell>
          <cell r="BI399">
            <v>850042.59</v>
          </cell>
          <cell r="BJ399">
            <v>4118779.12</v>
          </cell>
          <cell r="BK399">
            <v>-823941.81</v>
          </cell>
          <cell r="BL399">
            <v>68671.67</v>
          </cell>
          <cell r="BM399">
            <v>1484860.2</v>
          </cell>
          <cell r="BN399">
            <v>392819.43</v>
          </cell>
          <cell r="BO399">
            <v>736541.22</v>
          </cell>
          <cell r="BP399">
            <v>812273.36</v>
          </cell>
          <cell r="BQ399">
            <v>782803.12</v>
          </cell>
          <cell r="BR399">
            <v>630321</v>
          </cell>
          <cell r="BS399">
            <v>817032.89</v>
          </cell>
          <cell r="BT399">
            <v>836254.99</v>
          </cell>
          <cell r="BU399">
            <v>653655.13</v>
          </cell>
          <cell r="BV399">
            <v>611872.72</v>
          </cell>
          <cell r="BW399">
            <v>1079555.81</v>
          </cell>
          <cell r="BX399">
            <v>-631577.49</v>
          </cell>
          <cell r="BY399">
            <v>3018437.29</v>
          </cell>
          <cell r="BZ399">
            <v>704420.91</v>
          </cell>
          <cell r="CA399">
            <v>609992.89</v>
          </cell>
          <cell r="CB399">
            <v>981721.43</v>
          </cell>
          <cell r="CC399">
            <v>682951.61</v>
          </cell>
          <cell r="CD399">
            <v>979308.57</v>
          </cell>
          <cell r="CE399">
            <v>804395.51</v>
          </cell>
          <cell r="CF399">
            <v>914094.15</v>
          </cell>
          <cell r="CG399">
            <v>1439769.25</v>
          </cell>
          <cell r="CH399">
            <v>1031831.2</v>
          </cell>
          <cell r="CI399">
            <v>597169.56999999995</v>
          </cell>
          <cell r="CJ399">
            <v>489057.52</v>
          </cell>
          <cell r="CK399">
            <v>903008.8</v>
          </cell>
          <cell r="CL399">
            <v>2281521.73</v>
          </cell>
          <cell r="CM399">
            <v>1056414.75</v>
          </cell>
          <cell r="CN399">
            <v>1493447.01</v>
          </cell>
          <cell r="CO399">
            <v>-297314.15999999997</v>
          </cell>
          <cell r="CP399">
            <v>1259845.01</v>
          </cell>
          <cell r="CQ399">
            <v>533518.21</v>
          </cell>
          <cell r="CR399">
            <v>-138782.72</v>
          </cell>
          <cell r="CS399">
            <v>2485946.89</v>
          </cell>
          <cell r="CT399">
            <v>3206747.95</v>
          </cell>
          <cell r="CU399">
            <v>-2512668.58</v>
          </cell>
          <cell r="CV399">
            <v>310140.37</v>
          </cell>
          <cell r="CW399">
            <v>-458666.62</v>
          </cell>
          <cell r="CX399">
            <v>2283214.21</v>
          </cell>
          <cell r="CY399">
            <v>756324.41</v>
          </cell>
          <cell r="CZ399">
            <v>1168937.52</v>
          </cell>
          <cell r="DA399">
            <v>1441749</v>
          </cell>
          <cell r="DB399">
            <v>1124951.22</v>
          </cell>
          <cell r="DC399">
            <v>3880424.73</v>
          </cell>
          <cell r="DD399">
            <v>1097356.04</v>
          </cell>
          <cell r="DE399">
            <v>1656245.1</v>
          </cell>
          <cell r="DF399">
            <v>1441331.4</v>
          </cell>
          <cell r="DG399">
            <v>2102772.2999999998</v>
          </cell>
        </row>
        <row r="400">
          <cell r="A400">
            <v>8010305</v>
          </cell>
          <cell r="B400">
            <v>8010305</v>
          </cell>
          <cell r="C400" t="str">
            <v>DIT Fed NonUtility</v>
          </cell>
          <cell r="D400"/>
          <cell r="E400"/>
          <cell r="F400"/>
          <cell r="G400"/>
          <cell r="H400"/>
          <cell r="I400"/>
          <cell r="J400"/>
          <cell r="K400"/>
          <cell r="L400"/>
          <cell r="M400"/>
          <cell r="N400"/>
          <cell r="O400"/>
          <cell r="P400"/>
          <cell r="Q400"/>
          <cell r="R400"/>
          <cell r="S400"/>
          <cell r="T400"/>
          <cell r="U400"/>
          <cell r="V400"/>
          <cell r="W400"/>
          <cell r="X400"/>
          <cell r="Y400"/>
          <cell r="Z400"/>
          <cell r="AA400"/>
          <cell r="AB400"/>
          <cell r="AC400"/>
          <cell r="AD400"/>
          <cell r="AE400"/>
          <cell r="AF400"/>
          <cell r="AG400"/>
          <cell r="AH400"/>
          <cell r="AI400"/>
          <cell r="AJ400"/>
          <cell r="AK400">
            <v>0</v>
          </cell>
          <cell r="AL400">
            <v>0</v>
          </cell>
          <cell r="AM400">
            <v>-6.32</v>
          </cell>
          <cell r="AN400">
            <v>0</v>
          </cell>
          <cell r="AO400">
            <v>0</v>
          </cell>
          <cell r="AP400">
            <v>6.32</v>
          </cell>
          <cell r="AQ400">
            <v>0</v>
          </cell>
          <cell r="AR400">
            <v>0</v>
          </cell>
          <cell r="AS400">
            <v>0</v>
          </cell>
          <cell r="AT400">
            <v>0</v>
          </cell>
          <cell r="AU400">
            <v>0</v>
          </cell>
          <cell r="AV400">
            <v>0</v>
          </cell>
          <cell r="AW400">
            <v>18.8</v>
          </cell>
          <cell r="AX400">
            <v>-18.8</v>
          </cell>
          <cell r="AY400">
            <v>0</v>
          </cell>
          <cell r="AZ400">
            <v>0</v>
          </cell>
          <cell r="BA400">
            <v>0</v>
          </cell>
          <cell r="BB400">
            <v>0</v>
          </cell>
          <cell r="BC400">
            <v>0</v>
          </cell>
          <cell r="BD400">
            <v>0</v>
          </cell>
          <cell r="BE400">
            <v>20.91</v>
          </cell>
          <cell r="BF400">
            <v>309.99</v>
          </cell>
          <cell r="BG400">
            <v>-69.38</v>
          </cell>
          <cell r="BH400">
            <v>339.16</v>
          </cell>
          <cell r="BI400">
            <v>-482.03</v>
          </cell>
          <cell r="BJ400">
            <v>-301.77999999999997</v>
          </cell>
          <cell r="BK400">
            <v>-585.22</v>
          </cell>
          <cell r="BL400">
            <v>806.18</v>
          </cell>
          <cell r="BM400">
            <v>-78.36</v>
          </cell>
          <cell r="BN400">
            <v>0</v>
          </cell>
          <cell r="BO400">
            <v>-1210.69</v>
          </cell>
          <cell r="BP400">
            <v>-477.01</v>
          </cell>
          <cell r="BQ400">
            <v>1425.55</v>
          </cell>
          <cell r="BR400">
            <v>1192.77</v>
          </cell>
          <cell r="BS400">
            <v>-885.14</v>
          </cell>
          <cell r="BT400">
            <v>-14.88</v>
          </cell>
          <cell r="BU400">
            <v>-39.35</v>
          </cell>
          <cell r="BV400">
            <v>82.34</v>
          </cell>
          <cell r="BW400">
            <v>14.49</v>
          </cell>
          <cell r="BX400">
            <v>0</v>
          </cell>
          <cell r="BY400">
            <v>0</v>
          </cell>
          <cell r="BZ400">
            <v>0</v>
          </cell>
          <cell r="CA400">
            <v>0</v>
          </cell>
          <cell r="CB400">
            <v>0</v>
          </cell>
          <cell r="CC400">
            <v>0</v>
          </cell>
          <cell r="CD400">
            <v>0</v>
          </cell>
          <cell r="CE400">
            <v>0</v>
          </cell>
          <cell r="CF400">
            <v>0</v>
          </cell>
          <cell r="CG400"/>
          <cell r="CH400"/>
          <cell r="CI400"/>
          <cell r="CJ400"/>
          <cell r="CK400"/>
          <cell r="CL400"/>
          <cell r="CM400"/>
          <cell r="CN400"/>
          <cell r="CO400"/>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row>
        <row r="401">
          <cell r="A401">
            <v>8010400</v>
          </cell>
          <cell r="B401">
            <v>8010400</v>
          </cell>
          <cell r="C401" t="str">
            <v>DIT State</v>
          </cell>
          <cell r="D401">
            <v>196359.22</v>
          </cell>
          <cell r="E401">
            <v>39793.47</v>
          </cell>
          <cell r="F401">
            <v>66374.27</v>
          </cell>
          <cell r="G401">
            <v>119542.46</v>
          </cell>
          <cell r="H401">
            <v>29212.48</v>
          </cell>
          <cell r="I401">
            <v>134574.67000000001</v>
          </cell>
          <cell r="J401">
            <v>137762.01</v>
          </cell>
          <cell r="K401">
            <v>177233.73</v>
          </cell>
          <cell r="L401">
            <v>208491.53</v>
          </cell>
          <cell r="M401">
            <v>151580.03</v>
          </cell>
          <cell r="N401">
            <v>641473.15</v>
          </cell>
          <cell r="O401">
            <v>419728.77</v>
          </cell>
          <cell r="P401">
            <v>42104.5</v>
          </cell>
          <cell r="Q401">
            <v>297837.48</v>
          </cell>
          <cell r="R401">
            <v>48772.91</v>
          </cell>
          <cell r="S401">
            <v>125406.91</v>
          </cell>
          <cell r="T401">
            <v>133432.20000000001</v>
          </cell>
          <cell r="U401">
            <v>97681.33</v>
          </cell>
          <cell r="V401">
            <v>77209.539999999994</v>
          </cell>
          <cell r="W401">
            <v>-653800.67000000004</v>
          </cell>
          <cell r="X401">
            <v>122897.23</v>
          </cell>
          <cell r="Y401">
            <v>314824.95</v>
          </cell>
          <cell r="Z401">
            <v>264009.19</v>
          </cell>
          <cell r="AA401">
            <v>483521.98</v>
          </cell>
          <cell r="AB401">
            <v>113894.09</v>
          </cell>
          <cell r="AC401">
            <v>20439.34</v>
          </cell>
          <cell r="AD401">
            <v>123409</v>
          </cell>
          <cell r="AE401">
            <v>156725.97</v>
          </cell>
          <cell r="AF401">
            <v>177430.57</v>
          </cell>
          <cell r="AG401">
            <v>28789.91</v>
          </cell>
          <cell r="AH401">
            <v>149370.19</v>
          </cell>
          <cell r="AI401">
            <v>235349.9</v>
          </cell>
          <cell r="AJ401">
            <v>128551.98</v>
          </cell>
          <cell r="AK401">
            <v>254737.94</v>
          </cell>
          <cell r="AL401">
            <v>287937.40000000002</v>
          </cell>
          <cell r="AM401">
            <v>241303.67999999999</v>
          </cell>
          <cell r="AN401">
            <v>143350.70000000001</v>
          </cell>
          <cell r="AO401">
            <v>399332.31</v>
          </cell>
          <cell r="AP401">
            <v>237954.95</v>
          </cell>
          <cell r="AQ401">
            <v>206239.43</v>
          </cell>
          <cell r="AR401">
            <v>431870.81</v>
          </cell>
          <cell r="AS401">
            <v>335717.67</v>
          </cell>
          <cell r="AT401">
            <v>327092.03999999998</v>
          </cell>
          <cell r="AU401">
            <v>317960.95</v>
          </cell>
          <cell r="AV401">
            <v>195343.67</v>
          </cell>
          <cell r="AW401">
            <v>461635.45</v>
          </cell>
          <cell r="AX401">
            <v>386466.48</v>
          </cell>
          <cell r="AY401">
            <v>172911.72</v>
          </cell>
          <cell r="AZ401">
            <v>36369.86</v>
          </cell>
          <cell r="BA401">
            <v>298509.11</v>
          </cell>
          <cell r="BB401">
            <v>39883.949999999997</v>
          </cell>
          <cell r="BC401">
            <v>164399.89000000001</v>
          </cell>
          <cell r="BD401">
            <v>240688.29</v>
          </cell>
          <cell r="BE401">
            <v>217888.8</v>
          </cell>
          <cell r="BF401">
            <v>257207.31</v>
          </cell>
          <cell r="BG401">
            <v>134071.12</v>
          </cell>
          <cell r="BH401">
            <v>242504.33</v>
          </cell>
          <cell r="BI401">
            <v>313486.96999999997</v>
          </cell>
          <cell r="BJ401">
            <v>338900.24</v>
          </cell>
          <cell r="BK401">
            <v>937270.41</v>
          </cell>
          <cell r="BL401">
            <v>177768.99</v>
          </cell>
          <cell r="BM401">
            <v>531605.23</v>
          </cell>
          <cell r="BN401">
            <v>248277.12</v>
          </cell>
          <cell r="BO401">
            <v>343538.97</v>
          </cell>
          <cell r="BP401">
            <v>364527.93</v>
          </cell>
          <cell r="BQ401">
            <v>356360.3</v>
          </cell>
          <cell r="BR401">
            <v>314100.19</v>
          </cell>
          <cell r="BS401">
            <v>356875.52000000002</v>
          </cell>
          <cell r="BT401">
            <v>-237242.75</v>
          </cell>
          <cell r="BU401">
            <v>256237.42</v>
          </cell>
          <cell r="BV401">
            <v>246948.52</v>
          </cell>
          <cell r="BW401">
            <v>372716.4</v>
          </cell>
          <cell r="BX401">
            <v>-46571.41</v>
          </cell>
          <cell r="BY401">
            <v>764964.42</v>
          </cell>
          <cell r="BZ401">
            <v>278736.42</v>
          </cell>
          <cell r="CA401">
            <v>230162.76</v>
          </cell>
          <cell r="CB401">
            <v>312740.11</v>
          </cell>
          <cell r="CC401">
            <v>228838.43</v>
          </cell>
          <cell r="CD401">
            <v>312119.86</v>
          </cell>
          <cell r="CE401">
            <v>214714.22</v>
          </cell>
          <cell r="CF401">
            <v>345903.41</v>
          </cell>
          <cell r="CG401">
            <v>503515.61</v>
          </cell>
          <cell r="CH401">
            <v>320124.3</v>
          </cell>
          <cell r="CI401">
            <v>482240.87</v>
          </cell>
          <cell r="CJ401">
            <v>186365.09</v>
          </cell>
          <cell r="CK401">
            <v>286372.7</v>
          </cell>
          <cell r="CL401">
            <v>472758.22</v>
          </cell>
          <cell r="CM401">
            <v>299226.93</v>
          </cell>
          <cell r="CN401">
            <v>408082.34</v>
          </cell>
          <cell r="CO401">
            <v>-98599.99</v>
          </cell>
          <cell r="CP401">
            <v>357778.66</v>
          </cell>
          <cell r="CQ401">
            <v>196131.78</v>
          </cell>
          <cell r="CR401">
            <v>-608284.18000000005</v>
          </cell>
          <cell r="CS401">
            <v>540696.63</v>
          </cell>
          <cell r="CT401">
            <v>594384.49</v>
          </cell>
          <cell r="CU401">
            <v>-103859.52</v>
          </cell>
          <cell r="CV401">
            <v>137849.38</v>
          </cell>
          <cell r="CW401">
            <v>-74828.75</v>
          </cell>
          <cell r="CX401">
            <v>751150.01</v>
          </cell>
          <cell r="CY401">
            <v>262495.46000000002</v>
          </cell>
          <cell r="CZ401">
            <v>377642.91</v>
          </cell>
          <cell r="DA401">
            <v>190475.02</v>
          </cell>
          <cell r="DB401">
            <v>366067.01</v>
          </cell>
          <cell r="DC401">
            <v>1098791.18</v>
          </cell>
          <cell r="DD401">
            <v>353425.09</v>
          </cell>
          <cell r="DE401">
            <v>509619.56</v>
          </cell>
          <cell r="DF401">
            <v>449365.76000000001</v>
          </cell>
          <cell r="DG401">
            <v>308201.89</v>
          </cell>
        </row>
        <row r="402">
          <cell r="A402">
            <v>8010405</v>
          </cell>
          <cell r="B402">
            <v>8010405</v>
          </cell>
          <cell r="C402" t="str">
            <v>DIT State NonUtil</v>
          </cell>
          <cell r="D402"/>
          <cell r="E402"/>
          <cell r="F402"/>
          <cell r="G402"/>
          <cell r="H402"/>
          <cell r="I402"/>
          <cell r="J402"/>
          <cell r="K402"/>
          <cell r="L402"/>
          <cell r="M402"/>
          <cell r="N402"/>
          <cell r="O402"/>
          <cell r="P402"/>
          <cell r="Q402"/>
          <cell r="R402"/>
          <cell r="S402"/>
          <cell r="T402"/>
          <cell r="U402"/>
          <cell r="V402"/>
          <cell r="W402"/>
          <cell r="X402"/>
          <cell r="Y402"/>
          <cell r="Z402"/>
          <cell r="AA402"/>
          <cell r="AB402"/>
          <cell r="AC402"/>
          <cell r="AD402"/>
          <cell r="AE402"/>
          <cell r="AF402"/>
          <cell r="AG402"/>
          <cell r="AH402"/>
          <cell r="AI402"/>
          <cell r="AJ402"/>
          <cell r="AK402">
            <v>0</v>
          </cell>
          <cell r="AL402">
            <v>0</v>
          </cell>
          <cell r="AM402">
            <v>-1.05</v>
          </cell>
          <cell r="AN402">
            <v>0</v>
          </cell>
          <cell r="AO402">
            <v>0</v>
          </cell>
          <cell r="AP402">
            <v>1.05</v>
          </cell>
          <cell r="AQ402">
            <v>0</v>
          </cell>
          <cell r="AR402">
            <v>0</v>
          </cell>
          <cell r="AS402">
            <v>0</v>
          </cell>
          <cell r="AT402">
            <v>0</v>
          </cell>
          <cell r="AU402">
            <v>0</v>
          </cell>
          <cell r="AV402">
            <v>0</v>
          </cell>
          <cell r="AW402">
            <v>3.13</v>
          </cell>
          <cell r="AX402">
            <v>-3.13</v>
          </cell>
          <cell r="AY402">
            <v>0</v>
          </cell>
          <cell r="AZ402">
            <v>0</v>
          </cell>
          <cell r="BA402">
            <v>0</v>
          </cell>
          <cell r="BB402">
            <v>0</v>
          </cell>
          <cell r="BC402">
            <v>0</v>
          </cell>
          <cell r="BD402">
            <v>0</v>
          </cell>
          <cell r="BE402">
            <v>0</v>
          </cell>
          <cell r="BF402">
            <v>0</v>
          </cell>
          <cell r="BG402">
            <v>0</v>
          </cell>
          <cell r="BH402">
            <v>0</v>
          </cell>
          <cell r="BI402"/>
          <cell r="BJ402"/>
          <cell r="BK402"/>
          <cell r="BL402"/>
          <cell r="BM402"/>
          <cell r="BN402"/>
          <cell r="BO402"/>
          <cell r="BP402"/>
          <cell r="BQ402"/>
          <cell r="BR402"/>
          <cell r="BS402"/>
          <cell r="BT402"/>
          <cell r="BU402"/>
          <cell r="BV402"/>
          <cell r="BW402"/>
          <cell r="BX402"/>
          <cell r="BY402"/>
          <cell r="BZ402"/>
          <cell r="CA402"/>
          <cell r="CB402"/>
          <cell r="CC402"/>
          <cell r="CD402"/>
          <cell r="CE402"/>
          <cell r="CF402"/>
          <cell r="CG402"/>
          <cell r="CH402"/>
          <cell r="CI402"/>
          <cell r="CJ402"/>
          <cell r="CK402"/>
          <cell r="CL402"/>
          <cell r="CM402"/>
          <cell r="CN402"/>
          <cell r="CO402"/>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row>
        <row r="403">
          <cell r="A403">
            <v>8010600</v>
          </cell>
          <cell r="B403">
            <v>8010600</v>
          </cell>
          <cell r="C403" t="str">
            <v>InvTaxCrAmtz-Util</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1</v>
          </cell>
          <cell r="AC403">
            <v>2</v>
          </cell>
          <cell r="AD403">
            <v>3</v>
          </cell>
          <cell r="AE403"/>
          <cell r="AF403"/>
          <cell r="AG403"/>
          <cell r="AH403"/>
          <cell r="AI403"/>
          <cell r="AJ403"/>
          <cell r="AK403"/>
          <cell r="AL403"/>
          <cell r="AM403"/>
          <cell r="AN403"/>
          <cell r="AO403"/>
          <cell r="AP403"/>
          <cell r="AQ403"/>
          <cell r="AR403"/>
          <cell r="AS403"/>
          <cell r="AT403"/>
          <cell r="AU403"/>
          <cell r="AV403"/>
          <cell r="AW403"/>
          <cell r="AX403"/>
          <cell r="AY403"/>
          <cell r="AZ403"/>
          <cell r="BA403"/>
          <cell r="BB403"/>
          <cell r="BC403"/>
          <cell r="BD403"/>
          <cell r="BE403"/>
          <cell r="BF403"/>
          <cell r="BG403"/>
          <cell r="BH403"/>
          <cell r="BI403"/>
          <cell r="BJ403"/>
          <cell r="BK403"/>
          <cell r="BL403"/>
          <cell r="BM403"/>
          <cell r="BN403"/>
          <cell r="BO403"/>
          <cell r="BP403"/>
          <cell r="BQ403"/>
          <cell r="BR403"/>
          <cell r="BS403"/>
          <cell r="BT403"/>
          <cell r="BU403"/>
          <cell r="BV403"/>
          <cell r="BW403"/>
          <cell r="BX403"/>
          <cell r="BY403"/>
          <cell r="BZ403"/>
          <cell r="CA403"/>
          <cell r="CB403"/>
          <cell r="CC403"/>
          <cell r="CD403"/>
          <cell r="CE403"/>
          <cell r="CF403"/>
          <cell r="CG403"/>
          <cell r="CH403"/>
          <cell r="CI403"/>
          <cell r="CJ403"/>
          <cell r="CK403"/>
          <cell r="CL403"/>
          <cell r="CM403"/>
          <cell r="CN403"/>
          <cell r="CO403"/>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row>
        <row r="404">
          <cell r="A404">
            <v>8900100</v>
          </cell>
          <cell r="B404">
            <v>8900100</v>
          </cell>
          <cell r="C404" t="str">
            <v>FICO Recon</v>
          </cell>
          <cell r="D404"/>
          <cell r="E404"/>
          <cell r="F404"/>
          <cell r="G404"/>
          <cell r="H404"/>
          <cell r="I404"/>
          <cell r="J404"/>
          <cell r="K404"/>
          <cell r="L404"/>
          <cell r="M404"/>
          <cell r="N404"/>
          <cell r="O404"/>
          <cell r="P404"/>
          <cell r="Q404"/>
          <cell r="R404"/>
          <cell r="S404"/>
          <cell r="T404"/>
          <cell r="U404"/>
          <cell r="V404"/>
          <cell r="W404"/>
          <cell r="X404"/>
          <cell r="Y404"/>
          <cell r="Z404"/>
          <cell r="AA404"/>
          <cell r="AB404"/>
          <cell r="AC404"/>
          <cell r="AD404"/>
          <cell r="AE404"/>
          <cell r="AF404"/>
          <cell r="AG404"/>
          <cell r="AH404"/>
          <cell r="AI404"/>
          <cell r="AJ404"/>
          <cell r="AK404"/>
          <cell r="AL404"/>
          <cell r="AM404"/>
          <cell r="AN404"/>
          <cell r="AO404"/>
          <cell r="AP404"/>
          <cell r="AQ404"/>
          <cell r="AR404"/>
          <cell r="AS404"/>
          <cell r="AT404"/>
          <cell r="AU404"/>
          <cell r="AV404"/>
          <cell r="AW404"/>
          <cell r="AX404"/>
          <cell r="AY404"/>
          <cell r="AZ404"/>
          <cell r="BA404"/>
          <cell r="BB404"/>
          <cell r="BC404"/>
          <cell r="BD404"/>
          <cell r="BE404"/>
          <cell r="BF404"/>
          <cell r="BG404"/>
          <cell r="BH404"/>
          <cell r="BI404"/>
          <cell r="BJ404"/>
          <cell r="BK404"/>
          <cell r="BL404"/>
          <cell r="BM404"/>
          <cell r="BN404"/>
          <cell r="BO404"/>
          <cell r="BP404"/>
          <cell r="BQ404"/>
          <cell r="BR404"/>
          <cell r="BS404"/>
          <cell r="BT404"/>
          <cell r="BU404"/>
          <cell r="BV404"/>
          <cell r="BW404"/>
          <cell r="BX404"/>
          <cell r="BY404"/>
          <cell r="BZ404"/>
          <cell r="CA404"/>
          <cell r="CB404"/>
          <cell r="CC404"/>
          <cell r="CD404"/>
          <cell r="CE404"/>
          <cell r="CF404"/>
          <cell r="CG404"/>
          <cell r="CH404"/>
          <cell r="CI404"/>
          <cell r="CJ404"/>
          <cell r="CK404"/>
          <cell r="CL404"/>
          <cell r="CM404"/>
          <cell r="CN404"/>
          <cell r="CO404"/>
          <cell r="CP404"/>
          <cell r="CQ404"/>
          <cell r="CR404"/>
          <cell r="CS404"/>
          <cell r="CT404"/>
          <cell r="CU404"/>
          <cell r="CV404"/>
          <cell r="CW404"/>
          <cell r="CX404"/>
          <cell r="CY404"/>
          <cell r="CZ404"/>
          <cell r="DA404"/>
          <cell r="DB404"/>
          <cell r="DC404"/>
          <cell r="DD404"/>
          <cell r="DE404">
            <v>415.77</v>
          </cell>
          <cell r="DF404">
            <v>0</v>
          </cell>
          <cell r="DG404">
            <v>0</v>
          </cell>
        </row>
        <row r="405">
          <cell r="A405">
            <v>8900140</v>
          </cell>
          <cell r="B405">
            <v>8900140</v>
          </cell>
          <cell r="C405" t="str">
            <v>FICO Recon O&amp;M Exp</v>
          </cell>
          <cell r="D405">
            <v>393529.14</v>
          </cell>
          <cell r="E405">
            <v>364102.51</v>
          </cell>
          <cell r="F405">
            <v>430194.33</v>
          </cell>
          <cell r="G405">
            <v>432200.27</v>
          </cell>
          <cell r="H405">
            <v>384387.02</v>
          </cell>
          <cell r="I405">
            <v>383213.38</v>
          </cell>
          <cell r="J405">
            <v>257877.04</v>
          </cell>
          <cell r="K405">
            <v>354853.12</v>
          </cell>
          <cell r="L405">
            <v>302593.39</v>
          </cell>
          <cell r="M405">
            <v>19615.43</v>
          </cell>
          <cell r="N405">
            <v>218344.53</v>
          </cell>
          <cell r="O405">
            <v>292732.93</v>
          </cell>
          <cell r="P405">
            <v>290768.96000000002</v>
          </cell>
          <cell r="Q405">
            <v>258758.54</v>
          </cell>
          <cell r="R405">
            <v>362326.81</v>
          </cell>
          <cell r="S405">
            <v>179762.18</v>
          </cell>
          <cell r="T405">
            <v>-90169.47</v>
          </cell>
          <cell r="U405">
            <v>261459.69</v>
          </cell>
          <cell r="V405">
            <v>197119.3</v>
          </cell>
          <cell r="W405">
            <v>198094.14</v>
          </cell>
          <cell r="X405">
            <v>194922.45</v>
          </cell>
          <cell r="Y405">
            <v>191913.13</v>
          </cell>
          <cell r="Z405">
            <v>180576.23</v>
          </cell>
          <cell r="AA405">
            <v>224267.16</v>
          </cell>
          <cell r="AB405">
            <v>110534.95</v>
          </cell>
          <cell r="AC405">
            <v>75394.14</v>
          </cell>
          <cell r="AD405">
            <v>-45526.62</v>
          </cell>
          <cell r="AE405">
            <v>42171.68</v>
          </cell>
          <cell r="AF405">
            <v>30295.98</v>
          </cell>
          <cell r="AG405">
            <v>3909.26</v>
          </cell>
          <cell r="AH405">
            <v>34897.360000000001</v>
          </cell>
          <cell r="AI405">
            <v>-19185.560000000001</v>
          </cell>
          <cell r="AJ405">
            <v>47052.63</v>
          </cell>
          <cell r="AK405">
            <v>57779.38</v>
          </cell>
          <cell r="AL405">
            <v>17244.41</v>
          </cell>
          <cell r="AM405">
            <v>107574.45</v>
          </cell>
          <cell r="AN405">
            <v>228601.52</v>
          </cell>
          <cell r="AO405">
            <v>475045.16</v>
          </cell>
          <cell r="AP405">
            <v>514588.37</v>
          </cell>
          <cell r="AQ405">
            <v>656471.39</v>
          </cell>
          <cell r="AR405">
            <v>753287.3</v>
          </cell>
          <cell r="AS405">
            <v>922885.54</v>
          </cell>
          <cell r="AT405">
            <v>709726.93</v>
          </cell>
          <cell r="AU405">
            <v>792943.58</v>
          </cell>
          <cell r="AV405">
            <v>601588.66</v>
          </cell>
          <cell r="AW405">
            <v>711156.65</v>
          </cell>
          <cell r="AX405">
            <v>698473.73</v>
          </cell>
          <cell r="AY405">
            <v>829090.79</v>
          </cell>
          <cell r="AZ405">
            <v>819332.05</v>
          </cell>
          <cell r="BA405">
            <v>668461.92000000004</v>
          </cell>
          <cell r="BB405">
            <v>758312.57</v>
          </cell>
          <cell r="BC405">
            <v>705479.92</v>
          </cell>
          <cell r="BD405">
            <v>880272.38</v>
          </cell>
          <cell r="BE405">
            <v>908809.61</v>
          </cell>
          <cell r="BF405">
            <v>699624.9</v>
          </cell>
          <cell r="BG405">
            <v>640161.49</v>
          </cell>
          <cell r="BH405">
            <v>761466.62</v>
          </cell>
          <cell r="BI405">
            <v>850861.15</v>
          </cell>
          <cell r="BJ405">
            <v>941999.13</v>
          </cell>
          <cell r="BK405">
            <v>807324.87</v>
          </cell>
          <cell r="BL405">
            <v>862521.07</v>
          </cell>
          <cell r="BM405">
            <v>850520.63</v>
          </cell>
          <cell r="BN405">
            <v>805015.77</v>
          </cell>
          <cell r="BO405">
            <v>772959.79</v>
          </cell>
          <cell r="BP405">
            <v>1025152.62</v>
          </cell>
          <cell r="BQ405">
            <v>762339.03</v>
          </cell>
          <cell r="BR405">
            <v>731046.56</v>
          </cell>
          <cell r="BS405">
            <v>1002291.65</v>
          </cell>
          <cell r="BT405">
            <v>732021.42</v>
          </cell>
          <cell r="BU405">
            <v>793222.97</v>
          </cell>
          <cell r="BV405">
            <v>763597.07</v>
          </cell>
          <cell r="BW405">
            <v>623950.51</v>
          </cell>
          <cell r="BX405">
            <v>962402.5</v>
          </cell>
          <cell r="BY405">
            <v>956670.89</v>
          </cell>
          <cell r="BZ405">
            <v>1122609.94</v>
          </cell>
          <cell r="CA405">
            <v>1076871.1599999999</v>
          </cell>
          <cell r="CB405">
            <v>1127941.67</v>
          </cell>
          <cell r="CC405">
            <v>996251.95</v>
          </cell>
          <cell r="CD405">
            <v>1185348.46</v>
          </cell>
          <cell r="CE405">
            <v>963314.53</v>
          </cell>
          <cell r="CF405">
            <v>1019287.67</v>
          </cell>
          <cell r="CG405">
            <v>1030500.31</v>
          </cell>
          <cell r="CH405">
            <v>912276.58</v>
          </cell>
          <cell r="CI405">
            <v>1044707.78</v>
          </cell>
          <cell r="CJ405">
            <v>911555.88</v>
          </cell>
          <cell r="CK405">
            <v>853051.48</v>
          </cell>
          <cell r="CL405">
            <v>920678.08</v>
          </cell>
          <cell r="CM405">
            <v>923277.43</v>
          </cell>
          <cell r="CN405">
            <v>891553.5</v>
          </cell>
          <cell r="CO405">
            <v>1161890.75</v>
          </cell>
          <cell r="CP405">
            <v>1084462.8700000001</v>
          </cell>
          <cell r="CQ405">
            <v>1011842.14</v>
          </cell>
          <cell r="CR405">
            <v>948515.42</v>
          </cell>
          <cell r="CS405">
            <v>904534.92</v>
          </cell>
          <cell r="CT405">
            <v>1109844.1499999999</v>
          </cell>
          <cell r="CU405">
            <v>1123805.72</v>
          </cell>
          <cell r="CV405">
            <v>1031957.3</v>
          </cell>
          <cell r="CW405">
            <v>1011325.2</v>
          </cell>
          <cell r="CX405">
            <v>1191462.1200000001</v>
          </cell>
          <cell r="CY405">
            <v>1884597.65</v>
          </cell>
          <cell r="CZ405">
            <v>1387945.06</v>
          </cell>
          <cell r="DA405">
            <v>1861943.85</v>
          </cell>
          <cell r="DB405">
            <v>1368697.51</v>
          </cell>
          <cell r="DC405">
            <v>1671535.71</v>
          </cell>
          <cell r="DD405">
            <v>2000149.4</v>
          </cell>
          <cell r="DE405">
            <v>1478185.19</v>
          </cell>
          <cell r="DF405">
            <v>1731824.38</v>
          </cell>
          <cell r="DG405">
            <v>7432963.4699999997</v>
          </cell>
        </row>
        <row r="406">
          <cell r="A406">
            <v>8900141</v>
          </cell>
          <cell r="B406">
            <v>8900141</v>
          </cell>
          <cell r="C406" t="str">
            <v>TSI FICO Recon O&amp;M E</v>
          </cell>
          <cell r="D406"/>
          <cell r="E406"/>
          <cell r="F406"/>
          <cell r="G406"/>
          <cell r="H406"/>
          <cell r="I406"/>
          <cell r="J406"/>
          <cell r="K406"/>
          <cell r="L406"/>
          <cell r="M406"/>
          <cell r="N406"/>
          <cell r="O406"/>
          <cell r="P406"/>
          <cell r="Q406"/>
          <cell r="R406"/>
          <cell r="S406"/>
          <cell r="T406"/>
          <cell r="U406"/>
          <cell r="V406"/>
          <cell r="W406"/>
          <cell r="X406"/>
          <cell r="Y406"/>
          <cell r="Z406"/>
          <cell r="AA406"/>
          <cell r="AB406"/>
          <cell r="AC406"/>
          <cell r="AD406"/>
          <cell r="AE406">
            <v>102020.69</v>
          </cell>
          <cell r="AF406">
            <v>79772.45</v>
          </cell>
          <cell r="AG406">
            <v>83380.350000000006</v>
          </cell>
          <cell r="AH406">
            <v>82422.69</v>
          </cell>
          <cell r="AI406">
            <v>95192.41</v>
          </cell>
          <cell r="AJ406">
            <v>94678.95</v>
          </cell>
          <cell r="AK406">
            <v>100885.88</v>
          </cell>
          <cell r="AL406">
            <v>119591.64</v>
          </cell>
          <cell r="AM406">
            <v>109692.98</v>
          </cell>
          <cell r="AN406">
            <v>130857.54</v>
          </cell>
          <cell r="AO406">
            <v>117175.82</v>
          </cell>
          <cell r="AP406">
            <v>139071.47</v>
          </cell>
          <cell r="AQ406">
            <v>151231.37</v>
          </cell>
          <cell r="AR406">
            <v>181194.37</v>
          </cell>
          <cell r="AS406">
            <v>176409.58</v>
          </cell>
          <cell r="AT406">
            <v>172869.43</v>
          </cell>
          <cell r="AU406">
            <v>184099.76</v>
          </cell>
          <cell r="AV406">
            <v>144770.89000000001</v>
          </cell>
          <cell r="AW406">
            <v>-27153.72</v>
          </cell>
          <cell r="AX406">
            <v>139592.91</v>
          </cell>
          <cell r="AY406">
            <v>135716.62</v>
          </cell>
          <cell r="AZ406">
            <v>144059.82999999999</v>
          </cell>
          <cell r="BA406">
            <v>133089.49</v>
          </cell>
          <cell r="BB406">
            <v>117978.01</v>
          </cell>
          <cell r="BC406">
            <v>123566.49</v>
          </cell>
          <cell r="BD406">
            <v>138861.49</v>
          </cell>
          <cell r="BE406">
            <v>132391.41</v>
          </cell>
          <cell r="BF406">
            <v>124505.63</v>
          </cell>
          <cell r="BG406">
            <v>123041.9</v>
          </cell>
          <cell r="BH406">
            <v>101616.02</v>
          </cell>
          <cell r="BI406">
            <v>131302.64000000001</v>
          </cell>
          <cell r="BJ406">
            <v>112293.18</v>
          </cell>
          <cell r="BK406">
            <v>109457.15</v>
          </cell>
          <cell r="BL406">
            <v>141982.32</v>
          </cell>
          <cell r="BM406">
            <v>147055.82</v>
          </cell>
          <cell r="BN406">
            <v>157622.89000000001</v>
          </cell>
          <cell r="BO406">
            <v>117473.99</v>
          </cell>
          <cell r="BP406">
            <v>141300.13</v>
          </cell>
          <cell r="BQ406">
            <v>125462.25</v>
          </cell>
          <cell r="BR406">
            <v>178955.98</v>
          </cell>
          <cell r="BS406">
            <v>148865.56</v>
          </cell>
          <cell r="BT406">
            <v>132142.18</v>
          </cell>
          <cell r="BU406">
            <v>179993.05</v>
          </cell>
          <cell r="BV406">
            <v>158930.79999999999</v>
          </cell>
          <cell r="BW406">
            <v>161557.9</v>
          </cell>
          <cell r="BX406">
            <v>0</v>
          </cell>
          <cell r="BY406">
            <v>0</v>
          </cell>
          <cell r="BZ406">
            <v>0</v>
          </cell>
          <cell r="CA406">
            <v>0</v>
          </cell>
          <cell r="CB406">
            <v>0</v>
          </cell>
          <cell r="CC406">
            <v>0</v>
          </cell>
          <cell r="CD406">
            <v>0</v>
          </cell>
          <cell r="CE406">
            <v>0</v>
          </cell>
          <cell r="CF406">
            <v>0</v>
          </cell>
          <cell r="CG406"/>
          <cell r="CH406"/>
          <cell r="CI406"/>
          <cell r="CJ406">
            <v>0</v>
          </cell>
          <cell r="CK406">
            <v>47486.85</v>
          </cell>
          <cell r="CL406">
            <v>3258.53</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row>
        <row r="407">
          <cell r="A407">
            <v>8900170</v>
          </cell>
          <cell r="B407">
            <v>8900170</v>
          </cell>
          <cell r="C407" t="str">
            <v>FICO Recon TOTI</v>
          </cell>
          <cell r="D407">
            <v>0</v>
          </cell>
          <cell r="E407">
            <v>0</v>
          </cell>
          <cell r="F407">
            <v>0</v>
          </cell>
          <cell r="G407">
            <v>0</v>
          </cell>
          <cell r="H407">
            <v>0</v>
          </cell>
          <cell r="I407">
            <v>0</v>
          </cell>
          <cell r="J407">
            <v>0</v>
          </cell>
          <cell r="K407">
            <v>0</v>
          </cell>
          <cell r="L407">
            <v>0</v>
          </cell>
          <cell r="M407">
            <v>0</v>
          </cell>
          <cell r="N407">
            <v>-11.36</v>
          </cell>
          <cell r="O407">
            <v>0</v>
          </cell>
          <cell r="P407">
            <v>0</v>
          </cell>
          <cell r="Q407">
            <v>0</v>
          </cell>
          <cell r="R407">
            <v>0</v>
          </cell>
          <cell r="S407">
            <v>0</v>
          </cell>
          <cell r="T407">
            <v>0</v>
          </cell>
          <cell r="U407">
            <v>0.83</v>
          </cell>
          <cell r="V407">
            <v>0</v>
          </cell>
          <cell r="W407">
            <v>0</v>
          </cell>
          <cell r="X407">
            <v>0</v>
          </cell>
          <cell r="Y407">
            <v>0</v>
          </cell>
          <cell r="Z407">
            <v>0</v>
          </cell>
          <cell r="AA407">
            <v>0</v>
          </cell>
          <cell r="AB407">
            <v>0</v>
          </cell>
          <cell r="AC407">
            <v>0</v>
          </cell>
          <cell r="AD407">
            <v>1.1399999999999999</v>
          </cell>
          <cell r="AE407">
            <v>0</v>
          </cell>
          <cell r="AF407">
            <v>0</v>
          </cell>
          <cell r="AG407">
            <v>0</v>
          </cell>
          <cell r="AH407">
            <v>0</v>
          </cell>
          <cell r="AI407">
            <v>1.82</v>
          </cell>
          <cell r="AJ407">
            <v>0</v>
          </cell>
          <cell r="AK407">
            <v>0</v>
          </cell>
          <cell r="AL407">
            <v>0</v>
          </cell>
          <cell r="AM407">
            <v>0</v>
          </cell>
          <cell r="AN407">
            <v>1.19</v>
          </cell>
          <cell r="AO407">
            <v>0</v>
          </cell>
          <cell r="AP407">
            <v>0</v>
          </cell>
          <cell r="AQ407">
            <v>0</v>
          </cell>
          <cell r="AR407">
            <v>0</v>
          </cell>
          <cell r="AS407">
            <v>0</v>
          </cell>
          <cell r="AT407">
            <v>0</v>
          </cell>
          <cell r="AU407">
            <v>0</v>
          </cell>
          <cell r="AV407">
            <v>0</v>
          </cell>
          <cell r="AW407">
            <v>0</v>
          </cell>
          <cell r="AX407">
            <v>3.75</v>
          </cell>
          <cell r="AY407">
            <v>0</v>
          </cell>
          <cell r="AZ407">
            <v>0</v>
          </cell>
          <cell r="BA407">
            <v>0</v>
          </cell>
          <cell r="BB407">
            <v>0</v>
          </cell>
          <cell r="BC407">
            <v>0</v>
          </cell>
          <cell r="BD407">
            <v>0</v>
          </cell>
          <cell r="BE407">
            <v>3.59</v>
          </cell>
          <cell r="BF407">
            <v>-124.9</v>
          </cell>
          <cell r="BG407">
            <v>0</v>
          </cell>
          <cell r="BH407">
            <v>0</v>
          </cell>
          <cell r="BI407">
            <v>0</v>
          </cell>
          <cell r="BJ407">
            <v>0</v>
          </cell>
          <cell r="BK407">
            <v>-245.62</v>
          </cell>
          <cell r="BL407">
            <v>0</v>
          </cell>
          <cell r="BM407">
            <v>0</v>
          </cell>
          <cell r="BN407">
            <v>0</v>
          </cell>
          <cell r="BO407">
            <v>0</v>
          </cell>
          <cell r="BP407">
            <v>0</v>
          </cell>
          <cell r="BQ407">
            <v>0</v>
          </cell>
          <cell r="BR407">
            <v>0</v>
          </cell>
          <cell r="BS407">
            <v>0</v>
          </cell>
          <cell r="BT407">
            <v>9.7799999999999994</v>
          </cell>
          <cell r="BU407">
            <v>13.51</v>
          </cell>
          <cell r="BV407">
            <v>3.26</v>
          </cell>
          <cell r="BW407">
            <v>3.26</v>
          </cell>
          <cell r="BX407">
            <v>12.7</v>
          </cell>
          <cell r="BY407">
            <v>-529.36</v>
          </cell>
          <cell r="BZ407">
            <v>535.11</v>
          </cell>
          <cell r="CA407">
            <v>0</v>
          </cell>
          <cell r="CB407">
            <v>0</v>
          </cell>
          <cell r="CC407">
            <v>0</v>
          </cell>
          <cell r="CD407">
            <v>228.76</v>
          </cell>
          <cell r="CE407">
            <v>0</v>
          </cell>
          <cell r="CF407">
            <v>0</v>
          </cell>
          <cell r="CG407">
            <v>2.17</v>
          </cell>
          <cell r="CH407">
            <v>0</v>
          </cell>
          <cell r="CI407">
            <v>1968.22</v>
          </cell>
          <cell r="CJ407">
            <v>0</v>
          </cell>
          <cell r="CK407">
            <v>0</v>
          </cell>
          <cell r="CL407">
            <v>0</v>
          </cell>
          <cell r="CM407">
            <v>1038.8399999999999</v>
          </cell>
          <cell r="CN407">
            <v>273.81</v>
          </cell>
          <cell r="CO407">
            <v>329.37</v>
          </cell>
          <cell r="CP407">
            <v>134.88999999999999</v>
          </cell>
          <cell r="CQ407">
            <v>-829.96</v>
          </cell>
          <cell r="CR407">
            <v>0</v>
          </cell>
          <cell r="CS407">
            <v>0</v>
          </cell>
          <cell r="CT407">
            <v>-22.15</v>
          </cell>
          <cell r="CU407">
            <v>565.77</v>
          </cell>
          <cell r="CV407">
            <v>48086.32</v>
          </cell>
          <cell r="CW407">
            <v>45027.43</v>
          </cell>
          <cell r="CX407">
            <v>50088.46</v>
          </cell>
          <cell r="CY407">
            <v>51829.51</v>
          </cell>
          <cell r="CZ407">
            <v>54183.37</v>
          </cell>
          <cell r="DA407">
            <v>57129.59</v>
          </cell>
          <cell r="DB407">
            <v>61745.63</v>
          </cell>
          <cell r="DC407">
            <v>63666.27</v>
          </cell>
          <cell r="DD407">
            <v>58098.95</v>
          </cell>
          <cell r="DE407">
            <v>62372.71</v>
          </cell>
          <cell r="DF407">
            <v>59425.87</v>
          </cell>
          <cell r="DG407">
            <v>54825.63</v>
          </cell>
        </row>
        <row r="408">
          <cell r="A408">
            <v>8900180</v>
          </cell>
          <cell r="B408">
            <v>8900180</v>
          </cell>
          <cell r="C408" t="str">
            <v>FICO Recon Oth IncEx</v>
          </cell>
          <cell r="D408">
            <v>48</v>
          </cell>
          <cell r="E408">
            <v>47</v>
          </cell>
          <cell r="F408">
            <v>46</v>
          </cell>
          <cell r="G408">
            <v>46</v>
          </cell>
          <cell r="H408">
            <v>68</v>
          </cell>
          <cell r="I408">
            <v>43</v>
          </cell>
          <cell r="J408">
            <v>43</v>
          </cell>
          <cell r="K408">
            <v>44</v>
          </cell>
          <cell r="L408">
            <v>46</v>
          </cell>
          <cell r="M408">
            <v>75</v>
          </cell>
          <cell r="N408">
            <v>50</v>
          </cell>
          <cell r="O408">
            <v>50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cell r="AF408"/>
          <cell r="AG408"/>
          <cell r="AH408"/>
          <cell r="AI408"/>
          <cell r="AJ408"/>
          <cell r="AK408"/>
          <cell r="AL408"/>
          <cell r="AM408"/>
          <cell r="AN408">
            <v>0</v>
          </cell>
          <cell r="AO408">
            <v>0</v>
          </cell>
          <cell r="AP408">
            <v>109.88</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cell r="BJ408"/>
          <cell r="BK408"/>
          <cell r="BL408"/>
          <cell r="BM408"/>
          <cell r="BN408"/>
          <cell r="BO408"/>
          <cell r="BP408"/>
          <cell r="BQ408"/>
          <cell r="BR408"/>
          <cell r="BS408"/>
          <cell r="BT408"/>
          <cell r="BU408">
            <v>0</v>
          </cell>
          <cell r="BV408">
            <v>0</v>
          </cell>
          <cell r="BW408">
            <v>-2368.0700000000002</v>
          </cell>
          <cell r="BX408">
            <v>2368.0700000000002</v>
          </cell>
          <cell r="BY408">
            <v>0</v>
          </cell>
          <cell r="BZ408">
            <v>0</v>
          </cell>
          <cell r="CA408">
            <v>0</v>
          </cell>
          <cell r="CB408">
            <v>0</v>
          </cell>
          <cell r="CC408">
            <v>0</v>
          </cell>
          <cell r="CD408">
            <v>0</v>
          </cell>
          <cell r="CE408">
            <v>0</v>
          </cell>
          <cell r="CF408">
            <v>0</v>
          </cell>
          <cell r="CG408">
            <v>-15987.2</v>
          </cell>
          <cell r="CH408">
            <v>0</v>
          </cell>
          <cell r="CI408">
            <v>-18543.73</v>
          </cell>
          <cell r="CJ408">
            <v>-3808.97</v>
          </cell>
          <cell r="CK408">
            <v>0</v>
          </cell>
          <cell r="CL408">
            <v>0</v>
          </cell>
          <cell r="CM408">
            <v>-14680.09</v>
          </cell>
          <cell r="CN408">
            <v>0</v>
          </cell>
          <cell r="CO408">
            <v>0</v>
          </cell>
          <cell r="CP408">
            <v>-15915.37</v>
          </cell>
          <cell r="CQ408">
            <v>0</v>
          </cell>
          <cell r="CR408">
            <v>0</v>
          </cell>
          <cell r="CS408">
            <v>0</v>
          </cell>
          <cell r="CT408">
            <v>0</v>
          </cell>
          <cell r="CU408">
            <v>-15600.05</v>
          </cell>
          <cell r="CV408">
            <v>0</v>
          </cell>
          <cell r="CW408">
            <v>-22373.360000000001</v>
          </cell>
          <cell r="CX408">
            <v>-10500</v>
          </cell>
          <cell r="CY408">
            <v>0</v>
          </cell>
          <cell r="CZ408">
            <v>-21456.61</v>
          </cell>
          <cell r="DA408">
            <v>0</v>
          </cell>
          <cell r="DB408">
            <v>0</v>
          </cell>
          <cell r="DC408">
            <v>-20379.490000000002</v>
          </cell>
          <cell r="DD408">
            <v>0</v>
          </cell>
          <cell r="DE408">
            <v>0</v>
          </cell>
          <cell r="DF408">
            <v>0</v>
          </cell>
          <cell r="DG408">
            <v>-14411.13</v>
          </cell>
        </row>
        <row r="409">
          <cell r="A409">
            <v>8903001</v>
          </cell>
          <cell r="B409">
            <v>8903001</v>
          </cell>
          <cell r="C409" t="str">
            <v>FICO Rec Enrg Alloc</v>
          </cell>
          <cell r="D409"/>
          <cell r="E409"/>
          <cell r="F409"/>
          <cell r="G409"/>
          <cell r="H409"/>
          <cell r="I409"/>
          <cell r="J409"/>
          <cell r="K409"/>
          <cell r="L409"/>
          <cell r="M409"/>
          <cell r="N409"/>
          <cell r="O409"/>
          <cell r="P409"/>
          <cell r="Q409"/>
          <cell r="R409"/>
          <cell r="S409"/>
          <cell r="T409"/>
          <cell r="U409">
            <v>340196.87</v>
          </cell>
          <cell r="V409">
            <v>360376.11</v>
          </cell>
          <cell r="W409">
            <v>327688.73</v>
          </cell>
          <cell r="X409">
            <v>505130.44</v>
          </cell>
          <cell r="Y409">
            <v>293423.52</v>
          </cell>
          <cell r="Z409">
            <v>468968.19</v>
          </cell>
          <cell r="AA409">
            <v>456157.34</v>
          </cell>
          <cell r="AB409">
            <v>0</v>
          </cell>
          <cell r="AC409">
            <v>338795.02</v>
          </cell>
          <cell r="AD409">
            <v>433172.44</v>
          </cell>
          <cell r="AE409">
            <v>406311.65</v>
          </cell>
          <cell r="AF409">
            <v>399331.56</v>
          </cell>
          <cell r="AG409">
            <v>425226.31</v>
          </cell>
          <cell r="AH409">
            <v>312733.27</v>
          </cell>
          <cell r="AI409">
            <v>332500.53000000003</v>
          </cell>
          <cell r="AJ409">
            <v>258087.24</v>
          </cell>
          <cell r="AK409">
            <v>284161.68</v>
          </cell>
          <cell r="AL409">
            <v>541638.15</v>
          </cell>
          <cell r="AM409">
            <v>364706.15</v>
          </cell>
          <cell r="AN409">
            <v>318617.2</v>
          </cell>
          <cell r="AO409">
            <v>256325.83</v>
          </cell>
          <cell r="AP409">
            <v>335185.86</v>
          </cell>
          <cell r="AQ409">
            <v>294080.78999999998</v>
          </cell>
          <cell r="AR409">
            <v>317315.45</v>
          </cell>
          <cell r="AS409">
            <v>322341.21000000002</v>
          </cell>
          <cell r="AT409">
            <v>296908.77</v>
          </cell>
          <cell r="AU409">
            <v>299947.23</v>
          </cell>
          <cell r="AV409">
            <v>291944.32000000001</v>
          </cell>
          <cell r="AW409">
            <v>346645.64</v>
          </cell>
          <cell r="AX409">
            <v>372342.85</v>
          </cell>
          <cell r="AY409">
            <v>335426.77</v>
          </cell>
          <cell r="AZ409">
            <v>285286.28999999998</v>
          </cell>
          <cell r="BA409">
            <v>288474.98</v>
          </cell>
          <cell r="BB409">
            <v>311128.25</v>
          </cell>
          <cell r="BC409">
            <v>227439.51</v>
          </cell>
          <cell r="BD409">
            <v>253752.7</v>
          </cell>
          <cell r="BE409">
            <v>435277.96</v>
          </cell>
          <cell r="BF409">
            <v>312911.90000000002</v>
          </cell>
          <cell r="BG409">
            <v>301242.5</v>
          </cell>
          <cell r="BH409">
            <v>448803.56</v>
          </cell>
          <cell r="BI409">
            <v>289028.31</v>
          </cell>
          <cell r="BJ409">
            <v>284723.36</v>
          </cell>
          <cell r="BK409">
            <v>302852.33</v>
          </cell>
          <cell r="BL409">
            <v>250241.38</v>
          </cell>
          <cell r="BM409">
            <v>232073.1</v>
          </cell>
          <cell r="BN409">
            <v>438540.3</v>
          </cell>
          <cell r="BO409">
            <v>257556.94</v>
          </cell>
          <cell r="BP409">
            <v>253883.5</v>
          </cell>
          <cell r="BQ409">
            <v>442260.9</v>
          </cell>
          <cell r="BR409">
            <v>226936.25</v>
          </cell>
          <cell r="BS409">
            <v>295136.09999999998</v>
          </cell>
          <cell r="BT409">
            <v>490284.52</v>
          </cell>
          <cell r="BU409">
            <v>229520.12</v>
          </cell>
          <cell r="BV409">
            <v>192411.81</v>
          </cell>
          <cell r="BW409">
            <v>161287.59</v>
          </cell>
          <cell r="BX409">
            <v>254518.65</v>
          </cell>
          <cell r="BY409">
            <v>213109.5</v>
          </cell>
          <cell r="BZ409">
            <v>387030.9</v>
          </cell>
          <cell r="CA409">
            <v>237745.08</v>
          </cell>
          <cell r="CB409">
            <v>245899.26</v>
          </cell>
          <cell r="CC409">
            <v>195432.38</v>
          </cell>
          <cell r="CD409">
            <v>230578.63</v>
          </cell>
          <cell r="CE409">
            <v>239354.88</v>
          </cell>
          <cell r="CF409">
            <v>340346.17</v>
          </cell>
          <cell r="CG409">
            <v>240802.1</v>
          </cell>
          <cell r="CH409">
            <v>225389.75</v>
          </cell>
          <cell r="CI409">
            <v>700086.58</v>
          </cell>
          <cell r="CJ409">
            <v>249019.84</v>
          </cell>
          <cell r="CK409">
            <v>281366.49</v>
          </cell>
          <cell r="CL409">
            <v>430920.98</v>
          </cell>
          <cell r="CM409">
            <v>-9331.7099999999991</v>
          </cell>
          <cell r="CN409">
            <v>266496.43</v>
          </cell>
          <cell r="CO409">
            <v>348330.4</v>
          </cell>
          <cell r="CP409">
            <v>219276.46</v>
          </cell>
          <cell r="CQ409">
            <v>255022.12</v>
          </cell>
          <cell r="CR409">
            <v>279980.31</v>
          </cell>
          <cell r="CS409">
            <v>314206.28000000003</v>
          </cell>
          <cell r="CT409">
            <v>221002.93</v>
          </cell>
          <cell r="CU409">
            <v>362370.75</v>
          </cell>
          <cell r="CV409">
            <v>293125.93</v>
          </cell>
          <cell r="CW409">
            <v>288438.14</v>
          </cell>
          <cell r="CX409">
            <v>385509.07</v>
          </cell>
          <cell r="CY409">
            <v>199253.9</v>
          </cell>
          <cell r="CZ409">
            <v>290910.58</v>
          </cell>
          <cell r="DA409">
            <v>377934.22</v>
          </cell>
          <cell r="DB409">
            <v>278497.23</v>
          </cell>
          <cell r="DC409">
            <v>497770.09</v>
          </cell>
          <cell r="DD409">
            <v>348449.03</v>
          </cell>
          <cell r="DE409">
            <v>379492.63</v>
          </cell>
          <cell r="DF409">
            <v>295335.17</v>
          </cell>
          <cell r="DG409">
            <v>424684.03</v>
          </cell>
        </row>
        <row r="410">
          <cell r="A410">
            <v>8903002</v>
          </cell>
          <cell r="B410">
            <v>8903002</v>
          </cell>
          <cell r="C410" t="str">
            <v>FICO Rec IT Alloc</v>
          </cell>
          <cell r="D410">
            <v>424221</v>
          </cell>
          <cell r="E410">
            <v>424221</v>
          </cell>
          <cell r="F410">
            <v>424221</v>
          </cell>
          <cell r="G410">
            <v>424221</v>
          </cell>
          <cell r="H410">
            <v>424221</v>
          </cell>
          <cell r="I410">
            <v>424221</v>
          </cell>
          <cell r="J410">
            <v>424221</v>
          </cell>
          <cell r="K410">
            <v>424221</v>
          </cell>
          <cell r="L410">
            <v>424221</v>
          </cell>
          <cell r="M410">
            <v>424221</v>
          </cell>
          <cell r="N410">
            <v>424221</v>
          </cell>
          <cell r="O410">
            <v>424221</v>
          </cell>
          <cell r="P410">
            <v>424155.2</v>
          </cell>
          <cell r="Q410">
            <v>327099.78999999998</v>
          </cell>
          <cell r="R410">
            <v>421274.65</v>
          </cell>
          <cell r="S410">
            <v>378032.96</v>
          </cell>
          <cell r="T410">
            <v>294047.57</v>
          </cell>
          <cell r="U410">
            <v>144014.47</v>
          </cell>
          <cell r="V410">
            <v>304923.39</v>
          </cell>
          <cell r="W410">
            <v>289482.02</v>
          </cell>
          <cell r="X410">
            <v>331747.06</v>
          </cell>
          <cell r="Y410">
            <v>332773.44</v>
          </cell>
          <cell r="Z410">
            <v>294761.93</v>
          </cell>
          <cell r="AA410">
            <v>344128.6</v>
          </cell>
          <cell r="AB410">
            <v>0</v>
          </cell>
          <cell r="AC410">
            <v>292110.84999999998</v>
          </cell>
          <cell r="AD410">
            <v>319408.75</v>
          </cell>
          <cell r="AE410">
            <v>275386.3</v>
          </cell>
          <cell r="AF410">
            <v>320715.5</v>
          </cell>
          <cell r="AG410">
            <v>359381.2</v>
          </cell>
          <cell r="AH410">
            <v>317105.73</v>
          </cell>
          <cell r="AI410">
            <v>343186.27</v>
          </cell>
          <cell r="AJ410">
            <v>445149.53</v>
          </cell>
          <cell r="AK410">
            <v>349927.55</v>
          </cell>
          <cell r="AL410">
            <v>335463.05</v>
          </cell>
          <cell r="AM410">
            <v>419663.69</v>
          </cell>
          <cell r="AN410">
            <v>311669.56</v>
          </cell>
          <cell r="AO410">
            <v>290150.83</v>
          </cell>
          <cell r="AP410">
            <v>317972.55</v>
          </cell>
          <cell r="AQ410">
            <v>341123.9</v>
          </cell>
          <cell r="AR410">
            <v>354119.67999999999</v>
          </cell>
          <cell r="AS410">
            <v>333432.05</v>
          </cell>
          <cell r="AT410">
            <v>309489.93</v>
          </cell>
          <cell r="AU410">
            <v>335198.09000000003</v>
          </cell>
          <cell r="AV410">
            <v>306947.74</v>
          </cell>
          <cell r="AW410">
            <v>189630.55</v>
          </cell>
          <cell r="AX410">
            <v>321312.67</v>
          </cell>
          <cell r="AY410">
            <v>352512.35</v>
          </cell>
          <cell r="AZ410">
            <v>387840.64</v>
          </cell>
          <cell r="BA410">
            <v>316583.2</v>
          </cell>
          <cell r="BB410">
            <v>365942.81</v>
          </cell>
          <cell r="BC410">
            <v>386747.22</v>
          </cell>
          <cell r="BD410">
            <v>368870.35</v>
          </cell>
          <cell r="BE410">
            <v>351690.97</v>
          </cell>
          <cell r="BF410">
            <v>360390.84</v>
          </cell>
          <cell r="BG410">
            <v>343200.77</v>
          </cell>
          <cell r="BH410">
            <v>331496.37</v>
          </cell>
          <cell r="BI410">
            <v>339238.56</v>
          </cell>
          <cell r="BJ410">
            <v>307777.8</v>
          </cell>
          <cell r="BK410">
            <v>327964.99</v>
          </cell>
          <cell r="BL410">
            <v>426770.16</v>
          </cell>
          <cell r="BM410">
            <v>331421.03000000003</v>
          </cell>
          <cell r="BN410">
            <v>360030.75</v>
          </cell>
          <cell r="BO410">
            <v>366193.13</v>
          </cell>
          <cell r="BP410">
            <v>386179.49</v>
          </cell>
          <cell r="BQ410">
            <v>350585.92</v>
          </cell>
          <cell r="BR410">
            <v>375243.15</v>
          </cell>
          <cell r="BS410">
            <v>359640.56</v>
          </cell>
          <cell r="BT410">
            <v>350024.43</v>
          </cell>
          <cell r="BU410">
            <v>355093.56</v>
          </cell>
          <cell r="BV410">
            <v>350550.81</v>
          </cell>
          <cell r="BW410">
            <v>406541.66</v>
          </cell>
          <cell r="BX410">
            <v>333936.81</v>
          </cell>
          <cell r="BY410">
            <v>446855.16</v>
          </cell>
          <cell r="BZ410">
            <v>430343.53</v>
          </cell>
          <cell r="CA410">
            <v>468903.4</v>
          </cell>
          <cell r="CB410">
            <v>416845.71</v>
          </cell>
          <cell r="CC410">
            <v>529473.76</v>
          </cell>
          <cell r="CD410">
            <v>373551.56</v>
          </cell>
          <cell r="CE410">
            <v>437686.36</v>
          </cell>
          <cell r="CF410">
            <v>351217</v>
          </cell>
          <cell r="CG410">
            <v>379249.53</v>
          </cell>
          <cell r="CH410">
            <v>380499.79</v>
          </cell>
          <cell r="CI410">
            <v>395882.03</v>
          </cell>
          <cell r="CJ410">
            <v>483012.97</v>
          </cell>
          <cell r="CK410">
            <v>417643.07</v>
          </cell>
          <cell r="CL410">
            <v>467471.86</v>
          </cell>
          <cell r="CM410">
            <v>317307.38</v>
          </cell>
          <cell r="CN410">
            <v>467802.1</v>
          </cell>
          <cell r="CO410">
            <v>509544.15</v>
          </cell>
          <cell r="CP410">
            <v>478566.07</v>
          </cell>
          <cell r="CQ410">
            <v>481610.43</v>
          </cell>
          <cell r="CR410">
            <v>471861.06</v>
          </cell>
          <cell r="CS410">
            <v>399353.38</v>
          </cell>
          <cell r="CT410">
            <v>570928.18999999994</v>
          </cell>
          <cell r="CU410">
            <v>585398.79</v>
          </cell>
          <cell r="CV410">
            <v>443030.39</v>
          </cell>
          <cell r="CW410">
            <v>527385.71</v>
          </cell>
          <cell r="CX410">
            <v>550690.79</v>
          </cell>
          <cell r="CY410">
            <v>504522.87</v>
          </cell>
          <cell r="CZ410">
            <v>529057.19999999995</v>
          </cell>
          <cell r="DA410">
            <v>499884.02</v>
          </cell>
          <cell r="DB410">
            <v>454213.24</v>
          </cell>
          <cell r="DC410">
            <v>558039.43000000005</v>
          </cell>
          <cell r="DD410">
            <v>507917.14</v>
          </cell>
          <cell r="DE410">
            <v>642876.30000000005</v>
          </cell>
          <cell r="DF410">
            <v>502383.01</v>
          </cell>
          <cell r="DG410">
            <v>724708.72</v>
          </cell>
        </row>
        <row r="411">
          <cell r="A411">
            <v>8903003</v>
          </cell>
          <cell r="B411">
            <v>8903003</v>
          </cell>
          <cell r="C411" t="str">
            <v>FICO Rec Telec Alloc</v>
          </cell>
          <cell r="D411">
            <v>27867</v>
          </cell>
          <cell r="E411">
            <v>27867</v>
          </cell>
          <cell r="F411">
            <v>27867</v>
          </cell>
          <cell r="G411">
            <v>27867</v>
          </cell>
          <cell r="H411">
            <v>27867</v>
          </cell>
          <cell r="I411">
            <v>27867</v>
          </cell>
          <cell r="J411">
            <v>27867</v>
          </cell>
          <cell r="K411">
            <v>27867</v>
          </cell>
          <cell r="L411">
            <v>27867</v>
          </cell>
          <cell r="M411">
            <v>27867</v>
          </cell>
          <cell r="N411">
            <v>27867</v>
          </cell>
          <cell r="O411">
            <v>27867</v>
          </cell>
          <cell r="P411">
            <v>25309</v>
          </cell>
          <cell r="Q411">
            <v>25309</v>
          </cell>
          <cell r="R411">
            <v>25309</v>
          </cell>
          <cell r="S411">
            <v>25309</v>
          </cell>
          <cell r="T411">
            <v>25309</v>
          </cell>
          <cell r="U411">
            <v>25309</v>
          </cell>
          <cell r="V411">
            <v>25309</v>
          </cell>
          <cell r="W411">
            <v>25309</v>
          </cell>
          <cell r="X411">
            <v>25309</v>
          </cell>
          <cell r="Y411">
            <v>25309</v>
          </cell>
          <cell r="Z411">
            <v>25309</v>
          </cell>
          <cell r="AA411">
            <v>25309</v>
          </cell>
          <cell r="AB411">
            <v>28453</v>
          </cell>
          <cell r="AC411">
            <v>28453</v>
          </cell>
          <cell r="AD411">
            <v>28453</v>
          </cell>
          <cell r="AE411">
            <v>28453</v>
          </cell>
          <cell r="AF411">
            <v>28453</v>
          </cell>
          <cell r="AG411">
            <v>28453</v>
          </cell>
          <cell r="AH411">
            <v>28453</v>
          </cell>
          <cell r="AI411">
            <v>28453</v>
          </cell>
          <cell r="AJ411">
            <v>28453</v>
          </cell>
          <cell r="AK411">
            <v>28453</v>
          </cell>
          <cell r="AL411">
            <v>28453</v>
          </cell>
          <cell r="AM411">
            <v>28453</v>
          </cell>
          <cell r="AN411">
            <v>22238</v>
          </cell>
          <cell r="AO411">
            <v>22238</v>
          </cell>
          <cell r="AP411">
            <v>22238</v>
          </cell>
          <cell r="AQ411">
            <v>22238</v>
          </cell>
          <cell r="AR411">
            <v>22238</v>
          </cell>
          <cell r="AS411">
            <v>22238</v>
          </cell>
          <cell r="AT411">
            <v>22238</v>
          </cell>
          <cell r="AU411">
            <v>22238</v>
          </cell>
          <cell r="AV411">
            <v>22238</v>
          </cell>
          <cell r="AW411">
            <v>22238</v>
          </cell>
          <cell r="AX411">
            <v>22238</v>
          </cell>
          <cell r="AY411">
            <v>22238</v>
          </cell>
          <cell r="AZ411">
            <v>22306</v>
          </cell>
          <cell r="BA411">
            <v>22306</v>
          </cell>
          <cell r="BB411">
            <v>22306</v>
          </cell>
          <cell r="BC411">
            <v>22306</v>
          </cell>
          <cell r="BD411">
            <v>22306</v>
          </cell>
          <cell r="BE411">
            <v>22306</v>
          </cell>
          <cell r="BF411">
            <v>22306</v>
          </cell>
          <cell r="BG411">
            <v>22306</v>
          </cell>
          <cell r="BH411">
            <v>22306</v>
          </cell>
          <cell r="BI411">
            <v>22306</v>
          </cell>
          <cell r="BJ411">
            <v>22306</v>
          </cell>
          <cell r="BK411">
            <v>22306</v>
          </cell>
          <cell r="BL411">
            <v>19953</v>
          </cell>
          <cell r="BM411">
            <v>19953</v>
          </cell>
          <cell r="BN411">
            <v>19953</v>
          </cell>
          <cell r="BO411">
            <v>19953</v>
          </cell>
          <cell r="BP411">
            <v>19953</v>
          </cell>
          <cell r="BQ411">
            <v>19953</v>
          </cell>
          <cell r="BR411">
            <v>19953</v>
          </cell>
          <cell r="BS411">
            <v>19953</v>
          </cell>
          <cell r="BT411">
            <v>19953</v>
          </cell>
          <cell r="BU411">
            <v>19953</v>
          </cell>
          <cell r="BV411">
            <v>19953</v>
          </cell>
          <cell r="BW411">
            <v>19953</v>
          </cell>
          <cell r="BX411">
            <v>28789</v>
          </cell>
          <cell r="BY411">
            <v>28789</v>
          </cell>
          <cell r="BZ411">
            <v>28789</v>
          </cell>
          <cell r="CA411">
            <v>28789</v>
          </cell>
          <cell r="CB411">
            <v>28789</v>
          </cell>
          <cell r="CC411">
            <v>28789</v>
          </cell>
          <cell r="CD411">
            <v>28789</v>
          </cell>
          <cell r="CE411">
            <v>28789</v>
          </cell>
          <cell r="CF411">
            <v>28789</v>
          </cell>
          <cell r="CG411">
            <v>28789</v>
          </cell>
          <cell r="CH411">
            <v>28789</v>
          </cell>
          <cell r="CI411">
            <v>28789</v>
          </cell>
          <cell r="CJ411">
            <v>32821</v>
          </cell>
          <cell r="CK411">
            <v>32821</v>
          </cell>
          <cell r="CL411">
            <v>32821</v>
          </cell>
          <cell r="CM411">
            <v>32821</v>
          </cell>
          <cell r="CN411">
            <v>32821</v>
          </cell>
          <cell r="CO411">
            <v>32821</v>
          </cell>
          <cell r="CP411">
            <v>32821</v>
          </cell>
          <cell r="CQ411">
            <v>32821</v>
          </cell>
          <cell r="CR411">
            <v>32821</v>
          </cell>
          <cell r="CS411">
            <v>32821</v>
          </cell>
          <cell r="CT411">
            <v>32821</v>
          </cell>
          <cell r="CU411">
            <v>32821</v>
          </cell>
          <cell r="CV411">
            <v>32821</v>
          </cell>
          <cell r="CW411">
            <v>31643</v>
          </cell>
          <cell r="CX411">
            <v>31643</v>
          </cell>
          <cell r="CY411">
            <v>31643</v>
          </cell>
          <cell r="CZ411">
            <v>31643</v>
          </cell>
          <cell r="DA411">
            <v>31643</v>
          </cell>
          <cell r="DB411">
            <v>31643</v>
          </cell>
          <cell r="DC411">
            <v>31643</v>
          </cell>
          <cell r="DD411">
            <v>31643</v>
          </cell>
          <cell r="DE411">
            <v>31643</v>
          </cell>
          <cell r="DF411">
            <v>31643</v>
          </cell>
          <cell r="DG411">
            <v>31643</v>
          </cell>
        </row>
        <row r="412">
          <cell r="A412">
            <v>8903004</v>
          </cell>
          <cell r="B412">
            <v>8903004</v>
          </cell>
          <cell r="C412" t="str">
            <v>FICO Rec Facilities</v>
          </cell>
          <cell r="D412">
            <v>17754</v>
          </cell>
          <cell r="E412">
            <v>17754</v>
          </cell>
          <cell r="F412">
            <v>17754</v>
          </cell>
          <cell r="G412">
            <v>17754</v>
          </cell>
          <cell r="H412">
            <v>17754</v>
          </cell>
          <cell r="I412">
            <v>17754</v>
          </cell>
          <cell r="J412">
            <v>17754</v>
          </cell>
          <cell r="K412">
            <v>17754</v>
          </cell>
          <cell r="L412">
            <v>17754</v>
          </cell>
          <cell r="M412">
            <v>17754</v>
          </cell>
          <cell r="N412">
            <v>17754</v>
          </cell>
          <cell r="O412">
            <v>17754</v>
          </cell>
          <cell r="P412">
            <v>15703</v>
          </cell>
          <cell r="Q412">
            <v>15703</v>
          </cell>
          <cell r="R412">
            <v>16120</v>
          </cell>
          <cell r="S412">
            <v>16120</v>
          </cell>
          <cell r="T412">
            <v>16120</v>
          </cell>
          <cell r="U412">
            <v>16120</v>
          </cell>
          <cell r="V412">
            <v>16120</v>
          </cell>
          <cell r="W412">
            <v>16120</v>
          </cell>
          <cell r="X412">
            <v>16475</v>
          </cell>
          <cell r="Y412">
            <v>16475</v>
          </cell>
          <cell r="Z412">
            <v>16475</v>
          </cell>
          <cell r="AA412">
            <v>16475</v>
          </cell>
          <cell r="AB412">
            <v>16500</v>
          </cell>
          <cell r="AC412">
            <v>16500</v>
          </cell>
          <cell r="AD412">
            <v>16500</v>
          </cell>
          <cell r="AE412">
            <v>16500</v>
          </cell>
          <cell r="AF412">
            <v>16500</v>
          </cell>
          <cell r="AG412">
            <v>16500</v>
          </cell>
          <cell r="AH412">
            <v>16500</v>
          </cell>
          <cell r="AI412">
            <v>16500</v>
          </cell>
          <cell r="AJ412">
            <v>16500</v>
          </cell>
          <cell r="AK412">
            <v>16500</v>
          </cell>
          <cell r="AL412">
            <v>16500</v>
          </cell>
          <cell r="AM412">
            <v>16500</v>
          </cell>
          <cell r="AN412">
            <v>18845</v>
          </cell>
          <cell r="AO412">
            <v>18845</v>
          </cell>
          <cell r="AP412">
            <v>18845</v>
          </cell>
          <cell r="AQ412">
            <v>18845</v>
          </cell>
          <cell r="AR412">
            <v>18845</v>
          </cell>
          <cell r="AS412">
            <v>18845</v>
          </cell>
          <cell r="AT412">
            <v>18845</v>
          </cell>
          <cell r="AU412">
            <v>18845</v>
          </cell>
          <cell r="AV412">
            <v>18845</v>
          </cell>
          <cell r="AW412">
            <v>18845</v>
          </cell>
          <cell r="AX412">
            <v>18845</v>
          </cell>
          <cell r="AY412">
            <v>18845</v>
          </cell>
          <cell r="AZ412">
            <v>17454</v>
          </cell>
          <cell r="BA412">
            <v>17454</v>
          </cell>
          <cell r="BB412">
            <v>17454</v>
          </cell>
          <cell r="BC412">
            <v>17454</v>
          </cell>
          <cell r="BD412">
            <v>17454</v>
          </cell>
          <cell r="BE412">
            <v>17454</v>
          </cell>
          <cell r="BF412">
            <v>17454</v>
          </cell>
          <cell r="BG412">
            <v>17454</v>
          </cell>
          <cell r="BH412">
            <v>17454</v>
          </cell>
          <cell r="BI412">
            <v>17454</v>
          </cell>
          <cell r="BJ412">
            <v>17454</v>
          </cell>
          <cell r="BK412">
            <v>17454</v>
          </cell>
          <cell r="BL412">
            <v>18029</v>
          </cell>
          <cell r="BM412">
            <v>18029</v>
          </cell>
          <cell r="BN412">
            <v>18029</v>
          </cell>
          <cell r="BO412">
            <v>18029</v>
          </cell>
          <cell r="BP412">
            <v>18029</v>
          </cell>
          <cell r="BQ412">
            <v>18029</v>
          </cell>
          <cell r="BR412">
            <v>18029</v>
          </cell>
          <cell r="BS412">
            <v>18029</v>
          </cell>
          <cell r="BT412">
            <v>18029</v>
          </cell>
          <cell r="BU412">
            <v>18029</v>
          </cell>
          <cell r="BV412">
            <v>18029</v>
          </cell>
          <cell r="BW412">
            <v>18029</v>
          </cell>
          <cell r="BX412">
            <v>18029</v>
          </cell>
          <cell r="BY412">
            <v>18029</v>
          </cell>
          <cell r="BZ412">
            <v>31637</v>
          </cell>
          <cell r="CA412">
            <v>22565</v>
          </cell>
          <cell r="CB412">
            <v>22565</v>
          </cell>
          <cell r="CC412">
            <v>22565</v>
          </cell>
          <cell r="CD412">
            <v>22565</v>
          </cell>
          <cell r="CE412">
            <v>22565</v>
          </cell>
          <cell r="CF412">
            <v>22565</v>
          </cell>
          <cell r="CG412">
            <v>22565</v>
          </cell>
          <cell r="CH412">
            <v>22565</v>
          </cell>
          <cell r="CI412">
            <v>22565</v>
          </cell>
          <cell r="CJ412">
            <v>23105</v>
          </cell>
          <cell r="CK412">
            <v>23105</v>
          </cell>
          <cell r="CL412">
            <v>23105</v>
          </cell>
          <cell r="CM412">
            <v>23105</v>
          </cell>
          <cell r="CN412">
            <v>23105</v>
          </cell>
          <cell r="CO412">
            <v>23105</v>
          </cell>
          <cell r="CP412">
            <v>23105</v>
          </cell>
          <cell r="CQ412">
            <v>23105</v>
          </cell>
          <cell r="CR412">
            <v>23105</v>
          </cell>
          <cell r="CS412">
            <v>23105</v>
          </cell>
          <cell r="CT412">
            <v>23105</v>
          </cell>
          <cell r="CU412">
            <v>23105</v>
          </cell>
          <cell r="CV412">
            <v>23105</v>
          </cell>
          <cell r="CW412">
            <v>23105.78</v>
          </cell>
          <cell r="CX412">
            <v>23105.78</v>
          </cell>
          <cell r="CY412">
            <v>23105.78</v>
          </cell>
          <cell r="CZ412">
            <v>23105.78</v>
          </cell>
          <cell r="DA412">
            <v>23105.78</v>
          </cell>
          <cell r="DB412">
            <v>23105.78</v>
          </cell>
          <cell r="DC412">
            <v>23105.78</v>
          </cell>
          <cell r="DD412">
            <v>23105.78</v>
          </cell>
          <cell r="DE412">
            <v>23105.78</v>
          </cell>
          <cell r="DF412">
            <v>23105.78</v>
          </cell>
          <cell r="DG412">
            <v>23105.78</v>
          </cell>
        </row>
        <row r="413">
          <cell r="A413">
            <v>8903005</v>
          </cell>
          <cell r="B413">
            <v>8903005</v>
          </cell>
          <cell r="C413" t="str">
            <v>FICO Rec HR Alloc</v>
          </cell>
          <cell r="D413"/>
          <cell r="E413"/>
          <cell r="F413"/>
          <cell r="G413"/>
          <cell r="H413"/>
          <cell r="I413"/>
          <cell r="J413"/>
          <cell r="K413"/>
          <cell r="L413"/>
          <cell r="M413"/>
          <cell r="N413"/>
          <cell r="O413"/>
          <cell r="P413"/>
          <cell r="Q413"/>
          <cell r="R413"/>
          <cell r="S413"/>
          <cell r="T413"/>
          <cell r="U413">
            <v>85760.81</v>
          </cell>
          <cell r="V413">
            <v>90159.16</v>
          </cell>
          <cell r="W413">
            <v>80768.160000000003</v>
          </cell>
          <cell r="X413">
            <v>90866.57</v>
          </cell>
          <cell r="Y413">
            <v>103440.16</v>
          </cell>
          <cell r="Z413">
            <v>88746.31</v>
          </cell>
          <cell r="AA413">
            <v>104819.93</v>
          </cell>
          <cell r="AB413">
            <v>0</v>
          </cell>
          <cell r="AC413">
            <v>73062.45</v>
          </cell>
          <cell r="AD413">
            <v>73223.259999999995</v>
          </cell>
          <cell r="AE413">
            <v>71389.490000000005</v>
          </cell>
          <cell r="AF413">
            <v>89389.08</v>
          </cell>
          <cell r="AG413">
            <v>89274.559999999998</v>
          </cell>
          <cell r="AH413">
            <v>74569.009999999995</v>
          </cell>
          <cell r="AI413">
            <v>83909.26</v>
          </cell>
          <cell r="AJ413">
            <v>84209.1</v>
          </cell>
          <cell r="AK413">
            <v>91039.35</v>
          </cell>
          <cell r="AL413">
            <v>81827.72</v>
          </cell>
          <cell r="AM413">
            <v>86445.759999999995</v>
          </cell>
          <cell r="AN413">
            <v>95929.86</v>
          </cell>
          <cell r="AO413">
            <v>79350.47</v>
          </cell>
          <cell r="AP413">
            <v>94323.54</v>
          </cell>
          <cell r="AQ413">
            <v>82555.100000000006</v>
          </cell>
          <cell r="AR413">
            <v>95321.61</v>
          </cell>
          <cell r="AS413">
            <v>85947.18</v>
          </cell>
          <cell r="AT413">
            <v>87441.94</v>
          </cell>
          <cell r="AU413">
            <v>90868.67</v>
          </cell>
          <cell r="AV413">
            <v>70182.570000000007</v>
          </cell>
          <cell r="AW413">
            <v>95036.160000000003</v>
          </cell>
          <cell r="AX413">
            <v>89726.24</v>
          </cell>
          <cell r="AY413">
            <v>98071.28</v>
          </cell>
          <cell r="AZ413">
            <v>92665.61</v>
          </cell>
          <cell r="BA413">
            <v>80515.41</v>
          </cell>
          <cell r="BB413">
            <v>84523.1</v>
          </cell>
          <cell r="BC413">
            <v>81407.92</v>
          </cell>
          <cell r="BD413">
            <v>90525.57</v>
          </cell>
          <cell r="BE413">
            <v>88380.46</v>
          </cell>
          <cell r="BF413">
            <v>104011.1</v>
          </cell>
          <cell r="BG413">
            <v>100437.01</v>
          </cell>
          <cell r="BH413">
            <v>73367.3</v>
          </cell>
          <cell r="BI413">
            <v>95991.33</v>
          </cell>
          <cell r="BJ413">
            <v>77875.13</v>
          </cell>
          <cell r="BK413">
            <v>84686.77</v>
          </cell>
          <cell r="BL413">
            <v>125623.97</v>
          </cell>
          <cell r="BM413">
            <v>84449.69</v>
          </cell>
          <cell r="BN413">
            <v>80829.72</v>
          </cell>
          <cell r="BO413">
            <v>95087.69</v>
          </cell>
          <cell r="BP413">
            <v>113772.2</v>
          </cell>
          <cell r="BQ413">
            <v>81659.5</v>
          </cell>
          <cell r="BR413">
            <v>114949.88</v>
          </cell>
          <cell r="BS413">
            <v>92982.720000000001</v>
          </cell>
          <cell r="BT413">
            <v>83564.98</v>
          </cell>
          <cell r="BU413">
            <v>111986.15</v>
          </cell>
          <cell r="BV413">
            <v>87999.53</v>
          </cell>
          <cell r="BW413">
            <v>85150.37</v>
          </cell>
          <cell r="BX413">
            <v>32007.93</v>
          </cell>
          <cell r="BY413">
            <v>36681.71</v>
          </cell>
          <cell r="BZ413">
            <v>40159.870000000003</v>
          </cell>
          <cell r="CA413">
            <v>30514.66</v>
          </cell>
          <cell r="CB413">
            <v>30054.080000000002</v>
          </cell>
          <cell r="CC413">
            <v>34975.82</v>
          </cell>
          <cell r="CD413">
            <v>32789.11</v>
          </cell>
          <cell r="CE413">
            <v>81941.17</v>
          </cell>
          <cell r="CF413">
            <v>40009.129999999997</v>
          </cell>
          <cell r="CG413">
            <v>39860.519999999997</v>
          </cell>
          <cell r="CH413">
            <v>32728.05</v>
          </cell>
          <cell r="CI413">
            <v>46945.93</v>
          </cell>
          <cell r="CJ413">
            <v>42984.85</v>
          </cell>
          <cell r="CK413">
            <v>37043.730000000003</v>
          </cell>
          <cell r="CL413">
            <v>54834.12</v>
          </cell>
          <cell r="CM413">
            <v>40207.879999999997</v>
          </cell>
          <cell r="CN413">
            <v>33240.28</v>
          </cell>
          <cell r="CO413">
            <v>36320.730000000003</v>
          </cell>
          <cell r="CP413">
            <v>40421.32</v>
          </cell>
          <cell r="CQ413">
            <v>35796.050000000003</v>
          </cell>
          <cell r="CR413">
            <v>-94258.08</v>
          </cell>
          <cell r="CS413">
            <v>166216.37</v>
          </cell>
          <cell r="CT413">
            <v>32248.73</v>
          </cell>
          <cell r="CU413">
            <v>55637.65</v>
          </cell>
          <cell r="CV413">
            <v>53974.71</v>
          </cell>
          <cell r="CW413">
            <v>29870.62</v>
          </cell>
          <cell r="CX413">
            <v>34606.94</v>
          </cell>
          <cell r="CY413">
            <v>25674.959999999999</v>
          </cell>
          <cell r="CZ413">
            <v>11475.12</v>
          </cell>
          <cell r="DA413">
            <v>48131.1</v>
          </cell>
          <cell r="DB413">
            <v>33640.85</v>
          </cell>
          <cell r="DC413">
            <v>37927.89</v>
          </cell>
          <cell r="DD413">
            <v>32683.72</v>
          </cell>
          <cell r="DE413">
            <v>29500.21</v>
          </cell>
          <cell r="DF413">
            <v>35875.370000000003</v>
          </cell>
          <cell r="DG413">
            <v>30462.29</v>
          </cell>
        </row>
        <row r="414">
          <cell r="A414">
            <v>8903006</v>
          </cell>
          <cell r="B414">
            <v>8903006</v>
          </cell>
          <cell r="C414" t="str">
            <v>FICORec TSISvc Alloc</v>
          </cell>
          <cell r="D414"/>
          <cell r="E414"/>
          <cell r="F414"/>
          <cell r="G414"/>
          <cell r="H414"/>
          <cell r="I414"/>
          <cell r="J414"/>
          <cell r="K414"/>
          <cell r="L414"/>
          <cell r="M414"/>
          <cell r="N414"/>
          <cell r="O414"/>
          <cell r="P414"/>
          <cell r="Q414"/>
          <cell r="R414"/>
          <cell r="S414"/>
          <cell r="T414"/>
          <cell r="U414">
            <v>100475.17</v>
          </cell>
          <cell r="V414">
            <v>97087.31</v>
          </cell>
          <cell r="W414">
            <v>73487.210000000006</v>
          </cell>
          <cell r="X414">
            <v>80931.48</v>
          </cell>
          <cell r="Y414">
            <v>89464.24</v>
          </cell>
          <cell r="Z414">
            <v>88024.81</v>
          </cell>
          <cell r="AA414">
            <v>116094.95</v>
          </cell>
          <cell r="AB414">
            <v>0</v>
          </cell>
          <cell r="AC414">
            <v>92711.46</v>
          </cell>
          <cell r="AD414">
            <v>91299.35</v>
          </cell>
          <cell r="AE414">
            <v>81697.62</v>
          </cell>
          <cell r="AF414">
            <v>79615.539999999994</v>
          </cell>
          <cell r="AG414">
            <v>104116.01</v>
          </cell>
          <cell r="AH414">
            <v>80993.460000000006</v>
          </cell>
          <cell r="AI414">
            <v>81907.78</v>
          </cell>
          <cell r="AJ414">
            <v>84418.76</v>
          </cell>
          <cell r="AK414">
            <v>76760.97</v>
          </cell>
          <cell r="AL414">
            <v>79988.06</v>
          </cell>
          <cell r="AM414">
            <v>103823.46</v>
          </cell>
          <cell r="AN414">
            <v>120560.04</v>
          </cell>
          <cell r="AO414">
            <v>98375.81</v>
          </cell>
          <cell r="AP414">
            <v>105639</v>
          </cell>
          <cell r="AQ414">
            <v>97639.07</v>
          </cell>
          <cell r="AR414">
            <v>113440.9</v>
          </cell>
          <cell r="AS414">
            <v>104385.03</v>
          </cell>
          <cell r="AT414">
            <v>114813.36</v>
          </cell>
          <cell r="AU414">
            <v>102024.82</v>
          </cell>
          <cell r="AV414">
            <v>76536.83</v>
          </cell>
          <cell r="AW414">
            <v>97494.080000000002</v>
          </cell>
          <cell r="AX414">
            <v>103745.11</v>
          </cell>
          <cell r="AY414">
            <v>112520.95</v>
          </cell>
          <cell r="AZ414">
            <v>137549.57999999999</v>
          </cell>
          <cell r="BA414">
            <v>108888.12</v>
          </cell>
          <cell r="BB414">
            <v>100677.68</v>
          </cell>
          <cell r="BC414">
            <v>99067.83</v>
          </cell>
          <cell r="BD414">
            <v>110689</v>
          </cell>
          <cell r="BE414">
            <v>93634.15</v>
          </cell>
          <cell r="BF414">
            <v>123646.2</v>
          </cell>
          <cell r="BG414">
            <v>115074.35</v>
          </cell>
          <cell r="BH414">
            <v>101084.5</v>
          </cell>
          <cell r="BI414">
            <v>109584.67</v>
          </cell>
          <cell r="BJ414">
            <v>97280.65</v>
          </cell>
          <cell r="BK414">
            <v>106368.46</v>
          </cell>
          <cell r="BL414">
            <v>150916.1</v>
          </cell>
          <cell r="BM414">
            <v>119408.59</v>
          </cell>
          <cell r="BN414">
            <v>104945.94</v>
          </cell>
          <cell r="BO414">
            <v>121039.01</v>
          </cell>
          <cell r="BP414">
            <v>127988.52</v>
          </cell>
          <cell r="BQ414">
            <v>102346.61</v>
          </cell>
          <cell r="BR414">
            <v>117822.09</v>
          </cell>
          <cell r="BS414">
            <v>133237.03</v>
          </cell>
          <cell r="BT414">
            <v>105059.23</v>
          </cell>
          <cell r="BU414">
            <v>116122.33</v>
          </cell>
          <cell r="BV414">
            <v>116040.35</v>
          </cell>
          <cell r="BW414">
            <v>157339.75</v>
          </cell>
          <cell r="BX414">
            <v>27006.58</v>
          </cell>
          <cell r="BY414">
            <v>27655.48</v>
          </cell>
          <cell r="BZ414">
            <v>33150.42</v>
          </cell>
          <cell r="CA414">
            <v>27372.76</v>
          </cell>
          <cell r="CB414">
            <v>26392.14</v>
          </cell>
          <cell r="CC414">
            <v>28484.69</v>
          </cell>
          <cell r="CD414">
            <v>29205.62</v>
          </cell>
          <cell r="CE414">
            <v>27259.05</v>
          </cell>
          <cell r="CF414">
            <v>27130.639999999999</v>
          </cell>
          <cell r="CG414">
            <v>28920.23</v>
          </cell>
          <cell r="CH414">
            <v>24122.79</v>
          </cell>
          <cell r="CI414">
            <v>26665.42</v>
          </cell>
          <cell r="CJ414">
            <v>33223.449999999997</v>
          </cell>
          <cell r="CK414">
            <v>25041.439999999999</v>
          </cell>
          <cell r="CL414">
            <v>27185.85</v>
          </cell>
          <cell r="CM414">
            <v>29632.79</v>
          </cell>
          <cell r="CN414">
            <v>30314.03</v>
          </cell>
          <cell r="CO414">
            <v>27119.82</v>
          </cell>
          <cell r="CP414">
            <v>26431.57</v>
          </cell>
          <cell r="CQ414">
            <v>32422.91</v>
          </cell>
          <cell r="CR414">
            <v>29700.560000000001</v>
          </cell>
          <cell r="CS414">
            <v>27113.61</v>
          </cell>
          <cell r="CT414">
            <v>29365.02</v>
          </cell>
          <cell r="CU414">
            <v>30175.37</v>
          </cell>
          <cell r="CV414">
            <v>28273.19</v>
          </cell>
          <cell r="CW414">
            <v>28099.360000000001</v>
          </cell>
          <cell r="CX414">
            <v>31453.94</v>
          </cell>
          <cell r="CY414">
            <v>29064.89</v>
          </cell>
          <cell r="CZ414">
            <v>31431.75</v>
          </cell>
          <cell r="DA414">
            <v>30655.86</v>
          </cell>
          <cell r="DB414">
            <v>27188</v>
          </cell>
          <cell r="DC414">
            <v>30054.16</v>
          </cell>
          <cell r="DD414">
            <v>29476.61</v>
          </cell>
          <cell r="DE414">
            <v>25935.360000000001</v>
          </cell>
          <cell r="DF414">
            <v>29823.5</v>
          </cell>
          <cell r="DG414">
            <v>31725.49</v>
          </cell>
        </row>
        <row r="415">
          <cell r="A415">
            <v>8903007</v>
          </cell>
          <cell r="B415">
            <v>8903007</v>
          </cell>
          <cell r="C415" t="str">
            <v>FICO Rec Proc Alloc</v>
          </cell>
          <cell r="D415"/>
          <cell r="E415"/>
          <cell r="F415"/>
          <cell r="G415"/>
          <cell r="H415"/>
          <cell r="I415"/>
          <cell r="J415"/>
          <cell r="K415"/>
          <cell r="L415"/>
          <cell r="M415"/>
          <cell r="N415"/>
          <cell r="O415"/>
          <cell r="P415"/>
          <cell r="Q415"/>
          <cell r="R415"/>
          <cell r="S415"/>
          <cell r="T415"/>
          <cell r="U415">
            <v>46422.5</v>
          </cell>
          <cell r="V415">
            <v>46455.29</v>
          </cell>
          <cell r="W415">
            <v>43385</v>
          </cell>
          <cell r="X415">
            <v>46087.19</v>
          </cell>
          <cell r="Y415">
            <v>48134.239999999998</v>
          </cell>
          <cell r="Z415">
            <v>43888.49</v>
          </cell>
          <cell r="AA415">
            <v>53478.21</v>
          </cell>
          <cell r="AB415">
            <v>0</v>
          </cell>
          <cell r="AC415">
            <v>45177.5</v>
          </cell>
          <cell r="AD415">
            <v>49269.18</v>
          </cell>
          <cell r="AE415">
            <v>44401.760000000002</v>
          </cell>
          <cell r="AF415">
            <v>44918.7</v>
          </cell>
          <cell r="AG415">
            <v>49305.52</v>
          </cell>
          <cell r="AH415">
            <v>44798.12</v>
          </cell>
          <cell r="AI415">
            <v>45078.37</v>
          </cell>
          <cell r="AJ415">
            <v>45100.29</v>
          </cell>
          <cell r="AK415">
            <v>43681.85</v>
          </cell>
          <cell r="AL415">
            <v>44560.05</v>
          </cell>
          <cell r="AM415">
            <v>51895.26</v>
          </cell>
          <cell r="AN415">
            <v>48290.18</v>
          </cell>
          <cell r="AO415">
            <v>46370.6</v>
          </cell>
          <cell r="AP415">
            <v>51857.9</v>
          </cell>
          <cell r="AQ415">
            <v>45894.28</v>
          </cell>
          <cell r="AR415">
            <v>48890.29</v>
          </cell>
          <cell r="AS415">
            <v>47940.24</v>
          </cell>
          <cell r="AT415">
            <v>45835.22</v>
          </cell>
          <cell r="AU415">
            <v>55730.46</v>
          </cell>
          <cell r="AV415">
            <v>39225.379999999997</v>
          </cell>
          <cell r="AW415">
            <v>47093.88</v>
          </cell>
          <cell r="AX415">
            <v>48977.65</v>
          </cell>
          <cell r="AY415">
            <v>45916.75</v>
          </cell>
          <cell r="AZ415">
            <v>55552.4</v>
          </cell>
          <cell r="BA415">
            <v>50463.57</v>
          </cell>
          <cell r="BB415">
            <v>54320.78</v>
          </cell>
          <cell r="BC415">
            <v>46800.44</v>
          </cell>
          <cell r="BD415">
            <v>53282.89</v>
          </cell>
          <cell r="BE415">
            <v>48976.49</v>
          </cell>
          <cell r="BF415">
            <v>54864.81</v>
          </cell>
          <cell r="BG415">
            <v>53569.14</v>
          </cell>
          <cell r="BH415">
            <v>48489.71</v>
          </cell>
          <cell r="BI415">
            <v>52913.8</v>
          </cell>
          <cell r="BJ415">
            <v>50753.35</v>
          </cell>
          <cell r="BK415">
            <v>49921.96</v>
          </cell>
          <cell r="BL415">
            <v>67813.259999999995</v>
          </cell>
          <cell r="BM415">
            <v>58988.58</v>
          </cell>
          <cell r="BN415">
            <v>60003.63</v>
          </cell>
          <cell r="BO415">
            <v>63545.760000000002</v>
          </cell>
          <cell r="BP415">
            <v>70011.839999999997</v>
          </cell>
          <cell r="BQ415">
            <v>57839.12</v>
          </cell>
          <cell r="BR415">
            <v>64378.720000000001</v>
          </cell>
          <cell r="BS415">
            <v>61318.49</v>
          </cell>
          <cell r="BT415">
            <v>53879.14</v>
          </cell>
          <cell r="BU415">
            <v>80807.740000000005</v>
          </cell>
          <cell r="BV415">
            <v>55151.79</v>
          </cell>
          <cell r="BW415">
            <v>60953.88</v>
          </cell>
          <cell r="BX415">
            <v>58092.93</v>
          </cell>
          <cell r="BY415">
            <v>55786.31</v>
          </cell>
          <cell r="BZ415">
            <v>62386.01</v>
          </cell>
          <cell r="CA415">
            <v>61288</v>
          </cell>
          <cell r="CB415">
            <v>50979.43</v>
          </cell>
          <cell r="CC415">
            <v>57751.040000000001</v>
          </cell>
          <cell r="CD415">
            <v>59407.17</v>
          </cell>
          <cell r="CE415">
            <v>45017.7</v>
          </cell>
          <cell r="CF415">
            <v>60127.02</v>
          </cell>
          <cell r="CG415">
            <v>55390.38</v>
          </cell>
          <cell r="CH415">
            <v>57884.87</v>
          </cell>
          <cell r="CI415">
            <v>67681.19</v>
          </cell>
          <cell r="CJ415">
            <v>71463.210000000006</v>
          </cell>
          <cell r="CK415">
            <v>62139.11</v>
          </cell>
          <cell r="CL415">
            <v>68326.92</v>
          </cell>
          <cell r="CM415">
            <v>62333.22</v>
          </cell>
          <cell r="CN415">
            <v>63059.3</v>
          </cell>
          <cell r="CO415">
            <v>69369.61</v>
          </cell>
          <cell r="CP415">
            <v>71376.98</v>
          </cell>
          <cell r="CQ415">
            <v>67862.899999999994</v>
          </cell>
          <cell r="CR415">
            <v>69128.91</v>
          </cell>
          <cell r="CS415">
            <v>70004.47</v>
          </cell>
          <cell r="CT415">
            <v>71057.429999999993</v>
          </cell>
          <cell r="CU415">
            <v>76350.23</v>
          </cell>
          <cell r="CV415">
            <v>71162.91</v>
          </cell>
          <cell r="CW415">
            <v>64529.7</v>
          </cell>
          <cell r="CX415">
            <v>76903.61</v>
          </cell>
          <cell r="CY415">
            <v>64986.01</v>
          </cell>
          <cell r="CZ415">
            <v>68656.66</v>
          </cell>
          <cell r="DA415">
            <v>67499.72</v>
          </cell>
          <cell r="DB415">
            <v>64062.91</v>
          </cell>
          <cell r="DC415">
            <v>75075.320000000007</v>
          </cell>
          <cell r="DD415">
            <v>62439.55</v>
          </cell>
          <cell r="DE415">
            <v>72601.13</v>
          </cell>
          <cell r="DF415">
            <v>77941.52</v>
          </cell>
          <cell r="DG415">
            <v>73211.539999999994</v>
          </cell>
        </row>
        <row r="416">
          <cell r="A416">
            <v>8903008</v>
          </cell>
          <cell r="B416">
            <v>8903008</v>
          </cell>
          <cell r="C416" t="str">
            <v>FICO Reconciliation - HR Empl Relations Allocation</v>
          </cell>
          <cell r="D416"/>
          <cell r="E416"/>
          <cell r="F416"/>
          <cell r="G416"/>
          <cell r="H416"/>
          <cell r="I416"/>
          <cell r="J416"/>
          <cell r="K416"/>
          <cell r="L416"/>
          <cell r="M416"/>
          <cell r="N416"/>
          <cell r="O416"/>
          <cell r="P416"/>
          <cell r="Q416"/>
          <cell r="R416"/>
          <cell r="S416"/>
          <cell r="T416"/>
          <cell r="U416"/>
          <cell r="V416"/>
          <cell r="W416"/>
          <cell r="X416"/>
          <cell r="Y416"/>
          <cell r="Z416"/>
          <cell r="AA416"/>
          <cell r="AB416"/>
          <cell r="AC416"/>
          <cell r="AD416"/>
          <cell r="AE416"/>
          <cell r="AF416"/>
          <cell r="AG416"/>
          <cell r="AH416"/>
          <cell r="AI416"/>
          <cell r="AJ416"/>
          <cell r="AK416"/>
          <cell r="AL416"/>
          <cell r="AM416"/>
          <cell r="AN416"/>
          <cell r="AO416"/>
          <cell r="AP416"/>
          <cell r="AQ416"/>
          <cell r="AR416"/>
          <cell r="AS416"/>
          <cell r="AT416"/>
          <cell r="AU416"/>
          <cell r="AV416"/>
          <cell r="AW416"/>
          <cell r="AX416"/>
          <cell r="AY416"/>
          <cell r="AZ416"/>
          <cell r="BA416"/>
          <cell r="BB416"/>
          <cell r="BC416"/>
          <cell r="BD416"/>
          <cell r="BE416"/>
          <cell r="BF416"/>
          <cell r="BG416"/>
          <cell r="BH416"/>
          <cell r="BI416"/>
          <cell r="BJ416"/>
          <cell r="BK416"/>
          <cell r="BL416"/>
          <cell r="BM416"/>
          <cell r="BN416"/>
          <cell r="BO416"/>
          <cell r="BP416"/>
          <cell r="BQ416"/>
          <cell r="BR416"/>
          <cell r="BS416"/>
          <cell r="BT416"/>
          <cell r="BU416"/>
          <cell r="BV416"/>
          <cell r="BW416"/>
          <cell r="BX416">
            <v>69676.479999999996</v>
          </cell>
          <cell r="BY416">
            <v>63791.99</v>
          </cell>
          <cell r="BZ416">
            <v>72689.23</v>
          </cell>
          <cell r="CA416">
            <v>51769.83</v>
          </cell>
          <cell r="CB416">
            <v>36018.269999999997</v>
          </cell>
          <cell r="CC416">
            <v>107477.14</v>
          </cell>
          <cell r="CD416">
            <v>67810.899999999994</v>
          </cell>
          <cell r="CE416">
            <v>-14656.01</v>
          </cell>
          <cell r="CF416">
            <v>48986.37</v>
          </cell>
          <cell r="CG416">
            <v>47404.81</v>
          </cell>
          <cell r="CH416">
            <v>32032.93</v>
          </cell>
          <cell r="CI416">
            <v>50338.94</v>
          </cell>
          <cell r="CJ416">
            <v>43070.54</v>
          </cell>
          <cell r="CK416">
            <v>32904.04</v>
          </cell>
          <cell r="CL416">
            <v>35779.839999999997</v>
          </cell>
          <cell r="CM416">
            <v>46205.09</v>
          </cell>
          <cell r="CN416">
            <v>37742.239999999998</v>
          </cell>
          <cell r="CO416">
            <v>43489.1</v>
          </cell>
          <cell r="CP416">
            <v>33599.65</v>
          </cell>
          <cell r="CQ416">
            <v>47414.75</v>
          </cell>
          <cell r="CR416">
            <v>39211.86</v>
          </cell>
          <cell r="CS416">
            <v>30765.89</v>
          </cell>
          <cell r="CT416">
            <v>32228.74</v>
          </cell>
          <cell r="CU416">
            <v>36650.21</v>
          </cell>
          <cell r="CV416">
            <v>3230.79</v>
          </cell>
          <cell r="CW416">
            <v>3164.49</v>
          </cell>
          <cell r="CX416">
            <v>4365.3599999999997</v>
          </cell>
          <cell r="CY416">
            <v>4150.1400000000003</v>
          </cell>
          <cell r="CZ416">
            <v>3494.27</v>
          </cell>
          <cell r="DA416">
            <v>4427.8</v>
          </cell>
          <cell r="DB416">
            <v>3499.99</v>
          </cell>
          <cell r="DC416">
            <v>3714.88</v>
          </cell>
          <cell r="DD416">
            <v>3773.73</v>
          </cell>
          <cell r="DE416">
            <v>1543.36</v>
          </cell>
          <cell r="DF416">
            <v>3366.15</v>
          </cell>
          <cell r="DG416">
            <v>3687.7</v>
          </cell>
        </row>
        <row r="417">
          <cell r="A417">
            <v>8903009</v>
          </cell>
          <cell r="B417">
            <v>8903009</v>
          </cell>
          <cell r="C417" t="str">
            <v>FICO Reconciliation - Emergency Mgmt Allocation</v>
          </cell>
          <cell r="D417"/>
          <cell r="E417"/>
          <cell r="F417"/>
          <cell r="G417"/>
          <cell r="H417"/>
          <cell r="I417"/>
          <cell r="J417"/>
          <cell r="K417"/>
          <cell r="L417"/>
          <cell r="M417"/>
          <cell r="N417"/>
          <cell r="O417"/>
          <cell r="P417"/>
          <cell r="Q417"/>
          <cell r="R417"/>
          <cell r="S417"/>
          <cell r="T417"/>
          <cell r="U417"/>
          <cell r="V417"/>
          <cell r="W417"/>
          <cell r="X417"/>
          <cell r="Y417"/>
          <cell r="Z417"/>
          <cell r="AA417"/>
          <cell r="AB417"/>
          <cell r="AC417"/>
          <cell r="AD417"/>
          <cell r="AE417"/>
          <cell r="AF417"/>
          <cell r="AG417"/>
          <cell r="AH417"/>
          <cell r="AI417"/>
          <cell r="AJ417"/>
          <cell r="AK417"/>
          <cell r="AL417"/>
          <cell r="AM417"/>
          <cell r="AN417"/>
          <cell r="AO417"/>
          <cell r="AP417"/>
          <cell r="AQ417"/>
          <cell r="AR417"/>
          <cell r="AS417"/>
          <cell r="AT417"/>
          <cell r="AU417"/>
          <cell r="AV417"/>
          <cell r="AW417"/>
          <cell r="AX417"/>
          <cell r="AY417"/>
          <cell r="AZ417"/>
          <cell r="BA417"/>
          <cell r="BB417"/>
          <cell r="BC417"/>
          <cell r="BD417"/>
          <cell r="BE417"/>
          <cell r="BF417"/>
          <cell r="BG417"/>
          <cell r="BH417"/>
          <cell r="BI417"/>
          <cell r="BJ417"/>
          <cell r="BK417"/>
          <cell r="BL417"/>
          <cell r="BM417"/>
          <cell r="BN417"/>
          <cell r="BO417"/>
          <cell r="BP417"/>
          <cell r="BQ417"/>
          <cell r="BR417"/>
          <cell r="BS417"/>
          <cell r="BT417"/>
          <cell r="BU417"/>
          <cell r="BV417"/>
          <cell r="BW417"/>
          <cell r="BX417">
            <v>10501.5</v>
          </cell>
          <cell r="BY417">
            <v>6035.67</v>
          </cell>
          <cell r="BZ417">
            <v>7728.33</v>
          </cell>
          <cell r="CA417">
            <v>14038.45</v>
          </cell>
          <cell r="CB417">
            <v>6038.49</v>
          </cell>
          <cell r="CC417">
            <v>6564.1</v>
          </cell>
          <cell r="CD417">
            <v>7270.66</v>
          </cell>
          <cell r="CE417">
            <v>7242.92</v>
          </cell>
          <cell r="CF417">
            <v>6244.52</v>
          </cell>
          <cell r="CG417">
            <v>6065.88</v>
          </cell>
          <cell r="CH417">
            <v>6078.21</v>
          </cell>
          <cell r="CI417">
            <v>5899.17</v>
          </cell>
          <cell r="CJ417">
            <v>11340.66</v>
          </cell>
          <cell r="CK417">
            <v>14157.05</v>
          </cell>
          <cell r="CL417">
            <v>7435.59</v>
          </cell>
          <cell r="CM417">
            <v>7240.72</v>
          </cell>
          <cell r="CN417">
            <v>7136.07</v>
          </cell>
          <cell r="CO417">
            <v>7306.08</v>
          </cell>
          <cell r="CP417">
            <v>6358.42</v>
          </cell>
          <cell r="CQ417">
            <v>11816.95</v>
          </cell>
          <cell r="CR417">
            <v>7512.92</v>
          </cell>
          <cell r="CS417">
            <v>7387.39</v>
          </cell>
          <cell r="CT417">
            <v>7661.94</v>
          </cell>
          <cell r="CU417">
            <v>3624.46</v>
          </cell>
          <cell r="CV417">
            <v>12421.39</v>
          </cell>
          <cell r="CW417">
            <v>15550.17</v>
          </cell>
          <cell r="CX417">
            <v>9145.18</v>
          </cell>
          <cell r="CY417">
            <v>8767.59</v>
          </cell>
          <cell r="CZ417">
            <v>8671.2900000000009</v>
          </cell>
          <cell r="DA417">
            <v>9132.57</v>
          </cell>
          <cell r="DB417">
            <v>13670.37</v>
          </cell>
          <cell r="DC417">
            <v>5668.22</v>
          </cell>
          <cell r="DD417">
            <v>5945.79</v>
          </cell>
          <cell r="DE417">
            <v>6557.91</v>
          </cell>
          <cell r="DF417">
            <v>5957.27</v>
          </cell>
          <cell r="DG417">
            <v>5222.49</v>
          </cell>
        </row>
        <row r="418">
          <cell r="A418">
            <v>8903010</v>
          </cell>
          <cell r="B418">
            <v>8903010</v>
          </cell>
          <cell r="C418" t="str">
            <v>FICO Reconciliation - Corp Comm Allocation</v>
          </cell>
          <cell r="D418"/>
          <cell r="E418"/>
          <cell r="F418"/>
          <cell r="G418"/>
          <cell r="H418"/>
          <cell r="I418"/>
          <cell r="J418"/>
          <cell r="K418"/>
          <cell r="L418"/>
          <cell r="M418"/>
          <cell r="N418"/>
          <cell r="O418"/>
          <cell r="P418"/>
          <cell r="Q418"/>
          <cell r="R418"/>
          <cell r="S418"/>
          <cell r="T418"/>
          <cell r="U418"/>
          <cell r="V418"/>
          <cell r="W418"/>
          <cell r="X418"/>
          <cell r="Y418"/>
          <cell r="Z418"/>
          <cell r="AA418"/>
          <cell r="AB418"/>
          <cell r="AC418"/>
          <cell r="AD418"/>
          <cell r="AE418"/>
          <cell r="AF418"/>
          <cell r="AG418"/>
          <cell r="AH418"/>
          <cell r="AI418"/>
          <cell r="AJ418"/>
          <cell r="AK418"/>
          <cell r="AL418"/>
          <cell r="AM418"/>
          <cell r="AN418"/>
          <cell r="AO418"/>
          <cell r="AP418"/>
          <cell r="AQ418"/>
          <cell r="AR418"/>
          <cell r="AS418"/>
          <cell r="AT418"/>
          <cell r="AU418"/>
          <cell r="AV418"/>
          <cell r="AW418"/>
          <cell r="AX418"/>
          <cell r="AY418"/>
          <cell r="AZ418"/>
          <cell r="BA418"/>
          <cell r="BB418"/>
          <cell r="BC418"/>
          <cell r="BD418"/>
          <cell r="BE418"/>
          <cell r="BF418"/>
          <cell r="BG418"/>
          <cell r="BH418"/>
          <cell r="BI418"/>
          <cell r="BJ418"/>
          <cell r="BK418"/>
          <cell r="BL418"/>
          <cell r="BM418"/>
          <cell r="BN418"/>
          <cell r="BO418"/>
          <cell r="BP418"/>
          <cell r="BQ418"/>
          <cell r="BR418"/>
          <cell r="BS418"/>
          <cell r="BT418"/>
          <cell r="BU418"/>
          <cell r="BV418"/>
          <cell r="BW418"/>
          <cell r="BX418">
            <v>17308.490000000002</v>
          </cell>
          <cell r="BY418">
            <v>40628.129999999997</v>
          </cell>
          <cell r="BZ418">
            <v>41140.54</v>
          </cell>
          <cell r="CA418">
            <v>36654.57</v>
          </cell>
          <cell r="CB418">
            <v>40525.599999999999</v>
          </cell>
          <cell r="CC418">
            <v>101951.35</v>
          </cell>
          <cell r="CD418">
            <v>60120</v>
          </cell>
          <cell r="CE418">
            <v>47392.05</v>
          </cell>
          <cell r="CF418">
            <v>74892.62</v>
          </cell>
          <cell r="CG418">
            <v>49937.81</v>
          </cell>
          <cell r="CH418">
            <v>49990.080000000002</v>
          </cell>
          <cell r="CI418">
            <v>65647.67</v>
          </cell>
          <cell r="CJ418">
            <v>37962.76</v>
          </cell>
          <cell r="CK418">
            <v>34850.239999999998</v>
          </cell>
          <cell r="CL418">
            <v>45163.6</v>
          </cell>
          <cell r="CM418">
            <v>37496.410000000003</v>
          </cell>
          <cell r="CN418">
            <v>43946.14</v>
          </cell>
          <cell r="CO418">
            <v>45511.37</v>
          </cell>
          <cell r="CP418">
            <v>41512.480000000003</v>
          </cell>
          <cell r="CQ418">
            <v>40012.18</v>
          </cell>
          <cell r="CR418">
            <v>35265.449999999997</v>
          </cell>
          <cell r="CS418">
            <v>37907.199999999997</v>
          </cell>
          <cell r="CT418">
            <v>38112.15</v>
          </cell>
          <cell r="CU418">
            <v>54419.78</v>
          </cell>
          <cell r="CV418">
            <v>0</v>
          </cell>
          <cell r="CW418">
            <v>0</v>
          </cell>
          <cell r="CX418">
            <v>0</v>
          </cell>
          <cell r="CY418">
            <v>0</v>
          </cell>
          <cell r="CZ418">
            <v>0</v>
          </cell>
          <cell r="DA418">
            <v>0</v>
          </cell>
          <cell r="DB418">
            <v>0</v>
          </cell>
          <cell r="DC418">
            <v>0</v>
          </cell>
          <cell r="DD418">
            <v>0</v>
          </cell>
          <cell r="DE418">
            <v>0</v>
          </cell>
          <cell r="DF418">
            <v>0</v>
          </cell>
          <cell r="DG418">
            <v>0</v>
          </cell>
        </row>
        <row r="419">
          <cell r="A419">
            <v>8903011</v>
          </cell>
          <cell r="B419">
            <v>8903011</v>
          </cell>
          <cell r="C419" t="str">
            <v>FICO Reconciliation - Accounts Payable Allocation</v>
          </cell>
          <cell r="D419"/>
          <cell r="E419"/>
          <cell r="F419"/>
          <cell r="G419"/>
          <cell r="H419"/>
          <cell r="I419"/>
          <cell r="J419"/>
          <cell r="K419"/>
          <cell r="L419"/>
          <cell r="M419"/>
          <cell r="N419"/>
          <cell r="O419"/>
          <cell r="P419"/>
          <cell r="Q419"/>
          <cell r="R419"/>
          <cell r="S419"/>
          <cell r="T419"/>
          <cell r="U419"/>
          <cell r="V419"/>
          <cell r="W419"/>
          <cell r="X419"/>
          <cell r="Y419"/>
          <cell r="Z419"/>
          <cell r="AA419"/>
          <cell r="AB419"/>
          <cell r="AC419"/>
          <cell r="AD419"/>
          <cell r="AE419"/>
          <cell r="AF419"/>
          <cell r="AG419"/>
          <cell r="AH419"/>
          <cell r="AI419"/>
          <cell r="AJ419"/>
          <cell r="AK419"/>
          <cell r="AL419"/>
          <cell r="AM419"/>
          <cell r="AN419"/>
          <cell r="AO419"/>
          <cell r="AP419"/>
          <cell r="AQ419"/>
          <cell r="AR419"/>
          <cell r="AS419"/>
          <cell r="AT419"/>
          <cell r="AU419"/>
          <cell r="AV419"/>
          <cell r="AW419"/>
          <cell r="AX419"/>
          <cell r="AY419"/>
          <cell r="AZ419"/>
          <cell r="BA419"/>
          <cell r="BB419"/>
          <cell r="BC419"/>
          <cell r="BD419"/>
          <cell r="BE419"/>
          <cell r="BF419"/>
          <cell r="BG419"/>
          <cell r="BH419"/>
          <cell r="BI419"/>
          <cell r="BJ419"/>
          <cell r="BK419"/>
          <cell r="BL419"/>
          <cell r="BM419"/>
          <cell r="BN419"/>
          <cell r="BO419"/>
          <cell r="BP419"/>
          <cell r="BQ419"/>
          <cell r="BR419"/>
          <cell r="BS419"/>
          <cell r="BT419"/>
          <cell r="BU419"/>
          <cell r="BV419"/>
          <cell r="BW419"/>
          <cell r="BX419">
            <v>29321.34</v>
          </cell>
          <cell r="BY419">
            <v>23465.9</v>
          </cell>
          <cell r="BZ419">
            <v>28829.52</v>
          </cell>
          <cell r="CA419">
            <v>26703.19</v>
          </cell>
          <cell r="CB419">
            <v>24467.439999999999</v>
          </cell>
          <cell r="CC419">
            <v>24704.7</v>
          </cell>
          <cell r="CD419">
            <v>26771</v>
          </cell>
          <cell r="CE419">
            <v>24617.599999999999</v>
          </cell>
          <cell r="CF419">
            <v>25660.22</v>
          </cell>
          <cell r="CG419">
            <v>26223.09</v>
          </cell>
          <cell r="CH419">
            <v>23599.24</v>
          </cell>
          <cell r="CI419">
            <v>30382.59</v>
          </cell>
          <cell r="CJ419">
            <v>31059.54</v>
          </cell>
          <cell r="CK419">
            <v>31505.69</v>
          </cell>
          <cell r="CL419">
            <v>35831.839999999997</v>
          </cell>
          <cell r="CM419">
            <v>35104.82</v>
          </cell>
          <cell r="CN419">
            <v>34791.31</v>
          </cell>
          <cell r="CO419">
            <v>38751.06</v>
          </cell>
          <cell r="CP419">
            <v>45526.93</v>
          </cell>
          <cell r="CQ419">
            <v>35769.660000000003</v>
          </cell>
          <cell r="CR419">
            <v>36028.69</v>
          </cell>
          <cell r="CS419">
            <v>0</v>
          </cell>
          <cell r="CT419">
            <v>0</v>
          </cell>
          <cell r="CU419">
            <v>128192.9</v>
          </cell>
          <cell r="CV419">
            <v>46846</v>
          </cell>
          <cell r="CW419">
            <v>50799.71</v>
          </cell>
          <cell r="CX419">
            <v>51027.34</v>
          </cell>
          <cell r="CY419">
            <v>56132.91</v>
          </cell>
          <cell r="CZ419">
            <v>54509.22</v>
          </cell>
          <cell r="DA419">
            <v>48793.43</v>
          </cell>
          <cell r="DB419">
            <v>69206.3</v>
          </cell>
          <cell r="DC419">
            <v>41320.370000000003</v>
          </cell>
          <cell r="DD419">
            <v>52083.62</v>
          </cell>
          <cell r="DE419">
            <v>45906.31</v>
          </cell>
          <cell r="DF419">
            <v>45938.43</v>
          </cell>
          <cell r="DG419">
            <v>54084.58</v>
          </cell>
        </row>
        <row r="420">
          <cell r="A420">
            <v>8903012</v>
          </cell>
          <cell r="B420">
            <v>8903012</v>
          </cell>
          <cell r="C420" t="str">
            <v>FICO Reconciliation - Claims Allocation</v>
          </cell>
          <cell r="D420"/>
          <cell r="E420"/>
          <cell r="F420"/>
          <cell r="G420"/>
          <cell r="H420"/>
          <cell r="I420"/>
          <cell r="J420"/>
          <cell r="K420"/>
          <cell r="L420"/>
          <cell r="M420"/>
          <cell r="N420"/>
          <cell r="O420"/>
          <cell r="P420"/>
          <cell r="Q420"/>
          <cell r="R420"/>
          <cell r="S420"/>
          <cell r="T420"/>
          <cell r="U420"/>
          <cell r="V420"/>
          <cell r="W420"/>
          <cell r="X420"/>
          <cell r="Y420"/>
          <cell r="Z420"/>
          <cell r="AA420"/>
          <cell r="AB420"/>
          <cell r="AC420"/>
          <cell r="AD420"/>
          <cell r="AE420"/>
          <cell r="AF420"/>
          <cell r="AG420"/>
          <cell r="AH420"/>
          <cell r="AI420"/>
          <cell r="AJ420"/>
          <cell r="AK420"/>
          <cell r="AL420"/>
          <cell r="AM420"/>
          <cell r="AN420"/>
          <cell r="AO420"/>
          <cell r="AP420"/>
          <cell r="AQ420"/>
          <cell r="AR420"/>
          <cell r="AS420"/>
          <cell r="AT420"/>
          <cell r="AU420"/>
          <cell r="AV420"/>
          <cell r="AW420"/>
          <cell r="AX420"/>
          <cell r="AY420"/>
          <cell r="AZ420"/>
          <cell r="BA420"/>
          <cell r="BB420"/>
          <cell r="BC420"/>
          <cell r="BD420"/>
          <cell r="BE420"/>
          <cell r="BF420"/>
          <cell r="BG420"/>
          <cell r="BH420"/>
          <cell r="BI420"/>
          <cell r="BJ420"/>
          <cell r="BK420"/>
          <cell r="BL420"/>
          <cell r="BM420"/>
          <cell r="BN420"/>
          <cell r="BO420"/>
          <cell r="BP420"/>
          <cell r="BQ420"/>
          <cell r="BR420"/>
          <cell r="BS420"/>
          <cell r="BT420"/>
          <cell r="BU420"/>
          <cell r="BV420"/>
          <cell r="BW420"/>
          <cell r="BX420">
            <v>96590.01</v>
          </cell>
          <cell r="BY420">
            <v>28834.63</v>
          </cell>
          <cell r="BZ420">
            <v>39380.35</v>
          </cell>
          <cell r="CA420">
            <v>31410.17</v>
          </cell>
          <cell r="CB420">
            <v>30151.71</v>
          </cell>
          <cell r="CC420">
            <v>31439.26</v>
          </cell>
          <cell r="CD420">
            <v>33396.5</v>
          </cell>
          <cell r="CE420">
            <v>29919.02</v>
          </cell>
          <cell r="CF420">
            <v>31615.040000000001</v>
          </cell>
          <cell r="CG420">
            <v>31013.39</v>
          </cell>
          <cell r="CH420">
            <v>29157.19</v>
          </cell>
          <cell r="CI420">
            <v>32891.32</v>
          </cell>
          <cell r="CJ420">
            <v>114624.06</v>
          </cell>
          <cell r="CK420">
            <v>-21790.74</v>
          </cell>
          <cell r="CL420">
            <v>46755.53</v>
          </cell>
          <cell r="CM420">
            <v>43038.559999999998</v>
          </cell>
          <cell r="CN420">
            <v>38165.83</v>
          </cell>
          <cell r="CO420">
            <v>32853.120000000003</v>
          </cell>
          <cell r="CP420">
            <v>44543.27</v>
          </cell>
          <cell r="CQ420">
            <v>39437.97</v>
          </cell>
          <cell r="CR420">
            <v>39118.089999999997</v>
          </cell>
          <cell r="CS420">
            <v>31728.240000000002</v>
          </cell>
          <cell r="CT420">
            <v>45164.47</v>
          </cell>
          <cell r="CU420">
            <v>41109.14</v>
          </cell>
          <cell r="CV420">
            <v>36957.9</v>
          </cell>
          <cell r="CW420">
            <v>40220.720000000001</v>
          </cell>
          <cell r="CX420">
            <v>45067.02</v>
          </cell>
          <cell r="CY420">
            <v>41889.22</v>
          </cell>
          <cell r="CZ420">
            <v>43540.68</v>
          </cell>
          <cell r="DA420">
            <v>43458.01</v>
          </cell>
          <cell r="DB420">
            <v>41841.440000000002</v>
          </cell>
          <cell r="DC420">
            <v>45129.54</v>
          </cell>
          <cell r="DD420">
            <v>45587.21</v>
          </cell>
          <cell r="DE420">
            <v>41840.26</v>
          </cell>
          <cell r="DF420">
            <v>44846.02</v>
          </cell>
          <cell r="DG420">
            <v>43880.23</v>
          </cell>
        </row>
        <row r="421">
          <cell r="A421">
            <v>8903100</v>
          </cell>
          <cell r="B421">
            <v>8903100</v>
          </cell>
          <cell r="C421" t="str">
            <v>FICO Rec TSI Capital</v>
          </cell>
          <cell r="D421"/>
          <cell r="E421"/>
          <cell r="F421"/>
          <cell r="G421"/>
          <cell r="H421"/>
          <cell r="I421"/>
          <cell r="J421"/>
          <cell r="K421"/>
          <cell r="L421"/>
          <cell r="M421"/>
          <cell r="N421"/>
          <cell r="O421"/>
          <cell r="P421"/>
          <cell r="Q421"/>
          <cell r="R421"/>
          <cell r="S421"/>
          <cell r="T421"/>
          <cell r="U421">
            <v>-14502.81</v>
          </cell>
          <cell r="V421">
            <v>-19583.3</v>
          </cell>
          <cell r="W421">
            <v>-2733</v>
          </cell>
          <cell r="X421">
            <v>-41427.71</v>
          </cell>
          <cell r="Y421">
            <v>-19095.740000000002</v>
          </cell>
          <cell r="Z421">
            <v>-59526.38</v>
          </cell>
          <cell r="AA421">
            <v>-47562.22</v>
          </cell>
          <cell r="AB421">
            <v>0</v>
          </cell>
          <cell r="AC421">
            <v>8007.07</v>
          </cell>
          <cell r="AD421">
            <v>20510.61</v>
          </cell>
          <cell r="AE421">
            <v>8858.57</v>
          </cell>
          <cell r="AF421">
            <v>5304.18</v>
          </cell>
          <cell r="AG421">
            <v>22000.57</v>
          </cell>
          <cell r="AH421">
            <v>21356.69</v>
          </cell>
          <cell r="AI421">
            <v>3157.7</v>
          </cell>
          <cell r="AJ421">
            <v>2104.58</v>
          </cell>
          <cell r="AK421">
            <v>6158.65</v>
          </cell>
          <cell r="AL421">
            <v>7324.83</v>
          </cell>
          <cell r="AM421">
            <v>7128.4</v>
          </cell>
          <cell r="AN421">
            <v>3416.85</v>
          </cell>
          <cell r="AO421">
            <v>6576.02</v>
          </cell>
          <cell r="AP421">
            <v>2900.04</v>
          </cell>
          <cell r="AQ421">
            <v>112.17</v>
          </cell>
          <cell r="AR421">
            <v>10912.3</v>
          </cell>
          <cell r="AS421">
            <v>4043.72</v>
          </cell>
          <cell r="AT421">
            <v>5305.79</v>
          </cell>
          <cell r="AU421">
            <v>4728.67</v>
          </cell>
          <cell r="AV421">
            <v>14364.27</v>
          </cell>
          <cell r="AW421">
            <v>16508.47</v>
          </cell>
          <cell r="AX421">
            <v>8787.82</v>
          </cell>
          <cell r="AY421">
            <v>11286.25</v>
          </cell>
          <cell r="AZ421">
            <v>25831.16</v>
          </cell>
          <cell r="BA421">
            <v>30008.63</v>
          </cell>
          <cell r="BB421">
            <v>45293.87</v>
          </cell>
          <cell r="BC421">
            <v>42111.41</v>
          </cell>
          <cell r="BD421">
            <v>36318.32</v>
          </cell>
          <cell r="BE421">
            <v>41362.68</v>
          </cell>
          <cell r="BF421">
            <v>51961.25</v>
          </cell>
          <cell r="BG421">
            <v>63976.21</v>
          </cell>
          <cell r="BH421">
            <v>70044.23</v>
          </cell>
          <cell r="BI421">
            <v>87887.76</v>
          </cell>
          <cell r="BJ421">
            <v>90977.07</v>
          </cell>
          <cell r="BK421">
            <v>148825.29999999999</v>
          </cell>
          <cell r="BL421">
            <v>91991.86</v>
          </cell>
          <cell r="BM421">
            <v>73523.990000000005</v>
          </cell>
          <cell r="BN421">
            <v>65113.62</v>
          </cell>
          <cell r="BO421">
            <v>67375.94</v>
          </cell>
          <cell r="BP421">
            <v>70973.240000000005</v>
          </cell>
          <cell r="BQ421">
            <v>61015.34</v>
          </cell>
          <cell r="BR421">
            <v>61102.23</v>
          </cell>
          <cell r="BS421">
            <v>67805.45</v>
          </cell>
          <cell r="BT421">
            <v>73825.850000000006</v>
          </cell>
          <cell r="BU421">
            <v>57799.55</v>
          </cell>
          <cell r="BV421">
            <v>56142.5</v>
          </cell>
          <cell r="BW421">
            <v>51836.24</v>
          </cell>
          <cell r="BX421">
            <v>0</v>
          </cell>
          <cell r="BY421">
            <v>0</v>
          </cell>
          <cell r="BZ421">
            <v>0</v>
          </cell>
          <cell r="CA421">
            <v>0</v>
          </cell>
          <cell r="CB421">
            <v>0</v>
          </cell>
          <cell r="CC421">
            <v>0</v>
          </cell>
          <cell r="CD421">
            <v>0</v>
          </cell>
          <cell r="CE421">
            <v>0</v>
          </cell>
          <cell r="CF421">
            <v>0</v>
          </cell>
          <cell r="CG421"/>
          <cell r="CH421"/>
          <cell r="CI421"/>
          <cell r="CJ421"/>
          <cell r="CK421"/>
          <cell r="CL421"/>
          <cell r="CM421"/>
          <cell r="CN421"/>
          <cell r="CO421"/>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row>
        <row r="422">
          <cell r="A422">
            <v>8999998</v>
          </cell>
          <cell r="B422">
            <v>8999998</v>
          </cell>
          <cell r="C422" t="str">
            <v>Div sent to RE</v>
          </cell>
          <cell r="D422">
            <v>7357286.6799999997</v>
          </cell>
          <cell r="E422">
            <v>0</v>
          </cell>
          <cell r="F422">
            <v>0</v>
          </cell>
          <cell r="G422">
            <v>11948603.68</v>
          </cell>
          <cell r="H422">
            <v>0</v>
          </cell>
          <cell r="I422">
            <v>0</v>
          </cell>
          <cell r="J422">
            <v>9971893.4700000007</v>
          </cell>
          <cell r="K422">
            <v>0</v>
          </cell>
          <cell r="L422">
            <v>0</v>
          </cell>
          <cell r="M422">
            <v>5874136.4699999997</v>
          </cell>
          <cell r="N422">
            <v>0</v>
          </cell>
          <cell r="O422">
            <v>0</v>
          </cell>
          <cell r="P422">
            <v>0</v>
          </cell>
          <cell r="Q422">
            <v>6579361.9699999997</v>
          </cell>
          <cell r="R422">
            <v>0</v>
          </cell>
          <cell r="S422">
            <v>14236193.27</v>
          </cell>
          <cell r="T422">
            <v>0</v>
          </cell>
          <cell r="U422">
            <v>0</v>
          </cell>
          <cell r="V422">
            <v>8836348.5500000007</v>
          </cell>
          <cell r="W422">
            <v>0</v>
          </cell>
          <cell r="X422">
            <v>0</v>
          </cell>
          <cell r="Y422">
            <v>0</v>
          </cell>
          <cell r="Z422">
            <v>7141083.0599999996</v>
          </cell>
          <cell r="AA422">
            <v>0</v>
          </cell>
          <cell r="AB422">
            <v>0</v>
          </cell>
          <cell r="AC422">
            <v>5832498.4000000004</v>
          </cell>
          <cell r="AD422">
            <v>0</v>
          </cell>
          <cell r="AE422">
            <v>0</v>
          </cell>
          <cell r="AF422">
            <v>13698517.41</v>
          </cell>
          <cell r="AG422">
            <v>8092257.4400000004</v>
          </cell>
          <cell r="AH422">
            <v>0</v>
          </cell>
          <cell r="AI422">
            <v>0</v>
          </cell>
          <cell r="AJ422">
            <v>0</v>
          </cell>
          <cell r="AK422">
            <v>0</v>
          </cell>
          <cell r="AL422">
            <v>5958301.9699999997</v>
          </cell>
          <cell r="AM422">
            <v>0</v>
          </cell>
          <cell r="AN422">
            <v>0</v>
          </cell>
          <cell r="AO422">
            <v>8007312.5300000003</v>
          </cell>
          <cell r="AP422">
            <v>0</v>
          </cell>
          <cell r="AQ422">
            <v>0</v>
          </cell>
          <cell r="AR422">
            <v>11289288.970000001</v>
          </cell>
          <cell r="AS422">
            <v>0</v>
          </cell>
          <cell r="AT422">
            <v>0</v>
          </cell>
          <cell r="AU422">
            <v>12086132.140000001</v>
          </cell>
          <cell r="AV422">
            <v>0</v>
          </cell>
          <cell r="AW422">
            <v>0</v>
          </cell>
          <cell r="AX422">
            <v>7337410.4100000001</v>
          </cell>
          <cell r="AY422">
            <v>0</v>
          </cell>
          <cell r="AZ422">
            <v>0</v>
          </cell>
          <cell r="BA422">
            <v>14365517.640000001</v>
          </cell>
          <cell r="BB422">
            <v>0</v>
          </cell>
          <cell r="BC422">
            <v>0</v>
          </cell>
          <cell r="BD422">
            <v>15456143.34</v>
          </cell>
          <cell r="BE422">
            <v>0</v>
          </cell>
          <cell r="BF422">
            <v>0</v>
          </cell>
          <cell r="BG422">
            <v>11089440.68</v>
          </cell>
          <cell r="BH422">
            <v>0</v>
          </cell>
          <cell r="BI422">
            <v>0</v>
          </cell>
          <cell r="BJ422">
            <v>9335324.0299999993</v>
          </cell>
          <cell r="BK422">
            <v>0</v>
          </cell>
          <cell r="BL422">
            <v>0</v>
          </cell>
          <cell r="BM422">
            <v>11818492.35</v>
          </cell>
          <cell r="BN422">
            <v>0</v>
          </cell>
          <cell r="BO422">
            <v>0</v>
          </cell>
          <cell r="BP422">
            <v>17980658.050000001</v>
          </cell>
          <cell r="BQ422">
            <v>0</v>
          </cell>
          <cell r="BR422">
            <v>0</v>
          </cell>
          <cell r="BS422">
            <v>13575264.68</v>
          </cell>
          <cell r="BT422">
            <v>0</v>
          </cell>
          <cell r="BU422">
            <v>0</v>
          </cell>
          <cell r="BV422">
            <v>10584558</v>
          </cell>
          <cell r="BW422">
            <v>0</v>
          </cell>
          <cell r="BX422">
            <v>0</v>
          </cell>
          <cell r="BY422">
            <v>11888651</v>
          </cell>
          <cell r="BZ422">
            <v>0</v>
          </cell>
          <cell r="CA422">
            <v>0</v>
          </cell>
          <cell r="CB422">
            <v>18460868</v>
          </cell>
          <cell r="CC422">
            <v>0</v>
          </cell>
          <cell r="CD422">
            <v>0</v>
          </cell>
          <cell r="CE422">
            <v>10528868</v>
          </cell>
          <cell r="CF422">
            <v>0</v>
          </cell>
          <cell r="CG422">
            <v>0</v>
          </cell>
          <cell r="CH422">
            <v>10269314</v>
          </cell>
          <cell r="CI422">
            <v>0</v>
          </cell>
          <cell r="CJ422">
            <v>0</v>
          </cell>
          <cell r="CK422">
            <v>12656339</v>
          </cell>
          <cell r="CL422">
            <v>0</v>
          </cell>
          <cell r="CM422">
            <v>27095926</v>
          </cell>
          <cell r="CN422">
            <v>0</v>
          </cell>
          <cell r="CO422">
            <v>0</v>
          </cell>
          <cell r="CP422">
            <v>0</v>
          </cell>
          <cell r="CQ422">
            <v>18659773</v>
          </cell>
          <cell r="CR422">
            <v>0</v>
          </cell>
          <cell r="CS422">
            <v>0</v>
          </cell>
          <cell r="CT422">
            <v>14758057</v>
          </cell>
          <cell r="CU422">
            <v>0</v>
          </cell>
          <cell r="CV422">
            <v>0</v>
          </cell>
          <cell r="CW422">
            <v>16769173</v>
          </cell>
          <cell r="CX422">
            <v>0</v>
          </cell>
          <cell r="CY422">
            <v>29543003</v>
          </cell>
          <cell r="CZ422">
            <v>0</v>
          </cell>
          <cell r="DA422">
            <v>0</v>
          </cell>
          <cell r="DB422">
            <v>0</v>
          </cell>
          <cell r="DC422">
            <v>19623044</v>
          </cell>
          <cell r="DD422">
            <v>0</v>
          </cell>
          <cell r="DE422">
            <v>16227366</v>
          </cell>
          <cell r="DF422">
            <v>0</v>
          </cell>
          <cell r="DG422">
            <v>0</v>
          </cell>
        </row>
        <row r="423">
          <cell r="A423">
            <v>8999999</v>
          </cell>
          <cell r="B423">
            <v>8999999</v>
          </cell>
          <cell r="C423" t="str">
            <v>Inc Summary Offset</v>
          </cell>
          <cell r="D423">
            <v>-2181090.04</v>
          </cell>
          <cell r="E423">
            <v>4502626.84</v>
          </cell>
          <cell r="F423">
            <v>4881883.5599999996</v>
          </cell>
          <cell r="G423">
            <v>-8672808.1699999999</v>
          </cell>
          <cell r="H423">
            <v>1814214.4</v>
          </cell>
          <cell r="I423">
            <v>2478542.08</v>
          </cell>
          <cell r="J423">
            <v>-8287360.1799999997</v>
          </cell>
          <cell r="K423">
            <v>1711061.1</v>
          </cell>
          <cell r="L423">
            <v>1334666.74</v>
          </cell>
          <cell r="M423">
            <v>-3454548.84</v>
          </cell>
          <cell r="N423">
            <v>2825107.6</v>
          </cell>
          <cell r="O423">
            <v>3729886.48</v>
          </cell>
          <cell r="P423">
            <v>5545677.0499999998</v>
          </cell>
          <cell r="Q423">
            <v>-1618732.23</v>
          </cell>
          <cell r="R423">
            <v>4121482.69</v>
          </cell>
          <cell r="S423">
            <v>-11865145.140000001</v>
          </cell>
          <cell r="T423">
            <v>2343817.73</v>
          </cell>
          <cell r="U423">
            <v>2795820.78</v>
          </cell>
          <cell r="V423">
            <v>-7002762.9199999999</v>
          </cell>
          <cell r="W423">
            <v>2511676.65</v>
          </cell>
          <cell r="X423">
            <v>1860447.41</v>
          </cell>
          <cell r="Y423">
            <v>2165009.88</v>
          </cell>
          <cell r="Z423">
            <v>-5334041.95</v>
          </cell>
          <cell r="AA423">
            <v>2949033.29</v>
          </cell>
          <cell r="AB423">
            <v>5297380.29</v>
          </cell>
          <cell r="AC423">
            <v>-380394.57</v>
          </cell>
          <cell r="AD423">
            <v>2373165.4700000002</v>
          </cell>
          <cell r="AE423">
            <v>2946014.46</v>
          </cell>
          <cell r="AF423">
            <v>-10925439.9</v>
          </cell>
          <cell r="AG423">
            <v>-6769928.9000000004</v>
          </cell>
          <cell r="AH423">
            <v>2616097.65</v>
          </cell>
          <cell r="AI423">
            <v>2019875.78</v>
          </cell>
          <cell r="AJ423">
            <v>1958976.08</v>
          </cell>
          <cell r="AK423">
            <v>2943980.86</v>
          </cell>
          <cell r="AL423">
            <v>-2853946.38</v>
          </cell>
          <cell r="AM423">
            <v>2053249.05</v>
          </cell>
          <cell r="AN423">
            <v>5364828.88</v>
          </cell>
          <cell r="AO423">
            <v>-4136101.49</v>
          </cell>
          <cell r="AP423">
            <v>4536791.43</v>
          </cell>
          <cell r="AQ423">
            <v>3830968.03</v>
          </cell>
          <cell r="AR423">
            <v>-7570916.29</v>
          </cell>
          <cell r="AS423">
            <v>2081619.07</v>
          </cell>
          <cell r="AT423">
            <v>2758883.76</v>
          </cell>
          <cell r="AU423">
            <v>-9589224.5600000005</v>
          </cell>
          <cell r="AV423">
            <v>2707918.43</v>
          </cell>
          <cell r="AW423">
            <v>2630149.91</v>
          </cell>
          <cell r="AX423">
            <v>-3894080.18</v>
          </cell>
          <cell r="AY423">
            <v>5584119.0700000003</v>
          </cell>
          <cell r="AZ423">
            <v>9302106.2899999991</v>
          </cell>
          <cell r="BA423">
            <v>-9862049.3100000005</v>
          </cell>
          <cell r="BB423">
            <v>1650568.72</v>
          </cell>
          <cell r="BC423">
            <v>5304901.6399999997</v>
          </cell>
          <cell r="BD423">
            <v>-12767979.300000001</v>
          </cell>
          <cell r="BE423">
            <v>3096375</v>
          </cell>
          <cell r="BF423">
            <v>3105270.2</v>
          </cell>
          <cell r="BG423">
            <v>-8557337.3599999994</v>
          </cell>
          <cell r="BH423">
            <v>3697950.51</v>
          </cell>
          <cell r="BI423">
            <v>2803273.23</v>
          </cell>
          <cell r="BJ423">
            <v>-5813460.6699999999</v>
          </cell>
          <cell r="BK423">
            <v>5493355.7599999998</v>
          </cell>
          <cell r="BL423">
            <v>6617945.8899999997</v>
          </cell>
          <cell r="BM423">
            <v>-5951830.5</v>
          </cell>
          <cell r="BN423">
            <v>5496050.3099999996</v>
          </cell>
          <cell r="BO423">
            <v>5226930.1900000004</v>
          </cell>
          <cell r="BP423">
            <v>-13397496.93</v>
          </cell>
          <cell r="BQ423">
            <v>3765173.37</v>
          </cell>
          <cell r="BR423">
            <v>3058815.38</v>
          </cell>
          <cell r="BS423">
            <v>-9733380.8399999999</v>
          </cell>
          <cell r="BT423">
            <v>3683859.63</v>
          </cell>
          <cell r="BU423">
            <v>3425609.09</v>
          </cell>
          <cell r="BV423">
            <v>-6182919.29</v>
          </cell>
          <cell r="BW423">
            <v>4061403.69</v>
          </cell>
          <cell r="BX423">
            <v>7675617.6200000001</v>
          </cell>
          <cell r="BY423">
            <v>-5948184.0800000001</v>
          </cell>
          <cell r="BZ423">
            <v>4844783.18</v>
          </cell>
          <cell r="CA423">
            <v>3710728.28</v>
          </cell>
          <cell r="CB423">
            <v>-14852521.16</v>
          </cell>
          <cell r="CC423">
            <v>3209793.14</v>
          </cell>
          <cell r="CD423">
            <v>3096133.42</v>
          </cell>
          <cell r="CE423">
            <v>-6771045.1500000004</v>
          </cell>
          <cell r="CF423">
            <v>3415357.65</v>
          </cell>
          <cell r="CG423">
            <v>2946877.3</v>
          </cell>
          <cell r="CH423">
            <v>-5179416.92</v>
          </cell>
          <cell r="CI423">
            <v>4619564.9800000004</v>
          </cell>
          <cell r="CJ423">
            <v>11395487.33</v>
          </cell>
          <cell r="CK423">
            <v>-4646700.9000000004</v>
          </cell>
          <cell r="CL423">
            <v>7690800.4699999997</v>
          </cell>
          <cell r="CM423">
            <v>-19402192.890000001</v>
          </cell>
          <cell r="CN423">
            <v>5523422.1399999997</v>
          </cell>
          <cell r="CO423">
            <v>5442618.1799999997</v>
          </cell>
          <cell r="CP423">
            <v>4434602.46</v>
          </cell>
          <cell r="CQ423">
            <v>-13892246.57</v>
          </cell>
          <cell r="CR423">
            <v>5555927.8700000001</v>
          </cell>
          <cell r="CS423">
            <v>5105687.1500000004</v>
          </cell>
          <cell r="CT423">
            <v>-8957171.2300000004</v>
          </cell>
          <cell r="CU423">
            <v>5862599.79</v>
          </cell>
          <cell r="CV423">
            <v>9787937.4600000009</v>
          </cell>
          <cell r="CW423">
            <v>-7920739.6399999997</v>
          </cell>
          <cell r="CX423">
            <v>10906631.869999999</v>
          </cell>
          <cell r="CY423">
            <v>-22833862.670000002</v>
          </cell>
          <cell r="CZ423">
            <v>6255344.3099999996</v>
          </cell>
          <cell r="DA423">
            <v>6658559.8300000001</v>
          </cell>
          <cell r="DB423">
            <v>4395198.3499999996</v>
          </cell>
          <cell r="DC423">
            <v>-15060884.5</v>
          </cell>
          <cell r="DD423">
            <v>7270008.4299999997</v>
          </cell>
          <cell r="DE423">
            <v>-11423300.48</v>
          </cell>
          <cell r="DF423">
            <v>5933019.0599999996</v>
          </cell>
          <cell r="DG423">
            <v>6107119.9299999997</v>
          </cell>
        </row>
        <row r="424">
          <cell r="A424"/>
          <cell r="B424"/>
          <cell r="C424"/>
          <cell r="D424">
            <v>-348422.04999999702</v>
          </cell>
          <cell r="E424">
            <v>-386037.43000000529</v>
          </cell>
          <cell r="F424">
            <v>-467697.67000000458</v>
          </cell>
          <cell r="G424">
            <v>-378426.15000001155</v>
          </cell>
          <cell r="H424">
            <v>-382877.63000000594</v>
          </cell>
          <cell r="I424">
            <v>-389170.92999999411</v>
          </cell>
          <cell r="J424">
            <v>-347608.42000001669</v>
          </cell>
          <cell r="K424">
            <v>-338606.25000002095</v>
          </cell>
          <cell r="L424">
            <v>-323512.20999998762</v>
          </cell>
          <cell r="M424">
            <v>-332205.88000000408</v>
          </cell>
          <cell r="N424">
            <v>-303131.98999998439</v>
          </cell>
          <cell r="O424">
            <v>-393591.3200000138</v>
          </cell>
          <cell r="P424">
            <v>598851.39999999013</v>
          </cell>
          <cell r="Q424">
            <v>185029.76999999257</v>
          </cell>
          <cell r="R424">
            <v>532492.64999999898</v>
          </cell>
          <cell r="S424">
            <v>592438.10999999009</v>
          </cell>
          <cell r="T424">
            <v>556490.09000001941</v>
          </cell>
          <cell r="U424">
            <v>-1265.9899999955669</v>
          </cell>
          <cell r="V424">
            <v>-1978.2999999970198</v>
          </cell>
          <cell r="W424">
            <v>-12537.120000004303</v>
          </cell>
          <cell r="X424">
            <v>246.00000001396984</v>
          </cell>
          <cell r="Y424">
            <v>24967.000000007451</v>
          </cell>
          <cell r="Z424">
            <v>63025.999999988824</v>
          </cell>
          <cell r="AA424">
            <v>64819.999999982771</v>
          </cell>
          <cell r="AB424">
            <v>1146345.2099999972</v>
          </cell>
          <cell r="AC424">
            <v>-438921.58000005066</v>
          </cell>
          <cell r="AD424">
            <v>141111.49999999767</v>
          </cell>
          <cell r="AE424">
            <v>-1.7229467630386353E-8</v>
          </cell>
          <cell r="AF424">
            <v>0</v>
          </cell>
          <cell r="AG424">
            <v>-1.0244548320770264E-8</v>
          </cell>
          <cell r="AH424">
            <v>1.5366822481155396E-8</v>
          </cell>
          <cell r="AI424">
            <v>-8857.4999999857973</v>
          </cell>
          <cell r="AJ424">
            <v>-4.4237822294235229E-9</v>
          </cell>
          <cell r="AK424">
            <v>0</v>
          </cell>
          <cell r="AL424">
            <v>-7.9162418842315674E-9</v>
          </cell>
          <cell r="AM424">
            <v>0</v>
          </cell>
          <cell r="AN424">
            <v>0</v>
          </cell>
          <cell r="AO424">
            <v>-1.3969838619232178E-8</v>
          </cell>
          <cell r="AP424">
            <v>-7.4505805969238281E-9</v>
          </cell>
          <cell r="AQ424">
            <v>-6.0535967350006104E-9</v>
          </cell>
          <cell r="AR424">
            <v>0</v>
          </cell>
          <cell r="AS424">
            <v>-1.280568540096283E-8</v>
          </cell>
          <cell r="AT424">
            <v>5.1222741603851318E-9</v>
          </cell>
          <cell r="AU424">
            <v>957.29999998770654</v>
          </cell>
          <cell r="AV424">
            <v>-33551.029999998864</v>
          </cell>
          <cell r="AW424">
            <v>8582.5699999947101</v>
          </cell>
          <cell r="AX424">
            <v>2.0954757928848267E-8</v>
          </cell>
          <cell r="AY424">
            <v>0</v>
          </cell>
          <cell r="AZ424">
            <v>1.6763806343078613E-8</v>
          </cell>
          <cell r="BA424">
            <v>-2.4214386940002441E-8</v>
          </cell>
          <cell r="BB424">
            <v>-6.7520886659622192E-9</v>
          </cell>
          <cell r="BC424">
            <v>0</v>
          </cell>
          <cell r="BD424">
            <v>0</v>
          </cell>
          <cell r="BE424">
            <v>0</v>
          </cell>
          <cell r="BF424">
            <v>3.7252902984619141E-9</v>
          </cell>
          <cell r="BG424">
            <v>0</v>
          </cell>
          <cell r="BH424">
            <v>3.8649886846542358E-8</v>
          </cell>
          <cell r="BI424">
            <v>-103781.35000006063</v>
          </cell>
          <cell r="BJ424">
            <v>-9539.5300000300631</v>
          </cell>
          <cell r="BK424">
            <v>-1165.849999957718</v>
          </cell>
          <cell r="BL424">
            <v>273.4299999717623</v>
          </cell>
          <cell r="BM424">
            <v>-1.9557774066925049E-8</v>
          </cell>
          <cell r="BN424">
            <v>-1.3969838619232178E-8</v>
          </cell>
          <cell r="BO424">
            <v>0</v>
          </cell>
          <cell r="BP424">
            <v>0</v>
          </cell>
          <cell r="BQ424">
            <v>7.9162418842315674E-9</v>
          </cell>
          <cell r="BR424">
            <v>-9.3132257461547852E-9</v>
          </cell>
          <cell r="BS424">
            <v>0</v>
          </cell>
          <cell r="BT424">
            <v>-4.1909515857696533E-9</v>
          </cell>
          <cell r="BU424">
            <v>-318.06000001449138</v>
          </cell>
          <cell r="BV424">
            <v>318.06000000797212</v>
          </cell>
          <cell r="BW424">
            <v>-1.909211277961731E-8</v>
          </cell>
          <cell r="BX424">
            <v>-9.3132257461547852E-9</v>
          </cell>
          <cell r="BY424">
            <v>-152.14999999292195</v>
          </cell>
          <cell r="BZ424">
            <v>152.15000000596046</v>
          </cell>
          <cell r="CA424">
            <v>-7.4505805969238281E-9</v>
          </cell>
          <cell r="CB424">
            <v>-27.999999986961484</v>
          </cell>
          <cell r="CC424">
            <v>1.0244548320770264E-8</v>
          </cell>
          <cell r="CD424">
            <v>-1.5366822481155396E-8</v>
          </cell>
          <cell r="CE424">
            <v>-9.3132257461547852E-9</v>
          </cell>
          <cell r="CF424">
            <v>1.1641532182693481E-8</v>
          </cell>
          <cell r="CG424">
            <v>0</v>
          </cell>
          <cell r="CH424">
            <v>0</v>
          </cell>
          <cell r="CI424">
            <v>1.7695128917694092E-8</v>
          </cell>
          <cell r="CJ424">
            <v>2.2351741790771484E-8</v>
          </cell>
          <cell r="CK424">
            <v>-8.3819031715393066E-9</v>
          </cell>
          <cell r="CL424">
            <v>2.4214386940002441E-8</v>
          </cell>
          <cell r="CM424">
            <v>2.9802322387695313E-8</v>
          </cell>
          <cell r="CN424">
            <v>0</v>
          </cell>
          <cell r="CO424">
            <v>0</v>
          </cell>
          <cell r="CP424">
            <v>-1.0244548320770264E-8</v>
          </cell>
          <cell r="CQ424">
            <v>0</v>
          </cell>
          <cell r="CR424">
            <v>1.3038516044616699E-8</v>
          </cell>
          <cell r="CS424">
            <v>-3.2596290111541748E-8</v>
          </cell>
          <cell r="CT424">
            <v>0</v>
          </cell>
          <cell r="CU424">
            <v>0</v>
          </cell>
          <cell r="CV424">
            <v>4.6566128730773926E-8</v>
          </cell>
          <cell r="CW424">
            <v>1.5832483768463135E-8</v>
          </cell>
          <cell r="CX424">
            <v>1.862645149230957E-8</v>
          </cell>
          <cell r="CY424">
            <v>0</v>
          </cell>
          <cell r="CZ424">
            <v>-1.4901161193847656E-8</v>
          </cell>
          <cell r="DA424">
            <v>-3.7252902984619141E-8</v>
          </cell>
          <cell r="DB424">
            <v>1.862645149230957E-8</v>
          </cell>
          <cell r="DC424">
            <v>0</v>
          </cell>
          <cell r="DD424">
            <v>-4.0046870708465576E-8</v>
          </cell>
          <cell r="DE424">
            <v>-1.862645149230957E-8</v>
          </cell>
          <cell r="DF424">
            <v>0</v>
          </cell>
          <cell r="DG424">
            <v>3.6321580410003662E-8</v>
          </cell>
        </row>
        <row r="425">
          <cell r="A425" t="str">
            <v>FERC 4 Digit</v>
          </cell>
          <cell r="B425" t="str">
            <v>Nat</v>
          </cell>
          <cell r="C425" t="str">
            <v>Text</v>
          </cell>
          <cell r="D425" t="str">
            <v>JAN 2014  Activity</v>
          </cell>
          <cell r="E425" t="str">
            <v>FEB 2014  Activity</v>
          </cell>
          <cell r="F425" t="str">
            <v>MAR 2014  Activity</v>
          </cell>
          <cell r="G425" t="str">
            <v>APR 2014  Activity</v>
          </cell>
          <cell r="H425" t="str">
            <v>MAY 2014  Activity</v>
          </cell>
          <cell r="I425" t="str">
            <v>JUN 2014  Activity</v>
          </cell>
          <cell r="J425" t="str">
            <v>JUL 2014  Activity</v>
          </cell>
          <cell r="K425" t="str">
            <v>AUG 2014  Activity</v>
          </cell>
          <cell r="L425" t="str">
            <v>SEP 2014  Activity</v>
          </cell>
          <cell r="M425" t="str">
            <v>OCT 2014  Activity</v>
          </cell>
          <cell r="N425" t="str">
            <v>NOV 2014  Activity</v>
          </cell>
          <cell r="O425" t="str">
            <v>DEC 2014  Activity</v>
          </cell>
          <cell r="P425" t="str">
            <v>JAN 2015  Activity</v>
          </cell>
          <cell r="Q425" t="str">
            <v>FEB 2015  Activity</v>
          </cell>
          <cell r="R425" t="str">
            <v>MAR 2015  Activity</v>
          </cell>
          <cell r="S425" t="str">
            <v>APR 2015  Activity</v>
          </cell>
          <cell r="T425" t="str">
            <v>MAY 2015  Activity</v>
          </cell>
          <cell r="U425" t="str">
            <v>JUN 2015  Activity</v>
          </cell>
          <cell r="V425" t="str">
            <v>JUL 2015  Activity</v>
          </cell>
          <cell r="W425" t="str">
            <v>AUG 2015  Activity</v>
          </cell>
          <cell r="X425" t="str">
            <v>SEP 2015  Activity</v>
          </cell>
          <cell r="Y425" t="str">
            <v>OCT 2015  Activity</v>
          </cell>
          <cell r="Z425" t="str">
            <v>NOV 2015  Activity</v>
          </cell>
          <cell r="AA425" t="str">
            <v>DEC 2015  Activity</v>
          </cell>
          <cell r="AB425" t="str">
            <v>JAN 2016  Activity</v>
          </cell>
          <cell r="AC425" t="str">
            <v>FEB 2016  Activity</v>
          </cell>
          <cell r="AD425" t="str">
            <v>MAR 2016  Activity</v>
          </cell>
          <cell r="AE425" t="str">
            <v>APR 2016  Activity</v>
          </cell>
          <cell r="AF425" t="str">
            <v>MAY 2016  Activity</v>
          </cell>
          <cell r="AG425" t="str">
            <v>JUN 2016  Activity</v>
          </cell>
          <cell r="AH425" t="str">
            <v>JUL 2016  Activity</v>
          </cell>
          <cell r="AI425" t="str">
            <v>AUG 2016  Activity</v>
          </cell>
          <cell r="AJ425" t="str">
            <v>SEP 2016  Activity</v>
          </cell>
          <cell r="AK425" t="str">
            <v>OCT 2016  Activity</v>
          </cell>
          <cell r="AL425" t="str">
            <v>NOV 2016  Activity</v>
          </cell>
          <cell r="AM425" t="str">
            <v>DEC 2016  Activity</v>
          </cell>
          <cell r="AN425" t="str">
            <v>JAN 2017  Activity</v>
          </cell>
          <cell r="AO425" t="str">
            <v>FEB 2017  Activity</v>
          </cell>
          <cell r="AP425" t="str">
            <v>MAR 2017  Activity</v>
          </cell>
          <cell r="AQ425" t="str">
            <v>APR 2017  Activity</v>
          </cell>
          <cell r="AR425" t="str">
            <v>MAY 2017  Activity</v>
          </cell>
          <cell r="AS425" t="str">
            <v>JUN 2017  Activity</v>
          </cell>
          <cell r="AT425" t="str">
            <v>JUL 2017  Activity</v>
          </cell>
          <cell r="AU425" t="str">
            <v>AUG 2017  Activity</v>
          </cell>
          <cell r="AV425" t="str">
            <v>SEP 2017  Activity</v>
          </cell>
          <cell r="AW425" t="str">
            <v>OCT 2017  Activity</v>
          </cell>
          <cell r="AX425" t="str">
            <v>NOV 2017  Activity</v>
          </cell>
          <cell r="AY425" t="str">
            <v>DEC 2017  Activity</v>
          </cell>
          <cell r="AZ425" t="str">
            <v>JAN 2018  Activity</v>
          </cell>
          <cell r="BA425" t="str">
            <v>FEB 2018  Activity</v>
          </cell>
          <cell r="BB425" t="str">
            <v>MAR 2018  Activity</v>
          </cell>
          <cell r="BC425" t="str">
            <v>APR 2018  Activity</v>
          </cell>
          <cell r="BD425" t="str">
            <v>MAY 2018  Activity</v>
          </cell>
          <cell r="BE425" t="str">
            <v>JUN 2018  Activity</v>
          </cell>
          <cell r="BF425" t="str">
            <v>JUL 2018  Activity</v>
          </cell>
          <cell r="BG425" t="str">
            <v>AUG 2018  Activity</v>
          </cell>
          <cell r="BH425" t="str">
            <v>SEP 2018  Activity</v>
          </cell>
          <cell r="BI425" t="str">
            <v>OCT 2018  Activity</v>
          </cell>
          <cell r="BJ425" t="str">
            <v>NOV 2018  Activity</v>
          </cell>
          <cell r="BK425" t="str">
            <v>DEC 2018  Activity</v>
          </cell>
          <cell r="BL425" t="str">
            <v>JAN 2019  Activity</v>
          </cell>
          <cell r="BM425" t="str">
            <v>FEB 2019  Activity</v>
          </cell>
          <cell r="BN425" t="str">
            <v>MAR 2019  Activity</v>
          </cell>
          <cell r="BO425" t="str">
            <v>APR 2019  Activity</v>
          </cell>
          <cell r="BP425" t="str">
            <v>MAY 2019  Activity</v>
          </cell>
          <cell r="BQ425" t="str">
            <v>JUN 2019  Activity</v>
          </cell>
          <cell r="BR425" t="str">
            <v>JUL 2019  Activity</v>
          </cell>
          <cell r="BS425" t="str">
            <v>AUG 2019  Activity</v>
          </cell>
          <cell r="BT425" t="str">
            <v>SEP 2019  Activity</v>
          </cell>
          <cell r="BU425" t="str">
            <v>OCT 2019  Activity</v>
          </cell>
          <cell r="BV425" t="str">
            <v>NOV 2019  Activity</v>
          </cell>
          <cell r="BW425" t="str">
            <v>DEC 2019  Activity</v>
          </cell>
          <cell r="BX425" t="str">
            <v>JAN 2020  Activity</v>
          </cell>
          <cell r="BY425" t="str">
            <v>FEB 2020  Activity</v>
          </cell>
          <cell r="BZ425" t="str">
            <v>MAR 2020  Activity</v>
          </cell>
          <cell r="CA425" t="str">
            <v>APR 2020  Activity</v>
          </cell>
          <cell r="CB425" t="str">
            <v>MAY 2020  Activity</v>
          </cell>
          <cell r="CC425" t="str">
            <v>JUN 2020  Activity</v>
          </cell>
          <cell r="CD425" t="str">
            <v>JUL 2020  Activity</v>
          </cell>
          <cell r="CE425" t="str">
            <v>AUG 2020  Activity</v>
          </cell>
          <cell r="CF425" t="str">
            <v>SEP 2020  Activity</v>
          </cell>
          <cell r="CG425" t="str">
            <v>OCT 2020  Activity</v>
          </cell>
          <cell r="CH425" t="str">
            <v>NOV 2020  Activity</v>
          </cell>
          <cell r="CI425" t="str">
            <v>DEC 2020  Activity</v>
          </cell>
          <cell r="CJ425" t="str">
            <v>JAN 2021  Activity</v>
          </cell>
          <cell r="CK425" t="str">
            <v>FEB 2021  Activity</v>
          </cell>
          <cell r="CL425" t="str">
            <v>MAR 2021  Activity</v>
          </cell>
          <cell r="CM425" t="str">
            <v>APR 2021  Activity</v>
          </cell>
          <cell r="CN425" t="str">
            <v>MAY 2021  Activity</v>
          </cell>
          <cell r="CO425" t="str">
            <v>JUN 2021  Activity</v>
          </cell>
          <cell r="CP425" t="str">
            <v>JUL 2021  Activity</v>
          </cell>
          <cell r="CQ425" t="str">
            <v>AUG 2021  Activity</v>
          </cell>
          <cell r="CR425" t="str">
            <v>SEPT 2021  Activity</v>
          </cell>
          <cell r="CS425" t="str">
            <v>OCT 2021  Activity</v>
          </cell>
          <cell r="CT425" t="str">
            <v>NOV 2021  Activity</v>
          </cell>
          <cell r="CU425" t="str">
            <v>DEC 2021  Activity</v>
          </cell>
          <cell r="CV425" t="str">
            <v>JAN 2022  Activity</v>
          </cell>
          <cell r="CW425" t="str">
            <v>FEB 2022 Activity</v>
          </cell>
          <cell r="CX425" t="str">
            <v>MAR 2022  Activity</v>
          </cell>
          <cell r="CY425" t="str">
            <v>APR 2022  Activity</v>
          </cell>
          <cell r="CZ425" t="str">
            <v>MAY 2022  Activity</v>
          </cell>
          <cell r="DA425" t="str">
            <v>JUN 2022  Activity</v>
          </cell>
          <cell r="DB425" t="str">
            <v>JUL 2022  Activity</v>
          </cell>
          <cell r="DC425" t="str">
            <v>AUG 2022  Activity</v>
          </cell>
          <cell r="DD425" t="str">
            <v>SEPT 2022  Activity</v>
          </cell>
          <cell r="DE425" t="str">
            <v>OCT 2022  Activity</v>
          </cell>
          <cell r="DF425" t="str">
            <v>NOV 2022  Activity</v>
          </cell>
          <cell r="DG425" t="str">
            <v>DEC 2022  Activity</v>
          </cell>
        </row>
        <row r="426">
          <cell r="A426" t="str">
            <v>4030</v>
          </cell>
          <cell r="B426">
            <v>9403000</v>
          </cell>
          <cell r="C426" t="str">
            <v>Depreciation Expense</v>
          </cell>
          <cell r="D426">
            <v>4245161.26</v>
          </cell>
          <cell r="E426">
            <v>4207119.1399999997</v>
          </cell>
          <cell r="F426">
            <v>4214231.42</v>
          </cell>
          <cell r="G426">
            <v>4222479.62</v>
          </cell>
          <cell r="H426">
            <v>4241082.46</v>
          </cell>
          <cell r="I426">
            <v>4251586.87</v>
          </cell>
          <cell r="J426">
            <v>4262005.4800000004</v>
          </cell>
          <cell r="K426">
            <v>4298136.43</v>
          </cell>
          <cell r="L426">
            <v>4316386.4000000004</v>
          </cell>
          <cell r="M426">
            <v>4334447.7300000004</v>
          </cell>
          <cell r="N426">
            <v>4365072.1100000003</v>
          </cell>
          <cell r="O426">
            <v>4384360.91</v>
          </cell>
          <cell r="P426">
            <v>4407098.71</v>
          </cell>
          <cell r="Q426">
            <v>4425417.41</v>
          </cell>
          <cell r="R426">
            <v>4431232.5199999996</v>
          </cell>
          <cell r="S426">
            <v>4446182.9000000004</v>
          </cell>
          <cell r="T426">
            <v>4467479.41</v>
          </cell>
          <cell r="U426">
            <v>4488665.9000000004</v>
          </cell>
          <cell r="V426">
            <v>4538000.74</v>
          </cell>
          <cell r="W426">
            <v>4550526.09</v>
          </cell>
          <cell r="X426">
            <v>4562763.3</v>
          </cell>
          <cell r="Y426">
            <v>4584730.0999999996</v>
          </cell>
          <cell r="Z426">
            <v>4603963.09</v>
          </cell>
          <cell r="AA426">
            <v>4631851.5</v>
          </cell>
          <cell r="AB426">
            <v>4667147.76</v>
          </cell>
          <cell r="AC426">
            <v>4704864.67</v>
          </cell>
          <cell r="AD426">
            <v>4723345.3099999996</v>
          </cell>
          <cell r="AE426">
            <v>4743484.2699999996</v>
          </cell>
          <cell r="AF426">
            <v>4763746.34</v>
          </cell>
          <cell r="AG426">
            <v>4777464.88</v>
          </cell>
          <cell r="AH426">
            <v>4959441.68</v>
          </cell>
          <cell r="AI426">
            <v>4837445.83</v>
          </cell>
          <cell r="AJ426">
            <v>4938910.2699999996</v>
          </cell>
          <cell r="AK426">
            <v>4949351.38</v>
          </cell>
          <cell r="AL426">
            <v>5002328.6399999997</v>
          </cell>
          <cell r="AM426">
            <v>-11678706.08</v>
          </cell>
          <cell r="AN426">
            <v>3595775.31</v>
          </cell>
          <cell r="AO426">
            <v>3616299.31</v>
          </cell>
          <cell r="AP426">
            <v>3633375.89</v>
          </cell>
          <cell r="AQ426">
            <v>3642311.28</v>
          </cell>
          <cell r="AR426">
            <v>3646711.86</v>
          </cell>
          <cell r="AS426">
            <v>3664703.01</v>
          </cell>
          <cell r="AT426">
            <v>3681094.35</v>
          </cell>
          <cell r="AU426">
            <v>3699572.6</v>
          </cell>
          <cell r="AV426">
            <v>3720976.73</v>
          </cell>
          <cell r="AW426">
            <v>3759140.47</v>
          </cell>
          <cell r="AX426">
            <v>3784764.26</v>
          </cell>
          <cell r="AY426">
            <v>3802460.82</v>
          </cell>
          <cell r="AZ426">
            <v>3828881.35</v>
          </cell>
          <cell r="BA426">
            <v>3858918.81</v>
          </cell>
          <cell r="BB426">
            <v>3877230.57</v>
          </cell>
          <cell r="BC426">
            <v>3905747.53</v>
          </cell>
          <cell r="BD426">
            <v>3922730.34</v>
          </cell>
          <cell r="BE426">
            <v>3962454.71</v>
          </cell>
          <cell r="BF426">
            <v>3982806.7</v>
          </cell>
          <cell r="BG426">
            <v>4002276.8</v>
          </cell>
          <cell r="BH426">
            <v>4045105.27</v>
          </cell>
          <cell r="BI426">
            <v>4031307.23</v>
          </cell>
          <cell r="BJ426">
            <v>4072746.98</v>
          </cell>
          <cell r="BK426">
            <v>4134643.13</v>
          </cell>
          <cell r="BL426">
            <v>3107962.62</v>
          </cell>
          <cell r="BM426">
            <v>3127764.88</v>
          </cell>
          <cell r="BN426">
            <v>3164395.09</v>
          </cell>
          <cell r="BO426">
            <v>3192930.59</v>
          </cell>
          <cell r="BP426">
            <v>3215751.7</v>
          </cell>
          <cell r="BQ426">
            <v>3240566.32</v>
          </cell>
          <cell r="BR426">
            <v>3269450.45</v>
          </cell>
          <cell r="BS426">
            <v>3291399.24</v>
          </cell>
          <cell r="BT426">
            <v>3306879.04</v>
          </cell>
          <cell r="BU426">
            <v>3343583.3</v>
          </cell>
          <cell r="BV426">
            <v>3354950.57</v>
          </cell>
          <cell r="BW426">
            <v>3395513.35</v>
          </cell>
          <cell r="BX426">
            <v>3428541.86</v>
          </cell>
          <cell r="BY426">
            <v>3444795.37</v>
          </cell>
          <cell r="BZ426">
            <v>3482418.96</v>
          </cell>
          <cell r="CA426">
            <v>3513602.62</v>
          </cell>
          <cell r="CB426">
            <v>3534644.66</v>
          </cell>
          <cell r="CC426">
            <v>3555660.03</v>
          </cell>
          <cell r="CD426">
            <v>3580039.27</v>
          </cell>
          <cell r="CE426">
            <v>3598451.29</v>
          </cell>
          <cell r="CF426">
            <v>3632403.4</v>
          </cell>
          <cell r="CG426">
            <v>3656996.48</v>
          </cell>
          <cell r="CH426">
            <v>3752982.95</v>
          </cell>
          <cell r="CI426">
            <v>3789137.69</v>
          </cell>
          <cell r="CJ426">
            <v>4058861.98</v>
          </cell>
          <cell r="CK426">
            <v>4092393.43</v>
          </cell>
          <cell r="CL426">
            <v>4088038.85</v>
          </cell>
          <cell r="CM426">
            <v>4119088.03</v>
          </cell>
          <cell r="CN426">
            <v>4253544.55</v>
          </cell>
          <cell r="CO426">
            <v>4279271.59</v>
          </cell>
          <cell r="CP426">
            <v>4304775.75</v>
          </cell>
          <cell r="CQ426">
            <v>4323312.1900000004</v>
          </cell>
          <cell r="CR426">
            <v>4344549.92</v>
          </cell>
          <cell r="CS426">
            <v>4358337.1100000003</v>
          </cell>
          <cell r="CT426">
            <v>4383559.29</v>
          </cell>
          <cell r="CU426">
            <v>4514855.82</v>
          </cell>
          <cell r="CV426">
            <v>4556223.72</v>
          </cell>
          <cell r="CW426">
            <v>4580607.3600000003</v>
          </cell>
          <cell r="CX426">
            <v>-192470.77</v>
          </cell>
          <cell r="CY426">
            <v>4621121.43</v>
          </cell>
          <cell r="CZ426">
            <v>4653219.08</v>
          </cell>
          <cell r="DA426">
            <v>-96220.41</v>
          </cell>
          <cell r="DB426">
            <v>4717547.8899999997</v>
          </cell>
          <cell r="DC426">
            <v>4710523.5599999996</v>
          </cell>
          <cell r="DD426">
            <v>-42495.4</v>
          </cell>
          <cell r="DE426">
            <v>4762167.58</v>
          </cell>
          <cell r="DF426">
            <v>4864802.5199999996</v>
          </cell>
          <cell r="DG426">
            <v>4887440.9400000004</v>
          </cell>
        </row>
        <row r="427">
          <cell r="A427" t="str">
            <v>4043</v>
          </cell>
          <cell r="B427">
            <v>9404300</v>
          </cell>
          <cell r="C427" t="str">
            <v>Amz Oth LimTerm Plnt</v>
          </cell>
          <cell r="D427">
            <v>147191.46</v>
          </cell>
          <cell r="E427">
            <v>150189.5</v>
          </cell>
          <cell r="F427">
            <v>150194.57999999999</v>
          </cell>
          <cell r="G427">
            <v>150194.63</v>
          </cell>
          <cell r="H427">
            <v>150484.89000000001</v>
          </cell>
          <cell r="I427">
            <v>150486.68</v>
          </cell>
          <cell r="J427">
            <v>150488.16</v>
          </cell>
          <cell r="K427">
            <v>148336.57999999999</v>
          </cell>
          <cell r="L427">
            <v>154584.12</v>
          </cell>
          <cell r="M427">
            <v>154782.59</v>
          </cell>
          <cell r="N427">
            <v>154803.57999999999</v>
          </cell>
          <cell r="O427">
            <v>154804.53</v>
          </cell>
          <cell r="P427">
            <v>154806.53</v>
          </cell>
          <cell r="Q427">
            <v>154806.63</v>
          </cell>
          <cell r="R427">
            <v>134962.85</v>
          </cell>
          <cell r="S427">
            <v>135733.29</v>
          </cell>
          <cell r="T427">
            <v>147032.15</v>
          </cell>
          <cell r="U427">
            <v>146988.38</v>
          </cell>
          <cell r="V427">
            <v>147053.41</v>
          </cell>
          <cell r="W427">
            <v>148150.35999999999</v>
          </cell>
          <cell r="X427">
            <v>148668.26999999999</v>
          </cell>
          <cell r="Y427">
            <v>149307.07999999999</v>
          </cell>
          <cell r="Z427">
            <v>148928.76</v>
          </cell>
          <cell r="AA427">
            <v>149025.72</v>
          </cell>
          <cell r="AB427">
            <v>149157.06</v>
          </cell>
          <cell r="AC427">
            <v>149157.44</v>
          </cell>
          <cell r="AD427">
            <v>149159.98000000001</v>
          </cell>
          <cell r="AE427">
            <v>149093.32999999999</v>
          </cell>
          <cell r="AF427">
            <v>149095.4</v>
          </cell>
          <cell r="AG427">
            <v>149095.99</v>
          </cell>
          <cell r="AH427">
            <v>151055.9</v>
          </cell>
          <cell r="AI427">
            <v>158659.17000000001</v>
          </cell>
          <cell r="AJ427">
            <v>158665.84</v>
          </cell>
          <cell r="AK427">
            <v>158827.91</v>
          </cell>
          <cell r="AL427">
            <v>160395.59</v>
          </cell>
          <cell r="AM427">
            <v>160906.1</v>
          </cell>
          <cell r="AN427">
            <v>155958.22</v>
          </cell>
          <cell r="AO427">
            <v>155958.41</v>
          </cell>
          <cell r="AP427">
            <v>155959.65</v>
          </cell>
          <cell r="AQ427">
            <v>158368.13</v>
          </cell>
          <cell r="AR427">
            <v>157782.47</v>
          </cell>
          <cell r="AS427">
            <v>157809.01999999999</v>
          </cell>
          <cell r="AT427">
            <v>158117.35999999999</v>
          </cell>
          <cell r="AU427">
            <v>158131.23000000001</v>
          </cell>
          <cell r="AV427">
            <v>158476.85</v>
          </cell>
          <cell r="AW427">
            <v>158503.75</v>
          </cell>
          <cell r="AX427">
            <v>158595.5</v>
          </cell>
          <cell r="AY427">
            <v>158595.15</v>
          </cell>
          <cell r="AZ427">
            <v>160184.29999999999</v>
          </cell>
          <cell r="BA427">
            <v>160187.41</v>
          </cell>
          <cell r="BB427">
            <v>160210.32999999999</v>
          </cell>
          <cell r="BC427">
            <v>161347.1</v>
          </cell>
          <cell r="BD427">
            <v>161706.65</v>
          </cell>
          <cell r="BE427">
            <v>161723.91</v>
          </cell>
          <cell r="BF427">
            <v>161648.19</v>
          </cell>
          <cell r="BG427">
            <v>163599.94</v>
          </cell>
          <cell r="BH427">
            <v>163761.54</v>
          </cell>
          <cell r="BI427">
            <v>163948.59</v>
          </cell>
          <cell r="BJ427">
            <v>168391.29</v>
          </cell>
          <cell r="BK427">
            <v>168590.2</v>
          </cell>
          <cell r="BL427">
            <v>175750.58</v>
          </cell>
          <cell r="BM427">
            <v>176244.21</v>
          </cell>
          <cell r="BN427">
            <v>176111.99</v>
          </cell>
          <cell r="BO427">
            <v>176101.6</v>
          </cell>
          <cell r="BP427">
            <v>176152.95</v>
          </cell>
          <cell r="BQ427">
            <v>172556.62</v>
          </cell>
          <cell r="BR427">
            <v>172563.25</v>
          </cell>
          <cell r="BS427">
            <v>172487.48</v>
          </cell>
          <cell r="BT427">
            <v>172554.12</v>
          </cell>
          <cell r="BU427">
            <v>178817.54</v>
          </cell>
          <cell r="BV427">
            <v>179457.42</v>
          </cell>
          <cell r="BW427">
            <v>180492.46</v>
          </cell>
          <cell r="BX427">
            <v>186368.99</v>
          </cell>
          <cell r="BY427">
            <v>184231.94</v>
          </cell>
          <cell r="BZ427">
            <v>185353.5</v>
          </cell>
          <cell r="CA427">
            <v>184520.25</v>
          </cell>
          <cell r="CB427">
            <v>184391.25</v>
          </cell>
          <cell r="CC427">
            <v>184507.58</v>
          </cell>
          <cell r="CD427">
            <v>185260.31</v>
          </cell>
          <cell r="CE427">
            <v>185376.15</v>
          </cell>
          <cell r="CF427">
            <v>183665.84</v>
          </cell>
          <cell r="CG427">
            <v>183812.57</v>
          </cell>
          <cell r="CH427">
            <v>274286.36</v>
          </cell>
          <cell r="CI427">
            <v>274706.28999999998</v>
          </cell>
          <cell r="CJ427">
            <v>270651.27</v>
          </cell>
          <cell r="CK427">
            <v>270886.17</v>
          </cell>
          <cell r="CL427">
            <v>271218.26</v>
          </cell>
          <cell r="CM427">
            <v>285406.7</v>
          </cell>
          <cell r="CN427">
            <v>301060.37</v>
          </cell>
          <cell r="CO427">
            <v>302455.27</v>
          </cell>
          <cell r="CP427">
            <v>303895.84999999998</v>
          </cell>
          <cell r="CQ427">
            <v>305319.11</v>
          </cell>
          <cell r="CR427">
            <v>305870.89</v>
          </cell>
          <cell r="CS427">
            <v>306026.75</v>
          </cell>
          <cell r="CT427">
            <v>306171.98</v>
          </cell>
          <cell r="CU427">
            <v>306369.34999999998</v>
          </cell>
          <cell r="CV427">
            <v>306480.17</v>
          </cell>
          <cell r="CW427">
            <v>306715.53999999998</v>
          </cell>
          <cell r="CX427">
            <v>339061.6</v>
          </cell>
          <cell r="CY427">
            <v>339744.77</v>
          </cell>
          <cell r="CZ427">
            <v>339862.64</v>
          </cell>
          <cell r="DA427">
            <v>340197.19</v>
          </cell>
          <cell r="DB427">
            <v>339366.82</v>
          </cell>
          <cell r="DC427">
            <v>339490.01</v>
          </cell>
          <cell r="DD427">
            <v>339472.62</v>
          </cell>
          <cell r="DE427">
            <v>339739.91</v>
          </cell>
          <cell r="DF427">
            <v>339859.61</v>
          </cell>
          <cell r="DG427">
            <v>343378.44</v>
          </cell>
        </row>
        <row r="428">
          <cell r="A428" t="str">
            <v>4060</v>
          </cell>
          <cell r="B428">
            <v>9406000</v>
          </cell>
          <cell r="C428" t="str">
            <v>Amtz Plant Aquis Adj</v>
          </cell>
          <cell r="D428">
            <v>12428.82</v>
          </cell>
          <cell r="E428">
            <v>12428.82</v>
          </cell>
          <cell r="F428">
            <v>12428.82</v>
          </cell>
          <cell r="G428">
            <v>12428.82</v>
          </cell>
          <cell r="H428">
            <v>12428.82</v>
          </cell>
          <cell r="I428">
            <v>12428.82</v>
          </cell>
          <cell r="J428">
            <v>12428.82</v>
          </cell>
          <cell r="K428">
            <v>12428.82</v>
          </cell>
          <cell r="L428">
            <v>12428.82</v>
          </cell>
          <cell r="M428">
            <v>12428.82</v>
          </cell>
          <cell r="N428">
            <v>12428.82</v>
          </cell>
          <cell r="O428">
            <v>12428.82</v>
          </cell>
          <cell r="P428">
            <v>12428.82</v>
          </cell>
          <cell r="Q428">
            <v>12428.82</v>
          </cell>
          <cell r="R428">
            <v>12428.82</v>
          </cell>
          <cell r="S428">
            <v>12428.82</v>
          </cell>
          <cell r="T428">
            <v>12428.82</v>
          </cell>
          <cell r="U428">
            <v>12428.82</v>
          </cell>
          <cell r="V428">
            <v>12428.82</v>
          </cell>
          <cell r="W428">
            <v>12428.82</v>
          </cell>
          <cell r="X428">
            <v>12428.82</v>
          </cell>
          <cell r="Y428">
            <v>12428.82</v>
          </cell>
          <cell r="Z428">
            <v>12428.82</v>
          </cell>
          <cell r="AA428">
            <v>12428.82</v>
          </cell>
          <cell r="AB428">
            <v>12428.82</v>
          </cell>
          <cell r="AC428">
            <v>12428.82</v>
          </cell>
          <cell r="AD428">
            <v>12428.82</v>
          </cell>
          <cell r="AE428">
            <v>12428.82</v>
          </cell>
          <cell r="AF428">
            <v>12428.82</v>
          </cell>
          <cell r="AG428">
            <v>12428.82</v>
          </cell>
          <cell r="AH428">
            <v>12428.82</v>
          </cell>
          <cell r="AI428">
            <v>12428.82</v>
          </cell>
          <cell r="AJ428">
            <v>12428.82</v>
          </cell>
          <cell r="AK428">
            <v>12428.82</v>
          </cell>
          <cell r="AL428">
            <v>12428.82</v>
          </cell>
          <cell r="AM428">
            <v>12428.82</v>
          </cell>
          <cell r="AN428">
            <v>12428.82</v>
          </cell>
          <cell r="AO428">
            <v>12428.82</v>
          </cell>
          <cell r="AP428">
            <v>12428.82</v>
          </cell>
          <cell r="AQ428">
            <v>12428.82</v>
          </cell>
          <cell r="AR428">
            <v>12428.82</v>
          </cell>
          <cell r="AS428">
            <v>12428.82</v>
          </cell>
          <cell r="AT428">
            <v>12428.82</v>
          </cell>
          <cell r="AU428">
            <v>12428.82</v>
          </cell>
          <cell r="AV428">
            <v>12428.82</v>
          </cell>
          <cell r="AW428">
            <v>12428.82</v>
          </cell>
          <cell r="AX428">
            <v>12428.82</v>
          </cell>
          <cell r="AY428">
            <v>12428.82</v>
          </cell>
          <cell r="AZ428">
            <v>12428.82</v>
          </cell>
          <cell r="BA428">
            <v>12428.82</v>
          </cell>
          <cell r="BB428">
            <v>12428.82</v>
          </cell>
          <cell r="BC428">
            <v>12428.82</v>
          </cell>
          <cell r="BD428">
            <v>12428.82</v>
          </cell>
          <cell r="BE428">
            <v>12428.82</v>
          </cell>
          <cell r="BF428">
            <v>12428.82</v>
          </cell>
          <cell r="BG428">
            <v>12428.82</v>
          </cell>
          <cell r="BH428">
            <v>12428.82</v>
          </cell>
          <cell r="BI428">
            <v>12428.82</v>
          </cell>
          <cell r="BJ428">
            <v>12428.82</v>
          </cell>
          <cell r="BK428">
            <v>12428.82</v>
          </cell>
          <cell r="BL428">
            <v>12428.82</v>
          </cell>
          <cell r="BM428">
            <v>12428.82</v>
          </cell>
          <cell r="BN428">
            <v>12428.82</v>
          </cell>
          <cell r="BO428">
            <v>12428.82</v>
          </cell>
          <cell r="BP428">
            <v>12428.82</v>
          </cell>
          <cell r="BQ428">
            <v>12428.82</v>
          </cell>
          <cell r="BR428">
            <v>12428.82</v>
          </cell>
          <cell r="BS428">
            <v>12428.82</v>
          </cell>
          <cell r="BT428">
            <v>12428.82</v>
          </cell>
          <cell r="BU428">
            <v>12428.82</v>
          </cell>
          <cell r="BV428">
            <v>12428.82</v>
          </cell>
          <cell r="BW428">
            <v>12428.82</v>
          </cell>
          <cell r="BX428">
            <v>12428.82</v>
          </cell>
          <cell r="BY428">
            <v>12428.82</v>
          </cell>
          <cell r="BZ428">
            <v>12428.82</v>
          </cell>
          <cell r="CA428">
            <v>12428.82</v>
          </cell>
          <cell r="CB428">
            <v>12428.82</v>
          </cell>
          <cell r="CC428">
            <v>12428.82</v>
          </cell>
          <cell r="CD428">
            <v>12428.82</v>
          </cell>
          <cell r="CE428">
            <v>12428.82</v>
          </cell>
          <cell r="CF428">
            <v>12428.82</v>
          </cell>
          <cell r="CG428">
            <v>5949.73</v>
          </cell>
          <cell r="CH428">
            <v>5949.73</v>
          </cell>
          <cell r="CI428">
            <v>5949.73</v>
          </cell>
          <cell r="CJ428">
            <v>5949.73</v>
          </cell>
          <cell r="CK428">
            <v>5949.73</v>
          </cell>
          <cell r="CL428">
            <v>5949.73</v>
          </cell>
          <cell r="CM428">
            <v>5949.73</v>
          </cell>
          <cell r="CN428">
            <v>5949.73</v>
          </cell>
          <cell r="CO428">
            <v>5949.73</v>
          </cell>
          <cell r="CP428">
            <v>5949.73</v>
          </cell>
          <cell r="CQ428">
            <v>-687.37</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row>
        <row r="429">
          <cell r="A429" t="str">
            <v>4073</v>
          </cell>
          <cell r="B429">
            <v>9407300</v>
          </cell>
          <cell r="C429" t="str">
            <v>Regulatory Debits</v>
          </cell>
          <cell r="D429">
            <v>692732</v>
          </cell>
          <cell r="E429">
            <v>1004123</v>
          </cell>
          <cell r="F429">
            <v>735084</v>
          </cell>
          <cell r="G429">
            <v>458589</v>
          </cell>
          <cell r="H429">
            <v>191456</v>
          </cell>
          <cell r="I429">
            <v>155589</v>
          </cell>
          <cell r="J429">
            <v>53333</v>
          </cell>
          <cell r="K429">
            <v>53333</v>
          </cell>
          <cell r="L429">
            <v>53333</v>
          </cell>
          <cell r="M429">
            <v>53333</v>
          </cell>
          <cell r="N429">
            <v>83411</v>
          </cell>
          <cell r="O429">
            <v>606127</v>
          </cell>
          <cell r="P429">
            <v>640463</v>
          </cell>
          <cell r="Q429">
            <v>1044195.45</v>
          </cell>
          <cell r="R429">
            <v>767964.41</v>
          </cell>
          <cell r="S429">
            <v>517228.68</v>
          </cell>
          <cell r="T429">
            <v>53155</v>
          </cell>
          <cell r="U429">
            <v>117676</v>
          </cell>
          <cell r="V429">
            <v>53333</v>
          </cell>
          <cell r="W429">
            <v>564537</v>
          </cell>
          <cell r="X429">
            <v>53333</v>
          </cell>
          <cell r="Y429">
            <v>53333</v>
          </cell>
          <cell r="Z429">
            <v>232559</v>
          </cell>
          <cell r="AA429">
            <v>449762</v>
          </cell>
          <cell r="AB429">
            <v>514421.52</v>
          </cell>
          <cell r="AC429">
            <v>816086</v>
          </cell>
          <cell r="AD429">
            <v>467539</v>
          </cell>
          <cell r="AE429">
            <v>356640</v>
          </cell>
          <cell r="AF429">
            <v>53197</v>
          </cell>
          <cell r="AG429">
            <v>-8011.48</v>
          </cell>
          <cell r="AH429">
            <v>53333</v>
          </cell>
          <cell r="AI429">
            <v>53333</v>
          </cell>
          <cell r="AJ429">
            <v>53333</v>
          </cell>
          <cell r="AK429">
            <v>53333</v>
          </cell>
          <cell r="AL429">
            <v>209703</v>
          </cell>
          <cell r="AM429">
            <v>16053333</v>
          </cell>
          <cell r="AN429">
            <v>1431292</v>
          </cell>
          <cell r="AO429">
            <v>1020414</v>
          </cell>
          <cell r="AP429">
            <v>760824</v>
          </cell>
          <cell r="AQ429">
            <v>753237</v>
          </cell>
          <cell r="AR429">
            <v>485801</v>
          </cell>
          <cell r="AS429">
            <v>485801</v>
          </cell>
          <cell r="AT429">
            <v>485801</v>
          </cell>
          <cell r="AU429">
            <v>485801</v>
          </cell>
          <cell r="AV429">
            <v>485801</v>
          </cell>
          <cell r="AW429">
            <v>485801</v>
          </cell>
          <cell r="AX429">
            <v>485801</v>
          </cell>
          <cell r="AY429">
            <v>-613552</v>
          </cell>
          <cell r="AZ429">
            <v>1523673</v>
          </cell>
          <cell r="BA429">
            <v>2748713.34</v>
          </cell>
          <cell r="BB429">
            <v>4446076.68</v>
          </cell>
          <cell r="BC429">
            <v>1578070</v>
          </cell>
          <cell r="BD429">
            <v>911765</v>
          </cell>
          <cell r="BE429">
            <v>860609</v>
          </cell>
          <cell r="BF429">
            <v>932571</v>
          </cell>
          <cell r="BG429">
            <v>921234</v>
          </cell>
          <cell r="BH429">
            <v>733299</v>
          </cell>
          <cell r="BI429">
            <v>684719</v>
          </cell>
          <cell r="BJ429">
            <v>684719</v>
          </cell>
          <cell r="BK429">
            <v>266083</v>
          </cell>
          <cell r="BL429">
            <v>773967</v>
          </cell>
          <cell r="BM429">
            <v>1622841</v>
          </cell>
          <cell r="BN429">
            <v>771740</v>
          </cell>
          <cell r="BO429">
            <v>251810</v>
          </cell>
          <cell r="BP429">
            <v>366029</v>
          </cell>
          <cell r="BQ429">
            <v>119556</v>
          </cell>
          <cell r="BR429">
            <v>119556</v>
          </cell>
          <cell r="BS429">
            <v>119556</v>
          </cell>
          <cell r="BT429">
            <v>201614</v>
          </cell>
          <cell r="BU429">
            <v>144133</v>
          </cell>
          <cell r="BV429">
            <v>119556</v>
          </cell>
          <cell r="BW429">
            <v>350140</v>
          </cell>
          <cell r="BX429">
            <v>1045771</v>
          </cell>
          <cell r="BY429">
            <v>1486794</v>
          </cell>
          <cell r="BZ429">
            <v>1242135</v>
          </cell>
          <cell r="CA429">
            <v>409329</v>
          </cell>
          <cell r="CB429">
            <v>409329</v>
          </cell>
          <cell r="CC429">
            <v>409329</v>
          </cell>
          <cell r="CD429">
            <v>409329</v>
          </cell>
          <cell r="CE429">
            <v>409329</v>
          </cell>
          <cell r="CF429">
            <v>409329</v>
          </cell>
          <cell r="CG429">
            <v>409329</v>
          </cell>
          <cell r="CH429">
            <v>409329</v>
          </cell>
          <cell r="CI429">
            <v>567204</v>
          </cell>
          <cell r="CJ429">
            <v>1732592.33</v>
          </cell>
          <cell r="CK429">
            <v>892693.33</v>
          </cell>
          <cell r="CL429">
            <v>713190.33</v>
          </cell>
          <cell r="CM429">
            <v>794950.33</v>
          </cell>
          <cell r="CN429">
            <v>524590.32999999996</v>
          </cell>
          <cell r="CO429">
            <v>514587.33</v>
          </cell>
          <cell r="CP429">
            <v>514587.33</v>
          </cell>
          <cell r="CQ429">
            <v>568195.32999999996</v>
          </cell>
          <cell r="CR429">
            <v>1235910</v>
          </cell>
          <cell r="CS429">
            <v>483183.82</v>
          </cell>
          <cell r="CT429">
            <v>581072.93999999994</v>
          </cell>
          <cell r="CU429">
            <v>721825.45</v>
          </cell>
          <cell r="CV429">
            <v>1401187.33</v>
          </cell>
          <cell r="CW429">
            <v>1948709.33</v>
          </cell>
          <cell r="CX429">
            <v>444635.33</v>
          </cell>
          <cell r="CY429">
            <v>918702.33</v>
          </cell>
          <cell r="CZ429">
            <v>824020.33</v>
          </cell>
          <cell r="DA429">
            <v>1050341.33</v>
          </cell>
          <cell r="DB429">
            <v>346304.33</v>
          </cell>
          <cell r="DC429">
            <v>346304.33</v>
          </cell>
          <cell r="DD429">
            <v>346304.33</v>
          </cell>
          <cell r="DE429">
            <v>346304.33</v>
          </cell>
          <cell r="DF429">
            <v>346304.33</v>
          </cell>
          <cell r="DG429">
            <v>354133.33</v>
          </cell>
        </row>
        <row r="430">
          <cell r="A430" t="str">
            <v>4074</v>
          </cell>
          <cell r="B430">
            <v>9407400</v>
          </cell>
          <cell r="C430" t="str">
            <v>Regulatory Credits</v>
          </cell>
          <cell r="D430">
            <v>-449</v>
          </cell>
          <cell r="E430">
            <v>0</v>
          </cell>
          <cell r="F430">
            <v>0</v>
          </cell>
          <cell r="G430">
            <v>120</v>
          </cell>
          <cell r="H430">
            <v>0</v>
          </cell>
          <cell r="I430">
            <v>-16168</v>
          </cell>
          <cell r="J430">
            <v>-551337</v>
          </cell>
          <cell r="K430">
            <v>-267863</v>
          </cell>
          <cell r="L430">
            <v>-361503</v>
          </cell>
          <cell r="M430">
            <v>-187139</v>
          </cell>
          <cell r="N430">
            <v>-71943</v>
          </cell>
          <cell r="O430">
            <v>-30478</v>
          </cell>
          <cell r="P430">
            <v>-26117</v>
          </cell>
          <cell r="Q430">
            <v>-25795</v>
          </cell>
          <cell r="R430">
            <v>-25795</v>
          </cell>
          <cell r="S430">
            <v>-25795</v>
          </cell>
          <cell r="T430">
            <v>-139270.35999999999</v>
          </cell>
          <cell r="U430">
            <v>-78805.63</v>
          </cell>
          <cell r="V430">
            <v>-130640.69</v>
          </cell>
          <cell r="W430">
            <v>-323064.52</v>
          </cell>
          <cell r="X430">
            <v>-218469.72</v>
          </cell>
          <cell r="Y430">
            <v>-509248.91</v>
          </cell>
          <cell r="Z430">
            <v>-116856.32000000001</v>
          </cell>
          <cell r="AA430">
            <v>-86845.91</v>
          </cell>
          <cell r="AB430">
            <v>-178474</v>
          </cell>
          <cell r="AC430">
            <v>-178038</v>
          </cell>
          <cell r="AD430">
            <v>-178038</v>
          </cell>
          <cell r="AE430">
            <v>-178038</v>
          </cell>
          <cell r="AF430">
            <v>-349720</v>
          </cell>
          <cell r="AG430">
            <v>-447541</v>
          </cell>
          <cell r="AH430">
            <v>-408543</v>
          </cell>
          <cell r="AI430">
            <v>-935390</v>
          </cell>
          <cell r="AJ430">
            <v>-344140</v>
          </cell>
          <cell r="AK430">
            <v>-782161</v>
          </cell>
          <cell r="AL430">
            <v>-306546</v>
          </cell>
          <cell r="AM430">
            <v>-341795</v>
          </cell>
          <cell r="AN430">
            <v>-59322</v>
          </cell>
          <cell r="AO430">
            <v>-45253</v>
          </cell>
          <cell r="AP430">
            <v>-109905</v>
          </cell>
          <cell r="AQ430">
            <v>-137919</v>
          </cell>
          <cell r="AR430">
            <v>-668825</v>
          </cell>
          <cell r="AS430">
            <v>-899674</v>
          </cell>
          <cell r="AT430">
            <v>-968188</v>
          </cell>
          <cell r="AU430">
            <v>-1159101</v>
          </cell>
          <cell r="AV430">
            <v>-713056</v>
          </cell>
          <cell r="AW430">
            <v>-1567703</v>
          </cell>
          <cell r="AX430">
            <v>-723534</v>
          </cell>
          <cell r="AY430">
            <v>-337518</v>
          </cell>
          <cell r="AZ430">
            <v>0</v>
          </cell>
          <cell r="BA430">
            <v>0</v>
          </cell>
          <cell r="BB430">
            <v>-472880</v>
          </cell>
          <cell r="BC430">
            <v>-1178357</v>
          </cell>
          <cell r="BD430">
            <v>0</v>
          </cell>
          <cell r="BE430">
            <v>-141955</v>
          </cell>
          <cell r="BF430">
            <v>-1404380</v>
          </cell>
          <cell r="BG430">
            <v>-891247</v>
          </cell>
          <cell r="BH430">
            <v>-148132</v>
          </cell>
          <cell r="BI430">
            <v>-1477193</v>
          </cell>
          <cell r="BJ430">
            <v>-268461</v>
          </cell>
          <cell r="BK430">
            <v>-7586</v>
          </cell>
          <cell r="BL430">
            <v>-119764</v>
          </cell>
          <cell r="BM430">
            <v>-174835</v>
          </cell>
          <cell r="BN430">
            <v>-119764</v>
          </cell>
          <cell r="BO430">
            <v>-119764</v>
          </cell>
          <cell r="BP430">
            <v>-237165</v>
          </cell>
          <cell r="BQ430">
            <v>-1073082</v>
          </cell>
          <cell r="BR430">
            <v>-1564647</v>
          </cell>
          <cell r="BS430">
            <v>-865141</v>
          </cell>
          <cell r="BT430">
            <v>-517878</v>
          </cell>
          <cell r="BU430">
            <v>-1033944.21</v>
          </cell>
          <cell r="BV430">
            <v>-734848.79</v>
          </cell>
          <cell r="BW430">
            <v>-519278</v>
          </cell>
          <cell r="BX430">
            <v>0</v>
          </cell>
          <cell r="BY430">
            <v>0</v>
          </cell>
          <cell r="BZ430">
            <v>0</v>
          </cell>
          <cell r="CA430">
            <v>-541125</v>
          </cell>
          <cell r="CB430">
            <v>-713524</v>
          </cell>
          <cell r="CC430">
            <v>-799801</v>
          </cell>
          <cell r="CD430">
            <v>-880400</v>
          </cell>
          <cell r="CE430">
            <v>-1147999</v>
          </cell>
          <cell r="CF430">
            <v>-1478348</v>
          </cell>
          <cell r="CG430">
            <v>-1540208</v>
          </cell>
          <cell r="CH430">
            <v>-607047</v>
          </cell>
          <cell r="CI430">
            <v>-115872</v>
          </cell>
          <cell r="CJ430">
            <v>0</v>
          </cell>
          <cell r="CK430">
            <v>0</v>
          </cell>
          <cell r="CL430">
            <v>0</v>
          </cell>
          <cell r="CM430">
            <v>1900</v>
          </cell>
          <cell r="CN430">
            <v>-8166</v>
          </cell>
          <cell r="CO430">
            <v>-65264</v>
          </cell>
          <cell r="CP430">
            <v>-383487</v>
          </cell>
          <cell r="CQ430">
            <v>-133213</v>
          </cell>
          <cell r="CR430">
            <v>-633481</v>
          </cell>
          <cell r="CS430">
            <v>-559659</v>
          </cell>
          <cell r="CT430">
            <v>-279446</v>
          </cell>
          <cell r="CU430">
            <v>-61927</v>
          </cell>
          <cell r="CV430">
            <v>0</v>
          </cell>
          <cell r="CW430">
            <v>0</v>
          </cell>
          <cell r="CX430">
            <v>-627335</v>
          </cell>
          <cell r="CY430">
            <v>0</v>
          </cell>
          <cell r="CZ430">
            <v>-476476</v>
          </cell>
          <cell r="DA430">
            <v>-176577</v>
          </cell>
          <cell r="DB430">
            <v>-1843532.5</v>
          </cell>
          <cell r="DC430">
            <v>-769216.5</v>
          </cell>
          <cell r="DD430">
            <v>-1136302.5</v>
          </cell>
          <cell r="DE430">
            <v>-707125.5</v>
          </cell>
          <cell r="DF430">
            <v>-688030.5</v>
          </cell>
          <cell r="DG430">
            <v>-266816.5</v>
          </cell>
        </row>
        <row r="431">
          <cell r="A431" t="str">
            <v>4081</v>
          </cell>
          <cell r="B431">
            <v>9408100</v>
          </cell>
          <cell r="C431" t="str">
            <v>TOTI Utility OperInc</v>
          </cell>
          <cell r="D431">
            <v>3900728.63</v>
          </cell>
          <cell r="E431">
            <v>3576790.95</v>
          </cell>
          <cell r="F431">
            <v>3236058.27</v>
          </cell>
          <cell r="G431">
            <v>3026048.36</v>
          </cell>
          <cell r="H431">
            <v>2806888.43</v>
          </cell>
          <cell r="I431">
            <v>2620717.92</v>
          </cell>
          <cell r="J431">
            <v>2518056.41</v>
          </cell>
          <cell r="K431">
            <v>2150955.4900000002</v>
          </cell>
          <cell r="L431">
            <v>2559103.38</v>
          </cell>
          <cell r="M431">
            <v>2601447.5099999998</v>
          </cell>
          <cell r="N431">
            <v>2764179.48</v>
          </cell>
          <cell r="O431">
            <v>3351238.9</v>
          </cell>
          <cell r="P431">
            <v>3516551.96</v>
          </cell>
          <cell r="Q431">
            <v>3692989.66</v>
          </cell>
          <cell r="R431">
            <v>3508343.87</v>
          </cell>
          <cell r="S431">
            <v>3029851.64</v>
          </cell>
          <cell r="T431">
            <v>2658287.17</v>
          </cell>
          <cell r="U431">
            <v>2703167.19</v>
          </cell>
          <cell r="V431">
            <v>3008899.7</v>
          </cell>
          <cell r="W431">
            <v>1966851.14</v>
          </cell>
          <cell r="X431">
            <v>2595616.34</v>
          </cell>
          <cell r="Y431">
            <v>2716940.84</v>
          </cell>
          <cell r="Z431">
            <v>2810517.19</v>
          </cell>
          <cell r="AA431">
            <v>3136601.07</v>
          </cell>
          <cell r="AB431">
            <v>3699068.84</v>
          </cell>
          <cell r="AC431">
            <v>3886626.27</v>
          </cell>
          <cell r="AD431">
            <v>3544103.31</v>
          </cell>
          <cell r="AE431">
            <v>3090934.6</v>
          </cell>
          <cell r="AF431">
            <v>2977110.5</v>
          </cell>
          <cell r="AG431">
            <v>2761534.17</v>
          </cell>
          <cell r="AH431">
            <v>2721572.76</v>
          </cell>
          <cell r="AI431">
            <v>2646289.21</v>
          </cell>
          <cell r="AJ431">
            <v>2754142.86</v>
          </cell>
          <cell r="AK431">
            <v>2661219.9300000002</v>
          </cell>
          <cell r="AL431">
            <v>2430568.36</v>
          </cell>
          <cell r="AM431">
            <v>3139624.19</v>
          </cell>
          <cell r="AN431">
            <v>3585184.72</v>
          </cell>
          <cell r="AO431">
            <v>3442063.32</v>
          </cell>
          <cell r="AP431">
            <v>3377076.84</v>
          </cell>
          <cell r="AQ431">
            <v>3283577.51</v>
          </cell>
          <cell r="AR431">
            <v>2774403.19</v>
          </cell>
          <cell r="AS431">
            <v>2695535.35</v>
          </cell>
          <cell r="AT431">
            <v>2572142.87</v>
          </cell>
          <cell r="AU431">
            <v>2627913.4</v>
          </cell>
          <cell r="AV431">
            <v>2578610.96</v>
          </cell>
          <cell r="AW431">
            <v>2756832.45</v>
          </cell>
          <cell r="AX431">
            <v>2674039.12</v>
          </cell>
          <cell r="AY431">
            <v>3520899.82</v>
          </cell>
          <cell r="AZ431">
            <v>4334596.51</v>
          </cell>
          <cell r="BA431">
            <v>4015312.02</v>
          </cell>
          <cell r="BB431">
            <v>3337124.2</v>
          </cell>
          <cell r="BC431">
            <v>3589495.24</v>
          </cell>
          <cell r="BD431">
            <v>3221215.62</v>
          </cell>
          <cell r="BE431">
            <v>3014361.48</v>
          </cell>
          <cell r="BF431">
            <v>2936582.3</v>
          </cell>
          <cell r="BG431">
            <v>2981647.76</v>
          </cell>
          <cell r="BH431">
            <v>2925509</v>
          </cell>
          <cell r="BI431">
            <v>2877123.16</v>
          </cell>
          <cell r="BJ431">
            <v>2540050.87</v>
          </cell>
          <cell r="BK431">
            <v>3556648.52</v>
          </cell>
          <cell r="BL431">
            <v>4307739.33</v>
          </cell>
          <cell r="BM431">
            <v>4173065.52</v>
          </cell>
          <cell r="BN431">
            <v>3738381.25</v>
          </cell>
          <cell r="BO431">
            <v>3495798.49</v>
          </cell>
          <cell r="BP431">
            <v>3411019.13</v>
          </cell>
          <cell r="BQ431">
            <v>3099423.36</v>
          </cell>
          <cell r="BR431">
            <v>3149256.73</v>
          </cell>
          <cell r="BS431">
            <v>2655880.29</v>
          </cell>
          <cell r="BT431">
            <v>2933410.13</v>
          </cell>
          <cell r="BU431">
            <v>3022627.73</v>
          </cell>
          <cell r="BV431">
            <v>3338463.86</v>
          </cell>
          <cell r="BW431">
            <v>3904465.91</v>
          </cell>
          <cell r="BX431">
            <v>4250408.28</v>
          </cell>
          <cell r="BY431">
            <v>4388338.07</v>
          </cell>
          <cell r="BZ431">
            <v>3828557.5</v>
          </cell>
          <cell r="CA431">
            <v>3446284.32</v>
          </cell>
          <cell r="CB431">
            <v>3239483.55</v>
          </cell>
          <cell r="CC431">
            <v>3047965.42</v>
          </cell>
          <cell r="CD431">
            <v>3230459.86</v>
          </cell>
          <cell r="CE431">
            <v>3169729.55</v>
          </cell>
          <cell r="CF431">
            <v>2793302.48</v>
          </cell>
          <cell r="CG431">
            <v>3215027.13</v>
          </cell>
          <cell r="CH431">
            <v>2972960.48</v>
          </cell>
          <cell r="CI431">
            <v>3310526.72</v>
          </cell>
          <cell r="CJ431">
            <v>4930150.0999999996</v>
          </cell>
          <cell r="CK431">
            <v>4622177.08</v>
          </cell>
          <cell r="CL431">
            <v>4266596.8600000003</v>
          </cell>
          <cell r="CM431">
            <v>4290323.0599999996</v>
          </cell>
          <cell r="CN431">
            <v>4348543.2699999996</v>
          </cell>
          <cell r="CO431">
            <v>3105990.25</v>
          </cell>
          <cell r="CP431">
            <v>3879599.44</v>
          </cell>
          <cell r="CQ431">
            <v>3558072.92</v>
          </cell>
          <cell r="CR431">
            <v>2843876.53</v>
          </cell>
          <cell r="CS431">
            <v>3600052.09</v>
          </cell>
          <cell r="CT431">
            <v>3884712.46</v>
          </cell>
          <cell r="CU431">
            <v>4388583.91</v>
          </cell>
          <cell r="CV431">
            <v>5171990.68</v>
          </cell>
          <cell r="CW431">
            <v>5274757.16</v>
          </cell>
          <cell r="CX431">
            <v>4861659.2</v>
          </cell>
          <cell r="CY431">
            <v>4755937.9800000004</v>
          </cell>
          <cell r="CZ431">
            <v>4464843.93</v>
          </cell>
          <cell r="DA431">
            <v>4313233.5999999996</v>
          </cell>
          <cell r="DB431">
            <v>4030385.48</v>
          </cell>
          <cell r="DC431">
            <v>4095278.69</v>
          </cell>
          <cell r="DD431">
            <v>3364089.67</v>
          </cell>
          <cell r="DE431">
            <v>4301171.3499999996</v>
          </cell>
          <cell r="DF431">
            <v>3875646.51</v>
          </cell>
          <cell r="DG431">
            <v>5357717.79</v>
          </cell>
        </row>
        <row r="432">
          <cell r="A432" t="str">
            <v>4091</v>
          </cell>
          <cell r="B432">
            <v>9409100</v>
          </cell>
          <cell r="C432" t="str">
            <v>Inc Tax Util OperInc</v>
          </cell>
          <cell r="D432">
            <v>2311322.62</v>
          </cell>
          <cell r="E432">
            <v>2902688.25</v>
          </cell>
          <cell r="F432">
            <v>3077094.1</v>
          </cell>
          <cell r="G432">
            <v>1559304.35</v>
          </cell>
          <cell r="H432">
            <v>1500195.37</v>
          </cell>
          <cell r="I432">
            <v>1028903.32</v>
          </cell>
          <cell r="J432">
            <v>586512.91</v>
          </cell>
          <cell r="K432">
            <v>295040.34000000003</v>
          </cell>
          <cell r="L432">
            <v>-1531844.39</v>
          </cell>
          <cell r="M432">
            <v>1706364.14</v>
          </cell>
          <cell r="N432">
            <v>-1391789.68</v>
          </cell>
          <cell r="O432">
            <v>-6024753.6500000004</v>
          </cell>
          <cell r="P432">
            <v>3511605.82</v>
          </cell>
          <cell r="Q432">
            <v>1486957.79</v>
          </cell>
          <cell r="R432">
            <v>2754928.81</v>
          </cell>
          <cell r="S432">
            <v>1145289.07</v>
          </cell>
          <cell r="T432">
            <v>967601.02</v>
          </cell>
          <cell r="U432">
            <v>1453873.02</v>
          </cell>
          <cell r="V432">
            <v>1108703.04</v>
          </cell>
          <cell r="W432">
            <v>1119369.74</v>
          </cell>
          <cell r="X432">
            <v>-302940.55</v>
          </cell>
          <cell r="Y432">
            <v>-363891.14</v>
          </cell>
          <cell r="Z432">
            <v>-260495.75</v>
          </cell>
          <cell r="AA432">
            <v>-9712054.75</v>
          </cell>
          <cell r="AB432">
            <v>2228737.0299999998</v>
          </cell>
          <cell r="AC432">
            <v>2924935.11</v>
          </cell>
          <cell r="AD432">
            <v>1094866.82</v>
          </cell>
          <cell r="AE432">
            <v>558731.92000000004</v>
          </cell>
          <cell r="AF432">
            <v>197956.07</v>
          </cell>
          <cell r="AG432">
            <v>155411.68</v>
          </cell>
          <cell r="AH432">
            <v>265820.09999999998</v>
          </cell>
          <cell r="AI432">
            <v>-930761.12</v>
          </cell>
          <cell r="AJ432">
            <v>1072918.4099999999</v>
          </cell>
          <cell r="AK432">
            <v>-760549.82</v>
          </cell>
          <cell r="AL432">
            <v>-261599.67</v>
          </cell>
          <cell r="AM432">
            <v>546673.78</v>
          </cell>
          <cell r="AN432">
            <v>2040825.61</v>
          </cell>
          <cell r="AO432">
            <v>-631584.13</v>
          </cell>
          <cell r="AP432">
            <v>194813.43</v>
          </cell>
          <cell r="AQ432">
            <v>511396.46</v>
          </cell>
          <cell r="AR432">
            <v>-842268.7</v>
          </cell>
          <cell r="AS432">
            <v>-962104.34</v>
          </cell>
          <cell r="AT432">
            <v>-972907</v>
          </cell>
          <cell r="AU432">
            <v>-1022100.66</v>
          </cell>
          <cell r="AV432">
            <v>1584073.3</v>
          </cell>
          <cell r="AW432">
            <v>-2008499.03</v>
          </cell>
          <cell r="AX432">
            <v>-1017595.27</v>
          </cell>
          <cell r="AY432">
            <v>5725359.7400000002</v>
          </cell>
          <cell r="AZ432">
            <v>3172840.78</v>
          </cell>
          <cell r="BA432">
            <v>342951.69</v>
          </cell>
          <cell r="BB432">
            <v>895317.01</v>
          </cell>
          <cell r="BC432">
            <v>1259189.22</v>
          </cell>
          <cell r="BD432">
            <v>205117.85</v>
          </cell>
          <cell r="BE432">
            <v>492073.16</v>
          </cell>
          <cell r="BF432">
            <v>166344.88</v>
          </cell>
          <cell r="BG432">
            <v>-879336.49</v>
          </cell>
          <cell r="BH432">
            <v>432770.52</v>
          </cell>
          <cell r="BI432">
            <v>-353761.9</v>
          </cell>
          <cell r="BJ432">
            <v>-3383402.33</v>
          </cell>
          <cell r="BK432">
            <v>1424397.97</v>
          </cell>
          <cell r="BL432">
            <v>1898229.81</v>
          </cell>
          <cell r="BM432">
            <v>-87759.87</v>
          </cell>
          <cell r="BN432">
            <v>1161289.22</v>
          </cell>
          <cell r="BO432">
            <v>559174.94999999995</v>
          </cell>
          <cell r="BP432">
            <v>280899.64</v>
          </cell>
          <cell r="BQ432">
            <v>192965.77</v>
          </cell>
          <cell r="BR432">
            <v>-11924.53</v>
          </cell>
          <cell r="BS432">
            <v>-33331.160000000003</v>
          </cell>
          <cell r="BT432">
            <v>122357.41</v>
          </cell>
          <cell r="BU432">
            <v>114338.06</v>
          </cell>
          <cell r="BV432">
            <v>482314.44</v>
          </cell>
          <cell r="BW432">
            <v>85023.62</v>
          </cell>
          <cell r="BX432">
            <v>3049614.09</v>
          </cell>
          <cell r="BY432">
            <v>-2074721.21</v>
          </cell>
          <cell r="BZ432">
            <v>458500.76</v>
          </cell>
          <cell r="CA432">
            <v>139401.47</v>
          </cell>
          <cell r="CB432">
            <v>-398549.92</v>
          </cell>
          <cell r="CC432">
            <v>-17852.25</v>
          </cell>
          <cell r="CD432">
            <v>-500016.4</v>
          </cell>
          <cell r="CE432">
            <v>-116709.75999999999</v>
          </cell>
          <cell r="CF432">
            <v>120395.35</v>
          </cell>
          <cell r="CG432">
            <v>-1700886.66</v>
          </cell>
          <cell r="CH432">
            <v>157810.87</v>
          </cell>
          <cell r="CI432">
            <v>323552.88</v>
          </cell>
          <cell r="CJ432">
            <v>2773724.39</v>
          </cell>
          <cell r="CK432">
            <v>1074495.75</v>
          </cell>
          <cell r="CL432">
            <v>-504079.37</v>
          </cell>
          <cell r="CM432">
            <v>954143.7</v>
          </cell>
          <cell r="CN432">
            <v>-330815.38</v>
          </cell>
          <cell r="CO432">
            <v>1955989.38</v>
          </cell>
          <cell r="CP432">
            <v>-376170.8</v>
          </cell>
          <cell r="CQ432">
            <v>581226.12</v>
          </cell>
          <cell r="CR432">
            <v>1483442.87</v>
          </cell>
          <cell r="CS432">
            <v>-1692496.25</v>
          </cell>
          <cell r="CT432">
            <v>-1659190.4</v>
          </cell>
          <cell r="CU432">
            <v>3978282.47</v>
          </cell>
          <cell r="CV432">
            <v>2808335.05</v>
          </cell>
          <cell r="CW432">
            <v>3401893.44</v>
          </cell>
          <cell r="CX432">
            <v>198240.37</v>
          </cell>
          <cell r="CY432">
            <v>1125620.96</v>
          </cell>
          <cell r="CZ432">
            <v>398227.3</v>
          </cell>
          <cell r="DA432">
            <v>279421.68</v>
          </cell>
          <cell r="DB432">
            <v>-286222.64</v>
          </cell>
          <cell r="DC432">
            <v>-3528742.49</v>
          </cell>
          <cell r="DD432">
            <v>744323.69</v>
          </cell>
          <cell r="DE432">
            <v>-650891.84</v>
          </cell>
          <cell r="DF432">
            <v>-55693.45</v>
          </cell>
          <cell r="DG432">
            <v>-71585.03</v>
          </cell>
        </row>
        <row r="433">
          <cell r="A433" t="str">
            <v>4092</v>
          </cell>
          <cell r="B433">
            <v>9409200</v>
          </cell>
          <cell r="C433" t="str">
            <v>Inc Tax OID</v>
          </cell>
          <cell r="D433">
            <v>11805.59</v>
          </cell>
          <cell r="E433">
            <v>29501.11</v>
          </cell>
          <cell r="F433">
            <v>-4315.67</v>
          </cell>
          <cell r="G433">
            <v>69773.03</v>
          </cell>
          <cell r="H433">
            <v>-88174.27</v>
          </cell>
          <cell r="I433">
            <v>6021.9</v>
          </cell>
          <cell r="J433">
            <v>-30264.81</v>
          </cell>
          <cell r="K433">
            <v>-205.56</v>
          </cell>
          <cell r="L433">
            <v>12789.06</v>
          </cell>
          <cell r="M433">
            <v>3687.56</v>
          </cell>
          <cell r="N433">
            <v>-1884</v>
          </cell>
          <cell r="O433">
            <v>-73481.48</v>
          </cell>
          <cell r="P433">
            <v>6276.79</v>
          </cell>
          <cell r="Q433">
            <v>-4135.96</v>
          </cell>
          <cell r="R433">
            <v>-19752.57</v>
          </cell>
          <cell r="S433">
            <v>-16626.43</v>
          </cell>
          <cell r="T433">
            <v>10034.24</v>
          </cell>
          <cell r="U433">
            <v>63832.62</v>
          </cell>
          <cell r="V433">
            <v>-6916.4</v>
          </cell>
          <cell r="W433">
            <v>686.37</v>
          </cell>
          <cell r="X433">
            <v>-55098.3</v>
          </cell>
          <cell r="Y433">
            <v>-1190.26</v>
          </cell>
          <cell r="Z433">
            <v>2078.04</v>
          </cell>
          <cell r="AA433">
            <v>200747.01</v>
          </cell>
          <cell r="AB433">
            <v>-4410.3599999999997</v>
          </cell>
          <cell r="AC433">
            <v>17900.09</v>
          </cell>
          <cell r="AD433">
            <v>-9925.41</v>
          </cell>
          <cell r="AE433">
            <v>4342.6499999999996</v>
          </cell>
          <cell r="AF433">
            <v>4499.7</v>
          </cell>
          <cell r="AG433">
            <v>-14942.42</v>
          </cell>
          <cell r="AH433">
            <v>83453.100000000006</v>
          </cell>
          <cell r="AI433">
            <v>158199.67000000001</v>
          </cell>
          <cell r="AJ433">
            <v>293901.32</v>
          </cell>
          <cell r="AK433">
            <v>348928.49</v>
          </cell>
          <cell r="AL433">
            <v>73327.27</v>
          </cell>
          <cell r="AM433">
            <v>-649371.51</v>
          </cell>
          <cell r="AN433">
            <v>108287.96</v>
          </cell>
          <cell r="AO433">
            <v>77885.19</v>
          </cell>
          <cell r="AP433">
            <v>-82968.27</v>
          </cell>
          <cell r="AQ433">
            <v>71306.460000000006</v>
          </cell>
          <cell r="AR433">
            <v>69687.77</v>
          </cell>
          <cell r="AS433">
            <v>-197242.61</v>
          </cell>
          <cell r="AT433">
            <v>58077.54</v>
          </cell>
          <cell r="AU433">
            <v>62267.25</v>
          </cell>
          <cell r="AV433">
            <v>-158640.4</v>
          </cell>
          <cell r="AW433">
            <v>64185.54</v>
          </cell>
          <cell r="AX433">
            <v>65028.5</v>
          </cell>
          <cell r="AY433">
            <v>-132944.51999999999</v>
          </cell>
          <cell r="AZ433">
            <v>47044.19</v>
          </cell>
          <cell r="BA433">
            <v>47958.5</v>
          </cell>
          <cell r="BB433">
            <v>-72836.14</v>
          </cell>
          <cell r="BC433">
            <v>25831.03</v>
          </cell>
          <cell r="BD433">
            <v>40255.230000000003</v>
          </cell>
          <cell r="BE433">
            <v>-82719.839999999997</v>
          </cell>
          <cell r="BF433">
            <v>45225.96</v>
          </cell>
          <cell r="BG433">
            <v>41191.99</v>
          </cell>
          <cell r="BH433">
            <v>-97983.62</v>
          </cell>
          <cell r="BI433">
            <v>31369.27</v>
          </cell>
          <cell r="BJ433">
            <v>32532.19</v>
          </cell>
          <cell r="BK433">
            <v>-136153.24</v>
          </cell>
          <cell r="BL433">
            <v>40657.57</v>
          </cell>
          <cell r="BM433">
            <v>43483.19</v>
          </cell>
          <cell r="BN433">
            <v>-37189.61</v>
          </cell>
          <cell r="BO433">
            <v>45595.25</v>
          </cell>
          <cell r="BP433">
            <v>39314.68</v>
          </cell>
          <cell r="BQ433">
            <v>-83908.9</v>
          </cell>
          <cell r="BR433">
            <v>46381.39</v>
          </cell>
          <cell r="BS433">
            <v>77824.55</v>
          </cell>
          <cell r="BT433">
            <v>-85861.440000000002</v>
          </cell>
          <cell r="BU433">
            <v>59880.27</v>
          </cell>
          <cell r="BV433">
            <v>57044</v>
          </cell>
          <cell r="BW433">
            <v>-129185.48</v>
          </cell>
          <cell r="BX433">
            <v>74900.95</v>
          </cell>
          <cell r="BY433">
            <v>67533.11</v>
          </cell>
          <cell r="BZ433">
            <v>-83639</v>
          </cell>
          <cell r="CA433">
            <v>80390.73</v>
          </cell>
          <cell r="CB433">
            <v>87099.11</v>
          </cell>
          <cell r="CC433">
            <v>94208.05</v>
          </cell>
          <cell r="CD433">
            <v>80852.38</v>
          </cell>
          <cell r="CE433">
            <v>87255.46</v>
          </cell>
          <cell r="CF433">
            <v>-317165.2</v>
          </cell>
          <cell r="CG433">
            <v>67378.92</v>
          </cell>
          <cell r="CH433">
            <v>50946.69</v>
          </cell>
          <cell r="CI433">
            <v>-410525.51</v>
          </cell>
          <cell r="CJ433">
            <v>73434.78</v>
          </cell>
          <cell r="CK433">
            <v>79044.53</v>
          </cell>
          <cell r="CL433">
            <v>-85309.56</v>
          </cell>
          <cell r="CM433">
            <v>75487.13</v>
          </cell>
          <cell r="CN433">
            <v>51845.84</v>
          </cell>
          <cell r="CO433">
            <v>-102745.14</v>
          </cell>
          <cell r="CP433">
            <v>57603.41</v>
          </cell>
          <cell r="CQ433">
            <v>63536.03</v>
          </cell>
          <cell r="CR433">
            <v>-88413.01</v>
          </cell>
          <cell r="CS433">
            <v>72742.33</v>
          </cell>
          <cell r="CT433">
            <v>24007.59</v>
          </cell>
          <cell r="CU433">
            <v>-97575.82</v>
          </cell>
          <cell r="CV433">
            <v>30791.97</v>
          </cell>
          <cell r="CW433">
            <v>48747.32</v>
          </cell>
          <cell r="CX433">
            <v>-9406.42</v>
          </cell>
          <cell r="CY433">
            <v>43736.86</v>
          </cell>
          <cell r="CZ433">
            <v>61132.79</v>
          </cell>
          <cell r="DA433">
            <v>48570.91</v>
          </cell>
          <cell r="DB433">
            <v>84579.21</v>
          </cell>
          <cell r="DC433">
            <v>102921.42</v>
          </cell>
          <cell r="DD433">
            <v>110967.21</v>
          </cell>
          <cell r="DE433">
            <v>51821.279999999999</v>
          </cell>
          <cell r="DF433">
            <v>72111.75</v>
          </cell>
          <cell r="DG433">
            <v>-751253</v>
          </cell>
        </row>
        <row r="434">
          <cell r="A434" t="str">
            <v>4101</v>
          </cell>
          <cell r="B434">
            <v>9410100</v>
          </cell>
          <cell r="C434" t="str">
            <v>Defd Inc Tax OperInc</v>
          </cell>
          <cell r="D434">
            <v>797790.57</v>
          </cell>
          <cell r="E434">
            <v>-300304.7</v>
          </cell>
          <cell r="F434">
            <v>-113876.48</v>
          </cell>
          <cell r="G434">
            <v>259025.67</v>
          </cell>
          <cell r="H434">
            <v>-374515.85</v>
          </cell>
          <cell r="I434">
            <v>364456.3</v>
          </cell>
          <cell r="J434">
            <v>386811.22</v>
          </cell>
          <cell r="K434">
            <v>663651.21</v>
          </cell>
          <cell r="L434">
            <v>2342998.9900000002</v>
          </cell>
          <cell r="M434">
            <v>-366429.53</v>
          </cell>
          <cell r="N434">
            <v>3069502.86</v>
          </cell>
          <cell r="O434">
            <v>8336921.8700000001</v>
          </cell>
          <cell r="P434">
            <v>-275913.05</v>
          </cell>
          <cell r="Q434">
            <v>1517705.04</v>
          </cell>
          <cell r="R434">
            <v>-229143.11</v>
          </cell>
          <cell r="S434">
            <v>308339.71999999997</v>
          </cell>
          <cell r="T434">
            <v>364626.14</v>
          </cell>
          <cell r="U434">
            <v>113882.78</v>
          </cell>
          <cell r="V434">
            <v>-29699.14</v>
          </cell>
          <cell r="W434">
            <v>-151948.79999999999</v>
          </cell>
          <cell r="X434">
            <v>1417199.94</v>
          </cell>
          <cell r="Y434">
            <v>1646764.96</v>
          </cell>
          <cell r="Z434">
            <v>1290361.8700000001</v>
          </cell>
          <cell r="AA434">
            <v>10961767.789999999</v>
          </cell>
          <cell r="AB434">
            <v>923774.88</v>
          </cell>
          <cell r="AC434">
            <v>268317.09000000003</v>
          </cell>
          <cell r="AD434">
            <v>990508.94</v>
          </cell>
          <cell r="AE434">
            <v>1224181.94</v>
          </cell>
          <cell r="AF434">
            <v>1369396.56</v>
          </cell>
          <cell r="AG434">
            <v>715535.25</v>
          </cell>
          <cell r="AH434">
            <v>1172591.31</v>
          </cell>
          <cell r="AI434">
            <v>1298883.51</v>
          </cell>
          <cell r="AJ434">
            <v>-130656.15</v>
          </cell>
          <cell r="AK434">
            <v>1792223.13</v>
          </cell>
          <cell r="AL434">
            <v>2025072.31</v>
          </cell>
          <cell r="AM434">
            <v>1276761.0900000001</v>
          </cell>
          <cell r="AN434">
            <v>1007791.66</v>
          </cell>
          <cell r="AO434">
            <v>2803153.57</v>
          </cell>
          <cell r="AP434">
            <v>2561252.83</v>
          </cell>
          <cell r="AQ434">
            <v>1745517.27</v>
          </cell>
          <cell r="AR434">
            <v>2904990.24</v>
          </cell>
          <cell r="AS434">
            <v>2569026.12</v>
          </cell>
          <cell r="AT434">
            <v>2508529.0099999998</v>
          </cell>
          <cell r="AU434">
            <v>2444486.59</v>
          </cell>
          <cell r="AV434">
            <v>102029.45</v>
          </cell>
          <cell r="AW434">
            <v>3452167.27</v>
          </cell>
          <cell r="AX434">
            <v>2924959.95</v>
          </cell>
          <cell r="AY434">
            <v>-2419811.6800000002</v>
          </cell>
          <cell r="AZ434">
            <v>-424489.68</v>
          </cell>
          <cell r="BA434">
            <v>784354.58</v>
          </cell>
          <cell r="BB434">
            <v>-231493.34</v>
          </cell>
          <cell r="BC434">
            <v>224730.79</v>
          </cell>
          <cell r="BD434">
            <v>919013.52</v>
          </cell>
          <cell r="BE434">
            <v>539752.36</v>
          </cell>
          <cell r="BF434">
            <v>720939.07</v>
          </cell>
          <cell r="BG434">
            <v>1619453.58</v>
          </cell>
          <cell r="BH434">
            <v>836429.1</v>
          </cell>
          <cell r="BI434">
            <v>1163529.56</v>
          </cell>
          <cell r="BJ434">
            <v>4457679.3600000003</v>
          </cell>
          <cell r="BK434">
            <v>113328.6</v>
          </cell>
          <cell r="BL434">
            <v>246440.66</v>
          </cell>
          <cell r="BM434">
            <v>2016465.43</v>
          </cell>
          <cell r="BN434">
            <v>641096.55000000005</v>
          </cell>
          <cell r="BO434">
            <v>1080080.19</v>
          </cell>
          <cell r="BP434">
            <v>1176801.29</v>
          </cell>
          <cell r="BQ434">
            <v>1139163.42</v>
          </cell>
          <cell r="BR434">
            <v>944421.19</v>
          </cell>
          <cell r="BS434">
            <v>1173908.4099999999</v>
          </cell>
          <cell r="BT434">
            <v>599012.24</v>
          </cell>
          <cell r="BU434">
            <v>909892.55</v>
          </cell>
          <cell r="BV434">
            <v>858821.24</v>
          </cell>
          <cell r="BW434">
            <v>1452272.21</v>
          </cell>
          <cell r="BX434">
            <v>-678148.9</v>
          </cell>
          <cell r="BY434">
            <v>3783401.71</v>
          </cell>
          <cell r="BZ434">
            <v>983157.33</v>
          </cell>
          <cell r="CA434">
            <v>840155.65</v>
          </cell>
          <cell r="CB434">
            <v>1294461.54</v>
          </cell>
          <cell r="CC434">
            <v>911790.04</v>
          </cell>
          <cell r="CD434">
            <v>1291428.43</v>
          </cell>
          <cell r="CE434">
            <v>1019109.73</v>
          </cell>
          <cell r="CF434">
            <v>1259997.56</v>
          </cell>
          <cell r="CG434">
            <v>1943284.86</v>
          </cell>
          <cell r="CH434">
            <v>1351955.5</v>
          </cell>
          <cell r="CI434">
            <v>1079410.44</v>
          </cell>
          <cell r="CJ434">
            <v>675422.61</v>
          </cell>
          <cell r="CK434">
            <v>1189381.5</v>
          </cell>
          <cell r="CL434">
            <v>2754279.95</v>
          </cell>
          <cell r="CM434">
            <v>1355641.68</v>
          </cell>
          <cell r="CN434">
            <v>1901529.35</v>
          </cell>
          <cell r="CO434">
            <v>-395914.15</v>
          </cell>
          <cell r="CP434">
            <v>1617623.67</v>
          </cell>
          <cell r="CQ434">
            <v>729649.99</v>
          </cell>
          <cell r="CR434">
            <v>-747066.9</v>
          </cell>
          <cell r="CS434">
            <v>3026643.52</v>
          </cell>
          <cell r="CT434">
            <v>3801132.44</v>
          </cell>
          <cell r="CU434">
            <v>-2616528.1</v>
          </cell>
          <cell r="CV434">
            <v>447989.75</v>
          </cell>
          <cell r="CW434">
            <v>-533495.37</v>
          </cell>
          <cell r="CX434">
            <v>3034364.22</v>
          </cell>
          <cell r="CY434">
            <v>1018819.87</v>
          </cell>
          <cell r="CZ434">
            <v>1546580.43</v>
          </cell>
          <cell r="DA434">
            <v>1632224.02</v>
          </cell>
          <cell r="DB434">
            <v>1491018.23</v>
          </cell>
          <cell r="DC434">
            <v>4979215.91</v>
          </cell>
          <cell r="DD434">
            <v>1450781.13</v>
          </cell>
          <cell r="DE434">
            <v>2165864.66</v>
          </cell>
          <cell r="DF434">
            <v>1890697.16</v>
          </cell>
          <cell r="DG434">
            <v>2410974.19</v>
          </cell>
        </row>
        <row r="435">
          <cell r="A435" t="str">
            <v>4102</v>
          </cell>
          <cell r="B435">
            <v>9410200</v>
          </cell>
          <cell r="C435" t="str">
            <v>Defd Inc Tax OID</v>
          </cell>
          <cell r="D435"/>
          <cell r="E435"/>
          <cell r="F435"/>
          <cell r="G435"/>
          <cell r="H435"/>
          <cell r="I435"/>
          <cell r="J435"/>
          <cell r="K435"/>
          <cell r="L435"/>
          <cell r="M435"/>
          <cell r="N435"/>
          <cell r="O435"/>
          <cell r="P435"/>
          <cell r="Q435"/>
          <cell r="R435"/>
          <cell r="S435"/>
          <cell r="T435"/>
          <cell r="U435"/>
          <cell r="V435"/>
          <cell r="W435"/>
          <cell r="X435"/>
          <cell r="Y435"/>
          <cell r="Z435"/>
          <cell r="AA435"/>
          <cell r="AB435"/>
          <cell r="AC435"/>
          <cell r="AD435"/>
          <cell r="AE435"/>
          <cell r="AF435"/>
          <cell r="AG435"/>
          <cell r="AH435"/>
          <cell r="AI435"/>
          <cell r="AJ435"/>
          <cell r="AK435">
            <v>0</v>
          </cell>
          <cell r="AL435">
            <v>0</v>
          </cell>
          <cell r="AM435">
            <v>-7.37</v>
          </cell>
          <cell r="AN435">
            <v>0</v>
          </cell>
          <cell r="AO435">
            <v>0</v>
          </cell>
          <cell r="AP435">
            <v>7.37</v>
          </cell>
          <cell r="AQ435">
            <v>0</v>
          </cell>
          <cell r="AR435">
            <v>0</v>
          </cell>
          <cell r="AS435">
            <v>0</v>
          </cell>
          <cell r="AT435">
            <v>0</v>
          </cell>
          <cell r="AU435">
            <v>0</v>
          </cell>
          <cell r="AV435">
            <v>0</v>
          </cell>
          <cell r="AW435">
            <v>21.93</v>
          </cell>
          <cell r="AX435">
            <v>-21.93</v>
          </cell>
          <cell r="AY435">
            <v>0</v>
          </cell>
          <cell r="AZ435">
            <v>0</v>
          </cell>
          <cell r="BA435">
            <v>0</v>
          </cell>
          <cell r="BB435">
            <v>0</v>
          </cell>
          <cell r="BC435">
            <v>0</v>
          </cell>
          <cell r="BD435">
            <v>0</v>
          </cell>
          <cell r="BE435">
            <v>20.91</v>
          </cell>
          <cell r="BF435">
            <v>309.99</v>
          </cell>
          <cell r="BG435">
            <v>-69.38</v>
          </cell>
          <cell r="BH435">
            <v>339.16</v>
          </cell>
          <cell r="BI435">
            <v>-482.03</v>
          </cell>
          <cell r="BJ435">
            <v>-301.77999999999997</v>
          </cell>
          <cell r="BK435">
            <v>-585.22</v>
          </cell>
          <cell r="BL435">
            <v>806.18</v>
          </cell>
          <cell r="BM435">
            <v>-78.36</v>
          </cell>
          <cell r="BN435">
            <v>0</v>
          </cell>
          <cell r="BO435">
            <v>-1210.69</v>
          </cell>
          <cell r="BP435">
            <v>-477.01</v>
          </cell>
          <cell r="BQ435">
            <v>1425.55</v>
          </cell>
          <cell r="BR435">
            <v>1192.77</v>
          </cell>
          <cell r="BS435">
            <v>-885.14</v>
          </cell>
          <cell r="BT435">
            <v>-14.88</v>
          </cell>
          <cell r="BU435">
            <v>-39.35</v>
          </cell>
          <cell r="BV435">
            <v>82.34</v>
          </cell>
          <cell r="BW435">
            <v>14.49</v>
          </cell>
          <cell r="BX435">
            <v>0</v>
          </cell>
          <cell r="BY435">
            <v>0</v>
          </cell>
          <cell r="BZ435">
            <v>0</v>
          </cell>
          <cell r="CA435">
            <v>0</v>
          </cell>
          <cell r="CB435">
            <v>0</v>
          </cell>
          <cell r="CC435">
            <v>0</v>
          </cell>
          <cell r="CD435">
            <v>0</v>
          </cell>
          <cell r="CE435">
            <v>0</v>
          </cell>
          <cell r="CF435">
            <v>0</v>
          </cell>
          <cell r="CG435"/>
          <cell r="CH435"/>
          <cell r="CI435"/>
          <cell r="CJ435"/>
          <cell r="CK435"/>
          <cell r="CL435"/>
          <cell r="CM435"/>
          <cell r="CN435"/>
          <cell r="CO435"/>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row>
        <row r="436">
          <cell r="A436" t="str">
            <v>4120</v>
          </cell>
          <cell r="B436">
            <v>9412000</v>
          </cell>
          <cell r="C436" t="str">
            <v>Rev Gas Plant Leased</v>
          </cell>
          <cell r="D436"/>
          <cell r="E436"/>
          <cell r="F436"/>
          <cell r="G436"/>
          <cell r="H436"/>
          <cell r="I436"/>
          <cell r="J436"/>
          <cell r="K436"/>
          <cell r="L436"/>
          <cell r="M436"/>
          <cell r="N436"/>
          <cell r="O436"/>
          <cell r="P436"/>
          <cell r="Q436"/>
          <cell r="R436"/>
          <cell r="S436"/>
          <cell r="T436"/>
          <cell r="U436"/>
          <cell r="V436"/>
          <cell r="W436"/>
          <cell r="X436"/>
          <cell r="Y436"/>
          <cell r="Z436"/>
          <cell r="AA436"/>
          <cell r="AB436"/>
          <cell r="AC436"/>
          <cell r="AD436"/>
          <cell r="AE436">
            <v>0</v>
          </cell>
          <cell r="AF436">
            <v>-235245.67</v>
          </cell>
          <cell r="AG436">
            <v>-84738.62</v>
          </cell>
          <cell r="AH436">
            <v>-84738.62</v>
          </cell>
          <cell r="AI436">
            <v>-84738.62</v>
          </cell>
          <cell r="AJ436">
            <v>-84738.62</v>
          </cell>
          <cell r="AK436">
            <v>-106698.62</v>
          </cell>
          <cell r="AL436">
            <v>-106698.62</v>
          </cell>
          <cell r="AM436">
            <v>-106698.62</v>
          </cell>
          <cell r="AN436">
            <v>-106698.62</v>
          </cell>
          <cell r="AO436">
            <v>-106698.62</v>
          </cell>
          <cell r="AP436">
            <v>-106735.81</v>
          </cell>
          <cell r="AQ436">
            <v>-193421.26</v>
          </cell>
          <cell r="AR436">
            <v>-193458.45</v>
          </cell>
          <cell r="AS436">
            <v>-193458.45</v>
          </cell>
          <cell r="AT436">
            <v>-193458.45</v>
          </cell>
          <cell r="AU436">
            <v>-193458.45</v>
          </cell>
          <cell r="AV436">
            <v>-193458.45</v>
          </cell>
          <cell r="AW436">
            <v>-223789.45</v>
          </cell>
          <cell r="AX436">
            <v>-223789.45</v>
          </cell>
          <cell r="AY436">
            <v>-223789.45</v>
          </cell>
          <cell r="AZ436">
            <v>-223789.45</v>
          </cell>
          <cell r="BA436">
            <v>-223789.45</v>
          </cell>
          <cell r="BB436">
            <v>-223789.45</v>
          </cell>
          <cell r="BC436">
            <v>-223789.45</v>
          </cell>
          <cell r="BD436">
            <v>-223789.45</v>
          </cell>
          <cell r="BE436">
            <v>-223789.45</v>
          </cell>
          <cell r="BF436">
            <v>-223789.45</v>
          </cell>
          <cell r="BG436">
            <v>-223789.45</v>
          </cell>
          <cell r="BH436">
            <v>-223789.45</v>
          </cell>
          <cell r="BI436">
            <v>-223789.45</v>
          </cell>
          <cell r="BJ436">
            <v>-223789.45</v>
          </cell>
          <cell r="BK436">
            <v>-223789.45</v>
          </cell>
          <cell r="BL436">
            <v>-223789.45</v>
          </cell>
          <cell r="BM436">
            <v>-223789.45</v>
          </cell>
          <cell r="BN436">
            <v>-255542.13</v>
          </cell>
          <cell r="BO436">
            <v>-239665.79</v>
          </cell>
          <cell r="BP436">
            <v>-239665.79</v>
          </cell>
          <cell r="BQ436">
            <v>-239665.79</v>
          </cell>
          <cell r="BR436">
            <v>-239665.79</v>
          </cell>
          <cell r="BS436">
            <v>-239665.79</v>
          </cell>
          <cell r="BT436">
            <v>-239665.79</v>
          </cell>
          <cell r="BU436">
            <v>-239665.79</v>
          </cell>
          <cell r="BV436">
            <v>-239665.79</v>
          </cell>
          <cell r="BW436">
            <v>-239665.79</v>
          </cell>
          <cell r="BX436">
            <v>-239665.79</v>
          </cell>
          <cell r="BY436">
            <v>-239665.79</v>
          </cell>
          <cell r="BZ436">
            <v>-239665.79</v>
          </cell>
          <cell r="CA436">
            <v>-239665.79</v>
          </cell>
          <cell r="CB436">
            <v>-191777.77</v>
          </cell>
          <cell r="CC436">
            <v>-215721.78</v>
          </cell>
          <cell r="CD436">
            <v>-215721.78</v>
          </cell>
          <cell r="CE436">
            <v>-215721.78</v>
          </cell>
          <cell r="CF436">
            <v>-215721.78</v>
          </cell>
          <cell r="CG436">
            <v>-207350.78</v>
          </cell>
          <cell r="CH436">
            <v>-207350.78</v>
          </cell>
          <cell r="CI436">
            <v>-207350.78</v>
          </cell>
          <cell r="CJ436">
            <v>-207350.78</v>
          </cell>
          <cell r="CK436">
            <v>-207350.78</v>
          </cell>
          <cell r="CL436">
            <v>-207350.78</v>
          </cell>
          <cell r="CM436">
            <v>-207350.78</v>
          </cell>
          <cell r="CN436">
            <v>-207350.78</v>
          </cell>
          <cell r="CO436">
            <v>-207350.78</v>
          </cell>
          <cell r="CP436">
            <v>-207350.78</v>
          </cell>
          <cell r="CQ436">
            <v>-207350.78</v>
          </cell>
          <cell r="CR436">
            <v>-207350.78</v>
          </cell>
          <cell r="CS436">
            <v>-207350.78</v>
          </cell>
          <cell r="CT436">
            <v>-207350.78</v>
          </cell>
          <cell r="CU436">
            <v>-207350.78</v>
          </cell>
          <cell r="CV436">
            <v>-207350.78</v>
          </cell>
          <cell r="CW436">
            <v>-207350.78</v>
          </cell>
          <cell r="CX436">
            <v>-207350.78</v>
          </cell>
          <cell r="CY436">
            <v>-163430.78</v>
          </cell>
          <cell r="CZ436">
            <v>-163430.78</v>
          </cell>
          <cell r="DA436">
            <v>-160597.23000000001</v>
          </cell>
          <cell r="DB436">
            <v>-139115.15</v>
          </cell>
          <cell r="DC436">
            <v>-37799.15</v>
          </cell>
          <cell r="DD436">
            <v>-37799.15</v>
          </cell>
          <cell r="DE436">
            <v>-37799.15</v>
          </cell>
          <cell r="DF436">
            <v>-37799.15</v>
          </cell>
          <cell r="DG436">
            <v>-37799.15</v>
          </cell>
        </row>
        <row r="437">
          <cell r="A437" t="str">
            <v>4130</v>
          </cell>
          <cell r="B437">
            <v>9413000</v>
          </cell>
          <cell r="C437" t="str">
            <v>Exp of Plant leased</v>
          </cell>
          <cell r="D437"/>
          <cell r="E437"/>
          <cell r="F437"/>
          <cell r="G437"/>
          <cell r="H437"/>
          <cell r="I437"/>
          <cell r="J437"/>
          <cell r="K437"/>
          <cell r="L437"/>
          <cell r="M437"/>
          <cell r="N437"/>
          <cell r="O437"/>
          <cell r="P437"/>
          <cell r="Q437"/>
          <cell r="R437"/>
          <cell r="S437"/>
          <cell r="T437"/>
          <cell r="U437"/>
          <cell r="V437"/>
          <cell r="W437"/>
          <cell r="X437"/>
          <cell r="Y437"/>
          <cell r="Z437"/>
          <cell r="AA437"/>
          <cell r="AB437"/>
          <cell r="AC437"/>
          <cell r="AD437"/>
          <cell r="AE437">
            <v>0</v>
          </cell>
          <cell r="AF437">
            <v>59935.28</v>
          </cell>
          <cell r="AG437">
            <v>29792.75</v>
          </cell>
          <cell r="AH437">
            <v>26012.6</v>
          </cell>
          <cell r="AI437">
            <v>0</v>
          </cell>
          <cell r="AJ437">
            <v>26012.6</v>
          </cell>
          <cell r="AK437">
            <v>29621.89</v>
          </cell>
          <cell r="AL437">
            <v>28176.42</v>
          </cell>
          <cell r="AM437">
            <v>63769.66</v>
          </cell>
          <cell r="AN437">
            <v>34276.04</v>
          </cell>
          <cell r="AO437">
            <v>2574.23</v>
          </cell>
          <cell r="AP437">
            <v>67540.070000000007</v>
          </cell>
          <cell r="AQ437">
            <v>94223.15</v>
          </cell>
          <cell r="AR437">
            <v>-54538.32</v>
          </cell>
          <cell r="AS437">
            <v>109525.14</v>
          </cell>
          <cell r="AT437">
            <v>889.54</v>
          </cell>
          <cell r="AU437">
            <v>6512.74</v>
          </cell>
          <cell r="AV437">
            <v>144.33000000000001</v>
          </cell>
          <cell r="AW437">
            <v>277739.28000000003</v>
          </cell>
          <cell r="AX437">
            <v>78537.850000000006</v>
          </cell>
          <cell r="AY437">
            <v>92366.75</v>
          </cell>
          <cell r="AZ437">
            <v>81461.37</v>
          </cell>
          <cell r="BA437">
            <v>-83106.259999999995</v>
          </cell>
          <cell r="BB437">
            <v>229286.68</v>
          </cell>
          <cell r="BC437">
            <v>73789.39</v>
          </cell>
          <cell r="BD437">
            <v>75324.44</v>
          </cell>
          <cell r="BE437">
            <v>77558.559999999998</v>
          </cell>
          <cell r="BF437">
            <v>77403.22</v>
          </cell>
          <cell r="BG437">
            <v>157507.70000000001</v>
          </cell>
          <cell r="BH437">
            <v>80487.7</v>
          </cell>
          <cell r="BI437">
            <v>80153.58</v>
          </cell>
          <cell r="BJ437">
            <v>77357.2</v>
          </cell>
          <cell r="BK437">
            <v>60033.36</v>
          </cell>
          <cell r="BL437">
            <v>75108.36</v>
          </cell>
          <cell r="BM437">
            <v>75647.7</v>
          </cell>
          <cell r="BN437">
            <v>80738.600000000006</v>
          </cell>
          <cell r="BO437">
            <v>75403.45</v>
          </cell>
          <cell r="BP437">
            <v>75166.86</v>
          </cell>
          <cell r="BQ437">
            <v>77013.210000000006</v>
          </cell>
          <cell r="BR437">
            <v>74658.36</v>
          </cell>
          <cell r="BS437">
            <v>77510.62</v>
          </cell>
          <cell r="BT437">
            <v>75736.929999999993</v>
          </cell>
          <cell r="BU437">
            <v>76206.86</v>
          </cell>
          <cell r="BV437">
            <v>75323</v>
          </cell>
          <cell r="BW437">
            <v>76159.63</v>
          </cell>
          <cell r="BX437">
            <v>76488.67</v>
          </cell>
          <cell r="BY437">
            <v>75613.899999999994</v>
          </cell>
          <cell r="BZ437">
            <v>74868.460000000006</v>
          </cell>
          <cell r="CA437">
            <v>75878.070000000007</v>
          </cell>
          <cell r="CB437">
            <v>76544.67</v>
          </cell>
          <cell r="CC437">
            <v>68725.490000000005</v>
          </cell>
          <cell r="CD437">
            <v>49440.9</v>
          </cell>
          <cell r="CE437">
            <v>66950.42</v>
          </cell>
          <cell r="CF437">
            <v>66531.509999999995</v>
          </cell>
          <cell r="CG437">
            <v>62960.08</v>
          </cell>
          <cell r="CH437">
            <v>7368.81</v>
          </cell>
          <cell r="CI437">
            <v>126476.23</v>
          </cell>
          <cell r="CJ437">
            <v>63222.29</v>
          </cell>
          <cell r="CK437">
            <v>62731.43</v>
          </cell>
          <cell r="CL437">
            <v>66923.62</v>
          </cell>
          <cell r="CM437">
            <v>62796.1</v>
          </cell>
          <cell r="CN437">
            <v>66674.960000000006</v>
          </cell>
          <cell r="CO437">
            <v>63362.68</v>
          </cell>
          <cell r="CP437">
            <v>65617.02</v>
          </cell>
          <cell r="CQ437">
            <v>62590.45</v>
          </cell>
          <cell r="CR437">
            <v>63359.73</v>
          </cell>
          <cell r="CS437">
            <v>63379.74</v>
          </cell>
          <cell r="CT437">
            <v>61543.93</v>
          </cell>
          <cell r="CU437">
            <v>100866.23</v>
          </cell>
          <cell r="CV437">
            <v>62482.400000000001</v>
          </cell>
          <cell r="CW437">
            <v>64619.35</v>
          </cell>
          <cell r="CX437">
            <v>61482.35</v>
          </cell>
          <cell r="CY437">
            <v>47749.97</v>
          </cell>
          <cell r="CZ437">
            <v>48170.6</v>
          </cell>
          <cell r="DA437">
            <v>48238.65</v>
          </cell>
          <cell r="DB437">
            <v>35159.08</v>
          </cell>
          <cell r="DC437">
            <v>308.99</v>
          </cell>
          <cell r="DD437">
            <v>3561.78</v>
          </cell>
          <cell r="DE437">
            <v>3082.76</v>
          </cell>
          <cell r="DF437">
            <v>2637.98</v>
          </cell>
          <cell r="DG437">
            <v>2473.5700000000002</v>
          </cell>
        </row>
        <row r="438">
          <cell r="A438" t="str">
            <v>4150</v>
          </cell>
          <cell r="B438">
            <v>9415000</v>
          </cell>
          <cell r="C438" t="str">
            <v>Rev Jobbing Wrk</v>
          </cell>
          <cell r="D438">
            <v>-1875</v>
          </cell>
          <cell r="E438">
            <v>3655</v>
          </cell>
          <cell r="F438">
            <v>-1145</v>
          </cell>
          <cell r="G438">
            <v>-10415</v>
          </cell>
          <cell r="H438">
            <v>1325</v>
          </cell>
          <cell r="I438">
            <v>-1560</v>
          </cell>
          <cell r="J438">
            <v>-1000</v>
          </cell>
          <cell r="K438">
            <v>-42.5</v>
          </cell>
          <cell r="L438">
            <v>-2900</v>
          </cell>
          <cell r="M438">
            <v>-468</v>
          </cell>
          <cell r="N438">
            <v>965.5</v>
          </cell>
          <cell r="O438">
            <v>-75</v>
          </cell>
          <cell r="P438">
            <v>-9126</v>
          </cell>
          <cell r="Q438">
            <v>5641.39</v>
          </cell>
          <cell r="R438">
            <v>-70</v>
          </cell>
          <cell r="S438">
            <v>-73</v>
          </cell>
          <cell r="T438">
            <v>-3135</v>
          </cell>
          <cell r="U438">
            <v>1385</v>
          </cell>
          <cell r="V438">
            <v>-455</v>
          </cell>
          <cell r="W438">
            <v>-780</v>
          </cell>
          <cell r="X438">
            <v>-1772</v>
          </cell>
          <cell r="Y438">
            <v>-640</v>
          </cell>
          <cell r="Z438">
            <v>-75</v>
          </cell>
          <cell r="AA438">
            <v>-1222</v>
          </cell>
          <cell r="AB438">
            <v>-255</v>
          </cell>
          <cell r="AC438">
            <v>-850</v>
          </cell>
          <cell r="AD438">
            <v>-585</v>
          </cell>
          <cell r="AE438">
            <v>-510</v>
          </cell>
          <cell r="AF438">
            <v>-2080</v>
          </cell>
          <cell r="AG438">
            <v>-5455</v>
          </cell>
          <cell r="AH438">
            <v>-875</v>
          </cell>
          <cell r="AI438">
            <v>-810</v>
          </cell>
          <cell r="AJ438">
            <v>125.77</v>
          </cell>
          <cell r="AK438">
            <v>-4210</v>
          </cell>
          <cell r="AL438">
            <v>0</v>
          </cell>
          <cell r="AM438">
            <v>2335</v>
          </cell>
          <cell r="AN438">
            <v>0</v>
          </cell>
          <cell r="AO438">
            <v>0</v>
          </cell>
          <cell r="AP438">
            <v>0</v>
          </cell>
          <cell r="AQ438">
            <v>0</v>
          </cell>
          <cell r="AR438">
            <v>0</v>
          </cell>
          <cell r="AS438">
            <v>-260</v>
          </cell>
          <cell r="AT438">
            <v>0</v>
          </cell>
          <cell r="AU438">
            <v>-140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cell r="BJ438"/>
          <cell r="BK438"/>
          <cell r="BL438"/>
          <cell r="BM438"/>
          <cell r="BN438"/>
          <cell r="BO438"/>
          <cell r="BP438"/>
          <cell r="BQ438"/>
          <cell r="BR438">
            <v>0</v>
          </cell>
          <cell r="BS438">
            <v>0</v>
          </cell>
          <cell r="BT438">
            <v>1564.43</v>
          </cell>
          <cell r="BU438">
            <v>0</v>
          </cell>
          <cell r="BV438">
            <v>1112.5899999999999</v>
          </cell>
          <cell r="BW438">
            <v>-1895.21</v>
          </cell>
          <cell r="BX438">
            <v>-271.35000000000002</v>
          </cell>
          <cell r="BY438">
            <v>-4107.51</v>
          </cell>
          <cell r="BZ438">
            <v>319.36</v>
          </cell>
          <cell r="CA438">
            <v>-4678.4799999999996</v>
          </cell>
          <cell r="CB438">
            <v>-121.46</v>
          </cell>
          <cell r="CC438">
            <v>0</v>
          </cell>
          <cell r="CD438">
            <v>406.16</v>
          </cell>
          <cell r="CE438">
            <v>-6245.23</v>
          </cell>
          <cell r="CF438">
            <v>297.63</v>
          </cell>
          <cell r="CG438">
            <v>16055.95</v>
          </cell>
          <cell r="CH438">
            <v>262.72000000000003</v>
          </cell>
          <cell r="CI438">
            <v>209.41</v>
          </cell>
          <cell r="CJ438">
            <v>0</v>
          </cell>
          <cell r="CK438">
            <v>0</v>
          </cell>
          <cell r="CL438">
            <v>560.01</v>
          </cell>
          <cell r="CM438">
            <v>389.45</v>
          </cell>
          <cell r="CN438">
            <v>366.93</v>
          </cell>
          <cell r="CO438">
            <v>405.87</v>
          </cell>
          <cell r="CP438">
            <v>251.35</v>
          </cell>
          <cell r="CQ438">
            <v>723.79</v>
          </cell>
          <cell r="CR438">
            <v>332.88</v>
          </cell>
          <cell r="CS438">
            <v>0</v>
          </cell>
          <cell r="CT438">
            <v>647.57000000000005</v>
          </cell>
          <cell r="CU438">
            <v>228.43</v>
          </cell>
          <cell r="CV438">
            <v>64.459999999999994</v>
          </cell>
          <cell r="CW438">
            <v>268.54000000000002</v>
          </cell>
          <cell r="CX438">
            <v>344.6</v>
          </cell>
          <cell r="CY438">
            <v>401.07</v>
          </cell>
          <cell r="CZ438">
            <v>0</v>
          </cell>
          <cell r="DA438">
            <v>461.43</v>
          </cell>
          <cell r="DB438">
            <v>379.61</v>
          </cell>
          <cell r="DC438">
            <v>0</v>
          </cell>
          <cell r="DD438">
            <v>0</v>
          </cell>
          <cell r="DE438">
            <v>0</v>
          </cell>
          <cell r="DF438">
            <v>0</v>
          </cell>
          <cell r="DG438">
            <v>-16490.150000000001</v>
          </cell>
        </row>
        <row r="439">
          <cell r="A439" t="str">
            <v>4160</v>
          </cell>
          <cell r="B439">
            <v>9416000</v>
          </cell>
          <cell r="C439" t="str">
            <v>Csts Jobbing Wrk</v>
          </cell>
          <cell r="D439">
            <v>3539.47</v>
          </cell>
          <cell r="E439">
            <v>-16307.33</v>
          </cell>
          <cell r="F439">
            <v>14206.66</v>
          </cell>
          <cell r="G439">
            <v>14234.5</v>
          </cell>
          <cell r="H439">
            <v>9754.2800000000007</v>
          </cell>
          <cell r="I439">
            <v>4514.58</v>
          </cell>
          <cell r="J439">
            <v>10090.469999999999</v>
          </cell>
          <cell r="K439">
            <v>-9600.18</v>
          </cell>
          <cell r="L439">
            <v>-7703.73</v>
          </cell>
          <cell r="M439">
            <v>-2399.52</v>
          </cell>
          <cell r="N439">
            <v>394.72</v>
          </cell>
          <cell r="O439">
            <v>124374.7</v>
          </cell>
          <cell r="P439">
            <v>2229.9299999999998</v>
          </cell>
          <cell r="Q439">
            <v>2334.5100000000002</v>
          </cell>
          <cell r="R439">
            <v>-5763.95</v>
          </cell>
          <cell r="S439">
            <v>-4675.8900000000003</v>
          </cell>
          <cell r="T439">
            <v>1634.73</v>
          </cell>
          <cell r="U439">
            <v>2942.74</v>
          </cell>
          <cell r="V439">
            <v>-18335.62</v>
          </cell>
          <cell r="W439">
            <v>1029.46</v>
          </cell>
          <cell r="X439">
            <v>1176.81</v>
          </cell>
          <cell r="Y439">
            <v>-3342.67</v>
          </cell>
          <cell r="Z439">
            <v>-16837.87</v>
          </cell>
          <cell r="AA439">
            <v>92205.06</v>
          </cell>
          <cell r="AB439">
            <v>1042.7</v>
          </cell>
          <cell r="AC439">
            <v>1131.72</v>
          </cell>
          <cell r="AD439">
            <v>-12506.92</v>
          </cell>
          <cell r="AE439">
            <v>-1657.83</v>
          </cell>
          <cell r="AF439">
            <v>0</v>
          </cell>
          <cell r="AG439">
            <v>-400</v>
          </cell>
          <cell r="AH439">
            <v>-1908.52</v>
          </cell>
          <cell r="AI439">
            <v>882.52</v>
          </cell>
          <cell r="AJ439">
            <v>95.73</v>
          </cell>
          <cell r="AK439">
            <v>0</v>
          </cell>
          <cell r="AL439">
            <v>400.81</v>
          </cell>
          <cell r="AM439">
            <v>63620</v>
          </cell>
          <cell r="AN439">
            <v>-125</v>
          </cell>
          <cell r="AO439">
            <v>0</v>
          </cell>
          <cell r="AP439">
            <v>-26689.71</v>
          </cell>
          <cell r="AQ439">
            <v>0</v>
          </cell>
          <cell r="AR439">
            <v>0</v>
          </cell>
          <cell r="AS439">
            <v>-3879.98</v>
          </cell>
          <cell r="AT439">
            <v>764.25</v>
          </cell>
          <cell r="AU439">
            <v>249.83</v>
          </cell>
          <cell r="AV439">
            <v>44.61</v>
          </cell>
          <cell r="AW439">
            <v>28.42</v>
          </cell>
          <cell r="AX439">
            <v>710.23</v>
          </cell>
          <cell r="AY439">
            <v>-37947</v>
          </cell>
          <cell r="AZ439">
            <v>36.43</v>
          </cell>
          <cell r="BA439">
            <v>-14279.87</v>
          </cell>
          <cell r="BB439">
            <v>-2460.94</v>
          </cell>
          <cell r="BC439">
            <v>-22589.25</v>
          </cell>
          <cell r="BD439">
            <v>32.590000000000003</v>
          </cell>
          <cell r="BE439">
            <v>-3943.19</v>
          </cell>
          <cell r="BF439">
            <v>-5781.88</v>
          </cell>
          <cell r="BG439">
            <v>-7777.3</v>
          </cell>
          <cell r="BH439">
            <v>-5393.89</v>
          </cell>
          <cell r="BI439">
            <v>239.08</v>
          </cell>
          <cell r="BJ439">
            <v>218.27</v>
          </cell>
          <cell r="BK439">
            <v>316.47000000000003</v>
          </cell>
          <cell r="BL439">
            <v>753.97</v>
          </cell>
          <cell r="BM439">
            <v>-3809.22</v>
          </cell>
          <cell r="BN439">
            <v>115.45</v>
          </cell>
          <cell r="BO439">
            <v>145.88999999999999</v>
          </cell>
          <cell r="BP439">
            <v>-5830.38</v>
          </cell>
          <cell r="BQ439">
            <v>128.44</v>
          </cell>
          <cell r="BR439">
            <v>275.52</v>
          </cell>
          <cell r="BS439">
            <v>-571.84</v>
          </cell>
          <cell r="BT439">
            <v>156.44</v>
          </cell>
          <cell r="BU439">
            <v>-3437.29</v>
          </cell>
          <cell r="BV439">
            <v>375.27</v>
          </cell>
          <cell r="BW439">
            <v>186.41</v>
          </cell>
          <cell r="BX439">
            <v>573.27</v>
          </cell>
          <cell r="BY439">
            <v>1194.47</v>
          </cell>
          <cell r="BZ439">
            <v>516.41999999999996</v>
          </cell>
          <cell r="CA439">
            <v>471.07</v>
          </cell>
          <cell r="CB439">
            <v>2559.56</v>
          </cell>
          <cell r="CC439">
            <v>-3701.68</v>
          </cell>
          <cell r="CD439">
            <v>221.82</v>
          </cell>
          <cell r="CE439">
            <v>272.27</v>
          </cell>
          <cell r="CF439">
            <v>381.97</v>
          </cell>
          <cell r="CG439">
            <v>962.02</v>
          </cell>
          <cell r="CH439">
            <v>602.87</v>
          </cell>
          <cell r="CI439">
            <v>3886.81</v>
          </cell>
          <cell r="CJ439">
            <v>2667.96</v>
          </cell>
          <cell r="CK439">
            <v>2689.41</v>
          </cell>
          <cell r="CL439">
            <v>1819.43</v>
          </cell>
          <cell r="CM439">
            <v>-6854.96</v>
          </cell>
          <cell r="CN439">
            <v>225.86</v>
          </cell>
          <cell r="CO439">
            <v>1238.1600000000001</v>
          </cell>
          <cell r="CP439">
            <v>1080.22</v>
          </cell>
          <cell r="CQ439">
            <v>932.52</v>
          </cell>
          <cell r="CR439">
            <v>2309.46</v>
          </cell>
          <cell r="CS439">
            <v>1974.72</v>
          </cell>
          <cell r="CT439">
            <v>2411.87</v>
          </cell>
          <cell r="CU439">
            <v>2038.32</v>
          </cell>
          <cell r="CV439">
            <v>1771.05</v>
          </cell>
          <cell r="CW439">
            <v>1001.39</v>
          </cell>
          <cell r="CX439">
            <v>1149.2</v>
          </cell>
          <cell r="CY439">
            <v>342.76</v>
          </cell>
          <cell r="CZ439">
            <v>377.86</v>
          </cell>
          <cell r="DA439">
            <v>2135.5100000000002</v>
          </cell>
          <cell r="DB439">
            <v>48.11</v>
          </cell>
          <cell r="DC439">
            <v>792.49</v>
          </cell>
          <cell r="DD439">
            <v>74.489999999999995</v>
          </cell>
          <cell r="DE439">
            <v>1316.14</v>
          </cell>
          <cell r="DF439">
            <v>3478.96</v>
          </cell>
          <cell r="DG439">
            <v>-8248.69</v>
          </cell>
        </row>
        <row r="440">
          <cell r="A440" t="str">
            <v>4181</v>
          </cell>
          <cell r="B440">
            <v>9418100</v>
          </cell>
          <cell r="C440" t="str">
            <v>Equity Earn Subs</v>
          </cell>
          <cell r="D440">
            <v>-214296.28</v>
          </cell>
          <cell r="E440">
            <v>-330590.94</v>
          </cell>
          <cell r="F440">
            <v>-206491.26</v>
          </cell>
          <cell r="G440">
            <v>-280856.64</v>
          </cell>
          <cell r="H440">
            <v>-178527.23</v>
          </cell>
          <cell r="I440">
            <v>-262447.71999999997</v>
          </cell>
          <cell r="J440">
            <v>-240575.55</v>
          </cell>
          <cell r="K440">
            <v>-197832.04</v>
          </cell>
          <cell r="L440">
            <v>-68753.320000000007</v>
          </cell>
          <cell r="M440">
            <v>-294246.26</v>
          </cell>
          <cell r="N440">
            <v>-168347.11</v>
          </cell>
          <cell r="O440">
            <v>-192880.57</v>
          </cell>
          <cell r="P440">
            <v>-390775.07</v>
          </cell>
          <cell r="Q440">
            <v>-210884.69</v>
          </cell>
          <cell r="R440">
            <v>-150763.29</v>
          </cell>
          <cell r="S440">
            <v>-117072.92</v>
          </cell>
          <cell r="T440">
            <v>-224359.7</v>
          </cell>
          <cell r="U440">
            <v>-216294.17</v>
          </cell>
          <cell r="V440">
            <v>-152920.16</v>
          </cell>
          <cell r="W440">
            <v>-171043.58</v>
          </cell>
          <cell r="X440">
            <v>-223338.23999999999</v>
          </cell>
          <cell r="Y440">
            <v>-130233.48</v>
          </cell>
          <cell r="Z440">
            <v>-190346.84</v>
          </cell>
          <cell r="AA440">
            <v>-703834.01</v>
          </cell>
          <cell r="AB440">
            <v>-296280.46000000002</v>
          </cell>
          <cell r="AC440">
            <v>-362928.71</v>
          </cell>
          <cell r="AD440">
            <v>-102655.97</v>
          </cell>
          <cell r="AE440">
            <v>-122065.81</v>
          </cell>
          <cell r="AF440">
            <v>-290536.36</v>
          </cell>
          <cell r="AG440">
            <v>-148831.98000000001</v>
          </cell>
          <cell r="AH440">
            <v>-214871.25</v>
          </cell>
          <cell r="AI440">
            <v>-277765.40000000002</v>
          </cell>
          <cell r="AJ440">
            <v>-180270.99</v>
          </cell>
          <cell r="AK440">
            <v>-769396.37</v>
          </cell>
          <cell r="AL440">
            <v>-202984.49</v>
          </cell>
          <cell r="AM440">
            <v>-221317.04</v>
          </cell>
          <cell r="AN440">
            <v>-353932.4</v>
          </cell>
          <cell r="AO440">
            <v>-308136.26</v>
          </cell>
          <cell r="AP440">
            <v>-287169.15000000002</v>
          </cell>
          <cell r="AQ440">
            <v>-146968.54999999999</v>
          </cell>
          <cell r="AR440">
            <v>-331963.59000000003</v>
          </cell>
          <cell r="AS440">
            <v>153361.17000000001</v>
          </cell>
          <cell r="AT440">
            <v>-293256.39</v>
          </cell>
          <cell r="AU440">
            <v>-142790.04999999999</v>
          </cell>
          <cell r="AV440">
            <v>-297970.53000000003</v>
          </cell>
          <cell r="AW440">
            <v>-245610.76</v>
          </cell>
          <cell r="AX440">
            <v>-341556.85</v>
          </cell>
          <cell r="AY440">
            <v>-549068.92000000004</v>
          </cell>
          <cell r="AZ440">
            <v>-427265.75</v>
          </cell>
          <cell r="BA440">
            <v>-414555.12</v>
          </cell>
          <cell r="BB440">
            <v>-112602.5</v>
          </cell>
          <cell r="BC440">
            <v>-506278.72</v>
          </cell>
          <cell r="BD440">
            <v>-262049.55</v>
          </cell>
          <cell r="BE440">
            <v>-222660.19</v>
          </cell>
          <cell r="BF440">
            <v>-289543.83</v>
          </cell>
          <cell r="BG440">
            <v>-189620.79</v>
          </cell>
          <cell r="BH440">
            <v>-174472.46</v>
          </cell>
          <cell r="BI440">
            <v>-253677.03</v>
          </cell>
          <cell r="BJ440">
            <v>-242731.81</v>
          </cell>
          <cell r="BK440">
            <v>-417337.17</v>
          </cell>
          <cell r="BL440">
            <v>-256648.59</v>
          </cell>
          <cell r="BM440">
            <v>-285523.38</v>
          </cell>
          <cell r="BN440">
            <v>-461128.74</v>
          </cell>
          <cell r="BO440">
            <v>-417107.02</v>
          </cell>
          <cell r="BP440">
            <v>-323818.81</v>
          </cell>
          <cell r="BQ440">
            <v>-234534.32</v>
          </cell>
          <cell r="BR440">
            <v>-338930.12</v>
          </cell>
          <cell r="BS440">
            <v>-459463.36</v>
          </cell>
          <cell r="BT440">
            <v>-219164.33</v>
          </cell>
          <cell r="BU440">
            <v>-197590.86</v>
          </cell>
          <cell r="BV440">
            <v>-194188.46</v>
          </cell>
          <cell r="BW440">
            <v>-228792.44</v>
          </cell>
          <cell r="BX440">
            <v>-126272.64</v>
          </cell>
          <cell r="BY440">
            <v>-424898.82</v>
          </cell>
          <cell r="BZ440">
            <v>-93899.42</v>
          </cell>
          <cell r="CA440">
            <v>-334447.24</v>
          </cell>
          <cell r="CB440">
            <v>-410336.04</v>
          </cell>
          <cell r="CC440">
            <v>-224341.44</v>
          </cell>
          <cell r="CD440">
            <v>-188439.92</v>
          </cell>
          <cell r="CE440">
            <v>-311341.21000000002</v>
          </cell>
          <cell r="CF440">
            <v>-239230.3</v>
          </cell>
          <cell r="CG440">
            <v>-350793.42</v>
          </cell>
          <cell r="CH440">
            <v>-209032.59</v>
          </cell>
          <cell r="CI440">
            <v>-367048.31</v>
          </cell>
          <cell r="CJ440">
            <v>-334134.96999999997</v>
          </cell>
          <cell r="CK440">
            <v>-387862.25</v>
          </cell>
          <cell r="CL440">
            <v>-275361.32</v>
          </cell>
          <cell r="CM440">
            <v>-331471.51</v>
          </cell>
          <cell r="CN440">
            <v>-390513.08</v>
          </cell>
          <cell r="CO440">
            <v>-271490.58</v>
          </cell>
          <cell r="CP440">
            <v>-274120.75</v>
          </cell>
          <cell r="CQ440">
            <v>-337068.29</v>
          </cell>
          <cell r="CR440">
            <v>-295827.65000000002</v>
          </cell>
          <cell r="CS440">
            <v>-313747.78000000003</v>
          </cell>
          <cell r="CT440">
            <v>-273112.37</v>
          </cell>
          <cell r="CU440">
            <v>-159444.92000000001</v>
          </cell>
          <cell r="CV440">
            <v>-144996.4</v>
          </cell>
          <cell r="CW440">
            <v>-253318.71</v>
          </cell>
          <cell r="CX440">
            <v>-473623.69</v>
          </cell>
          <cell r="CY440">
            <v>-257376.17</v>
          </cell>
          <cell r="CZ440">
            <v>-276005.40999999997</v>
          </cell>
          <cell r="DA440">
            <v>-222974.37</v>
          </cell>
          <cell r="DB440">
            <v>-436612.73</v>
          </cell>
          <cell r="DC440">
            <v>-287987.53999999998</v>
          </cell>
          <cell r="DD440">
            <v>-337555.77</v>
          </cell>
          <cell r="DE440">
            <v>-251499.69</v>
          </cell>
          <cell r="DF440">
            <v>-300104.23</v>
          </cell>
          <cell r="DG440">
            <v>-13128.95</v>
          </cell>
        </row>
        <row r="441">
          <cell r="A441" t="str">
            <v>4190</v>
          </cell>
          <cell r="B441">
            <v>9419000</v>
          </cell>
          <cell r="C441" t="str">
            <v>Int Divid Income</v>
          </cell>
          <cell r="D441">
            <v>-33105.9</v>
          </cell>
          <cell r="E441">
            <v>-60160.57</v>
          </cell>
          <cell r="F441">
            <v>-16942.79</v>
          </cell>
          <cell r="G441">
            <v>-13700.03</v>
          </cell>
          <cell r="H441">
            <v>-22433.86</v>
          </cell>
          <cell r="I441">
            <v>-34601</v>
          </cell>
          <cell r="J441">
            <v>-13577.67</v>
          </cell>
          <cell r="K441">
            <v>-15638</v>
          </cell>
          <cell r="L441">
            <v>-15354.58</v>
          </cell>
          <cell r="M441">
            <v>-17160.03</v>
          </cell>
          <cell r="N441">
            <v>-11242.67</v>
          </cell>
          <cell r="O441">
            <v>-30143.55</v>
          </cell>
          <cell r="P441">
            <v>-25287.87</v>
          </cell>
          <cell r="Q441">
            <v>-18621.48</v>
          </cell>
          <cell r="R441">
            <v>-20659.18</v>
          </cell>
          <cell r="S441">
            <v>-25139.11</v>
          </cell>
          <cell r="T441">
            <v>-45226.83</v>
          </cell>
          <cell r="U441">
            <v>-46562.080000000002</v>
          </cell>
          <cell r="V441">
            <v>-13445.99</v>
          </cell>
          <cell r="W441">
            <v>-21691.13</v>
          </cell>
          <cell r="X441">
            <v>-16325.54</v>
          </cell>
          <cell r="Y441">
            <v>-18294.91</v>
          </cell>
          <cell r="Z441">
            <v>-24058.92</v>
          </cell>
          <cell r="AA441">
            <v>-21149.64</v>
          </cell>
          <cell r="AB441">
            <v>-17840.47</v>
          </cell>
          <cell r="AC441">
            <v>-68388.09</v>
          </cell>
          <cell r="AD441">
            <v>-25117.439999999999</v>
          </cell>
          <cell r="AE441">
            <v>-36773.22</v>
          </cell>
          <cell r="AF441">
            <v>-38605.68</v>
          </cell>
          <cell r="AG441">
            <v>-48091.37</v>
          </cell>
          <cell r="AH441">
            <v>-53566.52</v>
          </cell>
          <cell r="AI441">
            <v>-41569.760000000002</v>
          </cell>
          <cell r="AJ441">
            <v>-29858.92</v>
          </cell>
          <cell r="AK441">
            <v>-24046.71</v>
          </cell>
          <cell r="AL441">
            <v>-34613.72</v>
          </cell>
          <cell r="AM441">
            <v>-41797.339999999997</v>
          </cell>
          <cell r="AN441">
            <v>-28006.81</v>
          </cell>
          <cell r="AO441">
            <v>-37984.57</v>
          </cell>
          <cell r="AP441">
            <v>-31193.17</v>
          </cell>
          <cell r="AQ441">
            <v>-30066.84</v>
          </cell>
          <cell r="AR441">
            <v>-9809.65</v>
          </cell>
          <cell r="AS441">
            <v>-20994.17</v>
          </cell>
          <cell r="AT441">
            <v>-1754.21</v>
          </cell>
          <cell r="AU441">
            <v>-5124.66</v>
          </cell>
          <cell r="AV441">
            <v>-1872.7</v>
          </cell>
          <cell r="AW441">
            <v>-2250.67</v>
          </cell>
          <cell r="AX441">
            <v>-653.58000000000004</v>
          </cell>
          <cell r="AY441">
            <v>-722.53</v>
          </cell>
          <cell r="AZ441">
            <v>-5980.14</v>
          </cell>
          <cell r="BA441">
            <v>-683.95</v>
          </cell>
          <cell r="BB441">
            <v>-593.34</v>
          </cell>
          <cell r="BC441">
            <v>-1242.23</v>
          </cell>
          <cell r="BD441">
            <v>-3325.19</v>
          </cell>
          <cell r="BE441">
            <v>-823.95</v>
          </cell>
          <cell r="BF441">
            <v>61.04</v>
          </cell>
          <cell r="BG441">
            <v>-774.42</v>
          </cell>
          <cell r="BH441">
            <v>-869.08</v>
          </cell>
          <cell r="BI441">
            <v>123.42</v>
          </cell>
          <cell r="BJ441">
            <v>-859.74</v>
          </cell>
          <cell r="BK441">
            <v>-1245.73</v>
          </cell>
          <cell r="BL441">
            <v>-1386.14</v>
          </cell>
          <cell r="BM441">
            <v>-1039.8</v>
          </cell>
          <cell r="BN441">
            <v>-926.46</v>
          </cell>
          <cell r="BO441">
            <v>-955.99</v>
          </cell>
          <cell r="BP441">
            <v>-1150.17</v>
          </cell>
          <cell r="BQ441">
            <v>-3577.39</v>
          </cell>
          <cell r="BR441">
            <v>-3981.29</v>
          </cell>
          <cell r="BS441">
            <v>-3921.99</v>
          </cell>
          <cell r="BT441">
            <v>-3048.89</v>
          </cell>
          <cell r="BU441">
            <v>-21.6</v>
          </cell>
          <cell r="BV441">
            <v>-5046.87</v>
          </cell>
          <cell r="BW441">
            <v>-1393.46</v>
          </cell>
          <cell r="BX441">
            <v>-5829.61</v>
          </cell>
          <cell r="BY441">
            <v>-5336.06</v>
          </cell>
          <cell r="BZ441">
            <v>-13624.8</v>
          </cell>
          <cell r="CA441">
            <v>-48706.879999999997</v>
          </cell>
          <cell r="CB441">
            <v>-1187.4000000000001</v>
          </cell>
          <cell r="CC441">
            <v>-991.75</v>
          </cell>
          <cell r="CD441">
            <v>-897.63</v>
          </cell>
          <cell r="CE441">
            <v>-1009.82</v>
          </cell>
          <cell r="CF441">
            <v>-815.56</v>
          </cell>
          <cell r="CG441">
            <v>-749.87</v>
          </cell>
          <cell r="CH441">
            <v>-902.24</v>
          </cell>
          <cell r="CI441">
            <v>-992.81</v>
          </cell>
          <cell r="CJ441">
            <v>-10589.77</v>
          </cell>
          <cell r="CK441">
            <v>-10135.75</v>
          </cell>
          <cell r="CL441">
            <v>-9969.0400000000009</v>
          </cell>
          <cell r="CM441">
            <v>-9850.0300000000007</v>
          </cell>
          <cell r="CN441">
            <v>-14402.36</v>
          </cell>
          <cell r="CO441">
            <v>-5189.09</v>
          </cell>
          <cell r="CP441">
            <v>-3312.69</v>
          </cell>
          <cell r="CQ441">
            <v>-3259.81</v>
          </cell>
          <cell r="CR441">
            <v>-2984.07</v>
          </cell>
          <cell r="CS441">
            <v>-3102.86</v>
          </cell>
          <cell r="CT441">
            <v>-3158.87</v>
          </cell>
          <cell r="CU441">
            <v>-3669.28</v>
          </cell>
          <cell r="CV441">
            <v>-4131.33</v>
          </cell>
          <cell r="CW441">
            <v>-3504.64</v>
          </cell>
          <cell r="CX441">
            <v>-9107.92</v>
          </cell>
          <cell r="CY441">
            <v>-12370.84</v>
          </cell>
          <cell r="CZ441">
            <v>-14123.49</v>
          </cell>
          <cell r="DA441">
            <v>-18412.560000000001</v>
          </cell>
          <cell r="DB441">
            <v>-24298.01</v>
          </cell>
          <cell r="DC441">
            <v>-36020.74</v>
          </cell>
          <cell r="DD441">
            <v>-47039.45</v>
          </cell>
          <cell r="DE441">
            <v>-56763.22</v>
          </cell>
          <cell r="DF441">
            <v>-52515.59</v>
          </cell>
          <cell r="DG441">
            <v>-59599.09</v>
          </cell>
        </row>
        <row r="442">
          <cell r="A442" t="str">
            <v>4191</v>
          </cell>
          <cell r="B442">
            <v>9419100</v>
          </cell>
          <cell r="C442" t="str">
            <v>AFUDC Exp</v>
          </cell>
          <cell r="D442"/>
          <cell r="E442"/>
          <cell r="F442"/>
          <cell r="G442"/>
          <cell r="H442"/>
          <cell r="I442"/>
          <cell r="J442"/>
          <cell r="K442"/>
          <cell r="L442"/>
          <cell r="M442"/>
          <cell r="N442"/>
          <cell r="O442"/>
          <cell r="P442"/>
          <cell r="Q442"/>
          <cell r="R442"/>
          <cell r="S442"/>
          <cell r="T442"/>
          <cell r="U442"/>
          <cell r="V442"/>
          <cell r="W442"/>
          <cell r="X442"/>
          <cell r="Y442"/>
          <cell r="Z442"/>
          <cell r="AA442"/>
          <cell r="AB442"/>
          <cell r="AC442"/>
          <cell r="AD442"/>
          <cell r="AE442"/>
          <cell r="AF442"/>
          <cell r="AG442"/>
          <cell r="AH442"/>
          <cell r="AI442"/>
          <cell r="AJ442"/>
          <cell r="AK442"/>
          <cell r="AL442"/>
          <cell r="AM442"/>
          <cell r="AN442"/>
          <cell r="AO442"/>
          <cell r="AP442"/>
          <cell r="AQ442"/>
          <cell r="AR442"/>
          <cell r="AS442"/>
          <cell r="AT442"/>
          <cell r="AU442"/>
          <cell r="AV442"/>
          <cell r="AW442"/>
          <cell r="AX442"/>
          <cell r="AY442"/>
          <cell r="AZ442"/>
          <cell r="BA442"/>
          <cell r="BB442"/>
          <cell r="BC442"/>
          <cell r="BD442"/>
          <cell r="BE442"/>
          <cell r="BF442"/>
          <cell r="BG442"/>
          <cell r="BH442"/>
          <cell r="BI442"/>
          <cell r="BJ442"/>
          <cell r="BK442"/>
          <cell r="BL442"/>
          <cell r="BM442"/>
          <cell r="BN442"/>
          <cell r="BO442"/>
          <cell r="BP442"/>
          <cell r="BQ442"/>
          <cell r="BR442">
            <v>0</v>
          </cell>
          <cell r="BS442">
            <v>0</v>
          </cell>
          <cell r="BT442">
            <v>-88143.23</v>
          </cell>
          <cell r="BU442">
            <v>-205245.14</v>
          </cell>
          <cell r="BV442">
            <v>-78293.710000000006</v>
          </cell>
          <cell r="BW442">
            <v>-98731.87</v>
          </cell>
          <cell r="BX442">
            <v>-128109.59</v>
          </cell>
          <cell r="BY442">
            <v>-160068.20000000001</v>
          </cell>
          <cell r="BZ442">
            <v>-187039.09</v>
          </cell>
          <cell r="CA442">
            <v>-212810.96</v>
          </cell>
          <cell r="CB442">
            <v>-258036.43</v>
          </cell>
          <cell r="CC442">
            <v>-295038.21000000002</v>
          </cell>
          <cell r="CD442">
            <v>-317432.21000000002</v>
          </cell>
          <cell r="CE442">
            <v>-354208</v>
          </cell>
          <cell r="CF442">
            <v>-396170.73</v>
          </cell>
          <cell r="CG442">
            <v>-313400.96999999997</v>
          </cell>
          <cell r="CH442">
            <v>-231389.87</v>
          </cell>
          <cell r="CI442">
            <v>-267899.33</v>
          </cell>
          <cell r="CJ442">
            <v>-304757.78999999998</v>
          </cell>
          <cell r="CK442">
            <v>-370593.85</v>
          </cell>
          <cell r="CL442">
            <v>-389947.17</v>
          </cell>
          <cell r="CM442">
            <v>-326242.06</v>
          </cell>
          <cell r="CN442">
            <v>-221915.58</v>
          </cell>
          <cell r="CO442">
            <v>-230325.17</v>
          </cell>
          <cell r="CP442">
            <v>-249458.15</v>
          </cell>
          <cell r="CQ442">
            <v>-280763.06</v>
          </cell>
          <cell r="CR442">
            <v>-307772.68</v>
          </cell>
          <cell r="CS442">
            <v>-330307.34000000003</v>
          </cell>
          <cell r="CT442">
            <v>-118962.32</v>
          </cell>
          <cell r="CU442">
            <v>-163717.22</v>
          </cell>
          <cell r="CV442">
            <v>-180627.20000000001</v>
          </cell>
          <cell r="CW442">
            <v>-197146.68</v>
          </cell>
          <cell r="CX442">
            <v>-214283.86</v>
          </cell>
          <cell r="CY442">
            <v>-235931.8</v>
          </cell>
          <cell r="CZ442">
            <v>-260884.35</v>
          </cell>
          <cell r="DA442">
            <v>-291434.89</v>
          </cell>
          <cell r="DB442">
            <v>-325385.08</v>
          </cell>
          <cell r="DC442">
            <v>-349541.75</v>
          </cell>
          <cell r="DD442">
            <v>-370307.86</v>
          </cell>
          <cell r="DE442">
            <v>-167646.16</v>
          </cell>
          <cell r="DF442">
            <v>-245397.82</v>
          </cell>
          <cell r="DG442">
            <v>-265768.27</v>
          </cell>
        </row>
        <row r="443">
          <cell r="A443" t="str">
            <v>4210</v>
          </cell>
          <cell r="B443">
            <v>9421000</v>
          </cell>
          <cell r="C443" t="str">
            <v>Misc NonOper Inc</v>
          </cell>
          <cell r="D443">
            <v>-150</v>
          </cell>
          <cell r="E443">
            <v>-6994.39</v>
          </cell>
          <cell r="F443">
            <v>-60</v>
          </cell>
          <cell r="G443">
            <v>-168</v>
          </cell>
          <cell r="H443">
            <v>-158</v>
          </cell>
          <cell r="I443">
            <v>-120</v>
          </cell>
          <cell r="J443">
            <v>-142</v>
          </cell>
          <cell r="K443">
            <v>-138</v>
          </cell>
          <cell r="L443">
            <v>-136</v>
          </cell>
          <cell r="M443">
            <v>215.02</v>
          </cell>
          <cell r="N443">
            <v>-186</v>
          </cell>
          <cell r="O443">
            <v>-226</v>
          </cell>
          <cell r="P443">
            <v>-257</v>
          </cell>
          <cell r="Q443">
            <v>-244</v>
          </cell>
          <cell r="R443">
            <v>-191</v>
          </cell>
          <cell r="S443">
            <v>-177</v>
          </cell>
          <cell r="T443">
            <v>-232</v>
          </cell>
          <cell r="U443">
            <v>-203</v>
          </cell>
          <cell r="V443">
            <v>-200</v>
          </cell>
          <cell r="W443">
            <v>-223</v>
          </cell>
          <cell r="X443">
            <v>-246</v>
          </cell>
          <cell r="Y443">
            <v>-353</v>
          </cell>
          <cell r="Z443">
            <v>-672</v>
          </cell>
          <cell r="AA443">
            <v>-689484.31</v>
          </cell>
          <cell r="AB443">
            <v>-2208</v>
          </cell>
          <cell r="AC443">
            <v>-1354</v>
          </cell>
          <cell r="AD443">
            <v>-920</v>
          </cell>
          <cell r="AE443">
            <v>-839</v>
          </cell>
          <cell r="AF443">
            <v>-735</v>
          </cell>
          <cell r="AG443">
            <v>-784</v>
          </cell>
          <cell r="AH443">
            <v>-861</v>
          </cell>
          <cell r="AI443">
            <v>-215412</v>
          </cell>
          <cell r="AJ443">
            <v>-939</v>
          </cell>
          <cell r="AK443">
            <v>-733292.85</v>
          </cell>
          <cell r="AL443">
            <v>-1090</v>
          </cell>
          <cell r="AM443">
            <v>-1346.9</v>
          </cell>
          <cell r="AN443">
            <v>-1663</v>
          </cell>
          <cell r="AO443">
            <v>-1575</v>
          </cell>
          <cell r="AP443">
            <v>-1792.1</v>
          </cell>
          <cell r="AQ443">
            <v>-202</v>
          </cell>
          <cell r="AR443">
            <v>-3836</v>
          </cell>
          <cell r="AS443">
            <v>-2294</v>
          </cell>
          <cell r="AT443">
            <v>-2480</v>
          </cell>
          <cell r="AU443">
            <v>-2612</v>
          </cell>
          <cell r="AV443">
            <v>-2668</v>
          </cell>
          <cell r="AW443">
            <v>-4283.83</v>
          </cell>
          <cell r="AX443">
            <v>-8063.17</v>
          </cell>
          <cell r="AY443">
            <v>-9906</v>
          </cell>
          <cell r="AZ443">
            <v>-14551.86</v>
          </cell>
          <cell r="BA443">
            <v>-6591.1</v>
          </cell>
          <cell r="BB443">
            <v>-4896.34</v>
          </cell>
          <cell r="BC443">
            <v>31623.62</v>
          </cell>
          <cell r="BD443">
            <v>-7936.51</v>
          </cell>
          <cell r="BE443">
            <v>-9480.34</v>
          </cell>
          <cell r="BF443">
            <v>-10662.88</v>
          </cell>
          <cell r="BG443">
            <v>-10848.93</v>
          </cell>
          <cell r="BH443">
            <v>-18177.66</v>
          </cell>
          <cell r="BI443">
            <v>10056.18</v>
          </cell>
          <cell r="BJ443">
            <v>-15054.92</v>
          </cell>
          <cell r="BK443">
            <v>-2072.3200000000002</v>
          </cell>
          <cell r="BL443">
            <v>-24884.45</v>
          </cell>
          <cell r="BM443">
            <v>-12638.17</v>
          </cell>
          <cell r="BN443">
            <v>-11641.8</v>
          </cell>
          <cell r="BO443">
            <v>-13221.11</v>
          </cell>
          <cell r="BP443">
            <v>-8857.3700000000008</v>
          </cell>
          <cell r="BQ443">
            <v>32.21</v>
          </cell>
          <cell r="BR443">
            <v>-17147.310000000001</v>
          </cell>
          <cell r="BS443">
            <v>-7165.61</v>
          </cell>
          <cell r="BT443">
            <v>-11563.54</v>
          </cell>
          <cell r="BU443">
            <v>-9042.99</v>
          </cell>
          <cell r="BV443">
            <v>-9013.42</v>
          </cell>
          <cell r="BW443">
            <v>-8529.58</v>
          </cell>
          <cell r="BX443">
            <v>-4975.74</v>
          </cell>
          <cell r="BY443">
            <v>-4999.54</v>
          </cell>
          <cell r="BZ443">
            <v>-8703.32</v>
          </cell>
          <cell r="CA443">
            <v>4456.03</v>
          </cell>
          <cell r="CB443">
            <v>-44</v>
          </cell>
          <cell r="CC443">
            <v>-1660.18</v>
          </cell>
          <cell r="CD443">
            <v>384.92</v>
          </cell>
          <cell r="CE443">
            <v>-13641.89</v>
          </cell>
          <cell r="CF443">
            <v>-852.55</v>
          </cell>
          <cell r="CG443">
            <v>-2386.31</v>
          </cell>
          <cell r="CH443">
            <v>1094.53</v>
          </cell>
          <cell r="CI443">
            <v>-395.97</v>
          </cell>
          <cell r="CJ443">
            <v>-999.71</v>
          </cell>
          <cell r="CK443">
            <v>805.71</v>
          </cell>
          <cell r="CL443">
            <v>-64.64</v>
          </cell>
          <cell r="CM443">
            <v>-4013.08</v>
          </cell>
          <cell r="CN443">
            <v>-7</v>
          </cell>
          <cell r="CO443">
            <v>-2693.33</v>
          </cell>
          <cell r="CP443">
            <v>2444.14</v>
          </cell>
          <cell r="CQ443">
            <v>-113.74</v>
          </cell>
          <cell r="CR443">
            <v>-1434.45</v>
          </cell>
          <cell r="CS443">
            <v>1436.19</v>
          </cell>
          <cell r="CT443">
            <v>-3539.36</v>
          </cell>
          <cell r="CU443">
            <v>1551.62</v>
          </cell>
          <cell r="CV443">
            <v>-2608.79</v>
          </cell>
          <cell r="CW443">
            <v>948.79</v>
          </cell>
          <cell r="CX443">
            <v>-731</v>
          </cell>
          <cell r="CY443">
            <v>-2489.8200000000002</v>
          </cell>
          <cell r="CZ443">
            <v>3334.34</v>
          </cell>
          <cell r="DA443">
            <v>-2849.23</v>
          </cell>
          <cell r="DB443">
            <v>1815.71</v>
          </cell>
          <cell r="DC443">
            <v>-2606.79</v>
          </cell>
          <cell r="DD443">
            <v>-11291.19</v>
          </cell>
          <cell r="DE443">
            <v>4202.33</v>
          </cell>
          <cell r="DF443">
            <v>-912.26</v>
          </cell>
          <cell r="DG443">
            <v>2409.1799999999998</v>
          </cell>
        </row>
        <row r="444">
          <cell r="A444" t="str">
            <v>4211</v>
          </cell>
          <cell r="B444">
            <v>9421100</v>
          </cell>
          <cell r="C444" t="str">
            <v>Gain Disp Property</v>
          </cell>
          <cell r="D444"/>
          <cell r="E444"/>
          <cell r="F444"/>
          <cell r="G444"/>
          <cell r="H444"/>
          <cell r="I444"/>
          <cell r="J444"/>
          <cell r="K444"/>
          <cell r="L444"/>
          <cell r="M444"/>
          <cell r="N444"/>
          <cell r="O444"/>
          <cell r="P444"/>
          <cell r="Q444"/>
          <cell r="R444"/>
          <cell r="S444"/>
          <cell r="T444"/>
          <cell r="U444"/>
          <cell r="V444"/>
          <cell r="W444"/>
          <cell r="X444"/>
          <cell r="Y444"/>
          <cell r="Z444"/>
          <cell r="AA444"/>
          <cell r="AB444"/>
          <cell r="AC444"/>
          <cell r="AD444"/>
          <cell r="AE444"/>
          <cell r="AF444"/>
          <cell r="AG444"/>
          <cell r="AH444">
            <v>-178382.13</v>
          </cell>
          <cell r="AI444">
            <v>-178382.13</v>
          </cell>
          <cell r="AJ444">
            <v>-178382.13</v>
          </cell>
          <cell r="AK444">
            <v>-178382.13</v>
          </cell>
          <cell r="AL444">
            <v>-178382.13</v>
          </cell>
          <cell r="AM444">
            <v>-178382.13</v>
          </cell>
          <cell r="AN444">
            <v>-178382.13</v>
          </cell>
          <cell r="AO444">
            <v>-178382.13</v>
          </cell>
          <cell r="AP444">
            <v>-178382.13</v>
          </cell>
          <cell r="AQ444">
            <v>-178382.13</v>
          </cell>
          <cell r="AR444">
            <v>-178382.13</v>
          </cell>
          <cell r="AS444">
            <v>-178382.13</v>
          </cell>
          <cell r="AT444">
            <v>-178382.13</v>
          </cell>
          <cell r="AU444">
            <v>-178382.13</v>
          </cell>
          <cell r="AV444">
            <v>-178382.13</v>
          </cell>
          <cell r="AW444">
            <v>-178382.13</v>
          </cell>
          <cell r="AX444">
            <v>-178382.13</v>
          </cell>
          <cell r="AY444">
            <v>-178382.13</v>
          </cell>
          <cell r="AZ444">
            <v>-178382.13</v>
          </cell>
          <cell r="BA444">
            <v>-178382.13</v>
          </cell>
          <cell r="BB444">
            <v>-178382.13</v>
          </cell>
          <cell r="BC444">
            <v>-178382.13</v>
          </cell>
          <cell r="BD444">
            <v>-178382.13</v>
          </cell>
          <cell r="BE444">
            <v>-178382.13</v>
          </cell>
          <cell r="BF444">
            <v>-178382.13</v>
          </cell>
          <cell r="BG444">
            <v>-178382.13</v>
          </cell>
          <cell r="BH444">
            <v>-178382.13</v>
          </cell>
          <cell r="BI444">
            <v>-178382.13</v>
          </cell>
          <cell r="BJ444">
            <v>-178382.13</v>
          </cell>
          <cell r="BK444">
            <v>-178382.13</v>
          </cell>
          <cell r="BL444">
            <v>-178382.13</v>
          </cell>
          <cell r="BM444">
            <v>-178382.13</v>
          </cell>
          <cell r="BN444">
            <v>-178382.13</v>
          </cell>
          <cell r="BO444">
            <v>-178382.13</v>
          </cell>
          <cell r="BP444">
            <v>-178382.13</v>
          </cell>
          <cell r="BQ444">
            <v>-178382.13</v>
          </cell>
          <cell r="BR444">
            <v>-178382.13</v>
          </cell>
          <cell r="BS444">
            <v>-178382.13</v>
          </cell>
          <cell r="BT444">
            <v>-178382.13</v>
          </cell>
          <cell r="BU444">
            <v>-178382.13</v>
          </cell>
          <cell r="BV444">
            <v>-178382.13</v>
          </cell>
          <cell r="BW444">
            <v>-178382.13</v>
          </cell>
          <cell r="BX444">
            <v>-178382.13</v>
          </cell>
          <cell r="BY444">
            <v>-178382.13</v>
          </cell>
          <cell r="BZ444">
            <v>-178382.13</v>
          </cell>
          <cell r="CA444">
            <v>-178382.13</v>
          </cell>
          <cell r="CB444">
            <v>-134554.43</v>
          </cell>
          <cell r="CC444">
            <v>-156002.03</v>
          </cell>
          <cell r="CD444">
            <v>-21447.55</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-13450.42</v>
          </cell>
          <cell r="CZ444">
            <v>-13450.42</v>
          </cell>
          <cell r="DA444">
            <v>-13450.42</v>
          </cell>
          <cell r="DB444">
            <v>-13450.42</v>
          </cell>
          <cell r="DC444">
            <v>-46401.599999999999</v>
          </cell>
          <cell r="DD444">
            <v>-46401.599999999999</v>
          </cell>
          <cell r="DE444">
            <v>-46401.599999999999</v>
          </cell>
          <cell r="DF444">
            <v>-46401.599999999999</v>
          </cell>
          <cell r="DG444">
            <v>-46401.599999999999</v>
          </cell>
        </row>
        <row r="445">
          <cell r="A445" t="str">
            <v>4212</v>
          </cell>
          <cell r="B445">
            <v>9421200</v>
          </cell>
          <cell r="C445" t="str">
            <v>Loss Disp Property</v>
          </cell>
          <cell r="D445"/>
          <cell r="E445"/>
          <cell r="F445"/>
          <cell r="G445"/>
          <cell r="H445"/>
          <cell r="I445"/>
          <cell r="J445"/>
          <cell r="K445"/>
          <cell r="L445"/>
          <cell r="M445"/>
          <cell r="N445"/>
          <cell r="O445"/>
          <cell r="P445"/>
          <cell r="Q445"/>
          <cell r="R445"/>
          <cell r="S445"/>
          <cell r="T445"/>
          <cell r="U445"/>
          <cell r="V445"/>
          <cell r="W445"/>
          <cell r="X445"/>
          <cell r="Y445"/>
          <cell r="Z445"/>
          <cell r="AA445"/>
          <cell r="AB445"/>
          <cell r="AC445"/>
          <cell r="AD445"/>
          <cell r="AE445"/>
          <cell r="AF445"/>
          <cell r="AG445"/>
          <cell r="AH445"/>
          <cell r="AI445"/>
          <cell r="AJ445"/>
          <cell r="AK445"/>
          <cell r="AL445"/>
          <cell r="AM445"/>
          <cell r="AN445"/>
          <cell r="AO445"/>
          <cell r="AP445"/>
          <cell r="AQ445"/>
          <cell r="AR445"/>
          <cell r="AS445"/>
          <cell r="AT445"/>
          <cell r="AU445"/>
          <cell r="AV445"/>
          <cell r="AW445"/>
          <cell r="AX445"/>
          <cell r="AY445"/>
          <cell r="AZ445"/>
          <cell r="BA445"/>
          <cell r="BB445"/>
          <cell r="BC445"/>
          <cell r="BD445"/>
          <cell r="BE445"/>
          <cell r="BF445"/>
          <cell r="BG445"/>
          <cell r="BH445"/>
          <cell r="BI445"/>
          <cell r="BJ445"/>
          <cell r="BK445"/>
          <cell r="BL445"/>
          <cell r="BM445"/>
          <cell r="BN445"/>
          <cell r="BO445"/>
          <cell r="BP445"/>
          <cell r="BQ445"/>
          <cell r="BR445"/>
          <cell r="BS445"/>
          <cell r="BT445"/>
          <cell r="BU445"/>
          <cell r="BV445"/>
          <cell r="BW445"/>
          <cell r="BX445">
            <v>0</v>
          </cell>
          <cell r="BY445">
            <v>0</v>
          </cell>
          <cell r="BZ445">
            <v>5165.29</v>
          </cell>
          <cell r="CA445">
            <v>5165.29</v>
          </cell>
          <cell r="CB445">
            <v>5165.29</v>
          </cell>
          <cell r="CC445">
            <v>5165.29</v>
          </cell>
          <cell r="CD445">
            <v>5165.29</v>
          </cell>
          <cell r="CE445">
            <v>5165.29</v>
          </cell>
          <cell r="CF445">
            <v>5165.29</v>
          </cell>
          <cell r="CG445">
            <v>5165.29</v>
          </cell>
          <cell r="CH445">
            <v>5165.29</v>
          </cell>
          <cell r="CI445">
            <v>5165.29</v>
          </cell>
          <cell r="CJ445">
            <v>5165.29</v>
          </cell>
          <cell r="CK445">
            <v>5165.29</v>
          </cell>
          <cell r="CL445">
            <v>5165.29</v>
          </cell>
          <cell r="CM445">
            <v>5165.29</v>
          </cell>
          <cell r="CN445">
            <v>5165.29</v>
          </cell>
          <cell r="CO445">
            <v>5165.29</v>
          </cell>
          <cell r="CP445">
            <v>5165.29</v>
          </cell>
          <cell r="CQ445">
            <v>5165.29</v>
          </cell>
          <cell r="CR445">
            <v>5165.29</v>
          </cell>
          <cell r="CS445">
            <v>5165.29</v>
          </cell>
          <cell r="CT445">
            <v>5165.29</v>
          </cell>
          <cell r="CU445">
            <v>5165.29</v>
          </cell>
          <cell r="CV445">
            <v>5165.29</v>
          </cell>
          <cell r="CW445">
            <v>5165.29</v>
          </cell>
          <cell r="CX445">
            <v>5165.29</v>
          </cell>
          <cell r="CY445">
            <v>5165.29</v>
          </cell>
          <cell r="CZ445">
            <v>5165.29</v>
          </cell>
          <cell r="DA445">
            <v>5165.29</v>
          </cell>
          <cell r="DB445">
            <v>5165.29</v>
          </cell>
          <cell r="DC445">
            <v>5165.29</v>
          </cell>
          <cell r="DD445">
            <v>5165.29</v>
          </cell>
          <cell r="DE445">
            <v>5165.29</v>
          </cell>
          <cell r="DF445">
            <v>5165.29</v>
          </cell>
          <cell r="DG445">
            <v>5165.29</v>
          </cell>
        </row>
        <row r="446">
          <cell r="A446" t="str">
            <v>4261</v>
          </cell>
          <cell r="B446">
            <v>9426100</v>
          </cell>
          <cell r="C446" t="str">
            <v>Oth Exp Donations</v>
          </cell>
          <cell r="D446">
            <v>9592.44</v>
          </cell>
          <cell r="E446">
            <v>13624.55</v>
          </cell>
          <cell r="F446">
            <v>38973.22</v>
          </cell>
          <cell r="G446">
            <v>5029.49</v>
          </cell>
          <cell r="H446">
            <v>31197.18</v>
          </cell>
          <cell r="I446">
            <v>17101.439999999999</v>
          </cell>
          <cell r="J446">
            <v>18584.96</v>
          </cell>
          <cell r="K446">
            <v>11886.14</v>
          </cell>
          <cell r="L446">
            <v>4447.22</v>
          </cell>
          <cell r="M446">
            <v>4817.4799999999996</v>
          </cell>
          <cell r="N446">
            <v>11142.36</v>
          </cell>
          <cell r="O446">
            <v>44282.16</v>
          </cell>
          <cell r="P446">
            <v>15506.55</v>
          </cell>
          <cell r="Q446">
            <v>13930.6</v>
          </cell>
          <cell r="R446">
            <v>49664.43</v>
          </cell>
          <cell r="S446">
            <v>46999.16</v>
          </cell>
          <cell r="T446">
            <v>13878.49</v>
          </cell>
          <cell r="U446">
            <v>16301.05</v>
          </cell>
          <cell r="V446">
            <v>27966.02</v>
          </cell>
          <cell r="W446">
            <v>12631.5</v>
          </cell>
          <cell r="X446">
            <v>16679.37</v>
          </cell>
          <cell r="Y446">
            <v>18539.5</v>
          </cell>
          <cell r="Z446">
            <v>4985.3599999999997</v>
          </cell>
          <cell r="AA446">
            <v>37666.269999999997</v>
          </cell>
          <cell r="AB446">
            <v>22213.35</v>
          </cell>
          <cell r="AC446">
            <v>12189.45</v>
          </cell>
          <cell r="AD446">
            <v>34690.93</v>
          </cell>
          <cell r="AE446">
            <v>20261.73</v>
          </cell>
          <cell r="AF446">
            <v>19974.55</v>
          </cell>
          <cell r="AG446">
            <v>73602.73</v>
          </cell>
          <cell r="AH446">
            <v>13181.29</v>
          </cell>
          <cell r="AI446">
            <v>17352.16</v>
          </cell>
          <cell r="AJ446">
            <v>27273.73</v>
          </cell>
          <cell r="AK446">
            <v>27983.200000000001</v>
          </cell>
          <cell r="AL446">
            <v>14492.4</v>
          </cell>
          <cell r="AM446">
            <v>59061.77</v>
          </cell>
          <cell r="AN446">
            <v>-17504.79</v>
          </cell>
          <cell r="AO446">
            <v>20036.939999999999</v>
          </cell>
          <cell r="AP446">
            <v>7494</v>
          </cell>
          <cell r="AQ446">
            <v>24842.06</v>
          </cell>
          <cell r="AR446">
            <v>15256.43</v>
          </cell>
          <cell r="AS446">
            <v>13760.13</v>
          </cell>
          <cell r="AT446">
            <v>31162.720000000001</v>
          </cell>
          <cell r="AU446">
            <v>24941.200000000001</v>
          </cell>
          <cell r="AV446">
            <v>36071.5</v>
          </cell>
          <cell r="AW446">
            <v>18645.54</v>
          </cell>
          <cell r="AX446">
            <v>18830.18</v>
          </cell>
          <cell r="AY446">
            <v>32557.69</v>
          </cell>
          <cell r="AZ446">
            <v>12466.08</v>
          </cell>
          <cell r="BA446">
            <v>15071.08</v>
          </cell>
          <cell r="BB446">
            <v>20708.099999999999</v>
          </cell>
          <cell r="BC446">
            <v>45994.63</v>
          </cell>
          <cell r="BD446">
            <v>30451.5</v>
          </cell>
          <cell r="BE446">
            <v>13366.28</v>
          </cell>
          <cell r="BF446">
            <v>7388.87</v>
          </cell>
          <cell r="BG446">
            <v>27186.62</v>
          </cell>
          <cell r="BH446">
            <v>14967.46</v>
          </cell>
          <cell r="BI446">
            <v>64456.99</v>
          </cell>
          <cell r="BJ446">
            <v>38901.300000000003</v>
          </cell>
          <cell r="BK446">
            <v>31195.23</v>
          </cell>
          <cell r="BL446">
            <v>34369.599999999999</v>
          </cell>
          <cell r="BM446">
            <v>19560</v>
          </cell>
          <cell r="BN446">
            <v>24488</v>
          </cell>
          <cell r="BO446">
            <v>18203.97</v>
          </cell>
          <cell r="BP446">
            <v>32038.52</v>
          </cell>
          <cell r="BQ446">
            <v>17468.5</v>
          </cell>
          <cell r="BR446">
            <v>10044.66</v>
          </cell>
          <cell r="BS446">
            <v>25738</v>
          </cell>
          <cell r="BT446">
            <v>71510.52</v>
          </cell>
          <cell r="BU446">
            <v>12717.33</v>
          </cell>
          <cell r="BV446">
            <v>38277.9</v>
          </cell>
          <cell r="BW446">
            <v>62477.48</v>
          </cell>
          <cell r="BX446">
            <v>8839</v>
          </cell>
          <cell r="BY446">
            <v>74718.399999999994</v>
          </cell>
          <cell r="BZ446">
            <v>40720.53</v>
          </cell>
          <cell r="CA446">
            <v>104506.58</v>
          </cell>
          <cell r="CB446">
            <v>30345.29</v>
          </cell>
          <cell r="CC446">
            <v>56278.77</v>
          </cell>
          <cell r="CD446">
            <v>1499</v>
          </cell>
          <cell r="CE446">
            <v>9139.7800000000007</v>
          </cell>
          <cell r="CF446">
            <v>4147.07</v>
          </cell>
          <cell r="CG446">
            <v>30031.98</v>
          </cell>
          <cell r="CH446">
            <v>17013.7</v>
          </cell>
          <cell r="CI446">
            <v>70637.98</v>
          </cell>
          <cell r="CJ446">
            <v>2361.58</v>
          </cell>
          <cell r="CK446">
            <v>44113.37</v>
          </cell>
          <cell r="CL446">
            <v>21018.38</v>
          </cell>
          <cell r="CM446">
            <v>19632.919999999998</v>
          </cell>
          <cell r="CN446">
            <v>9424.93</v>
          </cell>
          <cell r="CO446">
            <v>7376.06</v>
          </cell>
          <cell r="CP446">
            <v>5775.25</v>
          </cell>
          <cell r="CQ446">
            <v>27888.79</v>
          </cell>
          <cell r="CR446">
            <v>35987.75</v>
          </cell>
          <cell r="CS446">
            <v>12118.86</v>
          </cell>
          <cell r="CT446">
            <v>17192.990000000002</v>
          </cell>
          <cell r="CU446">
            <v>82041.02</v>
          </cell>
          <cell r="CV446">
            <v>53547.11</v>
          </cell>
          <cell r="CW446">
            <v>7300</v>
          </cell>
          <cell r="CX446">
            <v>22324.06</v>
          </cell>
          <cell r="CY446">
            <v>55793.1</v>
          </cell>
          <cell r="CZ446">
            <v>38278.19</v>
          </cell>
          <cell r="DA446">
            <v>24783.67</v>
          </cell>
          <cell r="DB446">
            <v>22583.18</v>
          </cell>
          <cell r="DC446">
            <v>1288.6400000000001</v>
          </cell>
          <cell r="DD446">
            <v>26009.99</v>
          </cell>
          <cell r="DE446">
            <v>64231.81</v>
          </cell>
          <cell r="DF446">
            <v>54034.71</v>
          </cell>
          <cell r="DG446">
            <v>46282.45</v>
          </cell>
        </row>
        <row r="447">
          <cell r="A447" t="str">
            <v>4263</v>
          </cell>
          <cell r="B447">
            <v>9426300</v>
          </cell>
          <cell r="C447" t="str">
            <v>Oth Exp Penalties</v>
          </cell>
          <cell r="D447"/>
          <cell r="E447"/>
          <cell r="F447"/>
          <cell r="G447"/>
          <cell r="H447"/>
          <cell r="I447"/>
          <cell r="J447"/>
          <cell r="K447"/>
          <cell r="L447"/>
          <cell r="M447"/>
          <cell r="N447"/>
          <cell r="O447"/>
          <cell r="P447"/>
          <cell r="Q447"/>
          <cell r="R447"/>
          <cell r="S447"/>
          <cell r="T447"/>
          <cell r="U447"/>
          <cell r="V447"/>
          <cell r="W447"/>
          <cell r="X447"/>
          <cell r="Y447"/>
          <cell r="Z447"/>
          <cell r="AA447"/>
          <cell r="AB447">
            <v>0</v>
          </cell>
          <cell r="AC447">
            <v>0</v>
          </cell>
          <cell r="AD447">
            <v>1000000</v>
          </cell>
          <cell r="AE447">
            <v>0</v>
          </cell>
          <cell r="AF447">
            <v>0</v>
          </cell>
          <cell r="AG447">
            <v>0</v>
          </cell>
          <cell r="AH447">
            <v>0</v>
          </cell>
          <cell r="AI447">
            <v>0</v>
          </cell>
          <cell r="AJ447">
            <v>0</v>
          </cell>
          <cell r="AK447">
            <v>0</v>
          </cell>
          <cell r="AL447">
            <v>0</v>
          </cell>
          <cell r="AM447">
            <v>0</v>
          </cell>
          <cell r="AN447">
            <v>0</v>
          </cell>
          <cell r="AO447">
            <v>0</v>
          </cell>
          <cell r="AP447">
            <v>0</v>
          </cell>
          <cell r="AQ447">
            <v>973.26</v>
          </cell>
          <cell r="AR447">
            <v>0</v>
          </cell>
          <cell r="AS447">
            <v>49.71</v>
          </cell>
          <cell r="AT447">
            <v>0</v>
          </cell>
          <cell r="AU447">
            <v>0</v>
          </cell>
          <cell r="AV447">
            <v>0</v>
          </cell>
          <cell r="AW447">
            <v>0</v>
          </cell>
          <cell r="AX447">
            <v>0</v>
          </cell>
          <cell r="AY447">
            <v>0</v>
          </cell>
          <cell r="AZ447">
            <v>0</v>
          </cell>
          <cell r="BA447">
            <v>692.94</v>
          </cell>
          <cell r="BB447">
            <v>0</v>
          </cell>
          <cell r="BC447">
            <v>0</v>
          </cell>
          <cell r="BD447">
            <v>0</v>
          </cell>
          <cell r="BE447">
            <v>0</v>
          </cell>
          <cell r="BF447">
            <v>0</v>
          </cell>
          <cell r="BG447">
            <v>0</v>
          </cell>
          <cell r="BH447">
            <v>0</v>
          </cell>
          <cell r="BI447">
            <v>500</v>
          </cell>
          <cell r="BJ447">
            <v>-500</v>
          </cell>
          <cell r="BK447">
            <v>0</v>
          </cell>
          <cell r="BL447">
            <v>0</v>
          </cell>
          <cell r="BM447">
            <v>0</v>
          </cell>
          <cell r="BN447">
            <v>0</v>
          </cell>
          <cell r="BO447">
            <v>0</v>
          </cell>
          <cell r="BP447">
            <v>0</v>
          </cell>
          <cell r="BQ447">
            <v>0</v>
          </cell>
          <cell r="BR447">
            <v>0</v>
          </cell>
          <cell r="BS447">
            <v>0</v>
          </cell>
          <cell r="BT447">
            <v>0</v>
          </cell>
          <cell r="BU447">
            <v>555.34</v>
          </cell>
          <cell r="BV447">
            <v>-441.91</v>
          </cell>
          <cell r="BW447">
            <v>0</v>
          </cell>
          <cell r="BX447">
            <v>0</v>
          </cell>
          <cell r="BY447">
            <v>0</v>
          </cell>
          <cell r="BZ447">
            <v>0</v>
          </cell>
          <cell r="CA447">
            <v>0</v>
          </cell>
          <cell r="CB447">
            <v>0</v>
          </cell>
          <cell r="CC447">
            <v>0</v>
          </cell>
          <cell r="CD447">
            <v>0</v>
          </cell>
          <cell r="CE447">
            <v>0</v>
          </cell>
          <cell r="CF447">
            <v>0</v>
          </cell>
          <cell r="CG447"/>
          <cell r="CH447"/>
          <cell r="CI447"/>
          <cell r="CJ447"/>
          <cell r="CK447"/>
          <cell r="CL447"/>
          <cell r="CM447"/>
          <cell r="CN447"/>
          <cell r="CO447"/>
          <cell r="CP447">
            <v>0</v>
          </cell>
          <cell r="CQ447">
            <v>0</v>
          </cell>
          <cell r="CR447">
            <v>0</v>
          </cell>
          <cell r="CS447">
            <v>0</v>
          </cell>
          <cell r="CT447">
            <v>0</v>
          </cell>
          <cell r="CU447">
            <v>0</v>
          </cell>
          <cell r="CV447">
            <v>0</v>
          </cell>
          <cell r="CW447">
            <v>0</v>
          </cell>
          <cell r="CX447">
            <v>0</v>
          </cell>
          <cell r="CY447">
            <v>0</v>
          </cell>
          <cell r="CZ447">
            <v>0</v>
          </cell>
          <cell r="DA447">
            <v>0</v>
          </cell>
          <cell r="DB447">
            <v>0</v>
          </cell>
          <cell r="DC447">
            <v>0</v>
          </cell>
          <cell r="DD447">
            <v>0</v>
          </cell>
          <cell r="DE447">
            <v>0</v>
          </cell>
          <cell r="DF447">
            <v>0</v>
          </cell>
          <cell r="DG447">
            <v>0</v>
          </cell>
        </row>
        <row r="448">
          <cell r="A448" t="str">
            <v>4264</v>
          </cell>
          <cell r="B448">
            <v>9426400</v>
          </cell>
          <cell r="C448" t="str">
            <v>Civic Political Exp</v>
          </cell>
          <cell r="D448">
            <v>5336.66</v>
          </cell>
          <cell r="E448">
            <v>19982.07</v>
          </cell>
          <cell r="F448">
            <v>12992.5</v>
          </cell>
          <cell r="G448">
            <v>4646.66</v>
          </cell>
          <cell r="H448">
            <v>4166.66</v>
          </cell>
          <cell r="I448">
            <v>4166.66</v>
          </cell>
          <cell r="J448">
            <v>39806.230000000003</v>
          </cell>
          <cell r="K448">
            <v>4809.25</v>
          </cell>
          <cell r="L448">
            <v>4746.66</v>
          </cell>
          <cell r="M448">
            <v>4460.8599999999997</v>
          </cell>
          <cell r="N448">
            <v>4359.66</v>
          </cell>
          <cell r="O448">
            <v>8456.35</v>
          </cell>
          <cell r="P448">
            <v>4726.66</v>
          </cell>
          <cell r="Q448">
            <v>22120.65</v>
          </cell>
          <cell r="R448">
            <v>4166.66</v>
          </cell>
          <cell r="S448">
            <v>25536.68</v>
          </cell>
          <cell r="T448">
            <v>9805.07</v>
          </cell>
          <cell r="U448">
            <v>9698.48</v>
          </cell>
          <cell r="V448">
            <v>12232.5</v>
          </cell>
          <cell r="W448">
            <v>8333.32</v>
          </cell>
          <cell r="X448">
            <v>43370.65</v>
          </cell>
          <cell r="Y448">
            <v>8565.7900000000009</v>
          </cell>
          <cell r="Z448">
            <v>12692.73</v>
          </cell>
          <cell r="AA448">
            <v>42216.52</v>
          </cell>
          <cell r="AB448">
            <v>9583.32</v>
          </cell>
          <cell r="AC448">
            <v>14605.15</v>
          </cell>
          <cell r="AD448">
            <v>14969.82</v>
          </cell>
          <cell r="AE448">
            <v>10890.15</v>
          </cell>
          <cell r="AF448">
            <v>9833.32</v>
          </cell>
          <cell r="AG448">
            <v>74390.460000000006</v>
          </cell>
          <cell r="AH448">
            <v>11664.35</v>
          </cell>
          <cell r="AI448">
            <v>8764.39</v>
          </cell>
          <cell r="AJ448">
            <v>9668.32</v>
          </cell>
          <cell r="AK448">
            <v>10140.15</v>
          </cell>
          <cell r="AL448">
            <v>9718.32</v>
          </cell>
          <cell r="AM448">
            <v>10833.32</v>
          </cell>
          <cell r="AN448">
            <v>4166.66</v>
          </cell>
          <cell r="AO448">
            <v>-402.21</v>
          </cell>
          <cell r="AP448">
            <v>636.51</v>
          </cell>
          <cell r="AQ448">
            <v>3870.25</v>
          </cell>
          <cell r="AR448">
            <v>0</v>
          </cell>
          <cell r="AS448">
            <v>710</v>
          </cell>
          <cell r="AT448">
            <v>22100.25</v>
          </cell>
          <cell r="AU448">
            <v>0</v>
          </cell>
          <cell r="AV448">
            <v>4251.66</v>
          </cell>
          <cell r="AW448">
            <v>3570.25</v>
          </cell>
          <cell r="AX448">
            <v>0</v>
          </cell>
          <cell r="AY448">
            <v>1234</v>
          </cell>
          <cell r="AZ448">
            <v>1210</v>
          </cell>
          <cell r="BA448">
            <v>62950.93</v>
          </cell>
          <cell r="BB448">
            <v>0</v>
          </cell>
          <cell r="BC448">
            <v>10000</v>
          </cell>
          <cell r="BD448">
            <v>1909.13</v>
          </cell>
          <cell r="BE448">
            <v>0</v>
          </cell>
          <cell r="BF448">
            <v>3027.66</v>
          </cell>
          <cell r="BG448">
            <v>115</v>
          </cell>
          <cell r="BH448">
            <v>0</v>
          </cell>
          <cell r="BI448">
            <v>6504.13</v>
          </cell>
          <cell r="BJ448">
            <v>26000</v>
          </cell>
          <cell r="BK448">
            <v>2840</v>
          </cell>
          <cell r="BL448">
            <v>4250</v>
          </cell>
          <cell r="BM448">
            <v>4846.24</v>
          </cell>
          <cell r="BN448">
            <v>60493.8</v>
          </cell>
          <cell r="BO448">
            <v>11632.64</v>
          </cell>
          <cell r="BP448">
            <v>600</v>
          </cell>
          <cell r="BQ448">
            <v>675</v>
          </cell>
          <cell r="BR448">
            <v>4255.1400000000003</v>
          </cell>
          <cell r="BS448">
            <v>-530</v>
          </cell>
          <cell r="BT448">
            <v>4417.45</v>
          </cell>
          <cell r="BU448">
            <v>2012.64</v>
          </cell>
          <cell r="BV448">
            <v>1042.79</v>
          </cell>
          <cell r="BW448">
            <v>380</v>
          </cell>
          <cell r="BX448">
            <v>500</v>
          </cell>
          <cell r="BY448">
            <v>38414.83</v>
          </cell>
          <cell r="BZ448">
            <v>2000.6</v>
          </cell>
          <cell r="CA448">
            <v>3631.03</v>
          </cell>
          <cell r="CB448">
            <v>1650</v>
          </cell>
          <cell r="CC448">
            <v>0</v>
          </cell>
          <cell r="CD448">
            <v>4486.03</v>
          </cell>
          <cell r="CE448">
            <v>10125</v>
          </cell>
          <cell r="CF448">
            <v>0</v>
          </cell>
          <cell r="CG448">
            <v>8911.0300000000007</v>
          </cell>
          <cell r="CH448">
            <v>0</v>
          </cell>
          <cell r="CI448">
            <v>35</v>
          </cell>
          <cell r="CJ448">
            <v>38178.76</v>
          </cell>
          <cell r="CK448">
            <v>4022.71</v>
          </cell>
          <cell r="CL448">
            <v>11524.6</v>
          </cell>
          <cell r="CM448">
            <v>2141.14</v>
          </cell>
          <cell r="CN448">
            <v>1608.26</v>
          </cell>
          <cell r="CO448">
            <v>25611</v>
          </cell>
          <cell r="CP448">
            <v>21491.14</v>
          </cell>
          <cell r="CQ448">
            <v>0</v>
          </cell>
          <cell r="CR448">
            <v>340.75</v>
          </cell>
          <cell r="CS448">
            <v>2269.34</v>
          </cell>
          <cell r="CT448">
            <v>3250</v>
          </cell>
          <cell r="CU448">
            <v>50</v>
          </cell>
          <cell r="CV448">
            <v>35191.800000000003</v>
          </cell>
          <cell r="CW448">
            <v>4418.22</v>
          </cell>
          <cell r="CX448">
            <v>24555</v>
          </cell>
          <cell r="CY448">
            <v>61018.22</v>
          </cell>
          <cell r="CZ448">
            <v>12000</v>
          </cell>
          <cell r="DA448">
            <v>40</v>
          </cell>
          <cell r="DB448">
            <v>2918.22</v>
          </cell>
          <cell r="DC448">
            <v>20490.2</v>
          </cell>
          <cell r="DD448">
            <v>1111.5</v>
          </cell>
          <cell r="DE448">
            <v>4446.97</v>
          </cell>
          <cell r="DF448">
            <v>3868.75</v>
          </cell>
          <cell r="DG448">
            <v>0</v>
          </cell>
        </row>
        <row r="449">
          <cell r="A449" t="str">
            <v>4265</v>
          </cell>
          <cell r="B449">
            <v>9426500</v>
          </cell>
          <cell r="C449" t="str">
            <v>Other Deductions</v>
          </cell>
          <cell r="D449"/>
          <cell r="E449"/>
          <cell r="F449"/>
          <cell r="G449"/>
          <cell r="H449"/>
          <cell r="I449"/>
          <cell r="J449"/>
          <cell r="K449"/>
          <cell r="L449"/>
          <cell r="M449"/>
          <cell r="N449"/>
          <cell r="O449"/>
          <cell r="P449"/>
          <cell r="Q449"/>
          <cell r="R449"/>
          <cell r="S449"/>
          <cell r="T449"/>
          <cell r="U449"/>
          <cell r="V449"/>
          <cell r="W449"/>
          <cell r="X449"/>
          <cell r="Y449"/>
          <cell r="Z449"/>
          <cell r="AA449"/>
          <cell r="AB449"/>
          <cell r="AC449"/>
          <cell r="AD449"/>
          <cell r="AE449"/>
          <cell r="AF449"/>
          <cell r="AG449"/>
          <cell r="AH449"/>
          <cell r="AI449"/>
          <cell r="AJ449"/>
          <cell r="AK449">
            <v>0</v>
          </cell>
          <cell r="AL449">
            <v>0</v>
          </cell>
          <cell r="AM449">
            <v>52212.5</v>
          </cell>
          <cell r="AN449">
            <v>0</v>
          </cell>
          <cell r="AO449">
            <v>0</v>
          </cell>
          <cell r="AP449">
            <v>0</v>
          </cell>
          <cell r="AQ449">
            <v>0</v>
          </cell>
          <cell r="AR449">
            <v>0</v>
          </cell>
          <cell r="AS449">
            <v>0</v>
          </cell>
          <cell r="AT449">
            <v>0</v>
          </cell>
          <cell r="AU449">
            <v>0</v>
          </cell>
          <cell r="AV449">
            <v>0</v>
          </cell>
          <cell r="AW449">
            <v>0</v>
          </cell>
          <cell r="AX449">
            <v>21.58</v>
          </cell>
          <cell r="AY449">
            <v>0</v>
          </cell>
          <cell r="AZ449">
            <v>322.72000000000003</v>
          </cell>
          <cell r="BA449">
            <v>-247.08</v>
          </cell>
          <cell r="BB449">
            <v>-60.48</v>
          </cell>
          <cell r="BC449">
            <v>168.26</v>
          </cell>
          <cell r="BD449">
            <v>39.76</v>
          </cell>
          <cell r="BE449">
            <v>0</v>
          </cell>
          <cell r="BF449">
            <v>680.92</v>
          </cell>
          <cell r="BG449">
            <v>594.04</v>
          </cell>
          <cell r="BH449">
            <v>1691.18</v>
          </cell>
          <cell r="BI449">
            <v>2427.79</v>
          </cell>
          <cell r="BJ449">
            <v>1877.73</v>
          </cell>
          <cell r="BK449">
            <v>3833.85</v>
          </cell>
          <cell r="BL449">
            <v>2573.54</v>
          </cell>
          <cell r="BM449">
            <v>1196.08</v>
          </cell>
          <cell r="BN449">
            <v>4236.67</v>
          </cell>
          <cell r="BO449">
            <v>-1004.36</v>
          </cell>
          <cell r="BP449">
            <v>2740.65</v>
          </cell>
          <cell r="BQ449">
            <v>-6969.4</v>
          </cell>
          <cell r="BR449">
            <v>674.95</v>
          </cell>
          <cell r="BS449">
            <v>-1987.58</v>
          </cell>
          <cell r="BT449">
            <v>1457.65</v>
          </cell>
          <cell r="BU449">
            <v>4000.18</v>
          </cell>
          <cell r="BV449">
            <v>2862.25</v>
          </cell>
          <cell r="BW449">
            <v>3333.09</v>
          </cell>
          <cell r="BX449">
            <v>1716.41</v>
          </cell>
          <cell r="BY449">
            <v>1328.04</v>
          </cell>
          <cell r="BZ449">
            <v>-4447.1899999999996</v>
          </cell>
          <cell r="CA449">
            <v>204.78</v>
          </cell>
          <cell r="CB449">
            <v>4210.97</v>
          </cell>
          <cell r="CC449">
            <v>5413.12</v>
          </cell>
          <cell r="CD449">
            <v>3425.2</v>
          </cell>
          <cell r="CE449">
            <v>1766.81</v>
          </cell>
          <cell r="CF449">
            <v>-74.09</v>
          </cell>
          <cell r="CG449">
            <v>3263.67</v>
          </cell>
          <cell r="CH449">
            <v>4171.8999999999996</v>
          </cell>
          <cell r="CI449">
            <v>4948.1000000000004</v>
          </cell>
          <cell r="CJ449">
            <v>4251.91</v>
          </cell>
          <cell r="CK449">
            <v>7938.42</v>
          </cell>
          <cell r="CL449">
            <v>3555.15</v>
          </cell>
          <cell r="CM449">
            <v>10664.77</v>
          </cell>
          <cell r="CN449">
            <v>6945.01</v>
          </cell>
          <cell r="CO449">
            <v>2773.41</v>
          </cell>
          <cell r="CP449">
            <v>561.66999999999996</v>
          </cell>
          <cell r="CQ449">
            <v>867.44</v>
          </cell>
          <cell r="CR449">
            <v>51757.39</v>
          </cell>
          <cell r="CS449">
            <v>21363.09</v>
          </cell>
          <cell r="CT449">
            <v>7515.07</v>
          </cell>
          <cell r="CU449">
            <v>13376.04</v>
          </cell>
          <cell r="CV449">
            <v>3452.92</v>
          </cell>
          <cell r="CW449">
            <v>476.06</v>
          </cell>
          <cell r="CX449">
            <v>7106.76</v>
          </cell>
          <cell r="CY449">
            <v>-2736.1</v>
          </cell>
          <cell r="CZ449">
            <v>5701.26</v>
          </cell>
          <cell r="DA449">
            <v>100727.05</v>
          </cell>
          <cell r="DB449">
            <v>4281.47</v>
          </cell>
          <cell r="DC449">
            <v>235.82</v>
          </cell>
          <cell r="DD449">
            <v>0</v>
          </cell>
          <cell r="DE449">
            <v>636.33000000000004</v>
          </cell>
          <cell r="DF449">
            <v>3050.61</v>
          </cell>
          <cell r="DG449">
            <v>1727.41</v>
          </cell>
        </row>
        <row r="450">
          <cell r="A450" t="str">
            <v>4270</v>
          </cell>
          <cell r="B450">
            <v>9427000</v>
          </cell>
          <cell r="C450" t="str">
            <v>Interest LTD</v>
          </cell>
          <cell r="D450">
            <v>997107.72</v>
          </cell>
          <cell r="E450">
            <v>997107.72</v>
          </cell>
          <cell r="F450">
            <v>997107.72</v>
          </cell>
          <cell r="G450">
            <v>997107.72</v>
          </cell>
          <cell r="H450">
            <v>1015232.72</v>
          </cell>
          <cell r="I450">
            <v>1033357.72</v>
          </cell>
          <cell r="J450">
            <v>1033357.72</v>
          </cell>
          <cell r="K450">
            <v>1033357.72</v>
          </cell>
          <cell r="L450">
            <v>1033357.72</v>
          </cell>
          <cell r="M450">
            <v>1033357.72</v>
          </cell>
          <cell r="N450">
            <v>1033357.72</v>
          </cell>
          <cell r="O450">
            <v>1033357.72</v>
          </cell>
          <cell r="P450">
            <v>1033357.72</v>
          </cell>
          <cell r="Q450">
            <v>1033357.73</v>
          </cell>
          <cell r="R450">
            <v>1033357.73</v>
          </cell>
          <cell r="S450">
            <v>1033357.73</v>
          </cell>
          <cell r="T450">
            <v>1033357.73</v>
          </cell>
          <cell r="U450">
            <v>1136024.3999999999</v>
          </cell>
          <cell r="V450">
            <v>1103357.73</v>
          </cell>
          <cell r="W450">
            <v>1103357.73</v>
          </cell>
          <cell r="X450">
            <v>1103357.73</v>
          </cell>
          <cell r="Y450">
            <v>1103357.73</v>
          </cell>
          <cell r="Z450">
            <v>1103357.73</v>
          </cell>
          <cell r="AA450">
            <v>1103357.73</v>
          </cell>
          <cell r="AB450">
            <v>1103357.73</v>
          </cell>
          <cell r="AC450">
            <v>1103357.73</v>
          </cell>
          <cell r="AD450">
            <v>1103357.73</v>
          </cell>
          <cell r="AE450">
            <v>1103357.73</v>
          </cell>
          <cell r="AF450">
            <v>1103357.73</v>
          </cell>
          <cell r="AG450">
            <v>1103357.73</v>
          </cell>
          <cell r="AH450">
            <v>1103357.73</v>
          </cell>
          <cell r="AI450">
            <v>1093107.73</v>
          </cell>
          <cell r="AJ450">
            <v>1103357.73</v>
          </cell>
          <cell r="AK450">
            <v>1103357.73</v>
          </cell>
          <cell r="AL450">
            <v>1103357.73</v>
          </cell>
          <cell r="AM450">
            <v>1103357.73</v>
          </cell>
          <cell r="AN450">
            <v>1103357.73</v>
          </cell>
          <cell r="AO450">
            <v>1103357.73</v>
          </cell>
          <cell r="AP450">
            <v>1103357.73</v>
          </cell>
          <cell r="AQ450">
            <v>1103357.73</v>
          </cell>
          <cell r="AR450">
            <v>1103357.73</v>
          </cell>
          <cell r="AS450">
            <v>1103357.73</v>
          </cell>
          <cell r="AT450">
            <v>1103357.73</v>
          </cell>
          <cell r="AU450">
            <v>1103357.73</v>
          </cell>
          <cell r="AV450">
            <v>1103357.73</v>
          </cell>
          <cell r="AW450">
            <v>1103357.73</v>
          </cell>
          <cell r="AX450">
            <v>1103357.73</v>
          </cell>
          <cell r="AY450">
            <v>1103357.73</v>
          </cell>
          <cell r="AZ450">
            <v>1103357.73</v>
          </cell>
          <cell r="BA450">
            <v>1103357.73</v>
          </cell>
          <cell r="BB450">
            <v>1103357.73</v>
          </cell>
          <cell r="BC450">
            <v>1103357.73</v>
          </cell>
          <cell r="BD450">
            <v>976274</v>
          </cell>
          <cell r="BE450">
            <v>1055232.6499999999</v>
          </cell>
          <cell r="BF450">
            <v>1117941.06</v>
          </cell>
          <cell r="BG450">
            <v>1117941.06</v>
          </cell>
          <cell r="BH450">
            <v>1117941.06</v>
          </cell>
          <cell r="BI450">
            <v>1198288.32</v>
          </cell>
          <cell r="BJ450">
            <v>1210649.3899999999</v>
          </cell>
          <cell r="BK450">
            <v>1210649.3899999999</v>
          </cell>
          <cell r="BL450">
            <v>1210649.3899999999</v>
          </cell>
          <cell r="BM450">
            <v>1210649.3899999999</v>
          </cell>
          <cell r="BN450">
            <v>1210649.3899999999</v>
          </cell>
          <cell r="BO450">
            <v>1210649.3899999999</v>
          </cell>
          <cell r="BP450">
            <v>1210649.3899999999</v>
          </cell>
          <cell r="BQ450">
            <v>1210649.3899999999</v>
          </cell>
          <cell r="BR450">
            <v>1230788.28</v>
          </cell>
          <cell r="BS450">
            <v>1286170.22</v>
          </cell>
          <cell r="BT450">
            <v>1286170.22</v>
          </cell>
          <cell r="BU450">
            <v>1286170.22</v>
          </cell>
          <cell r="BV450">
            <v>1286170.22</v>
          </cell>
          <cell r="BW450">
            <v>1286170.22</v>
          </cell>
          <cell r="BX450">
            <v>1286170.22</v>
          </cell>
          <cell r="BY450">
            <v>1286170.22</v>
          </cell>
          <cell r="BZ450">
            <v>1281135.51</v>
          </cell>
          <cell r="CA450">
            <v>1286170.22</v>
          </cell>
          <cell r="CB450">
            <v>1286170.22</v>
          </cell>
          <cell r="CC450">
            <v>1286170.22</v>
          </cell>
          <cell r="CD450">
            <v>1286170.22</v>
          </cell>
          <cell r="CE450">
            <v>1286170.22</v>
          </cell>
          <cell r="CF450">
            <v>1286170.22</v>
          </cell>
          <cell r="CG450">
            <v>1286170.22</v>
          </cell>
          <cell r="CH450">
            <v>1286170.22</v>
          </cell>
          <cell r="CI450">
            <v>1286170.22</v>
          </cell>
          <cell r="CJ450">
            <v>1286170.22</v>
          </cell>
          <cell r="CK450">
            <v>1286170.22</v>
          </cell>
          <cell r="CL450">
            <v>1603857.72</v>
          </cell>
          <cell r="CM450">
            <v>1846795.22</v>
          </cell>
          <cell r="CN450">
            <v>1636354.16</v>
          </cell>
          <cell r="CO450">
            <v>1741574.69</v>
          </cell>
          <cell r="CP450">
            <v>1636354.16</v>
          </cell>
          <cell r="CQ450">
            <v>1636354.16</v>
          </cell>
          <cell r="CR450">
            <v>1542916.66</v>
          </cell>
          <cell r="CS450">
            <v>1636354.16</v>
          </cell>
          <cell r="CT450">
            <v>1636354.16</v>
          </cell>
          <cell r="CU450">
            <v>1636354.16</v>
          </cell>
          <cell r="CV450">
            <v>1636354.16</v>
          </cell>
          <cell r="CW450">
            <v>1636354.16</v>
          </cell>
          <cell r="CX450">
            <v>1636354.16</v>
          </cell>
          <cell r="CY450">
            <v>1636354.16</v>
          </cell>
          <cell r="CZ450">
            <v>1636354.16</v>
          </cell>
          <cell r="DA450">
            <v>1636354.16</v>
          </cell>
          <cell r="DB450">
            <v>1802760.41</v>
          </cell>
          <cell r="DC450">
            <v>1913697.91</v>
          </cell>
          <cell r="DD450">
            <v>1886614.45</v>
          </cell>
          <cell r="DE450">
            <v>1859531.24</v>
          </cell>
          <cell r="DF450">
            <v>1859531.24</v>
          </cell>
          <cell r="DG450">
            <v>1859531.24</v>
          </cell>
        </row>
        <row r="451">
          <cell r="A451" t="str">
            <v>4280</v>
          </cell>
          <cell r="B451">
            <v>9428000</v>
          </cell>
          <cell r="C451" t="str">
            <v>Amtz Debt Disc Exp</v>
          </cell>
          <cell r="D451">
            <v>45243.49</v>
          </cell>
          <cell r="E451">
            <v>45243.49</v>
          </cell>
          <cell r="F451">
            <v>45243.49</v>
          </cell>
          <cell r="G451">
            <v>45243.49</v>
          </cell>
          <cell r="H451">
            <v>45257.87</v>
          </cell>
          <cell r="I451">
            <v>45696.66</v>
          </cell>
          <cell r="J451">
            <v>45572.94</v>
          </cell>
          <cell r="K451">
            <v>45564.24</v>
          </cell>
          <cell r="L451">
            <v>45768.45</v>
          </cell>
          <cell r="M451">
            <v>45596.65</v>
          </cell>
          <cell r="N451">
            <v>45594.559999999998</v>
          </cell>
          <cell r="O451">
            <v>45594.559999999998</v>
          </cell>
          <cell r="P451">
            <v>45594.559999999998</v>
          </cell>
          <cell r="Q451">
            <v>45594.559999999998</v>
          </cell>
          <cell r="R451">
            <v>45594.559999999998</v>
          </cell>
          <cell r="S451">
            <v>45594.559999999998</v>
          </cell>
          <cell r="T451">
            <v>78261.23</v>
          </cell>
          <cell r="U451">
            <v>12648.48</v>
          </cell>
          <cell r="V451">
            <v>45320.55</v>
          </cell>
          <cell r="W451">
            <v>45317.25</v>
          </cell>
          <cell r="X451">
            <v>45428.37</v>
          </cell>
          <cell r="Y451">
            <v>45345.03</v>
          </cell>
          <cell r="Z451">
            <v>45344.32</v>
          </cell>
          <cell r="AA451">
            <v>45363.15</v>
          </cell>
          <cell r="AB451">
            <v>45345.03</v>
          </cell>
          <cell r="AC451">
            <v>45345.03</v>
          </cell>
          <cell r="AD451">
            <v>45345.03</v>
          </cell>
          <cell r="AE451">
            <v>45345.03</v>
          </cell>
          <cell r="AF451">
            <v>45345.03</v>
          </cell>
          <cell r="AG451">
            <v>45345.03</v>
          </cell>
          <cell r="AH451">
            <v>45345.03</v>
          </cell>
          <cell r="AI451">
            <v>45345.03</v>
          </cell>
          <cell r="AJ451">
            <v>45345.03</v>
          </cell>
          <cell r="AK451">
            <v>45345.03</v>
          </cell>
          <cell r="AL451">
            <v>45345.03</v>
          </cell>
          <cell r="AM451">
            <v>45345.03</v>
          </cell>
          <cell r="AN451">
            <v>45345.03</v>
          </cell>
          <cell r="AO451">
            <v>45345.03</v>
          </cell>
          <cell r="AP451">
            <v>45345.03</v>
          </cell>
          <cell r="AQ451">
            <v>45345.03</v>
          </cell>
          <cell r="AR451">
            <v>45345.03</v>
          </cell>
          <cell r="AS451">
            <v>45345.03</v>
          </cell>
          <cell r="AT451">
            <v>45345.03</v>
          </cell>
          <cell r="AU451">
            <v>45345.03</v>
          </cell>
          <cell r="AV451">
            <v>45345.03</v>
          </cell>
          <cell r="AW451">
            <v>45345.03</v>
          </cell>
          <cell r="AX451">
            <v>45345.03</v>
          </cell>
          <cell r="AY451">
            <v>45345.03</v>
          </cell>
          <cell r="AZ451">
            <v>45345.03</v>
          </cell>
          <cell r="BA451">
            <v>45345.03</v>
          </cell>
          <cell r="BB451">
            <v>45345.03</v>
          </cell>
          <cell r="BC451">
            <v>45345.03</v>
          </cell>
          <cell r="BD451">
            <v>27368.99</v>
          </cell>
          <cell r="BE451">
            <v>12617.1</v>
          </cell>
          <cell r="BF451">
            <v>12704.24</v>
          </cell>
          <cell r="BG451">
            <v>12706.38</v>
          </cell>
          <cell r="BH451">
            <v>13141.73</v>
          </cell>
          <cell r="BI451">
            <v>13803.91</v>
          </cell>
          <cell r="BJ451">
            <v>13829.09</v>
          </cell>
          <cell r="BK451">
            <v>13850.32</v>
          </cell>
          <cell r="BL451">
            <v>13822.88</v>
          </cell>
          <cell r="BM451">
            <v>13822.88</v>
          </cell>
          <cell r="BN451">
            <v>14052.4</v>
          </cell>
          <cell r="BO451">
            <v>13860.92</v>
          </cell>
          <cell r="BP451">
            <v>13860.92</v>
          </cell>
          <cell r="BQ451">
            <v>13860.92</v>
          </cell>
          <cell r="BR451">
            <v>13860.92</v>
          </cell>
          <cell r="BS451">
            <v>15398.62</v>
          </cell>
          <cell r="BT451">
            <v>15460.32</v>
          </cell>
          <cell r="BU451">
            <v>15429.82</v>
          </cell>
          <cell r="BV451">
            <v>15429.82</v>
          </cell>
          <cell r="BW451">
            <v>15628.22</v>
          </cell>
          <cell r="BX451">
            <v>15469.92</v>
          </cell>
          <cell r="BY451">
            <v>15469.92</v>
          </cell>
          <cell r="BZ451">
            <v>15481.28</v>
          </cell>
          <cell r="CA451">
            <v>15471.2</v>
          </cell>
          <cell r="CB451">
            <v>15471.2</v>
          </cell>
          <cell r="CC451">
            <v>15471.2</v>
          </cell>
          <cell r="CD451">
            <v>15471.2</v>
          </cell>
          <cell r="CE451">
            <v>15471.2</v>
          </cell>
          <cell r="CF451">
            <v>15471.2</v>
          </cell>
          <cell r="CG451">
            <v>15471.2</v>
          </cell>
          <cell r="CH451">
            <v>15471.2</v>
          </cell>
          <cell r="CI451">
            <v>15471.2</v>
          </cell>
          <cell r="CJ451">
            <v>15471.2</v>
          </cell>
          <cell r="CK451">
            <v>15471.2</v>
          </cell>
          <cell r="CL451">
            <v>28962.53</v>
          </cell>
          <cell r="CM451">
            <v>30345.65</v>
          </cell>
          <cell r="CN451">
            <v>32308.91</v>
          </cell>
          <cell r="CO451">
            <v>34366.57</v>
          </cell>
          <cell r="CP451">
            <v>31548.63</v>
          </cell>
          <cell r="CQ451">
            <v>31548.63</v>
          </cell>
          <cell r="CR451">
            <v>31548.63</v>
          </cell>
          <cell r="CS451">
            <v>31548.63</v>
          </cell>
          <cell r="CT451">
            <v>33014.53</v>
          </cell>
          <cell r="CU451">
            <v>31548.63</v>
          </cell>
          <cell r="CV451">
            <v>31548.63</v>
          </cell>
          <cell r="CW451">
            <v>31548.63</v>
          </cell>
          <cell r="CX451">
            <v>31548.63</v>
          </cell>
          <cell r="CY451">
            <v>31548.63</v>
          </cell>
          <cell r="CZ451">
            <v>31548.63</v>
          </cell>
          <cell r="DA451">
            <v>31548.63</v>
          </cell>
          <cell r="DB451">
            <v>38388.78</v>
          </cell>
          <cell r="DC451">
            <v>41512.61</v>
          </cell>
          <cell r="DD451">
            <v>40002.01</v>
          </cell>
          <cell r="DE451">
            <v>39319.17</v>
          </cell>
          <cell r="DF451">
            <v>38387.68</v>
          </cell>
          <cell r="DG451">
            <v>38387.68</v>
          </cell>
        </row>
        <row r="452">
          <cell r="A452" t="str">
            <v>4310</v>
          </cell>
          <cell r="B452">
            <v>9431000</v>
          </cell>
          <cell r="C452" t="str">
            <v>Oth Interest Exp</v>
          </cell>
          <cell r="D452">
            <v>91832.03</v>
          </cell>
          <cell r="E452">
            <v>86843.68</v>
          </cell>
          <cell r="F452">
            <v>83829.72</v>
          </cell>
          <cell r="G452">
            <v>82862.45</v>
          </cell>
          <cell r="H452">
            <v>83203.09</v>
          </cell>
          <cell r="I452">
            <v>83004.789999999994</v>
          </cell>
          <cell r="J452">
            <v>83313.78</v>
          </cell>
          <cell r="K452">
            <v>83772.83</v>
          </cell>
          <cell r="L452">
            <v>84826.76</v>
          </cell>
          <cell r="M452">
            <v>85140.56</v>
          </cell>
          <cell r="N452">
            <v>83829.83</v>
          </cell>
          <cell r="O452">
            <v>87042.3</v>
          </cell>
          <cell r="P452">
            <v>91779.17</v>
          </cell>
          <cell r="Q452">
            <v>87967.99</v>
          </cell>
          <cell r="R452">
            <v>88312.63</v>
          </cell>
          <cell r="S452">
            <v>84733.17</v>
          </cell>
          <cell r="T452">
            <v>85537.26</v>
          </cell>
          <cell r="U452">
            <v>85868.43</v>
          </cell>
          <cell r="V452">
            <v>86218.240000000005</v>
          </cell>
          <cell r="W452">
            <v>86523.16</v>
          </cell>
          <cell r="X452">
            <v>86793.2</v>
          </cell>
          <cell r="Y452">
            <v>86922.98</v>
          </cell>
          <cell r="Z452">
            <v>87199.89</v>
          </cell>
          <cell r="AA452">
            <v>87642.38</v>
          </cell>
          <cell r="AB452">
            <v>88204.160000000003</v>
          </cell>
          <cell r="AC452">
            <v>84916.01</v>
          </cell>
          <cell r="AD452">
            <v>83468.460000000006</v>
          </cell>
          <cell r="AE452">
            <v>81129.69</v>
          </cell>
          <cell r="AF452">
            <v>79572.649999999994</v>
          </cell>
          <cell r="AG452">
            <v>78527.350000000006</v>
          </cell>
          <cell r="AH452">
            <v>77711.679999999993</v>
          </cell>
          <cell r="AI452">
            <v>75873.56</v>
          </cell>
          <cell r="AJ452">
            <v>74486.52</v>
          </cell>
          <cell r="AK452">
            <v>69929.990000000005</v>
          </cell>
          <cell r="AL452">
            <v>71695.98</v>
          </cell>
          <cell r="AM452">
            <v>91083.1</v>
          </cell>
          <cell r="AN452">
            <v>106376.67</v>
          </cell>
          <cell r="AO452">
            <v>111197.64</v>
          </cell>
          <cell r="AP452">
            <v>115433.49</v>
          </cell>
          <cell r="AQ452">
            <v>119292.82</v>
          </cell>
          <cell r="AR452">
            <v>96273.49</v>
          </cell>
          <cell r="AS452">
            <v>107307.95</v>
          </cell>
          <cell r="AT452">
            <v>118182.64</v>
          </cell>
          <cell r="AU452">
            <v>121484.48</v>
          </cell>
          <cell r="AV452">
            <v>189046.07</v>
          </cell>
          <cell r="AW452">
            <v>179486.34</v>
          </cell>
          <cell r="AX452">
            <v>83473.97</v>
          </cell>
          <cell r="AY452">
            <v>93967.35</v>
          </cell>
          <cell r="AZ452">
            <v>54753.9</v>
          </cell>
          <cell r="BA452">
            <v>251500.86</v>
          </cell>
          <cell r="BB452">
            <v>-122647.52</v>
          </cell>
          <cell r="BC452">
            <v>67679.490000000005</v>
          </cell>
          <cell r="BD452">
            <v>131602.81</v>
          </cell>
          <cell r="BE452">
            <v>148650.22</v>
          </cell>
          <cell r="BF452">
            <v>83348.53</v>
          </cell>
          <cell r="BG452">
            <v>77093.279999999999</v>
          </cell>
          <cell r="BH452">
            <v>83054.06</v>
          </cell>
          <cell r="BI452">
            <v>88636.19</v>
          </cell>
          <cell r="BJ452">
            <v>112575.9</v>
          </cell>
          <cell r="BK452">
            <v>195317.3</v>
          </cell>
          <cell r="BL452">
            <v>270593.53999999998</v>
          </cell>
          <cell r="BM452">
            <v>254938.72</v>
          </cell>
          <cell r="BN452">
            <v>238517.44</v>
          </cell>
          <cell r="BO452">
            <v>228488.16</v>
          </cell>
          <cell r="BP452">
            <v>173371.21</v>
          </cell>
          <cell r="BQ452">
            <v>-46770.7</v>
          </cell>
          <cell r="BR452">
            <v>182601.9</v>
          </cell>
          <cell r="BS452">
            <v>166855.78</v>
          </cell>
          <cell r="BT452">
            <v>174900.04</v>
          </cell>
          <cell r="BU452">
            <v>183329.45</v>
          </cell>
          <cell r="BV452">
            <v>185761.31</v>
          </cell>
          <cell r="BW452">
            <v>228886.96</v>
          </cell>
          <cell r="BX452">
            <v>65193.35</v>
          </cell>
          <cell r="BY452">
            <v>69209.09</v>
          </cell>
          <cell r="BZ452">
            <v>75353.75</v>
          </cell>
          <cell r="CA452">
            <v>68080.61</v>
          </cell>
          <cell r="CB452">
            <v>55867.64</v>
          </cell>
          <cell r="CC452">
            <v>821110.09</v>
          </cell>
          <cell r="CD452">
            <v>163389</v>
          </cell>
          <cell r="CE452">
            <v>160022.69</v>
          </cell>
          <cell r="CF452">
            <v>155534.31</v>
          </cell>
          <cell r="CG452">
            <v>173753.4</v>
          </cell>
          <cell r="CH452">
            <v>188205.81</v>
          </cell>
          <cell r="CI452">
            <v>202881.97</v>
          </cell>
          <cell r="CJ452">
            <v>242829.99</v>
          </cell>
          <cell r="CK452">
            <v>236632.34</v>
          </cell>
          <cell r="CL452">
            <v>198773.55</v>
          </cell>
          <cell r="CM452">
            <v>61351.61</v>
          </cell>
          <cell r="CN452">
            <v>82179.83</v>
          </cell>
          <cell r="CO452">
            <v>125163.83</v>
          </cell>
          <cell r="CP452">
            <v>82024.320000000007</v>
          </cell>
          <cell r="CQ452">
            <v>85168.46</v>
          </cell>
          <cell r="CR452">
            <v>77517.289999999994</v>
          </cell>
          <cell r="CS452">
            <v>91095.42</v>
          </cell>
          <cell r="CT452">
            <v>92735.29</v>
          </cell>
          <cell r="CU452">
            <v>104432.07</v>
          </cell>
          <cell r="CV452">
            <v>154024.62</v>
          </cell>
          <cell r="CW452">
            <v>132457.49</v>
          </cell>
          <cell r="CX452">
            <v>178230.33</v>
          </cell>
          <cell r="CY452">
            <v>220081.39</v>
          </cell>
          <cell r="CZ452">
            <v>291652.99</v>
          </cell>
          <cell r="DA452">
            <v>317240.2</v>
          </cell>
          <cell r="DB452">
            <v>397230.93</v>
          </cell>
          <cell r="DC452">
            <v>379236.04</v>
          </cell>
          <cell r="DD452">
            <v>460705.09</v>
          </cell>
          <cell r="DE452">
            <v>595762.93999999994</v>
          </cell>
          <cell r="DF452">
            <v>682799.43</v>
          </cell>
          <cell r="DG452">
            <v>797578.27</v>
          </cell>
        </row>
        <row r="453">
          <cell r="A453" t="str">
            <v>4320</v>
          </cell>
          <cell r="B453">
            <v>9432000</v>
          </cell>
          <cell r="C453" t="str">
            <v>Allow Borrow Funds</v>
          </cell>
          <cell r="D453"/>
          <cell r="E453"/>
          <cell r="F453"/>
          <cell r="G453"/>
          <cell r="H453"/>
          <cell r="I453"/>
          <cell r="J453"/>
          <cell r="K453"/>
          <cell r="L453"/>
          <cell r="M453"/>
          <cell r="N453"/>
          <cell r="O453"/>
          <cell r="P453"/>
          <cell r="Q453"/>
          <cell r="R453"/>
          <cell r="S453"/>
          <cell r="T453"/>
          <cell r="U453"/>
          <cell r="V453"/>
          <cell r="W453"/>
          <cell r="X453"/>
          <cell r="Y453"/>
          <cell r="Z453"/>
          <cell r="AA453"/>
          <cell r="AB453"/>
          <cell r="AC453"/>
          <cell r="AD453"/>
          <cell r="AE453"/>
          <cell r="AF453"/>
          <cell r="AG453"/>
          <cell r="AH453"/>
          <cell r="AI453"/>
          <cell r="AJ453"/>
          <cell r="AK453"/>
          <cell r="AL453"/>
          <cell r="AM453"/>
          <cell r="AN453"/>
          <cell r="AO453"/>
          <cell r="AP453"/>
          <cell r="AQ453"/>
          <cell r="AR453"/>
          <cell r="AS453"/>
          <cell r="AT453"/>
          <cell r="AU453"/>
          <cell r="AV453"/>
          <cell r="AW453"/>
          <cell r="AX453"/>
          <cell r="AY453"/>
          <cell r="AZ453"/>
          <cell r="BA453"/>
          <cell r="BB453"/>
          <cell r="BC453"/>
          <cell r="BD453"/>
          <cell r="BE453"/>
          <cell r="BF453"/>
          <cell r="BG453"/>
          <cell r="BH453"/>
          <cell r="BI453"/>
          <cell r="BJ453"/>
          <cell r="BK453"/>
          <cell r="BL453"/>
          <cell r="BM453"/>
          <cell r="BN453"/>
          <cell r="BO453"/>
          <cell r="BP453"/>
          <cell r="BQ453"/>
          <cell r="BR453">
            <v>0</v>
          </cell>
          <cell r="BS453">
            <v>0</v>
          </cell>
          <cell r="BT453">
            <v>-28294.53</v>
          </cell>
          <cell r="BU453">
            <v>-65884.87</v>
          </cell>
          <cell r="BV453">
            <v>-25132.7</v>
          </cell>
          <cell r="BW453">
            <v>-31693.47</v>
          </cell>
          <cell r="BX453">
            <v>-41123.9</v>
          </cell>
          <cell r="BY453">
            <v>-51382.78</v>
          </cell>
          <cell r="BZ453">
            <v>-60040.59</v>
          </cell>
          <cell r="CA453">
            <v>-68313.5</v>
          </cell>
          <cell r="CB453">
            <v>-82831.14</v>
          </cell>
          <cell r="CC453">
            <v>-94708.89</v>
          </cell>
          <cell r="CD453">
            <v>-101897.5</v>
          </cell>
          <cell r="CE453">
            <v>-113702.74</v>
          </cell>
          <cell r="CF453">
            <v>-127173</v>
          </cell>
          <cell r="CG453">
            <v>-100603.36</v>
          </cell>
          <cell r="CH453">
            <v>-74277.42</v>
          </cell>
          <cell r="CI453">
            <v>-85997.18</v>
          </cell>
          <cell r="CJ453">
            <v>-97828.96</v>
          </cell>
          <cell r="CK453">
            <v>-118962.67</v>
          </cell>
          <cell r="CL453">
            <v>-125175.22</v>
          </cell>
          <cell r="CM453">
            <v>-101772.96</v>
          </cell>
          <cell r="CN453">
            <v>-70765.289999999994</v>
          </cell>
          <cell r="CO453">
            <v>-73446.960000000006</v>
          </cell>
          <cell r="CP453">
            <v>-79548.13</v>
          </cell>
          <cell r="CQ453">
            <v>-89530.79</v>
          </cell>
          <cell r="CR453">
            <v>-98143.71</v>
          </cell>
          <cell r="CS453">
            <v>-105329.65</v>
          </cell>
          <cell r="CT453">
            <v>-37935.15</v>
          </cell>
          <cell r="CU453">
            <v>-52206.77</v>
          </cell>
          <cell r="CV453">
            <v>-57599.07</v>
          </cell>
          <cell r="CW453">
            <v>-62866.879999999997</v>
          </cell>
          <cell r="CX453">
            <v>-68331.64</v>
          </cell>
          <cell r="CY453">
            <v>-75234.820000000007</v>
          </cell>
          <cell r="CZ453">
            <v>-83191.78</v>
          </cell>
          <cell r="DA453">
            <v>-92933.84</v>
          </cell>
          <cell r="DB453">
            <v>-103760.02</v>
          </cell>
          <cell r="DC453">
            <v>-111463.17</v>
          </cell>
          <cell r="DD453">
            <v>-118085.17</v>
          </cell>
          <cell r="DE453">
            <v>-53459.64</v>
          </cell>
          <cell r="DF453">
            <v>-78253.39</v>
          </cell>
          <cell r="DG453">
            <v>-84749.19</v>
          </cell>
        </row>
        <row r="454">
          <cell r="A454" t="str">
            <v>4330</v>
          </cell>
          <cell r="B454">
            <v>9433000</v>
          </cell>
          <cell r="C454" t="str">
            <v>Bal Trans from Inc</v>
          </cell>
          <cell r="D454">
            <v>-2181090.04</v>
          </cell>
          <cell r="E454">
            <v>4502626.84</v>
          </cell>
          <cell r="F454">
            <v>4881883.5599999996</v>
          </cell>
          <cell r="G454">
            <v>-8672808.1699999999</v>
          </cell>
          <cell r="H454">
            <v>1814214.4</v>
          </cell>
          <cell r="I454">
            <v>2478542.08</v>
          </cell>
          <cell r="J454">
            <v>-8287360.1799999997</v>
          </cell>
          <cell r="K454">
            <v>1711061.1</v>
          </cell>
          <cell r="L454">
            <v>1334666.74</v>
          </cell>
          <cell r="M454">
            <v>-3454548.84</v>
          </cell>
          <cell r="N454">
            <v>2825107.6</v>
          </cell>
          <cell r="O454">
            <v>3729886.48</v>
          </cell>
          <cell r="P454">
            <v>5545677.0499999998</v>
          </cell>
          <cell r="Q454">
            <v>-1618732.23</v>
          </cell>
          <cell r="R454">
            <v>4121482.69</v>
          </cell>
          <cell r="S454">
            <v>-11865145.140000001</v>
          </cell>
          <cell r="T454">
            <v>2343817.73</v>
          </cell>
          <cell r="U454">
            <v>2795820.78</v>
          </cell>
          <cell r="V454">
            <v>-7002762.9199999999</v>
          </cell>
          <cell r="W454">
            <v>2511676.65</v>
          </cell>
          <cell r="X454">
            <v>1860447.41</v>
          </cell>
          <cell r="Y454">
            <v>2165009.88</v>
          </cell>
          <cell r="Z454">
            <v>-5334041.95</v>
          </cell>
          <cell r="AA454">
            <v>2949033.29</v>
          </cell>
          <cell r="AB454">
            <v>5297380.29</v>
          </cell>
          <cell r="AC454">
            <v>-380394.57</v>
          </cell>
          <cell r="AD454">
            <v>2373165.4700000002</v>
          </cell>
          <cell r="AE454">
            <v>2946014.46</v>
          </cell>
          <cell r="AF454">
            <v>-10925439.9</v>
          </cell>
          <cell r="AG454">
            <v>-6769928.9000000004</v>
          </cell>
          <cell r="AH454">
            <v>2616097.65</v>
          </cell>
          <cell r="AI454">
            <v>2019875.78</v>
          </cell>
          <cell r="AJ454">
            <v>1958976.08</v>
          </cell>
          <cell r="AK454">
            <v>2943980.86</v>
          </cell>
          <cell r="AL454">
            <v>-2853946.38</v>
          </cell>
          <cell r="AM454">
            <v>2053249.05</v>
          </cell>
          <cell r="AN454">
            <v>5364828.88</v>
          </cell>
          <cell r="AO454">
            <v>-4136101.49</v>
          </cell>
          <cell r="AP454">
            <v>4536791.43</v>
          </cell>
          <cell r="AQ454">
            <v>3830968.03</v>
          </cell>
          <cell r="AR454">
            <v>-7570916.29</v>
          </cell>
          <cell r="AS454">
            <v>2081619.07</v>
          </cell>
          <cell r="AT454">
            <v>2758883.76</v>
          </cell>
          <cell r="AU454">
            <v>-9589224.5600000005</v>
          </cell>
          <cell r="AV454">
            <v>2707918.43</v>
          </cell>
          <cell r="AW454">
            <v>2630149.91</v>
          </cell>
          <cell r="AX454">
            <v>-3894080.18</v>
          </cell>
          <cell r="AY454">
            <v>5584119.0700000003</v>
          </cell>
          <cell r="AZ454">
            <v>9302106.2899999991</v>
          </cell>
          <cell r="BA454">
            <v>-9862049.3100000005</v>
          </cell>
          <cell r="BB454">
            <v>1650568.72</v>
          </cell>
          <cell r="BC454">
            <v>5304901.6399999997</v>
          </cell>
          <cell r="BD454">
            <v>-12767979.300000001</v>
          </cell>
          <cell r="BE454">
            <v>3096375</v>
          </cell>
          <cell r="BF454">
            <v>3105270.2</v>
          </cell>
          <cell r="BG454">
            <v>-8557337.3599999994</v>
          </cell>
          <cell r="BH454">
            <v>3697950.51</v>
          </cell>
          <cell r="BI454">
            <v>2803273.23</v>
          </cell>
          <cell r="BJ454">
            <v>-5813460.6699999999</v>
          </cell>
          <cell r="BK454">
            <v>5493355.7599999998</v>
          </cell>
          <cell r="BL454">
            <v>6617945.8899999997</v>
          </cell>
          <cell r="BM454">
            <v>-5951830.5</v>
          </cell>
          <cell r="BN454">
            <v>5496050.3099999996</v>
          </cell>
          <cell r="BO454">
            <v>5226930.1900000004</v>
          </cell>
          <cell r="BP454">
            <v>-13397496.93</v>
          </cell>
          <cell r="BQ454">
            <v>3765173.37</v>
          </cell>
          <cell r="BR454">
            <v>3058815.38</v>
          </cell>
          <cell r="BS454">
            <v>-9733380.8399999999</v>
          </cell>
          <cell r="BT454">
            <v>3683859.63</v>
          </cell>
          <cell r="BU454">
            <v>3425609.09</v>
          </cell>
          <cell r="BV454">
            <v>-6182919.29</v>
          </cell>
          <cell r="BW454">
            <v>4061403.69</v>
          </cell>
          <cell r="BX454">
            <v>7675617.6200000001</v>
          </cell>
          <cell r="BY454">
            <v>-5948184.0800000001</v>
          </cell>
          <cell r="BZ454">
            <v>4844783.18</v>
          </cell>
          <cell r="CA454">
            <v>3710728.28</v>
          </cell>
          <cell r="CB454">
            <v>-14852521.16</v>
          </cell>
          <cell r="CC454">
            <v>3209793.14</v>
          </cell>
          <cell r="CD454">
            <v>3096133.42</v>
          </cell>
          <cell r="CE454">
            <v>-6771045.1500000004</v>
          </cell>
          <cell r="CF454">
            <v>3415357.65</v>
          </cell>
          <cell r="CG454">
            <v>2946877.3</v>
          </cell>
          <cell r="CH454">
            <v>-5179416.92</v>
          </cell>
          <cell r="CI454">
            <v>4619564.9800000004</v>
          </cell>
          <cell r="CJ454">
            <v>11395487.33</v>
          </cell>
          <cell r="CK454">
            <v>-4646700.9000000004</v>
          </cell>
          <cell r="CL454">
            <v>7690800.4699999997</v>
          </cell>
          <cell r="CM454">
            <v>-19402192.890000001</v>
          </cell>
          <cell r="CN454">
            <v>5523422.1399999997</v>
          </cell>
          <cell r="CO454">
            <v>5442618.1799999997</v>
          </cell>
          <cell r="CP454">
            <v>4434602.46</v>
          </cell>
          <cell r="CQ454">
            <v>-13892246.57</v>
          </cell>
          <cell r="CR454">
            <v>5555927.8700000001</v>
          </cell>
          <cell r="CS454">
            <v>5105687.1500000004</v>
          </cell>
          <cell r="CT454">
            <v>-8957171.2300000004</v>
          </cell>
          <cell r="CU454">
            <v>5862599.79</v>
          </cell>
          <cell r="CV454">
            <v>9787937.4600000009</v>
          </cell>
          <cell r="CW454">
            <v>-7920739.6399999997</v>
          </cell>
          <cell r="CX454">
            <v>10906631.869999999</v>
          </cell>
          <cell r="CY454">
            <v>-22833862.670000002</v>
          </cell>
          <cell r="CZ454">
            <v>6255344.3099999996</v>
          </cell>
          <cell r="DA454">
            <v>6658559.8300000001</v>
          </cell>
          <cell r="DB454">
            <v>4395198.3499999996</v>
          </cell>
          <cell r="DC454">
            <v>-15060884.5</v>
          </cell>
          <cell r="DD454">
            <v>7270008.4299999997</v>
          </cell>
          <cell r="DE454">
            <v>-11423300.48</v>
          </cell>
          <cell r="DF454">
            <v>5933019.0599999996</v>
          </cell>
          <cell r="DG454">
            <v>6107119.9299999997</v>
          </cell>
        </row>
        <row r="455">
          <cell r="A455" t="str">
            <v>4380</v>
          </cell>
          <cell r="B455">
            <v>9438000</v>
          </cell>
          <cell r="C455" t="str">
            <v>Div Decl Common Stk</v>
          </cell>
          <cell r="D455">
            <v>7357286.6799999997</v>
          </cell>
          <cell r="E455">
            <v>0</v>
          </cell>
          <cell r="F455">
            <v>0</v>
          </cell>
          <cell r="G455">
            <v>11948603.68</v>
          </cell>
          <cell r="H455">
            <v>0</v>
          </cell>
          <cell r="I455">
            <v>0</v>
          </cell>
          <cell r="J455">
            <v>9971893.4700000007</v>
          </cell>
          <cell r="K455">
            <v>0</v>
          </cell>
          <cell r="L455">
            <v>0</v>
          </cell>
          <cell r="M455">
            <v>5874136.4699999997</v>
          </cell>
          <cell r="N455">
            <v>0</v>
          </cell>
          <cell r="O455">
            <v>0</v>
          </cell>
          <cell r="P455">
            <v>0</v>
          </cell>
          <cell r="Q455">
            <v>6579361.9699999997</v>
          </cell>
          <cell r="R455">
            <v>0</v>
          </cell>
          <cell r="S455">
            <v>14236193.27</v>
          </cell>
          <cell r="T455">
            <v>0</v>
          </cell>
          <cell r="U455">
            <v>0</v>
          </cell>
          <cell r="V455">
            <v>8836348.5500000007</v>
          </cell>
          <cell r="W455">
            <v>0</v>
          </cell>
          <cell r="X455">
            <v>0</v>
          </cell>
          <cell r="Y455">
            <v>0</v>
          </cell>
          <cell r="Z455">
            <v>7141083.0599999996</v>
          </cell>
          <cell r="AA455">
            <v>0</v>
          </cell>
          <cell r="AB455">
            <v>0</v>
          </cell>
          <cell r="AC455">
            <v>5832498.4000000004</v>
          </cell>
          <cell r="AD455">
            <v>0</v>
          </cell>
          <cell r="AE455">
            <v>0</v>
          </cell>
          <cell r="AF455">
            <v>13698517.41</v>
          </cell>
          <cell r="AG455">
            <v>8092257.4400000004</v>
          </cell>
          <cell r="AH455">
            <v>0</v>
          </cell>
          <cell r="AI455">
            <v>0</v>
          </cell>
          <cell r="AJ455">
            <v>0</v>
          </cell>
          <cell r="AK455">
            <v>0</v>
          </cell>
          <cell r="AL455">
            <v>5958301.9699999997</v>
          </cell>
          <cell r="AM455">
            <v>0</v>
          </cell>
          <cell r="AN455">
            <v>0</v>
          </cell>
          <cell r="AO455">
            <v>8007312.5300000003</v>
          </cell>
          <cell r="AP455">
            <v>0</v>
          </cell>
          <cell r="AQ455">
            <v>0</v>
          </cell>
          <cell r="AR455">
            <v>11289288.970000001</v>
          </cell>
          <cell r="AS455">
            <v>0</v>
          </cell>
          <cell r="AT455">
            <v>0</v>
          </cell>
          <cell r="AU455">
            <v>12086132.140000001</v>
          </cell>
          <cell r="AV455">
            <v>0</v>
          </cell>
          <cell r="AW455">
            <v>0</v>
          </cell>
          <cell r="AX455">
            <v>7337410.4100000001</v>
          </cell>
          <cell r="AY455">
            <v>0</v>
          </cell>
          <cell r="AZ455">
            <v>0</v>
          </cell>
          <cell r="BA455">
            <v>14365517.640000001</v>
          </cell>
          <cell r="BB455">
            <v>0</v>
          </cell>
          <cell r="BC455">
            <v>0</v>
          </cell>
          <cell r="BD455">
            <v>15456143.34</v>
          </cell>
          <cell r="BE455">
            <v>0</v>
          </cell>
          <cell r="BF455">
            <v>0</v>
          </cell>
          <cell r="BG455">
            <v>11089440.68</v>
          </cell>
          <cell r="BH455">
            <v>0</v>
          </cell>
          <cell r="BI455">
            <v>0</v>
          </cell>
          <cell r="BJ455">
            <v>9335324.0299999993</v>
          </cell>
          <cell r="BK455">
            <v>0</v>
          </cell>
          <cell r="BL455">
            <v>0</v>
          </cell>
          <cell r="BM455">
            <v>11818492.35</v>
          </cell>
          <cell r="BN455">
            <v>0</v>
          </cell>
          <cell r="BO455">
            <v>0</v>
          </cell>
          <cell r="BP455">
            <v>17980658.050000001</v>
          </cell>
          <cell r="BQ455">
            <v>0</v>
          </cell>
          <cell r="BR455">
            <v>0</v>
          </cell>
          <cell r="BS455">
            <v>13575264.68</v>
          </cell>
          <cell r="BT455">
            <v>0</v>
          </cell>
          <cell r="BU455">
            <v>0</v>
          </cell>
          <cell r="BV455">
            <v>10584558</v>
          </cell>
          <cell r="BW455">
            <v>0</v>
          </cell>
          <cell r="BX455">
            <v>0</v>
          </cell>
          <cell r="BY455">
            <v>11888651</v>
          </cell>
          <cell r="BZ455">
            <v>0</v>
          </cell>
          <cell r="CA455">
            <v>0</v>
          </cell>
          <cell r="CB455">
            <v>18460868</v>
          </cell>
          <cell r="CC455">
            <v>0</v>
          </cell>
          <cell r="CD455">
            <v>0</v>
          </cell>
          <cell r="CE455">
            <v>10528868</v>
          </cell>
          <cell r="CF455">
            <v>0</v>
          </cell>
          <cell r="CG455">
            <v>0</v>
          </cell>
          <cell r="CH455">
            <v>10269314</v>
          </cell>
          <cell r="CI455">
            <v>0</v>
          </cell>
          <cell r="CJ455">
            <v>0</v>
          </cell>
          <cell r="CK455">
            <v>12656339</v>
          </cell>
          <cell r="CL455">
            <v>0</v>
          </cell>
          <cell r="CM455">
            <v>27095926</v>
          </cell>
          <cell r="CN455">
            <v>0</v>
          </cell>
          <cell r="CO455">
            <v>0</v>
          </cell>
          <cell r="CP455">
            <v>0</v>
          </cell>
          <cell r="CQ455">
            <v>18659773</v>
          </cell>
          <cell r="CR455">
            <v>0</v>
          </cell>
          <cell r="CS455">
            <v>0</v>
          </cell>
          <cell r="CT455">
            <v>14758057</v>
          </cell>
          <cell r="CU455">
            <v>0</v>
          </cell>
          <cell r="CV455">
            <v>0</v>
          </cell>
          <cell r="CW455">
            <v>16769173</v>
          </cell>
          <cell r="CX455">
            <v>0</v>
          </cell>
          <cell r="CY455">
            <v>29543003</v>
          </cell>
          <cell r="CZ455">
            <v>0</v>
          </cell>
          <cell r="DA455">
            <v>0</v>
          </cell>
          <cell r="DB455">
            <v>0</v>
          </cell>
          <cell r="DC455">
            <v>19623044</v>
          </cell>
          <cell r="DD455">
            <v>0</v>
          </cell>
          <cell r="DE455">
            <v>16227366</v>
          </cell>
          <cell r="DF455">
            <v>0</v>
          </cell>
          <cell r="DG455">
            <v>0</v>
          </cell>
        </row>
        <row r="456">
          <cell r="A456" t="str">
            <v>4800</v>
          </cell>
          <cell r="B456">
            <v>9480000</v>
          </cell>
          <cell r="C456" t="str">
            <v>Gas Resid Sales</v>
          </cell>
          <cell r="D456">
            <v>-18789070.870000001</v>
          </cell>
          <cell r="E456">
            <v>-17974787.210000001</v>
          </cell>
          <cell r="F456">
            <v>-12072394.210000001</v>
          </cell>
          <cell r="G456">
            <v>-11512611.34</v>
          </cell>
          <cell r="H456">
            <v>-9204449.0899999999</v>
          </cell>
          <cell r="I456">
            <v>-9401415.9199999999</v>
          </cell>
          <cell r="J456">
            <v>-8616808.4900000002</v>
          </cell>
          <cell r="K456">
            <v>-8341471.8700000001</v>
          </cell>
          <cell r="L456">
            <v>-8876012.4299999997</v>
          </cell>
          <cell r="M456">
            <v>-9407334.7400000002</v>
          </cell>
          <cell r="N456">
            <v>-11392701.92</v>
          </cell>
          <cell r="O456">
            <v>-16023211.560000001</v>
          </cell>
          <cell r="P456">
            <v>-17146562.120000001</v>
          </cell>
          <cell r="Q456">
            <v>-16308098.98</v>
          </cell>
          <cell r="R456">
            <v>-14821418.9</v>
          </cell>
          <cell r="S456">
            <v>-9110900.8399999999</v>
          </cell>
          <cell r="T456">
            <v>-8985543.3499999996</v>
          </cell>
          <cell r="U456">
            <v>-9531636.3800000008</v>
          </cell>
          <cell r="V456">
            <v>-8548703.2799999993</v>
          </cell>
          <cell r="W456">
            <v>-8938662.9800000004</v>
          </cell>
          <cell r="X456">
            <v>-8913731.5299999993</v>
          </cell>
          <cell r="Y456">
            <v>-9314477.0199999996</v>
          </cell>
          <cell r="Z456">
            <v>-10620000.07</v>
          </cell>
          <cell r="AA456">
            <v>-12335179.560000001</v>
          </cell>
          <cell r="AB456">
            <v>-17160821.050000001</v>
          </cell>
          <cell r="AC456">
            <v>-18845612.18</v>
          </cell>
          <cell r="AD456">
            <v>-13444605.42</v>
          </cell>
          <cell r="AE456">
            <v>-10931467.970000001</v>
          </cell>
          <cell r="AF456">
            <v>-10047229.130000001</v>
          </cell>
          <cell r="AG456">
            <v>-8956120.2799999993</v>
          </cell>
          <cell r="AH456">
            <v>-8211620.5800000001</v>
          </cell>
          <cell r="AI456">
            <v>-8498263.0700000003</v>
          </cell>
          <cell r="AJ456">
            <v>-8749395.3100000005</v>
          </cell>
          <cell r="AK456">
            <v>-8862736.3000000007</v>
          </cell>
          <cell r="AL456">
            <v>-10510381.029999999</v>
          </cell>
          <cell r="AM456">
            <v>-12762491.27</v>
          </cell>
          <cell r="AN456">
            <v>-14720023.439999999</v>
          </cell>
          <cell r="AO456">
            <v>-13827429.51</v>
          </cell>
          <cell r="AP456">
            <v>-12172738.6</v>
          </cell>
          <cell r="AQ456">
            <v>-12116790.6</v>
          </cell>
          <cell r="AR456">
            <v>-9770434.3800000008</v>
          </cell>
          <cell r="AS456">
            <v>-8920686.9299999997</v>
          </cell>
          <cell r="AT456">
            <v>-8592431.6500000004</v>
          </cell>
          <cell r="AU456">
            <v>-8779572.8499999996</v>
          </cell>
          <cell r="AV456">
            <v>-10086790.9</v>
          </cell>
          <cell r="AW456">
            <v>-9764900.4399999995</v>
          </cell>
          <cell r="AX456">
            <v>-11846411.35</v>
          </cell>
          <cell r="AY456">
            <v>-14779023.710000001</v>
          </cell>
          <cell r="AZ456">
            <v>-25308184.75</v>
          </cell>
          <cell r="BA456">
            <v>-17174539</v>
          </cell>
          <cell r="BB456">
            <v>-11911371.42</v>
          </cell>
          <cell r="BC456">
            <v>-14470072</v>
          </cell>
          <cell r="BD456">
            <v>-10129247.9</v>
          </cell>
          <cell r="BE456">
            <v>-9704933.2200000007</v>
          </cell>
          <cell r="BF456">
            <v>-9559028.3399999999</v>
          </cell>
          <cell r="BG456">
            <v>-9282203.4399999995</v>
          </cell>
          <cell r="BH456">
            <v>-10118267.810000001</v>
          </cell>
          <cell r="BI456">
            <v>-9461613.5099999998</v>
          </cell>
          <cell r="BJ456">
            <v>-11331414.84</v>
          </cell>
          <cell r="BK456">
            <v>-15658973.699999999</v>
          </cell>
          <cell r="BL456">
            <v>-18509048.350000001</v>
          </cell>
          <cell r="BM456">
            <v>-16272346.470000001</v>
          </cell>
          <cell r="BN456">
            <v>-14136282.07</v>
          </cell>
          <cell r="BO456">
            <v>-14510060.26</v>
          </cell>
          <cell r="BP456">
            <v>-11453413.99</v>
          </cell>
          <cell r="BQ456">
            <v>-9741135.8399999999</v>
          </cell>
          <cell r="BR456">
            <v>-9869781.0299999993</v>
          </cell>
          <cell r="BS456">
            <v>-8973386.5399999991</v>
          </cell>
          <cell r="BT456">
            <v>-9873812.5700000003</v>
          </cell>
          <cell r="BU456">
            <v>-9662683.8300000001</v>
          </cell>
          <cell r="BV456">
            <v>-12129852.220000001</v>
          </cell>
          <cell r="BW456">
            <v>-16044610.1</v>
          </cell>
          <cell r="BX456">
            <v>-17619082.52</v>
          </cell>
          <cell r="BY456">
            <v>-15620600.68</v>
          </cell>
          <cell r="BZ456">
            <v>-13452666.41</v>
          </cell>
          <cell r="CA456">
            <v>-12722541.84</v>
          </cell>
          <cell r="CB456">
            <v>-11904847.33</v>
          </cell>
          <cell r="CC456">
            <v>-10926414.619999999</v>
          </cell>
          <cell r="CD456">
            <v>-9415780.2799999993</v>
          </cell>
          <cell r="CE456">
            <v>-9916007.6699999999</v>
          </cell>
          <cell r="CF456">
            <v>-9877256.0999999996</v>
          </cell>
          <cell r="CG456">
            <v>-10966189.01</v>
          </cell>
          <cell r="CH456">
            <v>-12940613.550000001</v>
          </cell>
          <cell r="CI456">
            <v>-19829450.940000001</v>
          </cell>
          <cell r="CJ456">
            <v>-26457420.960000001</v>
          </cell>
          <cell r="CK456">
            <v>-19184048.739999998</v>
          </cell>
          <cell r="CL456">
            <v>-20098401.280000001</v>
          </cell>
          <cell r="CM456">
            <v>-19209311.260000002</v>
          </cell>
          <cell r="CN456">
            <v>-14369600.52</v>
          </cell>
          <cell r="CO456">
            <v>-14243262.9</v>
          </cell>
          <cell r="CP456">
            <v>-13561702.66</v>
          </cell>
          <cell r="CQ456">
            <v>-13058455.18</v>
          </cell>
          <cell r="CR456">
            <v>-13931671.439999999</v>
          </cell>
          <cell r="CS456">
            <v>-14110256.74</v>
          </cell>
          <cell r="CT456">
            <v>-17172599.760000002</v>
          </cell>
          <cell r="CU456">
            <v>-22874214.050000001</v>
          </cell>
          <cell r="CV456">
            <v>-27758182.899999999</v>
          </cell>
          <cell r="CW456">
            <v>-26882190.350000001</v>
          </cell>
          <cell r="CX456">
            <v>-19298906.43</v>
          </cell>
          <cell r="CY456">
            <v>-18653376.609999999</v>
          </cell>
          <cell r="CZ456">
            <v>-16680760.27</v>
          </cell>
          <cell r="DA456">
            <v>-14033111.210000001</v>
          </cell>
          <cell r="DB456">
            <v>-13393189.880000001</v>
          </cell>
          <cell r="DC456">
            <v>-17022450.91</v>
          </cell>
          <cell r="DD456">
            <v>-16044413.35</v>
          </cell>
          <cell r="DE456">
            <v>-20444215.59</v>
          </cell>
          <cell r="DF456">
            <v>-14648919.77</v>
          </cell>
          <cell r="DG456">
            <v>-20183603.059999999</v>
          </cell>
        </row>
        <row r="457">
          <cell r="A457" t="str">
            <v>4810</v>
          </cell>
          <cell r="B457">
            <v>9481000</v>
          </cell>
          <cell r="C457" t="str">
            <v>Gas Comm Indus Sales</v>
          </cell>
          <cell r="D457">
            <v>-9281661.2799999993</v>
          </cell>
          <cell r="E457">
            <v>-6942485.1799999997</v>
          </cell>
          <cell r="F457">
            <v>-6196518.0700000003</v>
          </cell>
          <cell r="G457">
            <v>-9812135.8399999999</v>
          </cell>
          <cell r="H457">
            <v>-4873328.57</v>
          </cell>
          <cell r="I457">
            <v>-4949811.8899999997</v>
          </cell>
          <cell r="J457">
            <v>-7088126.04</v>
          </cell>
          <cell r="K457">
            <v>-9144553</v>
          </cell>
          <cell r="L457">
            <v>-6028157.7400000002</v>
          </cell>
          <cell r="M457">
            <v>-6220286.9299999997</v>
          </cell>
          <cell r="N457">
            <v>-6167285.9199999999</v>
          </cell>
          <cell r="O457">
            <v>-6326820.54</v>
          </cell>
          <cell r="P457">
            <v>-7235355.2400000002</v>
          </cell>
          <cell r="Q457">
            <v>-7653264.3300000001</v>
          </cell>
          <cell r="R457">
            <v>-5861467.4100000001</v>
          </cell>
          <cell r="S457">
            <v>-8813333.6300000008</v>
          </cell>
          <cell r="T457">
            <v>-5914370.3399999999</v>
          </cell>
          <cell r="U457">
            <v>-9083584.1099999994</v>
          </cell>
          <cell r="V457">
            <v>-6001980.0499999998</v>
          </cell>
          <cell r="W457">
            <v>-8775359.1300000008</v>
          </cell>
          <cell r="X457">
            <v>-7151083.5800000001</v>
          </cell>
          <cell r="Y457">
            <v>-7412057.1299999999</v>
          </cell>
          <cell r="Z457">
            <v>-10373787.6</v>
          </cell>
          <cell r="AA457">
            <v>-5498301.5499999998</v>
          </cell>
          <cell r="AB457">
            <v>-8493884.5299999993</v>
          </cell>
          <cell r="AC457">
            <v>-8535137.2899999991</v>
          </cell>
          <cell r="AD457">
            <v>-8529452.0600000005</v>
          </cell>
          <cell r="AE457">
            <v>-10628465.720000001</v>
          </cell>
          <cell r="AF457">
            <v>-7450734.2300000004</v>
          </cell>
          <cell r="AG457">
            <v>-9214933.5999999996</v>
          </cell>
          <cell r="AH457">
            <v>-13243087.539999999</v>
          </cell>
          <cell r="AI457">
            <v>-12055907.91</v>
          </cell>
          <cell r="AJ457">
            <v>-10066072.119999999</v>
          </cell>
          <cell r="AK457">
            <v>-10467432.119999999</v>
          </cell>
          <cell r="AL457">
            <v>-5438106.2999999998</v>
          </cell>
          <cell r="AM457">
            <v>-6284243.4699999997</v>
          </cell>
          <cell r="AN457">
            <v>-7328944.2300000004</v>
          </cell>
          <cell r="AO457">
            <v>-6696487.6399999997</v>
          </cell>
          <cell r="AP457">
            <v>-6097147.2400000002</v>
          </cell>
          <cell r="AQ457">
            <v>-8729546.9499999993</v>
          </cell>
          <cell r="AR457">
            <v>-9438397.3599999994</v>
          </cell>
          <cell r="AS457">
            <v>-7262160.46</v>
          </cell>
          <cell r="AT457">
            <v>-9404221.8800000008</v>
          </cell>
          <cell r="AU457">
            <v>-14720457.949999999</v>
          </cell>
          <cell r="AV457">
            <v>-13025019.35</v>
          </cell>
          <cell r="AW457">
            <v>-7109268.5199999996</v>
          </cell>
          <cell r="AX457">
            <v>-7620892.0099999998</v>
          </cell>
          <cell r="AY457">
            <v>-10331192.130000001</v>
          </cell>
          <cell r="AZ457">
            <v>-13920525.58</v>
          </cell>
          <cell r="BA457">
            <v>-8284049.6500000004</v>
          </cell>
          <cell r="BB457">
            <v>-5770678.2300000004</v>
          </cell>
          <cell r="BC457">
            <v>-7147212.3600000003</v>
          </cell>
          <cell r="BD457">
            <v>-7933673.7999999998</v>
          </cell>
          <cell r="BE457">
            <v>-11029266.029999999</v>
          </cell>
          <cell r="BF457">
            <v>-12692018.039999999</v>
          </cell>
          <cell r="BG457">
            <v>-9600349.6199999992</v>
          </cell>
          <cell r="BH457">
            <v>-11244221.15</v>
          </cell>
          <cell r="BI457">
            <v>-13462137.279999999</v>
          </cell>
          <cell r="BJ457">
            <v>-9918969.3200000003</v>
          </cell>
          <cell r="BK457">
            <v>-8022036.0199999996</v>
          </cell>
          <cell r="BL457">
            <v>-9609637.7200000007</v>
          </cell>
          <cell r="BM457">
            <v>-6735495.1100000003</v>
          </cell>
          <cell r="BN457">
            <v>-7989982.2199999997</v>
          </cell>
          <cell r="BO457">
            <v>-7737686.0499999998</v>
          </cell>
          <cell r="BP457">
            <v>-9889265.2699999996</v>
          </cell>
          <cell r="BQ457">
            <v>-6775396.1900000004</v>
          </cell>
          <cell r="BR457">
            <v>-6673373.5599999996</v>
          </cell>
          <cell r="BS457">
            <v>-6442681.9199999999</v>
          </cell>
          <cell r="BT457">
            <v>-10078716.07</v>
          </cell>
          <cell r="BU457">
            <v>-8599046.7400000002</v>
          </cell>
          <cell r="BV457">
            <v>-7186578.8099999996</v>
          </cell>
          <cell r="BW457">
            <v>-7033282.6600000001</v>
          </cell>
          <cell r="BX457">
            <v>-8408399.2699999996</v>
          </cell>
          <cell r="BY457">
            <v>-6439015.0700000003</v>
          </cell>
          <cell r="BZ457">
            <v>-6469029.6699999999</v>
          </cell>
          <cell r="CA457">
            <v>-4190606.35</v>
          </cell>
          <cell r="CB457">
            <v>-4035332.9</v>
          </cell>
          <cell r="CC457">
            <v>-5933594.4699999997</v>
          </cell>
          <cell r="CD457">
            <v>-6159324.5300000003</v>
          </cell>
          <cell r="CE457">
            <v>-4341049.33</v>
          </cell>
          <cell r="CF457">
            <v>-4764202.59</v>
          </cell>
          <cell r="CG457">
            <v>-4261479.07</v>
          </cell>
          <cell r="CH457">
            <v>-5311717.91</v>
          </cell>
          <cell r="CI457">
            <v>-5978031.46</v>
          </cell>
          <cell r="CJ457">
            <v>-7511735.0499999998</v>
          </cell>
          <cell r="CK457">
            <v>-7090544.5599999996</v>
          </cell>
          <cell r="CL457">
            <v>-7354314.4299999997</v>
          </cell>
          <cell r="CM457">
            <v>-5718480.1200000001</v>
          </cell>
          <cell r="CN457">
            <v>-5762979.1399999997</v>
          </cell>
          <cell r="CO457">
            <v>-5930014.8600000003</v>
          </cell>
          <cell r="CP457">
            <v>-6966959.5300000003</v>
          </cell>
          <cell r="CQ457">
            <v>-6597386.5499999998</v>
          </cell>
          <cell r="CR457">
            <v>-6704518.8700000001</v>
          </cell>
          <cell r="CS457">
            <v>-8903604.1400000006</v>
          </cell>
          <cell r="CT457">
            <v>-5392027.7199999997</v>
          </cell>
          <cell r="CU457">
            <v>-6273501.8099999996</v>
          </cell>
          <cell r="CV457">
            <v>-12802765.83</v>
          </cell>
          <cell r="CW457">
            <v>-9872115.5600000005</v>
          </cell>
          <cell r="CX457">
            <v>-10748985.01</v>
          </cell>
          <cell r="CY457">
            <v>-9930264.7300000004</v>
          </cell>
          <cell r="CZ457">
            <v>-17575008.010000002</v>
          </cell>
          <cell r="DA457">
            <v>-19539496.190000001</v>
          </cell>
          <cell r="DB457">
            <v>-18992886.870000001</v>
          </cell>
          <cell r="DC457">
            <v>-20927546.66</v>
          </cell>
          <cell r="DD457">
            <v>-14655119.08</v>
          </cell>
          <cell r="DE457">
            <v>-10809759.82</v>
          </cell>
          <cell r="DF457">
            <v>-7572255.8600000003</v>
          </cell>
          <cell r="DG457">
            <v>-11015079.560000001</v>
          </cell>
        </row>
        <row r="458">
          <cell r="A458" t="str">
            <v>4830</v>
          </cell>
          <cell r="B458">
            <v>9483000</v>
          </cell>
          <cell r="C458" t="str">
            <v>Gas Sales for Resale</v>
          </cell>
          <cell r="D458">
            <v>-165948.49</v>
          </cell>
          <cell r="E458">
            <v>-166882.10999999999</v>
          </cell>
          <cell r="F458">
            <v>-121309.54</v>
          </cell>
          <cell r="G458">
            <v>-112241.89</v>
          </cell>
          <cell r="H458">
            <v>-88055.74</v>
          </cell>
          <cell r="I458">
            <v>-113233.28</v>
          </cell>
          <cell r="J458">
            <v>-79618.36</v>
          </cell>
          <cell r="K458">
            <v>-75572.460000000006</v>
          </cell>
          <cell r="L458">
            <v>-81371.37</v>
          </cell>
          <cell r="M458">
            <v>-74627.62</v>
          </cell>
          <cell r="N458">
            <v>-87419.69</v>
          </cell>
          <cell r="O458">
            <v>-128527.09</v>
          </cell>
          <cell r="P458">
            <v>-159362.96</v>
          </cell>
          <cell r="Q458">
            <v>-166911.39000000001</v>
          </cell>
          <cell r="R458">
            <v>-145933.60999999999</v>
          </cell>
          <cell r="S458">
            <v>-93775.51</v>
          </cell>
          <cell r="T458">
            <v>-59842.21</v>
          </cell>
          <cell r="U458">
            <v>-64270.78</v>
          </cell>
          <cell r="V458">
            <v>-64779.32</v>
          </cell>
          <cell r="W458">
            <v>-112866.18</v>
          </cell>
          <cell r="X458">
            <v>-72812.73</v>
          </cell>
          <cell r="Y458">
            <v>-91536.78</v>
          </cell>
          <cell r="Z458">
            <v>-81435.16</v>
          </cell>
          <cell r="AA458">
            <v>-104209.01</v>
          </cell>
          <cell r="AB458">
            <v>-156894.09</v>
          </cell>
          <cell r="AC458">
            <v>-191571.76</v>
          </cell>
          <cell r="AD458">
            <v>-135848.59</v>
          </cell>
          <cell r="AE458">
            <v>-126080.26</v>
          </cell>
          <cell r="AF458">
            <v>-113589.87</v>
          </cell>
          <cell r="AG458">
            <v>-83154.490000000005</v>
          </cell>
          <cell r="AH458">
            <v>-75330.259999999995</v>
          </cell>
          <cell r="AI458">
            <v>-91408.17</v>
          </cell>
          <cell r="AJ458">
            <v>-92050.96</v>
          </cell>
          <cell r="AK458">
            <v>-114235.31</v>
          </cell>
          <cell r="AL458">
            <v>-85939.91</v>
          </cell>
          <cell r="AM458">
            <v>-87662.22</v>
          </cell>
          <cell r="AN458">
            <v>-198565.1</v>
          </cell>
          <cell r="AO458">
            <v>-31129.7</v>
          </cell>
          <cell r="AP458">
            <v>-179902.62</v>
          </cell>
          <cell r="AQ458">
            <v>-80670.740000000005</v>
          </cell>
          <cell r="AR458">
            <v>-80640.210000000006</v>
          </cell>
          <cell r="AS458">
            <v>-75047.81</v>
          </cell>
          <cell r="AT458">
            <v>-163265.99</v>
          </cell>
          <cell r="AU458">
            <v>214237.54</v>
          </cell>
          <cell r="AV458">
            <v>-325184.90999999997</v>
          </cell>
          <cell r="AW458">
            <v>-86920.65</v>
          </cell>
          <cell r="AX458">
            <v>-125341.17</v>
          </cell>
          <cell r="AY458">
            <v>-149230.22</v>
          </cell>
          <cell r="AZ458">
            <v>-288733.65000000002</v>
          </cell>
          <cell r="BA458">
            <v>-204535.92</v>
          </cell>
          <cell r="BB458">
            <v>-119266.63</v>
          </cell>
          <cell r="BC458">
            <v>-150137.54</v>
          </cell>
          <cell r="BD458">
            <v>-115486.59</v>
          </cell>
          <cell r="BE458">
            <v>-103906.31</v>
          </cell>
          <cell r="BF458">
            <v>-89116.34</v>
          </cell>
          <cell r="BG458">
            <v>-29335.15</v>
          </cell>
          <cell r="BH458">
            <v>-67705.3</v>
          </cell>
          <cell r="BI458">
            <v>-63543.24</v>
          </cell>
          <cell r="BJ458">
            <v>-28996.27</v>
          </cell>
          <cell r="BK458">
            <v>-252207.23</v>
          </cell>
          <cell r="BL458">
            <v>-161211.5</v>
          </cell>
          <cell r="BM458">
            <v>-182769.23</v>
          </cell>
          <cell r="BN458">
            <v>-112509.57</v>
          </cell>
          <cell r="BO458">
            <v>-113299.19</v>
          </cell>
          <cell r="BP458">
            <v>-95702.66</v>
          </cell>
          <cell r="BQ458">
            <v>-82360.14</v>
          </cell>
          <cell r="BR458">
            <v>-76542.11</v>
          </cell>
          <cell r="BS458">
            <v>-64481.71</v>
          </cell>
          <cell r="BT458">
            <v>-88937.27</v>
          </cell>
          <cell r="BU458">
            <v>-72548.789999999994</v>
          </cell>
          <cell r="BV458">
            <v>-87238.74</v>
          </cell>
          <cell r="BW458">
            <v>-306546.28999999998</v>
          </cell>
          <cell r="BX458">
            <v>-188425.51</v>
          </cell>
          <cell r="BY458">
            <v>-234475.11</v>
          </cell>
          <cell r="BZ458">
            <v>-175939.58</v>
          </cell>
          <cell r="CA458">
            <v>-114337.92</v>
          </cell>
          <cell r="CB458">
            <v>-116862.89</v>
          </cell>
          <cell r="CC458">
            <v>-105380.95</v>
          </cell>
          <cell r="CD458">
            <v>-102841.73</v>
          </cell>
          <cell r="CE458">
            <v>-104990.64</v>
          </cell>
          <cell r="CF458">
            <v>-116284.89</v>
          </cell>
          <cell r="CG458">
            <v>-130430.25</v>
          </cell>
          <cell r="CH458">
            <v>-177622.98</v>
          </cell>
          <cell r="CI458">
            <v>-223183.14</v>
          </cell>
          <cell r="CJ458">
            <v>-349770.53</v>
          </cell>
          <cell r="CK458">
            <v>-322502.15999999997</v>
          </cell>
          <cell r="CL458">
            <v>-230557.2</v>
          </cell>
          <cell r="CM458">
            <v>-285136.31</v>
          </cell>
          <cell r="CN458">
            <v>-230476.35</v>
          </cell>
          <cell r="CO458">
            <v>-183791.69</v>
          </cell>
          <cell r="CP458">
            <v>-140282.75</v>
          </cell>
          <cell r="CQ458">
            <v>-241856.37</v>
          </cell>
          <cell r="CR458">
            <v>-202987.19</v>
          </cell>
          <cell r="CS458">
            <v>-206737.67</v>
          </cell>
          <cell r="CT458">
            <v>-221283.58</v>
          </cell>
          <cell r="CU458">
            <v>-251478.85</v>
          </cell>
          <cell r="CV458">
            <v>-291023.95</v>
          </cell>
          <cell r="CW458">
            <v>-617714.02</v>
          </cell>
          <cell r="CX458">
            <v>-295585.51</v>
          </cell>
          <cell r="CY458">
            <v>-305091.51</v>
          </cell>
          <cell r="CZ458">
            <v>-228086.82</v>
          </cell>
          <cell r="DA458">
            <v>-215889.52</v>
          </cell>
          <cell r="DB458">
            <v>-159402.96</v>
          </cell>
          <cell r="DC458">
            <v>-209619.7</v>
          </cell>
          <cell r="DD458">
            <v>-234697.91</v>
          </cell>
          <cell r="DE458">
            <v>-279372.07</v>
          </cell>
          <cell r="DF458">
            <v>-252397.56</v>
          </cell>
          <cell r="DG458">
            <v>-248077.57</v>
          </cell>
        </row>
        <row r="459">
          <cell r="A459" t="str">
            <v>4870</v>
          </cell>
          <cell r="B459">
            <v>9487000</v>
          </cell>
          <cell r="C459" t="str">
            <v>Gas Forfeited Disc</v>
          </cell>
          <cell r="D459">
            <v>-87247.01</v>
          </cell>
          <cell r="E459">
            <v>-96255.7</v>
          </cell>
          <cell r="F459">
            <v>-92056.61</v>
          </cell>
          <cell r="G459">
            <v>-89213.83</v>
          </cell>
          <cell r="H459">
            <v>-77492.5</v>
          </cell>
          <cell r="I459">
            <v>-61370.03</v>
          </cell>
          <cell r="J459">
            <v>-83041.899999999994</v>
          </cell>
          <cell r="K459">
            <v>-63714.47</v>
          </cell>
          <cell r="L459">
            <v>-66933.72</v>
          </cell>
          <cell r="M459">
            <v>-65930.600000000006</v>
          </cell>
          <cell r="N459">
            <v>-55364.42</v>
          </cell>
          <cell r="O459">
            <v>-84632.61</v>
          </cell>
          <cell r="P459">
            <v>-87423.9</v>
          </cell>
          <cell r="Q459">
            <v>-89152.35</v>
          </cell>
          <cell r="R459">
            <v>-84691.04</v>
          </cell>
          <cell r="S459">
            <v>-80392.259999999995</v>
          </cell>
          <cell r="T459">
            <v>-72940.820000000007</v>
          </cell>
          <cell r="U459">
            <v>-61978.98</v>
          </cell>
          <cell r="V459">
            <v>-67374.3</v>
          </cell>
          <cell r="W459">
            <v>-65541.210000000006</v>
          </cell>
          <cell r="X459">
            <v>-64531.85</v>
          </cell>
          <cell r="Y459">
            <v>-67554.8</v>
          </cell>
          <cell r="Z459">
            <v>-55547.86</v>
          </cell>
          <cell r="AA459">
            <v>-85259.37</v>
          </cell>
          <cell r="AB459">
            <v>-83397.03</v>
          </cell>
          <cell r="AC459">
            <v>-83231.009999999995</v>
          </cell>
          <cell r="AD459">
            <v>-101891.83</v>
          </cell>
          <cell r="AE459">
            <v>-82907.240000000005</v>
          </cell>
          <cell r="AF459">
            <v>-74399.78</v>
          </cell>
          <cell r="AG459">
            <v>-88287.29</v>
          </cell>
          <cell r="AH459">
            <v>-71623.55</v>
          </cell>
          <cell r="AI459">
            <v>-67213.05</v>
          </cell>
          <cell r="AJ459">
            <v>-66750.03</v>
          </cell>
          <cell r="AK459">
            <v>-72295.350000000006</v>
          </cell>
          <cell r="AL459">
            <v>-72659.210000000006</v>
          </cell>
          <cell r="AM459">
            <v>-77624.399999999994</v>
          </cell>
          <cell r="AN459">
            <v>-59316.46</v>
          </cell>
          <cell r="AO459">
            <v>-151333.35999999999</v>
          </cell>
          <cell r="AP459">
            <v>-128907.76</v>
          </cell>
          <cell r="AQ459">
            <v>-124259.41</v>
          </cell>
          <cell r="AR459">
            <v>-124490.84</v>
          </cell>
          <cell r="AS459">
            <v>-113303.96</v>
          </cell>
          <cell r="AT459">
            <v>-96809.73</v>
          </cell>
          <cell r="AU459">
            <v>-85436.47</v>
          </cell>
          <cell r="AV459">
            <v>-58089.18</v>
          </cell>
          <cell r="AW459">
            <v>-87568.86</v>
          </cell>
          <cell r="AX459">
            <v>-92341.759999999995</v>
          </cell>
          <cell r="AY459">
            <v>-100712.94</v>
          </cell>
          <cell r="AZ459">
            <v>-136915.21</v>
          </cell>
          <cell r="BA459">
            <v>-152350.26</v>
          </cell>
          <cell r="BB459">
            <v>-135306.41</v>
          </cell>
          <cell r="BC459">
            <v>-120362.92</v>
          </cell>
          <cell r="BD459">
            <v>-107479.67999999999</v>
          </cell>
          <cell r="BE459">
            <v>-108178.03</v>
          </cell>
          <cell r="BF459">
            <v>-81021.48</v>
          </cell>
          <cell r="BG459">
            <v>-93145.66</v>
          </cell>
          <cell r="BH459">
            <v>-93797.8</v>
          </cell>
          <cell r="BI459">
            <v>-92860.57</v>
          </cell>
          <cell r="BJ459">
            <v>-92318.16</v>
          </cell>
          <cell r="BK459">
            <v>-102418.29</v>
          </cell>
          <cell r="BL459">
            <v>-122474.71</v>
          </cell>
          <cell r="BM459">
            <v>-104745.17</v>
          </cell>
          <cell r="BN459">
            <v>-101191.82</v>
          </cell>
          <cell r="BO459">
            <v>-90192.52</v>
          </cell>
          <cell r="BP459">
            <v>-95436.56</v>
          </cell>
          <cell r="BQ459">
            <v>-81788.81</v>
          </cell>
          <cell r="BR459">
            <v>-79095.179999999993</v>
          </cell>
          <cell r="BS459">
            <v>-82562.100000000006</v>
          </cell>
          <cell r="BT459">
            <v>-80215.199999999997</v>
          </cell>
          <cell r="BU459">
            <v>-78789.2</v>
          </cell>
          <cell r="BV459">
            <v>-75675.8</v>
          </cell>
          <cell r="BW459">
            <v>-86066.92</v>
          </cell>
          <cell r="BX459">
            <v>-109351.41</v>
          </cell>
          <cell r="BY459">
            <v>-96150.71</v>
          </cell>
          <cell r="BZ459">
            <v>-95243.34</v>
          </cell>
          <cell r="CA459">
            <v>-125154.01</v>
          </cell>
          <cell r="CB459">
            <v>-125404.42</v>
          </cell>
          <cell r="CC459">
            <v>-118230.31</v>
          </cell>
          <cell r="CD459">
            <v>-111280.65</v>
          </cell>
          <cell r="CE459">
            <v>-107101.89</v>
          </cell>
          <cell r="CF459">
            <v>-77071.8</v>
          </cell>
          <cell r="CG459">
            <v>-100031.24</v>
          </cell>
          <cell r="CH459">
            <v>-96374.31</v>
          </cell>
          <cell r="CI459">
            <v>-96654.77</v>
          </cell>
          <cell r="CJ459">
            <v>-119228.77</v>
          </cell>
          <cell r="CK459">
            <v>-130606.05</v>
          </cell>
          <cell r="CL459">
            <v>-133259.43</v>
          </cell>
          <cell r="CM459">
            <v>-103588.7</v>
          </cell>
          <cell r="CN459">
            <v>-116765.87</v>
          </cell>
          <cell r="CO459">
            <v>-114304.89</v>
          </cell>
          <cell r="CP459">
            <v>-88348.87</v>
          </cell>
          <cell r="CQ459">
            <v>-97463.65</v>
          </cell>
          <cell r="CR459">
            <v>-98512.4</v>
          </cell>
          <cell r="CS459">
            <v>-86061.9</v>
          </cell>
          <cell r="CT459">
            <v>-95425.25</v>
          </cell>
          <cell r="CU459">
            <v>-112683.27</v>
          </cell>
          <cell r="CV459">
            <v>-129742.77</v>
          </cell>
          <cell r="CW459">
            <v>-126915.26</v>
          </cell>
          <cell r="CX459">
            <v>-129695.91</v>
          </cell>
          <cell r="CY459">
            <v>-110652.56</v>
          </cell>
          <cell r="CZ459">
            <v>-113565.37</v>
          </cell>
          <cell r="DA459">
            <v>-112833.55</v>
          </cell>
          <cell r="DB459">
            <v>-108117.42</v>
          </cell>
          <cell r="DC459">
            <v>-105940.48</v>
          </cell>
          <cell r="DD459">
            <v>-117793.88</v>
          </cell>
          <cell r="DE459">
            <v>-111403.97</v>
          </cell>
          <cell r="DF459">
            <v>-118920.17</v>
          </cell>
          <cell r="DG459">
            <v>-118443.07</v>
          </cell>
        </row>
        <row r="460">
          <cell r="A460" t="str">
            <v>4880</v>
          </cell>
          <cell r="B460">
            <v>9488000</v>
          </cell>
          <cell r="C460" t="str">
            <v>Gas Misc Svc Rev</v>
          </cell>
          <cell r="D460">
            <v>-421018.33</v>
          </cell>
          <cell r="E460">
            <v>-475784.35</v>
          </cell>
          <cell r="F460">
            <v>-471211.45</v>
          </cell>
          <cell r="G460">
            <v>-437964.28</v>
          </cell>
          <cell r="H460">
            <v>-424133.32</v>
          </cell>
          <cell r="I460">
            <v>-470602.64</v>
          </cell>
          <cell r="J460">
            <v>-426526.2</v>
          </cell>
          <cell r="K460">
            <v>-528085.31999999995</v>
          </cell>
          <cell r="L460">
            <v>-442374.06</v>
          </cell>
          <cell r="M460">
            <v>-479358.86</v>
          </cell>
          <cell r="N460">
            <v>-443372.39</v>
          </cell>
          <cell r="O460">
            <v>-416299.14</v>
          </cell>
          <cell r="P460">
            <v>-439447.39</v>
          </cell>
          <cell r="Q460">
            <v>-469614.67</v>
          </cell>
          <cell r="R460">
            <v>-449307.58</v>
          </cell>
          <cell r="S460">
            <v>-421529.28</v>
          </cell>
          <cell r="T460">
            <v>-449271.15</v>
          </cell>
          <cell r="U460">
            <v>-442903.77</v>
          </cell>
          <cell r="V460">
            <v>-432348.32</v>
          </cell>
          <cell r="W460">
            <v>-442745.94</v>
          </cell>
          <cell r="X460">
            <v>-407370.4</v>
          </cell>
          <cell r="Y460">
            <v>-435476.32</v>
          </cell>
          <cell r="Z460">
            <v>-421043.35</v>
          </cell>
          <cell r="AA460">
            <v>-400128.89</v>
          </cell>
          <cell r="AB460">
            <v>-409264.1</v>
          </cell>
          <cell r="AC460">
            <v>-423491.46</v>
          </cell>
          <cell r="AD460">
            <v>-461614.33</v>
          </cell>
          <cell r="AE460">
            <v>-424678.35</v>
          </cell>
          <cell r="AF460">
            <v>-331902.67</v>
          </cell>
          <cell r="AG460">
            <v>-419044.02</v>
          </cell>
          <cell r="AH460">
            <v>-434678.74</v>
          </cell>
          <cell r="AI460">
            <v>-433429.26</v>
          </cell>
          <cell r="AJ460">
            <v>-399914.12</v>
          </cell>
          <cell r="AK460">
            <v>-399405.89</v>
          </cell>
          <cell r="AL460">
            <v>-432082.57</v>
          </cell>
          <cell r="AM460">
            <v>-390446.5</v>
          </cell>
          <cell r="AN460">
            <v>-243411.03</v>
          </cell>
          <cell r="AO460">
            <v>-294177.68</v>
          </cell>
          <cell r="AP460">
            <v>-413394.35</v>
          </cell>
          <cell r="AQ460">
            <v>-388846</v>
          </cell>
          <cell r="AR460">
            <v>-467178.26</v>
          </cell>
          <cell r="AS460">
            <v>-476988.71</v>
          </cell>
          <cell r="AT460">
            <v>-423292.12</v>
          </cell>
          <cell r="AU460">
            <v>-456877.53</v>
          </cell>
          <cell r="AV460">
            <v>-301884.12</v>
          </cell>
          <cell r="AW460">
            <v>-413744.41</v>
          </cell>
          <cell r="AX460">
            <v>-409031.17</v>
          </cell>
          <cell r="AY460">
            <v>-391010.03</v>
          </cell>
          <cell r="AZ460">
            <v>-412890.3</v>
          </cell>
          <cell r="BA460">
            <v>-408954.67</v>
          </cell>
          <cell r="BB460">
            <v>-463208.14</v>
          </cell>
          <cell r="BC460">
            <v>-445235.3</v>
          </cell>
          <cell r="BD460">
            <v>-446894.71</v>
          </cell>
          <cell r="BE460">
            <v>-456228.17</v>
          </cell>
          <cell r="BF460">
            <v>-458310.96</v>
          </cell>
          <cell r="BG460">
            <v>-486360.24</v>
          </cell>
          <cell r="BH460">
            <v>-383708.17</v>
          </cell>
          <cell r="BI460">
            <v>-384461.23</v>
          </cell>
          <cell r="BJ460">
            <v>-442561.62</v>
          </cell>
          <cell r="BK460">
            <v>-393228.36</v>
          </cell>
          <cell r="BL460">
            <v>-472429.47</v>
          </cell>
          <cell r="BM460">
            <v>-482821.29</v>
          </cell>
          <cell r="BN460">
            <v>-506963.34</v>
          </cell>
          <cell r="BO460">
            <v>-466686.79</v>
          </cell>
          <cell r="BP460">
            <v>-499074.3</v>
          </cell>
          <cell r="BQ460">
            <v>-464094.94</v>
          </cell>
          <cell r="BR460">
            <v>-482937.84</v>
          </cell>
          <cell r="BS460">
            <v>-487254.71</v>
          </cell>
          <cell r="BT460">
            <v>-417003.1</v>
          </cell>
          <cell r="BU460">
            <v>-479483.97</v>
          </cell>
          <cell r="BV460">
            <v>-436085.34</v>
          </cell>
          <cell r="BW460">
            <v>-435804.28</v>
          </cell>
          <cell r="BX460">
            <v>-423268.57</v>
          </cell>
          <cell r="BY460">
            <v>-439073.36</v>
          </cell>
          <cell r="BZ460">
            <v>-426433.48</v>
          </cell>
          <cell r="CA460">
            <v>-335965.89</v>
          </cell>
          <cell r="CB460">
            <v>-322862.14</v>
          </cell>
          <cell r="CC460">
            <v>-374424.28</v>
          </cell>
          <cell r="CD460">
            <v>-404832.37</v>
          </cell>
          <cell r="CE460">
            <v>-376759.39</v>
          </cell>
          <cell r="CF460">
            <v>-405163.74</v>
          </cell>
          <cell r="CG460">
            <v>-444455.97</v>
          </cell>
          <cell r="CH460">
            <v>-397134.71</v>
          </cell>
          <cell r="CI460">
            <v>-447280.97</v>
          </cell>
          <cell r="CJ460">
            <v>-462238.48</v>
          </cell>
          <cell r="CK460">
            <v>-475986.49</v>
          </cell>
          <cell r="CL460">
            <v>-163632.63</v>
          </cell>
          <cell r="CM460">
            <v>-501173.7</v>
          </cell>
          <cell r="CN460">
            <v>-430484.34</v>
          </cell>
          <cell r="CO460">
            <v>-551564.22</v>
          </cell>
          <cell r="CP460">
            <v>-494371.1</v>
          </cell>
          <cell r="CQ460">
            <v>-534344.15</v>
          </cell>
          <cell r="CR460">
            <v>-504454.05</v>
          </cell>
          <cell r="CS460">
            <v>-524164.94</v>
          </cell>
          <cell r="CT460">
            <v>-503053.13</v>
          </cell>
          <cell r="CU460">
            <v>-494807.79</v>
          </cell>
          <cell r="CV460">
            <v>-487715.09</v>
          </cell>
          <cell r="CW460">
            <v>-540252.21</v>
          </cell>
          <cell r="CX460">
            <v>-591709.68000000005</v>
          </cell>
          <cell r="CY460">
            <v>-565165.56999999995</v>
          </cell>
          <cell r="CZ460">
            <v>-545648.17000000004</v>
          </cell>
          <cell r="DA460">
            <v>-589885.56999999995</v>
          </cell>
          <cell r="DB460">
            <v>-563214.78</v>
          </cell>
          <cell r="DC460">
            <v>-580498.67000000004</v>
          </cell>
          <cell r="DD460">
            <v>-525588.42000000004</v>
          </cell>
          <cell r="DE460">
            <v>-580850.26</v>
          </cell>
          <cell r="DF460">
            <v>-587255.47</v>
          </cell>
          <cell r="DG460">
            <v>-541362.14</v>
          </cell>
        </row>
        <row r="461">
          <cell r="A461" t="str">
            <v>4893</v>
          </cell>
          <cell r="B461">
            <v>9489300</v>
          </cell>
          <cell r="C461" t="str">
            <v>Trnspt Gas Oth Distr</v>
          </cell>
          <cell r="D461">
            <v>-11943251.99</v>
          </cell>
          <cell r="E461">
            <v>-10535694.85</v>
          </cell>
          <cell r="F461">
            <v>-10405118.189999999</v>
          </cell>
          <cell r="G461">
            <v>-9980002.3599999994</v>
          </cell>
          <cell r="H461">
            <v>-9022179.2599999998</v>
          </cell>
          <cell r="I461">
            <v>-9318419.4700000007</v>
          </cell>
          <cell r="J461">
            <v>-8772751.5</v>
          </cell>
          <cell r="K461">
            <v>-8512452.6300000008</v>
          </cell>
          <cell r="L461">
            <v>-9075950.3399999999</v>
          </cell>
          <cell r="M461">
            <v>-9025448.5399999991</v>
          </cell>
          <cell r="N461">
            <v>-9509783.5299999993</v>
          </cell>
          <cell r="O461">
            <v>-10406120.18</v>
          </cell>
          <cell r="P461">
            <v>-11819909.710000001</v>
          </cell>
          <cell r="Q461">
            <v>-11140707.640000001</v>
          </cell>
          <cell r="R461">
            <v>-11365728.9</v>
          </cell>
          <cell r="S461">
            <v>-9904956.1400000006</v>
          </cell>
          <cell r="T461">
            <v>-8871982.8300000001</v>
          </cell>
          <cell r="U461">
            <v>-9680302.2699999996</v>
          </cell>
          <cell r="V461">
            <v>-9090107.0899999999</v>
          </cell>
          <cell r="W461">
            <v>-9414621.6999999993</v>
          </cell>
          <cell r="X461">
            <v>-9058762.7200000007</v>
          </cell>
          <cell r="Y461">
            <v>-9403565.7400000002</v>
          </cell>
          <cell r="Z461">
            <v>-9662872.7799999993</v>
          </cell>
          <cell r="AA461">
            <v>-10843337.43</v>
          </cell>
          <cell r="AB461">
            <v>-12585990.960000001</v>
          </cell>
          <cell r="AC461">
            <v>-12141245.85</v>
          </cell>
          <cell r="AD461">
            <v>-11341708.26</v>
          </cell>
          <cell r="AE461">
            <v>-10204189.99</v>
          </cell>
          <cell r="AF461">
            <v>-9205342.7400000002</v>
          </cell>
          <cell r="AG461">
            <v>-9869249.0800000001</v>
          </cell>
          <cell r="AH461">
            <v>-9837700.5299999993</v>
          </cell>
          <cell r="AI461">
            <v>-9134831.5299999993</v>
          </cell>
          <cell r="AJ461">
            <v>-9747761.8599999994</v>
          </cell>
          <cell r="AK461">
            <v>-9423413.6300000008</v>
          </cell>
          <cell r="AL461">
            <v>-10353763.59</v>
          </cell>
          <cell r="AM461">
            <v>-11479965.49</v>
          </cell>
          <cell r="AN461">
            <v>-12140407.439999999</v>
          </cell>
          <cell r="AO461">
            <v>-10869644.689999999</v>
          </cell>
          <cell r="AP461">
            <v>-11213314.75</v>
          </cell>
          <cell r="AQ461">
            <v>-11244187.710000001</v>
          </cell>
          <cell r="AR461">
            <v>-10297020.970000001</v>
          </cell>
          <cell r="AS461">
            <v>-10046835.949999999</v>
          </cell>
          <cell r="AT461">
            <v>-9682893.75</v>
          </cell>
          <cell r="AU461">
            <v>-9801278.1999999993</v>
          </cell>
          <cell r="AV461">
            <v>-9992110.3200000003</v>
          </cell>
          <cell r="AW461">
            <v>-9514300.2899999991</v>
          </cell>
          <cell r="AX461">
            <v>-10419917.73</v>
          </cell>
          <cell r="AY461">
            <v>-11878946.57</v>
          </cell>
          <cell r="AZ461">
            <v>-13550003.609999999</v>
          </cell>
          <cell r="BA461">
            <v>-11770843.25</v>
          </cell>
          <cell r="BB461">
            <v>-11442781.119999999</v>
          </cell>
          <cell r="BC461">
            <v>-12168870.01</v>
          </cell>
          <cell r="BD461">
            <v>-10438936.16</v>
          </cell>
          <cell r="BE461">
            <v>-10476016.75</v>
          </cell>
          <cell r="BF461">
            <v>-10212484.289999999</v>
          </cell>
          <cell r="BG461">
            <v>-9872127.1799999997</v>
          </cell>
          <cell r="BH461">
            <v>-10431592.560000001</v>
          </cell>
          <cell r="BI461">
            <v>-9919669.3599999994</v>
          </cell>
          <cell r="BJ461">
            <v>-10599696.67</v>
          </cell>
          <cell r="BK461">
            <v>-11963777.710000001</v>
          </cell>
          <cell r="BL461">
            <v>-12357374.34</v>
          </cell>
          <cell r="BM461">
            <v>-11134893.68</v>
          </cell>
          <cell r="BN461">
            <v>-12250981.83</v>
          </cell>
          <cell r="BO461">
            <v>-10795399.65</v>
          </cell>
          <cell r="BP461">
            <v>-10834442.310000001</v>
          </cell>
          <cell r="BQ461">
            <v>-9817906.3200000003</v>
          </cell>
          <cell r="BR461">
            <v>-9654589.8100000005</v>
          </cell>
          <cell r="BS461">
            <v>-9648147.1799999997</v>
          </cell>
          <cell r="BT461">
            <v>-9890476.5999999996</v>
          </cell>
          <cell r="BU461">
            <v>-9912051.3599999994</v>
          </cell>
          <cell r="BV461">
            <v>-11241012.220000001</v>
          </cell>
          <cell r="BW461">
            <v>-11551435.51</v>
          </cell>
          <cell r="BX461">
            <v>-12667609.789999999</v>
          </cell>
          <cell r="BY461">
            <v>-11769647.039999999</v>
          </cell>
          <cell r="BZ461">
            <v>-11410547.52</v>
          </cell>
          <cell r="CA461">
            <v>-8805524.9199999999</v>
          </cell>
          <cell r="CB461">
            <v>-8621919.9199999999</v>
          </cell>
          <cell r="CC461">
            <v>-9427528.4800000004</v>
          </cell>
          <cell r="CD461">
            <v>-9195331.5399999991</v>
          </cell>
          <cell r="CE461">
            <v>-9283169.9600000009</v>
          </cell>
          <cell r="CF461">
            <v>-9174239.25</v>
          </cell>
          <cell r="CG461">
            <v>-9704281.8599999994</v>
          </cell>
          <cell r="CH461">
            <v>-10364671.24</v>
          </cell>
          <cell r="CI461">
            <v>-11738883.960000001</v>
          </cell>
          <cell r="CJ461">
            <v>-15958239.76</v>
          </cell>
          <cell r="CK461">
            <v>-13425716.07</v>
          </cell>
          <cell r="CL461">
            <v>-14168557.68</v>
          </cell>
          <cell r="CM461">
            <v>-14182676.550000001</v>
          </cell>
          <cell r="CN461">
            <v>-12699279.65</v>
          </cell>
          <cell r="CO461">
            <v>-12576186.130000001</v>
          </cell>
          <cell r="CP461">
            <v>-12501449.189999999</v>
          </cell>
          <cell r="CQ461">
            <v>-11703410.25</v>
          </cell>
          <cell r="CR461">
            <v>-12284261.43</v>
          </cell>
          <cell r="CS461">
            <v>-12188227.25</v>
          </cell>
          <cell r="CT461">
            <v>-13099671.1</v>
          </cell>
          <cell r="CU461">
            <v>-14977732.189999999</v>
          </cell>
          <cell r="CV461">
            <v>-15892098.189999999</v>
          </cell>
          <cell r="CW461">
            <v>-14288945.220000001</v>
          </cell>
          <cell r="CX461">
            <v>-14384547.09</v>
          </cell>
          <cell r="CY461">
            <v>-14169633.029999999</v>
          </cell>
          <cell r="CZ461">
            <v>-13891210.220000001</v>
          </cell>
          <cell r="DA461">
            <v>-12623833.01</v>
          </cell>
          <cell r="DB461">
            <v>-12490757.050000001</v>
          </cell>
          <cell r="DC461">
            <v>-12150798.949999999</v>
          </cell>
          <cell r="DD461">
            <v>-12108567.810000001</v>
          </cell>
          <cell r="DE461">
            <v>-13874608.75</v>
          </cell>
          <cell r="DF461">
            <v>-13809819.4</v>
          </cell>
          <cell r="DG461">
            <v>-15287145.449999999</v>
          </cell>
        </row>
        <row r="462">
          <cell r="A462" t="str">
            <v>4930</v>
          </cell>
          <cell r="B462">
            <v>9493000</v>
          </cell>
          <cell r="C462" t="str">
            <v>Rent Gas Property</v>
          </cell>
          <cell r="D462">
            <v>-28854.44</v>
          </cell>
          <cell r="E462">
            <v>-27854.44</v>
          </cell>
          <cell r="F462">
            <v>-25854.44</v>
          </cell>
          <cell r="G462">
            <v>-100541.83</v>
          </cell>
          <cell r="H462">
            <v>-25854.44</v>
          </cell>
          <cell r="I462">
            <v>-25854.44</v>
          </cell>
          <cell r="J462">
            <v>-28854.44</v>
          </cell>
          <cell r="K462">
            <v>-25854.44</v>
          </cell>
          <cell r="L462">
            <v>-25854.44</v>
          </cell>
          <cell r="M462">
            <v>-25854.44</v>
          </cell>
          <cell r="N462">
            <v>-25854.44</v>
          </cell>
          <cell r="O462">
            <v>-28854.44</v>
          </cell>
          <cell r="P462">
            <v>-26138.27</v>
          </cell>
          <cell r="Q462">
            <v>-27959.439999999999</v>
          </cell>
          <cell r="R462">
            <v>-25954.44</v>
          </cell>
          <cell r="S462">
            <v>-25854.44</v>
          </cell>
          <cell r="T462">
            <v>-99736.98</v>
          </cell>
          <cell r="U462">
            <v>-28954.44</v>
          </cell>
          <cell r="V462">
            <v>-25954.44</v>
          </cell>
          <cell r="W462">
            <v>-25797.64</v>
          </cell>
          <cell r="X462">
            <v>-19784.2</v>
          </cell>
          <cell r="Y462">
            <v>-19784.2</v>
          </cell>
          <cell r="Z462">
            <v>-19784.2</v>
          </cell>
          <cell r="AA462">
            <v>-19784.2</v>
          </cell>
          <cell r="AB462">
            <v>-22588.06</v>
          </cell>
          <cell r="AC462">
            <v>-19784.2</v>
          </cell>
          <cell r="AD462">
            <v>-19784.2</v>
          </cell>
          <cell r="AE462">
            <v>-28123.84</v>
          </cell>
          <cell r="AF462">
            <v>-103826.86</v>
          </cell>
          <cell r="AG462">
            <v>-19784.2</v>
          </cell>
          <cell r="AH462">
            <v>-29522.55</v>
          </cell>
          <cell r="AI462">
            <v>-26718.82</v>
          </cell>
          <cell r="AJ462">
            <v>-26718.82</v>
          </cell>
          <cell r="AK462">
            <v>-26718.82</v>
          </cell>
          <cell r="AL462">
            <v>-29522.560000000001</v>
          </cell>
          <cell r="AM462">
            <v>-26718.83</v>
          </cell>
          <cell r="AN462">
            <v>-27918.83</v>
          </cell>
          <cell r="AO462">
            <v>-28718.83</v>
          </cell>
          <cell r="AP462">
            <v>-30690.080000000002</v>
          </cell>
          <cell r="AQ462">
            <v>-26718.83</v>
          </cell>
          <cell r="AR462">
            <v>-110589.11</v>
          </cell>
          <cell r="AS462">
            <v>-26718.83</v>
          </cell>
          <cell r="AT462">
            <v>-22494.26</v>
          </cell>
          <cell r="AU462">
            <v>-19690.53</v>
          </cell>
          <cell r="AV462">
            <v>-19690.53</v>
          </cell>
          <cell r="AW462">
            <v>-19690.53</v>
          </cell>
          <cell r="AX462">
            <v>-22494.26</v>
          </cell>
          <cell r="AY462">
            <v>-19690.53</v>
          </cell>
          <cell r="AZ462">
            <v>-19690.53</v>
          </cell>
          <cell r="BA462">
            <v>-19690.53</v>
          </cell>
          <cell r="BB462">
            <v>-20048.310000000001</v>
          </cell>
          <cell r="BC462">
            <v>-19690.53</v>
          </cell>
          <cell r="BD462">
            <v>-103196.03</v>
          </cell>
          <cell r="BE462">
            <v>-22494.26</v>
          </cell>
          <cell r="BF462">
            <v>-19690.53</v>
          </cell>
          <cell r="BG462">
            <v>-19690.53</v>
          </cell>
          <cell r="BH462">
            <v>-19690.53</v>
          </cell>
          <cell r="BI462">
            <v>-19690.53</v>
          </cell>
          <cell r="BJ462">
            <v>-19690.53</v>
          </cell>
          <cell r="BK462">
            <v>-19690.53</v>
          </cell>
          <cell r="BL462">
            <v>-12637.26</v>
          </cell>
          <cell r="BM462">
            <v>-9684</v>
          </cell>
          <cell r="BN462">
            <v>-7889.79</v>
          </cell>
          <cell r="BO462">
            <v>-7684</v>
          </cell>
          <cell r="BP462">
            <v>-7684</v>
          </cell>
          <cell r="BQ462">
            <v>-109746.03</v>
          </cell>
          <cell r="BR462">
            <v>-7684</v>
          </cell>
          <cell r="BS462">
            <v>-11635.46</v>
          </cell>
          <cell r="BT462">
            <v>-7684</v>
          </cell>
          <cell r="BU462">
            <v>-7684</v>
          </cell>
          <cell r="BV462">
            <v>-7684</v>
          </cell>
          <cell r="BW462">
            <v>-7684</v>
          </cell>
          <cell r="BX462">
            <v>-10487.73</v>
          </cell>
          <cell r="BY462">
            <v>-9684</v>
          </cell>
          <cell r="BZ462">
            <v>-7684</v>
          </cell>
          <cell r="CA462">
            <v>-7684</v>
          </cell>
          <cell r="CB462">
            <v>-114225.55</v>
          </cell>
          <cell r="CC462">
            <v>-7684</v>
          </cell>
          <cell r="CD462">
            <v>-10487.73</v>
          </cell>
          <cell r="CE462">
            <v>-7684</v>
          </cell>
          <cell r="CF462">
            <v>-7684</v>
          </cell>
          <cell r="CG462">
            <v>-7684</v>
          </cell>
          <cell r="CH462">
            <v>-7684</v>
          </cell>
          <cell r="CI462">
            <v>-7684</v>
          </cell>
          <cell r="CJ462">
            <v>-10487.73</v>
          </cell>
          <cell r="CK462">
            <v>-9684</v>
          </cell>
          <cell r="CL462">
            <v>-7684</v>
          </cell>
          <cell r="CM462">
            <v>-7684</v>
          </cell>
          <cell r="CN462">
            <v>-116215.81</v>
          </cell>
          <cell r="CO462">
            <v>-7684</v>
          </cell>
          <cell r="CP462">
            <v>-10487.74</v>
          </cell>
          <cell r="CQ462">
            <v>-7684</v>
          </cell>
          <cell r="CR462">
            <v>-7684</v>
          </cell>
          <cell r="CS462">
            <v>-7684</v>
          </cell>
          <cell r="CT462">
            <v>-7684</v>
          </cell>
          <cell r="CU462">
            <v>-7684</v>
          </cell>
          <cell r="CV462">
            <v>-10487.74</v>
          </cell>
          <cell r="CW462">
            <v>-9684</v>
          </cell>
          <cell r="CX462">
            <v>-7684</v>
          </cell>
          <cell r="CY462">
            <v>-7684</v>
          </cell>
          <cell r="CZ462">
            <v>-125480</v>
          </cell>
          <cell r="DA462">
            <v>-7684</v>
          </cell>
          <cell r="DB462">
            <v>-10487.74</v>
          </cell>
          <cell r="DC462">
            <v>-7684</v>
          </cell>
          <cell r="DD462">
            <v>-7684</v>
          </cell>
          <cell r="DE462">
            <v>-7684</v>
          </cell>
          <cell r="DF462">
            <v>-7684</v>
          </cell>
          <cell r="DG462">
            <v>-7684</v>
          </cell>
        </row>
        <row r="463">
          <cell r="A463" t="str">
            <v>4950</v>
          </cell>
          <cell r="B463">
            <v>9495000</v>
          </cell>
          <cell r="C463" t="str">
            <v>Oth Gas Revenues</v>
          </cell>
          <cell r="D463">
            <v>-4331727.76</v>
          </cell>
          <cell r="E463">
            <v>-5088541.9400000004</v>
          </cell>
          <cell r="F463">
            <v>-4839596.66</v>
          </cell>
          <cell r="G463">
            <v>-3370319.14</v>
          </cell>
          <cell r="H463">
            <v>-2792235.35</v>
          </cell>
          <cell r="I463">
            <v>-2677450.9700000002</v>
          </cell>
          <cell r="J463">
            <v>-2479842.3199999998</v>
          </cell>
          <cell r="K463">
            <v>-2343138.2400000002</v>
          </cell>
          <cell r="L463">
            <v>-2482034.56</v>
          </cell>
          <cell r="M463">
            <v>-2951548.24</v>
          </cell>
          <cell r="N463">
            <v>-2941154.39</v>
          </cell>
          <cell r="O463">
            <v>-3931951.7</v>
          </cell>
          <cell r="P463">
            <v>-4586536.8499999996</v>
          </cell>
          <cell r="Q463">
            <v>-4865614.3899999997</v>
          </cell>
          <cell r="R463">
            <v>-4895260.4800000004</v>
          </cell>
          <cell r="S463">
            <v>-3543651.96</v>
          </cell>
          <cell r="T463">
            <v>-2780710.77</v>
          </cell>
          <cell r="U463">
            <v>-2874032.88</v>
          </cell>
          <cell r="V463">
            <v>-3582661.22</v>
          </cell>
          <cell r="W463">
            <v>-2445385.94</v>
          </cell>
          <cell r="X463">
            <v>-2937118.23</v>
          </cell>
          <cell r="Y463">
            <v>-3085639.66</v>
          </cell>
          <cell r="Z463">
            <v>-3094127.28</v>
          </cell>
          <cell r="AA463">
            <v>-3634861.11</v>
          </cell>
          <cell r="AB463">
            <v>-4366929.8</v>
          </cell>
          <cell r="AC463">
            <v>-5756465.5</v>
          </cell>
          <cell r="AD463">
            <v>-4318152.78</v>
          </cell>
          <cell r="AE463">
            <v>-3392567.99</v>
          </cell>
          <cell r="AF463">
            <v>-3439816.9</v>
          </cell>
          <cell r="AG463">
            <v>-2841544.13</v>
          </cell>
          <cell r="AH463">
            <v>-2719152.99</v>
          </cell>
          <cell r="AI463">
            <v>-2443479.5099999998</v>
          </cell>
          <cell r="AJ463">
            <v>-2608560.4</v>
          </cell>
          <cell r="AK463">
            <v>-3112556.58</v>
          </cell>
          <cell r="AL463">
            <v>-2955341.35</v>
          </cell>
          <cell r="AM463">
            <v>-3683225.77</v>
          </cell>
          <cell r="AN463">
            <v>-4231725.46</v>
          </cell>
          <cell r="AO463">
            <v>-4180954.37</v>
          </cell>
          <cell r="AP463">
            <v>-3653266.39</v>
          </cell>
          <cell r="AQ463">
            <v>-3939952.78</v>
          </cell>
          <cell r="AR463">
            <v>-3085901.99</v>
          </cell>
          <cell r="AS463">
            <v>-2806333.22</v>
          </cell>
          <cell r="AT463">
            <v>-2542884.15</v>
          </cell>
          <cell r="AU463">
            <v>-2600483.89</v>
          </cell>
          <cell r="AV463">
            <v>-2698235.25</v>
          </cell>
          <cell r="AW463">
            <v>-2700629.84</v>
          </cell>
          <cell r="AX463">
            <v>-3194243.31</v>
          </cell>
          <cell r="AY463">
            <v>-4154754.7</v>
          </cell>
          <cell r="AZ463">
            <v>-6100424.8600000003</v>
          </cell>
          <cell r="BA463">
            <v>-5441539.4299999997</v>
          </cell>
          <cell r="BB463">
            <v>-5103745.08</v>
          </cell>
          <cell r="BC463">
            <v>-5263194.91</v>
          </cell>
          <cell r="BD463">
            <v>-4475518.4000000004</v>
          </cell>
          <cell r="BE463">
            <v>-4057171.95</v>
          </cell>
          <cell r="BF463">
            <v>-3735562.38</v>
          </cell>
          <cell r="BG463">
            <v>-3462575.71</v>
          </cell>
          <cell r="BH463">
            <v>-3830705.31</v>
          </cell>
          <cell r="BI463">
            <v>-4020081.88</v>
          </cell>
          <cell r="BJ463">
            <v>-3948227.06</v>
          </cell>
          <cell r="BK463">
            <v>-5530039.8799999999</v>
          </cell>
          <cell r="BL463">
            <v>-6087032.2999999998</v>
          </cell>
          <cell r="BM463">
            <v>-5960967.25</v>
          </cell>
          <cell r="BN463">
            <v>-5491310.5300000003</v>
          </cell>
          <cell r="BO463">
            <v>-4477421.43</v>
          </cell>
          <cell r="BP463">
            <v>-4127854</v>
          </cell>
          <cell r="BQ463">
            <v>-3639905.69</v>
          </cell>
          <cell r="BR463">
            <v>-3492498.57</v>
          </cell>
          <cell r="BS463">
            <v>-3948963.8399999999</v>
          </cell>
          <cell r="BT463">
            <v>-4139904.29</v>
          </cell>
          <cell r="BU463">
            <v>-4225190.59</v>
          </cell>
          <cell r="BV463">
            <v>-4619205.33</v>
          </cell>
          <cell r="BW463">
            <v>-6212634.5199999996</v>
          </cell>
          <cell r="BX463">
            <v>-6898108.9299999997</v>
          </cell>
          <cell r="BY463">
            <v>-6793191.4800000004</v>
          </cell>
          <cell r="BZ463">
            <v>-6167630.1600000001</v>
          </cell>
          <cell r="CA463">
            <v>-4748576.43</v>
          </cell>
          <cell r="CB463">
            <v>-4214475.5599999996</v>
          </cell>
          <cell r="CC463">
            <v>-4136227.8</v>
          </cell>
          <cell r="CD463">
            <v>-4029209.34</v>
          </cell>
          <cell r="CE463">
            <v>-3933859.04</v>
          </cell>
          <cell r="CF463">
            <v>-3975864.29</v>
          </cell>
          <cell r="CG463">
            <v>-4086632.02</v>
          </cell>
          <cell r="CH463">
            <v>-4699066.3099999996</v>
          </cell>
          <cell r="CI463">
            <v>-6185044.9000000004</v>
          </cell>
          <cell r="CJ463">
            <v>-6351352.71</v>
          </cell>
          <cell r="CK463">
            <v>-6868284.4800000004</v>
          </cell>
          <cell r="CL463">
            <v>-3985881.85</v>
          </cell>
          <cell r="CM463">
            <v>-4781500.72</v>
          </cell>
          <cell r="CN463">
            <v>-4019908.06</v>
          </cell>
          <cell r="CO463">
            <v>-3749141.62</v>
          </cell>
          <cell r="CP463">
            <v>-3831829.94</v>
          </cell>
          <cell r="CQ463">
            <v>-3456704.16</v>
          </cell>
          <cell r="CR463">
            <v>-3459908.84</v>
          </cell>
          <cell r="CS463">
            <v>-3716736.47</v>
          </cell>
          <cell r="CT463">
            <v>-4769155.41</v>
          </cell>
          <cell r="CU463">
            <v>-5290079.79</v>
          </cell>
          <cell r="CV463">
            <v>-7535652.8300000001</v>
          </cell>
          <cell r="CW463">
            <v>-8355320.7000000002</v>
          </cell>
          <cell r="CX463">
            <v>-7354820.6799999997</v>
          </cell>
          <cell r="CY463">
            <v>-6211141.5599999996</v>
          </cell>
          <cell r="CZ463">
            <v>-5621668.3099999996</v>
          </cell>
          <cell r="DA463">
            <v>-5065402.1100000003</v>
          </cell>
          <cell r="DB463">
            <v>-4520999.55</v>
          </cell>
          <cell r="DC463">
            <v>-4492453.9800000004</v>
          </cell>
          <cell r="DD463">
            <v>-4586241.74</v>
          </cell>
          <cell r="DE463">
            <v>-5199583.34</v>
          </cell>
          <cell r="DF463">
            <v>-5560370.8399999999</v>
          </cell>
          <cell r="DG463">
            <v>-6581090.0099999998</v>
          </cell>
        </row>
        <row r="464">
          <cell r="A464" t="str">
            <v>5870</v>
          </cell>
          <cell r="B464">
            <v>9587000</v>
          </cell>
          <cell r="C464" t="str">
            <v>Distrb Cust Install</v>
          </cell>
          <cell r="D464">
            <v>0</v>
          </cell>
          <cell r="E464">
            <v>0</v>
          </cell>
          <cell r="F464">
            <v>0</v>
          </cell>
          <cell r="G464">
            <v>0</v>
          </cell>
          <cell r="H464">
            <v>0</v>
          </cell>
          <cell r="I464">
            <v>0</v>
          </cell>
          <cell r="J464">
            <v>74947.5</v>
          </cell>
          <cell r="K464">
            <v>-74945.52</v>
          </cell>
          <cell r="L464">
            <v>-1.98</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cell r="AL464"/>
          <cell r="AM464"/>
          <cell r="AN464"/>
          <cell r="AO464"/>
          <cell r="AP464"/>
          <cell r="AQ464"/>
          <cell r="AR464"/>
          <cell r="AS464"/>
          <cell r="AT464"/>
          <cell r="AU464"/>
          <cell r="AV464"/>
          <cell r="AW464"/>
          <cell r="AX464"/>
          <cell r="AY464"/>
          <cell r="AZ464"/>
          <cell r="BA464"/>
          <cell r="BB464"/>
          <cell r="BC464"/>
          <cell r="BD464"/>
          <cell r="BE464"/>
          <cell r="BF464"/>
          <cell r="BG464"/>
          <cell r="BH464"/>
          <cell r="BI464"/>
          <cell r="BJ464"/>
          <cell r="BK464"/>
          <cell r="BL464"/>
          <cell r="BM464"/>
          <cell r="BN464"/>
          <cell r="BO464"/>
          <cell r="BP464"/>
          <cell r="BQ464"/>
          <cell r="BR464"/>
          <cell r="BS464"/>
          <cell r="BT464"/>
          <cell r="BU464"/>
          <cell r="BV464"/>
          <cell r="BW464"/>
          <cell r="BX464"/>
          <cell r="BY464"/>
          <cell r="BZ464"/>
          <cell r="CA464"/>
          <cell r="CB464"/>
          <cell r="CC464"/>
          <cell r="CD464"/>
          <cell r="CE464"/>
          <cell r="CF464"/>
          <cell r="CG464"/>
          <cell r="CH464"/>
          <cell r="CI464"/>
          <cell r="CJ464"/>
          <cell r="CK464"/>
          <cell r="CL464"/>
          <cell r="CM464"/>
          <cell r="CN464"/>
          <cell r="CO464"/>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row>
        <row r="465">
          <cell r="A465" t="str">
            <v>8010</v>
          </cell>
          <cell r="B465">
            <v>9801000</v>
          </cell>
          <cell r="C465" t="str">
            <v>NGas Field Line Purc</v>
          </cell>
          <cell r="D465">
            <v>12561571.85</v>
          </cell>
          <cell r="E465">
            <v>6525416.46</v>
          </cell>
          <cell r="F465">
            <v>7250975.8399999999</v>
          </cell>
          <cell r="G465">
            <v>7128382.2400000002</v>
          </cell>
          <cell r="H465">
            <v>6245636.2699999996</v>
          </cell>
          <cell r="I465">
            <v>3116198.03</v>
          </cell>
          <cell r="J465">
            <v>4962776.37</v>
          </cell>
          <cell r="K465">
            <v>7684991.5</v>
          </cell>
          <cell r="L465">
            <v>5434003.0199999996</v>
          </cell>
          <cell r="M465">
            <v>6346878.1699999999</v>
          </cell>
          <cell r="N465">
            <v>10634548.01</v>
          </cell>
          <cell r="O465">
            <v>6160228.0499999998</v>
          </cell>
          <cell r="P465">
            <v>8516626.5299999993</v>
          </cell>
          <cell r="Q465">
            <v>9700009.5899999999</v>
          </cell>
          <cell r="R465">
            <v>4424630.05</v>
          </cell>
          <cell r="S465">
            <v>7167658.9199999999</v>
          </cell>
          <cell r="T465">
            <v>4326192.88</v>
          </cell>
          <cell r="U465">
            <v>6143972.9100000001</v>
          </cell>
          <cell r="V465">
            <v>5895266.9000000004</v>
          </cell>
          <cell r="W465">
            <v>6492080.8399999999</v>
          </cell>
          <cell r="X465">
            <v>6109691.0599999996</v>
          </cell>
          <cell r="Y465">
            <v>7203265.4199999999</v>
          </cell>
          <cell r="Z465">
            <v>9511810.8699999992</v>
          </cell>
          <cell r="AA465">
            <v>4842061.9800000004</v>
          </cell>
          <cell r="AB465">
            <v>10754382.890000001</v>
          </cell>
          <cell r="AC465">
            <v>8124951.2599999998</v>
          </cell>
          <cell r="AD465">
            <v>6507188.2199999997</v>
          </cell>
          <cell r="AE465">
            <v>7908919.5800000001</v>
          </cell>
          <cell r="AF465">
            <v>5359402.57</v>
          </cell>
          <cell r="AG465">
            <v>6279826.1200000001</v>
          </cell>
          <cell r="AH465">
            <v>10737105.75</v>
          </cell>
          <cell r="AI465">
            <v>10268790.210000001</v>
          </cell>
          <cell r="AJ465">
            <v>8985528.2699999996</v>
          </cell>
          <cell r="AK465">
            <v>9930860.6899999995</v>
          </cell>
          <cell r="AL465">
            <v>5622708.7199999997</v>
          </cell>
          <cell r="AM465">
            <v>6114464.9400000004</v>
          </cell>
          <cell r="AN465">
            <v>7533935.1900000004</v>
          </cell>
          <cell r="AO465">
            <v>4453391.84</v>
          </cell>
          <cell r="AP465">
            <v>7294468.54</v>
          </cell>
          <cell r="AQ465">
            <v>6927062.9800000004</v>
          </cell>
          <cell r="AR465">
            <v>7675566.0300000003</v>
          </cell>
          <cell r="AS465">
            <v>6117128.9699999997</v>
          </cell>
          <cell r="AT465">
            <v>7357064.2400000002</v>
          </cell>
          <cell r="AU465">
            <v>12863912.109999999</v>
          </cell>
          <cell r="AV465">
            <v>10089367.199999999</v>
          </cell>
          <cell r="AW465">
            <v>7178549.3700000001</v>
          </cell>
          <cell r="AX465">
            <v>6545528.5</v>
          </cell>
          <cell r="AY465">
            <v>9699036.0299999993</v>
          </cell>
          <cell r="AZ465">
            <v>15644864.970000001</v>
          </cell>
          <cell r="BA465">
            <v>5340727.6399999997</v>
          </cell>
          <cell r="BB465">
            <v>6277782.7800000003</v>
          </cell>
          <cell r="BC465">
            <v>4881971.83</v>
          </cell>
          <cell r="BD465">
            <v>6533494.5800000001</v>
          </cell>
          <cell r="BE465">
            <v>8650777.0500000007</v>
          </cell>
          <cell r="BF465">
            <v>10374290.039999999</v>
          </cell>
          <cell r="BG465">
            <v>7852549.0999999996</v>
          </cell>
          <cell r="BH465">
            <v>9175129.9100000001</v>
          </cell>
          <cell r="BI465">
            <v>12800433.609999999</v>
          </cell>
          <cell r="BJ465">
            <v>12417507.609999999</v>
          </cell>
          <cell r="BK465">
            <v>11340818.380000001</v>
          </cell>
          <cell r="BL465">
            <v>10920258.68</v>
          </cell>
          <cell r="BM465">
            <v>4818164.2699999996</v>
          </cell>
          <cell r="BN465">
            <v>7024273.3099999996</v>
          </cell>
          <cell r="BO465">
            <v>5787609.75</v>
          </cell>
          <cell r="BP465">
            <v>7248887.9800000004</v>
          </cell>
          <cell r="BQ465">
            <v>4712578.1900000004</v>
          </cell>
          <cell r="BR465">
            <v>4977853.0599999996</v>
          </cell>
          <cell r="BS465">
            <v>5261662.51</v>
          </cell>
          <cell r="BT465">
            <v>7537296.2599999998</v>
          </cell>
          <cell r="BU465">
            <v>7709685.6900000004</v>
          </cell>
          <cell r="BV465">
            <v>6504167.6900000004</v>
          </cell>
          <cell r="BW465">
            <v>6526098.8200000003</v>
          </cell>
          <cell r="BX465">
            <v>7351025.9699999997</v>
          </cell>
          <cell r="BY465">
            <v>4675986.6900000004</v>
          </cell>
          <cell r="BZ465">
            <v>3131403.68</v>
          </cell>
          <cell r="CA465">
            <v>2638311.52</v>
          </cell>
          <cell r="CB465">
            <v>4375377.1399999997</v>
          </cell>
          <cell r="CC465">
            <v>3988040.85</v>
          </cell>
          <cell r="CD465">
            <v>4361384.07</v>
          </cell>
          <cell r="CE465">
            <v>3454869.17</v>
          </cell>
          <cell r="CF465">
            <v>2864851.99</v>
          </cell>
          <cell r="CG465">
            <v>4298261.6399999997</v>
          </cell>
          <cell r="CH465">
            <v>5328723.91</v>
          </cell>
          <cell r="CI465">
            <v>8902538.5500000007</v>
          </cell>
          <cell r="CJ465">
            <v>8180694.8799999999</v>
          </cell>
          <cell r="CK465">
            <v>11970322.49</v>
          </cell>
          <cell r="CL465">
            <v>7246725.5599999996</v>
          </cell>
          <cell r="CM465">
            <v>3201611.55</v>
          </cell>
          <cell r="CN465">
            <v>3044400.33</v>
          </cell>
          <cell r="CO465">
            <v>4855418.79</v>
          </cell>
          <cell r="CP465">
            <v>4740323.63</v>
          </cell>
          <cell r="CQ465">
            <v>4761484.3899999997</v>
          </cell>
          <cell r="CR465">
            <v>5479365.6699999999</v>
          </cell>
          <cell r="CS465">
            <v>12614259.33</v>
          </cell>
          <cell r="CT465">
            <v>12119689.630000001</v>
          </cell>
          <cell r="CU465">
            <v>6485793.3399999999</v>
          </cell>
          <cell r="CV465">
            <v>15899242.619999999</v>
          </cell>
          <cell r="CW465">
            <v>12705145.189999999</v>
          </cell>
          <cell r="CX465">
            <v>11603973.09</v>
          </cell>
          <cell r="CY465">
            <v>9992448.5700000003</v>
          </cell>
          <cell r="CZ465">
            <v>18454948.52</v>
          </cell>
          <cell r="DA465">
            <v>17932753.890000001</v>
          </cell>
          <cell r="DB465">
            <v>17658204.780000001</v>
          </cell>
          <cell r="DC465">
            <v>18963499.109999999</v>
          </cell>
          <cell r="DD465">
            <v>10989178.57</v>
          </cell>
          <cell r="DE465">
            <v>10210400.18</v>
          </cell>
          <cell r="DF465">
            <v>14018600.66</v>
          </cell>
          <cell r="DG465">
            <v>17580198.039999999</v>
          </cell>
        </row>
        <row r="466">
          <cell r="A466" t="str">
            <v>8040</v>
          </cell>
          <cell r="B466">
            <v>9804000</v>
          </cell>
          <cell r="C466" t="str">
            <v>NGas City Gate Purch</v>
          </cell>
          <cell r="D466">
            <v>5639514.71</v>
          </cell>
          <cell r="E466">
            <v>5164240.18</v>
          </cell>
          <cell r="F466">
            <v>5572105.29</v>
          </cell>
          <cell r="G466">
            <v>5108472.4400000004</v>
          </cell>
          <cell r="H466">
            <v>3949891.1</v>
          </cell>
          <cell r="I466">
            <v>2985779.54</v>
          </cell>
          <cell r="J466">
            <v>3199602.32</v>
          </cell>
          <cell r="K466">
            <v>3216054.54</v>
          </cell>
          <cell r="L466">
            <v>3181092.1</v>
          </cell>
          <cell r="M466">
            <v>4836985.97</v>
          </cell>
          <cell r="N466">
            <v>5473371.0800000001</v>
          </cell>
          <cell r="O466">
            <v>5233601.82</v>
          </cell>
          <cell r="P466">
            <v>6400077.0199999996</v>
          </cell>
          <cell r="Q466">
            <v>6300292.3200000003</v>
          </cell>
          <cell r="R466">
            <v>6794940.2300000004</v>
          </cell>
          <cell r="S466">
            <v>5750568.9000000004</v>
          </cell>
          <cell r="T466">
            <v>4527268.83</v>
          </cell>
          <cell r="U466">
            <v>2892504.28</v>
          </cell>
          <cell r="V466">
            <v>4037598.81</v>
          </cell>
          <cell r="W466">
            <v>4036045.53</v>
          </cell>
          <cell r="X466">
            <v>4055244.95</v>
          </cell>
          <cell r="Y466">
            <v>5479602.5199999996</v>
          </cell>
          <cell r="Z466">
            <v>6529393.1399999997</v>
          </cell>
          <cell r="AA466">
            <v>5964121.4800000004</v>
          </cell>
          <cell r="AB466">
            <v>5508918.25</v>
          </cell>
          <cell r="AC466">
            <v>5904060.8700000001</v>
          </cell>
          <cell r="AD466">
            <v>6617774.8799999999</v>
          </cell>
          <cell r="AE466">
            <v>5651778.71</v>
          </cell>
          <cell r="AF466">
            <v>3798936</v>
          </cell>
          <cell r="AG466">
            <v>3295648.4</v>
          </cell>
          <cell r="AH466">
            <v>2923828.14</v>
          </cell>
          <cell r="AI466">
            <v>3252988.88</v>
          </cell>
          <cell r="AJ466">
            <v>3795277.86</v>
          </cell>
          <cell r="AK466">
            <v>5673789.9900000002</v>
          </cell>
          <cell r="AL466">
            <v>6164743.8399999999</v>
          </cell>
          <cell r="AM466">
            <v>5734177.8700000001</v>
          </cell>
          <cell r="AN466">
            <v>6091709.2599999998</v>
          </cell>
          <cell r="AO466">
            <v>5806917.71</v>
          </cell>
          <cell r="AP466">
            <v>6264563.6399999997</v>
          </cell>
          <cell r="AQ466">
            <v>5745309.9699999997</v>
          </cell>
          <cell r="AR466">
            <v>4441659.24</v>
          </cell>
          <cell r="AS466">
            <v>4320316.16</v>
          </cell>
          <cell r="AT466">
            <v>5288490.95</v>
          </cell>
          <cell r="AU466">
            <v>4874658.04</v>
          </cell>
          <cell r="AV466">
            <v>4702938.42</v>
          </cell>
          <cell r="AW466">
            <v>6315693.0700000003</v>
          </cell>
          <cell r="AX466">
            <v>6885306.9900000002</v>
          </cell>
          <cell r="AY466">
            <v>6953115.9100000001</v>
          </cell>
          <cell r="AZ466">
            <v>7450511.25</v>
          </cell>
          <cell r="BA466">
            <v>5405755.8099999996</v>
          </cell>
          <cell r="BB466">
            <v>7079580.0199999996</v>
          </cell>
          <cell r="BC466">
            <v>5553699.1699999999</v>
          </cell>
          <cell r="BD466">
            <v>5190895.4000000004</v>
          </cell>
          <cell r="BE466">
            <v>4844459.96</v>
          </cell>
          <cell r="BF466">
            <v>5002186.0199999996</v>
          </cell>
          <cell r="BG466">
            <v>4742570.3099999996</v>
          </cell>
          <cell r="BH466">
            <v>4599171.3899999997</v>
          </cell>
          <cell r="BI466">
            <v>6596462.3799999999</v>
          </cell>
          <cell r="BJ466">
            <v>7857688.54</v>
          </cell>
          <cell r="BK466">
            <v>7652151.7699999996</v>
          </cell>
          <cell r="BL466">
            <v>6837538.9400000004</v>
          </cell>
          <cell r="BM466">
            <v>6544615.7599999998</v>
          </cell>
          <cell r="BN466">
            <v>6760335.04</v>
          </cell>
          <cell r="BO466">
            <v>5770035.0999999996</v>
          </cell>
          <cell r="BP466">
            <v>4445931.78</v>
          </cell>
          <cell r="BQ466">
            <v>3977453.81</v>
          </cell>
          <cell r="BR466">
            <v>4689146.51</v>
          </cell>
          <cell r="BS466">
            <v>4952073.71</v>
          </cell>
          <cell r="BT466">
            <v>4909703.74</v>
          </cell>
          <cell r="BU466">
            <v>6342647.2699999996</v>
          </cell>
          <cell r="BV466">
            <v>7502900.8600000003</v>
          </cell>
          <cell r="BW466">
            <v>7019581.8700000001</v>
          </cell>
          <cell r="BX466">
            <v>6281796.8799999999</v>
          </cell>
          <cell r="BY466">
            <v>5977920.4900000002</v>
          </cell>
          <cell r="BZ466">
            <v>7512091.0899999999</v>
          </cell>
          <cell r="CA466">
            <v>5949777.6299999999</v>
          </cell>
          <cell r="CB466">
            <v>4520520.3600000003</v>
          </cell>
          <cell r="CC466">
            <v>4749436.8</v>
          </cell>
          <cell r="CD466">
            <v>4787878.3899999997</v>
          </cell>
          <cell r="CE466">
            <v>5936683.1299999999</v>
          </cell>
          <cell r="CF466">
            <v>5349042.1500000004</v>
          </cell>
          <cell r="CG466">
            <v>7252677.9299999997</v>
          </cell>
          <cell r="CH466">
            <v>8395195.4199999999</v>
          </cell>
          <cell r="CI466">
            <v>8301268.0300000003</v>
          </cell>
          <cell r="CJ466">
            <v>8654356.9499999993</v>
          </cell>
          <cell r="CK466">
            <v>7083952.8099999996</v>
          </cell>
          <cell r="CL466">
            <v>9557116.3499999996</v>
          </cell>
          <cell r="CM466">
            <v>6965657.5300000003</v>
          </cell>
          <cell r="CN466">
            <v>6756863.3600000003</v>
          </cell>
          <cell r="CO466">
            <v>6227929.1500000004</v>
          </cell>
          <cell r="CP466">
            <v>5878221.7699999996</v>
          </cell>
          <cell r="CQ466">
            <v>6385843.3600000003</v>
          </cell>
          <cell r="CR466">
            <v>6528674.5800000001</v>
          </cell>
          <cell r="CS466">
            <v>8435647.3499999996</v>
          </cell>
          <cell r="CT466">
            <v>9234809.6999999993</v>
          </cell>
          <cell r="CU466">
            <v>10046836.35</v>
          </cell>
          <cell r="CV466">
            <v>8173195.6299999999</v>
          </cell>
          <cell r="CW466">
            <v>7490912.8799999999</v>
          </cell>
          <cell r="CX466">
            <v>9000033.1999999993</v>
          </cell>
          <cell r="CY466">
            <v>8316292.0099999998</v>
          </cell>
          <cell r="CZ466">
            <v>7148894.2800000003</v>
          </cell>
          <cell r="DA466">
            <v>5639197.6500000004</v>
          </cell>
          <cell r="DB466">
            <v>4405329.3899999997</v>
          </cell>
          <cell r="DC466">
            <v>4534903.9000000004</v>
          </cell>
          <cell r="DD466">
            <v>4708308.17</v>
          </cell>
          <cell r="DE466">
            <v>7676249.1399999997</v>
          </cell>
          <cell r="DF466">
            <v>7942989.6100000003</v>
          </cell>
          <cell r="DG466">
            <v>7510443.5099999998</v>
          </cell>
        </row>
        <row r="467">
          <cell r="A467" t="str">
            <v>8051</v>
          </cell>
          <cell r="B467">
            <v>9805100</v>
          </cell>
          <cell r="C467" t="str">
            <v>Purch Gas Cst Adj</v>
          </cell>
          <cell r="D467">
            <v>679383</v>
          </cell>
          <cell r="E467">
            <v>5018688</v>
          </cell>
          <cell r="F467">
            <v>-819317</v>
          </cell>
          <cell r="G467">
            <v>1884531</v>
          </cell>
          <cell r="H467">
            <v>-2014284</v>
          </cell>
          <cell r="I467">
            <v>1920123</v>
          </cell>
          <cell r="J467">
            <v>763900.05</v>
          </cell>
          <cell r="K467">
            <v>189368</v>
          </cell>
          <cell r="L467">
            <v>-269930</v>
          </cell>
          <cell r="M467">
            <v>-1989265</v>
          </cell>
          <cell r="N467">
            <v>-5688623</v>
          </cell>
          <cell r="O467">
            <v>2439540.9</v>
          </cell>
          <cell r="P467">
            <v>822357</v>
          </cell>
          <cell r="Q467">
            <v>-524157</v>
          </cell>
          <cell r="R467">
            <v>1640691</v>
          </cell>
          <cell r="S467">
            <v>-1672434</v>
          </cell>
          <cell r="T467">
            <v>-496279</v>
          </cell>
          <cell r="U467">
            <v>2294075</v>
          </cell>
          <cell r="V467">
            <v>-1214409</v>
          </cell>
          <cell r="W467">
            <v>480856</v>
          </cell>
          <cell r="X467">
            <v>-421956</v>
          </cell>
          <cell r="Y467">
            <v>-2416207</v>
          </cell>
          <cell r="Z467">
            <v>-2314895</v>
          </cell>
          <cell r="AA467">
            <v>-249974.01</v>
          </cell>
          <cell r="AB467">
            <v>942318</v>
          </cell>
          <cell r="AC467">
            <v>4960838</v>
          </cell>
          <cell r="AD467">
            <v>1555564</v>
          </cell>
          <cell r="AE467">
            <v>710094</v>
          </cell>
          <cell r="AF467">
            <v>1525026</v>
          </cell>
          <cell r="AG467">
            <v>1904894</v>
          </cell>
          <cell r="AH467">
            <v>1196792</v>
          </cell>
          <cell r="AI467">
            <v>767312</v>
          </cell>
          <cell r="AJ467">
            <v>-541211</v>
          </cell>
          <cell r="AK467">
            <v>-2740969</v>
          </cell>
          <cell r="AL467">
            <v>-2889321</v>
          </cell>
          <cell r="AM467">
            <v>-482580.06</v>
          </cell>
          <cell r="AN467">
            <v>464212</v>
          </cell>
          <cell r="AO467">
            <v>3133204</v>
          </cell>
          <cell r="AP467">
            <v>-3512801</v>
          </cell>
          <cell r="AQ467">
            <v>954400</v>
          </cell>
          <cell r="AR467">
            <v>5631</v>
          </cell>
          <cell r="AS467">
            <v>-928000</v>
          </cell>
          <cell r="AT467">
            <v>-1188769</v>
          </cell>
          <cell r="AU467">
            <v>-1203702</v>
          </cell>
          <cell r="AV467">
            <v>1187742</v>
          </cell>
          <cell r="AW467">
            <v>-3418268</v>
          </cell>
          <cell r="AX467">
            <v>-1209484</v>
          </cell>
          <cell r="AY467">
            <v>674723</v>
          </cell>
          <cell r="AZ467">
            <v>5219016</v>
          </cell>
          <cell r="BA467">
            <v>6154483</v>
          </cell>
          <cell r="BB467">
            <v>-2687877</v>
          </cell>
          <cell r="BC467">
            <v>3642970</v>
          </cell>
          <cell r="BD467">
            <v>-137378</v>
          </cell>
          <cell r="BE467">
            <v>464262</v>
          </cell>
          <cell r="BF467">
            <v>124713</v>
          </cell>
          <cell r="BG467">
            <v>-422436</v>
          </cell>
          <cell r="BH467">
            <v>496539</v>
          </cell>
          <cell r="BI467">
            <v>-3086396</v>
          </cell>
          <cell r="BJ467">
            <v>-6321984</v>
          </cell>
          <cell r="BK467">
            <v>-3245669.72</v>
          </cell>
          <cell r="BL467">
            <v>1746712</v>
          </cell>
          <cell r="BM467">
            <v>3391969</v>
          </cell>
          <cell r="BN467">
            <v>1035531</v>
          </cell>
          <cell r="BO467">
            <v>2917021</v>
          </cell>
          <cell r="BP467">
            <v>2402818</v>
          </cell>
          <cell r="BQ467">
            <v>1040195</v>
          </cell>
          <cell r="BR467">
            <v>141162</v>
          </cell>
          <cell r="BS467">
            <v>-1576330</v>
          </cell>
          <cell r="BT467">
            <v>517518</v>
          </cell>
          <cell r="BU467">
            <v>-2632582</v>
          </cell>
          <cell r="BV467">
            <v>-2335633</v>
          </cell>
          <cell r="BW467">
            <v>1095920</v>
          </cell>
          <cell r="BX467">
            <v>3379908</v>
          </cell>
          <cell r="BY467">
            <v>3035687</v>
          </cell>
          <cell r="BZ467">
            <v>1210082</v>
          </cell>
          <cell r="CA467">
            <v>627746</v>
          </cell>
          <cell r="CB467">
            <v>-536907</v>
          </cell>
          <cell r="CC467">
            <v>599375</v>
          </cell>
          <cell r="CD467">
            <v>-584864</v>
          </cell>
          <cell r="CE467">
            <v>-2509697</v>
          </cell>
          <cell r="CF467">
            <v>-804568</v>
          </cell>
          <cell r="CG467">
            <v>-4016394</v>
          </cell>
          <cell r="CH467">
            <v>-3496243</v>
          </cell>
          <cell r="CI467">
            <v>-785190.97</v>
          </cell>
          <cell r="CJ467">
            <v>3626639</v>
          </cell>
          <cell r="CK467">
            <v>-2541111</v>
          </cell>
          <cell r="CL467">
            <v>-1306764</v>
          </cell>
          <cell r="CM467">
            <v>3821598</v>
          </cell>
          <cell r="CN467">
            <v>395754</v>
          </cell>
          <cell r="CO467">
            <v>-783525</v>
          </cell>
          <cell r="CP467">
            <v>310670</v>
          </cell>
          <cell r="CQ467">
            <v>-1010873</v>
          </cell>
          <cell r="CR467">
            <v>-1505757</v>
          </cell>
          <cell r="CS467">
            <v>-7716553</v>
          </cell>
          <cell r="CT467">
            <v>-7792165</v>
          </cell>
          <cell r="CU467">
            <v>482154</v>
          </cell>
          <cell r="CV467">
            <v>4562587</v>
          </cell>
          <cell r="CW467">
            <v>5360882</v>
          </cell>
          <cell r="CX467">
            <v>-620907</v>
          </cell>
          <cell r="CY467">
            <v>-159134</v>
          </cell>
          <cell r="CZ467">
            <v>-1594164</v>
          </cell>
          <cell r="DA467">
            <v>299138</v>
          </cell>
          <cell r="DB467">
            <v>759871</v>
          </cell>
          <cell r="DC467">
            <v>3487183</v>
          </cell>
          <cell r="DD467">
            <v>5197002</v>
          </cell>
          <cell r="DE467">
            <v>3106649</v>
          </cell>
          <cell r="DF467">
            <v>-9972573</v>
          </cell>
          <cell r="DG467">
            <v>-5484233</v>
          </cell>
        </row>
        <row r="468">
          <cell r="A468" t="str">
            <v>8081</v>
          </cell>
          <cell r="B468">
            <v>9808100</v>
          </cell>
          <cell r="C468" t="str">
            <v>Gas W/D Storage Dr</v>
          </cell>
          <cell r="D468">
            <v>0</v>
          </cell>
          <cell r="E468">
            <v>0</v>
          </cell>
          <cell r="F468">
            <v>0</v>
          </cell>
          <cell r="G468">
            <v>0</v>
          </cell>
          <cell r="H468">
            <v>206496.21</v>
          </cell>
          <cell r="I468">
            <v>0</v>
          </cell>
          <cell r="J468">
            <v>349195.48</v>
          </cell>
          <cell r="K468">
            <v>39558.47</v>
          </cell>
          <cell r="L468">
            <v>0</v>
          </cell>
          <cell r="M468">
            <v>155416.06</v>
          </cell>
          <cell r="N468">
            <v>0</v>
          </cell>
          <cell r="O468">
            <v>371458.58</v>
          </cell>
          <cell r="P468">
            <v>0</v>
          </cell>
          <cell r="Q468">
            <v>0</v>
          </cell>
          <cell r="R468">
            <v>0</v>
          </cell>
          <cell r="S468">
            <v>0</v>
          </cell>
          <cell r="T468">
            <v>0</v>
          </cell>
          <cell r="U468">
            <v>175914.65</v>
          </cell>
          <cell r="V468">
            <v>0</v>
          </cell>
          <cell r="W468">
            <v>87282.54</v>
          </cell>
          <cell r="X468">
            <v>0</v>
          </cell>
          <cell r="Y468">
            <v>0</v>
          </cell>
          <cell r="Z468">
            <v>39701.15</v>
          </cell>
          <cell r="AA468">
            <v>76364.31</v>
          </cell>
          <cell r="AB468">
            <v>41648.54</v>
          </cell>
          <cell r="AC468">
            <v>0</v>
          </cell>
          <cell r="AD468">
            <v>0</v>
          </cell>
          <cell r="AE468">
            <v>52144.2</v>
          </cell>
          <cell r="AF468">
            <v>0</v>
          </cell>
          <cell r="AG468">
            <v>0</v>
          </cell>
          <cell r="AH468">
            <v>16602.21</v>
          </cell>
          <cell r="AI468">
            <v>-451024.81</v>
          </cell>
          <cell r="AJ468">
            <v>0</v>
          </cell>
          <cell r="AK468">
            <v>73195.289999999994</v>
          </cell>
          <cell r="AL468">
            <v>0</v>
          </cell>
          <cell r="AM468">
            <v>160586.42000000001</v>
          </cell>
          <cell r="AN468">
            <v>43578.22</v>
          </cell>
          <cell r="AO468">
            <v>0</v>
          </cell>
          <cell r="AP468">
            <v>164510.85999999999</v>
          </cell>
          <cell r="AQ468">
            <v>0</v>
          </cell>
          <cell r="AR468">
            <v>0</v>
          </cell>
          <cell r="AS468">
            <v>0</v>
          </cell>
          <cell r="AT468">
            <v>122030.6</v>
          </cell>
          <cell r="AU468">
            <v>0</v>
          </cell>
          <cell r="AV468">
            <v>354485.92</v>
          </cell>
          <cell r="AW468">
            <v>0</v>
          </cell>
          <cell r="AX468">
            <v>0</v>
          </cell>
          <cell r="AY468">
            <v>0</v>
          </cell>
          <cell r="AZ468">
            <v>0</v>
          </cell>
          <cell r="BA468">
            <v>0</v>
          </cell>
          <cell r="BB468">
            <v>0</v>
          </cell>
          <cell r="BC468">
            <v>0</v>
          </cell>
          <cell r="BD468">
            <v>0</v>
          </cell>
          <cell r="BE468">
            <v>0</v>
          </cell>
          <cell r="BF468">
            <v>0</v>
          </cell>
          <cell r="BG468">
            <v>0</v>
          </cell>
          <cell r="BH468">
            <v>0</v>
          </cell>
          <cell r="BI468"/>
          <cell r="BJ468"/>
          <cell r="BK468"/>
          <cell r="BL468"/>
          <cell r="BM468"/>
          <cell r="BN468"/>
          <cell r="BO468"/>
          <cell r="BP468"/>
          <cell r="BQ468"/>
          <cell r="BR468"/>
          <cell r="BS468"/>
          <cell r="BT468"/>
          <cell r="BU468"/>
          <cell r="BV468"/>
          <cell r="BW468"/>
          <cell r="BX468"/>
          <cell r="BY468"/>
          <cell r="BZ468"/>
          <cell r="CA468"/>
          <cell r="CB468"/>
          <cell r="CC468"/>
          <cell r="CD468"/>
          <cell r="CE468"/>
          <cell r="CF468"/>
          <cell r="CG468"/>
          <cell r="CH468"/>
          <cell r="CI468"/>
          <cell r="CJ468"/>
          <cell r="CK468"/>
          <cell r="CL468"/>
          <cell r="CM468"/>
          <cell r="CN468"/>
          <cell r="CO468"/>
          <cell r="CP468">
            <v>0</v>
          </cell>
          <cell r="CQ468">
            <v>0</v>
          </cell>
          <cell r="CR468">
            <v>0</v>
          </cell>
          <cell r="CS468">
            <v>0</v>
          </cell>
          <cell r="CT468">
            <v>0</v>
          </cell>
          <cell r="CU468">
            <v>131045.66</v>
          </cell>
          <cell r="CV468">
            <v>-131045.66</v>
          </cell>
          <cell r="CW468">
            <v>40600.42</v>
          </cell>
          <cell r="CX468">
            <v>219512.59</v>
          </cell>
          <cell r="CY468">
            <v>0</v>
          </cell>
          <cell r="CZ468">
            <v>0</v>
          </cell>
          <cell r="DA468">
            <v>3.65</v>
          </cell>
          <cell r="DB468">
            <v>0</v>
          </cell>
          <cell r="DC468">
            <v>4807.3</v>
          </cell>
          <cell r="DD468">
            <v>-9.92</v>
          </cell>
          <cell r="DE468">
            <v>0</v>
          </cell>
          <cell r="DF468">
            <v>0</v>
          </cell>
          <cell r="DG468">
            <v>545973.76000000001</v>
          </cell>
        </row>
        <row r="469">
          <cell r="A469" t="str">
            <v>8082</v>
          </cell>
          <cell r="B469">
            <v>9808200</v>
          </cell>
          <cell r="C469" t="str">
            <v>Gas W/D Storage Cr</v>
          </cell>
          <cell r="D469">
            <v>0</v>
          </cell>
          <cell r="E469">
            <v>0</v>
          </cell>
          <cell r="F469">
            <v>0</v>
          </cell>
          <cell r="G469">
            <v>0</v>
          </cell>
          <cell r="H469">
            <v>-880730.91</v>
          </cell>
          <cell r="I469">
            <v>-241393.98</v>
          </cell>
          <cell r="J469">
            <v>0</v>
          </cell>
          <cell r="K469">
            <v>0</v>
          </cell>
          <cell r="L469">
            <v>0</v>
          </cell>
          <cell r="M469">
            <v>0</v>
          </cell>
          <cell r="N469">
            <v>0</v>
          </cell>
          <cell r="O469">
            <v>0</v>
          </cell>
          <cell r="P469">
            <v>0</v>
          </cell>
          <cell r="Q469">
            <v>-126382.67</v>
          </cell>
          <cell r="R469">
            <v>-80.209999999999994</v>
          </cell>
          <cell r="S469">
            <v>-176894.55</v>
          </cell>
          <cell r="T469">
            <v>-24863.17</v>
          </cell>
          <cell r="U469">
            <v>0</v>
          </cell>
          <cell r="V469">
            <v>-123030.41</v>
          </cell>
          <cell r="W469">
            <v>0</v>
          </cell>
          <cell r="X469">
            <v>-86637.61</v>
          </cell>
          <cell r="Y469">
            <v>0</v>
          </cell>
          <cell r="Z469">
            <v>0</v>
          </cell>
          <cell r="AA469">
            <v>0</v>
          </cell>
          <cell r="AB469">
            <v>0</v>
          </cell>
          <cell r="AC469">
            <v>-24313</v>
          </cell>
          <cell r="AD469">
            <v>-39460.67</v>
          </cell>
          <cell r="AE469">
            <v>0</v>
          </cell>
          <cell r="AF469">
            <v>-46455.519999999997</v>
          </cell>
          <cell r="AG469">
            <v>-716.81</v>
          </cell>
          <cell r="AH469">
            <v>0</v>
          </cell>
          <cell r="AI469">
            <v>0</v>
          </cell>
          <cell r="AJ469">
            <v>0</v>
          </cell>
          <cell r="AK469">
            <v>0</v>
          </cell>
          <cell r="AL469">
            <v>0</v>
          </cell>
          <cell r="AM469">
            <v>0</v>
          </cell>
          <cell r="AN469">
            <v>0</v>
          </cell>
          <cell r="AO469">
            <v>-108258.6</v>
          </cell>
          <cell r="AP469">
            <v>0</v>
          </cell>
          <cell r="AQ469">
            <v>-49583.07</v>
          </cell>
          <cell r="AR469">
            <v>0</v>
          </cell>
          <cell r="AS469">
            <v>-140905.28</v>
          </cell>
          <cell r="AT469">
            <v>76.25</v>
          </cell>
          <cell r="AU469">
            <v>-9512.32</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cell r="BJ469"/>
          <cell r="BK469"/>
          <cell r="BL469"/>
          <cell r="BM469"/>
          <cell r="BN469"/>
          <cell r="BO469"/>
          <cell r="BP469"/>
          <cell r="BQ469"/>
          <cell r="BR469"/>
          <cell r="BS469"/>
          <cell r="BT469"/>
          <cell r="BU469"/>
          <cell r="BV469"/>
          <cell r="BW469"/>
          <cell r="BX469"/>
          <cell r="BY469"/>
          <cell r="BZ469"/>
          <cell r="CA469"/>
          <cell r="CB469"/>
          <cell r="CC469"/>
          <cell r="CD469"/>
          <cell r="CE469"/>
          <cell r="CF469"/>
          <cell r="CG469"/>
          <cell r="CH469"/>
          <cell r="CI469"/>
          <cell r="CJ469"/>
          <cell r="CK469"/>
          <cell r="CL469"/>
          <cell r="CM469"/>
          <cell r="CN469"/>
          <cell r="CO469"/>
          <cell r="CP469">
            <v>0</v>
          </cell>
          <cell r="CQ469">
            <v>0</v>
          </cell>
          <cell r="CR469">
            <v>0</v>
          </cell>
          <cell r="CS469">
            <v>0</v>
          </cell>
          <cell r="CT469">
            <v>-995777.75</v>
          </cell>
          <cell r="CU469">
            <v>0</v>
          </cell>
          <cell r="CV469">
            <v>104210.34</v>
          </cell>
          <cell r="CW469">
            <v>65029.39</v>
          </cell>
          <cell r="CX469">
            <v>0</v>
          </cell>
          <cell r="CY469">
            <v>0</v>
          </cell>
          <cell r="CZ469">
            <v>0</v>
          </cell>
          <cell r="DA469">
            <v>-142007.76999999999</v>
          </cell>
          <cell r="DB469">
            <v>0</v>
          </cell>
          <cell r="DC469">
            <v>0</v>
          </cell>
          <cell r="DD469">
            <v>-66102.23</v>
          </cell>
          <cell r="DE469">
            <v>-164063.06</v>
          </cell>
          <cell r="DF469">
            <v>-25635.47</v>
          </cell>
          <cell r="DG469">
            <v>223.77</v>
          </cell>
        </row>
        <row r="470">
          <cell r="A470" t="str">
            <v>8120</v>
          </cell>
          <cell r="B470">
            <v>9812000</v>
          </cell>
          <cell r="C470" t="str">
            <v>Gas Oth UtilOp Cr</v>
          </cell>
          <cell r="D470">
            <v>5031.8100000000004</v>
          </cell>
          <cell r="E470">
            <v>1759.11</v>
          </cell>
          <cell r="F470">
            <v>-12864.46</v>
          </cell>
          <cell r="G470">
            <v>-24442.66</v>
          </cell>
          <cell r="H470">
            <v>3936.42</v>
          </cell>
          <cell r="I470">
            <v>-361.84</v>
          </cell>
          <cell r="J470">
            <v>-20624.79</v>
          </cell>
          <cell r="K470">
            <v>-19225.04</v>
          </cell>
          <cell r="L470">
            <v>-9899.99</v>
          </cell>
          <cell r="M470">
            <v>-23558.01</v>
          </cell>
          <cell r="N470">
            <v>-105.7</v>
          </cell>
          <cell r="O470">
            <v>-22995.200000000001</v>
          </cell>
          <cell r="P470">
            <v>5134.62</v>
          </cell>
          <cell r="Q470">
            <v>-21988.37</v>
          </cell>
          <cell r="R470">
            <v>-38907.440000000002</v>
          </cell>
          <cell r="S470">
            <v>-16227.32</v>
          </cell>
          <cell r="T470">
            <v>3957.09</v>
          </cell>
          <cell r="U470">
            <v>147.63</v>
          </cell>
          <cell r="V470">
            <v>-4068.17</v>
          </cell>
          <cell r="W470">
            <v>-10048.07</v>
          </cell>
          <cell r="X470">
            <v>-5237.26</v>
          </cell>
          <cell r="Y470">
            <v>-19206.27</v>
          </cell>
          <cell r="Z470">
            <v>-3334.21</v>
          </cell>
          <cell r="AA470">
            <v>-25078.34</v>
          </cell>
          <cell r="AB470">
            <v>-23120.639999999999</v>
          </cell>
          <cell r="AC470">
            <v>-11535.74</v>
          </cell>
          <cell r="AD470">
            <v>-30975.14</v>
          </cell>
          <cell r="AE470">
            <v>-21830.15</v>
          </cell>
          <cell r="AF470">
            <v>-3838.87</v>
          </cell>
          <cell r="AG470">
            <v>-28898.21</v>
          </cell>
          <cell r="AH470">
            <v>3073</v>
          </cell>
          <cell r="AI470">
            <v>28790.37</v>
          </cell>
          <cell r="AJ470">
            <v>-32086.400000000001</v>
          </cell>
          <cell r="AK470">
            <v>-57552.58</v>
          </cell>
          <cell r="AL470">
            <v>-44871.41</v>
          </cell>
          <cell r="AM470">
            <v>-31318.14</v>
          </cell>
          <cell r="AN470">
            <v>-9678.23</v>
          </cell>
          <cell r="AO470">
            <v>-550.6</v>
          </cell>
          <cell r="AP470">
            <v>-78128.59</v>
          </cell>
          <cell r="AQ470">
            <v>47121.74</v>
          </cell>
          <cell r="AR470">
            <v>-46623.51</v>
          </cell>
          <cell r="AS470">
            <v>-17327.740000000002</v>
          </cell>
          <cell r="AT470">
            <v>-2686.26</v>
          </cell>
          <cell r="AU470">
            <v>22102.19</v>
          </cell>
          <cell r="AV470">
            <v>-25735.41</v>
          </cell>
          <cell r="AW470">
            <v>-25976.74</v>
          </cell>
          <cell r="AX470">
            <v>6638.96</v>
          </cell>
          <cell r="AY470">
            <v>-102160.27</v>
          </cell>
          <cell r="AZ470">
            <v>8944.7900000000009</v>
          </cell>
          <cell r="BA470">
            <v>-22995.279999999999</v>
          </cell>
          <cell r="BB470">
            <v>-12940.83</v>
          </cell>
          <cell r="BC470">
            <v>-42910.37</v>
          </cell>
          <cell r="BD470">
            <v>-2142.7399999999998</v>
          </cell>
          <cell r="BE470">
            <v>-32488.16</v>
          </cell>
          <cell r="BF470">
            <v>-42937.33</v>
          </cell>
          <cell r="BG470">
            <v>-93071.17</v>
          </cell>
          <cell r="BH470">
            <v>-33737.800000000003</v>
          </cell>
          <cell r="BI470">
            <v>1223.81</v>
          </cell>
          <cell r="BJ470">
            <v>16889.27</v>
          </cell>
          <cell r="BK470">
            <v>-27547.88</v>
          </cell>
          <cell r="BL470">
            <v>-16831.560000000001</v>
          </cell>
          <cell r="BM470">
            <v>-21601.19</v>
          </cell>
          <cell r="BN470">
            <v>-34566.82</v>
          </cell>
          <cell r="BO470">
            <v>-29684.639999999999</v>
          </cell>
          <cell r="BP470">
            <v>-51404.78</v>
          </cell>
          <cell r="BQ470">
            <v>-22396.44</v>
          </cell>
          <cell r="BR470">
            <v>-50832.02</v>
          </cell>
          <cell r="BS470">
            <v>-18479.98</v>
          </cell>
          <cell r="BT470">
            <v>-60762.86</v>
          </cell>
          <cell r="BU470">
            <v>-15231.38</v>
          </cell>
          <cell r="BV470">
            <v>-27772.13</v>
          </cell>
          <cell r="BW470">
            <v>-24352.49</v>
          </cell>
          <cell r="BX470">
            <v>12226.95</v>
          </cell>
          <cell r="BY470">
            <v>-41506.17</v>
          </cell>
          <cell r="BZ470">
            <v>-31055.55</v>
          </cell>
          <cell r="CA470">
            <v>-86279.8</v>
          </cell>
          <cell r="CB470">
            <v>-107029.96</v>
          </cell>
          <cell r="CC470">
            <v>-91803.31</v>
          </cell>
          <cell r="CD470">
            <v>-68588.47</v>
          </cell>
          <cell r="CE470">
            <v>47511.5</v>
          </cell>
          <cell r="CF470">
            <v>-17197.939999999999</v>
          </cell>
          <cell r="CG470">
            <v>105633.96</v>
          </cell>
          <cell r="CH470">
            <v>-57460.87</v>
          </cell>
          <cell r="CI470">
            <v>-958.05</v>
          </cell>
          <cell r="CJ470">
            <v>-9495.9599999999991</v>
          </cell>
          <cell r="CK470">
            <v>-32389.24</v>
          </cell>
          <cell r="CL470">
            <v>-15738.63</v>
          </cell>
          <cell r="CM470">
            <v>-45543.34</v>
          </cell>
          <cell r="CN470">
            <v>-21924.26</v>
          </cell>
          <cell r="CO470">
            <v>-55084.92</v>
          </cell>
          <cell r="CP470">
            <v>-43210.7</v>
          </cell>
          <cell r="CQ470">
            <v>-76985.259999999995</v>
          </cell>
          <cell r="CR470">
            <v>-37342.75</v>
          </cell>
          <cell r="CS470">
            <v>15565.71</v>
          </cell>
          <cell r="CT470">
            <v>8192.2000000000007</v>
          </cell>
          <cell r="CU470">
            <v>21440.799999999999</v>
          </cell>
          <cell r="CV470">
            <v>-34618.61</v>
          </cell>
          <cell r="CW470">
            <v>-57529.21</v>
          </cell>
          <cell r="CX470">
            <v>-72339.990000000005</v>
          </cell>
          <cell r="CY470">
            <v>-33118.6</v>
          </cell>
          <cell r="CZ470">
            <v>-12869.27</v>
          </cell>
          <cell r="DA470">
            <v>23149.87</v>
          </cell>
          <cell r="DB470">
            <v>-87239.26</v>
          </cell>
          <cell r="DC470">
            <v>-81634.34</v>
          </cell>
          <cell r="DD470">
            <v>-68049.56</v>
          </cell>
          <cell r="DE470">
            <v>-26945.96</v>
          </cell>
          <cell r="DF470">
            <v>1714.82</v>
          </cell>
          <cell r="DG470">
            <v>-61341.49</v>
          </cell>
        </row>
        <row r="471">
          <cell r="A471" t="str">
            <v>8700</v>
          </cell>
          <cell r="B471">
            <v>9870000</v>
          </cell>
          <cell r="C471" t="str">
            <v>Gas Distb Ops SupEng</v>
          </cell>
          <cell r="D471">
            <v>43492.84</v>
          </cell>
          <cell r="E471">
            <v>41819.25</v>
          </cell>
          <cell r="F471">
            <v>147261.51999999999</v>
          </cell>
          <cell r="G471">
            <v>37296.949999999997</v>
          </cell>
          <cell r="H471">
            <v>53436.44</v>
          </cell>
          <cell r="I471">
            <v>66183.8</v>
          </cell>
          <cell r="J471">
            <v>37838.15</v>
          </cell>
          <cell r="K471">
            <v>54557.75</v>
          </cell>
          <cell r="L471">
            <v>38008.82</v>
          </cell>
          <cell r="M471">
            <v>45337.33</v>
          </cell>
          <cell r="N471">
            <v>40300.519999999997</v>
          </cell>
          <cell r="O471">
            <v>50086.94</v>
          </cell>
          <cell r="P471">
            <v>49028.6</v>
          </cell>
          <cell r="Q471">
            <v>44070.5</v>
          </cell>
          <cell r="R471">
            <v>47402.45</v>
          </cell>
          <cell r="S471">
            <v>41623.94</v>
          </cell>
          <cell r="T471">
            <v>55979.86</v>
          </cell>
          <cell r="U471">
            <v>41515.269999999997</v>
          </cell>
          <cell r="V471">
            <v>73700.61</v>
          </cell>
          <cell r="W471">
            <v>42364.19</v>
          </cell>
          <cell r="X471">
            <v>43875.91</v>
          </cell>
          <cell r="Y471">
            <v>40185.54</v>
          </cell>
          <cell r="Z471">
            <v>38448.239999999998</v>
          </cell>
          <cell r="AA471">
            <v>39388.639999999999</v>
          </cell>
          <cell r="AB471">
            <v>38644.42</v>
          </cell>
          <cell r="AC471">
            <v>50751.77</v>
          </cell>
          <cell r="AD471">
            <v>48446.59</v>
          </cell>
          <cell r="AE471">
            <v>58855.01</v>
          </cell>
          <cell r="AF471">
            <v>56993.95</v>
          </cell>
          <cell r="AG471">
            <v>56568.57</v>
          </cell>
          <cell r="AH471">
            <v>48455.92</v>
          </cell>
          <cell r="AI471">
            <v>51141.13</v>
          </cell>
          <cell r="AJ471">
            <v>59016.12</v>
          </cell>
          <cell r="AK471">
            <v>92135.2</v>
          </cell>
          <cell r="AL471">
            <v>69019.360000000001</v>
          </cell>
          <cell r="AM471">
            <v>93147.89</v>
          </cell>
          <cell r="AN471">
            <v>79314.77</v>
          </cell>
          <cell r="AO471">
            <v>67532.98</v>
          </cell>
          <cell r="AP471">
            <v>98077.36</v>
          </cell>
          <cell r="AQ471">
            <v>72081.03</v>
          </cell>
          <cell r="AR471">
            <v>86098.880000000005</v>
          </cell>
          <cell r="AS471">
            <v>85596.86</v>
          </cell>
          <cell r="AT471">
            <v>77916.929999999993</v>
          </cell>
          <cell r="AU471">
            <v>66870.44</v>
          </cell>
          <cell r="AV471">
            <v>78403.399999999994</v>
          </cell>
          <cell r="AW471">
            <v>69160.44</v>
          </cell>
          <cell r="AX471">
            <v>77422.64</v>
          </cell>
          <cell r="AY471">
            <v>75075.009999999995</v>
          </cell>
          <cell r="AZ471">
            <v>77233.990000000005</v>
          </cell>
          <cell r="BA471">
            <v>72034.34</v>
          </cell>
          <cell r="BB471">
            <v>85588.800000000003</v>
          </cell>
          <cell r="BC471">
            <v>89582.26</v>
          </cell>
          <cell r="BD471">
            <v>67274.52</v>
          </cell>
          <cell r="BE471">
            <v>67665.25</v>
          </cell>
          <cell r="BF471">
            <v>68362.899999999994</v>
          </cell>
          <cell r="BG471">
            <v>61590.98</v>
          </cell>
          <cell r="BH471">
            <v>55830.35</v>
          </cell>
          <cell r="BI471">
            <v>66011.83</v>
          </cell>
          <cell r="BJ471">
            <v>50167.62</v>
          </cell>
          <cell r="BK471">
            <v>56792.75</v>
          </cell>
          <cell r="BL471">
            <v>62554.05</v>
          </cell>
          <cell r="BM471">
            <v>68615.02</v>
          </cell>
          <cell r="BN471">
            <v>80173.19</v>
          </cell>
          <cell r="BO471">
            <v>71409.97</v>
          </cell>
          <cell r="BP471">
            <v>74055.509999999995</v>
          </cell>
          <cell r="BQ471">
            <v>85551.15</v>
          </cell>
          <cell r="BR471">
            <v>91649.279999999999</v>
          </cell>
          <cell r="BS471">
            <v>100214.3</v>
          </cell>
          <cell r="BT471">
            <v>79027.759999999995</v>
          </cell>
          <cell r="BU471">
            <v>106863.43</v>
          </cell>
          <cell r="BV471">
            <v>164522.63</v>
          </cell>
          <cell r="BW471">
            <v>164549.82</v>
          </cell>
          <cell r="BX471">
            <v>129920.32000000001</v>
          </cell>
          <cell r="BY471">
            <v>102817.72</v>
          </cell>
          <cell r="BZ471">
            <v>162960.49</v>
          </cell>
          <cell r="CA471">
            <v>112441.28</v>
          </cell>
          <cell r="CB471">
            <v>91275.74</v>
          </cell>
          <cell r="CC471">
            <v>171845.14</v>
          </cell>
          <cell r="CD471">
            <v>74907.59</v>
          </cell>
          <cell r="CE471">
            <v>121252.46</v>
          </cell>
          <cell r="CF471">
            <v>111246.57</v>
          </cell>
          <cell r="CG471">
            <v>123856.32000000001</v>
          </cell>
          <cell r="CH471">
            <v>108030.24</v>
          </cell>
          <cell r="CI471">
            <v>137369.35</v>
          </cell>
          <cell r="CJ471">
            <v>145864.01</v>
          </cell>
          <cell r="CK471">
            <v>86562.64</v>
          </cell>
          <cell r="CL471">
            <v>152522.38</v>
          </cell>
          <cell r="CM471">
            <v>125082.79</v>
          </cell>
          <cell r="CN471">
            <v>124375.55</v>
          </cell>
          <cell r="CO471">
            <v>142845.18</v>
          </cell>
          <cell r="CP471">
            <v>125339.42</v>
          </cell>
          <cell r="CQ471">
            <v>151657.76</v>
          </cell>
          <cell r="CR471">
            <v>122844.24</v>
          </cell>
          <cell r="CS471">
            <v>146656.26999999999</v>
          </cell>
          <cell r="CT471">
            <v>203219.20000000001</v>
          </cell>
          <cell r="CU471">
            <v>89633.33</v>
          </cell>
          <cell r="CV471">
            <v>142515.82999999999</v>
          </cell>
          <cell r="CW471">
            <v>155142.29</v>
          </cell>
          <cell r="CX471">
            <v>125809.12</v>
          </cell>
          <cell r="CY471">
            <v>162589.93</v>
          </cell>
          <cell r="CZ471">
            <v>93546.5</v>
          </cell>
          <cell r="DA471">
            <v>151080.56</v>
          </cell>
          <cell r="DB471">
            <v>145540.25</v>
          </cell>
          <cell r="DC471">
            <v>170995.84</v>
          </cell>
          <cell r="DD471">
            <v>130337.72</v>
          </cell>
          <cell r="DE471">
            <v>121717.98</v>
          </cell>
          <cell r="DF471">
            <v>167320.6</v>
          </cell>
          <cell r="DG471">
            <v>116699.71</v>
          </cell>
        </row>
        <row r="472">
          <cell r="A472" t="str">
            <v>8710</v>
          </cell>
          <cell r="B472">
            <v>9871000</v>
          </cell>
          <cell r="C472" t="str">
            <v>Gas Distb Ops SupEng</v>
          </cell>
          <cell r="D472">
            <v>34881.199999999997</v>
          </cell>
          <cell r="E472">
            <v>32550.1</v>
          </cell>
          <cell r="F472">
            <v>33040.1</v>
          </cell>
          <cell r="G472">
            <v>21284.83</v>
          </cell>
          <cell r="H472">
            <v>7073.04</v>
          </cell>
          <cell r="I472">
            <v>6326.14</v>
          </cell>
          <cell r="J472">
            <v>31055.23</v>
          </cell>
          <cell r="K472">
            <v>25154.16</v>
          </cell>
          <cell r="L472">
            <v>26430.3</v>
          </cell>
          <cell r="M472">
            <v>21620.47</v>
          </cell>
          <cell r="N472">
            <v>23087.09</v>
          </cell>
          <cell r="O472">
            <v>25906</v>
          </cell>
          <cell r="P472">
            <v>24727.08</v>
          </cell>
          <cell r="Q472">
            <v>20098.38</v>
          </cell>
          <cell r="R472">
            <v>22885.37</v>
          </cell>
          <cell r="S472">
            <v>26635.1</v>
          </cell>
          <cell r="T472">
            <v>30668.47</v>
          </cell>
          <cell r="U472">
            <v>52351.69</v>
          </cell>
          <cell r="V472">
            <v>25236.880000000001</v>
          </cell>
          <cell r="W472">
            <v>54964.38</v>
          </cell>
          <cell r="X472">
            <v>36225.67</v>
          </cell>
          <cell r="Y472">
            <v>35192.18</v>
          </cell>
          <cell r="Z472">
            <v>31951.67</v>
          </cell>
          <cell r="AA472">
            <v>70915.179999999993</v>
          </cell>
          <cell r="AB472">
            <v>27862.5</v>
          </cell>
          <cell r="AC472">
            <v>25161.45</v>
          </cell>
          <cell r="AD472">
            <v>26728.76</v>
          </cell>
          <cell r="AE472">
            <v>30365.79</v>
          </cell>
          <cell r="AF472">
            <v>38584.339999999997</v>
          </cell>
          <cell r="AG472">
            <v>91852.31</v>
          </cell>
          <cell r="AH472">
            <v>29087.56</v>
          </cell>
          <cell r="AI472">
            <v>29207.58</v>
          </cell>
          <cell r="AJ472">
            <v>32363.27</v>
          </cell>
          <cell r="AK472">
            <v>27179.22</v>
          </cell>
          <cell r="AL472">
            <v>66702.48</v>
          </cell>
          <cell r="AM472">
            <v>32131.13</v>
          </cell>
          <cell r="AN472">
            <v>39919.19</v>
          </cell>
          <cell r="AO472">
            <v>31438.85</v>
          </cell>
          <cell r="AP472">
            <v>39056.97</v>
          </cell>
          <cell r="AQ472">
            <v>34115.760000000002</v>
          </cell>
          <cell r="AR472">
            <v>31686.11</v>
          </cell>
          <cell r="AS472">
            <v>32497.47</v>
          </cell>
          <cell r="AT472">
            <v>36185.93</v>
          </cell>
          <cell r="AU472">
            <v>30773.8</v>
          </cell>
          <cell r="AV472">
            <v>32942.620000000003</v>
          </cell>
          <cell r="AW472">
            <v>31337.09</v>
          </cell>
          <cell r="AX472">
            <v>29756.83</v>
          </cell>
          <cell r="AY472">
            <v>39385.769999999997</v>
          </cell>
          <cell r="AZ472">
            <v>44181.96</v>
          </cell>
          <cell r="BA472">
            <v>29973.67</v>
          </cell>
          <cell r="BB472">
            <v>31893.73</v>
          </cell>
          <cell r="BC472">
            <v>38907.26</v>
          </cell>
          <cell r="BD472">
            <v>38456.949999999997</v>
          </cell>
          <cell r="BE472">
            <v>36763.69</v>
          </cell>
          <cell r="BF472">
            <v>43246.559999999998</v>
          </cell>
          <cell r="BG472">
            <v>35653.660000000003</v>
          </cell>
          <cell r="BH472">
            <v>49582.78</v>
          </cell>
          <cell r="BI472">
            <v>31573.94</v>
          </cell>
          <cell r="BJ472">
            <v>42277.05</v>
          </cell>
          <cell r="BK472">
            <v>35103.35</v>
          </cell>
          <cell r="BL472">
            <v>36523.919999999998</v>
          </cell>
          <cell r="BM472">
            <v>25711.98</v>
          </cell>
          <cell r="BN472">
            <v>30548.98</v>
          </cell>
          <cell r="BO472">
            <v>34225.33</v>
          </cell>
          <cell r="BP472">
            <v>30023.01</v>
          </cell>
          <cell r="BQ472">
            <v>29493.34</v>
          </cell>
          <cell r="BR472">
            <v>32638.1</v>
          </cell>
          <cell r="BS472">
            <v>30805.78</v>
          </cell>
          <cell r="BT472">
            <v>30561.33</v>
          </cell>
          <cell r="BU472">
            <v>46789.68</v>
          </cell>
          <cell r="BV472">
            <v>57451.93</v>
          </cell>
          <cell r="BW472">
            <v>65754.41</v>
          </cell>
          <cell r="BX472">
            <v>38679.18</v>
          </cell>
          <cell r="BY472">
            <v>39463.440000000002</v>
          </cell>
          <cell r="BZ472">
            <v>45655.44</v>
          </cell>
          <cell r="CA472">
            <v>35737.339999999997</v>
          </cell>
          <cell r="CB472">
            <v>6029.75</v>
          </cell>
          <cell r="CC472">
            <v>31034.3</v>
          </cell>
          <cell r="CD472">
            <v>36208.85</v>
          </cell>
          <cell r="CE472">
            <v>37561.410000000003</v>
          </cell>
          <cell r="CF472">
            <v>26578.77</v>
          </cell>
          <cell r="CG472">
            <v>27728.73</v>
          </cell>
          <cell r="CH472">
            <v>26528.46</v>
          </cell>
          <cell r="CI472">
            <v>43344.77</v>
          </cell>
          <cell r="CJ472">
            <v>47859.91</v>
          </cell>
          <cell r="CK472">
            <v>27577.02</v>
          </cell>
          <cell r="CL472">
            <v>41770.1</v>
          </cell>
          <cell r="CM472">
            <v>29610.25</v>
          </cell>
          <cell r="CN472">
            <v>32767.49</v>
          </cell>
          <cell r="CO472">
            <v>38290.31</v>
          </cell>
          <cell r="CP472">
            <v>40606.400000000001</v>
          </cell>
          <cell r="CQ472">
            <v>40722.03</v>
          </cell>
          <cell r="CR472">
            <v>37455.300000000003</v>
          </cell>
          <cell r="CS472">
            <v>37881.42</v>
          </cell>
          <cell r="CT472">
            <v>43002.04</v>
          </cell>
          <cell r="CU472">
            <v>40475.47</v>
          </cell>
          <cell r="CV472">
            <v>39645.410000000003</v>
          </cell>
          <cell r="CW472">
            <v>34152.42</v>
          </cell>
          <cell r="CX472">
            <v>35697.32</v>
          </cell>
          <cell r="CY472">
            <v>39577.089999999997</v>
          </cell>
          <cell r="CZ472">
            <v>34893.19</v>
          </cell>
          <cell r="DA472">
            <v>40825.21</v>
          </cell>
          <cell r="DB472">
            <v>48693.94</v>
          </cell>
          <cell r="DC472">
            <v>62593.35</v>
          </cell>
          <cell r="DD472">
            <v>47162.35</v>
          </cell>
          <cell r="DE472">
            <v>42546.39</v>
          </cell>
          <cell r="DF472">
            <v>43512.23</v>
          </cell>
          <cell r="DG472">
            <v>39170.6</v>
          </cell>
        </row>
        <row r="473">
          <cell r="A473" t="str">
            <v>8720</v>
          </cell>
          <cell r="B473">
            <v>9872000</v>
          </cell>
          <cell r="C473" t="str">
            <v>Gas Compr Stn Lbr</v>
          </cell>
          <cell r="D473">
            <v>0</v>
          </cell>
          <cell r="E473">
            <v>429.54</v>
          </cell>
          <cell r="F473">
            <v>0</v>
          </cell>
          <cell r="G473">
            <v>0</v>
          </cell>
          <cell r="H473">
            <v>0</v>
          </cell>
          <cell r="I473">
            <v>0</v>
          </cell>
          <cell r="J473">
            <v>0</v>
          </cell>
          <cell r="K473">
            <v>0</v>
          </cell>
          <cell r="L473">
            <v>0</v>
          </cell>
          <cell r="M473">
            <v>0</v>
          </cell>
          <cell r="N473">
            <v>0</v>
          </cell>
          <cell r="O473">
            <v>0</v>
          </cell>
          <cell r="P473">
            <v>0</v>
          </cell>
          <cell r="Q473">
            <v>0</v>
          </cell>
          <cell r="R473">
            <v>1745.71</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891.38</v>
          </cell>
          <cell r="AN473">
            <v>0</v>
          </cell>
          <cell r="AO473">
            <v>0</v>
          </cell>
          <cell r="AP473">
            <v>310.02999999999997</v>
          </cell>
          <cell r="AQ473">
            <v>0</v>
          </cell>
          <cell r="AR473">
            <v>0</v>
          </cell>
          <cell r="AS473">
            <v>3463.56</v>
          </cell>
          <cell r="AT473">
            <v>-210</v>
          </cell>
          <cell r="AU473">
            <v>455</v>
          </cell>
          <cell r="AV473">
            <v>-70</v>
          </cell>
          <cell r="AW473">
            <v>0</v>
          </cell>
          <cell r="AX473">
            <v>0</v>
          </cell>
          <cell r="AY473">
            <v>0</v>
          </cell>
          <cell r="AZ473">
            <v>5630.49</v>
          </cell>
          <cell r="BA473">
            <v>23418.54</v>
          </cell>
          <cell r="BB473">
            <v>13869.29</v>
          </cell>
          <cell r="BC473">
            <v>17349.810000000001</v>
          </cell>
          <cell r="BD473">
            <v>26737.73</v>
          </cell>
          <cell r="BE473">
            <v>2643.58</v>
          </cell>
          <cell r="BF473">
            <v>1131.8900000000001</v>
          </cell>
          <cell r="BG473">
            <v>-3257.45</v>
          </cell>
          <cell r="BH473">
            <v>3373.9</v>
          </cell>
          <cell r="BI473">
            <v>2306.98</v>
          </cell>
          <cell r="BJ473">
            <v>2509.64</v>
          </cell>
          <cell r="BK473">
            <v>2853.72</v>
          </cell>
          <cell r="BL473">
            <v>2967.18</v>
          </cell>
          <cell r="BM473">
            <v>2086.16</v>
          </cell>
          <cell r="BN473">
            <v>3844.25</v>
          </cell>
          <cell r="BO473">
            <v>2425.9899999999998</v>
          </cell>
          <cell r="BP473">
            <v>3279.12</v>
          </cell>
          <cell r="BQ473">
            <v>1475.86</v>
          </cell>
          <cell r="BR473">
            <v>181.94</v>
          </cell>
          <cell r="BS473">
            <v>286.77</v>
          </cell>
          <cell r="BT473">
            <v>-421.37</v>
          </cell>
          <cell r="BU473">
            <v>463.03</v>
          </cell>
          <cell r="BV473">
            <v>938.81</v>
          </cell>
          <cell r="BW473">
            <v>2714.13</v>
          </cell>
          <cell r="BX473">
            <v>1395.46</v>
          </cell>
          <cell r="BY473">
            <v>0</v>
          </cell>
          <cell r="BZ473">
            <v>0</v>
          </cell>
          <cell r="CA473">
            <v>0</v>
          </cell>
          <cell r="CB473">
            <v>0</v>
          </cell>
          <cell r="CC473">
            <v>0</v>
          </cell>
          <cell r="CD473">
            <v>0</v>
          </cell>
          <cell r="CE473">
            <v>0</v>
          </cell>
          <cell r="CF473">
            <v>0</v>
          </cell>
          <cell r="CG473">
            <v>0</v>
          </cell>
          <cell r="CH473">
            <v>0</v>
          </cell>
          <cell r="CI473">
            <v>17.97</v>
          </cell>
          <cell r="CJ473">
            <v>36.93</v>
          </cell>
          <cell r="CK473">
            <v>16703.599999999999</v>
          </cell>
          <cell r="CL473">
            <v>-16703.599999999999</v>
          </cell>
          <cell r="CM473">
            <v>19050.810000000001</v>
          </cell>
          <cell r="CN473">
            <v>0</v>
          </cell>
          <cell r="CO473">
            <v>38000</v>
          </cell>
          <cell r="CP473">
            <v>337</v>
          </cell>
          <cell r="CQ473">
            <v>7334.14</v>
          </cell>
          <cell r="CR473">
            <v>107745.53</v>
          </cell>
          <cell r="CS473">
            <v>-20386.919999999998</v>
          </cell>
          <cell r="CT473">
            <v>11039.37</v>
          </cell>
          <cell r="CU473">
            <v>36064.019999999997</v>
          </cell>
          <cell r="CV473">
            <v>51584.2</v>
          </cell>
          <cell r="CW473">
            <v>14706.69</v>
          </cell>
          <cell r="CX473">
            <v>15373.35</v>
          </cell>
          <cell r="CY473">
            <v>58409.55</v>
          </cell>
          <cell r="CZ473">
            <v>77850.27</v>
          </cell>
          <cell r="DA473">
            <v>11159.51</v>
          </cell>
          <cell r="DB473">
            <v>37420.14</v>
          </cell>
          <cell r="DC473">
            <v>54865.84</v>
          </cell>
          <cell r="DD473">
            <v>12065.62</v>
          </cell>
          <cell r="DE473">
            <v>19389.5</v>
          </cell>
          <cell r="DF473">
            <v>89058.99</v>
          </cell>
          <cell r="DG473">
            <v>37014.1</v>
          </cell>
        </row>
        <row r="474">
          <cell r="A474" t="str">
            <v>8730</v>
          </cell>
          <cell r="B474">
            <v>9873000</v>
          </cell>
          <cell r="C474" t="str">
            <v>Gas Compr Stn Fuel</v>
          </cell>
          <cell r="D474">
            <v>0</v>
          </cell>
          <cell r="E474">
            <v>0</v>
          </cell>
          <cell r="F474">
            <v>0</v>
          </cell>
          <cell r="G474">
            <v>0</v>
          </cell>
          <cell r="H474">
            <v>0</v>
          </cell>
          <cell r="I474">
            <v>0</v>
          </cell>
          <cell r="J474">
            <v>87.7</v>
          </cell>
          <cell r="K474">
            <v>0</v>
          </cell>
          <cell r="L474">
            <v>0</v>
          </cell>
          <cell r="M474">
            <v>0</v>
          </cell>
          <cell r="N474">
            <v>0</v>
          </cell>
          <cell r="O474">
            <v>0</v>
          </cell>
          <cell r="P474">
            <v>0</v>
          </cell>
          <cell r="Q474">
            <v>0</v>
          </cell>
          <cell r="R474">
            <v>4340.45</v>
          </cell>
          <cell r="S474">
            <v>0</v>
          </cell>
          <cell r="T474">
            <v>0</v>
          </cell>
          <cell r="U474">
            <v>0</v>
          </cell>
          <cell r="V474">
            <v>0</v>
          </cell>
          <cell r="W474">
            <v>193.98</v>
          </cell>
          <cell r="X474">
            <v>73.040000000000006</v>
          </cell>
          <cell r="Y474">
            <v>13.39</v>
          </cell>
          <cell r="Z474">
            <v>499.35</v>
          </cell>
          <cell r="AA474">
            <v>2.87</v>
          </cell>
          <cell r="AB474">
            <v>3.51</v>
          </cell>
          <cell r="AC474">
            <v>14.01</v>
          </cell>
          <cell r="AD474">
            <v>2.23</v>
          </cell>
          <cell r="AE474">
            <v>139.51</v>
          </cell>
          <cell r="AF474">
            <v>71.680000000000007</v>
          </cell>
          <cell r="AG474">
            <v>21.41</v>
          </cell>
          <cell r="AH474">
            <v>48.12</v>
          </cell>
          <cell r="AI474">
            <v>118.51</v>
          </cell>
          <cell r="AJ474">
            <v>2325.59</v>
          </cell>
          <cell r="AK474">
            <v>1077.07</v>
          </cell>
          <cell r="AL474">
            <v>234.69</v>
          </cell>
          <cell r="AM474">
            <v>461.09</v>
          </cell>
          <cell r="AN474">
            <v>2349.9</v>
          </cell>
          <cell r="AO474">
            <v>1654.81</v>
          </cell>
          <cell r="AP474">
            <v>542.12</v>
          </cell>
          <cell r="AQ474">
            <v>297.35000000000002</v>
          </cell>
          <cell r="AR474">
            <v>663.75</v>
          </cell>
          <cell r="AS474">
            <v>1738.58</v>
          </cell>
          <cell r="AT474">
            <v>2379.77</v>
          </cell>
          <cell r="AU474">
            <v>808.61</v>
          </cell>
          <cell r="AV474">
            <v>1508.02</v>
          </cell>
          <cell r="AW474">
            <v>1648.58</v>
          </cell>
          <cell r="AX474">
            <v>1602.93</v>
          </cell>
          <cell r="AY474">
            <v>2052.77</v>
          </cell>
          <cell r="AZ474">
            <v>4076.15</v>
          </cell>
          <cell r="BA474">
            <v>712.4</v>
          </cell>
          <cell r="BB474">
            <v>213.97</v>
          </cell>
          <cell r="BC474">
            <v>488.05</v>
          </cell>
          <cell r="BD474">
            <v>-8263.25</v>
          </cell>
          <cell r="BE474">
            <v>820.82</v>
          </cell>
          <cell r="BF474">
            <v>132.18</v>
          </cell>
          <cell r="BG474">
            <v>613.11</v>
          </cell>
          <cell r="BH474">
            <v>410.04</v>
          </cell>
          <cell r="BI474">
            <v>0</v>
          </cell>
          <cell r="BJ474">
            <v>0</v>
          </cell>
          <cell r="BK474">
            <v>0</v>
          </cell>
          <cell r="BL474">
            <v>0</v>
          </cell>
          <cell r="BM474">
            <v>0</v>
          </cell>
          <cell r="BN474">
            <v>68.290000000000006</v>
          </cell>
          <cell r="BO474">
            <v>0</v>
          </cell>
          <cell r="BP474">
            <v>45.15</v>
          </cell>
          <cell r="BQ474">
            <v>0</v>
          </cell>
          <cell r="BR474">
            <v>0</v>
          </cell>
          <cell r="BS474">
            <v>0</v>
          </cell>
          <cell r="BT474">
            <v>0</v>
          </cell>
          <cell r="BU474">
            <v>0</v>
          </cell>
          <cell r="BV474">
            <v>6800.67</v>
          </cell>
          <cell r="BW474">
            <v>0</v>
          </cell>
          <cell r="BX474">
            <v>0</v>
          </cell>
          <cell r="BY474">
            <v>0</v>
          </cell>
          <cell r="BZ474">
            <v>29370.5</v>
          </cell>
          <cell r="CA474">
            <v>-29370.5</v>
          </cell>
          <cell r="CB474">
            <v>0</v>
          </cell>
          <cell r="CC474">
            <v>0</v>
          </cell>
          <cell r="CD474">
            <v>1402.82</v>
          </cell>
          <cell r="CE474">
            <v>1309.6400000000001</v>
          </cell>
          <cell r="CF474">
            <v>-1547.94</v>
          </cell>
          <cell r="CG474">
            <v>0</v>
          </cell>
          <cell r="CH474">
            <v>0</v>
          </cell>
          <cell r="CI474">
            <v>198.97</v>
          </cell>
          <cell r="CJ474">
            <v>0</v>
          </cell>
          <cell r="CK474">
            <v>111.65</v>
          </cell>
          <cell r="CL474">
            <v>0</v>
          </cell>
          <cell r="CM474">
            <v>8879.4599999999991</v>
          </cell>
          <cell r="CN474">
            <v>0</v>
          </cell>
          <cell r="CO474">
            <v>5038.8999999999996</v>
          </cell>
          <cell r="CP474">
            <v>2440.64</v>
          </cell>
          <cell r="CQ474">
            <v>0</v>
          </cell>
          <cell r="CR474">
            <v>5835.64</v>
          </cell>
          <cell r="CS474">
            <v>2703.55</v>
          </cell>
          <cell r="CT474">
            <v>0</v>
          </cell>
          <cell r="CU474">
            <v>303.68</v>
          </cell>
          <cell r="CV474">
            <v>2263.3200000000002</v>
          </cell>
          <cell r="CW474">
            <v>5354.49</v>
          </cell>
          <cell r="CX474">
            <v>0</v>
          </cell>
          <cell r="CY474">
            <v>13762.56</v>
          </cell>
          <cell r="CZ474">
            <v>0</v>
          </cell>
          <cell r="DA474">
            <v>3751.5</v>
          </cell>
          <cell r="DB474">
            <v>3571.58</v>
          </cell>
          <cell r="DC474">
            <v>3914.69</v>
          </cell>
          <cell r="DD474">
            <v>4008.9</v>
          </cell>
          <cell r="DE474">
            <v>4044.19</v>
          </cell>
          <cell r="DF474">
            <v>4164.43</v>
          </cell>
          <cell r="DG474">
            <v>4213.13</v>
          </cell>
        </row>
        <row r="475">
          <cell r="A475" t="str">
            <v>8740</v>
          </cell>
          <cell r="B475">
            <v>9874000</v>
          </cell>
          <cell r="C475" t="str">
            <v>Gas Mains Svc Exp</v>
          </cell>
          <cell r="D475">
            <v>577089.72</v>
          </cell>
          <cell r="E475">
            <v>639014.15</v>
          </cell>
          <cell r="F475">
            <v>585154.23</v>
          </cell>
          <cell r="G475">
            <v>535565.94999999995</v>
          </cell>
          <cell r="H475">
            <v>593598.56999999995</v>
          </cell>
          <cell r="I475">
            <v>547717.12</v>
          </cell>
          <cell r="J475">
            <v>580745.89</v>
          </cell>
          <cell r="K475">
            <v>549414.79</v>
          </cell>
          <cell r="L475">
            <v>577788.25</v>
          </cell>
          <cell r="M475">
            <v>523465.04</v>
          </cell>
          <cell r="N475">
            <v>456297.06</v>
          </cell>
          <cell r="O475">
            <v>492865.18</v>
          </cell>
          <cell r="P475">
            <v>491978.62</v>
          </cell>
          <cell r="Q475">
            <v>502210.18</v>
          </cell>
          <cell r="R475">
            <v>612472.02</v>
          </cell>
          <cell r="S475">
            <v>607688.39</v>
          </cell>
          <cell r="T475">
            <v>605333.89</v>
          </cell>
          <cell r="U475">
            <v>592371.18000000005</v>
          </cell>
          <cell r="V475">
            <v>581629.1</v>
          </cell>
          <cell r="W475">
            <v>596842.81000000006</v>
          </cell>
          <cell r="X475">
            <v>599453.13</v>
          </cell>
          <cell r="Y475">
            <v>615791.30000000005</v>
          </cell>
          <cell r="Z475">
            <v>578046.06000000006</v>
          </cell>
          <cell r="AA475">
            <v>666579.26</v>
          </cell>
          <cell r="AB475">
            <v>611899.77</v>
          </cell>
          <cell r="AC475">
            <v>604586.18999999994</v>
          </cell>
          <cell r="AD475">
            <v>673294.15</v>
          </cell>
          <cell r="AE475">
            <v>615430.79</v>
          </cell>
          <cell r="AF475">
            <v>610905.92000000004</v>
          </cell>
          <cell r="AG475">
            <v>725723.89</v>
          </cell>
          <cell r="AH475">
            <v>600609.31999999995</v>
          </cell>
          <cell r="AI475">
            <v>663406.97</v>
          </cell>
          <cell r="AJ475">
            <v>659454.43999999994</v>
          </cell>
          <cell r="AK475">
            <v>676768.26</v>
          </cell>
          <cell r="AL475">
            <v>707508.2</v>
          </cell>
          <cell r="AM475">
            <v>919355.54</v>
          </cell>
          <cell r="AN475">
            <v>642502.97</v>
          </cell>
          <cell r="AO475">
            <v>642809.19999999995</v>
          </cell>
          <cell r="AP475">
            <v>646141.41</v>
          </cell>
          <cell r="AQ475">
            <v>632477.06999999995</v>
          </cell>
          <cell r="AR475">
            <v>636917.56999999995</v>
          </cell>
          <cell r="AS475">
            <v>686248.89</v>
          </cell>
          <cell r="AT475">
            <v>656910.18000000005</v>
          </cell>
          <cell r="AU475">
            <v>651650.27</v>
          </cell>
          <cell r="AV475">
            <v>574320.67000000004</v>
          </cell>
          <cell r="AW475">
            <v>658870.54</v>
          </cell>
          <cell r="AX475">
            <v>661221.9</v>
          </cell>
          <cell r="AY475">
            <v>670675.04</v>
          </cell>
          <cell r="AZ475">
            <v>592515.17000000004</v>
          </cell>
          <cell r="BA475">
            <v>620235.99</v>
          </cell>
          <cell r="BB475">
            <v>661419.51</v>
          </cell>
          <cell r="BC475">
            <v>723425.51</v>
          </cell>
          <cell r="BD475">
            <v>737264.16</v>
          </cell>
          <cell r="BE475">
            <v>685064.94</v>
          </cell>
          <cell r="BF475">
            <v>663274.48</v>
          </cell>
          <cell r="BG475">
            <v>729481.75</v>
          </cell>
          <cell r="BH475">
            <v>639103.05000000005</v>
          </cell>
          <cell r="BI475">
            <v>478572.13</v>
          </cell>
          <cell r="BJ475">
            <v>563795.5</v>
          </cell>
          <cell r="BK475">
            <v>672214.19</v>
          </cell>
          <cell r="BL475">
            <v>703722.93</v>
          </cell>
          <cell r="BM475">
            <v>741128.44</v>
          </cell>
          <cell r="BN475">
            <v>762680.58</v>
          </cell>
          <cell r="BO475">
            <v>825224.5</v>
          </cell>
          <cell r="BP475">
            <v>787513.25</v>
          </cell>
          <cell r="BQ475">
            <v>726816.15</v>
          </cell>
          <cell r="BR475">
            <v>766685.67</v>
          </cell>
          <cell r="BS475">
            <v>826164.97</v>
          </cell>
          <cell r="BT475">
            <v>771566.38</v>
          </cell>
          <cell r="BU475">
            <v>833338.42</v>
          </cell>
          <cell r="BV475">
            <v>752929.52</v>
          </cell>
          <cell r="BW475">
            <v>1115412.76</v>
          </cell>
          <cell r="BX475">
            <v>863020.97</v>
          </cell>
          <cell r="BY475">
            <v>766890.42</v>
          </cell>
          <cell r="BZ475">
            <v>991112.09</v>
          </cell>
          <cell r="CA475">
            <v>831704.98</v>
          </cell>
          <cell r="CB475">
            <v>844095.83</v>
          </cell>
          <cell r="CC475">
            <v>823697.11</v>
          </cell>
          <cell r="CD475">
            <v>862478.47</v>
          </cell>
          <cell r="CE475">
            <v>856408.76</v>
          </cell>
          <cell r="CF475">
            <v>910899</v>
          </cell>
          <cell r="CG475">
            <v>800414.17</v>
          </cell>
          <cell r="CH475">
            <v>805610.1</v>
          </cell>
          <cell r="CI475">
            <v>905910.14</v>
          </cell>
          <cell r="CJ475">
            <v>768608.13</v>
          </cell>
          <cell r="CK475">
            <v>764033.2</v>
          </cell>
          <cell r="CL475">
            <v>951619.33</v>
          </cell>
          <cell r="CM475">
            <v>945528.75</v>
          </cell>
          <cell r="CN475">
            <v>847910.23</v>
          </cell>
          <cell r="CO475">
            <v>946097.2</v>
          </cell>
          <cell r="CP475">
            <v>948990.03</v>
          </cell>
          <cell r="CQ475">
            <v>836325.01</v>
          </cell>
          <cell r="CR475">
            <v>844625.04</v>
          </cell>
          <cell r="CS475">
            <v>888791.38</v>
          </cell>
          <cell r="CT475">
            <v>926458.65</v>
          </cell>
          <cell r="CU475">
            <v>977594.36</v>
          </cell>
          <cell r="CV475">
            <v>879586.48</v>
          </cell>
          <cell r="CW475">
            <v>920585.12</v>
          </cell>
          <cell r="CX475">
            <v>1060566.79</v>
          </cell>
          <cell r="CY475">
            <v>933709.52</v>
          </cell>
          <cell r="CZ475">
            <v>1083636.22</v>
          </cell>
          <cell r="DA475">
            <v>1034935.47</v>
          </cell>
          <cell r="DB475">
            <v>1002026.91</v>
          </cell>
          <cell r="DC475">
            <v>1293701.5900000001</v>
          </cell>
          <cell r="DD475">
            <v>989366.94</v>
          </cell>
          <cell r="DE475">
            <v>882579</v>
          </cell>
          <cell r="DF475">
            <v>1031563.71</v>
          </cell>
          <cell r="DG475">
            <v>758468.64</v>
          </cell>
        </row>
        <row r="476">
          <cell r="A476" t="str">
            <v>8750</v>
          </cell>
          <cell r="B476">
            <v>9875000</v>
          </cell>
          <cell r="C476" t="str">
            <v>Gas M&amp;R Exp General</v>
          </cell>
          <cell r="D476">
            <v>4024.59</v>
          </cell>
          <cell r="E476">
            <v>2741.74</v>
          </cell>
          <cell r="F476">
            <v>4287.5200000000004</v>
          </cell>
          <cell r="G476">
            <v>5819.1</v>
          </cell>
          <cell r="H476">
            <v>10690.28</v>
          </cell>
          <cell r="I476">
            <v>6663.8</v>
          </cell>
          <cell r="J476">
            <v>9295.24</v>
          </cell>
          <cell r="K476">
            <v>1469.67</v>
          </cell>
          <cell r="L476">
            <v>5713.23</v>
          </cell>
          <cell r="M476">
            <v>6751.13</v>
          </cell>
          <cell r="N476">
            <v>6070.78</v>
          </cell>
          <cell r="O476">
            <v>2860.94</v>
          </cell>
          <cell r="P476">
            <v>2490.9699999999998</v>
          </cell>
          <cell r="Q476">
            <v>4243.43</v>
          </cell>
          <cell r="R476">
            <v>2332.2800000000002</v>
          </cell>
          <cell r="S476">
            <v>14815.01</v>
          </cell>
          <cell r="T476">
            <v>8065.9</v>
          </cell>
          <cell r="U476">
            <v>9384.94</v>
          </cell>
          <cell r="V476">
            <v>5152.1400000000003</v>
          </cell>
          <cell r="W476">
            <v>7338.77</v>
          </cell>
          <cell r="X476">
            <v>5934.94</v>
          </cell>
          <cell r="Y476">
            <v>7101.27</v>
          </cell>
          <cell r="Z476">
            <v>3559.66</v>
          </cell>
          <cell r="AA476">
            <v>2268.4699999999998</v>
          </cell>
          <cell r="AB476">
            <v>2789.29</v>
          </cell>
          <cell r="AC476">
            <v>7802.73</v>
          </cell>
          <cell r="AD476">
            <v>3262.36</v>
          </cell>
          <cell r="AE476">
            <v>3362.92</v>
          </cell>
          <cell r="AF476">
            <v>1327.7</v>
          </cell>
          <cell r="AG476">
            <v>3140.07</v>
          </cell>
          <cell r="AH476">
            <v>911.53</v>
          </cell>
          <cell r="AI476">
            <v>1028.6300000000001</v>
          </cell>
          <cell r="AJ476">
            <v>6497.92</v>
          </cell>
          <cell r="AK476">
            <v>397</v>
          </cell>
          <cell r="AL476">
            <v>1040.03</v>
          </cell>
          <cell r="AM476">
            <v>646.52</v>
          </cell>
          <cell r="AN476">
            <v>957.36</v>
          </cell>
          <cell r="AO476">
            <v>463.65</v>
          </cell>
          <cell r="AP476">
            <v>4488.3999999999996</v>
          </cell>
          <cell r="AQ476">
            <v>1288.5</v>
          </cell>
          <cell r="AR476">
            <v>529.44000000000005</v>
          </cell>
          <cell r="AS476">
            <v>2195.7199999999998</v>
          </cell>
          <cell r="AT476">
            <v>1600</v>
          </cell>
          <cell r="AU476">
            <v>4108.46</v>
          </cell>
          <cell r="AV476">
            <v>2161.0300000000002</v>
          </cell>
          <cell r="AW476">
            <v>5832.41</v>
          </cell>
          <cell r="AX476">
            <v>5780.47</v>
          </cell>
          <cell r="AY476">
            <v>2237.61</v>
          </cell>
          <cell r="AZ476">
            <v>609.24</v>
          </cell>
          <cell r="BA476">
            <v>5925.03</v>
          </cell>
          <cell r="BB476">
            <v>2220.65</v>
          </cell>
          <cell r="BC476">
            <v>1409.4</v>
          </cell>
          <cell r="BD476">
            <v>2519.23</v>
          </cell>
          <cell r="BE476">
            <v>473.79</v>
          </cell>
          <cell r="BF476">
            <v>484</v>
          </cell>
          <cell r="BG476">
            <v>1760.72</v>
          </cell>
          <cell r="BH476">
            <v>294.38</v>
          </cell>
          <cell r="BI476">
            <v>11.2</v>
          </cell>
          <cell r="BJ476">
            <v>762.67</v>
          </cell>
          <cell r="BK476">
            <v>158.99</v>
          </cell>
          <cell r="BL476">
            <v>16.2</v>
          </cell>
          <cell r="BM476">
            <v>4985.09</v>
          </cell>
          <cell r="BN476">
            <v>7042.14</v>
          </cell>
          <cell r="BO476">
            <v>389.58</v>
          </cell>
          <cell r="BP476">
            <v>1802.89</v>
          </cell>
          <cell r="BQ476">
            <v>867.75</v>
          </cell>
          <cell r="BR476">
            <v>2106.54</v>
          </cell>
          <cell r="BS476">
            <v>2972.04</v>
          </cell>
          <cell r="BT476">
            <v>1206.2</v>
          </cell>
          <cell r="BU476">
            <v>4626.8100000000004</v>
          </cell>
          <cell r="BV476">
            <v>2818.03</v>
          </cell>
          <cell r="BW476">
            <v>11702.39</v>
          </cell>
          <cell r="BX476">
            <v>5631.3</v>
          </cell>
          <cell r="BY476">
            <v>2019.48</v>
          </cell>
          <cell r="BZ476">
            <v>3323.83</v>
          </cell>
          <cell r="CA476">
            <v>4776.3999999999996</v>
          </cell>
          <cell r="CB476">
            <v>1796.43</v>
          </cell>
          <cell r="CC476">
            <v>1855.29</v>
          </cell>
          <cell r="CD476">
            <v>12973.46</v>
          </cell>
          <cell r="CE476">
            <v>5746.47</v>
          </cell>
          <cell r="CF476">
            <v>-181.7</v>
          </cell>
          <cell r="CG476">
            <v>397.01</v>
          </cell>
          <cell r="CH476">
            <v>3801.16</v>
          </cell>
          <cell r="CI476">
            <v>4900.88</v>
          </cell>
          <cell r="CJ476">
            <v>1271.53</v>
          </cell>
          <cell r="CK476">
            <v>3061.75</v>
          </cell>
          <cell r="CL476">
            <v>7968.62</v>
          </cell>
          <cell r="CM476">
            <v>696.77</v>
          </cell>
          <cell r="CN476">
            <v>3904.78</v>
          </cell>
          <cell r="CO476">
            <v>284.18</v>
          </cell>
          <cell r="CP476">
            <v>2861.93</v>
          </cell>
          <cell r="CQ476">
            <v>336.96</v>
          </cell>
          <cell r="CR476">
            <v>1167.49</v>
          </cell>
          <cell r="CS476">
            <v>2608.89</v>
          </cell>
          <cell r="CT476">
            <v>1398.31</v>
          </cell>
          <cell r="CU476">
            <v>411.74</v>
          </cell>
          <cell r="CV476">
            <v>757.71</v>
          </cell>
          <cell r="CW476">
            <v>3259.99</v>
          </cell>
          <cell r="CX476">
            <v>3660.78</v>
          </cell>
          <cell r="CY476">
            <v>7423.82</v>
          </cell>
          <cell r="CZ476">
            <v>2780.25</v>
          </cell>
          <cell r="DA476">
            <v>1757.14</v>
          </cell>
          <cell r="DB476">
            <v>1996.94</v>
          </cell>
          <cell r="DC476">
            <v>54855.37</v>
          </cell>
          <cell r="DD476">
            <v>-50506.44</v>
          </cell>
          <cell r="DE476">
            <v>1508.92</v>
          </cell>
          <cell r="DF476">
            <v>853.48</v>
          </cell>
          <cell r="DG476">
            <v>531.15</v>
          </cell>
        </row>
        <row r="477">
          <cell r="A477" t="str">
            <v>8760</v>
          </cell>
          <cell r="B477">
            <v>9876000</v>
          </cell>
          <cell r="C477" t="str">
            <v>Gas M&amp;R Exp Indus</v>
          </cell>
          <cell r="D477">
            <v>11329.12</v>
          </cell>
          <cell r="E477">
            <v>0</v>
          </cell>
          <cell r="F477">
            <v>0</v>
          </cell>
          <cell r="G477">
            <v>7455.59</v>
          </cell>
          <cell r="H477">
            <v>2128.31</v>
          </cell>
          <cell r="I477">
            <v>4982.6400000000003</v>
          </cell>
          <cell r="J477">
            <v>2797.28</v>
          </cell>
          <cell r="K477">
            <v>3330.49</v>
          </cell>
          <cell r="L477">
            <v>2630.71</v>
          </cell>
          <cell r="M477">
            <v>3266.52</v>
          </cell>
          <cell r="N477">
            <v>5121.1400000000003</v>
          </cell>
          <cell r="O477">
            <v>4801.05</v>
          </cell>
          <cell r="P477">
            <v>0</v>
          </cell>
          <cell r="Q477">
            <v>451.79</v>
          </cell>
          <cell r="R477">
            <v>1239.6400000000001</v>
          </cell>
          <cell r="S477">
            <v>4265.18</v>
          </cell>
          <cell r="T477">
            <v>2353.21</v>
          </cell>
          <cell r="U477">
            <v>453.48</v>
          </cell>
          <cell r="V477">
            <v>1523.58</v>
          </cell>
          <cell r="W477">
            <v>164.25</v>
          </cell>
          <cell r="X477">
            <v>8993.6299999999992</v>
          </cell>
          <cell r="Y477">
            <v>7670.06</v>
          </cell>
          <cell r="Z477">
            <v>682.58</v>
          </cell>
          <cell r="AA477">
            <v>9505.5</v>
          </cell>
          <cell r="AB477">
            <v>799.68</v>
          </cell>
          <cell r="AC477">
            <v>232.3</v>
          </cell>
          <cell r="AD477">
            <v>0</v>
          </cell>
          <cell r="AE477">
            <v>1605.2</v>
          </cell>
          <cell r="AF477">
            <v>1451.08</v>
          </cell>
          <cell r="AG477">
            <v>14827.04</v>
          </cell>
          <cell r="AH477">
            <v>2746</v>
          </cell>
          <cell r="AI477">
            <v>8587.57</v>
          </cell>
          <cell r="AJ477">
            <v>1185.31</v>
          </cell>
          <cell r="AK477">
            <v>180.77</v>
          </cell>
          <cell r="AL477">
            <v>4207.49</v>
          </cell>
          <cell r="AM477">
            <v>14974</v>
          </cell>
          <cell r="AN477">
            <v>160.38</v>
          </cell>
          <cell r="AO477">
            <v>0</v>
          </cell>
          <cell r="AP477">
            <v>4599.2299999999996</v>
          </cell>
          <cell r="AQ477">
            <v>80.790000000000006</v>
          </cell>
          <cell r="AR477">
            <v>4290.8500000000004</v>
          </cell>
          <cell r="AS477">
            <v>41791.81</v>
          </cell>
          <cell r="AT477">
            <v>-4720.9399999999996</v>
          </cell>
          <cell r="AU477">
            <v>-3675.66</v>
          </cell>
          <cell r="AV477">
            <v>101.28</v>
          </cell>
          <cell r="AW477">
            <v>4661.1899999999996</v>
          </cell>
          <cell r="AX477">
            <v>453.11</v>
          </cell>
          <cell r="AY477">
            <v>567.55999999999995</v>
          </cell>
          <cell r="AZ477">
            <v>1258.05</v>
          </cell>
          <cell r="BA477">
            <v>312.88</v>
          </cell>
          <cell r="BB477">
            <v>2645.7</v>
          </cell>
          <cell r="BC477">
            <v>-34.619999999999997</v>
          </cell>
          <cell r="BD477">
            <v>3887.33</v>
          </cell>
          <cell r="BE477">
            <v>92.65</v>
          </cell>
          <cell r="BF477">
            <v>231.89</v>
          </cell>
          <cell r="BG477">
            <v>0</v>
          </cell>
          <cell r="BH477">
            <v>274.2</v>
          </cell>
          <cell r="BI477">
            <v>627.09</v>
          </cell>
          <cell r="BJ477">
            <v>12149.38</v>
          </cell>
          <cell r="BK477">
            <v>-10260.129999999999</v>
          </cell>
          <cell r="BL477">
            <v>0</v>
          </cell>
          <cell r="BM477">
            <v>87.21</v>
          </cell>
          <cell r="BN477">
            <v>0</v>
          </cell>
          <cell r="BO477">
            <v>0</v>
          </cell>
          <cell r="BP477">
            <v>0</v>
          </cell>
          <cell r="BQ477">
            <v>0</v>
          </cell>
          <cell r="BR477">
            <v>0</v>
          </cell>
          <cell r="BS477">
            <v>0</v>
          </cell>
          <cell r="BT477">
            <v>1884.2</v>
          </cell>
          <cell r="BU477">
            <v>44.8</v>
          </cell>
          <cell r="BV477">
            <v>103.93</v>
          </cell>
          <cell r="BW477">
            <v>43.61</v>
          </cell>
          <cell r="BX477">
            <v>0</v>
          </cell>
          <cell r="BY477">
            <v>0</v>
          </cell>
          <cell r="BZ477">
            <v>53.75</v>
          </cell>
          <cell r="CA477">
            <v>0</v>
          </cell>
          <cell r="CB477">
            <v>0</v>
          </cell>
          <cell r="CC477">
            <v>37.44</v>
          </cell>
          <cell r="CD477">
            <v>0</v>
          </cell>
          <cell r="CE477">
            <v>75.8</v>
          </cell>
          <cell r="CF477">
            <v>2502.73</v>
          </cell>
          <cell r="CG477">
            <v>0</v>
          </cell>
          <cell r="CH477">
            <v>0</v>
          </cell>
          <cell r="CI477">
            <v>0</v>
          </cell>
          <cell r="CJ477">
            <v>0</v>
          </cell>
          <cell r="CK477">
            <v>24237.64</v>
          </cell>
          <cell r="CL477">
            <v>0</v>
          </cell>
          <cell r="CM477">
            <v>2621.5</v>
          </cell>
          <cell r="CN477">
            <v>0</v>
          </cell>
          <cell r="CO477">
            <v>0</v>
          </cell>
          <cell r="CP477">
            <v>18208.12</v>
          </cell>
          <cell r="CQ477">
            <v>-18208.12</v>
          </cell>
          <cell r="CR477">
            <v>11246.87</v>
          </cell>
          <cell r="CS477">
            <v>-707.37</v>
          </cell>
          <cell r="CT477">
            <v>0</v>
          </cell>
          <cell r="CU477">
            <v>1071</v>
          </cell>
          <cell r="CV477">
            <v>27253.97</v>
          </cell>
          <cell r="CW477">
            <v>0</v>
          </cell>
          <cell r="CX477">
            <v>1099.74</v>
          </cell>
          <cell r="CY477">
            <v>0</v>
          </cell>
          <cell r="CZ477">
            <v>0</v>
          </cell>
          <cell r="DA477">
            <v>52.09</v>
          </cell>
          <cell r="DB477">
            <v>0</v>
          </cell>
          <cell r="DC477">
            <v>0</v>
          </cell>
          <cell r="DD477">
            <v>124.76</v>
          </cell>
          <cell r="DE477">
            <v>0</v>
          </cell>
          <cell r="DF477">
            <v>0</v>
          </cell>
          <cell r="DG477">
            <v>0</v>
          </cell>
        </row>
        <row r="478">
          <cell r="A478" t="str">
            <v>8770</v>
          </cell>
          <cell r="B478">
            <v>9877000</v>
          </cell>
          <cell r="C478" t="str">
            <v>Gas M&amp;R Exp City Gat</v>
          </cell>
          <cell r="D478">
            <v>6136.13</v>
          </cell>
          <cell r="E478">
            <v>7359.23</v>
          </cell>
          <cell r="F478">
            <v>6274.3</v>
          </cell>
          <cell r="G478">
            <v>15354.8</v>
          </cell>
          <cell r="H478">
            <v>20558.740000000002</v>
          </cell>
          <cell r="I478">
            <v>4968.17</v>
          </cell>
          <cell r="J478">
            <v>33579.03</v>
          </cell>
          <cell r="K478">
            <v>4281.38</v>
          </cell>
          <cell r="L478">
            <v>4888.8599999999997</v>
          </cell>
          <cell r="M478">
            <v>5152.3999999999996</v>
          </cell>
          <cell r="N478">
            <v>2588.96</v>
          </cell>
          <cell r="O478">
            <v>6280.54</v>
          </cell>
          <cell r="P478">
            <v>5429.72</v>
          </cell>
          <cell r="Q478">
            <v>4817.17</v>
          </cell>
          <cell r="R478">
            <v>4042.49</v>
          </cell>
          <cell r="S478">
            <v>4247.37</v>
          </cell>
          <cell r="T478">
            <v>5410.4</v>
          </cell>
          <cell r="U478">
            <v>4874.42</v>
          </cell>
          <cell r="V478">
            <v>7525.25</v>
          </cell>
          <cell r="W478">
            <v>4286.3599999999997</v>
          </cell>
          <cell r="X478">
            <v>6647.33</v>
          </cell>
          <cell r="Y478">
            <v>4362.4799999999996</v>
          </cell>
          <cell r="Z478">
            <v>6389.38</v>
          </cell>
          <cell r="AA478">
            <v>6851.65</v>
          </cell>
          <cell r="AB478">
            <v>4768.78</v>
          </cell>
          <cell r="AC478">
            <v>6717.8</v>
          </cell>
          <cell r="AD478">
            <v>4620.21</v>
          </cell>
          <cell r="AE478">
            <v>3488.97</v>
          </cell>
          <cell r="AF478">
            <v>3391.69</v>
          </cell>
          <cell r="AG478">
            <v>7442.68</v>
          </cell>
          <cell r="AH478">
            <v>4599.84</v>
          </cell>
          <cell r="AI478">
            <v>6812.54</v>
          </cell>
          <cell r="AJ478">
            <v>9183.56</v>
          </cell>
          <cell r="AK478">
            <v>6099.91</v>
          </cell>
          <cell r="AL478">
            <v>5343.67</v>
          </cell>
          <cell r="AM478">
            <v>11677.24</v>
          </cell>
          <cell r="AN478">
            <v>8645.01</v>
          </cell>
          <cell r="AO478">
            <v>3343.18</v>
          </cell>
          <cell r="AP478">
            <v>-234.53</v>
          </cell>
          <cell r="AQ478">
            <v>5489.87</v>
          </cell>
          <cell r="AR478">
            <v>4969.1899999999996</v>
          </cell>
          <cell r="AS478">
            <v>5211</v>
          </cell>
          <cell r="AT478">
            <v>6009.93</v>
          </cell>
          <cell r="AU478">
            <v>3902.83</v>
          </cell>
          <cell r="AV478">
            <v>5631.76</v>
          </cell>
          <cell r="AW478">
            <v>6418.11</v>
          </cell>
          <cell r="AX478">
            <v>6361.12</v>
          </cell>
          <cell r="AY478">
            <v>8213.4</v>
          </cell>
          <cell r="AZ478">
            <v>5307.39</v>
          </cell>
          <cell r="BA478">
            <v>5078.68</v>
          </cell>
          <cell r="BB478">
            <v>6606.61</v>
          </cell>
          <cell r="BC478">
            <v>7510.54</v>
          </cell>
          <cell r="BD478">
            <v>4845.4399999999996</v>
          </cell>
          <cell r="BE478">
            <v>4832.95</v>
          </cell>
          <cell r="BF478">
            <v>7334.07</v>
          </cell>
          <cell r="BG478">
            <v>5426.87</v>
          </cell>
          <cell r="BH478">
            <v>6382.87</v>
          </cell>
          <cell r="BI478">
            <v>6207.69</v>
          </cell>
          <cell r="BJ478">
            <v>5948.72</v>
          </cell>
          <cell r="BK478">
            <v>8356.74</v>
          </cell>
          <cell r="BL478">
            <v>5564.7</v>
          </cell>
          <cell r="BM478">
            <v>7729.39</v>
          </cell>
          <cell r="BN478">
            <v>6554.31</v>
          </cell>
          <cell r="BO478">
            <v>7417.55</v>
          </cell>
          <cell r="BP478">
            <v>6931.88</v>
          </cell>
          <cell r="BQ478">
            <v>6703.65</v>
          </cell>
          <cell r="BR478">
            <v>6306.55</v>
          </cell>
          <cell r="BS478">
            <v>7762.79</v>
          </cell>
          <cell r="BT478">
            <v>7571.35</v>
          </cell>
          <cell r="BU478">
            <v>6662.03</v>
          </cell>
          <cell r="BV478">
            <v>7222.6</v>
          </cell>
          <cell r="BW478">
            <v>8969.0400000000009</v>
          </cell>
          <cell r="BX478">
            <v>8290.02</v>
          </cell>
          <cell r="BY478">
            <v>6405.51</v>
          </cell>
          <cell r="BZ478">
            <v>8863.8799999999992</v>
          </cell>
          <cell r="CA478">
            <v>7161.8</v>
          </cell>
          <cell r="CB478">
            <v>93577.66</v>
          </cell>
          <cell r="CC478">
            <v>23659.86</v>
          </cell>
          <cell r="CD478">
            <v>25905.02</v>
          </cell>
          <cell r="CE478">
            <v>23353.02</v>
          </cell>
          <cell r="CF478">
            <v>23443.54</v>
          </cell>
          <cell r="CG478">
            <v>25979.84</v>
          </cell>
          <cell r="CH478">
            <v>25213.77</v>
          </cell>
          <cell r="CI478">
            <v>28658.68</v>
          </cell>
          <cell r="CJ478">
            <v>14919.36</v>
          </cell>
          <cell r="CK478">
            <v>8543.06</v>
          </cell>
          <cell r="CL478">
            <v>9630.9599999999991</v>
          </cell>
          <cell r="CM478">
            <v>9422.43</v>
          </cell>
          <cell r="CN478">
            <v>7778.1</v>
          </cell>
          <cell r="CO478">
            <v>7878.85</v>
          </cell>
          <cell r="CP478">
            <v>13471.21</v>
          </cell>
          <cell r="CQ478">
            <v>8896.1200000000008</v>
          </cell>
          <cell r="CR478">
            <v>11167.95</v>
          </cell>
          <cell r="CS478">
            <v>10773.39</v>
          </cell>
          <cell r="CT478">
            <v>9130.48</v>
          </cell>
          <cell r="CU478">
            <v>12471.49</v>
          </cell>
          <cell r="CV478">
            <v>9706</v>
          </cell>
          <cell r="CW478">
            <v>11399.81</v>
          </cell>
          <cell r="CX478">
            <v>11471.53</v>
          </cell>
          <cell r="CY478">
            <v>9275.6299999999992</v>
          </cell>
          <cell r="CZ478">
            <v>12235.57</v>
          </cell>
          <cell r="DA478">
            <v>12391.21</v>
          </cell>
          <cell r="DB478">
            <v>12110.98</v>
          </cell>
          <cell r="DC478">
            <v>15826.22</v>
          </cell>
          <cell r="DD478">
            <v>7482.35</v>
          </cell>
          <cell r="DE478">
            <v>22894.78</v>
          </cell>
          <cell r="DF478">
            <v>19114.66</v>
          </cell>
          <cell r="DG478">
            <v>10769.76</v>
          </cell>
        </row>
        <row r="479">
          <cell r="A479" t="str">
            <v>8780</v>
          </cell>
          <cell r="B479">
            <v>9878000</v>
          </cell>
          <cell r="C479" t="str">
            <v>Gas Meter Regul Exp</v>
          </cell>
          <cell r="D479">
            <v>331664.32</v>
          </cell>
          <cell r="E479">
            <v>280878.81</v>
          </cell>
          <cell r="F479">
            <v>340841.73</v>
          </cell>
          <cell r="G479">
            <v>336468.88</v>
          </cell>
          <cell r="H479">
            <v>358277.46</v>
          </cell>
          <cell r="I479">
            <v>348496.89</v>
          </cell>
          <cell r="J479">
            <v>401879.03</v>
          </cell>
          <cell r="K479">
            <v>395945.61</v>
          </cell>
          <cell r="L479">
            <v>393749.54</v>
          </cell>
          <cell r="M479">
            <v>346898.74</v>
          </cell>
          <cell r="N479">
            <v>324130.23</v>
          </cell>
          <cell r="O479">
            <v>318864.71000000002</v>
          </cell>
          <cell r="P479">
            <v>303119.52</v>
          </cell>
          <cell r="Q479">
            <v>306386.05</v>
          </cell>
          <cell r="R479">
            <v>324008.94</v>
          </cell>
          <cell r="S479">
            <v>329943.99</v>
          </cell>
          <cell r="T479">
            <v>373121.43</v>
          </cell>
          <cell r="U479">
            <v>373278.5</v>
          </cell>
          <cell r="V479">
            <v>379361.08</v>
          </cell>
          <cell r="W479">
            <v>363906.81</v>
          </cell>
          <cell r="X479">
            <v>361671.39</v>
          </cell>
          <cell r="Y479">
            <v>373518.29</v>
          </cell>
          <cell r="Z479">
            <v>390443.42</v>
          </cell>
          <cell r="AA479">
            <v>391313.14</v>
          </cell>
          <cell r="AB479">
            <v>387278.21</v>
          </cell>
          <cell r="AC479">
            <v>320639.03999999998</v>
          </cell>
          <cell r="AD479">
            <v>392361.23</v>
          </cell>
          <cell r="AE479">
            <v>344536.52</v>
          </cell>
          <cell r="AF479">
            <v>333609.61</v>
          </cell>
          <cell r="AG479">
            <v>367571.77</v>
          </cell>
          <cell r="AH479">
            <v>337048.62</v>
          </cell>
          <cell r="AI479">
            <v>415646.4</v>
          </cell>
          <cell r="AJ479">
            <v>350825.22</v>
          </cell>
          <cell r="AK479">
            <v>406109.41</v>
          </cell>
          <cell r="AL479">
            <v>509946.34</v>
          </cell>
          <cell r="AM479">
            <v>473934.12</v>
          </cell>
          <cell r="AN479">
            <v>330722.59000000003</v>
          </cell>
          <cell r="AO479">
            <v>329327.03000000003</v>
          </cell>
          <cell r="AP479">
            <v>353317.25</v>
          </cell>
          <cell r="AQ479">
            <v>389287.23</v>
          </cell>
          <cell r="AR479">
            <v>478317.47</v>
          </cell>
          <cell r="AS479">
            <v>472464.22</v>
          </cell>
          <cell r="AT479">
            <v>481635.72</v>
          </cell>
          <cell r="AU479">
            <v>517421.4</v>
          </cell>
          <cell r="AV479">
            <v>357513.09</v>
          </cell>
          <cell r="AW479">
            <v>506337.1</v>
          </cell>
          <cell r="AX479">
            <v>500950.42</v>
          </cell>
          <cell r="AY479">
            <v>552550.44999999995</v>
          </cell>
          <cell r="AZ479">
            <v>428461.48</v>
          </cell>
          <cell r="BA479">
            <v>468341.03</v>
          </cell>
          <cell r="BB479">
            <v>476985.96</v>
          </cell>
          <cell r="BC479">
            <v>453349.23</v>
          </cell>
          <cell r="BD479">
            <v>403614.47</v>
          </cell>
          <cell r="BE479">
            <v>458408.1</v>
          </cell>
          <cell r="BF479">
            <v>380866.75</v>
          </cell>
          <cell r="BG479">
            <v>414751.56</v>
          </cell>
          <cell r="BH479">
            <v>351139.78</v>
          </cell>
          <cell r="BI479">
            <v>396062.05</v>
          </cell>
          <cell r="BJ479">
            <v>319811.71999999997</v>
          </cell>
          <cell r="BK479">
            <v>391463.82</v>
          </cell>
          <cell r="BL479">
            <v>403554.52</v>
          </cell>
          <cell r="BM479">
            <v>339306.14</v>
          </cell>
          <cell r="BN479">
            <v>438874.04</v>
          </cell>
          <cell r="BO479">
            <v>341530.26</v>
          </cell>
          <cell r="BP479">
            <v>422969.32</v>
          </cell>
          <cell r="BQ479">
            <v>364047.39</v>
          </cell>
          <cell r="BR479">
            <v>435869.56</v>
          </cell>
          <cell r="BS479">
            <v>447427.46</v>
          </cell>
          <cell r="BT479">
            <v>404354.55</v>
          </cell>
          <cell r="BU479">
            <v>409337.35</v>
          </cell>
          <cell r="BV479">
            <v>529053.13</v>
          </cell>
          <cell r="BW479">
            <v>520136.74</v>
          </cell>
          <cell r="BX479">
            <v>500679.98</v>
          </cell>
          <cell r="BY479">
            <v>392228.57</v>
          </cell>
          <cell r="BZ479">
            <v>615433.6</v>
          </cell>
          <cell r="CA479">
            <v>417025.28000000003</v>
          </cell>
          <cell r="CB479">
            <v>348949.88</v>
          </cell>
          <cell r="CC479">
            <v>395017.46</v>
          </cell>
          <cell r="CD479">
            <v>397132.11</v>
          </cell>
          <cell r="CE479">
            <v>411433.44</v>
          </cell>
          <cell r="CF479">
            <v>411020.19</v>
          </cell>
          <cell r="CG479">
            <v>406461.9</v>
          </cell>
          <cell r="CH479">
            <v>410458.93</v>
          </cell>
          <cell r="CI479">
            <v>475080.71</v>
          </cell>
          <cell r="CJ479">
            <v>386666.72</v>
          </cell>
          <cell r="CK479">
            <v>367093.51</v>
          </cell>
          <cell r="CL479">
            <v>512899.84000000003</v>
          </cell>
          <cell r="CM479">
            <v>428165.84</v>
          </cell>
          <cell r="CN479">
            <v>432385.1</v>
          </cell>
          <cell r="CO479">
            <v>422798.92</v>
          </cell>
          <cell r="CP479">
            <v>462718.69</v>
          </cell>
          <cell r="CQ479">
            <v>450568.6</v>
          </cell>
          <cell r="CR479">
            <v>461344.34</v>
          </cell>
          <cell r="CS479">
            <v>407696.22</v>
          </cell>
          <cell r="CT479">
            <v>517713.02</v>
          </cell>
          <cell r="CU479">
            <v>580938.28</v>
          </cell>
          <cell r="CV479">
            <v>433635.64</v>
          </cell>
          <cell r="CW479">
            <v>389343.41</v>
          </cell>
          <cell r="CX479">
            <v>450628.17</v>
          </cell>
          <cell r="CY479">
            <v>513599.74</v>
          </cell>
          <cell r="CZ479">
            <v>541226.47</v>
          </cell>
          <cell r="DA479">
            <v>460609.04</v>
          </cell>
          <cell r="DB479">
            <v>514118.02</v>
          </cell>
          <cell r="DC479">
            <v>591781.4</v>
          </cell>
          <cell r="DD479">
            <v>536565.29</v>
          </cell>
          <cell r="DE479">
            <v>560671.98</v>
          </cell>
          <cell r="DF479">
            <v>555669.42000000004</v>
          </cell>
          <cell r="DG479">
            <v>661296.09</v>
          </cell>
        </row>
        <row r="480">
          <cell r="A480" t="str">
            <v>8790</v>
          </cell>
          <cell r="B480">
            <v>9879000</v>
          </cell>
          <cell r="C480" t="str">
            <v>Gas Distb Cust Instl</v>
          </cell>
          <cell r="D480">
            <v>184557.37</v>
          </cell>
          <cell r="E480">
            <v>147280.78</v>
          </cell>
          <cell r="F480">
            <v>151730.47</v>
          </cell>
          <cell r="G480">
            <v>138717.81</v>
          </cell>
          <cell r="H480">
            <v>158418.76999999999</v>
          </cell>
          <cell r="I480">
            <v>141319.22</v>
          </cell>
          <cell r="J480">
            <v>188796.06</v>
          </cell>
          <cell r="K480">
            <v>150911.19</v>
          </cell>
          <cell r="L480">
            <v>236065.04</v>
          </cell>
          <cell r="M480">
            <v>176585.16</v>
          </cell>
          <cell r="N480">
            <v>163521.91</v>
          </cell>
          <cell r="O480">
            <v>202287.45</v>
          </cell>
          <cell r="P480">
            <v>176829.47</v>
          </cell>
          <cell r="Q480">
            <v>158173.24</v>
          </cell>
          <cell r="R480">
            <v>161430.24</v>
          </cell>
          <cell r="S480">
            <v>166194.35999999999</v>
          </cell>
          <cell r="T480">
            <v>164214.57999999999</v>
          </cell>
          <cell r="U480">
            <v>153860.42000000001</v>
          </cell>
          <cell r="V480">
            <v>149582.04999999999</v>
          </cell>
          <cell r="W480">
            <v>145490.45000000001</v>
          </cell>
          <cell r="X480">
            <v>168339.48</v>
          </cell>
          <cell r="Y480">
            <v>170838.72</v>
          </cell>
          <cell r="Z480">
            <v>154663.1</v>
          </cell>
          <cell r="AA480">
            <v>176453.41</v>
          </cell>
          <cell r="AB480">
            <v>189051.24</v>
          </cell>
          <cell r="AC480">
            <v>183690.69</v>
          </cell>
          <cell r="AD480">
            <v>177697.38</v>
          </cell>
          <cell r="AE480">
            <v>140301.82</v>
          </cell>
          <cell r="AF480">
            <v>136480.20000000001</v>
          </cell>
          <cell r="AG480">
            <v>160545.94</v>
          </cell>
          <cell r="AH480">
            <v>147268.47</v>
          </cell>
          <cell r="AI480">
            <v>161044.42000000001</v>
          </cell>
          <cell r="AJ480">
            <v>148232.94</v>
          </cell>
          <cell r="AK480">
            <v>158640.1</v>
          </cell>
          <cell r="AL480">
            <v>193969.25</v>
          </cell>
          <cell r="AM480">
            <v>195056.83</v>
          </cell>
          <cell r="AN480">
            <v>219479.33</v>
          </cell>
          <cell r="AO480">
            <v>147211.97</v>
          </cell>
          <cell r="AP480">
            <v>135616.91</v>
          </cell>
          <cell r="AQ480">
            <v>139080.53</v>
          </cell>
          <cell r="AR480">
            <v>141809.94</v>
          </cell>
          <cell r="AS480">
            <v>136054.07</v>
          </cell>
          <cell r="AT480">
            <v>133906.81</v>
          </cell>
          <cell r="AU480">
            <v>159606.20000000001</v>
          </cell>
          <cell r="AV480">
            <v>187136.5</v>
          </cell>
          <cell r="AW480">
            <v>132105.44</v>
          </cell>
          <cell r="AX480">
            <v>168058.81</v>
          </cell>
          <cell r="AY480">
            <v>194287.25</v>
          </cell>
          <cell r="AZ480">
            <v>224980.51</v>
          </cell>
          <cell r="BA480">
            <v>169696.27</v>
          </cell>
          <cell r="BB480">
            <v>155592.04</v>
          </cell>
          <cell r="BC480">
            <v>155577.76999999999</v>
          </cell>
          <cell r="BD480">
            <v>155362.79</v>
          </cell>
          <cell r="BE480">
            <v>144753.72</v>
          </cell>
          <cell r="BF480">
            <v>168942.48</v>
          </cell>
          <cell r="BG480">
            <v>169974.31</v>
          </cell>
          <cell r="BH480">
            <v>158445.26999999999</v>
          </cell>
          <cell r="BI480">
            <v>182356.78</v>
          </cell>
          <cell r="BJ480">
            <v>160648.76</v>
          </cell>
          <cell r="BK480">
            <v>225761.03</v>
          </cell>
          <cell r="BL480">
            <v>237541.02</v>
          </cell>
          <cell r="BM480">
            <v>214787.02</v>
          </cell>
          <cell r="BN480">
            <v>177580.52</v>
          </cell>
          <cell r="BO480">
            <v>198763.76</v>
          </cell>
          <cell r="BP480">
            <v>165135.82999999999</v>
          </cell>
          <cell r="BQ480">
            <v>173833.9</v>
          </cell>
          <cell r="BR480">
            <v>227791.35</v>
          </cell>
          <cell r="BS480">
            <v>210685.91</v>
          </cell>
          <cell r="BT480">
            <v>180552.42</v>
          </cell>
          <cell r="BU480">
            <v>195388.93</v>
          </cell>
          <cell r="BV480">
            <v>189566.5</v>
          </cell>
          <cell r="BW480">
            <v>223586.69</v>
          </cell>
          <cell r="BX480">
            <v>215086.82</v>
          </cell>
          <cell r="BY480">
            <v>173816.31</v>
          </cell>
          <cell r="BZ480">
            <v>210080.51</v>
          </cell>
          <cell r="CA480">
            <v>163474.62</v>
          </cell>
          <cell r="CB480">
            <v>171364.64</v>
          </cell>
          <cell r="CC480">
            <v>191891.07</v>
          </cell>
          <cell r="CD480">
            <v>211609.9</v>
          </cell>
          <cell r="CE480">
            <v>206834.3</v>
          </cell>
          <cell r="CF480">
            <v>195754.87</v>
          </cell>
          <cell r="CG480">
            <v>195189.33</v>
          </cell>
          <cell r="CH480">
            <v>164341.63</v>
          </cell>
          <cell r="CI480">
            <v>305986.2</v>
          </cell>
          <cell r="CJ480">
            <v>283041.71999999997</v>
          </cell>
          <cell r="CK480">
            <v>228594.09</v>
          </cell>
          <cell r="CL480">
            <v>247596.66</v>
          </cell>
          <cell r="CM480">
            <v>212818.62</v>
          </cell>
          <cell r="CN480">
            <v>228039.98</v>
          </cell>
          <cell r="CO480">
            <v>237926.18</v>
          </cell>
          <cell r="CP480">
            <v>256618.99</v>
          </cell>
          <cell r="CQ480">
            <v>228220.96</v>
          </cell>
          <cell r="CR480">
            <v>252059.38</v>
          </cell>
          <cell r="CS480">
            <v>250428.44</v>
          </cell>
          <cell r="CT480">
            <v>259426.08</v>
          </cell>
          <cell r="CU480">
            <v>291927.61</v>
          </cell>
          <cell r="CV480">
            <v>276853.52</v>
          </cell>
          <cell r="CW480">
            <v>247457.39</v>
          </cell>
          <cell r="CX480">
            <v>222260.17</v>
          </cell>
          <cell r="CY480">
            <v>235436.5</v>
          </cell>
          <cell r="CZ480">
            <v>186820.45</v>
          </cell>
          <cell r="DA480">
            <v>262370.84999999998</v>
          </cell>
          <cell r="DB480">
            <v>276467.11</v>
          </cell>
          <cell r="DC480">
            <v>233608.14</v>
          </cell>
          <cell r="DD480">
            <v>275010.98</v>
          </cell>
          <cell r="DE480">
            <v>280409.5</v>
          </cell>
          <cell r="DF480">
            <v>286793.64</v>
          </cell>
          <cell r="DG480">
            <v>352116.78</v>
          </cell>
        </row>
        <row r="481">
          <cell r="A481" t="str">
            <v>8800</v>
          </cell>
          <cell r="B481">
            <v>9880000</v>
          </cell>
          <cell r="C481" t="str">
            <v>Gas Distb Oth Exp</v>
          </cell>
          <cell r="D481">
            <v>138102.10999999999</v>
          </cell>
          <cell r="E481">
            <v>130764.12</v>
          </cell>
          <cell r="F481">
            <v>160990.28</v>
          </cell>
          <cell r="G481">
            <v>141005.9</v>
          </cell>
          <cell r="H481">
            <v>182656.18</v>
          </cell>
          <cell r="I481">
            <v>150618.42000000001</v>
          </cell>
          <cell r="J481">
            <v>180149.83</v>
          </cell>
          <cell r="K481">
            <v>204045.49</v>
          </cell>
          <cell r="L481">
            <v>162810.79999999999</v>
          </cell>
          <cell r="M481">
            <v>194629.08</v>
          </cell>
          <cell r="N481">
            <v>68891.41</v>
          </cell>
          <cell r="O481">
            <v>111661.09</v>
          </cell>
          <cell r="P481">
            <v>104265.83</v>
          </cell>
          <cell r="Q481">
            <v>104127.75</v>
          </cell>
          <cell r="R481">
            <v>182172.37</v>
          </cell>
          <cell r="S481">
            <v>152194.26</v>
          </cell>
          <cell r="T481">
            <v>139281.71</v>
          </cell>
          <cell r="U481">
            <v>125000.47</v>
          </cell>
          <cell r="V481">
            <v>113829.74</v>
          </cell>
          <cell r="W481">
            <v>90734.92</v>
          </cell>
          <cell r="X481">
            <v>156744.37</v>
          </cell>
          <cell r="Y481">
            <v>119261.08</v>
          </cell>
          <cell r="Z481">
            <v>91181.29</v>
          </cell>
          <cell r="AA481">
            <v>137119.75</v>
          </cell>
          <cell r="AB481">
            <v>96500.14</v>
          </cell>
          <cell r="AC481">
            <v>133539.43</v>
          </cell>
          <cell r="AD481">
            <v>156162.07999999999</v>
          </cell>
          <cell r="AE481">
            <v>158075.59</v>
          </cell>
          <cell r="AF481">
            <v>145571.88</v>
          </cell>
          <cell r="AG481">
            <v>156886.82999999999</v>
          </cell>
          <cell r="AH481">
            <v>115245.15</v>
          </cell>
          <cell r="AI481">
            <v>162947.91</v>
          </cell>
          <cell r="AJ481">
            <v>128581.54</v>
          </cell>
          <cell r="AK481">
            <v>132893.51999999999</v>
          </cell>
          <cell r="AL481">
            <v>162809.78</v>
          </cell>
          <cell r="AM481">
            <v>209473.99</v>
          </cell>
          <cell r="AN481">
            <v>20252.71</v>
          </cell>
          <cell r="AO481">
            <v>149558.39000000001</v>
          </cell>
          <cell r="AP481">
            <v>153456.54</v>
          </cell>
          <cell r="AQ481">
            <v>86345.22</v>
          </cell>
          <cell r="AR481">
            <v>140157.57</v>
          </cell>
          <cell r="AS481">
            <v>223973.86</v>
          </cell>
          <cell r="AT481">
            <v>16732.78</v>
          </cell>
          <cell r="AU481">
            <v>93720.86</v>
          </cell>
          <cell r="AV481">
            <v>87423.09</v>
          </cell>
          <cell r="AW481">
            <v>131302.25</v>
          </cell>
          <cell r="AX481">
            <v>200272.76</v>
          </cell>
          <cell r="AY481">
            <v>203768.71</v>
          </cell>
          <cell r="AZ481">
            <v>167577.20000000001</v>
          </cell>
          <cell r="BA481">
            <v>173062.44</v>
          </cell>
          <cell r="BB481">
            <v>218121.47</v>
          </cell>
          <cell r="BC481">
            <v>129812.28</v>
          </cell>
          <cell r="BD481">
            <v>201077.29</v>
          </cell>
          <cell r="BE481">
            <v>167642.96</v>
          </cell>
          <cell r="BF481">
            <v>111076.48</v>
          </cell>
          <cell r="BG481">
            <v>179484.61</v>
          </cell>
          <cell r="BH481">
            <v>131531.24</v>
          </cell>
          <cell r="BI481">
            <v>379295.54</v>
          </cell>
          <cell r="BJ481">
            <v>296842.96000000002</v>
          </cell>
          <cell r="BK481">
            <v>106933.63</v>
          </cell>
          <cell r="BL481">
            <v>130455.48</v>
          </cell>
          <cell r="BM481">
            <v>294638.64</v>
          </cell>
          <cell r="BN481">
            <v>277439.27</v>
          </cell>
          <cell r="BO481">
            <v>223612.69</v>
          </cell>
          <cell r="BP481">
            <v>237833.53</v>
          </cell>
          <cell r="BQ481">
            <v>251734.46</v>
          </cell>
          <cell r="BR481">
            <v>252800.21</v>
          </cell>
          <cell r="BS481">
            <v>339681.12</v>
          </cell>
          <cell r="BT481">
            <v>386432.62</v>
          </cell>
          <cell r="BU481">
            <v>324221.86</v>
          </cell>
          <cell r="BV481">
            <v>290373.40000000002</v>
          </cell>
          <cell r="BW481">
            <v>346289.27</v>
          </cell>
          <cell r="BX481">
            <v>241393.15</v>
          </cell>
          <cell r="BY481">
            <v>310155.62</v>
          </cell>
          <cell r="BZ481">
            <v>429419.84</v>
          </cell>
          <cell r="CA481">
            <v>337072.46</v>
          </cell>
          <cell r="CB481">
            <v>290593.13</v>
          </cell>
          <cell r="CC481">
            <v>287989.33</v>
          </cell>
          <cell r="CD481">
            <v>359881.93</v>
          </cell>
          <cell r="CE481">
            <v>442308.97</v>
          </cell>
          <cell r="CF481">
            <v>305089.7</v>
          </cell>
          <cell r="CG481">
            <v>285235.44</v>
          </cell>
          <cell r="CH481">
            <v>260562.63</v>
          </cell>
          <cell r="CI481">
            <v>377252.9</v>
          </cell>
          <cell r="CJ481">
            <v>403720.8</v>
          </cell>
          <cell r="CK481">
            <v>350869.07</v>
          </cell>
          <cell r="CL481">
            <v>347896.9</v>
          </cell>
          <cell r="CM481">
            <v>386666.71</v>
          </cell>
          <cell r="CN481">
            <v>311070.28000000003</v>
          </cell>
          <cell r="CO481">
            <v>283482.59000000003</v>
          </cell>
          <cell r="CP481">
            <v>309484.44</v>
          </cell>
          <cell r="CQ481">
            <v>292052.90000000002</v>
          </cell>
          <cell r="CR481">
            <v>320416.7</v>
          </cell>
          <cell r="CS481">
            <v>293054.36</v>
          </cell>
          <cell r="CT481">
            <v>326283.01</v>
          </cell>
          <cell r="CU481">
            <v>354957.14</v>
          </cell>
          <cell r="CV481">
            <v>397424.09</v>
          </cell>
          <cell r="CW481">
            <v>342852.86</v>
          </cell>
          <cell r="CX481">
            <v>408584.83</v>
          </cell>
          <cell r="CY481">
            <v>420511.5</v>
          </cell>
          <cell r="CZ481">
            <v>406416.85</v>
          </cell>
          <cell r="DA481">
            <v>479737.12</v>
          </cell>
          <cell r="DB481">
            <v>427883.71</v>
          </cell>
          <cell r="DC481">
            <v>601085.93999999994</v>
          </cell>
          <cell r="DD481">
            <v>418495.91</v>
          </cell>
          <cell r="DE481">
            <v>286202.09999999998</v>
          </cell>
          <cell r="DF481">
            <v>593623.35</v>
          </cell>
          <cell r="DG481">
            <v>573397.16</v>
          </cell>
        </row>
        <row r="482">
          <cell r="A482" t="str">
            <v>8810</v>
          </cell>
          <cell r="B482">
            <v>9881000</v>
          </cell>
          <cell r="C482" t="str">
            <v>Gas Distb Rents</v>
          </cell>
          <cell r="D482">
            <v>7580</v>
          </cell>
          <cell r="E482">
            <v>11044.45</v>
          </cell>
          <cell r="F482">
            <v>4910.21</v>
          </cell>
          <cell r="G482">
            <v>929.5</v>
          </cell>
          <cell r="H482">
            <v>100</v>
          </cell>
          <cell r="I482">
            <v>16893.11</v>
          </cell>
          <cell r="J482">
            <v>4022.8</v>
          </cell>
          <cell r="K482">
            <v>2574.77</v>
          </cell>
          <cell r="L482">
            <v>1428.21</v>
          </cell>
          <cell r="M482">
            <v>395.7</v>
          </cell>
          <cell r="N482">
            <v>118527.59</v>
          </cell>
          <cell r="O482">
            <v>-808.06</v>
          </cell>
          <cell r="P482">
            <v>13622.6</v>
          </cell>
          <cell r="Q482">
            <v>8088.92</v>
          </cell>
          <cell r="R482">
            <v>24169.15</v>
          </cell>
          <cell r="S482">
            <v>2415.75</v>
          </cell>
          <cell r="T482">
            <v>15603.19</v>
          </cell>
          <cell r="U482">
            <v>6040.29</v>
          </cell>
          <cell r="V482">
            <v>484.04</v>
          </cell>
          <cell r="W482">
            <v>1004.31</v>
          </cell>
          <cell r="X482">
            <v>7420.09</v>
          </cell>
          <cell r="Y482">
            <v>11539.78</v>
          </cell>
          <cell r="Z482">
            <v>108933.56</v>
          </cell>
          <cell r="AA482">
            <v>6409.14</v>
          </cell>
          <cell r="AB482">
            <v>36138.720000000001</v>
          </cell>
          <cell r="AC482">
            <v>10959.3</v>
          </cell>
          <cell r="AD482">
            <v>8290.43</v>
          </cell>
          <cell r="AE482">
            <v>3306.91</v>
          </cell>
          <cell r="AF482">
            <v>894.5</v>
          </cell>
          <cell r="AG482">
            <v>6283.14</v>
          </cell>
          <cell r="AH482">
            <v>1054.7</v>
          </cell>
          <cell r="AI482">
            <v>3223.64</v>
          </cell>
          <cell r="AJ482">
            <v>2259.21</v>
          </cell>
          <cell r="AK482">
            <v>113061.98</v>
          </cell>
          <cell r="AL482">
            <v>14575.26</v>
          </cell>
          <cell r="AM482">
            <v>50252.09</v>
          </cell>
          <cell r="AN482">
            <v>5752.23</v>
          </cell>
          <cell r="AO482">
            <v>15698.14</v>
          </cell>
          <cell r="AP482">
            <v>5451.85</v>
          </cell>
          <cell r="AQ482">
            <v>2168.66</v>
          </cell>
          <cell r="AR482">
            <v>3579.5</v>
          </cell>
          <cell r="AS482">
            <v>1355.1</v>
          </cell>
          <cell r="AT482">
            <v>3532.98</v>
          </cell>
          <cell r="AU482">
            <v>16387.669999999998</v>
          </cell>
          <cell r="AV482">
            <v>2583.09</v>
          </cell>
          <cell r="AW482">
            <v>0</v>
          </cell>
          <cell r="AX482">
            <v>125962.09</v>
          </cell>
          <cell r="AY482">
            <v>31782.959999999999</v>
          </cell>
          <cell r="AZ482">
            <v>9287.42</v>
          </cell>
          <cell r="BA482">
            <v>15798.77</v>
          </cell>
          <cell r="BB482">
            <v>3501.37</v>
          </cell>
          <cell r="BC482">
            <v>1880.7</v>
          </cell>
          <cell r="BD482">
            <v>732.15</v>
          </cell>
          <cell r="BE482">
            <v>2422.88</v>
          </cell>
          <cell r="BF482">
            <v>2664.09</v>
          </cell>
          <cell r="BG482">
            <v>12934.93</v>
          </cell>
          <cell r="BH482">
            <v>12824.21</v>
          </cell>
          <cell r="BI482">
            <v>3102.29</v>
          </cell>
          <cell r="BJ482">
            <v>118185.82</v>
          </cell>
          <cell r="BK482">
            <v>43906.67</v>
          </cell>
          <cell r="BL482">
            <v>14066.43</v>
          </cell>
          <cell r="BM482">
            <v>9658.74</v>
          </cell>
          <cell r="BN482">
            <v>3567.95</v>
          </cell>
          <cell r="BO482">
            <v>1401.66</v>
          </cell>
          <cell r="BP482">
            <v>1718.09</v>
          </cell>
          <cell r="BQ482">
            <v>1264.77</v>
          </cell>
          <cell r="BR482">
            <v>5384.9</v>
          </cell>
          <cell r="BS482">
            <v>4090.68</v>
          </cell>
          <cell r="BT482">
            <v>1401.56</v>
          </cell>
          <cell r="BU482">
            <v>6388.15</v>
          </cell>
          <cell r="BV482">
            <v>129982.97</v>
          </cell>
          <cell r="BW482">
            <v>50338.29</v>
          </cell>
          <cell r="BX482">
            <v>5841.48</v>
          </cell>
          <cell r="BY482">
            <v>5048.76</v>
          </cell>
          <cell r="BZ482">
            <v>19298.21</v>
          </cell>
          <cell r="CA482">
            <v>970.6</v>
          </cell>
          <cell r="CB482">
            <v>5335.44</v>
          </cell>
          <cell r="CC482">
            <v>6573.98</v>
          </cell>
          <cell r="CD482">
            <v>4686.46</v>
          </cell>
          <cell r="CE482">
            <v>3745.05</v>
          </cell>
          <cell r="CF482">
            <v>1366.37</v>
          </cell>
          <cell r="CG482">
            <v>14831.75</v>
          </cell>
          <cell r="CH482">
            <v>11663.96</v>
          </cell>
          <cell r="CI482">
            <v>155209.03</v>
          </cell>
          <cell r="CJ482">
            <v>1273.82</v>
          </cell>
          <cell r="CK482">
            <v>10681.66</v>
          </cell>
          <cell r="CL482">
            <v>12647.54</v>
          </cell>
          <cell r="CM482">
            <v>1494.26</v>
          </cell>
          <cell r="CN482">
            <v>7521.15</v>
          </cell>
          <cell r="CO482">
            <v>8674.61</v>
          </cell>
          <cell r="CP482">
            <v>4628.22</v>
          </cell>
          <cell r="CQ482">
            <v>2025.21</v>
          </cell>
          <cell r="CR482">
            <v>565.4</v>
          </cell>
          <cell r="CS482">
            <v>10223.620000000001</v>
          </cell>
          <cell r="CT482">
            <v>142803.14000000001</v>
          </cell>
          <cell r="CU482">
            <v>35401.31</v>
          </cell>
          <cell r="CV482">
            <v>2494.3000000000002</v>
          </cell>
          <cell r="CW482">
            <v>660.88</v>
          </cell>
          <cell r="CX482">
            <v>10156.26</v>
          </cell>
          <cell r="CY482">
            <v>213</v>
          </cell>
          <cell r="CZ482">
            <v>20414.009999999998</v>
          </cell>
          <cell r="DA482">
            <v>2065.29</v>
          </cell>
          <cell r="DB482">
            <v>6712.26</v>
          </cell>
          <cell r="DC482">
            <v>11839.62</v>
          </cell>
          <cell r="DD482">
            <v>17767.330000000002</v>
          </cell>
          <cell r="DE482">
            <v>1826.94</v>
          </cell>
          <cell r="DF482">
            <v>14142.87</v>
          </cell>
          <cell r="DG482">
            <v>144373.85</v>
          </cell>
        </row>
        <row r="483">
          <cell r="A483" t="str">
            <v>8850</v>
          </cell>
          <cell r="B483">
            <v>9885000</v>
          </cell>
          <cell r="C483" t="str">
            <v>Gas Dist Main SupEng</v>
          </cell>
          <cell r="D483">
            <v>0</v>
          </cell>
          <cell r="E483">
            <v>0</v>
          </cell>
          <cell r="F483">
            <v>0</v>
          </cell>
          <cell r="G483">
            <v>0</v>
          </cell>
          <cell r="H483">
            <v>781.16</v>
          </cell>
          <cell r="I483">
            <v>0</v>
          </cell>
          <cell r="J483">
            <v>0</v>
          </cell>
          <cell r="K483">
            <v>0</v>
          </cell>
          <cell r="L483">
            <v>0</v>
          </cell>
          <cell r="M483">
            <v>131.29</v>
          </cell>
          <cell r="N483">
            <v>0</v>
          </cell>
          <cell r="O483">
            <v>0</v>
          </cell>
          <cell r="P483">
            <v>0</v>
          </cell>
          <cell r="Q483">
            <v>0</v>
          </cell>
          <cell r="R483">
            <v>0</v>
          </cell>
          <cell r="S483">
            <v>0</v>
          </cell>
          <cell r="T483">
            <v>1726.88</v>
          </cell>
          <cell r="U483">
            <v>966.19</v>
          </cell>
          <cell r="V483">
            <v>0</v>
          </cell>
          <cell r="W483">
            <v>62.88</v>
          </cell>
          <cell r="X483">
            <v>0</v>
          </cell>
          <cell r="Y483">
            <v>31.29</v>
          </cell>
          <cell r="Z483">
            <v>350.24</v>
          </cell>
          <cell r="AA483">
            <v>0</v>
          </cell>
          <cell r="AB483">
            <v>241.13</v>
          </cell>
          <cell r="AC483">
            <v>-0.01</v>
          </cell>
          <cell r="AD483">
            <v>0</v>
          </cell>
          <cell r="AE483">
            <v>469</v>
          </cell>
          <cell r="AF483">
            <v>4256</v>
          </cell>
          <cell r="AG483">
            <v>4158</v>
          </cell>
          <cell r="AH483">
            <v>718.38</v>
          </cell>
          <cell r="AI483">
            <v>13388.06</v>
          </cell>
          <cell r="AJ483">
            <v>-4254.1000000000004</v>
          </cell>
          <cell r="AK483">
            <v>5416.65</v>
          </cell>
          <cell r="AL483">
            <v>9786.42</v>
          </cell>
          <cell r="AM483">
            <v>1836.96</v>
          </cell>
          <cell r="AN483">
            <v>1102.75</v>
          </cell>
          <cell r="AO483">
            <v>2620.0500000000002</v>
          </cell>
          <cell r="AP483">
            <v>574.89</v>
          </cell>
          <cell r="AQ483">
            <v>996.15</v>
          </cell>
          <cell r="AR483">
            <v>11951.54</v>
          </cell>
          <cell r="AS483">
            <v>4921.12</v>
          </cell>
          <cell r="AT483">
            <v>78.08</v>
          </cell>
          <cell r="AU483">
            <v>6221.63</v>
          </cell>
          <cell r="AV483">
            <v>599.82000000000005</v>
          </cell>
          <cell r="AW483">
            <v>508.25</v>
          </cell>
          <cell r="AX483">
            <v>1290.32</v>
          </cell>
          <cell r="AY483">
            <v>0</v>
          </cell>
          <cell r="AZ483">
            <v>185.03</v>
          </cell>
          <cell r="BA483">
            <v>16144.23</v>
          </cell>
          <cell r="BB483">
            <v>3314.88</v>
          </cell>
          <cell r="BC483">
            <v>5138.5600000000004</v>
          </cell>
          <cell r="BD483">
            <v>3642.07</v>
          </cell>
          <cell r="BE483">
            <v>6737.99</v>
          </cell>
          <cell r="BF483">
            <v>231.62</v>
          </cell>
          <cell r="BG483">
            <v>272.61</v>
          </cell>
          <cell r="BH483">
            <v>9916.76</v>
          </cell>
          <cell r="BI483">
            <v>3507.06</v>
          </cell>
          <cell r="BJ483">
            <v>7308.29</v>
          </cell>
          <cell r="BK483">
            <v>12896.06</v>
          </cell>
          <cell r="BL483">
            <v>8657.4500000000007</v>
          </cell>
          <cell r="BM483">
            <v>15306.06</v>
          </cell>
          <cell r="BN483">
            <v>-14191.01</v>
          </cell>
          <cell r="BO483">
            <v>476.96</v>
          </cell>
          <cell r="BP483">
            <v>610.38</v>
          </cell>
          <cell r="BQ483">
            <v>11223.12</v>
          </cell>
          <cell r="BR483">
            <v>0</v>
          </cell>
          <cell r="BS483">
            <v>847</v>
          </cell>
          <cell r="BT483">
            <v>0</v>
          </cell>
          <cell r="BU483">
            <v>1027.92</v>
          </cell>
          <cell r="BV483">
            <v>9327.0499999999993</v>
          </cell>
          <cell r="BW483">
            <v>13</v>
          </cell>
          <cell r="BX483">
            <v>0</v>
          </cell>
          <cell r="BY483">
            <v>476.33</v>
          </cell>
          <cell r="BZ483">
            <v>0</v>
          </cell>
          <cell r="CA483">
            <v>5425</v>
          </cell>
          <cell r="CB483">
            <v>565.22</v>
          </cell>
          <cell r="CC483">
            <v>769.01</v>
          </cell>
          <cell r="CD483">
            <v>5711.16</v>
          </cell>
          <cell r="CE483">
            <v>508.81</v>
          </cell>
          <cell r="CF483">
            <v>13575.79</v>
          </cell>
          <cell r="CG483">
            <v>10777.19</v>
          </cell>
          <cell r="CH483">
            <v>4521.3100000000004</v>
          </cell>
          <cell r="CI483">
            <v>9332.44</v>
          </cell>
          <cell r="CJ483">
            <v>1812.99</v>
          </cell>
          <cell r="CK483">
            <v>1829.81</v>
          </cell>
          <cell r="CL483">
            <v>505.91</v>
          </cell>
          <cell r="CM483">
            <v>2723.98</v>
          </cell>
          <cell r="CN483">
            <v>1598.93</v>
          </cell>
          <cell r="CO483">
            <v>4847.1000000000004</v>
          </cell>
          <cell r="CP483">
            <v>2490.38</v>
          </cell>
          <cell r="CQ483">
            <v>573.95000000000005</v>
          </cell>
          <cell r="CR483">
            <v>12878.69</v>
          </cell>
          <cell r="CS483">
            <v>1161.2</v>
          </cell>
          <cell r="CT483">
            <v>4384.7</v>
          </cell>
          <cell r="CU483">
            <v>2878.47</v>
          </cell>
          <cell r="CV483">
            <v>1935.25</v>
          </cell>
          <cell r="CW483">
            <v>2688.6</v>
          </cell>
          <cell r="CX483">
            <v>562.54</v>
          </cell>
          <cell r="CY483">
            <v>13954.92</v>
          </cell>
          <cell r="CZ483">
            <v>4003.95</v>
          </cell>
          <cell r="DA483">
            <v>5823.37</v>
          </cell>
          <cell r="DB483">
            <v>706.42</v>
          </cell>
          <cell r="DC483">
            <v>933.54</v>
          </cell>
          <cell r="DD483">
            <v>2335.1999999999998</v>
          </cell>
          <cell r="DE483">
            <v>741.85</v>
          </cell>
          <cell r="DF483">
            <v>903.76</v>
          </cell>
          <cell r="DG483">
            <v>6170.83</v>
          </cell>
        </row>
        <row r="484">
          <cell r="A484" t="str">
            <v>8860</v>
          </cell>
          <cell r="B484">
            <v>9886000</v>
          </cell>
          <cell r="C484" t="str">
            <v>Gas Dist Main Struct</v>
          </cell>
          <cell r="D484">
            <v>12271.29</v>
          </cell>
          <cell r="E484">
            <v>11655.78</v>
          </cell>
          <cell r="F484">
            <v>5142.54</v>
          </cell>
          <cell r="G484">
            <v>8103.9</v>
          </cell>
          <cell r="H484">
            <v>11513.9</v>
          </cell>
          <cell r="I484">
            <v>11074.63</v>
          </cell>
          <cell r="J484">
            <v>7513.88</v>
          </cell>
          <cell r="K484">
            <v>9137.6299999999992</v>
          </cell>
          <cell r="L484">
            <v>11778.7</v>
          </cell>
          <cell r="M484">
            <v>11632.16</v>
          </cell>
          <cell r="N484">
            <v>7093.73</v>
          </cell>
          <cell r="O484">
            <v>13839.2</v>
          </cell>
          <cell r="P484">
            <v>7863.3</v>
          </cell>
          <cell r="Q484">
            <v>10942.38</v>
          </cell>
          <cell r="R484">
            <v>20240.09</v>
          </cell>
          <cell r="S484">
            <v>10584.36</v>
          </cell>
          <cell r="T484">
            <v>13763.68</v>
          </cell>
          <cell r="U484">
            <v>8820.11</v>
          </cell>
          <cell r="V484">
            <v>10826.25</v>
          </cell>
          <cell r="W484">
            <v>8077.84</v>
          </cell>
          <cell r="X484">
            <v>10378.73</v>
          </cell>
          <cell r="Y484">
            <v>14930.98</v>
          </cell>
          <cell r="Z484">
            <v>12805.66</v>
          </cell>
          <cell r="AA484">
            <v>13625.19</v>
          </cell>
          <cell r="AB484">
            <v>12114.55</v>
          </cell>
          <cell r="AC484">
            <v>20470.59</v>
          </cell>
          <cell r="AD484">
            <v>5659.79</v>
          </cell>
          <cell r="AE484">
            <v>7578.63</v>
          </cell>
          <cell r="AF484">
            <v>6325.72</v>
          </cell>
          <cell r="AG484">
            <v>21841.01</v>
          </cell>
          <cell r="AH484">
            <v>21797.94</v>
          </cell>
          <cell r="AI484">
            <v>9107.01</v>
          </cell>
          <cell r="AJ484">
            <v>8915.68</v>
          </cell>
          <cell r="AK484">
            <v>11623.95</v>
          </cell>
          <cell r="AL484">
            <v>19499.509999999998</v>
          </cell>
          <cell r="AM484">
            <v>16273.77</v>
          </cell>
          <cell r="AN484">
            <v>8158.34</v>
          </cell>
          <cell r="AO484">
            <v>19158.650000000001</v>
          </cell>
          <cell r="AP484">
            <v>37075.160000000003</v>
          </cell>
          <cell r="AQ484">
            <v>9857.6</v>
          </cell>
          <cell r="AR484">
            <v>8717.59</v>
          </cell>
          <cell r="AS484">
            <v>-18469.34</v>
          </cell>
          <cell r="AT484">
            <v>11196.81</v>
          </cell>
          <cell r="AU484">
            <v>13713.12</v>
          </cell>
          <cell r="AV484">
            <v>17942.52</v>
          </cell>
          <cell r="AW484">
            <v>11842.23</v>
          </cell>
          <cell r="AX484">
            <v>13163.77</v>
          </cell>
          <cell r="AY484">
            <v>44602.69</v>
          </cell>
          <cell r="AZ484">
            <v>10994.37</v>
          </cell>
          <cell r="BA484">
            <v>20284.87</v>
          </cell>
          <cell r="BB484">
            <v>8850.84</v>
          </cell>
          <cell r="BC484">
            <v>11312.13</v>
          </cell>
          <cell r="BD484">
            <v>16253.83</v>
          </cell>
          <cell r="BE484">
            <v>6331.45</v>
          </cell>
          <cell r="BF484">
            <v>10609.09</v>
          </cell>
          <cell r="BG484">
            <v>21739.3</v>
          </cell>
          <cell r="BH484">
            <v>16557</v>
          </cell>
          <cell r="BI484">
            <v>25342.76</v>
          </cell>
          <cell r="BJ484">
            <v>12067.24</v>
          </cell>
          <cell r="BK484">
            <v>21927.3</v>
          </cell>
          <cell r="BL484">
            <v>9052.69</v>
          </cell>
          <cell r="BM484">
            <v>21183.54</v>
          </cell>
          <cell r="BN484">
            <v>11180.08</v>
          </cell>
          <cell r="BO484">
            <v>13790.55</v>
          </cell>
          <cell r="BP484">
            <v>12464.75</v>
          </cell>
          <cell r="BQ484">
            <v>11156.08</v>
          </cell>
          <cell r="BR484">
            <v>12138.87</v>
          </cell>
          <cell r="BS484">
            <v>14685.41</v>
          </cell>
          <cell r="BT484">
            <v>18072.36</v>
          </cell>
          <cell r="BU484">
            <v>19222.39</v>
          </cell>
          <cell r="BV484">
            <v>20330.59</v>
          </cell>
          <cell r="BW484">
            <v>45162.45</v>
          </cell>
          <cell r="BX484">
            <v>12992.1</v>
          </cell>
          <cell r="BY484">
            <v>17254.810000000001</v>
          </cell>
          <cell r="BZ484">
            <v>15418.78</v>
          </cell>
          <cell r="CA484">
            <v>7180.16</v>
          </cell>
          <cell r="CB484">
            <v>8855.36</v>
          </cell>
          <cell r="CC484">
            <v>10393.41</v>
          </cell>
          <cell r="CD484">
            <v>16993.349999999999</v>
          </cell>
          <cell r="CE484">
            <v>15601.84</v>
          </cell>
          <cell r="CF484">
            <v>8181.59</v>
          </cell>
          <cell r="CG484">
            <v>14464.81</v>
          </cell>
          <cell r="CH484">
            <v>11553.69</v>
          </cell>
          <cell r="CI484">
            <v>19563.86</v>
          </cell>
          <cell r="CJ484">
            <v>12307.03</v>
          </cell>
          <cell r="CK484">
            <v>24138.69</v>
          </cell>
          <cell r="CL484">
            <v>15904.53</v>
          </cell>
          <cell r="CM484">
            <v>11296.54</v>
          </cell>
          <cell r="CN484">
            <v>11551.61</v>
          </cell>
          <cell r="CO484">
            <v>15272.51</v>
          </cell>
          <cell r="CP484">
            <v>14936.58</v>
          </cell>
          <cell r="CQ484">
            <v>8015.89</v>
          </cell>
          <cell r="CR484">
            <v>26149.81</v>
          </cell>
          <cell r="CS484">
            <v>16579</v>
          </cell>
          <cell r="CT484">
            <v>17135.54</v>
          </cell>
          <cell r="CU484">
            <v>18001.59</v>
          </cell>
          <cell r="CV484">
            <v>19211.939999999999</v>
          </cell>
          <cell r="CW484">
            <v>24529.26</v>
          </cell>
          <cell r="CX484">
            <v>21041.34</v>
          </cell>
          <cell r="CY484">
            <v>16078.91</v>
          </cell>
          <cell r="CZ484">
            <v>17664.28</v>
          </cell>
          <cell r="DA484">
            <v>29529.68</v>
          </cell>
          <cell r="DB484">
            <v>20508.14</v>
          </cell>
          <cell r="DC484">
            <v>24597.91</v>
          </cell>
          <cell r="DD484">
            <v>12260.66</v>
          </cell>
          <cell r="DE484">
            <v>20296.5</v>
          </cell>
          <cell r="DF484">
            <v>26478.52</v>
          </cell>
          <cell r="DG484">
            <v>14959.03</v>
          </cell>
        </row>
        <row r="485">
          <cell r="A485" t="str">
            <v>8870</v>
          </cell>
          <cell r="B485">
            <v>9887000</v>
          </cell>
          <cell r="C485" t="str">
            <v>Gas Dist Main Mains</v>
          </cell>
          <cell r="D485">
            <v>374549.5</v>
          </cell>
          <cell r="E485">
            <v>526412.38</v>
          </cell>
          <cell r="F485">
            <v>384068.37</v>
          </cell>
          <cell r="G485">
            <v>711498.39</v>
          </cell>
          <cell r="H485">
            <v>302680.2</v>
          </cell>
          <cell r="I485">
            <v>332323.17</v>
          </cell>
          <cell r="J485">
            <v>563179.92000000004</v>
          </cell>
          <cell r="K485">
            <v>576366.16</v>
          </cell>
          <cell r="L485">
            <v>472555.37</v>
          </cell>
          <cell r="M485">
            <v>232772.09</v>
          </cell>
          <cell r="N485">
            <v>217689.33</v>
          </cell>
          <cell r="O485">
            <v>279587.07</v>
          </cell>
          <cell r="P485">
            <v>225102.6</v>
          </cell>
          <cell r="Q485">
            <v>428574.85</v>
          </cell>
          <cell r="R485">
            <v>406850.3</v>
          </cell>
          <cell r="S485">
            <v>604652.06999999995</v>
          </cell>
          <cell r="T485">
            <v>40054.49</v>
          </cell>
          <cell r="U485">
            <v>301579.75</v>
          </cell>
          <cell r="V485">
            <v>390118.92</v>
          </cell>
          <cell r="W485">
            <v>288130.89</v>
          </cell>
          <cell r="X485">
            <v>408847.03</v>
          </cell>
          <cell r="Y485">
            <v>257749.87</v>
          </cell>
          <cell r="Z485">
            <v>534171.49</v>
          </cell>
          <cell r="AA485">
            <v>591013.43999999994</v>
          </cell>
          <cell r="AB485">
            <v>456062.67</v>
          </cell>
          <cell r="AC485">
            <v>375644.04</v>
          </cell>
          <cell r="AD485">
            <v>393843.86</v>
          </cell>
          <cell r="AE485">
            <v>397257.91</v>
          </cell>
          <cell r="AF485">
            <v>-197161.19</v>
          </cell>
          <cell r="AG485">
            <v>540905.79</v>
          </cell>
          <cell r="AH485">
            <v>291428.90999999997</v>
          </cell>
          <cell r="AI485">
            <v>290315.07</v>
          </cell>
          <cell r="AJ485">
            <v>247986.43</v>
          </cell>
          <cell r="AK485">
            <v>590683.11</v>
          </cell>
          <cell r="AL485">
            <v>609634.64</v>
          </cell>
          <cell r="AM485">
            <v>609111.26</v>
          </cell>
          <cell r="AN485">
            <v>226599.29</v>
          </cell>
          <cell r="AO485">
            <v>311016.27</v>
          </cell>
          <cell r="AP485">
            <v>-4507.62</v>
          </cell>
          <cell r="AQ485">
            <v>352295.77</v>
          </cell>
          <cell r="AR485">
            <v>275481.95</v>
          </cell>
          <cell r="AS485">
            <v>279594.52</v>
          </cell>
          <cell r="AT485">
            <v>268892.21000000002</v>
          </cell>
          <cell r="AU485">
            <v>255551.99</v>
          </cell>
          <cell r="AV485">
            <v>215273.97</v>
          </cell>
          <cell r="AW485">
            <v>250581.65</v>
          </cell>
          <cell r="AX485">
            <v>259855.48</v>
          </cell>
          <cell r="AY485">
            <v>273567.59000000003</v>
          </cell>
          <cell r="AZ485">
            <v>215181.65</v>
          </cell>
          <cell r="BA485">
            <v>206475.93</v>
          </cell>
          <cell r="BB485">
            <v>296206.52</v>
          </cell>
          <cell r="BC485">
            <v>245378.54</v>
          </cell>
          <cell r="BD485">
            <v>341996.06</v>
          </cell>
          <cell r="BE485">
            <v>316356.76</v>
          </cell>
          <cell r="BF485">
            <v>255980.18</v>
          </cell>
          <cell r="BG485">
            <v>522541.83</v>
          </cell>
          <cell r="BH485">
            <v>526050.84</v>
          </cell>
          <cell r="BI485">
            <v>330617.57</v>
          </cell>
          <cell r="BJ485">
            <v>1154502</v>
          </cell>
          <cell r="BK485">
            <v>506129.68</v>
          </cell>
          <cell r="BL485">
            <v>310438.38</v>
          </cell>
          <cell r="BM485">
            <v>199600.03</v>
          </cell>
          <cell r="BN485">
            <v>242903.64</v>
          </cell>
          <cell r="BO485">
            <v>309224.15000000002</v>
          </cell>
          <cell r="BP485">
            <v>254179</v>
          </cell>
          <cell r="BQ485">
            <v>212341.69</v>
          </cell>
          <cell r="BR485">
            <v>261141.38</v>
          </cell>
          <cell r="BS485">
            <v>234468.2</v>
          </cell>
          <cell r="BT485">
            <v>294702.53000000003</v>
          </cell>
          <cell r="BU485">
            <v>359431.2</v>
          </cell>
          <cell r="BV485">
            <v>276239.75</v>
          </cell>
          <cell r="BW485">
            <v>386937.79</v>
          </cell>
          <cell r="BX485">
            <v>157736.14000000001</v>
          </cell>
          <cell r="BY485">
            <v>465110.35</v>
          </cell>
          <cell r="BZ485">
            <v>360770.47</v>
          </cell>
          <cell r="CA485">
            <v>151194.26999999999</v>
          </cell>
          <cell r="CB485">
            <v>197152.47</v>
          </cell>
          <cell r="CC485">
            <v>256663.26</v>
          </cell>
          <cell r="CD485">
            <v>233184.68</v>
          </cell>
          <cell r="CE485">
            <v>326665.94</v>
          </cell>
          <cell r="CF485">
            <v>237260.74</v>
          </cell>
          <cell r="CG485">
            <v>292006.65000000002</v>
          </cell>
          <cell r="CH485">
            <v>227812.63</v>
          </cell>
          <cell r="CI485">
            <v>245348.36</v>
          </cell>
          <cell r="CJ485">
            <v>503819.2</v>
          </cell>
          <cell r="CK485">
            <v>452532.97</v>
          </cell>
          <cell r="CL485">
            <v>243150.47</v>
          </cell>
          <cell r="CM485">
            <v>424141.89</v>
          </cell>
          <cell r="CN485">
            <v>374723.94</v>
          </cell>
          <cell r="CO485">
            <v>457100.81</v>
          </cell>
          <cell r="CP485">
            <v>519317.66</v>
          </cell>
          <cell r="CQ485">
            <v>171619.87</v>
          </cell>
          <cell r="CR485">
            <v>378082.1</v>
          </cell>
          <cell r="CS485">
            <v>345517.04</v>
          </cell>
          <cell r="CT485">
            <v>408044.83</v>
          </cell>
          <cell r="CU485">
            <v>435465.45</v>
          </cell>
          <cell r="CV485">
            <v>442724.94</v>
          </cell>
          <cell r="CW485">
            <v>321573.81</v>
          </cell>
          <cell r="CX485">
            <v>1050648.5900000001</v>
          </cell>
          <cell r="CY485">
            <v>-60179.95</v>
          </cell>
          <cell r="CZ485">
            <v>504416.13</v>
          </cell>
          <cell r="DA485">
            <v>486559.72</v>
          </cell>
          <cell r="DB485">
            <v>133960.85</v>
          </cell>
          <cell r="DC485">
            <v>509789.81</v>
          </cell>
          <cell r="DD485">
            <v>373041.99</v>
          </cell>
          <cell r="DE485">
            <v>342329.99</v>
          </cell>
          <cell r="DF485">
            <v>732702.17</v>
          </cell>
          <cell r="DG485">
            <v>120032.21</v>
          </cell>
        </row>
        <row r="486">
          <cell r="A486" t="str">
            <v>8880</v>
          </cell>
          <cell r="B486">
            <v>9888000</v>
          </cell>
          <cell r="C486" t="str">
            <v>Gas Dist Main Compr</v>
          </cell>
          <cell r="D486">
            <v>0</v>
          </cell>
          <cell r="E486">
            <v>0</v>
          </cell>
          <cell r="F486">
            <v>137.56</v>
          </cell>
          <cell r="G486">
            <v>0</v>
          </cell>
          <cell r="H486">
            <v>144.47999999999999</v>
          </cell>
          <cell r="I486">
            <v>0</v>
          </cell>
          <cell r="J486">
            <v>0</v>
          </cell>
          <cell r="K486">
            <v>1874.62</v>
          </cell>
          <cell r="L486">
            <v>0.16</v>
          </cell>
          <cell r="M486">
            <v>0</v>
          </cell>
          <cell r="N486">
            <v>0</v>
          </cell>
          <cell r="O486">
            <v>1057</v>
          </cell>
          <cell r="P486">
            <v>0</v>
          </cell>
          <cell r="Q486">
            <v>0</v>
          </cell>
          <cell r="R486">
            <v>0</v>
          </cell>
          <cell r="S486">
            <v>740.95</v>
          </cell>
          <cell r="T486">
            <v>0</v>
          </cell>
          <cell r="U486">
            <v>0</v>
          </cell>
          <cell r="V486">
            <v>0</v>
          </cell>
          <cell r="W486">
            <v>0</v>
          </cell>
          <cell r="X486">
            <v>0</v>
          </cell>
          <cell r="Y486">
            <v>30794.400000000001</v>
          </cell>
          <cell r="Z486">
            <v>61448.29</v>
          </cell>
          <cell r="AA486">
            <v>16938</v>
          </cell>
          <cell r="AB486">
            <v>17423.14</v>
          </cell>
          <cell r="AC486">
            <v>25006.68</v>
          </cell>
          <cell r="AD486">
            <v>15389.12</v>
          </cell>
          <cell r="AE486">
            <v>11116.96</v>
          </cell>
          <cell r="AF486">
            <v>8701.35</v>
          </cell>
          <cell r="AG486">
            <v>9003.07</v>
          </cell>
          <cell r="AH486">
            <v>9870.82</v>
          </cell>
          <cell r="AI486">
            <v>10179.82</v>
          </cell>
          <cell r="AJ486">
            <v>9549.5499999999993</v>
          </cell>
          <cell r="AK486">
            <v>9017.11</v>
          </cell>
          <cell r="AL486">
            <v>9806.02</v>
          </cell>
          <cell r="AM486">
            <v>10370.620000000001</v>
          </cell>
          <cell r="AN486">
            <v>8531.11</v>
          </cell>
          <cell r="AO486">
            <v>8027.23</v>
          </cell>
          <cell r="AP486">
            <v>9099.66</v>
          </cell>
          <cell r="AQ486">
            <v>9715.44</v>
          </cell>
          <cell r="AR486">
            <v>9710.69</v>
          </cell>
          <cell r="AS486">
            <v>8660.68</v>
          </cell>
          <cell r="AT486">
            <v>8614.89</v>
          </cell>
          <cell r="AU486">
            <v>10731.26</v>
          </cell>
          <cell r="AV486">
            <v>11287.17</v>
          </cell>
          <cell r="AW486">
            <v>10341.459999999999</v>
          </cell>
          <cell r="AX486">
            <v>9645.0499999999993</v>
          </cell>
          <cell r="AY486">
            <v>8063</v>
          </cell>
          <cell r="AZ486">
            <v>7607.55</v>
          </cell>
          <cell r="BA486">
            <v>9021.51</v>
          </cell>
          <cell r="BB486">
            <v>9777.0400000000009</v>
          </cell>
          <cell r="BC486">
            <v>8210.7999999999993</v>
          </cell>
          <cell r="BD486">
            <v>12799.85</v>
          </cell>
          <cell r="BE486">
            <v>8121.86</v>
          </cell>
          <cell r="BF486">
            <v>8748.6</v>
          </cell>
          <cell r="BG486">
            <v>12180.49</v>
          </cell>
          <cell r="BH486">
            <v>8274.27</v>
          </cell>
          <cell r="BI486">
            <v>10258.719999999999</v>
          </cell>
          <cell r="BJ486">
            <v>5791.37</v>
          </cell>
          <cell r="BK486">
            <v>7265.18</v>
          </cell>
          <cell r="BL486">
            <v>6440.45</v>
          </cell>
          <cell r="BM486">
            <v>9543.0499999999993</v>
          </cell>
          <cell r="BN486">
            <v>6374.24</v>
          </cell>
          <cell r="BO486">
            <v>5801.51</v>
          </cell>
          <cell r="BP486">
            <v>6824.47</v>
          </cell>
          <cell r="BQ486">
            <v>7816.95</v>
          </cell>
          <cell r="BR486">
            <v>8446.2999999999993</v>
          </cell>
          <cell r="BS486">
            <v>9146.82</v>
          </cell>
          <cell r="BT486">
            <v>8525.77</v>
          </cell>
          <cell r="BU486">
            <v>8064.06</v>
          </cell>
          <cell r="BV486">
            <v>9188.74</v>
          </cell>
          <cell r="BW486">
            <v>5549.38</v>
          </cell>
          <cell r="BX486">
            <v>9073.9599999999991</v>
          </cell>
          <cell r="BY486">
            <v>4760.13</v>
          </cell>
          <cell r="BZ486">
            <v>0</v>
          </cell>
          <cell r="CA486">
            <v>0</v>
          </cell>
          <cell r="CB486">
            <v>0</v>
          </cell>
          <cell r="CC486">
            <v>0</v>
          </cell>
          <cell r="CD486">
            <v>0</v>
          </cell>
          <cell r="CE486">
            <v>0</v>
          </cell>
          <cell r="CF486">
            <v>0</v>
          </cell>
          <cell r="CG486">
            <v>0</v>
          </cell>
          <cell r="CH486">
            <v>0</v>
          </cell>
          <cell r="CI486">
            <v>0</v>
          </cell>
          <cell r="CJ486">
            <v>0</v>
          </cell>
          <cell r="CK486">
            <v>61.41</v>
          </cell>
          <cell r="CL486">
            <v>0</v>
          </cell>
          <cell r="CM486">
            <v>0</v>
          </cell>
          <cell r="CN486">
            <v>0</v>
          </cell>
          <cell r="CO486">
            <v>0</v>
          </cell>
          <cell r="CP486">
            <v>1593.63</v>
          </cell>
          <cell r="CQ486">
            <v>6539.85</v>
          </cell>
          <cell r="CR486">
            <v>98.44</v>
          </cell>
          <cell r="CS486">
            <v>2437.16</v>
          </cell>
          <cell r="CT486">
            <v>0</v>
          </cell>
          <cell r="CU486">
            <v>1107.25</v>
          </cell>
          <cell r="CV486">
            <v>0</v>
          </cell>
          <cell r="CW486">
            <v>0</v>
          </cell>
          <cell r="CX486">
            <v>0</v>
          </cell>
          <cell r="CY486">
            <v>0</v>
          </cell>
          <cell r="CZ486">
            <v>0</v>
          </cell>
          <cell r="DA486">
            <v>1071.99</v>
          </cell>
          <cell r="DB486">
            <v>20.190000000000001</v>
          </cell>
          <cell r="DC486">
            <v>40</v>
          </cell>
          <cell r="DD486">
            <v>0</v>
          </cell>
          <cell r="DE486">
            <v>0</v>
          </cell>
          <cell r="DF486">
            <v>2407.36</v>
          </cell>
          <cell r="DG486">
            <v>1108</v>
          </cell>
        </row>
        <row r="487">
          <cell r="A487" t="str">
            <v>8890</v>
          </cell>
          <cell r="B487">
            <v>9889000</v>
          </cell>
          <cell r="C487" t="str">
            <v>Gas Dist Main MR Gen</v>
          </cell>
          <cell r="D487">
            <v>64177.48</v>
          </cell>
          <cell r="E487">
            <v>58194.71</v>
          </cell>
          <cell r="F487">
            <v>68186.39</v>
          </cell>
          <cell r="G487">
            <v>52586.27</v>
          </cell>
          <cell r="H487">
            <v>59473.58</v>
          </cell>
          <cell r="I487">
            <v>75171.25</v>
          </cell>
          <cell r="J487">
            <v>83260.100000000006</v>
          </cell>
          <cell r="K487">
            <v>72055.539999999994</v>
          </cell>
          <cell r="L487">
            <v>53148.959999999999</v>
          </cell>
          <cell r="M487">
            <v>42028.29</v>
          </cell>
          <cell r="N487">
            <v>61133.01</v>
          </cell>
          <cell r="O487">
            <v>93703.55</v>
          </cell>
          <cell r="P487">
            <v>52732.07</v>
          </cell>
          <cell r="Q487">
            <v>73515.17</v>
          </cell>
          <cell r="R487">
            <v>82354.5</v>
          </cell>
          <cell r="S487">
            <v>63059.199999999997</v>
          </cell>
          <cell r="T487">
            <v>54402.71</v>
          </cell>
          <cell r="U487">
            <v>53000.35</v>
          </cell>
          <cell r="V487">
            <v>64771.08</v>
          </cell>
          <cell r="W487">
            <v>62072.33</v>
          </cell>
          <cell r="X487">
            <v>63613.79</v>
          </cell>
          <cell r="Y487">
            <v>60823.39</v>
          </cell>
          <cell r="Z487">
            <v>41793.26</v>
          </cell>
          <cell r="AA487">
            <v>56690.62</v>
          </cell>
          <cell r="AB487">
            <v>53867.5</v>
          </cell>
          <cell r="AC487">
            <v>49890.46</v>
          </cell>
          <cell r="AD487">
            <v>56578.06</v>
          </cell>
          <cell r="AE487">
            <v>56460.57</v>
          </cell>
          <cell r="AF487">
            <v>54141.89</v>
          </cell>
          <cell r="AG487">
            <v>68669.31</v>
          </cell>
          <cell r="AH487">
            <v>66329.929999999993</v>
          </cell>
          <cell r="AI487">
            <v>50343.43</v>
          </cell>
          <cell r="AJ487">
            <v>55643.25</v>
          </cell>
          <cell r="AK487">
            <v>46594.7</v>
          </cell>
          <cell r="AL487">
            <v>43331.9</v>
          </cell>
          <cell r="AM487">
            <v>42339.93</v>
          </cell>
          <cell r="AN487">
            <v>52279.6</v>
          </cell>
          <cell r="AO487">
            <v>55786.86</v>
          </cell>
          <cell r="AP487">
            <v>58588.5</v>
          </cell>
          <cell r="AQ487">
            <v>45150.92</v>
          </cell>
          <cell r="AR487">
            <v>64503.14</v>
          </cell>
          <cell r="AS487">
            <v>56062.06</v>
          </cell>
          <cell r="AT487">
            <v>44952.2</v>
          </cell>
          <cell r="AU487">
            <v>61094.06</v>
          </cell>
          <cell r="AV487">
            <v>54197.29</v>
          </cell>
          <cell r="AW487">
            <v>44848.85</v>
          </cell>
          <cell r="AX487">
            <v>47750.11</v>
          </cell>
          <cell r="AY487">
            <v>40885.54</v>
          </cell>
          <cell r="AZ487">
            <v>42203.4</v>
          </cell>
          <cell r="BA487">
            <v>51437.39</v>
          </cell>
          <cell r="BB487">
            <v>60677.79</v>
          </cell>
          <cell r="BC487">
            <v>60386.3</v>
          </cell>
          <cell r="BD487">
            <v>54712.37</v>
          </cell>
          <cell r="BE487">
            <v>40402.71</v>
          </cell>
          <cell r="BF487">
            <v>42178.7</v>
          </cell>
          <cell r="BG487">
            <v>42992.7</v>
          </cell>
          <cell r="BH487">
            <v>42723.05</v>
          </cell>
          <cell r="BI487">
            <v>38166.620000000003</v>
          </cell>
          <cell r="BJ487">
            <v>21543.919999999998</v>
          </cell>
          <cell r="BK487">
            <v>26215.37</v>
          </cell>
          <cell r="BL487">
            <v>37663.370000000003</v>
          </cell>
          <cell r="BM487">
            <v>42753.73</v>
          </cell>
          <cell r="BN487">
            <v>45098.92</v>
          </cell>
          <cell r="BO487">
            <v>63621.41</v>
          </cell>
          <cell r="BP487">
            <v>58925.599999999999</v>
          </cell>
          <cell r="BQ487">
            <v>40780.42</v>
          </cell>
          <cell r="BR487">
            <v>54319.17</v>
          </cell>
          <cell r="BS487">
            <v>59572.52</v>
          </cell>
          <cell r="BT487">
            <v>55822.13</v>
          </cell>
          <cell r="BU487">
            <v>63072.49</v>
          </cell>
          <cell r="BV487">
            <v>61022.54</v>
          </cell>
          <cell r="BW487">
            <v>88885.7</v>
          </cell>
          <cell r="BX487">
            <v>46603.28</v>
          </cell>
          <cell r="BY487">
            <v>53267.1</v>
          </cell>
          <cell r="BZ487">
            <v>53993.61</v>
          </cell>
          <cell r="CA487">
            <v>54561.760000000002</v>
          </cell>
          <cell r="CB487">
            <v>51720.08</v>
          </cell>
          <cell r="CC487">
            <v>49747.519999999997</v>
          </cell>
          <cell r="CD487">
            <v>47858.73</v>
          </cell>
          <cell r="CE487">
            <v>48124.85</v>
          </cell>
          <cell r="CF487">
            <v>92903.74</v>
          </cell>
          <cell r="CG487">
            <v>19593.36</v>
          </cell>
          <cell r="CH487">
            <v>59262.63</v>
          </cell>
          <cell r="CI487">
            <v>57892.72</v>
          </cell>
          <cell r="CJ487">
            <v>57970.46</v>
          </cell>
          <cell r="CK487">
            <v>53676.81</v>
          </cell>
          <cell r="CL487">
            <v>63250.07</v>
          </cell>
          <cell r="CM487">
            <v>79237.38</v>
          </cell>
          <cell r="CN487">
            <v>67178.259999999995</v>
          </cell>
          <cell r="CO487">
            <v>61456.4</v>
          </cell>
          <cell r="CP487">
            <v>59511.44</v>
          </cell>
          <cell r="CQ487">
            <v>65378.73</v>
          </cell>
          <cell r="CR487">
            <v>73708.31</v>
          </cell>
          <cell r="CS487">
            <v>81813.09</v>
          </cell>
          <cell r="CT487">
            <v>89625.59</v>
          </cell>
          <cell r="CU487">
            <v>98699.32</v>
          </cell>
          <cell r="CV487">
            <v>73066.22</v>
          </cell>
          <cell r="CW487">
            <v>85125.65</v>
          </cell>
          <cell r="CX487">
            <v>74400.210000000006</v>
          </cell>
          <cell r="CY487">
            <v>60640.72</v>
          </cell>
          <cell r="CZ487">
            <v>92635.81</v>
          </cell>
          <cell r="DA487">
            <v>92759.39</v>
          </cell>
          <cell r="DB487">
            <v>65928.61</v>
          </cell>
          <cell r="DC487">
            <v>72970.63</v>
          </cell>
          <cell r="DD487">
            <v>74673.27</v>
          </cell>
          <cell r="DE487">
            <v>61441.74</v>
          </cell>
          <cell r="DF487">
            <v>61236.14</v>
          </cell>
          <cell r="DG487">
            <v>41984.99</v>
          </cell>
        </row>
        <row r="488">
          <cell r="A488" t="str">
            <v>8900</v>
          </cell>
          <cell r="B488">
            <v>9890000</v>
          </cell>
          <cell r="C488" t="str">
            <v>Gas Dist Main MR Ind</v>
          </cell>
          <cell r="D488">
            <v>42205.07</v>
          </cell>
          <cell r="E488">
            <v>44195.06</v>
          </cell>
          <cell r="F488">
            <v>54296.13</v>
          </cell>
          <cell r="G488">
            <v>50398.89</v>
          </cell>
          <cell r="H488">
            <v>49811.01</v>
          </cell>
          <cell r="I488">
            <v>52959.45</v>
          </cell>
          <cell r="J488">
            <v>43651.21</v>
          </cell>
          <cell r="K488">
            <v>53858.52</v>
          </cell>
          <cell r="L488">
            <v>44194.16</v>
          </cell>
          <cell r="M488">
            <v>44268.94</v>
          </cell>
          <cell r="N488">
            <v>42992.46</v>
          </cell>
          <cell r="O488">
            <v>47873.03</v>
          </cell>
          <cell r="P488">
            <v>44429.98</v>
          </cell>
          <cell r="Q488">
            <v>40894.14</v>
          </cell>
          <cell r="R488">
            <v>41263.199999999997</v>
          </cell>
          <cell r="S488">
            <v>54654.9</v>
          </cell>
          <cell r="T488">
            <v>49094.77</v>
          </cell>
          <cell r="U488">
            <v>54414</v>
          </cell>
          <cell r="V488">
            <v>50190.239999999998</v>
          </cell>
          <cell r="W488">
            <v>45531.06</v>
          </cell>
          <cell r="X488">
            <v>51744.18</v>
          </cell>
          <cell r="Y488">
            <v>47139.5</v>
          </cell>
          <cell r="Z488">
            <v>56170.73</v>
          </cell>
          <cell r="AA488">
            <v>57623.93</v>
          </cell>
          <cell r="AB488">
            <v>47334.64</v>
          </cell>
          <cell r="AC488">
            <v>50242.33</v>
          </cell>
          <cell r="AD488">
            <v>51029.79</v>
          </cell>
          <cell r="AE488">
            <v>49359.61</v>
          </cell>
          <cell r="AF488">
            <v>62681.71</v>
          </cell>
          <cell r="AG488">
            <v>47787.85</v>
          </cell>
          <cell r="AH488">
            <v>52699.12</v>
          </cell>
          <cell r="AI488">
            <v>52717.83</v>
          </cell>
          <cell r="AJ488">
            <v>44925.37</v>
          </cell>
          <cell r="AK488">
            <v>46174.66</v>
          </cell>
          <cell r="AL488">
            <v>47695.83</v>
          </cell>
          <cell r="AM488">
            <v>46928.26</v>
          </cell>
          <cell r="AN488">
            <v>51115.27</v>
          </cell>
          <cell r="AO488">
            <v>32768.239999999998</v>
          </cell>
          <cell r="AP488">
            <v>45441.4</v>
          </cell>
          <cell r="AQ488">
            <v>45302.69</v>
          </cell>
          <cell r="AR488">
            <v>41794.720000000001</v>
          </cell>
          <cell r="AS488">
            <v>42112.67</v>
          </cell>
          <cell r="AT488">
            <v>42332.6</v>
          </cell>
          <cell r="AU488">
            <v>44070.35</v>
          </cell>
          <cell r="AV488">
            <v>37802.74</v>
          </cell>
          <cell r="AW488">
            <v>40100.980000000003</v>
          </cell>
          <cell r="AX488">
            <v>38014.61</v>
          </cell>
          <cell r="AY488">
            <v>43148.66</v>
          </cell>
          <cell r="AZ488">
            <v>43232.71</v>
          </cell>
          <cell r="BA488">
            <v>47890.91</v>
          </cell>
          <cell r="BB488">
            <v>43875.49</v>
          </cell>
          <cell r="BC488">
            <v>40819.71</v>
          </cell>
          <cell r="BD488">
            <v>47160.76</v>
          </cell>
          <cell r="BE488">
            <v>46634.22</v>
          </cell>
          <cell r="BF488">
            <v>43707.040000000001</v>
          </cell>
          <cell r="BG488">
            <v>46331.33</v>
          </cell>
          <cell r="BH488">
            <v>40317.230000000003</v>
          </cell>
          <cell r="BI488">
            <v>44121.34</v>
          </cell>
          <cell r="BJ488">
            <v>40578.379999999997</v>
          </cell>
          <cell r="BK488">
            <v>46663.18</v>
          </cell>
          <cell r="BL488">
            <v>44595.57</v>
          </cell>
          <cell r="BM488">
            <v>39885.89</v>
          </cell>
          <cell r="BN488">
            <v>43656.29</v>
          </cell>
          <cell r="BO488">
            <v>41987.75</v>
          </cell>
          <cell r="BP488">
            <v>57597.65</v>
          </cell>
          <cell r="BQ488">
            <v>52900.42</v>
          </cell>
          <cell r="BR488">
            <v>62016.37</v>
          </cell>
          <cell r="BS488">
            <v>71584.649999999994</v>
          </cell>
          <cell r="BT488">
            <v>46401.22</v>
          </cell>
          <cell r="BU488">
            <v>47405.33</v>
          </cell>
          <cell r="BV488">
            <v>55799.79</v>
          </cell>
          <cell r="BW488">
            <v>84109.04</v>
          </cell>
          <cell r="BX488">
            <v>46133.62</v>
          </cell>
          <cell r="BY488">
            <v>45198.44</v>
          </cell>
          <cell r="BZ488">
            <v>57049.34</v>
          </cell>
          <cell r="CA488">
            <v>49390.58</v>
          </cell>
          <cell r="CB488">
            <v>53706.879999999997</v>
          </cell>
          <cell r="CC488">
            <v>41152.85</v>
          </cell>
          <cell r="CD488">
            <v>58239.43</v>
          </cell>
          <cell r="CE488">
            <v>73910.16</v>
          </cell>
          <cell r="CF488">
            <v>46713.62</v>
          </cell>
          <cell r="CG488">
            <v>99877.07</v>
          </cell>
          <cell r="CH488">
            <v>22885.38</v>
          </cell>
          <cell r="CI488">
            <v>57903.42</v>
          </cell>
          <cell r="CJ488">
            <v>42206.25</v>
          </cell>
          <cell r="CK488">
            <v>53059.65</v>
          </cell>
          <cell r="CL488">
            <v>38659.85</v>
          </cell>
          <cell r="CM488">
            <v>100393.23</v>
          </cell>
          <cell r="CN488">
            <v>79044.91</v>
          </cell>
          <cell r="CO488">
            <v>36808.92</v>
          </cell>
          <cell r="CP488">
            <v>67657.990000000005</v>
          </cell>
          <cell r="CQ488">
            <v>57094.14</v>
          </cell>
          <cell r="CR488">
            <v>57924.6</v>
          </cell>
          <cell r="CS488">
            <v>73590.490000000005</v>
          </cell>
          <cell r="CT488">
            <v>56533.41</v>
          </cell>
          <cell r="CU488">
            <v>104370.29</v>
          </cell>
          <cell r="CV488">
            <v>59928.14</v>
          </cell>
          <cell r="CW488">
            <v>54837.41</v>
          </cell>
          <cell r="CX488">
            <v>65924.460000000006</v>
          </cell>
          <cell r="CY488">
            <v>90779.01</v>
          </cell>
          <cell r="CZ488">
            <v>68972.009999999995</v>
          </cell>
          <cell r="DA488">
            <v>68091.960000000006</v>
          </cell>
          <cell r="DB488">
            <v>67788</v>
          </cell>
          <cell r="DC488">
            <v>92518.07</v>
          </cell>
          <cell r="DD488">
            <v>68472.3</v>
          </cell>
          <cell r="DE488">
            <v>48385.26</v>
          </cell>
          <cell r="DF488">
            <v>80957.509999999995</v>
          </cell>
          <cell r="DG488">
            <v>57440.51</v>
          </cell>
        </row>
        <row r="489">
          <cell r="A489" t="str">
            <v>8910</v>
          </cell>
          <cell r="B489">
            <v>9891000</v>
          </cell>
          <cell r="C489" t="str">
            <v>Gas Dist Main MR CG</v>
          </cell>
          <cell r="D489">
            <v>52720.9</v>
          </cell>
          <cell r="E489">
            <v>79550.399999999994</v>
          </cell>
          <cell r="F489">
            <v>62593.78</v>
          </cell>
          <cell r="G489">
            <v>76229.350000000006</v>
          </cell>
          <cell r="H489">
            <v>93067.6</v>
          </cell>
          <cell r="I489">
            <v>107431.63</v>
          </cell>
          <cell r="J489">
            <v>63843.86</v>
          </cell>
          <cell r="K489">
            <v>54876</v>
          </cell>
          <cell r="L489">
            <v>81207.61</v>
          </cell>
          <cell r="M489">
            <v>82979.62</v>
          </cell>
          <cell r="N489">
            <v>62300.800000000003</v>
          </cell>
          <cell r="O489">
            <v>67127.14</v>
          </cell>
          <cell r="P489">
            <v>64151.69</v>
          </cell>
          <cell r="Q489">
            <v>62848.7</v>
          </cell>
          <cell r="R489">
            <v>78567.83</v>
          </cell>
          <cell r="S489">
            <v>120906.44</v>
          </cell>
          <cell r="T489">
            <v>99490.39</v>
          </cell>
          <cell r="U489">
            <v>142763.53</v>
          </cell>
          <cell r="V489">
            <v>134187.46</v>
          </cell>
          <cell r="W489">
            <v>93824.24</v>
          </cell>
          <cell r="X489">
            <v>149016.20000000001</v>
          </cell>
          <cell r="Y489">
            <v>134366.70000000001</v>
          </cell>
          <cell r="Z489">
            <v>159786.22</v>
          </cell>
          <cell r="AA489">
            <v>248783.31</v>
          </cell>
          <cell r="AB489">
            <v>101467.34</v>
          </cell>
          <cell r="AC489">
            <v>142953.32</v>
          </cell>
          <cell r="AD489">
            <v>117053.83</v>
          </cell>
          <cell r="AE489">
            <v>92878.3</v>
          </cell>
          <cell r="AF489">
            <v>144596.07</v>
          </cell>
          <cell r="AG489">
            <v>149658.69</v>
          </cell>
          <cell r="AH489">
            <v>100488.1</v>
          </cell>
          <cell r="AI489">
            <v>154056.69</v>
          </cell>
          <cell r="AJ489">
            <v>111583.21</v>
          </cell>
          <cell r="AK489">
            <v>111892.62</v>
          </cell>
          <cell r="AL489">
            <v>146210.95000000001</v>
          </cell>
          <cell r="AM489">
            <v>212674.73</v>
          </cell>
          <cell r="AN489">
            <v>61047.29</v>
          </cell>
          <cell r="AO489">
            <v>155624.95000000001</v>
          </cell>
          <cell r="AP489">
            <v>169610.78</v>
          </cell>
          <cell r="AQ489">
            <v>68114.039999999994</v>
          </cell>
          <cell r="AR489">
            <v>100320.63</v>
          </cell>
          <cell r="AS489">
            <v>378692.99</v>
          </cell>
          <cell r="AT489">
            <v>-122199.35</v>
          </cell>
          <cell r="AU489">
            <v>120879.88</v>
          </cell>
          <cell r="AV489">
            <v>101028.57</v>
          </cell>
          <cell r="AW489">
            <v>115436.05</v>
          </cell>
          <cell r="AX489">
            <v>111077.86</v>
          </cell>
          <cell r="AY489">
            <v>127751.55</v>
          </cell>
          <cell r="AZ489">
            <v>97759.039999999994</v>
          </cell>
          <cell r="BA489">
            <v>100491.07</v>
          </cell>
          <cell r="BB489">
            <v>134554.99</v>
          </cell>
          <cell r="BC489">
            <v>181467.15</v>
          </cell>
          <cell r="BD489">
            <v>188163.15</v>
          </cell>
          <cell r="BE489">
            <v>152079.07999999999</v>
          </cell>
          <cell r="BF489">
            <v>166794.01999999999</v>
          </cell>
          <cell r="BG489">
            <v>7357.84</v>
          </cell>
          <cell r="BH489">
            <v>105825.79</v>
          </cell>
          <cell r="BI489">
            <v>95626.559999999998</v>
          </cell>
          <cell r="BJ489">
            <v>84010.81</v>
          </cell>
          <cell r="BK489">
            <v>99186.21</v>
          </cell>
          <cell r="BL489">
            <v>97798.27</v>
          </cell>
          <cell r="BM489">
            <v>96518.61</v>
          </cell>
          <cell r="BN489">
            <v>135375.22</v>
          </cell>
          <cell r="BO489">
            <v>120103.63</v>
          </cell>
          <cell r="BP489">
            <v>131408.76999999999</v>
          </cell>
          <cell r="BQ489">
            <v>146820.62</v>
          </cell>
          <cell r="BR489">
            <v>133840.75</v>
          </cell>
          <cell r="BS489">
            <v>153032.89000000001</v>
          </cell>
          <cell r="BT489">
            <v>182845.08</v>
          </cell>
          <cell r="BU489">
            <v>158350.85999999999</v>
          </cell>
          <cell r="BV489">
            <v>98433.1</v>
          </cell>
          <cell r="BW489">
            <v>226950.85</v>
          </cell>
          <cell r="BX489">
            <v>141829.95000000001</v>
          </cell>
          <cell r="BY489">
            <v>106522.45</v>
          </cell>
          <cell r="BZ489">
            <v>167256.06</v>
          </cell>
          <cell r="CA489">
            <v>126436.33</v>
          </cell>
          <cell r="CB489">
            <v>131276</v>
          </cell>
          <cell r="CC489">
            <v>142235.04</v>
          </cell>
          <cell r="CD489">
            <v>129342.81</v>
          </cell>
          <cell r="CE489">
            <v>203551</v>
          </cell>
          <cell r="CF489">
            <v>96448.48</v>
          </cell>
          <cell r="CG489">
            <v>153092.37</v>
          </cell>
          <cell r="CH489">
            <v>106483.58</v>
          </cell>
          <cell r="CI489">
            <v>123342.18</v>
          </cell>
          <cell r="CJ489">
            <v>101500.18</v>
          </cell>
          <cell r="CK489">
            <v>118743.99</v>
          </cell>
          <cell r="CL489">
            <v>111743.32</v>
          </cell>
          <cell r="CM489">
            <v>117971</v>
          </cell>
          <cell r="CN489">
            <v>143725.85999999999</v>
          </cell>
          <cell r="CO489">
            <v>188851.66</v>
          </cell>
          <cell r="CP489">
            <v>150783.67999999999</v>
          </cell>
          <cell r="CQ489">
            <v>121963.69</v>
          </cell>
          <cell r="CR489">
            <v>114394.44</v>
          </cell>
          <cell r="CS489">
            <v>121356.86</v>
          </cell>
          <cell r="CT489">
            <v>211928.54</v>
          </cell>
          <cell r="CU489">
            <v>191877.28</v>
          </cell>
          <cell r="CV489">
            <v>134940.84</v>
          </cell>
          <cell r="CW489">
            <v>125534.41</v>
          </cell>
          <cell r="CX489">
            <v>155331.99</v>
          </cell>
          <cell r="CY489">
            <v>153187.4</v>
          </cell>
          <cell r="CZ489">
            <v>184635.94</v>
          </cell>
          <cell r="DA489">
            <v>180419.97</v>
          </cell>
          <cell r="DB489">
            <v>178668.34</v>
          </cell>
          <cell r="DC489">
            <v>218749.17</v>
          </cell>
          <cell r="DD489">
            <v>188932.91</v>
          </cell>
          <cell r="DE489">
            <v>127189.2</v>
          </cell>
          <cell r="DF489">
            <v>177212.14</v>
          </cell>
          <cell r="DG489">
            <v>153436.54</v>
          </cell>
        </row>
        <row r="490">
          <cell r="A490" t="str">
            <v>8920</v>
          </cell>
          <cell r="B490">
            <v>9892000</v>
          </cell>
          <cell r="C490" t="str">
            <v>Gas Dist Main Svcs</v>
          </cell>
          <cell r="D490">
            <v>167251.04999999999</v>
          </cell>
          <cell r="E490">
            <v>100491.68</v>
          </cell>
          <cell r="F490">
            <v>117509.24</v>
          </cell>
          <cell r="G490">
            <v>153657.64000000001</v>
          </cell>
          <cell r="H490">
            <v>114584.85</v>
          </cell>
          <cell r="I490">
            <v>112431.31</v>
          </cell>
          <cell r="J490">
            <v>109846.6</v>
          </cell>
          <cell r="K490">
            <v>139798.91</v>
          </cell>
          <cell r="L490">
            <v>114361.46</v>
          </cell>
          <cell r="M490">
            <v>109653.99</v>
          </cell>
          <cell r="N490">
            <v>108430.6</v>
          </cell>
          <cell r="O490">
            <v>154484.67000000001</v>
          </cell>
          <cell r="P490">
            <v>139524.32999999999</v>
          </cell>
          <cell r="Q490">
            <v>143120.37</v>
          </cell>
          <cell r="R490">
            <v>119919.27</v>
          </cell>
          <cell r="S490">
            <v>133532.35999999999</v>
          </cell>
          <cell r="T490">
            <v>138651.45000000001</v>
          </cell>
          <cell r="U490">
            <v>121842.18</v>
          </cell>
          <cell r="V490">
            <v>137329.26999999999</v>
          </cell>
          <cell r="W490">
            <v>146596.87</v>
          </cell>
          <cell r="X490">
            <v>158019.04999999999</v>
          </cell>
          <cell r="Y490">
            <v>159455.1</v>
          </cell>
          <cell r="Z490">
            <v>163884.13</v>
          </cell>
          <cell r="AA490">
            <v>178772.72</v>
          </cell>
          <cell r="AB490">
            <v>160993.31</v>
          </cell>
          <cell r="AC490">
            <v>162435.14000000001</v>
          </cell>
          <cell r="AD490">
            <v>130655.36</v>
          </cell>
          <cell r="AE490">
            <v>107409.73</v>
          </cell>
          <cell r="AF490">
            <v>132218.59</v>
          </cell>
          <cell r="AG490">
            <v>152418.60999999999</v>
          </cell>
          <cell r="AH490">
            <v>120611.71</v>
          </cell>
          <cell r="AI490">
            <v>134621.46</v>
          </cell>
          <cell r="AJ490">
            <v>125499.72</v>
          </cell>
          <cell r="AK490">
            <v>139772.34</v>
          </cell>
          <cell r="AL490">
            <v>151272.23000000001</v>
          </cell>
          <cell r="AM490">
            <v>172030.92</v>
          </cell>
          <cell r="AN490">
            <v>163986.76</v>
          </cell>
          <cell r="AO490">
            <v>149034.35</v>
          </cell>
          <cell r="AP490">
            <v>145597.68</v>
          </cell>
          <cell r="AQ490">
            <v>123975.96</v>
          </cell>
          <cell r="AR490">
            <v>125010.05</v>
          </cell>
          <cell r="AS490">
            <v>159211.18</v>
          </cell>
          <cell r="AT490">
            <v>134724.25</v>
          </cell>
          <cell r="AU490">
            <v>148102.81</v>
          </cell>
          <cell r="AV490">
            <v>134141.64000000001</v>
          </cell>
          <cell r="AW490">
            <v>158480.76999999999</v>
          </cell>
          <cell r="AX490">
            <v>146220.62</v>
          </cell>
          <cell r="AY490">
            <v>146281.46</v>
          </cell>
          <cell r="AZ490">
            <v>156515.98000000001</v>
          </cell>
          <cell r="BA490">
            <v>150454.25</v>
          </cell>
          <cell r="BB490">
            <v>148387.03</v>
          </cell>
          <cell r="BC490">
            <v>148605.99</v>
          </cell>
          <cell r="BD490">
            <v>181898.84</v>
          </cell>
          <cell r="BE490">
            <v>129804.19</v>
          </cell>
          <cell r="BF490">
            <v>160882.63</v>
          </cell>
          <cell r="BG490">
            <v>148004.38</v>
          </cell>
          <cell r="BH490">
            <v>106826.79</v>
          </cell>
          <cell r="BI490">
            <v>124895.55</v>
          </cell>
          <cell r="BJ490">
            <v>112403.84</v>
          </cell>
          <cell r="BK490">
            <v>175386.2</v>
          </cell>
          <cell r="BL490">
            <v>120671.99</v>
          </cell>
          <cell r="BM490">
            <v>121738.01</v>
          </cell>
          <cell r="BN490">
            <v>144446.81</v>
          </cell>
          <cell r="BO490">
            <v>126093.92</v>
          </cell>
          <cell r="BP490">
            <v>122792.59</v>
          </cell>
          <cell r="BQ490">
            <v>102849.22</v>
          </cell>
          <cell r="BR490">
            <v>136812.26</v>
          </cell>
          <cell r="BS490">
            <v>131698.47</v>
          </cell>
          <cell r="BT490">
            <v>126224.21</v>
          </cell>
          <cell r="BU490">
            <v>192821.93</v>
          </cell>
          <cell r="BV490">
            <v>135639.44</v>
          </cell>
          <cell r="BW490">
            <v>157023.37</v>
          </cell>
          <cell r="BX490">
            <v>140359.15</v>
          </cell>
          <cell r="BY490">
            <v>123502.17</v>
          </cell>
          <cell r="BZ490">
            <v>135557.1</v>
          </cell>
          <cell r="CA490">
            <v>115053.88</v>
          </cell>
          <cell r="CB490">
            <v>108532.66</v>
          </cell>
          <cell r="CC490">
            <v>121965.17</v>
          </cell>
          <cell r="CD490">
            <v>103233.79</v>
          </cell>
          <cell r="CE490">
            <v>126015.31</v>
          </cell>
          <cell r="CF490">
            <v>105367.87</v>
          </cell>
          <cell r="CG490">
            <v>107693.68</v>
          </cell>
          <cell r="CH490">
            <v>109589.4</v>
          </cell>
          <cell r="CI490">
            <v>168151.69</v>
          </cell>
          <cell r="CJ490">
            <v>86886.74</v>
          </cell>
          <cell r="CK490">
            <v>100147.53</v>
          </cell>
          <cell r="CL490">
            <v>102946.6</v>
          </cell>
          <cell r="CM490">
            <v>98212</v>
          </cell>
          <cell r="CN490">
            <v>99466.59</v>
          </cell>
          <cell r="CO490">
            <v>100915.05</v>
          </cell>
          <cell r="CP490">
            <v>104082.89</v>
          </cell>
          <cell r="CQ490">
            <v>132507.51</v>
          </cell>
          <cell r="CR490">
            <v>121938.49</v>
          </cell>
          <cell r="CS490">
            <v>85895.43</v>
          </cell>
          <cell r="CT490">
            <v>110243.98</v>
          </cell>
          <cell r="CU490">
            <v>128476.63</v>
          </cell>
          <cell r="CV490">
            <v>117571.05</v>
          </cell>
          <cell r="CW490">
            <v>83519.98</v>
          </cell>
          <cell r="CX490">
            <v>95316.11</v>
          </cell>
          <cell r="CY490">
            <v>143411.09</v>
          </cell>
          <cell r="CZ490">
            <v>85443.68</v>
          </cell>
          <cell r="DA490">
            <v>112424.32000000001</v>
          </cell>
          <cell r="DB490">
            <v>108470.91</v>
          </cell>
          <cell r="DC490">
            <v>130427.9</v>
          </cell>
          <cell r="DD490">
            <v>122251.09</v>
          </cell>
          <cell r="DE490">
            <v>77686.179999999993</v>
          </cell>
          <cell r="DF490">
            <v>151058.42000000001</v>
          </cell>
          <cell r="DG490">
            <v>245636.77</v>
          </cell>
        </row>
        <row r="491">
          <cell r="A491" t="str">
            <v>8930</v>
          </cell>
          <cell r="B491">
            <v>9893000</v>
          </cell>
          <cell r="C491" t="str">
            <v>Gas Dist Main Meters</v>
          </cell>
          <cell r="D491">
            <v>48908.87</v>
          </cell>
          <cell r="E491">
            <v>43986.65</v>
          </cell>
          <cell r="F491">
            <v>51000.5</v>
          </cell>
          <cell r="G491">
            <v>50793.2</v>
          </cell>
          <cell r="H491">
            <v>43759.17</v>
          </cell>
          <cell r="I491">
            <v>61855.32</v>
          </cell>
          <cell r="J491">
            <v>68678.990000000005</v>
          </cell>
          <cell r="K491">
            <v>53764.1</v>
          </cell>
          <cell r="L491">
            <v>103759.5</v>
          </cell>
          <cell r="M491">
            <v>30376.54</v>
          </cell>
          <cell r="N491">
            <v>79809.320000000007</v>
          </cell>
          <cell r="O491">
            <v>52173.62</v>
          </cell>
          <cell r="P491">
            <v>45504.4</v>
          </cell>
          <cell r="Q491">
            <v>49096.14</v>
          </cell>
          <cell r="R491">
            <v>38881.81</v>
          </cell>
          <cell r="S491">
            <v>44466.52</v>
          </cell>
          <cell r="T491">
            <v>60733.47</v>
          </cell>
          <cell r="U491">
            <v>60677.78</v>
          </cell>
          <cell r="V491">
            <v>44847.3</v>
          </cell>
          <cell r="W491">
            <v>51636.92</v>
          </cell>
          <cell r="X491">
            <v>37161.14</v>
          </cell>
          <cell r="Y491">
            <v>51562.59</v>
          </cell>
          <cell r="Z491">
            <v>60687.73</v>
          </cell>
          <cell r="AA491">
            <v>42319.19</v>
          </cell>
          <cell r="AB491">
            <v>35048.19</v>
          </cell>
          <cell r="AC491">
            <v>44446.16</v>
          </cell>
          <cell r="AD491">
            <v>53023.59</v>
          </cell>
          <cell r="AE491">
            <v>48799.78</v>
          </cell>
          <cell r="AF491">
            <v>42849.73</v>
          </cell>
          <cell r="AG491">
            <v>73341.7</v>
          </cell>
          <cell r="AH491">
            <v>34872.33</v>
          </cell>
          <cell r="AI491">
            <v>58028.4</v>
          </cell>
          <cell r="AJ491">
            <v>34821.08</v>
          </cell>
          <cell r="AK491">
            <v>89320.67</v>
          </cell>
          <cell r="AL491">
            <v>88712.38</v>
          </cell>
          <cell r="AM491">
            <v>76649.31</v>
          </cell>
          <cell r="AN491">
            <v>31529.58</v>
          </cell>
          <cell r="AO491">
            <v>81490.83</v>
          </cell>
          <cell r="AP491">
            <v>61276.61</v>
          </cell>
          <cell r="AQ491">
            <v>44186.04</v>
          </cell>
          <cell r="AR491">
            <v>44455.1</v>
          </cell>
          <cell r="AS491">
            <v>32733.360000000001</v>
          </cell>
          <cell r="AT491">
            <v>47802.53</v>
          </cell>
          <cell r="AU491">
            <v>54267.46</v>
          </cell>
          <cell r="AV491">
            <v>59469.04</v>
          </cell>
          <cell r="AW491">
            <v>74523.19</v>
          </cell>
          <cell r="AX491">
            <v>12005.55</v>
          </cell>
          <cell r="AY491">
            <v>98883.22</v>
          </cell>
          <cell r="AZ491">
            <v>42354.25</v>
          </cell>
          <cell r="BA491">
            <v>75046.81</v>
          </cell>
          <cell r="BB491">
            <v>32210.42</v>
          </cell>
          <cell r="BC491">
            <v>68795.94</v>
          </cell>
          <cell r="BD491">
            <v>79524.86</v>
          </cell>
          <cell r="BE491">
            <v>58415.25</v>
          </cell>
          <cell r="BF491">
            <v>83300.850000000006</v>
          </cell>
          <cell r="BG491">
            <v>68642.92</v>
          </cell>
          <cell r="BH491">
            <v>37128.58</v>
          </cell>
          <cell r="BI491">
            <v>62375.77</v>
          </cell>
          <cell r="BJ491">
            <v>49843.02</v>
          </cell>
          <cell r="BK491">
            <v>54892.74</v>
          </cell>
          <cell r="BL491">
            <v>53555.74</v>
          </cell>
          <cell r="BM491">
            <v>38129.519999999997</v>
          </cell>
          <cell r="BN491">
            <v>65235.06</v>
          </cell>
          <cell r="BO491">
            <v>69599.87</v>
          </cell>
          <cell r="BP491">
            <v>51991.64</v>
          </cell>
          <cell r="BQ491">
            <v>34720.61</v>
          </cell>
          <cell r="BR491">
            <v>81874.25</v>
          </cell>
          <cell r="BS491">
            <v>46697.13</v>
          </cell>
          <cell r="BT491">
            <v>59783.03</v>
          </cell>
          <cell r="BU491">
            <v>54807.48</v>
          </cell>
          <cell r="BV491">
            <v>73542.600000000006</v>
          </cell>
          <cell r="BW491">
            <v>73247.92</v>
          </cell>
          <cell r="BX491">
            <v>58212.59</v>
          </cell>
          <cell r="BY491">
            <v>113692.14</v>
          </cell>
          <cell r="BZ491">
            <v>79085.210000000006</v>
          </cell>
          <cell r="CA491">
            <v>42674.36</v>
          </cell>
          <cell r="CB491">
            <v>57430.7</v>
          </cell>
          <cell r="CC491">
            <v>56797.34</v>
          </cell>
          <cell r="CD491">
            <v>54630.3</v>
          </cell>
          <cell r="CE491">
            <v>54817.01</v>
          </cell>
          <cell r="CF491">
            <v>49886.32</v>
          </cell>
          <cell r="CG491">
            <v>75633.119999999995</v>
          </cell>
          <cell r="CH491">
            <v>72423.28</v>
          </cell>
          <cell r="CI491">
            <v>50426.93</v>
          </cell>
          <cell r="CJ491">
            <v>52156.29</v>
          </cell>
          <cell r="CK491">
            <v>78249.41</v>
          </cell>
          <cell r="CL491">
            <v>65300.33</v>
          </cell>
          <cell r="CM491">
            <v>48723.83</v>
          </cell>
          <cell r="CN491">
            <v>91996.55</v>
          </cell>
          <cell r="CO491">
            <v>46182.85</v>
          </cell>
          <cell r="CP491">
            <v>101578.48</v>
          </cell>
          <cell r="CQ491">
            <v>51537.97</v>
          </cell>
          <cell r="CR491">
            <v>41084.699999999997</v>
          </cell>
          <cell r="CS491">
            <v>63581</v>
          </cell>
          <cell r="CT491">
            <v>72924.02</v>
          </cell>
          <cell r="CU491">
            <v>77918.98</v>
          </cell>
          <cell r="CV491">
            <v>54815.11</v>
          </cell>
          <cell r="CW491">
            <v>60423.199999999997</v>
          </cell>
          <cell r="CX491">
            <v>54470.99</v>
          </cell>
          <cell r="CY491">
            <v>67526.570000000007</v>
          </cell>
          <cell r="CZ491">
            <v>79595.66</v>
          </cell>
          <cell r="DA491">
            <v>58963.12</v>
          </cell>
          <cell r="DB491">
            <v>58654.879999999997</v>
          </cell>
          <cell r="DC491">
            <v>96428.6</v>
          </cell>
          <cell r="DD491">
            <v>44956.29</v>
          </cell>
          <cell r="DE491">
            <v>141773.28</v>
          </cell>
          <cell r="DF491">
            <v>155681.03</v>
          </cell>
          <cell r="DG491">
            <v>159423.54</v>
          </cell>
        </row>
        <row r="492">
          <cell r="A492" t="str">
            <v>8940</v>
          </cell>
          <cell r="B492">
            <v>9894000</v>
          </cell>
          <cell r="C492" t="str">
            <v>Gas Dist Main Oth Eq</v>
          </cell>
          <cell r="D492">
            <v>15615.66</v>
          </cell>
          <cell r="E492">
            <v>4339.78</v>
          </cell>
          <cell r="F492">
            <v>2740.8</v>
          </cell>
          <cell r="G492">
            <v>610.55999999999995</v>
          </cell>
          <cell r="H492">
            <v>40287.629999999997</v>
          </cell>
          <cell r="I492">
            <v>13161.05</v>
          </cell>
          <cell r="J492">
            <v>29066.45</v>
          </cell>
          <cell r="K492">
            <v>-23618.85</v>
          </cell>
          <cell r="L492">
            <v>29332.37</v>
          </cell>
          <cell r="M492">
            <v>6759.42</v>
          </cell>
          <cell r="N492">
            <v>-13568.16</v>
          </cell>
          <cell r="O492">
            <v>8402.57</v>
          </cell>
          <cell r="P492">
            <v>7713.13</v>
          </cell>
          <cell r="Q492">
            <v>6838.86</v>
          </cell>
          <cell r="R492">
            <v>31346.080000000002</v>
          </cell>
          <cell r="S492">
            <v>6856.97</v>
          </cell>
          <cell r="T492">
            <v>6595.38</v>
          </cell>
          <cell r="U492">
            <v>6645.16</v>
          </cell>
          <cell r="V492">
            <v>4103.28</v>
          </cell>
          <cell r="W492">
            <v>6276.53</v>
          </cell>
          <cell r="X492">
            <v>5812.57</v>
          </cell>
          <cell r="Y492">
            <v>6167.13</v>
          </cell>
          <cell r="Z492">
            <v>3929.4</v>
          </cell>
          <cell r="AA492">
            <v>8444.23</v>
          </cell>
          <cell r="AB492">
            <v>2291.13</v>
          </cell>
          <cell r="AC492">
            <v>15837.82</v>
          </cell>
          <cell r="AD492">
            <v>8214.32</v>
          </cell>
          <cell r="AE492">
            <v>2495.11</v>
          </cell>
          <cell r="AF492">
            <v>-6527.7</v>
          </cell>
          <cell r="AG492">
            <v>1912.44</v>
          </cell>
          <cell r="AH492">
            <v>6022.04</v>
          </cell>
          <cell r="AI492">
            <v>30539.599999999999</v>
          </cell>
          <cell r="AJ492">
            <v>-23829.23</v>
          </cell>
          <cell r="AK492">
            <v>3188.58</v>
          </cell>
          <cell r="AL492">
            <v>6954.14</v>
          </cell>
          <cell r="AM492">
            <v>8278.7900000000009</v>
          </cell>
          <cell r="AN492">
            <v>4199.6899999999996</v>
          </cell>
          <cell r="AO492">
            <v>16231.03</v>
          </cell>
          <cell r="AP492">
            <v>8344.85</v>
          </cell>
          <cell r="AQ492">
            <v>3382.96</v>
          </cell>
          <cell r="AR492">
            <v>6377.11</v>
          </cell>
          <cell r="AS492">
            <v>8186.95</v>
          </cell>
          <cell r="AT492">
            <v>4885.72</v>
          </cell>
          <cell r="AU492">
            <v>8474.59</v>
          </cell>
          <cell r="AV492">
            <v>9893.58</v>
          </cell>
          <cell r="AW492">
            <v>5896.63</v>
          </cell>
          <cell r="AX492">
            <v>10950.38</v>
          </cell>
          <cell r="AY492">
            <v>4204.6499999999996</v>
          </cell>
          <cell r="AZ492">
            <v>1942.41</v>
          </cell>
          <cell r="BA492">
            <v>10470.35</v>
          </cell>
          <cell r="BB492">
            <v>7918.67</v>
          </cell>
          <cell r="BC492">
            <v>7075.78</v>
          </cell>
          <cell r="BD492">
            <v>10184.43</v>
          </cell>
          <cell r="BE492">
            <v>10872.81</v>
          </cell>
          <cell r="BF492">
            <v>5697.96</v>
          </cell>
          <cell r="BG492">
            <v>6314.39</v>
          </cell>
          <cell r="BH492">
            <v>2900.88</v>
          </cell>
          <cell r="BI492">
            <v>3215.47</v>
          </cell>
          <cell r="BJ492">
            <v>3047.18</v>
          </cell>
          <cell r="BK492">
            <v>7187.66</v>
          </cell>
          <cell r="BL492">
            <v>3219.2</v>
          </cell>
          <cell r="BM492">
            <v>2944.59</v>
          </cell>
          <cell r="BN492">
            <v>7907.42</v>
          </cell>
          <cell r="BO492">
            <v>10604.12</v>
          </cell>
          <cell r="BP492">
            <v>3555.37</v>
          </cell>
          <cell r="BQ492">
            <v>11523.88</v>
          </cell>
          <cell r="BR492">
            <v>-3438.29</v>
          </cell>
          <cell r="BS492">
            <v>9333.33</v>
          </cell>
          <cell r="BT492">
            <v>3167.97</v>
          </cell>
          <cell r="BU492">
            <v>2584.6999999999998</v>
          </cell>
          <cell r="BV492">
            <v>4495.13</v>
          </cell>
          <cell r="BW492">
            <v>19856.349999999999</v>
          </cell>
          <cell r="BX492">
            <v>10660.42</v>
          </cell>
          <cell r="BY492">
            <v>-3780.94</v>
          </cell>
          <cell r="BZ492">
            <v>5650.74</v>
          </cell>
          <cell r="CA492">
            <v>4960.62</v>
          </cell>
          <cell r="CB492">
            <v>2376.64</v>
          </cell>
          <cell r="CC492">
            <v>2260.4</v>
          </cell>
          <cell r="CD492">
            <v>2800.68</v>
          </cell>
          <cell r="CE492">
            <v>1499.05</v>
          </cell>
          <cell r="CF492">
            <v>762.1</v>
          </cell>
          <cell r="CG492">
            <v>7709.32</v>
          </cell>
          <cell r="CH492">
            <v>11592.63</v>
          </cell>
          <cell r="CI492">
            <v>2739.37</v>
          </cell>
          <cell r="CJ492">
            <v>7994.63</v>
          </cell>
          <cell r="CK492">
            <v>10335.85</v>
          </cell>
          <cell r="CL492">
            <v>8225.98</v>
          </cell>
          <cell r="CM492">
            <v>21592.63</v>
          </cell>
          <cell r="CN492">
            <v>-5847.4</v>
          </cell>
          <cell r="CO492">
            <v>4174.8599999999997</v>
          </cell>
          <cell r="CP492">
            <v>5127.4399999999996</v>
          </cell>
          <cell r="CQ492">
            <v>1144.6099999999999</v>
          </cell>
          <cell r="CR492">
            <v>3633.37</v>
          </cell>
          <cell r="CS492">
            <v>3718.68</v>
          </cell>
          <cell r="CT492">
            <v>2406.3000000000002</v>
          </cell>
          <cell r="CU492">
            <v>11981.19</v>
          </cell>
          <cell r="CV492">
            <v>11253.77</v>
          </cell>
          <cell r="CW492">
            <v>2654.36</v>
          </cell>
          <cell r="CX492">
            <v>745.44</v>
          </cell>
          <cell r="CY492">
            <v>10964.87</v>
          </cell>
          <cell r="CZ492">
            <v>8569.8700000000008</v>
          </cell>
          <cell r="DA492">
            <v>2495.61</v>
          </cell>
          <cell r="DB492">
            <v>9047.19</v>
          </cell>
          <cell r="DC492">
            <v>12656.51</v>
          </cell>
          <cell r="DD492">
            <v>6282.65</v>
          </cell>
          <cell r="DE492">
            <v>4975.0200000000004</v>
          </cell>
          <cell r="DF492">
            <v>11418.3</v>
          </cell>
          <cell r="DG492">
            <v>14657.45</v>
          </cell>
        </row>
        <row r="493">
          <cell r="A493" t="str">
            <v>9020</v>
          </cell>
          <cell r="B493">
            <v>9902000</v>
          </cell>
          <cell r="C493" t="str">
            <v>Cust Act Meter Read</v>
          </cell>
          <cell r="D493">
            <v>87895.29</v>
          </cell>
          <cell r="E493">
            <v>106317.72</v>
          </cell>
          <cell r="F493">
            <v>113516.07</v>
          </cell>
          <cell r="G493">
            <v>84308.62</v>
          </cell>
          <cell r="H493">
            <v>117838.9</v>
          </cell>
          <cell r="I493">
            <v>93569.919999999998</v>
          </cell>
          <cell r="J493">
            <v>110031.88</v>
          </cell>
          <cell r="K493">
            <v>108083.93</v>
          </cell>
          <cell r="L493">
            <v>107259.18</v>
          </cell>
          <cell r="M493">
            <v>87976.42</v>
          </cell>
          <cell r="N493">
            <v>85814.080000000002</v>
          </cell>
          <cell r="O493">
            <v>101337.65</v>
          </cell>
          <cell r="P493">
            <v>94610.35</v>
          </cell>
          <cell r="Q493">
            <v>90051.27</v>
          </cell>
          <cell r="R493">
            <v>88766.77</v>
          </cell>
          <cell r="S493">
            <v>77446.960000000006</v>
          </cell>
          <cell r="T493">
            <v>97816.16</v>
          </cell>
          <cell r="U493">
            <v>89504.35</v>
          </cell>
          <cell r="V493">
            <v>106743.38</v>
          </cell>
          <cell r="W493">
            <v>82179.44</v>
          </cell>
          <cell r="X493">
            <v>98336.51</v>
          </cell>
          <cell r="Y493">
            <v>102100.61</v>
          </cell>
          <cell r="Z493">
            <v>86740.86</v>
          </cell>
          <cell r="AA493">
            <v>90980.63</v>
          </cell>
          <cell r="AB493">
            <v>97396.71</v>
          </cell>
          <cell r="AC493">
            <v>92335.34</v>
          </cell>
          <cell r="AD493">
            <v>95834.97</v>
          </cell>
          <cell r="AE493">
            <v>85137.42</v>
          </cell>
          <cell r="AF493">
            <v>76429.11</v>
          </cell>
          <cell r="AG493">
            <v>132820.20000000001</v>
          </cell>
          <cell r="AH493">
            <v>97079.75</v>
          </cell>
          <cell r="AI493">
            <v>110866.58</v>
          </cell>
          <cell r="AJ493">
            <v>105939.25</v>
          </cell>
          <cell r="AK493">
            <v>95987.47</v>
          </cell>
          <cell r="AL493">
            <v>109029.36</v>
          </cell>
          <cell r="AM493">
            <v>109775.35</v>
          </cell>
          <cell r="AN493">
            <v>101119.29</v>
          </cell>
          <cell r="AO493">
            <v>116471.45</v>
          </cell>
          <cell r="AP493">
            <v>118144.85</v>
          </cell>
          <cell r="AQ493">
            <v>92473.51</v>
          </cell>
          <cell r="AR493">
            <v>87638.43</v>
          </cell>
          <cell r="AS493">
            <v>117477.03</v>
          </cell>
          <cell r="AT493">
            <v>100359.83</v>
          </cell>
          <cell r="AU493">
            <v>127148.43</v>
          </cell>
          <cell r="AV493">
            <v>106242.86</v>
          </cell>
          <cell r="AW493">
            <v>108795.57</v>
          </cell>
          <cell r="AX493">
            <v>104994.05</v>
          </cell>
          <cell r="AY493">
            <v>95940.479999999996</v>
          </cell>
          <cell r="AZ493">
            <v>98149.03</v>
          </cell>
          <cell r="BA493">
            <v>98503.32</v>
          </cell>
          <cell r="BB493">
            <v>85238.26</v>
          </cell>
          <cell r="BC493">
            <v>96884.79</v>
          </cell>
          <cell r="BD493">
            <v>92122.76</v>
          </cell>
          <cell r="BE493">
            <v>69201.58</v>
          </cell>
          <cell r="BF493">
            <v>73210.95</v>
          </cell>
          <cell r="BG493">
            <v>121077.79</v>
          </cell>
          <cell r="BH493">
            <v>98809.38</v>
          </cell>
          <cell r="BI493">
            <v>90501.34</v>
          </cell>
          <cell r="BJ493">
            <v>83916.78</v>
          </cell>
          <cell r="BK493">
            <v>90102.71</v>
          </cell>
          <cell r="BL493">
            <v>81901.570000000007</v>
          </cell>
          <cell r="BM493">
            <v>93429.74</v>
          </cell>
          <cell r="BN493">
            <v>83864.850000000006</v>
          </cell>
          <cell r="BO493">
            <v>97481.63</v>
          </cell>
          <cell r="BP493">
            <v>85505.22</v>
          </cell>
          <cell r="BQ493">
            <v>103177.16</v>
          </cell>
          <cell r="BR493">
            <v>86471.87</v>
          </cell>
          <cell r="BS493">
            <v>92417.87</v>
          </cell>
          <cell r="BT493">
            <v>115851.95</v>
          </cell>
          <cell r="BU493">
            <v>118771.36</v>
          </cell>
          <cell r="BV493">
            <v>99036.06</v>
          </cell>
          <cell r="BW493">
            <v>135458.60999999999</v>
          </cell>
          <cell r="BX493">
            <v>132367.16</v>
          </cell>
          <cell r="BY493">
            <v>120012.5</v>
          </cell>
          <cell r="BZ493">
            <v>101124.44</v>
          </cell>
          <cell r="CA493">
            <v>132248.82</v>
          </cell>
          <cell r="CB493">
            <v>23187.7</v>
          </cell>
          <cell r="CC493">
            <v>116151.47</v>
          </cell>
          <cell r="CD493">
            <v>137012.43</v>
          </cell>
          <cell r="CE493">
            <v>90913.61</v>
          </cell>
          <cell r="CF493">
            <v>123981.43</v>
          </cell>
          <cell r="CG493">
            <v>131807.85999999999</v>
          </cell>
          <cell r="CH493">
            <v>74887.509999999995</v>
          </cell>
          <cell r="CI493">
            <v>10811.69</v>
          </cell>
          <cell r="CJ493">
            <v>94550.58</v>
          </cell>
          <cell r="CK493">
            <v>78540.55</v>
          </cell>
          <cell r="CL493">
            <v>91286.26</v>
          </cell>
          <cell r="CM493">
            <v>120439.41</v>
          </cell>
          <cell r="CN493">
            <v>104898.73</v>
          </cell>
          <cell r="CO493">
            <v>87518.89</v>
          </cell>
          <cell r="CP493">
            <v>94239.34</v>
          </cell>
          <cell r="CQ493">
            <v>144431.34</v>
          </cell>
          <cell r="CR493">
            <v>101694.44</v>
          </cell>
          <cell r="CS493">
            <v>105523.38</v>
          </cell>
          <cell r="CT493">
            <v>118172.21</v>
          </cell>
          <cell r="CU493">
            <v>91230.29</v>
          </cell>
          <cell r="CV493">
            <v>124150.56</v>
          </cell>
          <cell r="CW493">
            <v>96916.91</v>
          </cell>
          <cell r="CX493">
            <v>113770.82</v>
          </cell>
          <cell r="CY493">
            <v>139369.88</v>
          </cell>
          <cell r="CZ493">
            <v>142943.24</v>
          </cell>
          <cell r="DA493">
            <v>110607.85</v>
          </cell>
          <cell r="DB493">
            <v>116534.34</v>
          </cell>
          <cell r="DC493">
            <v>131713.25</v>
          </cell>
          <cell r="DD493">
            <v>97496.41</v>
          </cell>
          <cell r="DE493">
            <v>125913.41</v>
          </cell>
          <cell r="DF493">
            <v>99876.38</v>
          </cell>
          <cell r="DG493">
            <v>85060.34</v>
          </cell>
        </row>
        <row r="494">
          <cell r="A494" t="str">
            <v>9030</v>
          </cell>
          <cell r="B494">
            <v>9903000</v>
          </cell>
          <cell r="C494" t="str">
            <v>Cust Act Rcds Cllct</v>
          </cell>
          <cell r="D494">
            <v>564102.52</v>
          </cell>
          <cell r="E494">
            <v>495819.48</v>
          </cell>
          <cell r="F494">
            <v>544679.94999999995</v>
          </cell>
          <cell r="G494">
            <v>531836.18000000005</v>
          </cell>
          <cell r="H494">
            <v>548316.36</v>
          </cell>
          <cell r="I494">
            <v>489683.59</v>
          </cell>
          <cell r="J494">
            <v>592653.68999999994</v>
          </cell>
          <cell r="K494">
            <v>606590.66</v>
          </cell>
          <cell r="L494">
            <v>443609.99</v>
          </cell>
          <cell r="M494">
            <v>500348.45</v>
          </cell>
          <cell r="N494">
            <v>464232.39</v>
          </cell>
          <cell r="O494">
            <v>582793.32999999996</v>
          </cell>
          <cell r="P494">
            <v>411291.22</v>
          </cell>
          <cell r="Q494">
            <v>398955.11</v>
          </cell>
          <cell r="R494">
            <v>422449.06</v>
          </cell>
          <cell r="S494">
            <v>388151.03999999998</v>
          </cell>
          <cell r="T494">
            <v>342736.99</v>
          </cell>
          <cell r="U494">
            <v>475077.07</v>
          </cell>
          <cell r="V494">
            <v>422207.11</v>
          </cell>
          <cell r="W494">
            <v>369243.72</v>
          </cell>
          <cell r="X494">
            <v>401585.36</v>
          </cell>
          <cell r="Y494">
            <v>420753.38</v>
          </cell>
          <cell r="Z494">
            <v>455828.46</v>
          </cell>
          <cell r="AA494">
            <v>1777047.25</v>
          </cell>
          <cell r="AB494">
            <v>490761.56</v>
          </cell>
          <cell r="AC494">
            <v>507410.46</v>
          </cell>
          <cell r="AD494">
            <v>511550.24</v>
          </cell>
          <cell r="AE494">
            <v>590741.73</v>
          </cell>
          <cell r="AF494">
            <v>520688.91</v>
          </cell>
          <cell r="AG494">
            <v>482930.58</v>
          </cell>
          <cell r="AH494">
            <v>447838.78</v>
          </cell>
          <cell r="AI494">
            <v>644704.92000000004</v>
          </cell>
          <cell r="AJ494">
            <v>611801.38</v>
          </cell>
          <cell r="AK494">
            <v>504569.1</v>
          </cell>
          <cell r="AL494">
            <v>523146.89</v>
          </cell>
          <cell r="AM494">
            <v>1332151.51</v>
          </cell>
          <cell r="AN494">
            <v>882622.22</v>
          </cell>
          <cell r="AO494">
            <v>952412.83</v>
          </cell>
          <cell r="AP494">
            <v>770157.86</v>
          </cell>
          <cell r="AQ494">
            <v>1005588.32</v>
          </cell>
          <cell r="AR494">
            <v>935816.62</v>
          </cell>
          <cell r="AS494">
            <v>1051170.25</v>
          </cell>
          <cell r="AT494">
            <v>935673.23</v>
          </cell>
          <cell r="AU494">
            <v>979524.96</v>
          </cell>
          <cell r="AV494">
            <v>808888.38</v>
          </cell>
          <cell r="AW494">
            <v>1020002.39</v>
          </cell>
          <cell r="AX494">
            <v>990150.1</v>
          </cell>
          <cell r="AY494">
            <v>1025996.19</v>
          </cell>
          <cell r="AZ494">
            <v>988372.14</v>
          </cell>
          <cell r="BA494">
            <v>893929.76</v>
          </cell>
          <cell r="BB494">
            <v>968266.86</v>
          </cell>
          <cell r="BC494">
            <v>893322.41</v>
          </cell>
          <cell r="BD494">
            <v>1030658.65</v>
          </cell>
          <cell r="BE494">
            <v>1006257.68</v>
          </cell>
          <cell r="BF494">
            <v>1030459.41</v>
          </cell>
          <cell r="BG494">
            <v>776790.88</v>
          </cell>
          <cell r="BH494">
            <v>902888.95999999996</v>
          </cell>
          <cell r="BI494">
            <v>1124983.07</v>
          </cell>
          <cell r="BJ494">
            <v>857699.15</v>
          </cell>
          <cell r="BK494">
            <v>940794.03</v>
          </cell>
          <cell r="BL494">
            <v>987294.39</v>
          </cell>
          <cell r="BM494">
            <v>1045801.78</v>
          </cell>
          <cell r="BN494">
            <v>985859.72</v>
          </cell>
          <cell r="BO494">
            <v>944318.09</v>
          </cell>
          <cell r="BP494">
            <v>1207035.28</v>
          </cell>
          <cell r="BQ494">
            <v>945466.74</v>
          </cell>
          <cell r="BR494">
            <v>970605.12</v>
          </cell>
          <cell r="BS494">
            <v>1100377.1499999999</v>
          </cell>
          <cell r="BT494">
            <v>970700.99</v>
          </cell>
          <cell r="BU494">
            <v>1003060.34</v>
          </cell>
          <cell r="BV494">
            <v>970778.8</v>
          </cell>
          <cell r="BW494">
            <v>1069188.8400000001</v>
          </cell>
          <cell r="BX494">
            <v>842038.04</v>
          </cell>
          <cell r="BY494">
            <v>978980.36</v>
          </cell>
          <cell r="BZ494">
            <v>1025093.17</v>
          </cell>
          <cell r="CA494">
            <v>1000004.97</v>
          </cell>
          <cell r="CB494">
            <v>1070301.79</v>
          </cell>
          <cell r="CC494">
            <v>878785.97</v>
          </cell>
          <cell r="CD494">
            <v>1046274.75</v>
          </cell>
          <cell r="CE494">
            <v>906402.73</v>
          </cell>
          <cell r="CF494">
            <v>944993.37</v>
          </cell>
          <cell r="CG494">
            <v>999650.66</v>
          </cell>
          <cell r="CH494">
            <v>1017438.64</v>
          </cell>
          <cell r="CI494">
            <v>1019241.79</v>
          </cell>
          <cell r="CJ494">
            <v>1036375.83</v>
          </cell>
          <cell r="CK494">
            <v>1043327.3</v>
          </cell>
          <cell r="CL494">
            <v>1040088.55</v>
          </cell>
          <cell r="CM494">
            <v>1017148.63</v>
          </cell>
          <cell r="CN494">
            <v>1012265.39</v>
          </cell>
          <cell r="CO494">
            <v>1243630.8899999999</v>
          </cell>
          <cell r="CP494">
            <v>999711.12</v>
          </cell>
          <cell r="CQ494">
            <v>983626.12</v>
          </cell>
          <cell r="CR494">
            <v>940274.05</v>
          </cell>
          <cell r="CS494">
            <v>976548.38</v>
          </cell>
          <cell r="CT494">
            <v>1214697.6100000001</v>
          </cell>
          <cell r="CU494">
            <v>1182009.3899999999</v>
          </cell>
          <cell r="CV494">
            <v>1085007.32</v>
          </cell>
          <cell r="CW494">
            <v>1010256.2</v>
          </cell>
          <cell r="CX494">
            <v>1155492.28</v>
          </cell>
          <cell r="CY494">
            <v>1213928.19</v>
          </cell>
          <cell r="CZ494">
            <v>1141607.8</v>
          </cell>
          <cell r="DA494">
            <v>1091262.44</v>
          </cell>
          <cell r="DB494">
            <v>1068383.19</v>
          </cell>
          <cell r="DC494">
            <v>1197223.93</v>
          </cell>
          <cell r="DD494">
            <v>1105070.3400000001</v>
          </cell>
          <cell r="DE494">
            <v>1077169.23</v>
          </cell>
          <cell r="DF494">
            <v>1020831.11</v>
          </cell>
          <cell r="DG494">
            <v>1025691.37</v>
          </cell>
        </row>
        <row r="495">
          <cell r="A495" t="str">
            <v>9040</v>
          </cell>
          <cell r="B495">
            <v>9904000</v>
          </cell>
          <cell r="C495" t="str">
            <v>Cust Uncollect Act</v>
          </cell>
          <cell r="D495">
            <v>97804.19</v>
          </cell>
          <cell r="E495">
            <v>82692.84</v>
          </cell>
          <cell r="F495">
            <v>70286.490000000005</v>
          </cell>
          <cell r="G495">
            <v>65725.16</v>
          </cell>
          <cell r="H495">
            <v>54158.16</v>
          </cell>
          <cell r="I495">
            <v>53695.25</v>
          </cell>
          <cell r="J495">
            <v>52342.2</v>
          </cell>
          <cell r="K495">
            <v>51660.88</v>
          </cell>
          <cell r="L495">
            <v>70514.58</v>
          </cell>
          <cell r="M495">
            <v>59189.55</v>
          </cell>
          <cell r="N495">
            <v>65188.66</v>
          </cell>
          <cell r="O495">
            <v>85258.13</v>
          </cell>
          <cell r="P495">
            <v>93028.45</v>
          </cell>
          <cell r="Q495">
            <v>107974.73</v>
          </cell>
          <cell r="R495">
            <v>83578.3</v>
          </cell>
          <cell r="S495">
            <v>68383.14</v>
          </cell>
          <cell r="T495">
            <v>60045.99</v>
          </cell>
          <cell r="U495">
            <v>62134.94</v>
          </cell>
          <cell r="V495">
            <v>58948.7</v>
          </cell>
          <cell r="W495">
            <v>56115.31</v>
          </cell>
          <cell r="X495">
            <v>51768.56</v>
          </cell>
          <cell r="Y495">
            <v>51341.64</v>
          </cell>
          <cell r="Z495">
            <v>53788.18</v>
          </cell>
          <cell r="AA495">
            <v>59504.91</v>
          </cell>
          <cell r="AB495">
            <v>74274.12</v>
          </cell>
          <cell r="AC495">
            <v>78933.679999999993</v>
          </cell>
          <cell r="AD495">
            <v>62765.72</v>
          </cell>
          <cell r="AE495">
            <v>54382.35</v>
          </cell>
          <cell r="AF495">
            <v>46770.37</v>
          </cell>
          <cell r="AG495">
            <v>45252.35</v>
          </cell>
          <cell r="AH495">
            <v>44995.9</v>
          </cell>
          <cell r="AI495">
            <v>45495.18</v>
          </cell>
          <cell r="AJ495">
            <v>49920.85</v>
          </cell>
          <cell r="AK495">
            <v>50283.05</v>
          </cell>
          <cell r="AL495">
            <v>57802.77</v>
          </cell>
          <cell r="AM495">
            <v>-682282.52</v>
          </cell>
          <cell r="AN495">
            <v>76995.02</v>
          </cell>
          <cell r="AO495">
            <v>54207.81</v>
          </cell>
          <cell r="AP495">
            <v>145179.68</v>
          </cell>
          <cell r="AQ495">
            <v>165397.71</v>
          </cell>
          <cell r="AR495">
            <v>46453.84</v>
          </cell>
          <cell r="AS495">
            <v>68074.42</v>
          </cell>
          <cell r="AT495">
            <v>154655.26</v>
          </cell>
          <cell r="AU495">
            <v>195006.49</v>
          </cell>
          <cell r="AV495">
            <v>289967.14</v>
          </cell>
          <cell r="AW495">
            <v>240698.39</v>
          </cell>
          <cell r="AX495">
            <v>112863.83</v>
          </cell>
          <cell r="AY495">
            <v>58467.89</v>
          </cell>
          <cell r="AZ495">
            <v>168961.33</v>
          </cell>
          <cell r="BA495">
            <v>-38525.449999999997</v>
          </cell>
          <cell r="BB495">
            <v>43301.16</v>
          </cell>
          <cell r="BC495">
            <v>143130.59</v>
          </cell>
          <cell r="BD495">
            <v>143320.99</v>
          </cell>
          <cell r="BE495">
            <v>90887.9</v>
          </cell>
          <cell r="BF495">
            <v>145585.75</v>
          </cell>
          <cell r="BG495">
            <v>126038.48</v>
          </cell>
          <cell r="BH495">
            <v>107666.72</v>
          </cell>
          <cell r="BI495">
            <v>116781.94</v>
          </cell>
          <cell r="BJ495">
            <v>134630.57</v>
          </cell>
          <cell r="BK495">
            <v>247068.93</v>
          </cell>
          <cell r="BL495">
            <v>138773.31</v>
          </cell>
          <cell r="BM495">
            <v>81454.31</v>
          </cell>
          <cell r="BN495">
            <v>159889.56</v>
          </cell>
          <cell r="BO495">
            <v>233621</v>
          </cell>
          <cell r="BP495">
            <v>86929.16</v>
          </cell>
          <cell r="BQ495">
            <v>63624.33</v>
          </cell>
          <cell r="BR495">
            <v>75912.66</v>
          </cell>
          <cell r="BS495">
            <v>75049.919999999998</v>
          </cell>
          <cell r="BT495">
            <v>110212.54</v>
          </cell>
          <cell r="BU495">
            <v>69666.13</v>
          </cell>
          <cell r="BV495">
            <v>82098.64</v>
          </cell>
          <cell r="BW495">
            <v>86964.55</v>
          </cell>
          <cell r="BX495">
            <v>123636.72</v>
          </cell>
          <cell r="BY495">
            <v>7329.83</v>
          </cell>
          <cell r="BZ495">
            <v>176173.92</v>
          </cell>
          <cell r="CA495">
            <v>224333.44</v>
          </cell>
          <cell r="CB495">
            <v>232939.77</v>
          </cell>
          <cell r="CC495">
            <v>265926.84999999998</v>
          </cell>
          <cell r="CD495">
            <v>203420.81</v>
          </cell>
          <cell r="CE495">
            <v>-322058.40000000002</v>
          </cell>
          <cell r="CF495">
            <v>169282.07</v>
          </cell>
          <cell r="CG495">
            <v>893944.83</v>
          </cell>
          <cell r="CH495">
            <v>204824.7</v>
          </cell>
          <cell r="CI495">
            <v>-313308.84000000003</v>
          </cell>
          <cell r="CJ495">
            <v>282197.19</v>
          </cell>
          <cell r="CK495">
            <v>218948.86</v>
          </cell>
          <cell r="CL495">
            <v>-291477.07</v>
          </cell>
          <cell r="CM495">
            <v>211401.44</v>
          </cell>
          <cell r="CN495">
            <v>178845.64</v>
          </cell>
          <cell r="CO495">
            <v>128740.2</v>
          </cell>
          <cell r="CP495">
            <v>172822.22</v>
          </cell>
          <cell r="CQ495">
            <v>163962.43</v>
          </cell>
          <cell r="CR495">
            <v>148518.26</v>
          </cell>
          <cell r="CS495">
            <v>191030.26</v>
          </cell>
          <cell r="CT495">
            <v>45370.22</v>
          </cell>
          <cell r="CU495">
            <v>122363.13</v>
          </cell>
          <cell r="CV495">
            <v>142723.4</v>
          </cell>
          <cell r="CW495">
            <v>32303.99</v>
          </cell>
          <cell r="CX495">
            <v>104964.45</v>
          </cell>
          <cell r="CY495">
            <v>2052.12</v>
          </cell>
          <cell r="CZ495">
            <v>124809.87</v>
          </cell>
          <cell r="DA495">
            <v>168268.32</v>
          </cell>
          <cell r="DB495">
            <v>115013.96</v>
          </cell>
          <cell r="DC495">
            <v>209525.8</v>
          </cell>
          <cell r="DD495">
            <v>110156.43</v>
          </cell>
          <cell r="DE495">
            <v>108616.66</v>
          </cell>
          <cell r="DF495">
            <v>36241.58</v>
          </cell>
          <cell r="DG495">
            <v>-163884.82999999999</v>
          </cell>
        </row>
        <row r="496">
          <cell r="A496" t="str">
            <v>9080</v>
          </cell>
          <cell r="B496">
            <v>9908000</v>
          </cell>
          <cell r="C496" t="str">
            <v>Cust Assist Exp</v>
          </cell>
          <cell r="D496">
            <v>979889.82</v>
          </cell>
          <cell r="E496">
            <v>689721.67</v>
          </cell>
          <cell r="F496">
            <v>685075.35</v>
          </cell>
          <cell r="G496">
            <v>786390.8</v>
          </cell>
          <cell r="H496">
            <v>719214.5</v>
          </cell>
          <cell r="I496">
            <v>774677.95</v>
          </cell>
          <cell r="J496">
            <v>1179321.8500000001</v>
          </cell>
          <cell r="K496">
            <v>758587.99</v>
          </cell>
          <cell r="L496">
            <v>948777.18</v>
          </cell>
          <cell r="M496">
            <v>902144.24</v>
          </cell>
          <cell r="N496">
            <v>857173.84</v>
          </cell>
          <cell r="O496">
            <v>698261.84</v>
          </cell>
          <cell r="P496">
            <v>1259913.53</v>
          </cell>
          <cell r="Q496">
            <v>824310.27</v>
          </cell>
          <cell r="R496">
            <v>1016935.54</v>
          </cell>
          <cell r="S496">
            <v>771359.12</v>
          </cell>
          <cell r="T496">
            <v>1023767.49</v>
          </cell>
          <cell r="U496">
            <v>888991.91</v>
          </cell>
          <cell r="V496">
            <v>888769.33</v>
          </cell>
          <cell r="W496">
            <v>910290.32</v>
          </cell>
          <cell r="X496">
            <v>886279.68000000005</v>
          </cell>
          <cell r="Y496">
            <v>1119872.03</v>
          </cell>
          <cell r="Z496">
            <v>847945.39</v>
          </cell>
          <cell r="AA496">
            <v>775580.44</v>
          </cell>
          <cell r="AB496">
            <v>987682.01</v>
          </cell>
          <cell r="AC496">
            <v>911257.27</v>
          </cell>
          <cell r="AD496">
            <v>954468.4</v>
          </cell>
          <cell r="AE496">
            <v>830054.02</v>
          </cell>
          <cell r="AF496">
            <v>1113469.03</v>
          </cell>
          <cell r="AG496">
            <v>1092779.42</v>
          </cell>
          <cell r="AH496">
            <v>970740.7</v>
          </cell>
          <cell r="AI496">
            <v>1119985.77</v>
          </cell>
          <cell r="AJ496">
            <v>821350.73</v>
          </cell>
          <cell r="AK496">
            <v>1137381.32</v>
          </cell>
          <cell r="AL496">
            <v>830814.05</v>
          </cell>
          <cell r="AM496">
            <v>1456647.51</v>
          </cell>
          <cell r="AN496">
            <v>346891.99</v>
          </cell>
          <cell r="AO496">
            <v>634285.49</v>
          </cell>
          <cell r="AP496">
            <v>874689.58</v>
          </cell>
          <cell r="AQ496">
            <v>851297.21</v>
          </cell>
          <cell r="AR496">
            <v>1353653.4</v>
          </cell>
          <cell r="AS496">
            <v>1431345.82</v>
          </cell>
          <cell r="AT496">
            <v>1403693.14</v>
          </cell>
          <cell r="AU496">
            <v>1592701.57</v>
          </cell>
          <cell r="AV496">
            <v>1267586.3999999999</v>
          </cell>
          <cell r="AW496">
            <v>1568137.8</v>
          </cell>
          <cell r="AX496">
            <v>1125735.6299999999</v>
          </cell>
          <cell r="AY496">
            <v>963681.4</v>
          </cell>
          <cell r="AZ496">
            <v>1279446.1000000001</v>
          </cell>
          <cell r="BA496">
            <v>1562693.04</v>
          </cell>
          <cell r="BB496">
            <v>1744607.14</v>
          </cell>
          <cell r="BC496">
            <v>2593722.4300000002</v>
          </cell>
          <cell r="BD496">
            <v>998823.23</v>
          </cell>
          <cell r="BE496">
            <v>1023143.05</v>
          </cell>
          <cell r="BF496">
            <v>1976514.55</v>
          </cell>
          <cell r="BG496">
            <v>1390967.56</v>
          </cell>
          <cell r="BH496">
            <v>891641.1</v>
          </cell>
          <cell r="BI496">
            <v>1686545.01</v>
          </cell>
          <cell r="BJ496">
            <v>985064.18</v>
          </cell>
          <cell r="BK496">
            <v>1298484.99</v>
          </cell>
          <cell r="BL496">
            <v>1640927.34</v>
          </cell>
          <cell r="BM496">
            <v>783425.63</v>
          </cell>
          <cell r="BN496">
            <v>1033853.11</v>
          </cell>
          <cell r="BO496">
            <v>1190321.1000000001</v>
          </cell>
          <cell r="BP496">
            <v>984202.04</v>
          </cell>
          <cell r="BQ496">
            <v>1763188.4</v>
          </cell>
          <cell r="BR496">
            <v>2027281.84</v>
          </cell>
          <cell r="BS496">
            <v>1353335.75</v>
          </cell>
          <cell r="BT496">
            <v>936932.08</v>
          </cell>
          <cell r="BU496">
            <v>1254654.1599999999</v>
          </cell>
          <cell r="BV496">
            <v>1270179.72</v>
          </cell>
          <cell r="BW496">
            <v>1429431.11</v>
          </cell>
          <cell r="BX496">
            <v>1489567.51</v>
          </cell>
          <cell r="BY496">
            <v>1127245.3600000001</v>
          </cell>
          <cell r="BZ496">
            <v>1068408.21</v>
          </cell>
          <cell r="CA496">
            <v>1503072.45</v>
          </cell>
          <cell r="CB496">
            <v>1225653.96</v>
          </cell>
          <cell r="CC496">
            <v>1375010.92</v>
          </cell>
          <cell r="CD496">
            <v>1194803.32</v>
          </cell>
          <cell r="CE496">
            <v>1245130.02</v>
          </cell>
          <cell r="CF496">
            <v>1624928.97</v>
          </cell>
          <cell r="CG496">
            <v>1485533.28</v>
          </cell>
          <cell r="CH496">
            <v>1243303.46</v>
          </cell>
          <cell r="CI496">
            <v>1355002.13</v>
          </cell>
          <cell r="CJ496">
            <v>1275601.9199999999</v>
          </cell>
          <cell r="CK496">
            <v>1650524.29</v>
          </cell>
          <cell r="CL496">
            <v>1567765.76</v>
          </cell>
          <cell r="CM496">
            <v>1358304.88</v>
          </cell>
          <cell r="CN496">
            <v>1195782.67</v>
          </cell>
          <cell r="CO496">
            <v>1184872.58</v>
          </cell>
          <cell r="CP496">
            <v>1341957.6599999999</v>
          </cell>
          <cell r="CQ496">
            <v>966870.3</v>
          </cell>
          <cell r="CR496">
            <v>1471370.63</v>
          </cell>
          <cell r="CS496">
            <v>1454114.59</v>
          </cell>
          <cell r="CT496">
            <v>1401498.8</v>
          </cell>
          <cell r="CU496">
            <v>1094936.1299999999</v>
          </cell>
          <cell r="CV496">
            <v>1720820.37</v>
          </cell>
          <cell r="CW496">
            <v>1388188.53</v>
          </cell>
          <cell r="CX496">
            <v>2714255.56</v>
          </cell>
          <cell r="CY496">
            <v>1397251.76</v>
          </cell>
          <cell r="CZ496">
            <v>1109099.25</v>
          </cell>
          <cell r="DA496">
            <v>782763.04</v>
          </cell>
          <cell r="DB496">
            <v>2923595.42</v>
          </cell>
          <cell r="DC496">
            <v>1690295.99</v>
          </cell>
          <cell r="DD496">
            <v>2176679.29</v>
          </cell>
          <cell r="DE496">
            <v>1824999.65</v>
          </cell>
          <cell r="DF496">
            <v>1947339.94</v>
          </cell>
          <cell r="DG496">
            <v>1943347.36</v>
          </cell>
        </row>
        <row r="497">
          <cell r="A497" t="str">
            <v>9090</v>
          </cell>
          <cell r="B497">
            <v>9909000</v>
          </cell>
          <cell r="C497" t="str">
            <v>Cust Svc Advertis</v>
          </cell>
          <cell r="D497">
            <v>65209.59</v>
          </cell>
          <cell r="E497">
            <v>108689</v>
          </cell>
          <cell r="F497">
            <v>35666.65</v>
          </cell>
          <cell r="G497">
            <v>41942.410000000003</v>
          </cell>
          <cell r="H497">
            <v>120445.41</v>
          </cell>
          <cell r="I497">
            <v>55332.5</v>
          </cell>
          <cell r="J497">
            <v>180153</v>
          </cell>
          <cell r="K497">
            <v>219405.75</v>
          </cell>
          <cell r="L497">
            <v>174166.67</v>
          </cell>
          <cell r="M497">
            <v>75778.7</v>
          </cell>
          <cell r="N497">
            <v>108537.5</v>
          </cell>
          <cell r="O497">
            <v>64140</v>
          </cell>
          <cell r="P497">
            <v>54419.5</v>
          </cell>
          <cell r="Q497">
            <v>85237.5</v>
          </cell>
          <cell r="R497">
            <v>90521.01</v>
          </cell>
          <cell r="S497">
            <v>25207.01</v>
          </cell>
          <cell r="T497">
            <v>51436.01</v>
          </cell>
          <cell r="U497">
            <v>74665.759999999995</v>
          </cell>
          <cell r="V497">
            <v>69530.759999999995</v>
          </cell>
          <cell r="W497">
            <v>250839.66</v>
          </cell>
          <cell r="X497">
            <v>121261.01</v>
          </cell>
          <cell r="Y497">
            <v>213529.22</v>
          </cell>
          <cell r="Z497">
            <v>20438.48</v>
          </cell>
          <cell r="AA497">
            <v>62413.98</v>
          </cell>
          <cell r="AB497">
            <v>40212.01</v>
          </cell>
          <cell r="AC497">
            <v>25254.5</v>
          </cell>
          <cell r="AD497">
            <v>96540.53</v>
          </cell>
          <cell r="AE497">
            <v>71107.240000000005</v>
          </cell>
          <cell r="AF497">
            <v>67899.55</v>
          </cell>
          <cell r="AG497">
            <v>64468.59</v>
          </cell>
          <cell r="AH497">
            <v>51640.25</v>
          </cell>
          <cell r="AI497">
            <v>337702.45</v>
          </cell>
          <cell r="AJ497">
            <v>107672.75</v>
          </cell>
          <cell r="AK497">
            <v>179625</v>
          </cell>
          <cell r="AL497">
            <v>26674.79</v>
          </cell>
          <cell r="AM497">
            <v>50288.73</v>
          </cell>
          <cell r="AN497">
            <v>39555.839999999997</v>
          </cell>
          <cell r="AO497">
            <v>87136.84</v>
          </cell>
          <cell r="AP497">
            <v>13657.41</v>
          </cell>
          <cell r="AQ497">
            <v>16652.419999999998</v>
          </cell>
          <cell r="AR497">
            <v>90903.24</v>
          </cell>
          <cell r="AS497">
            <v>71264.899999999994</v>
          </cell>
          <cell r="AT497">
            <v>60968.45</v>
          </cell>
          <cell r="AU497">
            <v>15055.25</v>
          </cell>
          <cell r="AV497">
            <v>2315.25</v>
          </cell>
          <cell r="AW497">
            <v>413789.15</v>
          </cell>
          <cell r="AX497">
            <v>227309.27</v>
          </cell>
          <cell r="AY497">
            <v>86372.25</v>
          </cell>
          <cell r="AZ497">
            <v>38404.57</v>
          </cell>
          <cell r="BA497">
            <v>3539.34</v>
          </cell>
          <cell r="BB497">
            <v>89703.15</v>
          </cell>
          <cell r="BC497">
            <v>20708.599999999999</v>
          </cell>
          <cell r="BD497">
            <v>20620.98</v>
          </cell>
          <cell r="BE497">
            <v>112844</v>
          </cell>
          <cell r="BF497">
            <v>185113.37</v>
          </cell>
          <cell r="BG497">
            <v>166054.37</v>
          </cell>
          <cell r="BH497">
            <v>3100</v>
          </cell>
          <cell r="BI497">
            <v>387929.81</v>
          </cell>
          <cell r="BJ497">
            <v>41400</v>
          </cell>
          <cell r="BK497">
            <v>74256</v>
          </cell>
          <cell r="BL497">
            <v>41900</v>
          </cell>
          <cell r="BM497">
            <v>0</v>
          </cell>
          <cell r="BN497">
            <v>25745</v>
          </cell>
          <cell r="BO497">
            <v>172505</v>
          </cell>
          <cell r="BP497">
            <v>76822.37</v>
          </cell>
          <cell r="BQ497">
            <v>9160</v>
          </cell>
          <cell r="BR497">
            <v>97202.5</v>
          </cell>
          <cell r="BS497">
            <v>9222.5</v>
          </cell>
          <cell r="BT497">
            <v>18535</v>
          </cell>
          <cell r="BU497">
            <v>346285</v>
          </cell>
          <cell r="BV497">
            <v>130676.2</v>
          </cell>
          <cell r="BW497">
            <v>23550.6</v>
          </cell>
          <cell r="BX497">
            <v>144000</v>
          </cell>
          <cell r="BY497">
            <v>25089.51</v>
          </cell>
          <cell r="BZ497">
            <v>21738</v>
          </cell>
          <cell r="CA497">
            <v>0</v>
          </cell>
          <cell r="CB497">
            <v>118581.8</v>
          </cell>
          <cell r="CC497">
            <v>1340</v>
          </cell>
          <cell r="CD497">
            <v>0</v>
          </cell>
          <cell r="CE497">
            <v>161261</v>
          </cell>
          <cell r="CF497">
            <v>64375.25</v>
          </cell>
          <cell r="CG497">
            <v>395140</v>
          </cell>
          <cell r="CH497">
            <v>64000</v>
          </cell>
          <cell r="CI497">
            <v>99999</v>
          </cell>
          <cell r="CJ497">
            <v>0</v>
          </cell>
          <cell r="CK497">
            <v>147963</v>
          </cell>
          <cell r="CL497">
            <v>0</v>
          </cell>
          <cell r="CM497">
            <v>82237.5</v>
          </cell>
          <cell r="CN497">
            <v>87947.03</v>
          </cell>
          <cell r="CO497">
            <v>8887.5</v>
          </cell>
          <cell r="CP497">
            <v>82377.75</v>
          </cell>
          <cell r="CQ497">
            <v>225</v>
          </cell>
          <cell r="CR497">
            <v>119106.5</v>
          </cell>
          <cell r="CS497">
            <v>0</v>
          </cell>
          <cell r="CT497">
            <v>0</v>
          </cell>
          <cell r="CU497">
            <v>505527.98</v>
          </cell>
          <cell r="CV497">
            <v>-85000</v>
          </cell>
          <cell r="CW497">
            <v>33925</v>
          </cell>
          <cell r="CX497">
            <v>216240</v>
          </cell>
          <cell r="CY497">
            <v>80240</v>
          </cell>
          <cell r="CZ497">
            <v>200175</v>
          </cell>
          <cell r="DA497">
            <v>6672.28</v>
          </cell>
          <cell r="DB497">
            <v>26125</v>
          </cell>
          <cell r="DC497">
            <v>109032</v>
          </cell>
          <cell r="DD497">
            <v>46606.54</v>
          </cell>
          <cell r="DE497">
            <v>196800</v>
          </cell>
          <cell r="DF497">
            <v>164630.38</v>
          </cell>
          <cell r="DG497">
            <v>210568.72</v>
          </cell>
        </row>
        <row r="498">
          <cell r="A498" t="str">
            <v>9120</v>
          </cell>
          <cell r="B498">
            <v>9912000</v>
          </cell>
          <cell r="C498" t="str">
            <v>Sales Demo Sell Exp</v>
          </cell>
          <cell r="D498">
            <v>594331.44999999995</v>
          </cell>
          <cell r="E498">
            <v>739179.26</v>
          </cell>
          <cell r="F498">
            <v>639134.80000000005</v>
          </cell>
          <cell r="G498">
            <v>614238.48</v>
          </cell>
          <cell r="H498">
            <v>627353.81999999995</v>
          </cell>
          <cell r="I498">
            <v>577548.05000000005</v>
          </cell>
          <cell r="J498">
            <v>576009.07999999996</v>
          </cell>
          <cell r="K498">
            <v>590077.78</v>
          </cell>
          <cell r="L498">
            <v>598271.72</v>
          </cell>
          <cell r="M498">
            <v>576351.25</v>
          </cell>
          <cell r="N498">
            <v>576124.24</v>
          </cell>
          <cell r="O498">
            <v>828847.16</v>
          </cell>
          <cell r="P498">
            <v>608542</v>
          </cell>
          <cell r="Q498">
            <v>658167</v>
          </cell>
          <cell r="R498">
            <v>585543.88</v>
          </cell>
          <cell r="S498">
            <v>658162</v>
          </cell>
          <cell r="T498">
            <v>597727</v>
          </cell>
          <cell r="U498">
            <v>591017</v>
          </cell>
          <cell r="V498">
            <v>599717</v>
          </cell>
          <cell r="W498">
            <v>595818.88</v>
          </cell>
          <cell r="X498">
            <v>598542</v>
          </cell>
          <cell r="Y498">
            <v>588401.88</v>
          </cell>
          <cell r="Z498">
            <v>585137.12</v>
          </cell>
          <cell r="AA498">
            <v>862804</v>
          </cell>
          <cell r="AB498">
            <v>728546</v>
          </cell>
          <cell r="AC498">
            <v>607546</v>
          </cell>
          <cell r="AD498">
            <v>650613</v>
          </cell>
          <cell r="AE498">
            <v>596456</v>
          </cell>
          <cell r="AF498">
            <v>598221</v>
          </cell>
          <cell r="AG498">
            <v>602681</v>
          </cell>
          <cell r="AH498">
            <v>598396</v>
          </cell>
          <cell r="AI498">
            <v>599158.59</v>
          </cell>
          <cell r="AJ498">
            <v>601918.59</v>
          </cell>
          <cell r="AK498">
            <v>615486.07999999996</v>
          </cell>
          <cell r="AL498">
            <v>620121.12</v>
          </cell>
          <cell r="AM498">
            <v>1008190</v>
          </cell>
          <cell r="AN498">
            <v>614616.31999999995</v>
          </cell>
          <cell r="AO498">
            <v>599616.5</v>
          </cell>
          <cell r="AP498">
            <v>606680</v>
          </cell>
          <cell r="AQ498">
            <v>594930</v>
          </cell>
          <cell r="AR498">
            <v>597902.11</v>
          </cell>
          <cell r="AS498">
            <v>594436.9</v>
          </cell>
          <cell r="AT498">
            <v>611253.80000000005</v>
          </cell>
          <cell r="AU498">
            <v>599780</v>
          </cell>
          <cell r="AV498">
            <v>600157.32999999996</v>
          </cell>
          <cell r="AW498">
            <v>610919.98</v>
          </cell>
          <cell r="AX498">
            <v>600180</v>
          </cell>
          <cell r="AY498">
            <v>928475</v>
          </cell>
          <cell r="AZ498">
            <v>650444</v>
          </cell>
          <cell r="BA498">
            <v>617491</v>
          </cell>
          <cell r="BB498">
            <v>642042.61</v>
          </cell>
          <cell r="BC498">
            <v>605299</v>
          </cell>
          <cell r="BD498">
            <v>628151</v>
          </cell>
          <cell r="BE498">
            <v>670766</v>
          </cell>
          <cell r="BF498">
            <v>641579.19999999995</v>
          </cell>
          <cell r="BG498">
            <v>604712.43999999994</v>
          </cell>
          <cell r="BH498">
            <v>608344.25</v>
          </cell>
          <cell r="BI498">
            <v>621207.89</v>
          </cell>
          <cell r="BJ498">
            <v>616863.25</v>
          </cell>
          <cell r="BK498">
            <v>831952.8</v>
          </cell>
          <cell r="BL498">
            <v>670914</v>
          </cell>
          <cell r="BM498">
            <v>666709.06999999995</v>
          </cell>
          <cell r="BN498">
            <v>624495.54</v>
          </cell>
          <cell r="BO498">
            <v>669256.30000000005</v>
          </cell>
          <cell r="BP498">
            <v>642588.74</v>
          </cell>
          <cell r="BQ498">
            <v>680662.84</v>
          </cell>
          <cell r="BR498">
            <v>619447.06000000006</v>
          </cell>
          <cell r="BS498">
            <v>593526.98</v>
          </cell>
          <cell r="BT498">
            <v>622084.15</v>
          </cell>
          <cell r="BU498">
            <v>631293.67000000004</v>
          </cell>
          <cell r="BV498">
            <v>624973.9</v>
          </cell>
          <cell r="BW498">
            <v>909173.58</v>
          </cell>
          <cell r="BX498">
            <v>699024.81</v>
          </cell>
          <cell r="BY498">
            <v>696266.91</v>
          </cell>
          <cell r="BZ498">
            <v>632870.28</v>
          </cell>
          <cell r="CA498">
            <v>638078.12</v>
          </cell>
          <cell r="CB498">
            <v>671713.57</v>
          </cell>
          <cell r="CC498">
            <v>638748.32999999996</v>
          </cell>
          <cell r="CD498">
            <v>628385.73</v>
          </cell>
          <cell r="CE498">
            <v>653468</v>
          </cell>
          <cell r="CF498">
            <v>634423</v>
          </cell>
          <cell r="CG498">
            <v>634593</v>
          </cell>
          <cell r="CH498">
            <v>642968</v>
          </cell>
          <cell r="CI498">
            <v>914611.32</v>
          </cell>
          <cell r="CJ498">
            <v>610545</v>
          </cell>
          <cell r="CK498">
            <v>719735.5</v>
          </cell>
          <cell r="CL498">
            <v>654340</v>
          </cell>
          <cell r="CM498">
            <v>639220</v>
          </cell>
          <cell r="CN498">
            <v>612865.53</v>
          </cell>
          <cell r="CO498">
            <v>625602.28</v>
          </cell>
          <cell r="CP498">
            <v>613145</v>
          </cell>
          <cell r="CQ498">
            <v>635090.32999999996</v>
          </cell>
          <cell r="CR498">
            <v>622933.43999999994</v>
          </cell>
          <cell r="CS498">
            <v>648625.9</v>
          </cell>
          <cell r="CT498">
            <v>618784.1</v>
          </cell>
          <cell r="CU498">
            <v>834856</v>
          </cell>
          <cell r="CV498">
            <v>703966</v>
          </cell>
          <cell r="CW498">
            <v>622862.15</v>
          </cell>
          <cell r="CX498">
            <v>634961.92000000004</v>
          </cell>
          <cell r="CY498">
            <v>628851</v>
          </cell>
          <cell r="CZ498">
            <v>677628.96</v>
          </cell>
          <cell r="DA498">
            <v>628879.96</v>
          </cell>
          <cell r="DB498">
            <v>640714</v>
          </cell>
          <cell r="DC498">
            <v>652855.96</v>
          </cell>
          <cell r="DD498">
            <v>632221</v>
          </cell>
          <cell r="DE498">
            <v>624046</v>
          </cell>
          <cell r="DF498">
            <v>638021</v>
          </cell>
          <cell r="DG498">
            <v>822594</v>
          </cell>
        </row>
        <row r="499">
          <cell r="A499" t="str">
            <v>9130</v>
          </cell>
          <cell r="B499">
            <v>9913000</v>
          </cell>
          <cell r="C499" t="str">
            <v>Sales Advertising</v>
          </cell>
          <cell r="D499">
            <v>12442.85</v>
          </cell>
          <cell r="E499">
            <v>174607.88</v>
          </cell>
          <cell r="F499">
            <v>81786.75</v>
          </cell>
          <cell r="G499">
            <v>8810.24</v>
          </cell>
          <cell r="H499">
            <v>-15077.94</v>
          </cell>
          <cell r="I499">
            <v>212639.98</v>
          </cell>
          <cell r="J499">
            <v>-100753.54</v>
          </cell>
          <cell r="K499">
            <v>16021.71</v>
          </cell>
          <cell r="L499">
            <v>128879.82</v>
          </cell>
          <cell r="M499">
            <v>27948.02</v>
          </cell>
          <cell r="N499">
            <v>-80519.05</v>
          </cell>
          <cell r="O499">
            <v>12906.13</v>
          </cell>
          <cell r="P499">
            <v>12065.53</v>
          </cell>
          <cell r="Q499">
            <v>49448.35</v>
          </cell>
          <cell r="R499">
            <v>9687.1200000000008</v>
          </cell>
          <cell r="S499">
            <v>10063.209999999999</v>
          </cell>
          <cell r="T499">
            <v>19702.2</v>
          </cell>
          <cell r="U499">
            <v>31988.28</v>
          </cell>
          <cell r="V499">
            <v>91955.01</v>
          </cell>
          <cell r="W499">
            <v>4174.67</v>
          </cell>
          <cell r="X499">
            <v>119643.55</v>
          </cell>
          <cell r="Y499">
            <v>81876.41</v>
          </cell>
          <cell r="Z499">
            <v>13142.64</v>
          </cell>
          <cell r="AA499">
            <v>7573.13</v>
          </cell>
          <cell r="AB499">
            <v>3893.49</v>
          </cell>
          <cell r="AC499">
            <v>7924.68</v>
          </cell>
          <cell r="AD499">
            <v>2728.16</v>
          </cell>
          <cell r="AE499">
            <v>53780.14</v>
          </cell>
          <cell r="AF499">
            <v>3441.98</v>
          </cell>
          <cell r="AG499">
            <v>11919.16</v>
          </cell>
          <cell r="AH499">
            <v>9907.2900000000009</v>
          </cell>
          <cell r="AI499">
            <v>122310.73</v>
          </cell>
          <cell r="AJ499">
            <v>9303.27</v>
          </cell>
          <cell r="AK499">
            <v>454.11</v>
          </cell>
          <cell r="AL499">
            <v>35838.97</v>
          </cell>
          <cell r="AM499">
            <v>7914.76</v>
          </cell>
          <cell r="AN499">
            <v>6933.95</v>
          </cell>
          <cell r="AO499">
            <v>2893.44</v>
          </cell>
          <cell r="AP499">
            <v>2824.17</v>
          </cell>
          <cell r="AQ499">
            <v>9628.8799999999992</v>
          </cell>
          <cell r="AR499">
            <v>34812.6</v>
          </cell>
          <cell r="AS499">
            <v>954.37</v>
          </cell>
          <cell r="AT499">
            <v>2236.3000000000002</v>
          </cell>
          <cell r="AU499">
            <v>853.4</v>
          </cell>
          <cell r="AV499">
            <v>3680.24</v>
          </cell>
          <cell r="AW499">
            <v>53333.919999999998</v>
          </cell>
          <cell r="AX499">
            <v>6732</v>
          </cell>
          <cell r="AY499">
            <v>11203.38</v>
          </cell>
          <cell r="AZ499">
            <v>6994.68</v>
          </cell>
          <cell r="BA499">
            <v>16441.86</v>
          </cell>
          <cell r="BB499">
            <v>12338.16</v>
          </cell>
          <cell r="BC499">
            <v>11802.19</v>
          </cell>
          <cell r="BD499">
            <v>5186.45</v>
          </cell>
          <cell r="BE499">
            <v>14033.8</v>
          </cell>
          <cell r="BF499">
            <v>34868.31</v>
          </cell>
          <cell r="BG499">
            <v>40153.870000000003</v>
          </cell>
          <cell r="BH499">
            <v>1544.85</v>
          </cell>
          <cell r="BI499">
            <v>85427.54</v>
          </cell>
          <cell r="BJ499">
            <v>4277.55</v>
          </cell>
          <cell r="BK499">
            <v>58225.35</v>
          </cell>
          <cell r="BL499">
            <v>106902.33</v>
          </cell>
          <cell r="BM499">
            <v>1269.7</v>
          </cell>
          <cell r="BN499">
            <v>98.45</v>
          </cell>
          <cell r="BO499">
            <v>43793.62</v>
          </cell>
          <cell r="BP499">
            <v>23496.26</v>
          </cell>
          <cell r="BQ499">
            <v>17213.84</v>
          </cell>
          <cell r="BR499">
            <v>18009.009999999998</v>
          </cell>
          <cell r="BS499">
            <v>4101.93</v>
          </cell>
          <cell r="BT499">
            <v>6361.54</v>
          </cell>
          <cell r="BU499">
            <v>35155.269999999997</v>
          </cell>
          <cell r="BV499">
            <v>23118.73</v>
          </cell>
          <cell r="BW499">
            <v>110584.9</v>
          </cell>
          <cell r="BX499">
            <v>9277.1299999999992</v>
          </cell>
          <cell r="BY499">
            <v>13165.02</v>
          </cell>
          <cell r="BZ499">
            <v>24370.38</v>
          </cell>
          <cell r="CA499">
            <v>9991.09</v>
          </cell>
          <cell r="CB499">
            <v>48436.26</v>
          </cell>
          <cell r="CC499">
            <v>3139.06</v>
          </cell>
          <cell r="CD499">
            <v>65942.929999999993</v>
          </cell>
          <cell r="CE499">
            <v>27408.5</v>
          </cell>
          <cell r="CF499">
            <v>90380.9</v>
          </cell>
          <cell r="CG499">
            <v>112477.75999999999</v>
          </cell>
          <cell r="CH499">
            <v>146955.43</v>
          </cell>
          <cell r="CI499">
            <v>83072.44</v>
          </cell>
          <cell r="CJ499">
            <v>3782.12</v>
          </cell>
          <cell r="CK499">
            <v>52020.12</v>
          </cell>
          <cell r="CL499">
            <v>125905.44</v>
          </cell>
          <cell r="CM499">
            <v>62491.06</v>
          </cell>
          <cell r="CN499">
            <v>68958.42</v>
          </cell>
          <cell r="CO499">
            <v>141528.73000000001</v>
          </cell>
          <cell r="CP499">
            <v>5260.29</v>
          </cell>
          <cell r="CQ499">
            <v>39060.76</v>
          </cell>
          <cell r="CR499">
            <v>46650.48</v>
          </cell>
          <cell r="CS499">
            <v>25227.43</v>
          </cell>
          <cell r="CT499">
            <v>142323.79</v>
          </cell>
          <cell r="CU499">
            <v>140501.51</v>
          </cell>
          <cell r="CV499">
            <v>80608.37</v>
          </cell>
          <cell r="CW499">
            <v>52031.13</v>
          </cell>
          <cell r="CX499">
            <v>104913.61</v>
          </cell>
          <cell r="CY499">
            <v>60448.84</v>
          </cell>
          <cell r="CZ499">
            <v>31967.759999999998</v>
          </cell>
          <cell r="DA499">
            <v>132321.10999999999</v>
          </cell>
          <cell r="DB499">
            <v>164079.03</v>
          </cell>
          <cell r="DC499">
            <v>107717.23</v>
          </cell>
          <cell r="DD499">
            <v>27355.67</v>
          </cell>
          <cell r="DE499">
            <v>83929.15</v>
          </cell>
          <cell r="DF499">
            <v>93002.22</v>
          </cell>
          <cell r="DG499">
            <v>110840.94</v>
          </cell>
        </row>
        <row r="500">
          <cell r="A500" t="str">
            <v>9160</v>
          </cell>
          <cell r="B500">
            <v>9916000</v>
          </cell>
          <cell r="C500" t="str">
            <v>Misc Sales Exp</v>
          </cell>
          <cell r="D500">
            <v>0</v>
          </cell>
          <cell r="E500">
            <v>500</v>
          </cell>
          <cell r="F500">
            <v>250</v>
          </cell>
          <cell r="G500">
            <v>0</v>
          </cell>
          <cell r="H500">
            <v>250</v>
          </cell>
          <cell r="I500">
            <v>250</v>
          </cell>
          <cell r="J500">
            <v>0</v>
          </cell>
          <cell r="K500">
            <v>11100</v>
          </cell>
          <cell r="L500">
            <v>0</v>
          </cell>
          <cell r="M500">
            <v>0</v>
          </cell>
          <cell r="N500">
            <v>36148</v>
          </cell>
          <cell r="O500">
            <v>28611.1</v>
          </cell>
          <cell r="P500">
            <v>17506.599999999999</v>
          </cell>
          <cell r="Q500">
            <v>9550</v>
          </cell>
          <cell r="R500">
            <v>15377.12</v>
          </cell>
          <cell r="S500">
            <v>0</v>
          </cell>
          <cell r="T500">
            <v>2443.85</v>
          </cell>
          <cell r="U500">
            <v>19126.5</v>
          </cell>
          <cell r="V500">
            <v>34095.980000000003</v>
          </cell>
          <cell r="W500">
            <v>11425.8</v>
          </cell>
          <cell r="X500">
            <v>19658.14</v>
          </cell>
          <cell r="Y500">
            <v>-8135.29</v>
          </cell>
          <cell r="Z500">
            <v>12650</v>
          </cell>
          <cell r="AA500">
            <v>0</v>
          </cell>
          <cell r="AB500">
            <v>0</v>
          </cell>
          <cell r="AC500">
            <v>22025</v>
          </cell>
          <cell r="AD500">
            <v>0</v>
          </cell>
          <cell r="AE500">
            <v>0</v>
          </cell>
          <cell r="AF500">
            <v>10575</v>
          </cell>
          <cell r="AG500">
            <v>0</v>
          </cell>
          <cell r="AH500">
            <v>14400</v>
          </cell>
          <cell r="AI500">
            <v>0</v>
          </cell>
          <cell r="AJ500">
            <v>0</v>
          </cell>
          <cell r="AK500">
            <v>16075</v>
          </cell>
          <cell r="AL500">
            <v>0</v>
          </cell>
          <cell r="AM500">
            <v>0</v>
          </cell>
          <cell r="AN500">
            <v>0</v>
          </cell>
          <cell r="AO500">
            <v>12675</v>
          </cell>
          <cell r="AP500">
            <v>0</v>
          </cell>
          <cell r="AQ500">
            <v>0</v>
          </cell>
          <cell r="AR500">
            <v>3525</v>
          </cell>
          <cell r="AS500">
            <v>0</v>
          </cell>
          <cell r="AT500">
            <v>0</v>
          </cell>
          <cell r="AU500">
            <v>16575</v>
          </cell>
          <cell r="AV500">
            <v>0</v>
          </cell>
          <cell r="AW500">
            <v>0</v>
          </cell>
          <cell r="AX500">
            <v>2175</v>
          </cell>
          <cell r="AY500">
            <v>0</v>
          </cell>
          <cell r="AZ500">
            <v>16975</v>
          </cell>
          <cell r="BA500">
            <v>0</v>
          </cell>
          <cell r="BB500">
            <v>0</v>
          </cell>
          <cell r="BC500">
            <v>0</v>
          </cell>
          <cell r="BD500">
            <v>2725</v>
          </cell>
          <cell r="BE500">
            <v>0</v>
          </cell>
          <cell r="BF500">
            <v>19875</v>
          </cell>
          <cell r="BG500">
            <v>0</v>
          </cell>
          <cell r="BH500">
            <v>0</v>
          </cell>
          <cell r="BI500">
            <v>0</v>
          </cell>
          <cell r="BJ500">
            <v>12450</v>
          </cell>
          <cell r="BK500">
            <v>0</v>
          </cell>
          <cell r="BL500">
            <v>0</v>
          </cell>
          <cell r="BM500">
            <v>17725</v>
          </cell>
          <cell r="BN500">
            <v>0</v>
          </cell>
          <cell r="BO500">
            <v>0</v>
          </cell>
          <cell r="BP500">
            <v>8500</v>
          </cell>
          <cell r="BQ500">
            <v>0</v>
          </cell>
          <cell r="BR500">
            <v>0</v>
          </cell>
          <cell r="BS500">
            <v>0</v>
          </cell>
          <cell r="BT500">
            <v>0</v>
          </cell>
          <cell r="BU500">
            <v>0</v>
          </cell>
          <cell r="BV500">
            <v>29200</v>
          </cell>
          <cell r="BW500">
            <v>0</v>
          </cell>
          <cell r="BX500">
            <v>0</v>
          </cell>
          <cell r="BY500">
            <v>0</v>
          </cell>
          <cell r="BZ500">
            <v>0</v>
          </cell>
          <cell r="CA500">
            <v>0</v>
          </cell>
          <cell r="CB500">
            <v>27600</v>
          </cell>
          <cell r="CC500">
            <v>0</v>
          </cell>
          <cell r="CD500">
            <v>0</v>
          </cell>
          <cell r="CE500">
            <v>0</v>
          </cell>
          <cell r="CF500">
            <v>0</v>
          </cell>
          <cell r="CG500">
            <v>11100</v>
          </cell>
          <cell r="CH500">
            <v>0</v>
          </cell>
          <cell r="CI500">
            <v>10300</v>
          </cell>
          <cell r="CJ500">
            <v>0</v>
          </cell>
          <cell r="CK500">
            <v>0</v>
          </cell>
          <cell r="CL500">
            <v>0</v>
          </cell>
          <cell r="CM500">
            <v>20600</v>
          </cell>
          <cell r="CN500">
            <v>-20600</v>
          </cell>
          <cell r="CO500">
            <v>22500</v>
          </cell>
          <cell r="CP500">
            <v>0</v>
          </cell>
          <cell r="CQ500">
            <v>0</v>
          </cell>
          <cell r="CR500">
            <v>0</v>
          </cell>
          <cell r="CS500">
            <v>0</v>
          </cell>
          <cell r="CT500">
            <v>28675</v>
          </cell>
          <cell r="CU500">
            <v>0</v>
          </cell>
          <cell r="CV500">
            <v>0</v>
          </cell>
          <cell r="CW500">
            <v>0</v>
          </cell>
          <cell r="CX500">
            <v>0</v>
          </cell>
          <cell r="CY500">
            <v>0</v>
          </cell>
          <cell r="CZ500">
            <v>0</v>
          </cell>
          <cell r="DA500">
            <v>0</v>
          </cell>
          <cell r="DB500">
            <v>0</v>
          </cell>
          <cell r="DC500">
            <v>43550</v>
          </cell>
          <cell r="DD500">
            <v>0</v>
          </cell>
          <cell r="DE500">
            <v>0</v>
          </cell>
          <cell r="DF500">
            <v>0</v>
          </cell>
          <cell r="DG500">
            <v>0</v>
          </cell>
        </row>
        <row r="501">
          <cell r="A501" t="str">
            <v>9200</v>
          </cell>
          <cell r="B501">
            <v>9920000</v>
          </cell>
          <cell r="C501" t="str">
            <v>A&amp;G Salaries</v>
          </cell>
          <cell r="D501">
            <v>709827.98</v>
          </cell>
          <cell r="E501">
            <v>587596.49</v>
          </cell>
          <cell r="F501">
            <v>676997.6</v>
          </cell>
          <cell r="G501">
            <v>623103.31000000006</v>
          </cell>
          <cell r="H501">
            <v>680378.18</v>
          </cell>
          <cell r="I501">
            <v>653372.32999999996</v>
          </cell>
          <cell r="J501">
            <v>498664.24</v>
          </cell>
          <cell r="K501">
            <v>649425.64</v>
          </cell>
          <cell r="L501">
            <v>1419319.4</v>
          </cell>
          <cell r="M501">
            <v>646800.56000000006</v>
          </cell>
          <cell r="N501">
            <v>611600.29</v>
          </cell>
          <cell r="O501">
            <v>901810.84</v>
          </cell>
          <cell r="P501">
            <v>587250.09</v>
          </cell>
          <cell r="Q501">
            <v>308662.74</v>
          </cell>
          <cell r="R501">
            <v>1341619.1499999999</v>
          </cell>
          <cell r="S501">
            <v>735230.97</v>
          </cell>
          <cell r="T501">
            <v>432954.83</v>
          </cell>
          <cell r="U501">
            <v>696952.61</v>
          </cell>
          <cell r="V501">
            <v>485290.46</v>
          </cell>
          <cell r="W501">
            <v>592515.18999999994</v>
          </cell>
          <cell r="X501">
            <v>399157.01</v>
          </cell>
          <cell r="Y501">
            <v>574030.91</v>
          </cell>
          <cell r="Z501">
            <v>976613.53</v>
          </cell>
          <cell r="AA501">
            <v>-297100.78999999998</v>
          </cell>
          <cell r="AB501">
            <v>631762.57999999996</v>
          </cell>
          <cell r="AC501">
            <v>656898.16</v>
          </cell>
          <cell r="AD501">
            <v>653428.94999999995</v>
          </cell>
          <cell r="AE501">
            <v>640525.73</v>
          </cell>
          <cell r="AF501">
            <v>676655.17</v>
          </cell>
          <cell r="AG501">
            <v>667428.43999999994</v>
          </cell>
          <cell r="AH501">
            <v>934298.38</v>
          </cell>
          <cell r="AI501">
            <v>1518779.04</v>
          </cell>
          <cell r="AJ501">
            <v>774625.04</v>
          </cell>
          <cell r="AK501">
            <v>688256.28</v>
          </cell>
          <cell r="AL501">
            <v>86996.88</v>
          </cell>
          <cell r="AM501">
            <v>749314.46</v>
          </cell>
          <cell r="AN501">
            <v>760895.8</v>
          </cell>
          <cell r="AO501">
            <v>857574.56</v>
          </cell>
          <cell r="AP501">
            <v>883229.59</v>
          </cell>
          <cell r="AQ501">
            <v>700022.15</v>
          </cell>
          <cell r="AR501">
            <v>697333.38</v>
          </cell>
          <cell r="AS501">
            <v>794815.34</v>
          </cell>
          <cell r="AT501">
            <v>750026.93</v>
          </cell>
          <cell r="AU501">
            <v>737068.59</v>
          </cell>
          <cell r="AV501">
            <v>808648.29</v>
          </cell>
          <cell r="AW501">
            <v>550594.72</v>
          </cell>
          <cell r="AX501">
            <v>747251.16</v>
          </cell>
          <cell r="AY501">
            <v>1025566.84</v>
          </cell>
          <cell r="AZ501">
            <v>908688.69</v>
          </cell>
          <cell r="BA501">
            <v>1490509.19</v>
          </cell>
          <cell r="BB501">
            <v>864089.22</v>
          </cell>
          <cell r="BC501">
            <v>844326.67</v>
          </cell>
          <cell r="BD501">
            <v>897234.63</v>
          </cell>
          <cell r="BE501">
            <v>830461.21</v>
          </cell>
          <cell r="BF501">
            <v>1013182.59</v>
          </cell>
          <cell r="BG501">
            <v>1283278.8500000001</v>
          </cell>
          <cell r="BH501">
            <v>952882.8</v>
          </cell>
          <cell r="BI501">
            <v>972327.84</v>
          </cell>
          <cell r="BJ501">
            <v>948368.73</v>
          </cell>
          <cell r="BK501">
            <v>970596.8</v>
          </cell>
          <cell r="BL501">
            <v>995053.96</v>
          </cell>
          <cell r="BM501">
            <v>910602.55</v>
          </cell>
          <cell r="BN501">
            <v>805516.37</v>
          </cell>
          <cell r="BO501">
            <v>807815.54</v>
          </cell>
          <cell r="BP501">
            <v>816530.53</v>
          </cell>
          <cell r="BQ501">
            <v>693289.06</v>
          </cell>
          <cell r="BR501">
            <v>874839.19</v>
          </cell>
          <cell r="BS501">
            <v>779159.06</v>
          </cell>
          <cell r="BT501">
            <v>954094.15</v>
          </cell>
          <cell r="BU501">
            <v>884054.91</v>
          </cell>
          <cell r="BV501">
            <v>1554637.35</v>
          </cell>
          <cell r="BW501">
            <v>894578.45</v>
          </cell>
          <cell r="BX501">
            <v>1058130.33</v>
          </cell>
          <cell r="BY501">
            <v>1072058.8400000001</v>
          </cell>
          <cell r="BZ501">
            <v>935010</v>
          </cell>
          <cell r="CA501">
            <v>1070392.73</v>
          </cell>
          <cell r="CB501">
            <v>995156.34</v>
          </cell>
          <cell r="CC501">
            <v>849296.17</v>
          </cell>
          <cell r="CD501">
            <v>1066255.27</v>
          </cell>
          <cell r="CE501">
            <v>986242.23</v>
          </cell>
          <cell r="CF501">
            <v>1328803.05</v>
          </cell>
          <cell r="CG501">
            <v>1039234.11</v>
          </cell>
          <cell r="CH501">
            <v>959681.67</v>
          </cell>
          <cell r="CI501">
            <v>1328159.71</v>
          </cell>
          <cell r="CJ501">
            <v>1004572.71</v>
          </cell>
          <cell r="CK501">
            <v>977357.03</v>
          </cell>
          <cell r="CL501">
            <v>1042807.17</v>
          </cell>
          <cell r="CM501">
            <v>915360.12</v>
          </cell>
          <cell r="CN501">
            <v>895661.58</v>
          </cell>
          <cell r="CO501">
            <v>979919.17</v>
          </cell>
          <cell r="CP501">
            <v>1017848.3199999999</v>
          </cell>
          <cell r="CQ501">
            <v>1023401.95</v>
          </cell>
          <cell r="CR501">
            <v>1066319.74</v>
          </cell>
          <cell r="CS501">
            <v>1640563.46</v>
          </cell>
          <cell r="CT501">
            <v>998250.5</v>
          </cell>
          <cell r="CU501">
            <v>2402127.38</v>
          </cell>
          <cell r="CV501">
            <v>1102180.1200000001</v>
          </cell>
          <cell r="CW501">
            <v>1221268.48</v>
          </cell>
          <cell r="CX501">
            <v>757799.25</v>
          </cell>
          <cell r="CY501">
            <v>1271543.53</v>
          </cell>
          <cell r="CZ501">
            <v>1359113.97</v>
          </cell>
          <cell r="DA501">
            <v>1359973.16</v>
          </cell>
          <cell r="DB501">
            <v>1331306.8</v>
          </cell>
          <cell r="DC501">
            <v>1449477.95</v>
          </cell>
          <cell r="DD501">
            <v>1541674.51</v>
          </cell>
          <cell r="DE501">
            <v>1564162.7</v>
          </cell>
          <cell r="DF501">
            <v>2116644.4700000002</v>
          </cell>
          <cell r="DG501">
            <v>1992376.63</v>
          </cell>
        </row>
        <row r="502">
          <cell r="A502" t="str">
            <v>9210</v>
          </cell>
          <cell r="B502">
            <v>9921000</v>
          </cell>
          <cell r="C502" t="str">
            <v>Office Suppl Exp</v>
          </cell>
          <cell r="D502">
            <v>363875.85</v>
          </cell>
          <cell r="E502">
            <v>603826.52</v>
          </cell>
          <cell r="F502">
            <v>427425.74</v>
          </cell>
          <cell r="G502">
            <v>418349.83</v>
          </cell>
          <cell r="H502">
            <v>517789.19</v>
          </cell>
          <cell r="I502">
            <v>395474.12</v>
          </cell>
          <cell r="J502">
            <v>468162.52</v>
          </cell>
          <cell r="K502">
            <v>385028.4</v>
          </cell>
          <cell r="L502">
            <v>418928.27</v>
          </cell>
          <cell r="M502">
            <v>438556.66</v>
          </cell>
          <cell r="N502">
            <v>684302.98</v>
          </cell>
          <cell r="O502">
            <v>217500.46</v>
          </cell>
          <cell r="P502">
            <v>203507.23</v>
          </cell>
          <cell r="Q502">
            <v>203762.69</v>
          </cell>
          <cell r="R502">
            <v>280010.93</v>
          </cell>
          <cell r="S502">
            <v>308111.83</v>
          </cell>
          <cell r="T502">
            <v>256234.02</v>
          </cell>
          <cell r="U502">
            <v>291099.84999999998</v>
          </cell>
          <cell r="V502">
            <v>298615.61</v>
          </cell>
          <cell r="W502">
            <v>229026.97</v>
          </cell>
          <cell r="X502">
            <v>302738.45</v>
          </cell>
          <cell r="Y502">
            <v>327872.05</v>
          </cell>
          <cell r="Z502">
            <v>250611.8</v>
          </cell>
          <cell r="AA502">
            <v>376473.65</v>
          </cell>
          <cell r="AB502">
            <v>220904.92</v>
          </cell>
          <cell r="AC502">
            <v>282608.25</v>
          </cell>
          <cell r="AD502">
            <v>286593.46999999997</v>
          </cell>
          <cell r="AE502">
            <v>306747.11</v>
          </cell>
          <cell r="AF502">
            <v>263956.84999999998</v>
          </cell>
          <cell r="AG502">
            <v>731422.23</v>
          </cell>
          <cell r="AH502">
            <v>153401.91</v>
          </cell>
          <cell r="AI502">
            <v>257145.29</v>
          </cell>
          <cell r="AJ502">
            <v>291669.49</v>
          </cell>
          <cell r="AK502">
            <v>255536.96</v>
          </cell>
          <cell r="AL502">
            <v>333344.98</v>
          </cell>
          <cell r="AM502">
            <v>250327.56</v>
          </cell>
          <cell r="AN502">
            <v>209057.28</v>
          </cell>
          <cell r="AO502">
            <v>268049.59000000003</v>
          </cell>
          <cell r="AP502">
            <v>262533.75</v>
          </cell>
          <cell r="AQ502">
            <v>237740.05</v>
          </cell>
          <cell r="AR502">
            <v>258066.99</v>
          </cell>
          <cell r="AS502">
            <v>271435.05</v>
          </cell>
          <cell r="AT502">
            <v>266938.18</v>
          </cell>
          <cell r="AU502">
            <v>227603.78</v>
          </cell>
          <cell r="AV502">
            <v>245699.71</v>
          </cell>
          <cell r="AW502">
            <v>194365.76</v>
          </cell>
          <cell r="AX502">
            <v>234204.99</v>
          </cell>
          <cell r="AY502">
            <v>272833.43</v>
          </cell>
          <cell r="AZ502">
            <v>224016.05</v>
          </cell>
          <cell r="BA502">
            <v>219951.77</v>
          </cell>
          <cell r="BB502">
            <v>530410.19999999995</v>
          </cell>
          <cell r="BC502">
            <v>360142.33</v>
          </cell>
          <cell r="BD502">
            <v>336121.87</v>
          </cell>
          <cell r="BE502">
            <v>317413.67</v>
          </cell>
          <cell r="BF502">
            <v>316757.96999999997</v>
          </cell>
          <cell r="BG502">
            <v>291881.81</v>
          </cell>
          <cell r="BH502">
            <v>351613.49</v>
          </cell>
          <cell r="BI502">
            <v>297442.55</v>
          </cell>
          <cell r="BJ502">
            <v>245504.16</v>
          </cell>
          <cell r="BK502">
            <v>345561.36</v>
          </cell>
          <cell r="BL502">
            <v>230705.48</v>
          </cell>
          <cell r="BM502">
            <v>246616.22</v>
          </cell>
          <cell r="BN502">
            <v>308916.02</v>
          </cell>
          <cell r="BO502">
            <v>264092.74</v>
          </cell>
          <cell r="BP502">
            <v>272126.78000000003</v>
          </cell>
          <cell r="BQ502">
            <v>293846.84000000003</v>
          </cell>
          <cell r="BR502">
            <v>306117.46000000002</v>
          </cell>
          <cell r="BS502">
            <v>116371.23</v>
          </cell>
          <cell r="BT502">
            <v>271880.71000000002</v>
          </cell>
          <cell r="BU502">
            <v>458934.79</v>
          </cell>
          <cell r="BV502">
            <v>260146.44</v>
          </cell>
          <cell r="BW502">
            <v>290903.67</v>
          </cell>
          <cell r="BX502">
            <v>216415.28</v>
          </cell>
          <cell r="BY502">
            <v>289037.84999999998</v>
          </cell>
          <cell r="BZ502">
            <v>284644.52</v>
          </cell>
          <cell r="CA502">
            <v>245920.34</v>
          </cell>
          <cell r="CB502">
            <v>205111.33</v>
          </cell>
          <cell r="CC502">
            <v>252122.44</v>
          </cell>
          <cell r="CD502">
            <v>232946.9</v>
          </cell>
          <cell r="CE502">
            <v>216202.83</v>
          </cell>
          <cell r="CF502">
            <v>264171.5</v>
          </cell>
          <cell r="CG502">
            <v>227711.32</v>
          </cell>
          <cell r="CH502">
            <v>190636.9</v>
          </cell>
          <cell r="CI502">
            <v>316571.55</v>
          </cell>
          <cell r="CJ502">
            <v>199224.66</v>
          </cell>
          <cell r="CK502">
            <v>259472.02</v>
          </cell>
          <cell r="CL502">
            <v>274165.56</v>
          </cell>
          <cell r="CM502">
            <v>267380.99</v>
          </cell>
          <cell r="CN502">
            <v>223369.9</v>
          </cell>
          <cell r="CO502">
            <v>258321.9</v>
          </cell>
          <cell r="CP502">
            <v>281977.74</v>
          </cell>
          <cell r="CQ502">
            <v>255550.72</v>
          </cell>
          <cell r="CR502">
            <v>297271.09999999998</v>
          </cell>
          <cell r="CS502">
            <v>270208.21999999997</v>
          </cell>
          <cell r="CT502">
            <v>292682.68</v>
          </cell>
          <cell r="CU502">
            <v>406871.32</v>
          </cell>
          <cell r="CV502">
            <v>237044.43</v>
          </cell>
          <cell r="CW502">
            <v>287604.81</v>
          </cell>
          <cell r="CX502">
            <v>284042.76</v>
          </cell>
          <cell r="CY502">
            <v>327735.83</v>
          </cell>
          <cell r="CZ502">
            <v>324241.02</v>
          </cell>
          <cell r="DA502">
            <v>220143.92</v>
          </cell>
          <cell r="DB502">
            <v>337867.4</v>
          </cell>
          <cell r="DC502">
            <v>339694.26</v>
          </cell>
          <cell r="DD502">
            <v>352211.65</v>
          </cell>
          <cell r="DE502">
            <v>306180.87</v>
          </cell>
          <cell r="DF502">
            <v>281672.39</v>
          </cell>
          <cell r="DG502">
            <v>362283.43</v>
          </cell>
        </row>
        <row r="503">
          <cell r="A503" t="str">
            <v>9220</v>
          </cell>
          <cell r="B503">
            <v>9922000</v>
          </cell>
          <cell r="C503" t="str">
            <v>Admin Exp Transf Cr</v>
          </cell>
          <cell r="D503">
            <v>-321333</v>
          </cell>
          <cell r="E503">
            <v>-321333</v>
          </cell>
          <cell r="F503">
            <v>-321333</v>
          </cell>
          <cell r="G503">
            <v>-321333</v>
          </cell>
          <cell r="H503">
            <v>-321333</v>
          </cell>
          <cell r="I503">
            <v>-321333</v>
          </cell>
          <cell r="J503">
            <v>-321333</v>
          </cell>
          <cell r="K503">
            <v>-321333</v>
          </cell>
          <cell r="L503">
            <v>-321333</v>
          </cell>
          <cell r="M503">
            <v>-321333</v>
          </cell>
          <cell r="N503">
            <v>-321333</v>
          </cell>
          <cell r="O503">
            <v>-321333</v>
          </cell>
          <cell r="P503">
            <v>-283333</v>
          </cell>
          <cell r="Q503">
            <v>-283333</v>
          </cell>
          <cell r="R503">
            <v>-283333</v>
          </cell>
          <cell r="S503">
            <v>-283333</v>
          </cell>
          <cell r="T503">
            <v>-283333</v>
          </cell>
          <cell r="U503">
            <v>-283333</v>
          </cell>
          <cell r="V503">
            <v>-283333</v>
          </cell>
          <cell r="W503">
            <v>-283333</v>
          </cell>
          <cell r="X503">
            <v>-283333</v>
          </cell>
          <cell r="Y503">
            <v>-283333</v>
          </cell>
          <cell r="Z503">
            <v>-283333</v>
          </cell>
          <cell r="AA503">
            <v>-283333</v>
          </cell>
          <cell r="AB503">
            <v>-283333</v>
          </cell>
          <cell r="AC503">
            <v>-283333</v>
          </cell>
          <cell r="AD503">
            <v>-283333</v>
          </cell>
          <cell r="AE503">
            <v>-283333</v>
          </cell>
          <cell r="AF503">
            <v>-283333</v>
          </cell>
          <cell r="AG503">
            <v>-283333</v>
          </cell>
          <cell r="AH503">
            <v>-283333</v>
          </cell>
          <cell r="AI503">
            <v>-283333</v>
          </cell>
          <cell r="AJ503">
            <v>-283333</v>
          </cell>
          <cell r="AK503">
            <v>-283333</v>
          </cell>
          <cell r="AL503">
            <v>-283333</v>
          </cell>
          <cell r="AM503">
            <v>-283333</v>
          </cell>
          <cell r="AN503">
            <v>-283333</v>
          </cell>
          <cell r="AO503">
            <v>-283333</v>
          </cell>
          <cell r="AP503">
            <v>-283333</v>
          </cell>
          <cell r="AQ503">
            <v>-283333</v>
          </cell>
          <cell r="AR503">
            <v>-283333</v>
          </cell>
          <cell r="AS503">
            <v>-283333</v>
          </cell>
          <cell r="AT503">
            <v>-500000</v>
          </cell>
          <cell r="AU503">
            <v>-500000</v>
          </cell>
          <cell r="AV503">
            <v>-500000</v>
          </cell>
          <cell r="AW503">
            <v>-500000</v>
          </cell>
          <cell r="AX503">
            <v>-500000</v>
          </cell>
          <cell r="AY503">
            <v>-500000</v>
          </cell>
          <cell r="AZ503">
            <v>-500000</v>
          </cell>
          <cell r="BA503">
            <v>-500000</v>
          </cell>
          <cell r="BB503">
            <v>-500000</v>
          </cell>
          <cell r="BC503">
            <v>-500000</v>
          </cell>
          <cell r="BD503">
            <v>-500000</v>
          </cell>
          <cell r="BE503">
            <v>-500000</v>
          </cell>
          <cell r="BF503">
            <v>-500000</v>
          </cell>
          <cell r="BG503">
            <v>-500000</v>
          </cell>
          <cell r="BH503">
            <v>-500000</v>
          </cell>
          <cell r="BI503">
            <v>-500000</v>
          </cell>
          <cell r="BJ503">
            <v>-500000</v>
          </cell>
          <cell r="BK503">
            <v>-500000</v>
          </cell>
          <cell r="BL503">
            <v>-500000</v>
          </cell>
          <cell r="BM503">
            <v>-500000</v>
          </cell>
          <cell r="BN503">
            <v>-1000000</v>
          </cell>
          <cell r="BO503">
            <v>-666666.67000000004</v>
          </cell>
          <cell r="BP503">
            <v>-666666.67000000004</v>
          </cell>
          <cell r="BQ503">
            <v>-666666.67000000004</v>
          </cell>
          <cell r="BR503">
            <v>-666666.67000000004</v>
          </cell>
          <cell r="BS503">
            <v>-666666.67000000004</v>
          </cell>
          <cell r="BT503">
            <v>-666666.67000000004</v>
          </cell>
          <cell r="BU503">
            <v>-666666.67000000004</v>
          </cell>
          <cell r="BV503">
            <v>-666666.67000000004</v>
          </cell>
          <cell r="BW503">
            <v>-1047666.63</v>
          </cell>
          <cell r="BX503">
            <v>-715750</v>
          </cell>
          <cell r="BY503">
            <v>-715750</v>
          </cell>
          <cell r="BZ503">
            <v>-715750</v>
          </cell>
          <cell r="CA503">
            <v>-715750</v>
          </cell>
          <cell r="CB503">
            <v>-715750</v>
          </cell>
          <cell r="CC503">
            <v>-715750</v>
          </cell>
          <cell r="CD503">
            <v>-715750</v>
          </cell>
          <cell r="CE503">
            <v>-715750</v>
          </cell>
          <cell r="CF503">
            <v>-715750</v>
          </cell>
          <cell r="CG503">
            <v>-715750</v>
          </cell>
          <cell r="CH503">
            <v>-715750</v>
          </cell>
          <cell r="CI503">
            <v>-715749.96</v>
          </cell>
          <cell r="CJ503">
            <v>-716829.63</v>
          </cell>
          <cell r="CK503">
            <v>-716829.63</v>
          </cell>
          <cell r="CL503">
            <v>-716829.63</v>
          </cell>
          <cell r="CM503">
            <v>-716829.67</v>
          </cell>
          <cell r="CN503">
            <v>-716829.67</v>
          </cell>
          <cell r="CO503">
            <v>-988351.67</v>
          </cell>
          <cell r="CP503">
            <v>-762083.67</v>
          </cell>
          <cell r="CQ503">
            <v>-762083.67</v>
          </cell>
          <cell r="CR503">
            <v>-762083.67</v>
          </cell>
          <cell r="CS503">
            <v>-762083.67</v>
          </cell>
          <cell r="CT503">
            <v>-1678750.37</v>
          </cell>
          <cell r="CU503">
            <v>-845417</v>
          </cell>
          <cell r="CV503">
            <v>-928750.37</v>
          </cell>
          <cell r="CW503">
            <v>-928750.37</v>
          </cell>
          <cell r="CX503">
            <v>-928750.3</v>
          </cell>
          <cell r="CY503">
            <v>-928750.3</v>
          </cell>
          <cell r="CZ503">
            <v>-928750.33</v>
          </cell>
          <cell r="DA503">
            <v>-928750.33</v>
          </cell>
          <cell r="DB503">
            <v>-928750.33</v>
          </cell>
          <cell r="DC503">
            <v>-928750.33</v>
          </cell>
          <cell r="DD503">
            <v>-928750.33</v>
          </cell>
          <cell r="DE503">
            <v>-928750.33</v>
          </cell>
          <cell r="DF503">
            <v>-1512836.33</v>
          </cell>
          <cell r="DG503">
            <v>-1981848.36</v>
          </cell>
        </row>
        <row r="504">
          <cell r="A504" t="str">
            <v>9230</v>
          </cell>
          <cell r="B504">
            <v>9923000</v>
          </cell>
          <cell r="C504" t="str">
            <v>Outside Services</v>
          </cell>
          <cell r="D504">
            <v>24014.77</v>
          </cell>
          <cell r="E504">
            <v>39565.94</v>
          </cell>
          <cell r="F504">
            <v>49725.87</v>
          </cell>
          <cell r="G504">
            <v>144699.66</v>
          </cell>
          <cell r="H504">
            <v>134897.62</v>
          </cell>
          <cell r="I504">
            <v>137187.57999999999</v>
          </cell>
          <cell r="J504">
            <v>109192.98</v>
          </cell>
          <cell r="K504">
            <v>-86175.97</v>
          </cell>
          <cell r="L504">
            <v>167710.26</v>
          </cell>
          <cell r="M504">
            <v>74692.95</v>
          </cell>
          <cell r="N504">
            <v>97003.03</v>
          </cell>
          <cell r="O504">
            <v>189445.91</v>
          </cell>
          <cell r="P504">
            <v>133751.65</v>
          </cell>
          <cell r="Q504">
            <v>120863.16</v>
          </cell>
          <cell r="R504">
            <v>170421.15</v>
          </cell>
          <cell r="S504">
            <v>194746.89</v>
          </cell>
          <cell r="T504">
            <v>139499.37</v>
          </cell>
          <cell r="U504">
            <v>165314.73000000001</v>
          </cell>
          <cell r="V504">
            <v>192337.66</v>
          </cell>
          <cell r="W504">
            <v>238131.78</v>
          </cell>
          <cell r="X504">
            <v>150941.44</v>
          </cell>
          <cell r="Y504">
            <v>183818.25</v>
          </cell>
          <cell r="Z504">
            <v>309360.78999999998</v>
          </cell>
          <cell r="AA504">
            <v>567804.03</v>
          </cell>
          <cell r="AB504">
            <v>88623.51</v>
          </cell>
          <cell r="AC504">
            <v>374307.21</v>
          </cell>
          <cell r="AD504">
            <v>237715.8</v>
          </cell>
          <cell r="AE504">
            <v>233130.37</v>
          </cell>
          <cell r="AF504">
            <v>187723.53</v>
          </cell>
          <cell r="AG504">
            <v>285838.36</v>
          </cell>
          <cell r="AH504">
            <v>228908.86</v>
          </cell>
          <cell r="AI504">
            <v>133021.95000000001</v>
          </cell>
          <cell r="AJ504">
            <v>117283.72</v>
          </cell>
          <cell r="AK504">
            <v>176993.06</v>
          </cell>
          <cell r="AL504">
            <v>501039.22</v>
          </cell>
          <cell r="AM504">
            <v>530667.21</v>
          </cell>
          <cell r="AN504">
            <v>29651.99</v>
          </cell>
          <cell r="AO504">
            <v>116264.99</v>
          </cell>
          <cell r="AP504">
            <v>147425.94</v>
          </cell>
          <cell r="AQ504">
            <v>276266.61</v>
          </cell>
          <cell r="AR504">
            <v>173152.4</v>
          </cell>
          <cell r="AS504">
            <v>56295.57</v>
          </cell>
          <cell r="AT504">
            <v>114709.43</v>
          </cell>
          <cell r="AU504">
            <v>275197.34999999998</v>
          </cell>
          <cell r="AV504">
            <v>13545.85</v>
          </cell>
          <cell r="AW504">
            <v>131872.09</v>
          </cell>
          <cell r="AX504">
            <v>114201.33</v>
          </cell>
          <cell r="AY504">
            <v>339902.34</v>
          </cell>
          <cell r="AZ504">
            <v>44949.32</v>
          </cell>
          <cell r="BA504">
            <v>38349.89</v>
          </cell>
          <cell r="BB504">
            <v>206445.71</v>
          </cell>
          <cell r="BC504">
            <v>271415.38</v>
          </cell>
          <cell r="BD504">
            <v>299022.55</v>
          </cell>
          <cell r="BE504">
            <v>185666.12</v>
          </cell>
          <cell r="BF504">
            <v>155535.28</v>
          </cell>
          <cell r="BG504">
            <v>173393.67</v>
          </cell>
          <cell r="BH504">
            <v>130529.78</v>
          </cell>
          <cell r="BI504">
            <v>282663.07</v>
          </cell>
          <cell r="BJ504">
            <v>143901.29999999999</v>
          </cell>
          <cell r="BK504">
            <v>284170.84999999998</v>
          </cell>
          <cell r="BL504">
            <v>522.70000000000005</v>
          </cell>
          <cell r="BM504">
            <v>175594.18</v>
          </cell>
          <cell r="BN504">
            <v>207500.34</v>
          </cell>
          <cell r="BO504">
            <v>140022.29</v>
          </cell>
          <cell r="BP504">
            <v>276403.43</v>
          </cell>
          <cell r="BQ504">
            <v>137380.39000000001</v>
          </cell>
          <cell r="BR504">
            <v>238260.53</v>
          </cell>
          <cell r="BS504">
            <v>136181.56</v>
          </cell>
          <cell r="BT504">
            <v>184541.45</v>
          </cell>
          <cell r="BU504">
            <v>286366.3</v>
          </cell>
          <cell r="BV504">
            <v>367110.88</v>
          </cell>
          <cell r="BW504">
            <v>343091.24</v>
          </cell>
          <cell r="BX504">
            <v>98865.03</v>
          </cell>
          <cell r="BY504">
            <v>43717.84</v>
          </cell>
          <cell r="BZ504">
            <v>821049.17</v>
          </cell>
          <cell r="CA504">
            <v>-69258.289999999994</v>
          </cell>
          <cell r="CB504">
            <v>184633.57</v>
          </cell>
          <cell r="CC504">
            <v>361386.11</v>
          </cell>
          <cell r="CD504">
            <v>145975.93</v>
          </cell>
          <cell r="CE504">
            <v>129602.64</v>
          </cell>
          <cell r="CF504">
            <v>155441.84</v>
          </cell>
          <cell r="CG504">
            <v>213753.31</v>
          </cell>
          <cell r="CH504">
            <v>142907.10999999999</v>
          </cell>
          <cell r="CI504">
            <v>99204.78</v>
          </cell>
          <cell r="CJ504">
            <v>126124.36</v>
          </cell>
          <cell r="CK504">
            <v>35010.19</v>
          </cell>
          <cell r="CL504">
            <v>239795.24</v>
          </cell>
          <cell r="CM504">
            <v>176391.86</v>
          </cell>
          <cell r="CN504">
            <v>169357.84</v>
          </cell>
          <cell r="CO504">
            <v>223633.18</v>
          </cell>
          <cell r="CP504">
            <v>200492.17</v>
          </cell>
          <cell r="CQ504">
            <v>120743.92</v>
          </cell>
          <cell r="CR504">
            <v>335522.96999999997</v>
          </cell>
          <cell r="CS504">
            <v>147099.53</v>
          </cell>
          <cell r="CT504">
            <v>120499.74</v>
          </cell>
          <cell r="CU504">
            <v>789810.57</v>
          </cell>
          <cell r="CV504">
            <v>28124.6</v>
          </cell>
          <cell r="CW504">
            <v>272287.74</v>
          </cell>
          <cell r="CX504">
            <v>366012.11</v>
          </cell>
          <cell r="CY504">
            <v>466589.77</v>
          </cell>
          <cell r="CZ504">
            <v>658167.25</v>
          </cell>
          <cell r="DA504">
            <v>396320.9</v>
          </cell>
          <cell r="DB504">
            <v>439896.05</v>
          </cell>
          <cell r="DC504">
            <v>374419.74</v>
          </cell>
          <cell r="DD504">
            <v>466198.69</v>
          </cell>
          <cell r="DE504">
            <v>409895.53</v>
          </cell>
          <cell r="DF504">
            <v>226388.35</v>
          </cell>
          <cell r="DG504">
            <v>794417.12</v>
          </cell>
        </row>
        <row r="505">
          <cell r="A505" t="str">
            <v>9240</v>
          </cell>
          <cell r="B505">
            <v>9924000</v>
          </cell>
          <cell r="C505" t="str">
            <v>Property Insurance</v>
          </cell>
          <cell r="D505">
            <v>12847.35</v>
          </cell>
          <cell r="E505">
            <v>12847.35</v>
          </cell>
          <cell r="F505">
            <v>12847.35</v>
          </cell>
          <cell r="G505">
            <v>13836.8</v>
          </cell>
          <cell r="H505">
            <v>12432.92</v>
          </cell>
          <cell r="I505">
            <v>12432.92</v>
          </cell>
          <cell r="J505">
            <v>12342.64</v>
          </cell>
          <cell r="K505">
            <v>12444.22</v>
          </cell>
          <cell r="L505">
            <v>12363.09</v>
          </cell>
          <cell r="M505">
            <v>12430.7</v>
          </cell>
          <cell r="N505">
            <v>12430.7</v>
          </cell>
          <cell r="O505">
            <v>12430.7</v>
          </cell>
          <cell r="P505">
            <v>12430.7</v>
          </cell>
          <cell r="Q505">
            <v>12430.7</v>
          </cell>
          <cell r="R505">
            <v>12394.7</v>
          </cell>
          <cell r="S505">
            <v>12430.7</v>
          </cell>
          <cell r="T505">
            <v>10111.280000000001</v>
          </cell>
          <cell r="U505">
            <v>10847.27</v>
          </cell>
          <cell r="V505">
            <v>10847.27</v>
          </cell>
          <cell r="W505">
            <v>10847.27</v>
          </cell>
          <cell r="X505">
            <v>10847.27</v>
          </cell>
          <cell r="Y505">
            <v>10847.27</v>
          </cell>
          <cell r="Z505">
            <v>10847.27</v>
          </cell>
          <cell r="AA505">
            <v>10847.27</v>
          </cell>
          <cell r="AB505">
            <v>10797.27</v>
          </cell>
          <cell r="AC505">
            <v>10824.57</v>
          </cell>
          <cell r="AD505">
            <v>10847.25</v>
          </cell>
          <cell r="AE505">
            <v>10153.23</v>
          </cell>
          <cell r="AF505">
            <v>10175.23</v>
          </cell>
          <cell r="AG505">
            <v>10175.23</v>
          </cell>
          <cell r="AH505">
            <v>10175.23</v>
          </cell>
          <cell r="AI505">
            <v>10175.23</v>
          </cell>
          <cell r="AJ505">
            <v>10175.23</v>
          </cell>
          <cell r="AK505">
            <v>10175.23</v>
          </cell>
          <cell r="AL505">
            <v>10175.23</v>
          </cell>
          <cell r="AM505">
            <v>10175.23</v>
          </cell>
          <cell r="AN505">
            <v>10175.23</v>
          </cell>
          <cell r="AO505">
            <v>10175.23</v>
          </cell>
          <cell r="AP505">
            <v>8660.81</v>
          </cell>
          <cell r="AQ505">
            <v>8020.49</v>
          </cell>
          <cell r="AR505">
            <v>8338.9599999999991</v>
          </cell>
          <cell r="AS505">
            <v>8286.43</v>
          </cell>
          <cell r="AT505">
            <v>8238.15</v>
          </cell>
          <cell r="AU505">
            <v>8286.43</v>
          </cell>
          <cell r="AV505">
            <v>8286.43</v>
          </cell>
          <cell r="AW505">
            <v>8286.43</v>
          </cell>
          <cell r="AX505">
            <v>8286.43</v>
          </cell>
          <cell r="AY505">
            <v>8215.5400000000009</v>
          </cell>
          <cell r="AZ505">
            <v>8109.33</v>
          </cell>
          <cell r="BA505">
            <v>8531.65</v>
          </cell>
          <cell r="BB505">
            <v>8888.06</v>
          </cell>
          <cell r="BC505">
            <v>8497.76</v>
          </cell>
          <cell r="BD505">
            <v>8497.76</v>
          </cell>
          <cell r="BE505">
            <v>8497.76</v>
          </cell>
          <cell r="BF505">
            <v>8497.76</v>
          </cell>
          <cell r="BG505">
            <v>8497.76</v>
          </cell>
          <cell r="BH505">
            <v>8497.76</v>
          </cell>
          <cell r="BI505">
            <v>8497.76</v>
          </cell>
          <cell r="BJ505">
            <v>8497.76</v>
          </cell>
          <cell r="BK505">
            <v>10499.62</v>
          </cell>
          <cell r="BL505">
            <v>10470.68</v>
          </cell>
          <cell r="BM505">
            <v>4290.24</v>
          </cell>
          <cell r="BN505">
            <v>8414.4699999999993</v>
          </cell>
          <cell r="BO505">
            <v>8414.4699999999993</v>
          </cell>
          <cell r="BP505">
            <v>8414.4699999999993</v>
          </cell>
          <cell r="BQ505">
            <v>8414.4699999999993</v>
          </cell>
          <cell r="BR505">
            <v>8414.4699999999993</v>
          </cell>
          <cell r="BS505">
            <v>583335.51</v>
          </cell>
          <cell r="BT505">
            <v>614382.68999999994</v>
          </cell>
          <cell r="BU505">
            <v>612467.52</v>
          </cell>
          <cell r="BV505">
            <v>692353.85</v>
          </cell>
          <cell r="BW505">
            <v>961813.33</v>
          </cell>
          <cell r="BX505">
            <v>8713.26</v>
          </cell>
          <cell r="BY505">
            <v>8969.11</v>
          </cell>
          <cell r="BZ505">
            <v>8789.67</v>
          </cell>
          <cell r="CA505">
            <v>8789.67</v>
          </cell>
          <cell r="CB505">
            <v>8789.67</v>
          </cell>
          <cell r="CC505">
            <v>6601.25</v>
          </cell>
          <cell r="CD505">
            <v>7823.41</v>
          </cell>
          <cell r="CE505">
            <v>8392.7099999999991</v>
          </cell>
          <cell r="CF505">
            <v>8280.1299999999992</v>
          </cell>
          <cell r="CG505">
            <v>52.43</v>
          </cell>
          <cell r="CH505">
            <v>3423.93</v>
          </cell>
          <cell r="CI505">
            <v>7740.55</v>
          </cell>
          <cell r="CJ505">
            <v>34742.83</v>
          </cell>
          <cell r="CK505">
            <v>34728.519999999997</v>
          </cell>
          <cell r="CL505">
            <v>35873.9</v>
          </cell>
          <cell r="CM505">
            <v>35873.9</v>
          </cell>
          <cell r="CN505">
            <v>36151.74</v>
          </cell>
          <cell r="CO505">
            <v>35966.53</v>
          </cell>
          <cell r="CP505">
            <v>35990.480000000003</v>
          </cell>
          <cell r="CQ505">
            <v>35966.53</v>
          </cell>
          <cell r="CR505">
            <v>35966.53</v>
          </cell>
          <cell r="CS505">
            <v>35966.53</v>
          </cell>
          <cell r="CT505">
            <v>35966.53</v>
          </cell>
          <cell r="CU505">
            <v>35966.53</v>
          </cell>
          <cell r="CV505">
            <v>36099.300000000003</v>
          </cell>
          <cell r="CW505">
            <v>36243.800000000003</v>
          </cell>
          <cell r="CX505">
            <v>37075.18</v>
          </cell>
          <cell r="CY505">
            <v>35550.22</v>
          </cell>
          <cell r="CZ505">
            <v>37175.22</v>
          </cell>
          <cell r="DA505">
            <v>37149.019999999997</v>
          </cell>
          <cell r="DB505">
            <v>42451.4</v>
          </cell>
          <cell r="DC505">
            <v>37407.67</v>
          </cell>
          <cell r="DD505">
            <v>38281.24</v>
          </cell>
          <cell r="DE505">
            <v>38196.68</v>
          </cell>
          <cell r="DF505">
            <v>38196.68</v>
          </cell>
          <cell r="DG505">
            <v>38196.68</v>
          </cell>
        </row>
        <row r="506">
          <cell r="A506" t="str">
            <v>9250</v>
          </cell>
          <cell r="B506">
            <v>9925000</v>
          </cell>
          <cell r="C506" t="str">
            <v>Injuries and Damages</v>
          </cell>
          <cell r="D506">
            <v>705136.09</v>
          </cell>
          <cell r="E506">
            <v>252274.32</v>
          </cell>
          <cell r="F506">
            <v>-2589614.4</v>
          </cell>
          <cell r="G506">
            <v>300916.74</v>
          </cell>
          <cell r="H506">
            <v>331375.81</v>
          </cell>
          <cell r="I506">
            <v>6772.13</v>
          </cell>
          <cell r="J506">
            <v>282726.21000000002</v>
          </cell>
          <cell r="K506">
            <v>384208.91</v>
          </cell>
          <cell r="L506">
            <v>184696.09</v>
          </cell>
          <cell r="M506">
            <v>375768.24</v>
          </cell>
          <cell r="N506">
            <v>376374.42</v>
          </cell>
          <cell r="O506">
            <v>-83772.149999999994</v>
          </cell>
          <cell r="P506">
            <v>277767.5</v>
          </cell>
          <cell r="Q506">
            <v>196006.53</v>
          </cell>
          <cell r="R506">
            <v>-213425.66</v>
          </cell>
          <cell r="S506">
            <v>133253.94</v>
          </cell>
          <cell r="T506">
            <v>166822.54999999999</v>
          </cell>
          <cell r="U506">
            <v>-3151.44</v>
          </cell>
          <cell r="V506">
            <v>249987.86</v>
          </cell>
          <cell r="W506">
            <v>284194.89</v>
          </cell>
          <cell r="X506">
            <v>133478.69</v>
          </cell>
          <cell r="Y506">
            <v>223038.31</v>
          </cell>
          <cell r="Z506">
            <v>630512.07999999996</v>
          </cell>
          <cell r="AA506">
            <v>850119.82</v>
          </cell>
          <cell r="AB506">
            <v>193769.68</v>
          </cell>
          <cell r="AC506">
            <v>289334.92</v>
          </cell>
          <cell r="AD506">
            <v>-187556.28</v>
          </cell>
          <cell r="AE506">
            <v>18432.080000000002</v>
          </cell>
          <cell r="AF506">
            <v>337289.71</v>
          </cell>
          <cell r="AG506">
            <v>826118.79</v>
          </cell>
          <cell r="AH506">
            <v>966.14</v>
          </cell>
          <cell r="AI506">
            <v>290629.57</v>
          </cell>
          <cell r="AJ506">
            <v>-32399.24</v>
          </cell>
          <cell r="AK506">
            <v>244313.86</v>
          </cell>
          <cell r="AL506">
            <v>204113.21</v>
          </cell>
          <cell r="AM506">
            <v>1136756.44</v>
          </cell>
          <cell r="AN506">
            <v>16437.91</v>
          </cell>
          <cell r="AO506">
            <v>157763.84</v>
          </cell>
          <cell r="AP506">
            <v>106877.49</v>
          </cell>
          <cell r="AQ506">
            <v>363575.43</v>
          </cell>
          <cell r="AR506">
            <v>207100.89</v>
          </cell>
          <cell r="AS506">
            <v>100250.14</v>
          </cell>
          <cell r="AT506">
            <v>403564.2</v>
          </cell>
          <cell r="AU506">
            <v>119698.64</v>
          </cell>
          <cell r="AV506">
            <v>604641.86</v>
          </cell>
          <cell r="AW506">
            <v>293427.73</v>
          </cell>
          <cell r="AX506">
            <v>427936.73</v>
          </cell>
          <cell r="AY506">
            <v>-6760.9</v>
          </cell>
          <cell r="AZ506">
            <v>410675.99</v>
          </cell>
          <cell r="BA506">
            <v>282646.42</v>
          </cell>
          <cell r="BB506">
            <v>230646.55</v>
          </cell>
          <cell r="BC506">
            <v>267422.05</v>
          </cell>
          <cell r="BD506">
            <v>583405.31000000006</v>
          </cell>
          <cell r="BE506">
            <v>192503.27</v>
          </cell>
          <cell r="BF506">
            <v>183169.98</v>
          </cell>
          <cell r="BG506">
            <v>-12139.59</v>
          </cell>
          <cell r="BH506">
            <v>338979.68</v>
          </cell>
          <cell r="BI506">
            <v>401110.41</v>
          </cell>
          <cell r="BJ506">
            <v>443394.64</v>
          </cell>
          <cell r="BK506">
            <v>525834.46</v>
          </cell>
          <cell r="BL506">
            <v>299335.7</v>
          </cell>
          <cell r="BM506">
            <v>267596.98</v>
          </cell>
          <cell r="BN506">
            <v>1120990.98</v>
          </cell>
          <cell r="BO506">
            <v>332702.37</v>
          </cell>
          <cell r="BP506">
            <v>343980.54</v>
          </cell>
          <cell r="BQ506">
            <v>254336.55</v>
          </cell>
          <cell r="BR506">
            <v>1251410</v>
          </cell>
          <cell r="BS506">
            <v>498052.81</v>
          </cell>
          <cell r="BT506">
            <v>20824.93</v>
          </cell>
          <cell r="BU506">
            <v>671799.76</v>
          </cell>
          <cell r="BV506">
            <v>675872.35</v>
          </cell>
          <cell r="BW506">
            <v>1221614.3799999999</v>
          </cell>
          <cell r="BX506">
            <v>105195.34</v>
          </cell>
          <cell r="BY506">
            <v>667915.96</v>
          </cell>
          <cell r="BZ506">
            <v>-437170.51</v>
          </cell>
          <cell r="CA506">
            <v>348999.75</v>
          </cell>
          <cell r="CB506">
            <v>228308.03</v>
          </cell>
          <cell r="CC506">
            <v>593640.52</v>
          </cell>
          <cell r="CD506">
            <v>473007.27</v>
          </cell>
          <cell r="CE506">
            <v>892507.87</v>
          </cell>
          <cell r="CF506">
            <v>587756.43999999994</v>
          </cell>
          <cell r="CG506">
            <v>875648.5</v>
          </cell>
          <cell r="CH506">
            <v>440130.26</v>
          </cell>
          <cell r="CI506">
            <v>1314107.5900000001</v>
          </cell>
          <cell r="CJ506">
            <v>26944.3</v>
          </cell>
          <cell r="CK506">
            <v>553837.67000000004</v>
          </cell>
          <cell r="CL506">
            <v>721397.54</v>
          </cell>
          <cell r="CM506">
            <v>359935.43</v>
          </cell>
          <cell r="CN506">
            <v>1111661.42</v>
          </cell>
          <cell r="CO506">
            <v>211334.33</v>
          </cell>
          <cell r="CP506">
            <v>748912.23</v>
          </cell>
          <cell r="CQ506">
            <v>528536.56000000006</v>
          </cell>
          <cell r="CR506">
            <v>925155.19</v>
          </cell>
          <cell r="CS506">
            <v>582753.55000000005</v>
          </cell>
          <cell r="CT506">
            <v>844085.25</v>
          </cell>
          <cell r="CU506">
            <v>2557574.38</v>
          </cell>
          <cell r="CV506">
            <v>-57199.71</v>
          </cell>
          <cell r="CW506">
            <v>814007.88</v>
          </cell>
          <cell r="CX506">
            <v>359285.49</v>
          </cell>
          <cell r="CY506">
            <v>645681.81999999995</v>
          </cell>
          <cell r="CZ506">
            <v>762752.73</v>
          </cell>
          <cell r="DA506">
            <v>712722.48</v>
          </cell>
          <cell r="DB506">
            <v>1084880.76</v>
          </cell>
          <cell r="DC506">
            <v>450324.14</v>
          </cell>
          <cell r="DD506">
            <v>1708192.77</v>
          </cell>
          <cell r="DE506">
            <v>1693769.74</v>
          </cell>
          <cell r="DF506">
            <v>392607.02</v>
          </cell>
          <cell r="DG506">
            <v>321947.90000000002</v>
          </cell>
        </row>
        <row r="507">
          <cell r="A507" t="str">
            <v>9260</v>
          </cell>
          <cell r="B507">
            <v>9926000</v>
          </cell>
          <cell r="C507" t="str">
            <v>Emp Pension Benefits</v>
          </cell>
          <cell r="D507">
            <v>872469.75</v>
          </cell>
          <cell r="E507">
            <v>736308.28</v>
          </cell>
          <cell r="F507">
            <v>935269.93</v>
          </cell>
          <cell r="G507">
            <v>696702.4</v>
          </cell>
          <cell r="H507">
            <v>1021762.65</v>
          </cell>
          <cell r="I507">
            <v>871953.47</v>
          </cell>
          <cell r="J507">
            <v>801306.68</v>
          </cell>
          <cell r="K507">
            <v>1236817.96</v>
          </cell>
          <cell r="L507">
            <v>1026431.61</v>
          </cell>
          <cell r="M507">
            <v>763911.27</v>
          </cell>
          <cell r="N507">
            <v>929867.12</v>
          </cell>
          <cell r="O507">
            <v>1689443.21</v>
          </cell>
          <cell r="P507">
            <v>559341.97</v>
          </cell>
          <cell r="Q507">
            <v>821563.77</v>
          </cell>
          <cell r="R507">
            <v>734816.15</v>
          </cell>
          <cell r="S507">
            <v>545093.11</v>
          </cell>
          <cell r="T507">
            <v>959858.46</v>
          </cell>
          <cell r="U507">
            <v>758013.58</v>
          </cell>
          <cell r="V507">
            <v>562891.81000000006</v>
          </cell>
          <cell r="W507">
            <v>843225.26</v>
          </cell>
          <cell r="X507">
            <v>771682.18</v>
          </cell>
          <cell r="Y507">
            <v>715923.81</v>
          </cell>
          <cell r="Z507">
            <v>984253.78</v>
          </cell>
          <cell r="AA507">
            <v>381421.94</v>
          </cell>
          <cell r="AB507">
            <v>755578.03</v>
          </cell>
          <cell r="AC507">
            <v>964401.17</v>
          </cell>
          <cell r="AD507">
            <v>458802.76</v>
          </cell>
          <cell r="AE507">
            <v>673680.48</v>
          </cell>
          <cell r="AF507">
            <v>785302.57</v>
          </cell>
          <cell r="AG507">
            <v>512871.08</v>
          </cell>
          <cell r="AH507">
            <v>639768.68999999994</v>
          </cell>
          <cell r="AI507">
            <v>657967.31999999995</v>
          </cell>
          <cell r="AJ507">
            <v>1288117.55</v>
          </cell>
          <cell r="AK507">
            <v>803932.44</v>
          </cell>
          <cell r="AL507">
            <v>582732.98</v>
          </cell>
          <cell r="AM507">
            <v>910700.96</v>
          </cell>
          <cell r="AN507">
            <v>756196.46</v>
          </cell>
          <cell r="AO507">
            <v>697806.57</v>
          </cell>
          <cell r="AP507">
            <v>469150.32</v>
          </cell>
          <cell r="AQ507">
            <v>645921.31000000006</v>
          </cell>
          <cell r="AR507">
            <v>553475.18000000005</v>
          </cell>
          <cell r="AS507">
            <v>436312.54</v>
          </cell>
          <cell r="AT507">
            <v>670163.59</v>
          </cell>
          <cell r="AU507">
            <v>859419.68</v>
          </cell>
          <cell r="AV507">
            <v>678743.47</v>
          </cell>
          <cell r="AW507">
            <v>695528.71</v>
          </cell>
          <cell r="AX507">
            <v>879534.69</v>
          </cell>
          <cell r="AY507">
            <v>-232014.77</v>
          </cell>
          <cell r="AZ507">
            <v>850917.78</v>
          </cell>
          <cell r="BA507">
            <v>829499.45</v>
          </cell>
          <cell r="BB507">
            <v>685921.46</v>
          </cell>
          <cell r="BC507">
            <v>905787.98</v>
          </cell>
          <cell r="BD507">
            <v>805129.46</v>
          </cell>
          <cell r="BE507">
            <v>773924.65</v>
          </cell>
          <cell r="BF507">
            <v>914744.61</v>
          </cell>
          <cell r="BG507">
            <v>1004055.66</v>
          </cell>
          <cell r="BH507">
            <v>332940.57</v>
          </cell>
          <cell r="BI507">
            <v>980712.6</v>
          </cell>
          <cell r="BJ507">
            <v>1221743.1000000001</v>
          </cell>
          <cell r="BK507">
            <v>306146.74</v>
          </cell>
          <cell r="BL507">
            <v>1240740.81</v>
          </cell>
          <cell r="BM507">
            <v>918338.58</v>
          </cell>
          <cell r="BN507">
            <v>1002172.64</v>
          </cell>
          <cell r="BO507">
            <v>854033.79</v>
          </cell>
          <cell r="BP507">
            <v>901851.91</v>
          </cell>
          <cell r="BQ507">
            <v>975153.17</v>
          </cell>
          <cell r="BR507">
            <v>504608.99</v>
          </cell>
          <cell r="BS507">
            <v>855350.79</v>
          </cell>
          <cell r="BT507">
            <v>1173069.6399999999</v>
          </cell>
          <cell r="BU507">
            <v>672560.28</v>
          </cell>
          <cell r="BV507">
            <v>681548.80000000005</v>
          </cell>
          <cell r="BW507">
            <v>689712.06</v>
          </cell>
          <cell r="BX507">
            <v>721088.44</v>
          </cell>
          <cell r="BY507">
            <v>1422405.47</v>
          </cell>
          <cell r="BZ507">
            <v>879758.39</v>
          </cell>
          <cell r="CA507">
            <v>816445.43</v>
          </cell>
          <cell r="CB507">
            <v>655416.61</v>
          </cell>
          <cell r="CC507">
            <v>652955.94999999995</v>
          </cell>
          <cell r="CD507">
            <v>787920.93</v>
          </cell>
          <cell r="CE507">
            <v>708204.54</v>
          </cell>
          <cell r="CF507">
            <v>704825.03</v>
          </cell>
          <cell r="CG507">
            <v>928122.83</v>
          </cell>
          <cell r="CH507">
            <v>1270330.2</v>
          </cell>
          <cell r="CI507">
            <v>1734983.29</v>
          </cell>
          <cell r="CJ507">
            <v>1509564.55</v>
          </cell>
          <cell r="CK507">
            <v>854410.81</v>
          </cell>
          <cell r="CL507">
            <v>553894.30000000005</v>
          </cell>
          <cell r="CM507">
            <v>1122852.48</v>
          </cell>
          <cell r="CN507">
            <v>981225.57</v>
          </cell>
          <cell r="CO507">
            <v>757821.93</v>
          </cell>
          <cell r="CP507">
            <v>1515664.19</v>
          </cell>
          <cell r="CQ507">
            <v>1541319.32</v>
          </cell>
          <cell r="CR507">
            <v>884052.26</v>
          </cell>
          <cell r="CS507">
            <v>1545339.61</v>
          </cell>
          <cell r="CT507">
            <v>1321945.21</v>
          </cell>
          <cell r="CU507">
            <v>-1174907.57</v>
          </cell>
          <cell r="CV507">
            <v>1092564.27</v>
          </cell>
          <cell r="CW507">
            <v>570383.06000000006</v>
          </cell>
          <cell r="CX507">
            <v>583789.46</v>
          </cell>
          <cell r="CY507">
            <v>933261.48</v>
          </cell>
          <cell r="CZ507">
            <v>632218.02</v>
          </cell>
          <cell r="DA507">
            <v>2292062.94</v>
          </cell>
          <cell r="DB507">
            <v>661374.68999999994</v>
          </cell>
          <cell r="DC507">
            <v>219756.47</v>
          </cell>
          <cell r="DD507">
            <v>485008.35</v>
          </cell>
          <cell r="DE507">
            <v>994179.97</v>
          </cell>
          <cell r="DF507">
            <v>609532.67000000004</v>
          </cell>
          <cell r="DG507">
            <v>1109138.24</v>
          </cell>
        </row>
        <row r="508">
          <cell r="A508" t="str">
            <v>9280</v>
          </cell>
          <cell r="B508">
            <v>9928000</v>
          </cell>
          <cell r="C508" t="str">
            <v>Regul Commission Exp</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526.23</v>
          </cell>
          <cell r="CD508">
            <v>-567.46</v>
          </cell>
          <cell r="CE508">
            <v>0</v>
          </cell>
          <cell r="CF508">
            <v>0</v>
          </cell>
          <cell r="CG508">
            <v>0</v>
          </cell>
          <cell r="CH508">
            <v>0</v>
          </cell>
          <cell r="CI508">
            <v>0</v>
          </cell>
          <cell r="CJ508">
            <v>34179.129999999997</v>
          </cell>
          <cell r="CK508">
            <v>35838.28</v>
          </cell>
          <cell r="CL508">
            <v>35012.35</v>
          </cell>
          <cell r="CM508">
            <v>35009.919999999998</v>
          </cell>
          <cell r="CN508">
            <v>36408.83</v>
          </cell>
          <cell r="CO508">
            <v>35289.699999999997</v>
          </cell>
          <cell r="CP508">
            <v>35289.699999999997</v>
          </cell>
          <cell r="CQ508">
            <v>35289.699999999997</v>
          </cell>
          <cell r="CR508">
            <v>35289.699999999997</v>
          </cell>
          <cell r="CS508">
            <v>35289.699999999997</v>
          </cell>
          <cell r="CT508">
            <v>35289.699999999997</v>
          </cell>
          <cell r="CU508">
            <v>35289.699999999997</v>
          </cell>
          <cell r="CV508">
            <v>35289.699999999997</v>
          </cell>
          <cell r="CW508">
            <v>35289.699999999997</v>
          </cell>
          <cell r="CX508">
            <v>35289.699999999997</v>
          </cell>
          <cell r="CY508">
            <v>35289.699999999997</v>
          </cell>
          <cell r="CZ508">
            <v>35289.699999999997</v>
          </cell>
          <cell r="DA508">
            <v>35289.699999999997</v>
          </cell>
          <cell r="DB508">
            <v>35289.699999999997</v>
          </cell>
          <cell r="DC508">
            <v>35289.699999999997</v>
          </cell>
          <cell r="DD508">
            <v>35289.699999999997</v>
          </cell>
          <cell r="DE508">
            <v>35289.699999999997</v>
          </cell>
          <cell r="DF508">
            <v>35289.699999999997</v>
          </cell>
          <cell r="DG508">
            <v>35289.72</v>
          </cell>
        </row>
        <row r="509">
          <cell r="A509" t="str">
            <v>9301</v>
          </cell>
          <cell r="B509">
            <v>9930100</v>
          </cell>
          <cell r="C509" t="str">
            <v xml:space="preserve"> Gen Advertising Exp</v>
          </cell>
          <cell r="D509"/>
          <cell r="E509"/>
          <cell r="F509"/>
          <cell r="G509"/>
          <cell r="H509"/>
          <cell r="I509"/>
          <cell r="J509"/>
          <cell r="K509"/>
          <cell r="L509"/>
          <cell r="M509"/>
          <cell r="N509"/>
          <cell r="O509"/>
          <cell r="P509">
            <v>0</v>
          </cell>
          <cell r="Q509">
            <v>800</v>
          </cell>
          <cell r="R509">
            <v>0</v>
          </cell>
          <cell r="S509">
            <v>0</v>
          </cell>
          <cell r="T509">
            <v>0</v>
          </cell>
          <cell r="U509">
            <v>10000</v>
          </cell>
          <cell r="V509">
            <v>1450.16</v>
          </cell>
          <cell r="W509">
            <v>0</v>
          </cell>
          <cell r="X509">
            <v>870.93</v>
          </cell>
          <cell r="Y509">
            <v>299</v>
          </cell>
          <cell r="Z509">
            <v>0</v>
          </cell>
          <cell r="AA509">
            <v>0</v>
          </cell>
          <cell r="AB509">
            <v>603.69000000000005</v>
          </cell>
          <cell r="AC509">
            <v>99.64</v>
          </cell>
          <cell r="AD509">
            <v>0</v>
          </cell>
          <cell r="AE509">
            <v>0</v>
          </cell>
          <cell r="AF509">
            <v>0</v>
          </cell>
          <cell r="AG509">
            <v>0</v>
          </cell>
          <cell r="AH509">
            <v>0</v>
          </cell>
          <cell r="AI509">
            <v>83.64</v>
          </cell>
          <cell r="AJ509">
            <v>0</v>
          </cell>
          <cell r="AK509">
            <v>5230</v>
          </cell>
          <cell r="AL509">
            <v>0</v>
          </cell>
          <cell r="AM509">
            <v>14000</v>
          </cell>
          <cell r="AN509">
            <v>0</v>
          </cell>
          <cell r="AO509">
            <v>7000</v>
          </cell>
          <cell r="AP509">
            <v>0</v>
          </cell>
          <cell r="AQ509">
            <v>7000</v>
          </cell>
          <cell r="AR509">
            <v>-593.92999999999995</v>
          </cell>
          <cell r="AS509">
            <v>0</v>
          </cell>
          <cell r="AT509">
            <v>0</v>
          </cell>
          <cell r="AU509">
            <v>0</v>
          </cell>
          <cell r="AV509">
            <v>0</v>
          </cell>
          <cell r="AW509">
            <v>0</v>
          </cell>
          <cell r="AX509">
            <v>0</v>
          </cell>
          <cell r="AY509">
            <v>0</v>
          </cell>
          <cell r="AZ509">
            <v>0</v>
          </cell>
          <cell r="BA509">
            <v>0</v>
          </cell>
          <cell r="BB509">
            <v>0</v>
          </cell>
          <cell r="BC509">
            <v>207.2</v>
          </cell>
          <cell r="BD509">
            <v>0</v>
          </cell>
          <cell r="BE509">
            <v>0</v>
          </cell>
          <cell r="BF509">
            <v>0</v>
          </cell>
          <cell r="BG509">
            <v>398.16</v>
          </cell>
          <cell r="BH509">
            <v>0</v>
          </cell>
          <cell r="BI509">
            <v>0</v>
          </cell>
          <cell r="BJ509">
            <v>0</v>
          </cell>
          <cell r="BK509">
            <v>0</v>
          </cell>
          <cell r="BL509">
            <v>0</v>
          </cell>
          <cell r="BM509">
            <v>0</v>
          </cell>
          <cell r="BN509">
            <v>342.57</v>
          </cell>
          <cell r="BO509">
            <v>0</v>
          </cell>
          <cell r="BP509">
            <v>0</v>
          </cell>
          <cell r="BQ509">
            <v>0</v>
          </cell>
          <cell r="BR509">
            <v>564</v>
          </cell>
          <cell r="BS509">
            <v>0</v>
          </cell>
          <cell r="BT509">
            <v>0</v>
          </cell>
          <cell r="BU509">
            <v>0</v>
          </cell>
          <cell r="BV509">
            <v>680</v>
          </cell>
          <cell r="BW509">
            <v>-680</v>
          </cell>
          <cell r="BX509">
            <v>0</v>
          </cell>
          <cell r="BY509">
            <v>0</v>
          </cell>
          <cell r="BZ509">
            <v>0</v>
          </cell>
          <cell r="CA509">
            <v>0</v>
          </cell>
          <cell r="CB509">
            <v>0</v>
          </cell>
          <cell r="CC509">
            <v>0</v>
          </cell>
          <cell r="CD509">
            <v>0</v>
          </cell>
          <cell r="CE509">
            <v>0</v>
          </cell>
          <cell r="CF509">
            <v>231.6</v>
          </cell>
          <cell r="CG509">
            <v>0</v>
          </cell>
          <cell r="CH509">
            <v>0</v>
          </cell>
          <cell r="CI509">
            <v>0</v>
          </cell>
          <cell r="CJ509">
            <v>0</v>
          </cell>
          <cell r="CK509">
            <v>0</v>
          </cell>
          <cell r="CL509">
            <v>0</v>
          </cell>
          <cell r="CM509">
            <v>0.85</v>
          </cell>
          <cell r="CN509">
            <v>0</v>
          </cell>
          <cell r="CO509">
            <v>0</v>
          </cell>
          <cell r="CP509">
            <v>0</v>
          </cell>
          <cell r="CQ509">
            <v>0</v>
          </cell>
          <cell r="CR509">
            <v>677</v>
          </cell>
          <cell r="CS509">
            <v>0</v>
          </cell>
          <cell r="CT509">
            <v>0</v>
          </cell>
          <cell r="CU509">
            <v>0</v>
          </cell>
          <cell r="CV509">
            <v>0</v>
          </cell>
          <cell r="CW509">
            <v>0</v>
          </cell>
          <cell r="CX509">
            <v>0</v>
          </cell>
          <cell r="CY509">
            <v>0</v>
          </cell>
          <cell r="CZ509">
            <v>993</v>
          </cell>
          <cell r="DA509">
            <v>670.2</v>
          </cell>
          <cell r="DB509">
            <v>0</v>
          </cell>
          <cell r="DC509">
            <v>3353.66</v>
          </cell>
          <cell r="DD509">
            <v>3260.17</v>
          </cell>
          <cell r="DE509">
            <v>565</v>
          </cell>
          <cell r="DF509">
            <v>0</v>
          </cell>
          <cell r="DG509">
            <v>0</v>
          </cell>
        </row>
        <row r="510">
          <cell r="A510" t="str">
            <v>9302</v>
          </cell>
          <cell r="B510">
            <v>9930200</v>
          </cell>
          <cell r="C510" t="str">
            <v>Misc General Exp</v>
          </cell>
          <cell r="D510">
            <v>1018003.35</v>
          </cell>
          <cell r="E510">
            <v>1234232.42</v>
          </cell>
          <cell r="F510">
            <v>1483281.21</v>
          </cell>
          <cell r="G510">
            <v>1028758.18</v>
          </cell>
          <cell r="H510">
            <v>1042095.07</v>
          </cell>
          <cell r="I510">
            <v>1164251.02</v>
          </cell>
          <cell r="J510">
            <v>1244794.5900000001</v>
          </cell>
          <cell r="K510">
            <v>968673.42</v>
          </cell>
          <cell r="L510">
            <v>973876.75</v>
          </cell>
          <cell r="M510">
            <v>1168368.29</v>
          </cell>
          <cell r="N510">
            <v>1068337.3700000001</v>
          </cell>
          <cell r="O510">
            <v>594014.31999999995</v>
          </cell>
          <cell r="P510">
            <v>1641189.63</v>
          </cell>
          <cell r="Q510">
            <v>1470540.86</v>
          </cell>
          <cell r="R510">
            <v>1681998.47</v>
          </cell>
          <cell r="S510">
            <v>1827169.85</v>
          </cell>
          <cell r="T510">
            <v>1253610.3899999999</v>
          </cell>
          <cell r="U510">
            <v>1395351.06</v>
          </cell>
          <cell r="V510">
            <v>1568140.28</v>
          </cell>
          <cell r="W510">
            <v>1412330.69</v>
          </cell>
          <cell r="X510">
            <v>1706591.63</v>
          </cell>
          <cell r="Y510">
            <v>1495261.55</v>
          </cell>
          <cell r="Z510">
            <v>1486659.53</v>
          </cell>
          <cell r="AA510">
            <v>1587097.48</v>
          </cell>
          <cell r="AB510">
            <v>1409620.83</v>
          </cell>
          <cell r="AC510">
            <v>1312285.0900000001</v>
          </cell>
          <cell r="AD510">
            <v>2495321</v>
          </cell>
          <cell r="AE510">
            <v>1447218.17</v>
          </cell>
          <cell r="AF510">
            <v>1356702.93</v>
          </cell>
          <cell r="AG510">
            <v>1579553.41</v>
          </cell>
          <cell r="AH510">
            <v>1402366.87</v>
          </cell>
          <cell r="AI510">
            <v>1170302.04</v>
          </cell>
          <cell r="AJ510">
            <v>1411840.9</v>
          </cell>
          <cell r="AK510">
            <v>1520661.49</v>
          </cell>
          <cell r="AL510">
            <v>1257213.3600000001</v>
          </cell>
          <cell r="AM510">
            <v>1848314.18</v>
          </cell>
          <cell r="AN510">
            <v>1391183.83</v>
          </cell>
          <cell r="AO510">
            <v>1251185.8600000001</v>
          </cell>
          <cell r="AP510">
            <v>1852205.24</v>
          </cell>
          <cell r="AQ510">
            <v>1498213.51</v>
          </cell>
          <cell r="AR510">
            <v>1508106.75</v>
          </cell>
          <cell r="AS510">
            <v>2210831.79</v>
          </cell>
          <cell r="AT510">
            <v>1513414.37</v>
          </cell>
          <cell r="AU510">
            <v>1536611.47</v>
          </cell>
          <cell r="AV510">
            <v>2050812.96</v>
          </cell>
          <cell r="AW510">
            <v>1208329.03</v>
          </cell>
          <cell r="AX510">
            <v>1540305.41</v>
          </cell>
          <cell r="AY510">
            <v>2193738.85</v>
          </cell>
          <cell r="AZ510">
            <v>1574001.94</v>
          </cell>
          <cell r="BA510">
            <v>1680663.99</v>
          </cell>
          <cell r="BB510">
            <v>1879242.74</v>
          </cell>
          <cell r="BC510">
            <v>1434903.4</v>
          </cell>
          <cell r="BD510">
            <v>1522921.49</v>
          </cell>
          <cell r="BE510">
            <v>2237279.88</v>
          </cell>
          <cell r="BF510">
            <v>1648180.22</v>
          </cell>
          <cell r="BG510">
            <v>1461012.64</v>
          </cell>
          <cell r="BH510">
            <v>2050735.04</v>
          </cell>
          <cell r="BI510">
            <v>1449135.74</v>
          </cell>
          <cell r="BJ510">
            <v>1384530.22</v>
          </cell>
          <cell r="BK510">
            <v>2452279.2799999998</v>
          </cell>
          <cell r="BL510">
            <v>1564556.99</v>
          </cell>
          <cell r="BM510">
            <v>1386338.97</v>
          </cell>
          <cell r="BN510">
            <v>2165731.42</v>
          </cell>
          <cell r="BO510">
            <v>1488568.95</v>
          </cell>
          <cell r="BP510">
            <v>1614011.03</v>
          </cell>
          <cell r="BQ510">
            <v>2195858.7799999998</v>
          </cell>
          <cell r="BR510">
            <v>1597327.3</v>
          </cell>
          <cell r="BS510">
            <v>1616261.37</v>
          </cell>
          <cell r="BT510">
            <v>2328502.1</v>
          </cell>
          <cell r="BU510">
            <v>1486688.41</v>
          </cell>
          <cell r="BV510">
            <v>1465660.15</v>
          </cell>
          <cell r="BW510">
            <v>2566127.08</v>
          </cell>
          <cell r="BX510">
            <v>1789667.99</v>
          </cell>
          <cell r="BY510">
            <v>1567557.89</v>
          </cell>
          <cell r="BZ510">
            <v>2533541.7200000002</v>
          </cell>
          <cell r="CA510">
            <v>1831631.63</v>
          </cell>
          <cell r="CB510">
            <v>2043369.36</v>
          </cell>
          <cell r="CC510">
            <v>1945005.34</v>
          </cell>
          <cell r="CD510">
            <v>1764478.84</v>
          </cell>
          <cell r="CE510">
            <v>1635826.18</v>
          </cell>
          <cell r="CF510">
            <v>1732083.06</v>
          </cell>
          <cell r="CG510">
            <v>2284148.6800000002</v>
          </cell>
          <cell r="CH510">
            <v>1369419.75</v>
          </cell>
          <cell r="CI510">
            <v>3343585.61</v>
          </cell>
          <cell r="CJ510">
            <v>1650598.48</v>
          </cell>
          <cell r="CK510">
            <v>1451482.26</v>
          </cell>
          <cell r="CL510">
            <v>2131787.19</v>
          </cell>
          <cell r="CM510">
            <v>1379238.63</v>
          </cell>
          <cell r="CN510">
            <v>1141260.53</v>
          </cell>
          <cell r="CO510">
            <v>2779213.26</v>
          </cell>
          <cell r="CP510">
            <v>1650835.58</v>
          </cell>
          <cell r="CQ510">
            <v>1543568.19</v>
          </cell>
          <cell r="CR510">
            <v>2196938.48</v>
          </cell>
          <cell r="CS510">
            <v>1009886.58</v>
          </cell>
          <cell r="CT510">
            <v>1611723.65</v>
          </cell>
          <cell r="CU510">
            <v>2995614.73</v>
          </cell>
          <cell r="CV510">
            <v>1870468.38</v>
          </cell>
          <cell r="CW510">
            <v>1544628.61</v>
          </cell>
          <cell r="CX510">
            <v>2267178.2799999998</v>
          </cell>
          <cell r="CY510">
            <v>1740962.82</v>
          </cell>
          <cell r="CZ510">
            <v>1553263.22</v>
          </cell>
          <cell r="DA510">
            <v>2412675.9300000002</v>
          </cell>
          <cell r="DB510">
            <v>1686414.63</v>
          </cell>
          <cell r="DC510">
            <v>1785141.5</v>
          </cell>
          <cell r="DD510">
            <v>2369460.2999999998</v>
          </cell>
          <cell r="DE510">
            <v>1846421.18</v>
          </cell>
          <cell r="DF510">
            <v>1639738.08</v>
          </cell>
          <cell r="DG510">
            <v>2987897.08</v>
          </cell>
        </row>
        <row r="511">
          <cell r="A511" t="str">
            <v>9310</v>
          </cell>
          <cell r="B511">
            <v>9931000</v>
          </cell>
          <cell r="C511" t="str">
            <v>A&amp;G Rents</v>
          </cell>
          <cell r="D511">
            <v>42478.13</v>
          </cell>
          <cell r="E511">
            <v>38042.51</v>
          </cell>
          <cell r="F511">
            <v>32767.279999999999</v>
          </cell>
          <cell r="G511">
            <v>43747.64</v>
          </cell>
          <cell r="H511">
            <v>32937.410000000003</v>
          </cell>
          <cell r="I511">
            <v>37907.51</v>
          </cell>
          <cell r="J511">
            <v>44255.23</v>
          </cell>
          <cell r="K511">
            <v>37775.51</v>
          </cell>
          <cell r="L511">
            <v>32702.51</v>
          </cell>
          <cell r="M511">
            <v>36683.69</v>
          </cell>
          <cell r="N511">
            <v>36497.51</v>
          </cell>
          <cell r="O511">
            <v>43733.75</v>
          </cell>
          <cell r="P511">
            <v>35782.699999999997</v>
          </cell>
          <cell r="Q511">
            <v>73096.2</v>
          </cell>
          <cell r="R511">
            <v>56192.480000000003</v>
          </cell>
          <cell r="S511">
            <v>38994.36</v>
          </cell>
          <cell r="T511">
            <v>50333.74</v>
          </cell>
          <cell r="U511">
            <v>31915.87</v>
          </cell>
          <cell r="V511">
            <v>45481.17</v>
          </cell>
          <cell r="W511">
            <v>38877.910000000003</v>
          </cell>
          <cell r="X511">
            <v>53308.83</v>
          </cell>
          <cell r="Y511">
            <v>32536.9</v>
          </cell>
          <cell r="Z511">
            <v>46835.88</v>
          </cell>
          <cell r="AA511">
            <v>42215.47</v>
          </cell>
          <cell r="AB511">
            <v>39580.97</v>
          </cell>
          <cell r="AC511">
            <v>46190.080000000002</v>
          </cell>
          <cell r="AD511">
            <v>38059.93</v>
          </cell>
          <cell r="AE511">
            <v>29748.17</v>
          </cell>
          <cell r="AF511">
            <v>45384.36</v>
          </cell>
          <cell r="AG511">
            <v>46716.27</v>
          </cell>
          <cell r="AH511">
            <v>45985.41</v>
          </cell>
          <cell r="AI511">
            <v>36356.04</v>
          </cell>
          <cell r="AJ511">
            <v>37900.18</v>
          </cell>
          <cell r="AK511">
            <v>37639.120000000003</v>
          </cell>
          <cell r="AL511">
            <v>38522.6</v>
          </cell>
          <cell r="AM511">
            <v>31319.41</v>
          </cell>
          <cell r="AN511">
            <v>49574.73</v>
          </cell>
          <cell r="AO511">
            <v>40624.01</v>
          </cell>
          <cell r="AP511">
            <v>42195.6</v>
          </cell>
          <cell r="AQ511">
            <v>41978.74</v>
          </cell>
          <cell r="AR511">
            <v>39370.93</v>
          </cell>
          <cell r="AS511">
            <v>39324.699999999997</v>
          </cell>
          <cell r="AT511">
            <v>39653.46</v>
          </cell>
          <cell r="AU511">
            <v>39575.1</v>
          </cell>
          <cell r="AV511">
            <v>39302.07</v>
          </cell>
          <cell r="AW511">
            <v>36883.279999999999</v>
          </cell>
          <cell r="AX511">
            <v>42480.38</v>
          </cell>
          <cell r="AY511">
            <v>32429.55</v>
          </cell>
          <cell r="AZ511">
            <v>46276.07</v>
          </cell>
          <cell r="BA511">
            <v>61778.2</v>
          </cell>
          <cell r="BB511">
            <v>39667.33</v>
          </cell>
          <cell r="BC511">
            <v>39462.17</v>
          </cell>
          <cell r="BD511">
            <v>38180.99</v>
          </cell>
          <cell r="BE511">
            <v>39435.15</v>
          </cell>
          <cell r="BF511">
            <v>39556.44</v>
          </cell>
          <cell r="BG511">
            <v>41504.53</v>
          </cell>
          <cell r="BH511">
            <v>32970.35</v>
          </cell>
          <cell r="BI511">
            <v>46295.19</v>
          </cell>
          <cell r="BJ511">
            <v>39809.61</v>
          </cell>
          <cell r="BK511">
            <v>39239.32</v>
          </cell>
          <cell r="BL511">
            <v>37984.800000000003</v>
          </cell>
          <cell r="BM511">
            <v>32147</v>
          </cell>
          <cell r="BN511">
            <v>39081.25</v>
          </cell>
          <cell r="BO511">
            <v>46043.94</v>
          </cell>
          <cell r="BP511">
            <v>37510.660000000003</v>
          </cell>
          <cell r="BQ511">
            <v>37300.370000000003</v>
          </cell>
          <cell r="BR511">
            <v>38097.449999999997</v>
          </cell>
          <cell r="BS511">
            <v>38604.980000000003</v>
          </cell>
          <cell r="BT511">
            <v>36944.089999999997</v>
          </cell>
          <cell r="BU511">
            <v>37974.620000000003</v>
          </cell>
          <cell r="BV511">
            <v>30835.55</v>
          </cell>
          <cell r="BW511">
            <v>44673.64</v>
          </cell>
          <cell r="BX511">
            <v>52211.26</v>
          </cell>
          <cell r="BY511">
            <v>53448.27</v>
          </cell>
          <cell r="BZ511">
            <v>48673.32</v>
          </cell>
          <cell r="CA511">
            <v>46284.01</v>
          </cell>
          <cell r="CB511">
            <v>38996.51</v>
          </cell>
          <cell r="CC511">
            <v>53485.72</v>
          </cell>
          <cell r="CD511">
            <v>47873.35</v>
          </cell>
          <cell r="CE511">
            <v>18757.96</v>
          </cell>
          <cell r="CF511">
            <v>45508.480000000003</v>
          </cell>
          <cell r="CG511">
            <v>46274.78</v>
          </cell>
          <cell r="CH511">
            <v>46635.19</v>
          </cell>
          <cell r="CI511">
            <v>48127.09</v>
          </cell>
          <cell r="CJ511">
            <v>40049.33</v>
          </cell>
          <cell r="CK511">
            <v>32214.94</v>
          </cell>
          <cell r="CL511">
            <v>57648.44</v>
          </cell>
          <cell r="CM511">
            <v>41194.410000000003</v>
          </cell>
          <cell r="CN511">
            <v>41164.51</v>
          </cell>
          <cell r="CO511">
            <v>41546.76</v>
          </cell>
          <cell r="CP511">
            <v>40603.360000000001</v>
          </cell>
          <cell r="CQ511">
            <v>39968.410000000003</v>
          </cell>
          <cell r="CR511">
            <v>39328.51</v>
          </cell>
          <cell r="CS511">
            <v>39264.410000000003</v>
          </cell>
          <cell r="CT511">
            <v>38328.51</v>
          </cell>
          <cell r="CU511">
            <v>40505.26</v>
          </cell>
          <cell r="CV511">
            <v>39296.46</v>
          </cell>
          <cell r="CW511">
            <v>44137.19</v>
          </cell>
          <cell r="CX511">
            <v>41036.49</v>
          </cell>
          <cell r="CY511">
            <v>42366.879999999997</v>
          </cell>
          <cell r="CZ511">
            <v>42337.5</v>
          </cell>
          <cell r="DA511">
            <v>42352.65</v>
          </cell>
          <cell r="DB511">
            <v>42337.5</v>
          </cell>
          <cell r="DC511">
            <v>42337.5</v>
          </cell>
          <cell r="DD511">
            <v>42300.1</v>
          </cell>
          <cell r="DE511">
            <v>42564.5</v>
          </cell>
          <cell r="DF511">
            <v>42374.9</v>
          </cell>
          <cell r="DG511">
            <v>42337.5</v>
          </cell>
        </row>
        <row r="512">
          <cell r="A512" t="str">
            <v>9320</v>
          </cell>
          <cell r="B512">
            <v>9932000</v>
          </cell>
          <cell r="C512" t="str">
            <v>A&amp;G Gas Maint GenPlt</v>
          </cell>
          <cell r="D512">
            <v>19592.38</v>
          </cell>
          <cell r="E512">
            <v>17018.55</v>
          </cell>
          <cell r="F512">
            <v>18733.330000000002</v>
          </cell>
          <cell r="G512">
            <v>14532.9</v>
          </cell>
          <cell r="H512">
            <v>25828.79</v>
          </cell>
          <cell r="I512">
            <v>20143.43</v>
          </cell>
          <cell r="J512">
            <v>28616.46</v>
          </cell>
          <cell r="K512">
            <v>19834.89</v>
          </cell>
          <cell r="L512">
            <v>26157.040000000001</v>
          </cell>
          <cell r="M512">
            <v>21787.95</v>
          </cell>
          <cell r="N512">
            <v>12791.11</v>
          </cell>
          <cell r="O512">
            <v>19261.990000000002</v>
          </cell>
          <cell r="P512">
            <v>18334.43</v>
          </cell>
          <cell r="Q512">
            <v>30566.58</v>
          </cell>
          <cell r="R512">
            <v>26969.49</v>
          </cell>
          <cell r="S512">
            <v>29009.66</v>
          </cell>
          <cell r="T512">
            <v>17096.330000000002</v>
          </cell>
          <cell r="U512">
            <v>26353.9</v>
          </cell>
          <cell r="V512">
            <v>19988.689999999999</v>
          </cell>
          <cell r="W512">
            <v>16690.77</v>
          </cell>
          <cell r="X512">
            <v>21687.33</v>
          </cell>
          <cell r="Y512">
            <v>20055.669999999998</v>
          </cell>
          <cell r="Z512">
            <v>25948.89</v>
          </cell>
          <cell r="AA512">
            <v>36020.160000000003</v>
          </cell>
          <cell r="AB512">
            <v>19974.14</v>
          </cell>
          <cell r="AC512">
            <v>22807.99</v>
          </cell>
          <cell r="AD512">
            <v>29071.26</v>
          </cell>
          <cell r="AE512">
            <v>19166.689999999999</v>
          </cell>
          <cell r="AF512">
            <v>33451.230000000003</v>
          </cell>
          <cell r="AG512">
            <v>31141.85</v>
          </cell>
          <cell r="AH512">
            <v>16543.009999999998</v>
          </cell>
          <cell r="AI512">
            <v>44969.31</v>
          </cell>
          <cell r="AJ512">
            <v>34505.9</v>
          </cell>
          <cell r="AK512">
            <v>24042.2</v>
          </cell>
          <cell r="AL512">
            <v>22590.75</v>
          </cell>
          <cell r="AM512">
            <v>102450.61</v>
          </cell>
          <cell r="AN512">
            <v>9114.01</v>
          </cell>
          <cell r="AO512">
            <v>19654.45</v>
          </cell>
          <cell r="AP512">
            <v>17041.849999999999</v>
          </cell>
          <cell r="AQ512">
            <v>15543</v>
          </cell>
          <cell r="AR512">
            <v>22024.91</v>
          </cell>
          <cell r="AS512">
            <v>21574.61</v>
          </cell>
          <cell r="AT512">
            <v>16927.71</v>
          </cell>
          <cell r="AU512">
            <v>21168.16</v>
          </cell>
          <cell r="AV512">
            <v>15869.04</v>
          </cell>
          <cell r="AW512">
            <v>34942.82</v>
          </cell>
          <cell r="AX512">
            <v>24897.91</v>
          </cell>
          <cell r="AY512">
            <v>38763.06</v>
          </cell>
          <cell r="AZ512">
            <v>13304.53</v>
          </cell>
          <cell r="BA512">
            <v>8643.64</v>
          </cell>
          <cell r="BB512">
            <v>19607.3</v>
          </cell>
          <cell r="BC512">
            <v>26500.16</v>
          </cell>
          <cell r="BD512">
            <v>33678.42</v>
          </cell>
          <cell r="BE512">
            <v>28056.43</v>
          </cell>
          <cell r="BF512">
            <v>22128.3</v>
          </cell>
          <cell r="BG512">
            <v>18469.169999999998</v>
          </cell>
          <cell r="BH512">
            <v>22052.32</v>
          </cell>
          <cell r="BI512">
            <v>30914.19</v>
          </cell>
          <cell r="BJ512">
            <v>17188.57</v>
          </cell>
          <cell r="BK512">
            <v>36010.93</v>
          </cell>
          <cell r="BL512">
            <v>17929.009999999998</v>
          </cell>
          <cell r="BM512">
            <v>71137.02</v>
          </cell>
          <cell r="BN512">
            <v>32496.05</v>
          </cell>
          <cell r="BO512">
            <v>31495.95</v>
          </cell>
          <cell r="BP512">
            <v>31101.34</v>
          </cell>
          <cell r="BQ512">
            <v>22979.43</v>
          </cell>
          <cell r="BR512">
            <v>26157.07</v>
          </cell>
          <cell r="BS512">
            <v>28349.97</v>
          </cell>
          <cell r="BT512">
            <v>23588.69</v>
          </cell>
          <cell r="BU512">
            <v>30503.23</v>
          </cell>
          <cell r="BV512">
            <v>25546.67</v>
          </cell>
          <cell r="BW512">
            <v>57633.54</v>
          </cell>
          <cell r="BX512">
            <v>115964.94</v>
          </cell>
          <cell r="BY512">
            <v>-75096.86</v>
          </cell>
          <cell r="BZ512">
            <v>-79480.11</v>
          </cell>
          <cell r="CA512">
            <v>119034.59</v>
          </cell>
          <cell r="CB512">
            <v>19682.37</v>
          </cell>
          <cell r="CC512">
            <v>16281.21</v>
          </cell>
          <cell r="CD512">
            <v>18553.990000000002</v>
          </cell>
          <cell r="CE512">
            <v>24012.31</v>
          </cell>
          <cell r="CF512">
            <v>19621.900000000001</v>
          </cell>
          <cell r="CG512">
            <v>21597.02</v>
          </cell>
          <cell r="CH512">
            <v>18895.580000000002</v>
          </cell>
          <cell r="CI512">
            <v>33613.22</v>
          </cell>
          <cell r="CJ512">
            <v>15207.32</v>
          </cell>
          <cell r="CK512">
            <v>9676.35</v>
          </cell>
          <cell r="CL512">
            <v>44974.8</v>
          </cell>
          <cell r="CM512">
            <v>15294.87</v>
          </cell>
          <cell r="CN512">
            <v>43224.49</v>
          </cell>
          <cell r="CO512">
            <v>26828.959999999999</v>
          </cell>
          <cell r="CP512">
            <v>24095.81</v>
          </cell>
          <cell r="CQ512">
            <v>29908.32</v>
          </cell>
          <cell r="CR512">
            <v>19365.62</v>
          </cell>
          <cell r="CS512">
            <v>16438.11</v>
          </cell>
          <cell r="CT512">
            <v>24229.91</v>
          </cell>
          <cell r="CU512">
            <v>20277.28</v>
          </cell>
          <cell r="CV512">
            <v>30312.05</v>
          </cell>
          <cell r="CW512">
            <v>31971.439999999999</v>
          </cell>
          <cell r="CX512">
            <v>20343.740000000002</v>
          </cell>
          <cell r="CY512">
            <v>25017.3</v>
          </cell>
          <cell r="CZ512">
            <v>45575.45</v>
          </cell>
          <cell r="DA512">
            <v>21846.98</v>
          </cell>
          <cell r="DB512">
            <v>52326.879999999997</v>
          </cell>
          <cell r="DC512">
            <v>54846.14</v>
          </cell>
          <cell r="DD512">
            <v>28064.67</v>
          </cell>
          <cell r="DE512">
            <v>35385.75</v>
          </cell>
          <cell r="DF512">
            <v>46815.58</v>
          </cell>
          <cell r="DG512">
            <v>49585.5</v>
          </cell>
        </row>
        <row r="513">
          <cell r="A513" t="str">
            <v>9999</v>
          </cell>
          <cell r="B513">
            <v>9999996</v>
          </cell>
          <cell r="C513" t="str">
            <v>FERC IC Recv</v>
          </cell>
          <cell r="D513">
            <v>1107633.3</v>
          </cell>
          <cell r="E513">
            <v>999043.49</v>
          </cell>
          <cell r="F513">
            <v>1103916.68</v>
          </cell>
          <cell r="G513">
            <v>1105871.44</v>
          </cell>
          <cell r="H513">
            <v>1036098.98</v>
          </cell>
          <cell r="I513">
            <v>1068658.3999999999</v>
          </cell>
          <cell r="J513">
            <v>981072.53</v>
          </cell>
          <cell r="K513">
            <v>1080760.7</v>
          </cell>
          <cell r="L513">
            <v>995590.03</v>
          </cell>
          <cell r="M513">
            <v>1011968.56</v>
          </cell>
          <cell r="N513">
            <v>903575.09</v>
          </cell>
          <cell r="O513">
            <v>1348839.1</v>
          </cell>
          <cell r="P513">
            <v>637.20000000000005</v>
          </cell>
          <cell r="Q513">
            <v>1188</v>
          </cell>
          <cell r="R513">
            <v>0</v>
          </cell>
          <cell r="S513">
            <v>16259.89</v>
          </cell>
          <cell r="T513">
            <v>22.51</v>
          </cell>
          <cell r="U513">
            <v>22246.12</v>
          </cell>
          <cell r="V513">
            <v>40599.839999999997</v>
          </cell>
          <cell r="W513">
            <v>0</v>
          </cell>
          <cell r="X513">
            <v>0</v>
          </cell>
          <cell r="Y513">
            <v>0</v>
          </cell>
          <cell r="Z513">
            <v>0</v>
          </cell>
          <cell r="AA513">
            <v>0</v>
          </cell>
          <cell r="AB513">
            <v>306309.51</v>
          </cell>
          <cell r="AC513">
            <v>277166.26</v>
          </cell>
          <cell r="AD513">
            <v>270244.62</v>
          </cell>
          <cell r="AE513">
            <v>242649.54</v>
          </cell>
          <cell r="AF513">
            <v>256488.37</v>
          </cell>
          <cell r="AG513">
            <v>266892.84000000003</v>
          </cell>
          <cell r="AH513">
            <v>253250.51</v>
          </cell>
          <cell r="AI513">
            <v>244500.28</v>
          </cell>
          <cell r="AJ513">
            <v>250477.01</v>
          </cell>
          <cell r="AK513">
            <v>249058.57</v>
          </cell>
          <cell r="AL513">
            <v>249779.77</v>
          </cell>
          <cell r="AM513">
            <v>312379.95</v>
          </cell>
          <cell r="AN513">
            <v>694840.76</v>
          </cell>
          <cell r="AO513">
            <v>786442.4</v>
          </cell>
          <cell r="AP513">
            <v>914952.17</v>
          </cell>
          <cell r="AQ513">
            <v>986088.67</v>
          </cell>
          <cell r="AR513">
            <v>1123160.8600000001</v>
          </cell>
          <cell r="AS513">
            <v>1248440.92</v>
          </cell>
          <cell r="AT513">
            <v>1046041.79</v>
          </cell>
          <cell r="AU513">
            <v>1147525.6100000001</v>
          </cell>
          <cell r="AV513">
            <v>992801.26</v>
          </cell>
          <cell r="AW513">
            <v>1026572.1</v>
          </cell>
          <cell r="AX513">
            <v>1063436.01</v>
          </cell>
          <cell r="AY513">
            <v>1148686.78</v>
          </cell>
          <cell r="AZ513">
            <v>1178456.72</v>
          </cell>
          <cell r="BA513">
            <v>984267.74</v>
          </cell>
          <cell r="BB513">
            <v>1063946.98</v>
          </cell>
          <cell r="BC513">
            <v>1003653.39</v>
          </cell>
          <cell r="BD513">
            <v>1190358.78</v>
          </cell>
          <cell r="BE513">
            <v>1252193.2</v>
          </cell>
          <cell r="BF513">
            <v>1249071.21</v>
          </cell>
          <cell r="BG513">
            <v>978297.45</v>
          </cell>
          <cell r="BH513">
            <v>1024053.08</v>
          </cell>
          <cell r="BI513">
            <v>1125734.51</v>
          </cell>
          <cell r="BJ513">
            <v>1218894.3899999999</v>
          </cell>
          <cell r="BK513">
            <v>1086542.1399999999</v>
          </cell>
          <cell r="BL513">
            <v>1194671.25</v>
          </cell>
          <cell r="BM513">
            <v>1064250.58</v>
          </cell>
          <cell r="BN513">
            <v>1077547.06</v>
          </cell>
          <cell r="BO513">
            <v>1028832.56</v>
          </cell>
          <cell r="BP513">
            <v>1304464.24</v>
          </cell>
          <cell r="BQ513">
            <v>1017964.93</v>
          </cell>
          <cell r="BR513">
            <v>1013828.35</v>
          </cell>
          <cell r="BS513">
            <v>1252658.1499999999</v>
          </cell>
          <cell r="BT513">
            <v>1021542.24</v>
          </cell>
          <cell r="BU513">
            <v>1034519.34</v>
          </cell>
          <cell r="BV513">
            <v>988246.58</v>
          </cell>
          <cell r="BW513">
            <v>1011613.31</v>
          </cell>
          <cell r="BX513">
            <v>1229035.28</v>
          </cell>
          <cell r="BY513">
            <v>1184665.8500000001</v>
          </cell>
          <cell r="BZ513">
            <v>1410901.08</v>
          </cell>
          <cell r="CA513">
            <v>1330262.8700000001</v>
          </cell>
          <cell r="CB513">
            <v>1421994.99</v>
          </cell>
          <cell r="CC513">
            <v>1265017.99</v>
          </cell>
          <cell r="CD513">
            <v>1495213.46</v>
          </cell>
          <cell r="CE513">
            <v>1211777.7</v>
          </cell>
          <cell r="CF513">
            <v>1285985.96</v>
          </cell>
          <cell r="CG513">
            <v>1272093.6200000001</v>
          </cell>
          <cell r="CH513">
            <v>1161892.02</v>
          </cell>
          <cell r="CI513">
            <v>1329157.6499999999</v>
          </cell>
          <cell r="CJ513">
            <v>1169161.4099999999</v>
          </cell>
          <cell r="CK513">
            <v>1115227.81</v>
          </cell>
          <cell r="CL513">
            <v>1199544.6399999999</v>
          </cell>
          <cell r="CM513">
            <v>1164065.1000000001</v>
          </cell>
          <cell r="CN513">
            <v>1119068.5</v>
          </cell>
          <cell r="CO513">
            <v>1386482.29</v>
          </cell>
          <cell r="CP513">
            <v>1321196.95</v>
          </cell>
          <cell r="CQ513">
            <v>1240684.21</v>
          </cell>
          <cell r="CR513">
            <v>1189358.52</v>
          </cell>
          <cell r="CS513">
            <v>1203666.7</v>
          </cell>
          <cell r="CT513">
            <v>1399988.77</v>
          </cell>
          <cell r="CU513">
            <v>1455795.95</v>
          </cell>
          <cell r="CV513">
            <v>1432343.05</v>
          </cell>
          <cell r="CW513">
            <v>1371652.26</v>
          </cell>
          <cell r="CX513">
            <v>1535426.33</v>
          </cell>
          <cell r="CY513">
            <v>2249914.9700000002</v>
          </cell>
          <cell r="CZ513">
            <v>1752349.61</v>
          </cell>
          <cell r="DA513">
            <v>2230593.19</v>
          </cell>
          <cell r="DB513">
            <v>1727780.11</v>
          </cell>
          <cell r="DC513">
            <v>2056079.93</v>
          </cell>
          <cell r="DD513">
            <v>2390831.5</v>
          </cell>
          <cell r="DE513">
            <v>1868569.77</v>
          </cell>
          <cell r="DF513">
            <v>2064338.14</v>
          </cell>
          <cell r="DG513">
            <v>7792424.5899999999</v>
          </cell>
        </row>
        <row r="514">
          <cell r="A514" t="str">
            <v>9999</v>
          </cell>
          <cell r="B514">
            <v>9999997</v>
          </cell>
          <cell r="C514" t="str">
            <v>FERC IC Payable</v>
          </cell>
          <cell r="D514">
            <v>-1107633.3</v>
          </cell>
          <cell r="E514">
            <v>-999043.49</v>
          </cell>
          <cell r="F514">
            <v>-1103916.68</v>
          </cell>
          <cell r="G514">
            <v>-1105871.44</v>
          </cell>
          <cell r="H514">
            <v>-1036098.98</v>
          </cell>
          <cell r="I514">
            <v>-1068658.3999999999</v>
          </cell>
          <cell r="J514">
            <v>-981072.53</v>
          </cell>
          <cell r="K514">
            <v>-1080760.7</v>
          </cell>
          <cell r="L514">
            <v>-995590.03</v>
          </cell>
          <cell r="M514">
            <v>-1011968.56</v>
          </cell>
          <cell r="N514">
            <v>-903575.09</v>
          </cell>
          <cell r="O514">
            <v>-1348839.1</v>
          </cell>
          <cell r="P514">
            <v>-637.20000000000005</v>
          </cell>
          <cell r="Q514">
            <v>-1188</v>
          </cell>
          <cell r="R514">
            <v>0</v>
          </cell>
          <cell r="S514">
            <v>-16259.89</v>
          </cell>
          <cell r="T514">
            <v>-22.51</v>
          </cell>
          <cell r="U514">
            <v>-22246.12</v>
          </cell>
          <cell r="V514">
            <v>-40599.839999999997</v>
          </cell>
          <cell r="W514">
            <v>0</v>
          </cell>
          <cell r="X514">
            <v>0</v>
          </cell>
          <cell r="Y514">
            <v>0</v>
          </cell>
          <cell r="Z514">
            <v>0</v>
          </cell>
          <cell r="AA514">
            <v>0</v>
          </cell>
          <cell r="AB514">
            <v>-306309.51</v>
          </cell>
          <cell r="AC514">
            <v>-277166.26</v>
          </cell>
          <cell r="AD514">
            <v>-270244.62</v>
          </cell>
          <cell r="AE514">
            <v>-242649.54</v>
          </cell>
          <cell r="AF514">
            <v>-256488.37</v>
          </cell>
          <cell r="AG514">
            <v>-266892.84000000003</v>
          </cell>
          <cell r="AH514">
            <v>-253250.51</v>
          </cell>
          <cell r="AI514">
            <v>-244500.28</v>
          </cell>
          <cell r="AJ514">
            <v>-250477.01</v>
          </cell>
          <cell r="AK514">
            <v>-249058.57</v>
          </cell>
          <cell r="AL514">
            <v>-249779.77</v>
          </cell>
          <cell r="AM514">
            <v>-312379.95</v>
          </cell>
          <cell r="AN514">
            <v>-694840.76</v>
          </cell>
          <cell r="AO514">
            <v>-786442.4</v>
          </cell>
          <cell r="AP514">
            <v>-914952.17</v>
          </cell>
          <cell r="AQ514">
            <v>-986088.67</v>
          </cell>
          <cell r="AR514">
            <v>-1123160.8600000001</v>
          </cell>
          <cell r="AS514">
            <v>-1248440.92</v>
          </cell>
          <cell r="AT514">
            <v>-1046041.79</v>
          </cell>
          <cell r="AU514">
            <v>-1147525.6100000001</v>
          </cell>
          <cell r="AV514">
            <v>-992801.26</v>
          </cell>
          <cell r="AW514">
            <v>-1026572.1</v>
          </cell>
          <cell r="AX514">
            <v>-1063437.01</v>
          </cell>
          <cell r="AY514">
            <v>-1148685.78</v>
          </cell>
          <cell r="AZ514">
            <v>-1178456.72</v>
          </cell>
          <cell r="BA514">
            <v>-984266.74</v>
          </cell>
          <cell r="BB514">
            <v>-1063947.98</v>
          </cell>
          <cell r="BC514">
            <v>-1003653.39</v>
          </cell>
          <cell r="BD514">
            <v>-1190358.78</v>
          </cell>
          <cell r="BE514">
            <v>-1252194.2</v>
          </cell>
          <cell r="BF514">
            <v>-1249070.21</v>
          </cell>
          <cell r="BG514">
            <v>-978297.45</v>
          </cell>
          <cell r="BH514">
            <v>-1024053.08</v>
          </cell>
          <cell r="BI514">
            <v>-1125734.51</v>
          </cell>
          <cell r="BJ514">
            <v>-1218894.3899999999</v>
          </cell>
          <cell r="BK514">
            <v>-1086542.1399999999</v>
          </cell>
          <cell r="BL514">
            <v>-1194671.25</v>
          </cell>
          <cell r="BM514">
            <v>-1064250.58</v>
          </cell>
          <cell r="BN514">
            <v>-1077547.06</v>
          </cell>
          <cell r="BO514">
            <v>-1028832.56</v>
          </cell>
          <cell r="BP514">
            <v>-1304464.24</v>
          </cell>
          <cell r="BQ514">
            <v>-1017964.93</v>
          </cell>
          <cell r="BR514">
            <v>-1013828.35</v>
          </cell>
          <cell r="BS514">
            <v>-1252658.1499999999</v>
          </cell>
          <cell r="BT514">
            <v>-1021542.24</v>
          </cell>
          <cell r="BU514">
            <v>-1034519.34</v>
          </cell>
          <cell r="BV514">
            <v>-988246.58</v>
          </cell>
          <cell r="BW514">
            <v>-1011613.31</v>
          </cell>
          <cell r="BX514">
            <v>-1229035.28</v>
          </cell>
          <cell r="BY514">
            <v>-1184665.8500000001</v>
          </cell>
          <cell r="BZ514">
            <v>-1410901.08</v>
          </cell>
          <cell r="CA514">
            <v>-1330262.8700000001</v>
          </cell>
          <cell r="CB514">
            <v>-1421994.99</v>
          </cell>
          <cell r="CC514">
            <v>-1265017.99</v>
          </cell>
          <cell r="CD514">
            <v>-1495213.46</v>
          </cell>
          <cell r="CE514">
            <v>-1211777.7</v>
          </cell>
          <cell r="CF514">
            <v>-1285985.96</v>
          </cell>
          <cell r="CG514">
            <v>-1272093.6200000001</v>
          </cell>
          <cell r="CH514">
            <v>-1161892.02</v>
          </cell>
          <cell r="CI514">
            <v>-1329157.6499999999</v>
          </cell>
          <cell r="CJ514">
            <v>-1169161.4099999999</v>
          </cell>
          <cell r="CK514">
            <v>-1115227.81</v>
          </cell>
          <cell r="CL514">
            <v>-1199544.6399999999</v>
          </cell>
          <cell r="CM514">
            <v>-1164065.1000000001</v>
          </cell>
          <cell r="CN514">
            <v>-1119068.5</v>
          </cell>
          <cell r="CO514">
            <v>-1386482.29</v>
          </cell>
          <cell r="CP514">
            <v>-1321196.95</v>
          </cell>
          <cell r="CQ514">
            <v>-1240684.21</v>
          </cell>
          <cell r="CR514">
            <v>-1189358.52</v>
          </cell>
          <cell r="CS514">
            <v>-1203666.7</v>
          </cell>
          <cell r="CT514">
            <v>-1399988.77</v>
          </cell>
          <cell r="CU514">
            <v>-1455795.95</v>
          </cell>
          <cell r="CV514">
            <v>-1432343.05</v>
          </cell>
          <cell r="CW514">
            <v>-1371652.26</v>
          </cell>
          <cell r="CX514">
            <v>-1535426.33</v>
          </cell>
          <cell r="CY514">
            <v>-2249914.9700000002</v>
          </cell>
          <cell r="CZ514">
            <v>-1752349.61</v>
          </cell>
          <cell r="DA514">
            <v>-2230593.19</v>
          </cell>
          <cell r="DB514">
            <v>-1727780.11</v>
          </cell>
          <cell r="DC514">
            <v>-2056079.93</v>
          </cell>
          <cell r="DD514">
            <v>-2390831.5</v>
          </cell>
          <cell r="DE514">
            <v>-1868569.77</v>
          </cell>
          <cell r="DF514">
            <v>-2064338.14</v>
          </cell>
          <cell r="DG514">
            <v>-7792424.5899999999</v>
          </cell>
        </row>
        <row r="515">
          <cell r="A515" t="str">
            <v>9999</v>
          </cell>
          <cell r="B515">
            <v>9999998</v>
          </cell>
          <cell r="C515" t="str">
            <v>FERC BalSheet Offset</v>
          </cell>
          <cell r="D515">
            <v>-5926627.8399999999</v>
          </cell>
          <cell r="E515">
            <v>-5207378.9800000004</v>
          </cell>
          <cell r="F515">
            <v>-5635192.7699999996</v>
          </cell>
          <cell r="G515">
            <v>-4029864.57</v>
          </cell>
          <cell r="H515">
            <v>-2509544.15</v>
          </cell>
          <cell r="I515">
            <v>-3161820.33</v>
          </cell>
          <cell r="J515">
            <v>-2232183.0099999998</v>
          </cell>
          <cell r="K515">
            <v>-2340109.84</v>
          </cell>
          <cell r="L515">
            <v>-1896969.56</v>
          </cell>
          <cell r="M515">
            <v>-2684891.98</v>
          </cell>
          <cell r="N515">
            <v>-3277463.31</v>
          </cell>
          <cell r="O515">
            <v>-4248335.58</v>
          </cell>
          <cell r="P515">
            <v>-6743701.9800000004</v>
          </cell>
          <cell r="Q515">
            <v>-5952009.46</v>
          </cell>
          <cell r="R515">
            <v>-5234938.55</v>
          </cell>
          <cell r="S515">
            <v>-3293716.26</v>
          </cell>
          <cell r="T515">
            <v>-2876418.1</v>
          </cell>
          <cell r="U515">
            <v>-3504739.28</v>
          </cell>
          <cell r="V515">
            <v>-2643766.5</v>
          </cell>
          <cell r="W515">
            <v>-3247907.72</v>
          </cell>
          <cell r="X515">
            <v>-2788762.95</v>
          </cell>
          <cell r="Y515">
            <v>-2916498.64</v>
          </cell>
          <cell r="Z515">
            <v>-2954264.69</v>
          </cell>
          <cell r="AA515">
            <v>-4242201.26</v>
          </cell>
          <cell r="AB515">
            <v>-6538693.25</v>
          </cell>
          <cell r="AC515">
            <v>-6501444.46</v>
          </cell>
          <cell r="AD515">
            <v>-3444714.16</v>
          </cell>
          <cell r="AE515">
            <v>-4023205.22</v>
          </cell>
          <cell r="AF515">
            <v>-3867373.5</v>
          </cell>
          <cell r="AG515">
            <v>-2503875.3199999998</v>
          </cell>
          <cell r="AH515">
            <v>-3629926.98</v>
          </cell>
          <cell r="AI515">
            <v>-3030577.36</v>
          </cell>
          <cell r="AJ515">
            <v>-3064730.16</v>
          </cell>
          <cell r="AK515">
            <v>-3999329.17</v>
          </cell>
          <cell r="AL515">
            <v>-4376946.5</v>
          </cell>
          <cell r="AM515">
            <v>-3349132.2</v>
          </cell>
          <cell r="AN515">
            <v>-6663855.8200000003</v>
          </cell>
          <cell r="AO515">
            <v>-5281664.58</v>
          </cell>
          <cell r="AP515">
            <v>-6139523.04</v>
          </cell>
          <cell r="AQ515">
            <v>-5541159.0999999996</v>
          </cell>
          <cell r="AR515">
            <v>-5633937.5800000001</v>
          </cell>
          <cell r="AS515">
            <v>-4120086.62</v>
          </cell>
          <cell r="AT515">
            <v>-4542358.13</v>
          </cell>
          <cell r="AU515">
            <v>-4403531.8600000003</v>
          </cell>
          <cell r="AV515">
            <v>-4294562.09</v>
          </cell>
          <cell r="AW515">
            <v>-4147644.62</v>
          </cell>
          <cell r="AX515">
            <v>-5267375.96</v>
          </cell>
          <cell r="AY515">
            <v>-7545743.8300000001</v>
          </cell>
          <cell r="AZ515">
            <v>-11289983.85</v>
          </cell>
          <cell r="BA515">
            <v>-6219713.6500000004</v>
          </cell>
          <cell r="BB515">
            <v>-3528505.79</v>
          </cell>
          <cell r="BC515">
            <v>-7057282.3799999999</v>
          </cell>
          <cell r="BD515">
            <v>-4660496.74</v>
          </cell>
          <cell r="BE515">
            <v>-5236662.32</v>
          </cell>
          <cell r="BF515">
            <v>-4976821.93</v>
          </cell>
          <cell r="BG515">
            <v>-4312566.6900000004</v>
          </cell>
          <cell r="BH515">
            <v>-5674078.8200000003</v>
          </cell>
          <cell r="BI515">
            <v>-4799841.45</v>
          </cell>
          <cell r="BJ515">
            <v>-5525303.0300000003</v>
          </cell>
          <cell r="BK515">
            <v>-7470271.9699999997</v>
          </cell>
          <cell r="BL515">
            <v>-8773788.0099999998</v>
          </cell>
          <cell r="BM515">
            <v>-7802085.2800000003</v>
          </cell>
          <cell r="BN515">
            <v>-7606134.9299999997</v>
          </cell>
          <cell r="BO515">
            <v>-7126144.4400000004</v>
          </cell>
          <cell r="BP515">
            <v>-6810404.6600000001</v>
          </cell>
          <cell r="BQ515">
            <v>-5786664.04</v>
          </cell>
          <cell r="BR515">
            <v>-4967232.24</v>
          </cell>
          <cell r="BS515">
            <v>-6041143.4000000004</v>
          </cell>
          <cell r="BT515">
            <v>-5742653.1600000001</v>
          </cell>
          <cell r="BU515">
            <v>-5388150.0700000003</v>
          </cell>
          <cell r="BV515">
            <v>-6220448.6299999999</v>
          </cell>
          <cell r="BW515">
            <v>-5805638.7800000003</v>
          </cell>
          <cell r="BX515">
            <v>-9616179.6099999994</v>
          </cell>
          <cell r="BY515">
            <v>-7886270.9299999997</v>
          </cell>
          <cell r="BZ515">
            <v>-7171192.9299999997</v>
          </cell>
          <cell r="CA515">
            <v>-5825353.5499999998</v>
          </cell>
          <cell r="CB515">
            <v>-5695014.6399999997</v>
          </cell>
          <cell r="CC515">
            <v>-5375653.3300000001</v>
          </cell>
          <cell r="CD515">
            <v>-5253965.79</v>
          </cell>
          <cell r="CE515">
            <v>-5698266.1200000001</v>
          </cell>
          <cell r="CF515">
            <v>-5492228.0499999998</v>
          </cell>
          <cell r="CG515">
            <v>-4917614.32</v>
          </cell>
          <cell r="CH515">
            <v>-6915010.5599999996</v>
          </cell>
          <cell r="CI515">
            <v>-7121472.0899999999</v>
          </cell>
          <cell r="CJ515">
            <v>-13476922.119999999</v>
          </cell>
          <cell r="CK515">
            <v>-9880962.5500000007</v>
          </cell>
          <cell r="CL515">
            <v>-9890369.2100000009</v>
          </cell>
          <cell r="CM515">
            <v>-9268530.4499999993</v>
          </cell>
          <cell r="CN515">
            <v>-7493869.1799999997</v>
          </cell>
          <cell r="CO515">
            <v>-7819359.7400000002</v>
          </cell>
          <cell r="CP515">
            <v>-6566824</v>
          </cell>
          <cell r="CQ515">
            <v>-6881630.5300000003</v>
          </cell>
          <cell r="CR515">
            <v>-7473919.0599999996</v>
          </cell>
          <cell r="CS515">
            <v>-7150830.9000000004</v>
          </cell>
          <cell r="CT515">
            <v>-8014403.3700000001</v>
          </cell>
          <cell r="CU515">
            <v>-8401226.5099999998</v>
          </cell>
          <cell r="CV515">
            <v>-11912930.289999999</v>
          </cell>
          <cell r="CW515">
            <v>-10985220.029999999</v>
          </cell>
          <cell r="CX515">
            <v>-13381200.48</v>
          </cell>
          <cell r="CY515">
            <v>-9634758.7599999998</v>
          </cell>
          <cell r="CZ515">
            <v>-8772511.6799999997</v>
          </cell>
          <cell r="DA515">
            <v>-9762298.7799999993</v>
          </cell>
          <cell r="DB515">
            <v>-6866210.5999999996</v>
          </cell>
          <cell r="DC515">
            <v>-7626430.6699999999</v>
          </cell>
          <cell r="DD515">
            <v>-10471361.960000001</v>
          </cell>
          <cell r="DE515">
            <v>-7646041.4400000004</v>
          </cell>
          <cell r="DF515">
            <v>-8820484.5299999993</v>
          </cell>
          <cell r="DG515">
            <v>-15026913.75</v>
          </cell>
        </row>
        <row r="516">
          <cell r="A516" t="str">
            <v>9999</v>
          </cell>
          <cell r="B516">
            <v>9999999</v>
          </cell>
          <cell r="C516" t="str">
            <v>FERC P&amp;L Offset</v>
          </cell>
          <cell r="D516">
            <v>5926627.8399999999</v>
          </cell>
          <cell r="E516">
            <v>5207378.9800000004</v>
          </cell>
          <cell r="F516">
            <v>5635192.7699999996</v>
          </cell>
          <cell r="G516">
            <v>4029864.57</v>
          </cell>
          <cell r="H516">
            <v>2509544.15</v>
          </cell>
          <cell r="I516">
            <v>3161820.33</v>
          </cell>
          <cell r="J516">
            <v>2232183.0099999998</v>
          </cell>
          <cell r="K516">
            <v>2340109.84</v>
          </cell>
          <cell r="L516">
            <v>1896969.56</v>
          </cell>
          <cell r="M516">
            <v>2684891.98</v>
          </cell>
          <cell r="N516">
            <v>3277463.31</v>
          </cell>
          <cell r="O516">
            <v>4248335.58</v>
          </cell>
          <cell r="P516">
            <v>6743701.9800000004</v>
          </cell>
          <cell r="Q516">
            <v>5952009.46</v>
          </cell>
          <cell r="R516">
            <v>5234938.55</v>
          </cell>
          <cell r="S516">
            <v>3293716.26</v>
          </cell>
          <cell r="T516">
            <v>2876418.1</v>
          </cell>
          <cell r="U516">
            <v>3504739.28</v>
          </cell>
          <cell r="V516">
            <v>2643766.5</v>
          </cell>
          <cell r="W516">
            <v>3247907.72</v>
          </cell>
          <cell r="X516">
            <v>2788762.95</v>
          </cell>
          <cell r="Y516">
            <v>2916498.64</v>
          </cell>
          <cell r="Z516">
            <v>2954264.69</v>
          </cell>
          <cell r="AA516">
            <v>4242201.26</v>
          </cell>
          <cell r="AB516">
            <v>6538693.25</v>
          </cell>
          <cell r="AC516">
            <v>6501444.46</v>
          </cell>
          <cell r="AD516">
            <v>3444714.16</v>
          </cell>
          <cell r="AE516">
            <v>4023205.22</v>
          </cell>
          <cell r="AF516">
            <v>3867373.5</v>
          </cell>
          <cell r="AG516">
            <v>2503875.3199999998</v>
          </cell>
          <cell r="AH516">
            <v>3629926.98</v>
          </cell>
          <cell r="AI516">
            <v>3030577.36</v>
          </cell>
          <cell r="AJ516">
            <v>3064730.16</v>
          </cell>
          <cell r="AK516">
            <v>3999329.17</v>
          </cell>
          <cell r="AL516">
            <v>4376946.5</v>
          </cell>
          <cell r="AM516">
            <v>3349132.2</v>
          </cell>
          <cell r="AN516">
            <v>6663855.8200000003</v>
          </cell>
          <cell r="AO516">
            <v>5281664.58</v>
          </cell>
          <cell r="AP516">
            <v>6139523.04</v>
          </cell>
          <cell r="AQ516">
            <v>5541159.0999999996</v>
          </cell>
          <cell r="AR516">
            <v>5633937.5800000001</v>
          </cell>
          <cell r="AS516">
            <v>4120086.62</v>
          </cell>
          <cell r="AT516">
            <v>4542358.13</v>
          </cell>
          <cell r="AU516">
            <v>4403531.8600000003</v>
          </cell>
          <cell r="AV516">
            <v>4294562.09</v>
          </cell>
          <cell r="AW516">
            <v>4147644.62</v>
          </cell>
          <cell r="AX516">
            <v>5267375.96</v>
          </cell>
          <cell r="AY516">
            <v>7545743.8300000001</v>
          </cell>
          <cell r="AZ516">
            <v>11289983.85</v>
          </cell>
          <cell r="BA516">
            <v>6219713.6500000004</v>
          </cell>
          <cell r="BB516">
            <v>3528505.79</v>
          </cell>
          <cell r="BC516">
            <v>7057282.3799999999</v>
          </cell>
          <cell r="BD516">
            <v>4660496.74</v>
          </cell>
          <cell r="BE516">
            <v>5236662.32</v>
          </cell>
          <cell r="BF516">
            <v>4976821.93</v>
          </cell>
          <cell r="BG516">
            <v>4312566.6900000004</v>
          </cell>
          <cell r="BH516">
            <v>5674078.8200000003</v>
          </cell>
          <cell r="BI516">
            <v>4799841.45</v>
          </cell>
          <cell r="BJ516">
            <v>5525303.0300000003</v>
          </cell>
          <cell r="BK516">
            <v>7470271.9699999997</v>
          </cell>
          <cell r="BL516">
            <v>8773788.0099999998</v>
          </cell>
          <cell r="BM516">
            <v>7802085.2800000003</v>
          </cell>
          <cell r="BN516">
            <v>7606134.9299999997</v>
          </cell>
          <cell r="BO516">
            <v>7126144.4400000004</v>
          </cell>
          <cell r="BP516">
            <v>6810404.6600000001</v>
          </cell>
          <cell r="BQ516">
            <v>5786664.04</v>
          </cell>
          <cell r="BR516">
            <v>4967232.24</v>
          </cell>
          <cell r="BS516">
            <v>6041143.4000000004</v>
          </cell>
          <cell r="BT516">
            <v>5742653.1600000001</v>
          </cell>
          <cell r="BU516">
            <v>5388150.0700000003</v>
          </cell>
          <cell r="BV516">
            <v>6220448.6299999999</v>
          </cell>
          <cell r="BW516">
            <v>5805638.7800000003</v>
          </cell>
          <cell r="BX516">
            <v>9616179.6099999994</v>
          </cell>
          <cell r="BY516">
            <v>7886270.9299999997</v>
          </cell>
          <cell r="BZ516">
            <v>7171192.9299999997</v>
          </cell>
          <cell r="CA516">
            <v>5825353.5499999998</v>
          </cell>
          <cell r="CB516">
            <v>5695014.6399999997</v>
          </cell>
          <cell r="CC516">
            <v>5375653.3300000001</v>
          </cell>
          <cell r="CD516">
            <v>5253965.79</v>
          </cell>
          <cell r="CE516">
            <v>5698266.1200000001</v>
          </cell>
          <cell r="CF516">
            <v>5492228.0499999998</v>
          </cell>
          <cell r="CG516">
            <v>4917614.32</v>
          </cell>
          <cell r="CH516">
            <v>6915010.5599999996</v>
          </cell>
          <cell r="CI516">
            <v>7121472.0899999999</v>
          </cell>
          <cell r="CJ516">
            <v>13476922.119999999</v>
          </cell>
          <cell r="CK516">
            <v>9880962.5500000007</v>
          </cell>
          <cell r="CL516">
            <v>9890369.2100000009</v>
          </cell>
          <cell r="CM516">
            <v>9268530.4499999993</v>
          </cell>
          <cell r="CN516">
            <v>7493869.1799999997</v>
          </cell>
          <cell r="CO516">
            <v>7819359.7400000002</v>
          </cell>
          <cell r="CP516">
            <v>6566824</v>
          </cell>
          <cell r="CQ516">
            <v>6881630.5300000003</v>
          </cell>
          <cell r="CR516">
            <v>7473919.0599999996</v>
          </cell>
          <cell r="CS516">
            <v>7150830.9000000004</v>
          </cell>
          <cell r="CT516">
            <v>8014403.3700000001</v>
          </cell>
          <cell r="CU516">
            <v>8401226.5099999998</v>
          </cell>
          <cell r="CV516">
            <v>11912930.289999999</v>
          </cell>
          <cell r="CW516">
            <v>10985220.029999999</v>
          </cell>
          <cell r="CX516">
            <v>13381200.48</v>
          </cell>
          <cell r="CY516">
            <v>9634758.7599999998</v>
          </cell>
          <cell r="CZ516">
            <v>8772511.6799999997</v>
          </cell>
          <cell r="DA516">
            <v>9762298.7799999993</v>
          </cell>
          <cell r="DB516">
            <v>6866210.5999999996</v>
          </cell>
          <cell r="DC516">
            <v>7626430.6699999999</v>
          </cell>
          <cell r="DD516">
            <v>10471361.960000001</v>
          </cell>
          <cell r="DE516">
            <v>7646041.4400000004</v>
          </cell>
          <cell r="DF516">
            <v>8820484.5299999993</v>
          </cell>
          <cell r="DG516">
            <v>15026913.75</v>
          </cell>
        </row>
        <row r="518">
          <cell r="AK518">
            <v>0</v>
          </cell>
          <cell r="AL518">
            <v>0</v>
          </cell>
          <cell r="AM518">
            <v>6.5192580223083496E-9</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0.9999999962747097</v>
          </cell>
          <cell r="BB518">
            <v>-1.0000000009313226</v>
          </cell>
          <cell r="BC518">
            <v>0</v>
          </cell>
          <cell r="BD518">
            <v>0</v>
          </cell>
          <cell r="BE518">
            <v>-1</v>
          </cell>
          <cell r="BF518">
            <v>1</v>
          </cell>
          <cell r="BG518">
            <v>0</v>
          </cell>
          <cell r="BH518">
            <v>0</v>
          </cell>
          <cell r="BI518">
            <v>0</v>
          </cell>
          <cell r="BJ518">
            <v>0</v>
          </cell>
          <cell r="BK518">
            <v>0</v>
          </cell>
          <cell r="BL518">
            <v>0</v>
          </cell>
          <cell r="BM518">
            <v>0</v>
          </cell>
          <cell r="BN518">
            <v>-8.3819031715393066E-9</v>
          </cell>
          <cell r="BO518">
            <v>0</v>
          </cell>
          <cell r="BP518">
            <v>0</v>
          </cell>
          <cell r="BQ518">
            <v>0</v>
          </cell>
          <cell r="BR518">
            <v>0</v>
          </cell>
          <cell r="BS518">
            <v>0</v>
          </cell>
          <cell r="BT518">
            <v>0</v>
          </cell>
          <cell r="BU518">
            <v>0.99999999813735485</v>
          </cell>
          <cell r="BV518">
            <v>0</v>
          </cell>
          <cell r="BW518">
            <v>-0.99999999813735485</v>
          </cell>
          <cell r="BX518">
            <v>0</v>
          </cell>
          <cell r="BY518">
            <v>0</v>
          </cell>
          <cell r="BZ518">
            <v>0</v>
          </cell>
          <cell r="CA518">
            <v>0</v>
          </cell>
          <cell r="CB518">
            <v>0</v>
          </cell>
          <cell r="CC518">
            <v>0</v>
          </cell>
          <cell r="CD518">
            <v>0</v>
          </cell>
          <cell r="CE518">
            <v>0</v>
          </cell>
          <cell r="CF518">
            <v>0</v>
          </cell>
          <cell r="CG518">
            <v>0</v>
          </cell>
          <cell r="CH518">
            <v>0</v>
          </cell>
          <cell r="CI518">
            <v>0</v>
          </cell>
          <cell r="CJ518">
            <v>0</v>
          </cell>
          <cell r="CK518">
            <v>0</v>
          </cell>
          <cell r="CL518">
            <v>0</v>
          </cell>
          <cell r="CM518">
            <v>0</v>
          </cell>
          <cell r="CN518">
            <v>0</v>
          </cell>
          <cell r="CO518">
            <v>0</v>
          </cell>
          <cell r="CP518">
            <v>0</v>
          </cell>
          <cell r="CQ518">
            <v>0</v>
          </cell>
          <cell r="CR518">
            <v>0</v>
          </cell>
          <cell r="CS518">
            <v>0</v>
          </cell>
          <cell r="CT518">
            <v>-7.4505805969238281E-9</v>
          </cell>
          <cell r="CU518">
            <v>0</v>
          </cell>
          <cell r="CV518">
            <v>0</v>
          </cell>
          <cell r="CW518">
            <v>0</v>
          </cell>
          <cell r="CX518">
            <v>0</v>
          </cell>
          <cell r="CY518">
            <v>0</v>
          </cell>
          <cell r="CZ518">
            <v>0</v>
          </cell>
          <cell r="DA518">
            <v>0</v>
          </cell>
          <cell r="DB518">
            <v>0</v>
          </cell>
          <cell r="DC518">
            <v>0</v>
          </cell>
          <cell r="DD518">
            <v>0</v>
          </cell>
          <cell r="DE518">
            <v>0</v>
          </cell>
          <cell r="DF518">
            <v>0</v>
          </cell>
          <cell r="DG518">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ACC"/>
    </sheetNames>
    <sheetDataSet>
      <sheetData sheetId="0">
        <row r="5">
          <cell r="C5" t="str">
            <v>Utility Plant in Svc</v>
          </cell>
          <cell r="D5">
            <v>1188438144.46</v>
          </cell>
          <cell r="E5">
            <v>1181375109.0899999</v>
          </cell>
          <cell r="F5">
            <v>1183669611.1700001</v>
          </cell>
          <cell r="G5">
            <v>1187818086.28</v>
          </cell>
          <cell r="H5">
            <v>1193444141.6099999</v>
          </cell>
          <cell r="I5">
            <v>1205461196.28</v>
          </cell>
          <cell r="J5">
            <v>1196718822.3299999</v>
          </cell>
          <cell r="K5">
            <v>1217215082.8699999</v>
          </cell>
          <cell r="L5">
            <v>1219768821.8399999</v>
          </cell>
          <cell r="M5">
            <v>1221185968.05</v>
          </cell>
          <cell r="N5">
            <v>1226654487.26</v>
          </cell>
          <cell r="O5">
            <v>1230602459.26</v>
          </cell>
          <cell r="P5">
            <v>1237774817.28</v>
          </cell>
          <cell r="Q5">
            <v>1243453386.9300001</v>
          </cell>
          <cell r="R5">
            <v>1239784853.5699999</v>
          </cell>
          <cell r="S5">
            <v>1247743088.6099999</v>
          </cell>
          <cell r="T5">
            <v>1255789698.6700001</v>
          </cell>
          <cell r="U5">
            <v>1263521357.9300001</v>
          </cell>
          <cell r="V5">
            <v>1273021195.1500001</v>
          </cell>
          <cell r="W5">
            <v>1278370429.4000001</v>
          </cell>
          <cell r="X5">
            <v>1280724126.74</v>
          </cell>
          <cell r="Y5">
            <v>1284361394.1199999</v>
          </cell>
          <cell r="Z5">
            <v>1285704724.3900001</v>
          </cell>
          <cell r="AA5">
            <v>1306055752.6700001</v>
          </cell>
          <cell r="AB5">
            <v>1290505400.77</v>
          </cell>
          <cell r="AC5">
            <v>1307925714.0699999</v>
          </cell>
          <cell r="AD5">
            <v>1312431109.54</v>
          </cell>
          <cell r="AE5">
            <v>1322755935.72</v>
          </cell>
          <cell r="AF5">
            <v>1329266317.1900001</v>
          </cell>
          <cell r="AG5">
            <v>1334332726.99</v>
          </cell>
          <cell r="AH5">
            <v>1337224990.6500001</v>
          </cell>
          <cell r="AI5">
            <v>1347244874.27</v>
          </cell>
          <cell r="AJ5">
            <v>1356728799.3099999</v>
          </cell>
          <cell r="AK5">
            <v>1360597866.1900001</v>
          </cell>
          <cell r="AL5">
            <v>1365895871.6199999</v>
          </cell>
          <cell r="AM5">
            <v>1376010821.8299999</v>
          </cell>
          <cell r="AN5">
            <v>1379384662.24</v>
          </cell>
          <cell r="AO5">
            <v>1380967784.3299999</v>
          </cell>
          <cell r="AP5">
            <v>1387344814.55</v>
          </cell>
          <cell r="AQ5">
            <v>1399295449.5</v>
          </cell>
          <cell r="AR5">
            <v>1399609417.1800001</v>
          </cell>
          <cell r="AS5">
            <v>1402003841.02</v>
          </cell>
          <cell r="AT5">
            <v>1414377121.22</v>
          </cell>
          <cell r="AU5">
            <v>1419403427.1700001</v>
          </cell>
          <cell r="AV5">
            <v>1419263811.6700001</v>
          </cell>
          <cell r="AW5">
            <v>1434909742.95</v>
          </cell>
          <cell r="AX5">
            <v>1443639091.9200001</v>
          </cell>
          <cell r="AY5">
            <v>1445030153.6500001</v>
          </cell>
          <cell r="AZ5">
            <v>1454809795</v>
          </cell>
          <cell r="BA5">
            <v>1456901142.1099999</v>
          </cell>
          <cell r="BB5">
            <v>1485655069.6199999</v>
          </cell>
          <cell r="BC5">
            <v>1498293140.1800001</v>
          </cell>
          <cell r="BD5">
            <v>1505702373.5699999</v>
          </cell>
          <cell r="BE5">
            <v>1508978962.3499999</v>
          </cell>
          <cell r="BF5">
            <v>1521219901.6900001</v>
          </cell>
          <cell r="BG5">
            <v>1523942752.9100001</v>
          </cell>
          <cell r="BH5">
            <v>1541525532.6400001</v>
          </cell>
          <cell r="BI5">
            <v>1550361331.8800001</v>
          </cell>
          <cell r="BJ5">
            <v>1553271404.5599999</v>
          </cell>
          <cell r="BK5">
            <v>1556639342.23</v>
          </cell>
          <cell r="BL5">
            <v>1571168666.03</v>
          </cell>
          <cell r="BM5">
            <v>1574185211.3099999</v>
          </cell>
          <cell r="BN5">
            <v>1578994550.5899999</v>
          </cell>
          <cell r="BO5">
            <v>1592070662.9200001</v>
          </cell>
          <cell r="BP5">
            <v>1601334072.53</v>
          </cell>
          <cell r="BQ5">
            <v>1612685331.8900001</v>
          </cell>
          <cell r="BR5">
            <v>1638034321.6099999</v>
          </cell>
          <cell r="BS5">
            <v>1641548263.23</v>
          </cell>
          <cell r="BT5">
            <v>1645419289.0699999</v>
          </cell>
          <cell r="BU5">
            <v>1659929375.55</v>
          </cell>
          <cell r="BV5">
            <v>1675381568.55</v>
          </cell>
          <cell r="BW5">
            <v>1685840446.9200001</v>
          </cell>
          <cell r="BX5">
            <v>1719277611.5699999</v>
          </cell>
          <cell r="BY5">
            <v>1722370602.3900001</v>
          </cell>
          <cell r="BZ5">
            <v>1717543335.01</v>
          </cell>
          <cell r="CA5">
            <v>1733113857.9100001</v>
          </cell>
          <cell r="CB5">
            <v>1737708178.29</v>
          </cell>
          <cell r="CC5">
            <v>1752095483.46</v>
          </cell>
          <cell r="CD5">
            <v>1770287739.9200001</v>
          </cell>
          <cell r="CE5">
            <v>1775799561.4200001</v>
          </cell>
          <cell r="CF5">
            <v>1777592586.3900001</v>
          </cell>
          <cell r="CG5">
            <v>1800710566.9400001</v>
          </cell>
          <cell r="CH5">
            <v>1803688689.6700001</v>
          </cell>
          <cell r="CI5">
            <v>1805576868.5799999</v>
          </cell>
          <cell r="CJ5">
            <v>1869700333.79</v>
          </cell>
          <cell r="CK5">
            <v>1870076642.52</v>
          </cell>
          <cell r="CL5">
            <v>1884351946.8599999</v>
          </cell>
          <cell r="CM5">
            <v>1890043797.6800001</v>
          </cell>
          <cell r="CN5">
            <v>1901225432.47</v>
          </cell>
          <cell r="CO5">
            <v>1942744871.3299999</v>
          </cell>
          <cell r="CP5">
            <v>1968537429.01</v>
          </cell>
          <cell r="CQ5">
            <v>2043575655.5799999</v>
          </cell>
          <cell r="CR5">
            <v>2044747650.0799999</v>
          </cell>
          <cell r="CS5">
            <v>2110173824.8399999</v>
          </cell>
          <cell r="CT5">
            <v>2124604509.2</v>
          </cell>
          <cell r="CU5">
            <v>2142216450.3199999</v>
          </cell>
          <cell r="CV5">
            <v>2168081826.3699999</v>
          </cell>
          <cell r="CW5">
            <v>2183864854.3600001</v>
          </cell>
          <cell r="CX5">
            <v>2202545716.8400002</v>
          </cell>
          <cell r="CY5">
            <v>2219080125.9499998</v>
          </cell>
          <cell r="CZ5">
            <v>2225116449.6100001</v>
          </cell>
          <cell r="DA5">
            <v>2264292966.6700001</v>
          </cell>
          <cell r="DB5">
            <v>2291322008.2399998</v>
          </cell>
          <cell r="DC5">
            <v>2295822991.9899998</v>
          </cell>
          <cell r="DD5">
            <v>2296939736.1199999</v>
          </cell>
          <cell r="DE5">
            <v>2297763600.9000001</v>
          </cell>
          <cell r="DF5">
            <v>2298134153.9499998</v>
          </cell>
          <cell r="DG5">
            <v>2299277638.8899999</v>
          </cell>
          <cell r="DH5">
            <v>2346274645.8899999</v>
          </cell>
        </row>
        <row r="6">
          <cell r="C6" t="str">
            <v>Plant Lease to Other</v>
          </cell>
          <cell r="D6"/>
          <cell r="E6"/>
          <cell r="F6"/>
          <cell r="G6"/>
          <cell r="H6"/>
          <cell r="I6"/>
          <cell r="J6"/>
          <cell r="K6"/>
          <cell r="L6"/>
          <cell r="M6"/>
          <cell r="N6"/>
          <cell r="O6"/>
          <cell r="P6"/>
          <cell r="Q6"/>
          <cell r="R6"/>
          <cell r="S6"/>
          <cell r="T6"/>
          <cell r="U6"/>
          <cell r="V6"/>
          <cell r="W6"/>
          <cell r="X6"/>
          <cell r="Y6"/>
          <cell r="Z6"/>
          <cell r="AA6"/>
          <cell r="AB6"/>
          <cell r="AC6"/>
          <cell r="AD6"/>
          <cell r="AE6"/>
          <cell r="AF6">
            <v>0</v>
          </cell>
          <cell r="AG6">
            <v>0</v>
          </cell>
          <cell r="AH6">
            <v>9286155.6300000008</v>
          </cell>
          <cell r="AI6">
            <v>11734138</v>
          </cell>
          <cell r="AJ6">
            <v>11832383.210000001</v>
          </cell>
          <cell r="AK6">
            <v>12032563.85</v>
          </cell>
          <cell r="AL6">
            <v>12032563.85</v>
          </cell>
          <cell r="AM6">
            <v>12032563.85</v>
          </cell>
          <cell r="AN6">
            <v>12033286.029999999</v>
          </cell>
          <cell r="AO6">
            <v>12033286.029999999</v>
          </cell>
          <cell r="AP6">
            <v>12033286.029999999</v>
          </cell>
          <cell r="AQ6">
            <v>12033286.029999999</v>
          </cell>
          <cell r="AR6">
            <v>12033286.029999999</v>
          </cell>
          <cell r="AS6">
            <v>12033286.029999999</v>
          </cell>
          <cell r="AT6">
            <v>12033286.029999999</v>
          </cell>
          <cell r="AU6">
            <v>12033286.029999999</v>
          </cell>
          <cell r="AV6">
            <v>12033286.029999999</v>
          </cell>
          <cell r="AW6">
            <v>12033286.029999999</v>
          </cell>
          <cell r="AX6">
            <v>12033286.029999999</v>
          </cell>
          <cell r="AY6">
            <v>12033286.029999999</v>
          </cell>
          <cell r="AZ6">
            <v>12033286.029999999</v>
          </cell>
          <cell r="BA6">
            <v>12033286.029999999</v>
          </cell>
          <cell r="BB6">
            <v>12033286.029999999</v>
          </cell>
          <cell r="BC6">
            <v>12033286.029999999</v>
          </cell>
          <cell r="BD6">
            <v>12033286.029999999</v>
          </cell>
          <cell r="BE6">
            <v>12033286.029999999</v>
          </cell>
          <cell r="BF6">
            <v>12033286.029999999</v>
          </cell>
          <cell r="BG6">
            <v>12033286.029999999</v>
          </cell>
          <cell r="BH6">
            <v>12033286.029999999</v>
          </cell>
          <cell r="BI6">
            <v>12033286.029999999</v>
          </cell>
          <cell r="BJ6">
            <v>12033286.029999999</v>
          </cell>
          <cell r="BK6">
            <v>12033286.029999999</v>
          </cell>
          <cell r="BL6">
            <v>12033286.029999999</v>
          </cell>
          <cell r="BM6">
            <v>12033286.029999999</v>
          </cell>
          <cell r="BN6">
            <v>12033286.029999999</v>
          </cell>
          <cell r="BO6">
            <v>12033286.029999999</v>
          </cell>
          <cell r="BP6">
            <v>13128442.310000001</v>
          </cell>
          <cell r="BQ6">
            <v>13128442.310000001</v>
          </cell>
          <cell r="BR6">
            <v>13128442.310000001</v>
          </cell>
          <cell r="BS6">
            <v>13128442.310000001</v>
          </cell>
          <cell r="BT6">
            <v>13128442.310000001</v>
          </cell>
          <cell r="BU6">
            <v>13128442.310000001</v>
          </cell>
          <cell r="BV6">
            <v>13128442.310000001</v>
          </cell>
          <cell r="BW6">
            <v>13128442.310000001</v>
          </cell>
          <cell r="BX6">
            <v>13128442.310000001</v>
          </cell>
          <cell r="BY6">
            <v>13128442.310000001</v>
          </cell>
          <cell r="BZ6">
            <v>13128442.310000001</v>
          </cell>
          <cell r="CA6">
            <v>13128442.310000001</v>
          </cell>
          <cell r="CB6">
            <v>13128442.310000001</v>
          </cell>
          <cell r="CC6">
            <v>13128442.310000001</v>
          </cell>
          <cell r="CD6">
            <v>13128442.310000001</v>
          </cell>
          <cell r="CE6">
            <v>13128442.310000001</v>
          </cell>
          <cell r="CF6">
            <v>13128442.310000001</v>
          </cell>
          <cell r="CG6">
            <v>13128442.310000001</v>
          </cell>
          <cell r="CH6">
            <v>13128442.310000001</v>
          </cell>
          <cell r="CI6">
            <v>13128442.310000001</v>
          </cell>
          <cell r="CJ6">
            <v>13128442.310000001</v>
          </cell>
          <cell r="CK6">
            <v>13128442.310000001</v>
          </cell>
          <cell r="CL6">
            <v>13128442.310000001</v>
          </cell>
          <cell r="CM6">
            <v>13128442.310000001</v>
          </cell>
          <cell r="CN6">
            <v>13128442.310000001</v>
          </cell>
          <cell r="CO6">
            <v>13128442.310000001</v>
          </cell>
          <cell r="CP6">
            <v>13128442.310000001</v>
          </cell>
          <cell r="CQ6">
            <v>13128442.310000001</v>
          </cell>
          <cell r="CR6">
            <v>13128442.310000001</v>
          </cell>
          <cell r="CS6">
            <v>13128442.310000001</v>
          </cell>
          <cell r="CT6">
            <v>13128442.310000001</v>
          </cell>
          <cell r="CU6">
            <v>13128442.310000001</v>
          </cell>
          <cell r="CV6">
            <v>13128442.310000001</v>
          </cell>
          <cell r="CW6">
            <v>13128442.310000001</v>
          </cell>
          <cell r="CX6">
            <v>13128442.310000001</v>
          </cell>
          <cell r="CY6">
            <v>10382214.34</v>
          </cell>
          <cell r="CZ6">
            <v>10382214.34</v>
          </cell>
          <cell r="DA6">
            <v>10382214.34</v>
          </cell>
          <cell r="DB6">
            <v>10382214.34</v>
          </cell>
          <cell r="DC6">
            <v>2527001.42</v>
          </cell>
          <cell r="DD6">
            <v>2527001.42</v>
          </cell>
          <cell r="DE6">
            <v>2527001.42</v>
          </cell>
          <cell r="DF6">
            <v>2527001.42</v>
          </cell>
          <cell r="DG6">
            <v>2527001.42</v>
          </cell>
          <cell r="DH6">
            <v>2527001.42</v>
          </cell>
        </row>
        <row r="7">
          <cell r="C7" t="str">
            <v>Plant Lease-GAAP</v>
          </cell>
          <cell r="D7"/>
          <cell r="E7"/>
          <cell r="F7"/>
          <cell r="G7"/>
          <cell r="H7"/>
          <cell r="I7"/>
          <cell r="J7"/>
          <cell r="K7"/>
          <cell r="L7"/>
          <cell r="M7"/>
          <cell r="N7"/>
          <cell r="O7"/>
          <cell r="P7"/>
          <cell r="Q7"/>
          <cell r="R7"/>
          <cell r="S7"/>
          <cell r="T7"/>
          <cell r="U7"/>
          <cell r="V7"/>
          <cell r="W7"/>
          <cell r="X7"/>
          <cell r="Y7"/>
          <cell r="Z7"/>
          <cell r="AA7"/>
          <cell r="AB7"/>
          <cell r="AC7"/>
          <cell r="AD7"/>
          <cell r="AE7"/>
          <cell r="AF7">
            <v>0</v>
          </cell>
          <cell r="AG7">
            <v>0</v>
          </cell>
          <cell r="AH7">
            <v>-7851977</v>
          </cell>
          <cell r="AI7">
            <v>-7851977</v>
          </cell>
          <cell r="AJ7">
            <v>-7851977</v>
          </cell>
          <cell r="AK7">
            <v>-7851977</v>
          </cell>
          <cell r="AL7">
            <v>-7851977</v>
          </cell>
          <cell r="AM7">
            <v>-10596977</v>
          </cell>
          <cell r="AN7">
            <v>-10596977</v>
          </cell>
          <cell r="AO7">
            <v>-10596977</v>
          </cell>
          <cell r="AP7">
            <v>-10596977</v>
          </cell>
          <cell r="AQ7">
            <v>-10596977</v>
          </cell>
          <cell r="AR7">
            <v>-10596977</v>
          </cell>
          <cell r="AS7">
            <v>-10596977</v>
          </cell>
          <cell r="AT7">
            <v>-10596977</v>
          </cell>
          <cell r="AU7">
            <v>-10596977</v>
          </cell>
          <cell r="AV7">
            <v>-10596977</v>
          </cell>
          <cell r="AW7">
            <v>-10596977</v>
          </cell>
          <cell r="AX7">
            <v>-10596977</v>
          </cell>
          <cell r="AY7">
            <v>-10596977</v>
          </cell>
          <cell r="AZ7">
            <v>-10596977</v>
          </cell>
          <cell r="BA7">
            <v>-10596977</v>
          </cell>
          <cell r="BB7">
            <v>-10596977</v>
          </cell>
          <cell r="BC7">
            <v>-10596977</v>
          </cell>
          <cell r="BD7">
            <v>-10596977</v>
          </cell>
          <cell r="BE7">
            <v>-10596977</v>
          </cell>
          <cell r="BF7">
            <v>-10596977</v>
          </cell>
          <cell r="BG7">
            <v>-10596977</v>
          </cell>
          <cell r="BH7">
            <v>-10596977</v>
          </cell>
          <cell r="BI7">
            <v>-10596977</v>
          </cell>
          <cell r="BJ7">
            <v>-10596977</v>
          </cell>
          <cell r="BK7">
            <v>-10596977</v>
          </cell>
          <cell r="BL7">
            <v>-10596977</v>
          </cell>
          <cell r="BM7">
            <v>-10596977</v>
          </cell>
          <cell r="BN7">
            <v>-10596977</v>
          </cell>
          <cell r="BO7">
            <v>-10596977</v>
          </cell>
          <cell r="BP7">
            <v>-10596977</v>
          </cell>
          <cell r="BQ7">
            <v>-10596977</v>
          </cell>
          <cell r="BR7">
            <v>-10596977</v>
          </cell>
          <cell r="BS7">
            <v>-10596977</v>
          </cell>
          <cell r="BT7">
            <v>-10596977</v>
          </cell>
          <cell r="BU7">
            <v>-10596977</v>
          </cell>
          <cell r="BV7">
            <v>-10596977</v>
          </cell>
          <cell r="BW7">
            <v>-10596977</v>
          </cell>
          <cell r="BX7">
            <v>-10596977</v>
          </cell>
          <cell r="BY7">
            <v>-10596977</v>
          </cell>
          <cell r="BZ7">
            <v>-10596977</v>
          </cell>
          <cell r="CA7">
            <v>-10596977</v>
          </cell>
          <cell r="CB7">
            <v>-10596977</v>
          </cell>
          <cell r="CC7">
            <v>-10596977</v>
          </cell>
          <cell r="CD7">
            <v>-10596977</v>
          </cell>
          <cell r="CE7">
            <v>-10596977</v>
          </cell>
          <cell r="CF7">
            <v>-10596977</v>
          </cell>
          <cell r="CG7">
            <v>-10596977</v>
          </cell>
          <cell r="CH7">
            <v>-10596977</v>
          </cell>
          <cell r="CI7">
            <v>-10596977</v>
          </cell>
          <cell r="CJ7">
            <v>-10596977</v>
          </cell>
          <cell r="CK7">
            <v>-10596977</v>
          </cell>
          <cell r="CL7">
            <v>-10596977</v>
          </cell>
          <cell r="CM7">
            <v>-10596977</v>
          </cell>
          <cell r="CN7">
            <v>-10596977</v>
          </cell>
          <cell r="CO7">
            <v>-10596977</v>
          </cell>
          <cell r="CP7">
            <v>-10596977</v>
          </cell>
          <cell r="CQ7">
            <v>-10596977</v>
          </cell>
          <cell r="CR7">
            <v>-10596977</v>
          </cell>
          <cell r="CS7">
            <v>-10596977</v>
          </cell>
          <cell r="CT7">
            <v>-10596977</v>
          </cell>
          <cell r="CU7">
            <v>-10596977</v>
          </cell>
          <cell r="CV7">
            <v>-10596977</v>
          </cell>
          <cell r="CW7">
            <v>-10596977</v>
          </cell>
          <cell r="CX7">
            <v>-10596977</v>
          </cell>
          <cell r="CY7">
            <v>-7851977</v>
          </cell>
          <cell r="CZ7">
            <v>-7851977</v>
          </cell>
          <cell r="DA7">
            <v>-7851977</v>
          </cell>
          <cell r="DB7">
            <v>-7851977</v>
          </cell>
          <cell r="DC7">
            <v>0</v>
          </cell>
          <cell r="DD7">
            <v>0</v>
          </cell>
          <cell r="DE7">
            <v>0</v>
          </cell>
          <cell r="DF7">
            <v>0</v>
          </cell>
          <cell r="DG7">
            <v>0</v>
          </cell>
          <cell r="DH7">
            <v>0</v>
          </cell>
        </row>
        <row r="8">
          <cell r="C8" t="str">
            <v>Plnt Held Future Use</v>
          </cell>
          <cell r="D8">
            <v>1937574.45</v>
          </cell>
          <cell r="E8">
            <v>1939551.55</v>
          </cell>
          <cell r="F8">
            <v>1939551.55</v>
          </cell>
          <cell r="G8">
            <v>2983016.36</v>
          </cell>
          <cell r="H8">
            <v>2983016.36</v>
          </cell>
          <cell r="I8">
            <v>2983016.36</v>
          </cell>
          <cell r="J8">
            <v>2983016.36</v>
          </cell>
          <cell r="K8">
            <v>2983016.36</v>
          </cell>
          <cell r="L8">
            <v>2983016.36</v>
          </cell>
          <cell r="M8">
            <v>2983016.36</v>
          </cell>
          <cell r="N8">
            <v>2983066.99</v>
          </cell>
          <cell r="O8">
            <v>2983066.99</v>
          </cell>
          <cell r="P8">
            <v>2984633.79</v>
          </cell>
          <cell r="Q8">
            <v>2984633.79</v>
          </cell>
          <cell r="R8">
            <v>2984633.79</v>
          </cell>
          <cell r="S8">
            <v>2984633.79</v>
          </cell>
          <cell r="T8">
            <v>2984633.79</v>
          </cell>
          <cell r="U8">
            <v>2984633.79</v>
          </cell>
          <cell r="V8">
            <v>1939551.55</v>
          </cell>
          <cell r="W8">
            <v>1939551.55</v>
          </cell>
          <cell r="X8">
            <v>1939551.55</v>
          </cell>
          <cell r="Y8">
            <v>1939551.55</v>
          </cell>
          <cell r="Z8">
            <v>1939551.55</v>
          </cell>
          <cell r="AA8">
            <v>1939551.55</v>
          </cell>
          <cell r="AB8">
            <v>1939551.55</v>
          </cell>
          <cell r="AC8">
            <v>1939551.55</v>
          </cell>
          <cell r="AD8">
            <v>1939551.55</v>
          </cell>
          <cell r="AE8">
            <v>1939551.55</v>
          </cell>
          <cell r="AF8">
            <v>1939551.55</v>
          </cell>
          <cell r="AG8">
            <v>1939551.55</v>
          </cell>
          <cell r="AH8">
            <v>1939551.55</v>
          </cell>
          <cell r="AI8">
            <v>1939551.55</v>
          </cell>
          <cell r="AJ8">
            <v>1939551.55</v>
          </cell>
          <cell r="AK8">
            <v>1939551.55</v>
          </cell>
          <cell r="AL8">
            <v>1939551.55</v>
          </cell>
          <cell r="AM8">
            <v>1939551.55</v>
          </cell>
          <cell r="AN8">
            <v>1939551.55</v>
          </cell>
          <cell r="AO8">
            <v>1939551.55</v>
          </cell>
          <cell r="AP8">
            <v>1939551.55</v>
          </cell>
          <cell r="AQ8">
            <v>1939551.55</v>
          </cell>
          <cell r="AR8">
            <v>1939551.55</v>
          </cell>
          <cell r="AS8">
            <v>1939551.55</v>
          </cell>
          <cell r="AT8">
            <v>1939551.55</v>
          </cell>
          <cell r="AU8">
            <v>1939551.55</v>
          </cell>
          <cell r="AV8">
            <v>1939551.55</v>
          </cell>
          <cell r="AW8">
            <v>1939551.55</v>
          </cell>
          <cell r="AX8">
            <v>1939551.55</v>
          </cell>
          <cell r="AY8">
            <v>1939551.55</v>
          </cell>
          <cell r="AZ8">
            <v>1939551.55</v>
          </cell>
          <cell r="BA8">
            <v>1939551.55</v>
          </cell>
          <cell r="BB8">
            <v>1939551.55</v>
          </cell>
          <cell r="BC8">
            <v>1939551.55</v>
          </cell>
          <cell r="BD8">
            <v>1939551.55</v>
          </cell>
          <cell r="BE8">
            <v>1939551.55</v>
          </cell>
          <cell r="BF8">
            <v>1939551.55</v>
          </cell>
          <cell r="BG8">
            <v>1939551.55</v>
          </cell>
          <cell r="BH8">
            <v>1939551.55</v>
          </cell>
          <cell r="BI8">
            <v>1939551.55</v>
          </cell>
          <cell r="BJ8">
            <v>1939551.55</v>
          </cell>
          <cell r="BK8">
            <v>1939551.55</v>
          </cell>
          <cell r="BL8">
            <v>1939551.55</v>
          </cell>
          <cell r="BM8">
            <v>1939551.55</v>
          </cell>
          <cell r="BN8">
            <v>1939551.55</v>
          </cell>
          <cell r="BO8">
            <v>1939551.55</v>
          </cell>
          <cell r="BP8">
            <v>1939551.55</v>
          </cell>
          <cell r="BQ8">
            <v>1939551.55</v>
          </cell>
          <cell r="BR8">
            <v>1939551.55</v>
          </cell>
          <cell r="BS8">
            <v>1939551.55</v>
          </cell>
          <cell r="BT8">
            <v>1939551.55</v>
          </cell>
          <cell r="BU8">
            <v>1939551.55</v>
          </cell>
          <cell r="BV8">
            <v>1939551.55</v>
          </cell>
          <cell r="BW8">
            <v>1939551.55</v>
          </cell>
          <cell r="BX8">
            <v>1939551.55</v>
          </cell>
          <cell r="BY8">
            <v>1939551.55</v>
          </cell>
          <cell r="BZ8">
            <v>1939551.55</v>
          </cell>
          <cell r="CA8">
            <v>1939551.55</v>
          </cell>
          <cell r="CB8">
            <v>1939551.55</v>
          </cell>
          <cell r="CC8">
            <v>1939551.55</v>
          </cell>
          <cell r="CD8">
            <v>1939551.55</v>
          </cell>
          <cell r="CE8">
            <v>1939551.55</v>
          </cell>
          <cell r="CF8">
            <v>1939551.55</v>
          </cell>
          <cell r="CG8">
            <v>1939551.55</v>
          </cell>
          <cell r="CH8">
            <v>1939551.55</v>
          </cell>
          <cell r="CI8">
            <v>1939551.55</v>
          </cell>
          <cell r="CJ8">
            <v>1939551.55</v>
          </cell>
          <cell r="CK8">
            <v>1939551.55</v>
          </cell>
          <cell r="CL8">
            <v>1939551.55</v>
          </cell>
          <cell r="CM8">
            <v>1939551.55</v>
          </cell>
          <cell r="CN8">
            <v>1939551.55</v>
          </cell>
          <cell r="CO8">
            <v>1939551.55</v>
          </cell>
          <cell r="CP8">
            <v>1939551.55</v>
          </cell>
          <cell r="CQ8">
            <v>1939551.55</v>
          </cell>
          <cell r="CR8">
            <v>1939551.55</v>
          </cell>
          <cell r="CS8">
            <v>1939551.55</v>
          </cell>
          <cell r="CT8">
            <v>1939551.55</v>
          </cell>
          <cell r="CU8">
            <v>1939551.55</v>
          </cell>
          <cell r="CV8">
            <v>1939551.55</v>
          </cell>
          <cell r="CW8">
            <v>1939551.55</v>
          </cell>
          <cell r="CX8">
            <v>1939551.55</v>
          </cell>
          <cell r="CY8">
            <v>1939551.55</v>
          </cell>
          <cell r="CZ8">
            <v>1939551.55</v>
          </cell>
          <cell r="DA8">
            <v>1939551.55</v>
          </cell>
          <cell r="DB8">
            <v>1939551.55</v>
          </cell>
          <cell r="DC8">
            <v>1939551.55</v>
          </cell>
          <cell r="DD8">
            <v>1939551.55</v>
          </cell>
          <cell r="DE8">
            <v>1939551.55</v>
          </cell>
          <cell r="DF8">
            <v>1939551.55</v>
          </cell>
          <cell r="DG8">
            <v>1939551.55</v>
          </cell>
          <cell r="DH8">
            <v>1939551.55</v>
          </cell>
        </row>
        <row r="9">
          <cell r="C9" t="str">
            <v>Comp Cnstr not Clsfd</v>
          </cell>
          <cell r="D9">
            <v>55155772.07</v>
          </cell>
          <cell r="E9">
            <v>59777134.939999998</v>
          </cell>
          <cell r="F9">
            <v>59522741.600000001</v>
          </cell>
          <cell r="G9">
            <v>59811525.289999999</v>
          </cell>
          <cell r="H9">
            <v>60269073.789999999</v>
          </cell>
          <cell r="I9">
            <v>54234691.420000002</v>
          </cell>
          <cell r="J9">
            <v>60378387.729999997</v>
          </cell>
          <cell r="K9">
            <v>53319052.539999999</v>
          </cell>
          <cell r="L9">
            <v>55502445.530000001</v>
          </cell>
          <cell r="M9">
            <v>59575230</v>
          </cell>
          <cell r="N9">
            <v>63821406.780000001</v>
          </cell>
          <cell r="O9">
            <v>65705035.090000004</v>
          </cell>
          <cell r="P9">
            <v>65158239.32</v>
          </cell>
          <cell r="Q9">
            <v>64389407.079999998</v>
          </cell>
          <cell r="R9">
            <v>68828252.959999993</v>
          </cell>
          <cell r="S9">
            <v>64965719.759999998</v>
          </cell>
          <cell r="T9">
            <v>72489418</v>
          </cell>
          <cell r="U9">
            <v>72631177.180000007</v>
          </cell>
          <cell r="V9">
            <v>80039720.680000007</v>
          </cell>
          <cell r="W9">
            <v>78249525.939999998</v>
          </cell>
          <cell r="X9">
            <v>79646995.340000004</v>
          </cell>
          <cell r="Y9">
            <v>83186059.040000007</v>
          </cell>
          <cell r="Z9">
            <v>87491897.939999998</v>
          </cell>
          <cell r="AA9">
            <v>86192242.730000004</v>
          </cell>
          <cell r="AB9">
            <v>91246711.870000005</v>
          </cell>
          <cell r="AC9">
            <v>94491003.510000005</v>
          </cell>
          <cell r="AD9">
            <v>95210306.680000007</v>
          </cell>
          <cell r="AE9">
            <v>90134370.25</v>
          </cell>
          <cell r="AF9">
            <v>89673217.290000007</v>
          </cell>
          <cell r="AG9">
            <v>88170581.299999997</v>
          </cell>
          <cell r="AH9">
            <v>101902285.98</v>
          </cell>
          <cell r="AI9">
            <v>97464103.069999993</v>
          </cell>
          <cell r="AJ9">
            <v>94939397.230000004</v>
          </cell>
          <cell r="AK9">
            <v>94936476.810000002</v>
          </cell>
          <cell r="AL9">
            <v>106629096.68000001</v>
          </cell>
          <cell r="AM9">
            <v>103796910.95</v>
          </cell>
          <cell r="AN9">
            <v>116017760.18000001</v>
          </cell>
          <cell r="AO9">
            <v>123478325.7</v>
          </cell>
          <cell r="AP9">
            <v>123104497.54000001</v>
          </cell>
          <cell r="AQ9">
            <v>121594992.75</v>
          </cell>
          <cell r="AR9">
            <v>126843059.06</v>
          </cell>
          <cell r="AS9">
            <v>130438687.8</v>
          </cell>
          <cell r="AT9">
            <v>124575686.33</v>
          </cell>
          <cell r="AU9">
            <v>126774655.27</v>
          </cell>
          <cell r="AV9">
            <v>137418686.12</v>
          </cell>
          <cell r="AW9">
            <v>137030683.94</v>
          </cell>
          <cell r="AX9">
            <v>139217028.97</v>
          </cell>
          <cell r="AY9">
            <v>145683536.13999999</v>
          </cell>
          <cell r="AZ9">
            <v>146308565.94</v>
          </cell>
          <cell r="BA9">
            <v>157102252.53999999</v>
          </cell>
          <cell r="BB9">
            <v>135334145.16999999</v>
          </cell>
          <cell r="BC9">
            <v>134638092.81</v>
          </cell>
          <cell r="BD9">
            <v>134348672.25</v>
          </cell>
          <cell r="BE9">
            <v>147286293.41999999</v>
          </cell>
          <cell r="BF9">
            <v>142572224.63</v>
          </cell>
          <cell r="BG9">
            <v>148353060.91999999</v>
          </cell>
          <cell r="BH9">
            <v>140643217.83000001</v>
          </cell>
          <cell r="BI9">
            <v>138692376.77000001</v>
          </cell>
          <cell r="BJ9">
            <v>147018174.91</v>
          </cell>
          <cell r="BK9">
            <v>170081630.19999999</v>
          </cell>
          <cell r="BL9">
            <v>178863957</v>
          </cell>
          <cell r="BM9">
            <v>187836788.50999999</v>
          </cell>
          <cell r="BN9">
            <v>201744680.5</v>
          </cell>
          <cell r="BO9">
            <v>205080951.90000001</v>
          </cell>
          <cell r="BP9">
            <v>206811472.78999999</v>
          </cell>
          <cell r="BQ9">
            <v>208625228.19</v>
          </cell>
          <cell r="BR9">
            <v>198920933.38999999</v>
          </cell>
          <cell r="BS9">
            <v>207592067.80000001</v>
          </cell>
          <cell r="BT9">
            <v>212178321.44</v>
          </cell>
          <cell r="BU9">
            <v>216700510.66999999</v>
          </cell>
          <cell r="BV9">
            <v>212255031.72999999</v>
          </cell>
          <cell r="BW9">
            <v>225486245.28999999</v>
          </cell>
          <cell r="BX9">
            <v>208469489.09</v>
          </cell>
          <cell r="BY9">
            <v>214740525.37</v>
          </cell>
          <cell r="BZ9">
            <v>233879588.15000001</v>
          </cell>
          <cell r="CA9">
            <v>236630022.56</v>
          </cell>
          <cell r="CB9">
            <v>245175601.69999999</v>
          </cell>
          <cell r="CC9">
            <v>243003938.44</v>
          </cell>
          <cell r="CD9">
            <v>239387266.99000001</v>
          </cell>
          <cell r="CE9">
            <v>244937641.88</v>
          </cell>
          <cell r="CF9">
            <v>262835663.27000001</v>
          </cell>
          <cell r="CG9">
            <v>255783925.18000001</v>
          </cell>
          <cell r="CH9">
            <v>331089860.20999998</v>
          </cell>
          <cell r="CI9">
            <v>349864270.37</v>
          </cell>
          <cell r="CJ9">
            <v>307437320.20999998</v>
          </cell>
          <cell r="CK9">
            <v>327435776.81</v>
          </cell>
          <cell r="CL9">
            <v>320782810.11000001</v>
          </cell>
          <cell r="CM9">
            <v>334363018.18000001</v>
          </cell>
          <cell r="CN9">
            <v>398104794.31999999</v>
          </cell>
          <cell r="CO9">
            <v>370986194.32999998</v>
          </cell>
          <cell r="CP9">
            <v>357640735.67000002</v>
          </cell>
          <cell r="CQ9">
            <v>292578511.06</v>
          </cell>
          <cell r="CR9">
            <v>302547183.81999999</v>
          </cell>
          <cell r="CS9">
            <v>247163875.91999999</v>
          </cell>
          <cell r="CT9">
            <v>243388959.18000001</v>
          </cell>
          <cell r="CU9">
            <v>300047316.99000001</v>
          </cell>
          <cell r="CV9">
            <v>297505685.51999998</v>
          </cell>
          <cell r="CW9">
            <v>293670988.24000001</v>
          </cell>
          <cell r="CX9">
            <v>294694023.07999998</v>
          </cell>
          <cell r="CY9">
            <v>290733193.19999999</v>
          </cell>
          <cell r="CZ9">
            <v>302344491.98000002</v>
          </cell>
          <cell r="DA9">
            <v>283595429.08999997</v>
          </cell>
          <cell r="DB9">
            <v>272186852.60000002</v>
          </cell>
          <cell r="DC9">
            <v>279198375.10000002</v>
          </cell>
          <cell r="DD9">
            <v>293707332.66000003</v>
          </cell>
          <cell r="DE9">
            <v>304307169.75</v>
          </cell>
          <cell r="DF9">
            <v>359987415.35000002</v>
          </cell>
          <cell r="DG9">
            <v>371496189.58999997</v>
          </cell>
          <cell r="DH9">
            <v>331968650.48000002</v>
          </cell>
        </row>
        <row r="10">
          <cell r="C10" t="str">
            <v>CWIP</v>
          </cell>
          <cell r="D10">
            <v>37999178.799999997</v>
          </cell>
          <cell r="E10">
            <v>35807420.920000002</v>
          </cell>
          <cell r="F10">
            <v>39501441.969999999</v>
          </cell>
          <cell r="G10">
            <v>40111903.259999998</v>
          </cell>
          <cell r="H10">
            <v>40338458.479999997</v>
          </cell>
          <cell r="I10">
            <v>45750443.969999999</v>
          </cell>
          <cell r="J10">
            <v>42218897.460000001</v>
          </cell>
          <cell r="K10">
            <v>40929057.259999998</v>
          </cell>
          <cell r="L10">
            <v>43483994.240000002</v>
          </cell>
          <cell r="M10">
            <v>44285914.039999999</v>
          </cell>
          <cell r="N10">
            <v>40392561.509999998</v>
          </cell>
          <cell r="O10">
            <v>40115222.409999996</v>
          </cell>
          <cell r="P10">
            <v>46635954.68</v>
          </cell>
          <cell r="Q10">
            <v>46972143.590000004</v>
          </cell>
          <cell r="R10">
            <v>42466526.619999997</v>
          </cell>
          <cell r="S10">
            <v>44747851.289999999</v>
          </cell>
          <cell r="T10">
            <v>34317936.780000001</v>
          </cell>
          <cell r="U10">
            <v>31350733.390000001</v>
          </cell>
          <cell r="V10">
            <v>23330873.239999998</v>
          </cell>
          <cell r="W10">
            <v>26918285.91</v>
          </cell>
          <cell r="X10">
            <v>28581241</v>
          </cell>
          <cell r="Y10">
            <v>27609368.649999999</v>
          </cell>
          <cell r="Z10">
            <v>30037295.84</v>
          </cell>
          <cell r="AA10">
            <v>32173444.620000001</v>
          </cell>
          <cell r="AB10">
            <v>31116400.140000001</v>
          </cell>
          <cell r="AC10">
            <v>26347085.84</v>
          </cell>
          <cell r="AD10">
            <v>34957213.460000001</v>
          </cell>
          <cell r="AE10">
            <v>38950809.469999999</v>
          </cell>
          <cell r="AF10">
            <v>40408048.75</v>
          </cell>
          <cell r="AG10">
            <v>47638018.75</v>
          </cell>
          <cell r="AH10">
            <v>31292455.239999998</v>
          </cell>
          <cell r="AI10">
            <v>31457023.140000001</v>
          </cell>
          <cell r="AJ10">
            <v>32878080.420000002</v>
          </cell>
          <cell r="AK10">
            <v>39114341.969999999</v>
          </cell>
          <cell r="AL10">
            <v>30953975.800000001</v>
          </cell>
          <cell r="AM10">
            <v>33838173.210000001</v>
          </cell>
          <cell r="AN10">
            <v>27484714.870000001</v>
          </cell>
          <cell r="AO10">
            <v>23589092.920000002</v>
          </cell>
          <cell r="AP10">
            <v>25860519.969999999</v>
          </cell>
          <cell r="AQ10">
            <v>22431305.52</v>
          </cell>
          <cell r="AR10">
            <v>19601495.550000001</v>
          </cell>
          <cell r="AS10">
            <v>22896680.879999999</v>
          </cell>
          <cell r="AT10">
            <v>23021023.920000002</v>
          </cell>
          <cell r="AU10">
            <v>24466916.82</v>
          </cell>
          <cell r="AV10">
            <v>26444168.329999998</v>
          </cell>
          <cell r="AW10">
            <v>19059484.760000002</v>
          </cell>
          <cell r="AX10">
            <v>18962145</v>
          </cell>
          <cell r="AY10">
            <v>20898478.719999999</v>
          </cell>
          <cell r="AZ10">
            <v>22182235.109999999</v>
          </cell>
          <cell r="BA10">
            <v>18556747.960000001</v>
          </cell>
          <cell r="BB10">
            <v>20715951.399999999</v>
          </cell>
          <cell r="BC10">
            <v>22686371.66</v>
          </cell>
          <cell r="BD10">
            <v>24764408.57</v>
          </cell>
          <cell r="BE10">
            <v>22852997.649999999</v>
          </cell>
          <cell r="BF10">
            <v>25749403.039999999</v>
          </cell>
          <cell r="BG10">
            <v>27787371.550000001</v>
          </cell>
          <cell r="BH10">
            <v>32937378.98</v>
          </cell>
          <cell r="BI10">
            <v>42024779.399999999</v>
          </cell>
          <cell r="BJ10">
            <v>49273450.009999998</v>
          </cell>
          <cell r="BK10">
            <v>40575117.020000003</v>
          </cell>
          <cell r="BL10">
            <v>32694180.890000001</v>
          </cell>
          <cell r="BM10">
            <v>37233262.219999999</v>
          </cell>
          <cell r="BN10">
            <v>30935389.949999999</v>
          </cell>
          <cell r="BO10">
            <v>31118917.460000001</v>
          </cell>
          <cell r="BP10">
            <v>32041115.710000001</v>
          </cell>
          <cell r="BQ10">
            <v>37503290.119999997</v>
          </cell>
          <cell r="BR10">
            <v>39013136.270000003</v>
          </cell>
          <cell r="BS10">
            <v>43393050.829999998</v>
          </cell>
          <cell r="BT10">
            <v>55128154.759999998</v>
          </cell>
          <cell r="BU10">
            <v>55798695.200000003</v>
          </cell>
          <cell r="BV10">
            <v>62985742.700000003</v>
          </cell>
          <cell r="BW10">
            <v>59495069.460000001</v>
          </cell>
          <cell r="BX10">
            <v>71222206.430000007</v>
          </cell>
          <cell r="BY10">
            <v>87383269.209999993</v>
          </cell>
          <cell r="BZ10">
            <v>89788572.590000004</v>
          </cell>
          <cell r="CA10">
            <v>92714028.870000005</v>
          </cell>
          <cell r="CB10">
            <v>105186283.93000001</v>
          </cell>
          <cell r="CC10">
            <v>119487898.45</v>
          </cell>
          <cell r="CD10">
            <v>129123895.42</v>
          </cell>
          <cell r="CE10">
            <v>142981953.91999999</v>
          </cell>
          <cell r="CF10">
            <v>160185910.00999999</v>
          </cell>
          <cell r="CG10">
            <v>169862754.34</v>
          </cell>
          <cell r="CH10">
            <v>123028338.83</v>
          </cell>
          <cell r="CI10">
            <v>131449528.66</v>
          </cell>
          <cell r="CJ10">
            <v>140807877.94999999</v>
          </cell>
          <cell r="CK10">
            <v>142689499.03</v>
          </cell>
          <cell r="CL10">
            <v>158270839.91</v>
          </cell>
          <cell r="CM10">
            <v>168655143.25</v>
          </cell>
          <cell r="CN10">
            <v>116700530.19</v>
          </cell>
          <cell r="CO10">
            <v>118593709.79000001</v>
          </cell>
          <cell r="CP10">
            <v>130442949.62</v>
          </cell>
          <cell r="CQ10">
            <v>145786057.19</v>
          </cell>
          <cell r="CR10">
            <v>159472172.24000001</v>
          </cell>
          <cell r="CS10">
            <v>174423907.46000001</v>
          </cell>
          <cell r="CT10">
            <v>191413442.62</v>
          </cell>
          <cell r="CU10">
            <v>142092425.80000001</v>
          </cell>
          <cell r="CV10">
            <v>147483849.61000001</v>
          </cell>
          <cell r="CW10">
            <v>158111229.03999999</v>
          </cell>
          <cell r="CX10">
            <v>162199578.15000001</v>
          </cell>
          <cell r="CY10">
            <v>174470939.97</v>
          </cell>
          <cell r="CZ10">
            <v>184225626.90000001</v>
          </cell>
          <cell r="DA10">
            <v>188333223.03999999</v>
          </cell>
          <cell r="DB10">
            <v>201983440.96000001</v>
          </cell>
          <cell r="DC10">
            <v>212538815.99000001</v>
          </cell>
          <cell r="DD10">
            <v>225280632.13</v>
          </cell>
          <cell r="DE10">
            <v>235379560.06999999</v>
          </cell>
          <cell r="DF10">
            <v>200850235.99000001</v>
          </cell>
          <cell r="DG10">
            <v>210666560.53999999</v>
          </cell>
          <cell r="DH10">
            <v>246108951.69999999</v>
          </cell>
        </row>
        <row r="11">
          <cell r="C11" t="str">
            <v>Accum Depreciation</v>
          </cell>
          <cell r="D11">
            <v>-597208178.04999995</v>
          </cell>
          <cell r="E11">
            <v>-592509311.39999998</v>
          </cell>
          <cell r="F11">
            <v>-595908048.98000002</v>
          </cell>
          <cell r="G11">
            <v>-599418150.00999999</v>
          </cell>
          <cell r="H11">
            <v>-603256827.03999996</v>
          </cell>
          <cell r="I11">
            <v>-610070200.69000006</v>
          </cell>
          <cell r="J11">
            <v>-606600008.27999997</v>
          </cell>
          <cell r="K11">
            <v>-613707624.03999996</v>
          </cell>
          <cell r="L11">
            <v>-617772110.08000004</v>
          </cell>
          <cell r="M11">
            <v>-621209354.09000003</v>
          </cell>
          <cell r="N11">
            <v>-624961167.44000006</v>
          </cell>
          <cell r="O11">
            <v>-628795738.15999997</v>
          </cell>
          <cell r="P11">
            <v>-633220786.64999998</v>
          </cell>
          <cell r="Q11">
            <v>-636284836.04999995</v>
          </cell>
          <cell r="R11">
            <v>-632257740.25999999</v>
          </cell>
          <cell r="S11">
            <v>-635762272.91999996</v>
          </cell>
          <cell r="T11">
            <v>-639827062.34000003</v>
          </cell>
          <cell r="U11">
            <v>-643141549.57000005</v>
          </cell>
          <cell r="V11">
            <v>-647276388.01999998</v>
          </cell>
          <cell r="W11">
            <v>-651791048.07000005</v>
          </cell>
          <cell r="X11">
            <v>-656400200.85000002</v>
          </cell>
          <cell r="Y11">
            <v>-661025209.54999995</v>
          </cell>
          <cell r="Z11">
            <v>-665759307.74000001</v>
          </cell>
          <cell r="AA11">
            <v>-672064704.14999998</v>
          </cell>
          <cell r="AB11">
            <v>-670459565.41999996</v>
          </cell>
          <cell r="AC11">
            <v>-676480501.44000006</v>
          </cell>
          <cell r="AD11">
            <v>-681119110.76999998</v>
          </cell>
          <cell r="AE11">
            <v>-684493394.60000002</v>
          </cell>
          <cell r="AF11">
            <v>-688949454.35000002</v>
          </cell>
          <cell r="AG11">
            <v>-693510562.95000005</v>
          </cell>
          <cell r="AH11">
            <v>-693182497.40999997</v>
          </cell>
          <cell r="AI11">
            <v>-697440570.17999995</v>
          </cell>
          <cell r="AJ11">
            <v>-701354831.95000005</v>
          </cell>
          <cell r="AK11">
            <v>-705482736.32000005</v>
          </cell>
          <cell r="AL11">
            <v>-709669546.79999995</v>
          </cell>
          <cell r="AM11">
            <v>-714151822.33000004</v>
          </cell>
          <cell r="AN11">
            <v>-696231457.83000004</v>
          </cell>
          <cell r="AO11">
            <v>-699359972.00999999</v>
          </cell>
          <cell r="AP11">
            <v>-702639485.67999995</v>
          </cell>
          <cell r="AQ11">
            <v>-703734692.99000001</v>
          </cell>
          <cell r="AR11">
            <v>-702713626.04999995</v>
          </cell>
          <cell r="AS11">
            <v>-705623877.79999995</v>
          </cell>
          <cell r="AT11">
            <v>-707442762.88</v>
          </cell>
          <cell r="AU11">
            <v>-709944965.30999994</v>
          </cell>
          <cell r="AV11">
            <v>-712909788.75999999</v>
          </cell>
          <cell r="AW11">
            <v>-714501123.39999998</v>
          </cell>
          <cell r="AX11">
            <v>-717214015.63999999</v>
          </cell>
          <cell r="AY11">
            <v>-721040598.99000001</v>
          </cell>
          <cell r="AZ11">
            <v>-721926119.83000004</v>
          </cell>
          <cell r="BA11">
            <v>-725822855.33000004</v>
          </cell>
          <cell r="BB11">
            <v>-728967555.46000004</v>
          </cell>
          <cell r="BC11">
            <v>-731607057.05999994</v>
          </cell>
          <cell r="BD11">
            <v>-735299762.21000004</v>
          </cell>
          <cell r="BE11">
            <v>-739136592.61000001</v>
          </cell>
          <cell r="BF11">
            <v>-742049200.66999996</v>
          </cell>
          <cell r="BG11">
            <v>-746185618</v>
          </cell>
          <cell r="BH11">
            <v>-749684606.33000004</v>
          </cell>
          <cell r="BI11">
            <v>-753040832.35000002</v>
          </cell>
          <cell r="BJ11">
            <v>-756678463.49000001</v>
          </cell>
          <cell r="BK11">
            <v>-760912458.79999995</v>
          </cell>
          <cell r="BL11">
            <v>-763366539.32000005</v>
          </cell>
          <cell r="BM11">
            <v>-766550564.46000004</v>
          </cell>
          <cell r="BN11">
            <v>-769130556.19000006</v>
          </cell>
          <cell r="BO11">
            <v>-771764544.87</v>
          </cell>
          <cell r="BP11">
            <v>-774392034.46000004</v>
          </cell>
          <cell r="BQ11">
            <v>-776788459.66999996</v>
          </cell>
          <cell r="BR11">
            <v>-777273857.89999998</v>
          </cell>
          <cell r="BS11">
            <v>-779663833.38</v>
          </cell>
          <cell r="BT11">
            <v>-783042629.38</v>
          </cell>
          <cell r="BU11">
            <v>-786565650.84000003</v>
          </cell>
          <cell r="BV11">
            <v>-789234015.55999994</v>
          </cell>
          <cell r="BW11">
            <v>-792658305.40999997</v>
          </cell>
          <cell r="BX11">
            <v>-792260827.19000006</v>
          </cell>
          <cell r="BY11">
            <v>-794749524.52999997</v>
          </cell>
          <cell r="BZ11">
            <v>-798094187.41999996</v>
          </cell>
          <cell r="CA11">
            <v>-801441902.24000001</v>
          </cell>
          <cell r="CB11">
            <v>-804632969.15999997</v>
          </cell>
          <cell r="CC11">
            <v>-807458306.64999998</v>
          </cell>
          <cell r="CD11">
            <v>-809022082.59000003</v>
          </cell>
          <cell r="CE11">
            <v>-812000239.71000004</v>
          </cell>
          <cell r="CF11">
            <v>-815873730.60000002</v>
          </cell>
          <cell r="CG11">
            <v>-818684472.36000001</v>
          </cell>
          <cell r="CH11">
            <v>-822505628.75999999</v>
          </cell>
          <cell r="CI11">
            <v>-826628034.94000006</v>
          </cell>
          <cell r="CJ11">
            <v>-824194814.04999995</v>
          </cell>
          <cell r="CK11">
            <v>-828540635.38</v>
          </cell>
          <cell r="CL11">
            <v>-828942212.5</v>
          </cell>
          <cell r="CM11">
            <v>-833319226.66999996</v>
          </cell>
          <cell r="CN11">
            <v>-837034956.15999997</v>
          </cell>
          <cell r="CO11">
            <v>-841539104.87</v>
          </cell>
          <cell r="CP11">
            <v>-845169155.41999996</v>
          </cell>
          <cell r="CQ11">
            <v>-849611542.49000001</v>
          </cell>
          <cell r="CR11">
            <v>-854339992.46000004</v>
          </cell>
          <cell r="CS11">
            <v>-857331156.26999998</v>
          </cell>
          <cell r="CT11">
            <v>-859741766.84000003</v>
          </cell>
          <cell r="CU11">
            <v>-863181558.33000004</v>
          </cell>
          <cell r="CV11">
            <v>-863797207.22000003</v>
          </cell>
          <cell r="CW11">
            <v>-867875669.89999998</v>
          </cell>
          <cell r="CX11">
            <v>-871813326.76999998</v>
          </cell>
          <cell r="CY11">
            <v>-870653447.91999996</v>
          </cell>
          <cell r="CZ11">
            <v>-874631148.00999999</v>
          </cell>
          <cell r="DA11">
            <v>-879037750.84000003</v>
          </cell>
          <cell r="DB11">
            <v>-877464305.25999999</v>
          </cell>
          <cell r="DC11">
            <v>-879336329.61000001</v>
          </cell>
          <cell r="DD11">
            <v>-883968098.65999997</v>
          </cell>
          <cell r="DE11">
            <v>-884255300.07000005</v>
          </cell>
          <cell r="DF11">
            <v>-889341407.23000002</v>
          </cell>
          <cell r="DG11">
            <v>-894532932.25</v>
          </cell>
          <cell r="DH11">
            <v>-897690611.58000004</v>
          </cell>
        </row>
        <row r="12">
          <cell r="C12" t="str">
            <v>RWIP</v>
          </cell>
          <cell r="D12">
            <v>5475309.6699999999</v>
          </cell>
          <cell r="E12">
            <v>6070492.6100000003</v>
          </cell>
          <cell r="F12">
            <v>6193781.8600000003</v>
          </cell>
          <cell r="G12"/>
          <cell r="H12">
            <v>6061317.4000000004</v>
          </cell>
          <cell r="I12">
            <v>5811333.1299999999</v>
          </cell>
          <cell r="J12">
            <v>5786439.4199999999</v>
          </cell>
          <cell r="K12">
            <v>5641621.3799999999</v>
          </cell>
          <cell r="L12">
            <v>6105530.6500000004</v>
          </cell>
          <cell r="M12">
            <v>6017209.04</v>
          </cell>
          <cell r="N12">
            <v>6264177.7000000002</v>
          </cell>
          <cell r="O12">
            <v>5996988.4100000001</v>
          </cell>
          <cell r="P12">
            <v>6806563.4299999997</v>
          </cell>
          <cell r="Q12">
            <v>5987515.5</v>
          </cell>
          <cell r="R12">
            <v>6231278.0700000003</v>
          </cell>
          <cell r="S12">
            <v>6280485.1399999997</v>
          </cell>
          <cell r="T12">
            <v>6419367.4699999997</v>
          </cell>
          <cell r="U12">
            <v>6028288.3200000003</v>
          </cell>
          <cell r="V12">
            <v>6278540.7199999997</v>
          </cell>
          <cell r="W12">
            <v>6759615</v>
          </cell>
          <cell r="X12">
            <v>7187888.21</v>
          </cell>
          <cell r="Y12">
            <v>8099451.4000000004</v>
          </cell>
          <cell r="Z12">
            <v>8822057.6999999993</v>
          </cell>
          <cell r="AA12">
            <v>7728729.25</v>
          </cell>
          <cell r="AB12">
            <v>9240386.6400000006</v>
          </cell>
          <cell r="AC12">
            <v>8491114.7799999993</v>
          </cell>
          <cell r="AD12">
            <v>8812995.7699999996</v>
          </cell>
          <cell r="AE12">
            <v>8216345.25</v>
          </cell>
          <cell r="AF12">
            <v>8443568.9199999999</v>
          </cell>
          <cell r="AG12">
            <v>8676052.1300000008</v>
          </cell>
          <cell r="AH12">
            <v>8506988.5700000003</v>
          </cell>
          <cell r="AI12">
            <v>8786687.4499999993</v>
          </cell>
          <cell r="AJ12">
            <v>9470438.9100000001</v>
          </cell>
          <cell r="AK12">
            <v>9107765.9800000004</v>
          </cell>
          <cell r="AL12">
            <v>9025114.9100000001</v>
          </cell>
          <cell r="AM12">
            <v>9223965.7400000002</v>
          </cell>
          <cell r="AN12">
            <v>9023289.1199999992</v>
          </cell>
          <cell r="AO12">
            <v>9190137.4199999999</v>
          </cell>
          <cell r="AP12">
            <v>9485911.8699999992</v>
          </cell>
          <cell r="AQ12">
            <v>9462697.8599999994</v>
          </cell>
          <cell r="AR12">
            <v>9529161.0199999996</v>
          </cell>
          <cell r="AS12">
            <v>9650496.0999999996</v>
          </cell>
          <cell r="AT12">
            <v>8907929.3100000005</v>
          </cell>
          <cell r="AU12">
            <v>8629778.5899999999</v>
          </cell>
          <cell r="AV12">
            <v>8994819.2200000007</v>
          </cell>
          <cell r="AW12">
            <v>7779688.1500000004</v>
          </cell>
          <cell r="AX12">
            <v>7770589.4900000002</v>
          </cell>
          <cell r="AY12">
            <v>8916807.4499999993</v>
          </cell>
          <cell r="AZ12">
            <v>7422224.1200000001</v>
          </cell>
          <cell r="BA12">
            <v>7870417.71</v>
          </cell>
          <cell r="BB12">
            <v>8310679.8600000003</v>
          </cell>
          <cell r="BC12">
            <v>7824554.8600000003</v>
          </cell>
          <cell r="BD12">
            <v>7933428.5</v>
          </cell>
          <cell r="BE12">
            <v>8348728.4900000002</v>
          </cell>
          <cell r="BF12">
            <v>8410915.3499999996</v>
          </cell>
          <cell r="BG12">
            <v>8712829.8000000007</v>
          </cell>
          <cell r="BH12">
            <v>8716305.2799999993</v>
          </cell>
          <cell r="BI12">
            <v>8829637.8599999994</v>
          </cell>
          <cell r="BJ12">
            <v>9677481.0600000005</v>
          </cell>
          <cell r="BK12">
            <v>10141968.789999999</v>
          </cell>
          <cell r="BL12">
            <v>9945627.3800000008</v>
          </cell>
          <cell r="BM12">
            <v>10843632.92</v>
          </cell>
          <cell r="BN12">
            <v>11222013.439999999</v>
          </cell>
          <cell r="BO12">
            <v>11155382.73</v>
          </cell>
          <cell r="BP12">
            <v>11397942.220000001</v>
          </cell>
          <cell r="BQ12">
            <v>11847087.07</v>
          </cell>
          <cell r="BR12">
            <v>11136746.699999999</v>
          </cell>
          <cell r="BS12">
            <v>11512539.560000001</v>
          </cell>
          <cell r="BT12">
            <v>12447563.75</v>
          </cell>
          <cell r="BU12">
            <v>13248918.85</v>
          </cell>
          <cell r="BV12">
            <v>13786077.689999999</v>
          </cell>
          <cell r="BW12">
            <v>14318397.5</v>
          </cell>
          <cell r="BX12">
            <v>12667895.710000001</v>
          </cell>
          <cell r="BY12">
            <v>7188034.0899999999</v>
          </cell>
          <cell r="BZ12">
            <v>14090648.800000001</v>
          </cell>
          <cell r="CA12">
            <v>14713671.66</v>
          </cell>
          <cell r="CB12">
            <v>15130730.42</v>
          </cell>
          <cell r="CC12">
            <v>14934721.41</v>
          </cell>
          <cell r="CD12">
            <v>13714162.5</v>
          </cell>
          <cell r="CE12">
            <v>14234181.17</v>
          </cell>
          <cell r="CF12">
            <v>15037734.359999999</v>
          </cell>
          <cell r="CG12">
            <v>15011710.01</v>
          </cell>
          <cell r="CH12">
            <v>15771328.560000001</v>
          </cell>
          <cell r="CI12">
            <v>16697713.640000001</v>
          </cell>
          <cell r="CJ12">
            <v>14310749.710000001</v>
          </cell>
          <cell r="CK12">
            <v>13733020.98</v>
          </cell>
          <cell r="CL12">
            <v>14220008.640000001</v>
          </cell>
          <cell r="CM12">
            <v>15066620.789999999</v>
          </cell>
          <cell r="CN12">
            <v>15447519.75</v>
          </cell>
          <cell r="CO12">
            <v>16530432.9</v>
          </cell>
          <cell r="CP12">
            <v>17286137.559999999</v>
          </cell>
          <cell r="CQ12">
            <v>18879440.620000001</v>
          </cell>
          <cell r="CR12">
            <v>19735206.359999999</v>
          </cell>
          <cell r="CS12">
            <v>19651989.199999999</v>
          </cell>
          <cell r="CT12">
            <v>20495704.84</v>
          </cell>
          <cell r="CU12">
            <v>22214041.800000001</v>
          </cell>
          <cell r="CV12">
            <v>14177814.32</v>
          </cell>
          <cell r="CW12">
            <v>14826337.83</v>
          </cell>
          <cell r="CX12">
            <v>14679341.5</v>
          </cell>
          <cell r="CY12">
            <v>15391800.630000001</v>
          </cell>
          <cell r="CZ12">
            <v>16386078.810000001</v>
          </cell>
          <cell r="DA12">
            <v>16775100.939999999</v>
          </cell>
          <cell r="DB12">
            <v>17428271.57</v>
          </cell>
          <cell r="DC12">
            <v>17458408.48</v>
          </cell>
          <cell r="DD12">
            <v>18327579.890000001</v>
          </cell>
          <cell r="DE12">
            <v>19038685.940000001</v>
          </cell>
          <cell r="DF12">
            <v>19783273.870000001</v>
          </cell>
          <cell r="DG12">
            <v>20748302.899999999</v>
          </cell>
          <cell r="DH12">
            <v>21479304.420000002</v>
          </cell>
        </row>
        <row r="13">
          <cell r="C13" t="str">
            <v>ARsv Cst Rmv C</v>
          </cell>
          <cell r="D13">
            <v>8308846.6600000001</v>
          </cell>
          <cell r="E13">
            <v>8312150.3300000001</v>
          </cell>
          <cell r="F13">
            <v>8326714</v>
          </cell>
          <cell r="G13">
            <v>8330300.4800000004</v>
          </cell>
          <cell r="H13">
            <v>8330452.5199999996</v>
          </cell>
          <cell r="I13">
            <v>8334727.5499999998</v>
          </cell>
          <cell r="J13">
            <v>8340869.96</v>
          </cell>
          <cell r="K13">
            <v>8341337.8099999996</v>
          </cell>
          <cell r="L13">
            <v>8344438.29</v>
          </cell>
          <cell r="M13">
            <v>8368880.9100000001</v>
          </cell>
          <cell r="N13">
            <v>8370306.4900000002</v>
          </cell>
          <cell r="O13">
            <v>8385606.7300000004</v>
          </cell>
          <cell r="P13">
            <v>8393768.2300000004</v>
          </cell>
          <cell r="Q13">
            <v>8405555.4900000002</v>
          </cell>
          <cell r="R13">
            <v>8379189.3600000003</v>
          </cell>
          <cell r="S13">
            <v>8400720.9399999995</v>
          </cell>
          <cell r="T13">
            <v>8408807.4800000004</v>
          </cell>
          <cell r="U13">
            <v>8421469.5700000003</v>
          </cell>
          <cell r="V13">
            <v>8407904.5</v>
          </cell>
          <cell r="W13">
            <v>8422924.0399999991</v>
          </cell>
          <cell r="X13">
            <v>8449577.2200000007</v>
          </cell>
          <cell r="Y13">
            <v>8477393</v>
          </cell>
          <cell r="Z13">
            <v>8499513.2200000007</v>
          </cell>
          <cell r="AA13">
            <v>8547003.4000000004</v>
          </cell>
          <cell r="AB13">
            <v>8523264.0099999998</v>
          </cell>
          <cell r="AC13">
            <v>8463248.1400000006</v>
          </cell>
          <cell r="AD13">
            <v>8442232.9700000007</v>
          </cell>
          <cell r="AE13">
            <v>8422590.9600000009</v>
          </cell>
          <cell r="AF13">
            <v>8486220.7699999996</v>
          </cell>
          <cell r="AG13">
            <v>8502774.25</v>
          </cell>
          <cell r="AH13">
            <v>8519206.4900000002</v>
          </cell>
          <cell r="AI13">
            <v>8498914.6300000008</v>
          </cell>
          <cell r="AJ13">
            <v>8519190.1699999999</v>
          </cell>
          <cell r="AK13">
            <v>8528675.0800000001</v>
          </cell>
          <cell r="AL13">
            <v>8522908.7100000009</v>
          </cell>
          <cell r="AM13">
            <v>8526203.0700000003</v>
          </cell>
          <cell r="AN13">
            <v>8538626</v>
          </cell>
          <cell r="AO13">
            <v>8636826.3000000007</v>
          </cell>
          <cell r="AP13">
            <v>8665557.6400000006</v>
          </cell>
          <cell r="AQ13">
            <v>8698674.1500000004</v>
          </cell>
          <cell r="AR13">
            <v>8711577.8000000007</v>
          </cell>
          <cell r="AS13">
            <v>8747881.2200000007</v>
          </cell>
          <cell r="AT13">
            <v>8765684.7300000004</v>
          </cell>
          <cell r="AU13">
            <v>8743362.8800000008</v>
          </cell>
          <cell r="AV13">
            <v>8751670.3399999999</v>
          </cell>
          <cell r="AW13">
            <v>8780268.7400000002</v>
          </cell>
          <cell r="AX13">
            <v>8738544.6300000008</v>
          </cell>
          <cell r="AY13">
            <v>8745431.2200000007</v>
          </cell>
          <cell r="AZ13">
            <v>8780648.6400000006</v>
          </cell>
          <cell r="BA13">
            <v>8748023.5500000007</v>
          </cell>
          <cell r="BB13">
            <v>8784757.7599999998</v>
          </cell>
          <cell r="BC13">
            <v>8795335.8200000003</v>
          </cell>
          <cell r="BD13">
            <v>8779903.0899999999</v>
          </cell>
          <cell r="BE13">
            <v>8805685.5399999991</v>
          </cell>
          <cell r="BF13">
            <v>8842790.4800000004</v>
          </cell>
          <cell r="BG13">
            <v>8844384.5399999991</v>
          </cell>
          <cell r="BH13">
            <v>8884621.0500000007</v>
          </cell>
          <cell r="BI13">
            <v>8896387.4299999997</v>
          </cell>
          <cell r="BJ13">
            <v>8916734.9900000002</v>
          </cell>
          <cell r="BK13">
            <v>8953077.6300000008</v>
          </cell>
          <cell r="BL13">
            <v>8990526.6300000008</v>
          </cell>
          <cell r="BM13">
            <v>8977840.8800000008</v>
          </cell>
          <cell r="BN13">
            <v>9005200.3800000008</v>
          </cell>
          <cell r="BO13">
            <v>9015577.3100000005</v>
          </cell>
          <cell r="BP13">
            <v>9016765.7799999993</v>
          </cell>
          <cell r="BQ13">
            <v>9016551.7799999993</v>
          </cell>
          <cell r="BR13">
            <v>9032829.3900000006</v>
          </cell>
          <cell r="BS13">
            <v>8978749.2599999998</v>
          </cell>
          <cell r="BT13">
            <v>8993094.8499999996</v>
          </cell>
          <cell r="BU13">
            <v>9025187.5299999993</v>
          </cell>
          <cell r="BV13">
            <v>9058107.6600000001</v>
          </cell>
          <cell r="BW13">
            <v>9065696.2300000004</v>
          </cell>
          <cell r="BX13">
            <v>9090008.8699999992</v>
          </cell>
          <cell r="BY13">
            <v>8987353.3499999996</v>
          </cell>
          <cell r="BZ13">
            <v>9017983.25</v>
          </cell>
          <cell r="CA13">
            <v>9053478.0899999999</v>
          </cell>
          <cell r="CB13">
            <v>9084514.8200000003</v>
          </cell>
          <cell r="CC13">
            <v>9112597.4199999999</v>
          </cell>
          <cell r="CD13">
            <v>9110198.0099999998</v>
          </cell>
          <cell r="CE13">
            <v>9060385.1899999995</v>
          </cell>
          <cell r="CF13">
            <v>9090297.0500000007</v>
          </cell>
          <cell r="CG13">
            <v>9130078.4299999997</v>
          </cell>
          <cell r="CH13">
            <v>9136048.8900000006</v>
          </cell>
          <cell r="CI13">
            <v>9169826.8599999994</v>
          </cell>
          <cell r="CJ13">
            <v>9210423.75</v>
          </cell>
          <cell r="CK13">
            <v>9339355.8100000005</v>
          </cell>
          <cell r="CL13">
            <v>9136802.3000000007</v>
          </cell>
          <cell r="CM13">
            <v>9182469.4299999997</v>
          </cell>
          <cell r="CN13">
            <v>9238806.6199999992</v>
          </cell>
          <cell r="CO13">
            <v>9272837.8800000008</v>
          </cell>
          <cell r="CP13">
            <v>9330865.5500000007</v>
          </cell>
          <cell r="CQ13">
            <v>9348903.8000000007</v>
          </cell>
          <cell r="CR13">
            <v>9399071.8200000003</v>
          </cell>
          <cell r="CS13">
            <v>9458150.6400000006</v>
          </cell>
          <cell r="CT13">
            <v>9439204.1300000008</v>
          </cell>
          <cell r="CU13">
            <v>9421009.8200000003</v>
          </cell>
          <cell r="CV13">
            <v>9459235.6400000006</v>
          </cell>
          <cell r="CW13">
            <v>9344588.8000000007</v>
          </cell>
          <cell r="CX13">
            <v>9392312.7100000009</v>
          </cell>
          <cell r="CY13">
            <v>9408473.0199999996</v>
          </cell>
          <cell r="CZ13">
            <v>9455258.5500000007</v>
          </cell>
          <cell r="DA13">
            <v>9492458.1500000004</v>
          </cell>
          <cell r="DB13">
            <v>9540015.1199999992</v>
          </cell>
          <cell r="DC13">
            <v>9557121.4600000009</v>
          </cell>
          <cell r="DD13">
            <v>9591016.4499999993</v>
          </cell>
          <cell r="DE13">
            <v>9673517.6300000008</v>
          </cell>
          <cell r="DF13">
            <v>9701718.7599999998</v>
          </cell>
          <cell r="DG13">
            <v>9762094.9199999999</v>
          </cell>
          <cell r="DH13">
            <v>9821981.3900000006</v>
          </cell>
        </row>
        <row r="14">
          <cell r="C14" t="str">
            <v>ARsv Cst Rmv Cntra C</v>
          </cell>
          <cell r="D14">
            <v>-8308846.6600000001</v>
          </cell>
          <cell r="E14">
            <v>-8312150.3300000001</v>
          </cell>
          <cell r="F14">
            <v>-8326714</v>
          </cell>
          <cell r="G14">
            <v>-8330300.4800000004</v>
          </cell>
          <cell r="H14">
            <v>-8330452.5199999996</v>
          </cell>
          <cell r="I14">
            <v>-8334727.5499999998</v>
          </cell>
          <cell r="J14">
            <v>-8340869.96</v>
          </cell>
          <cell r="K14">
            <v>-8341337.8099999996</v>
          </cell>
          <cell r="L14">
            <v>-8344438.29</v>
          </cell>
          <cell r="M14">
            <v>-8368880.9100000001</v>
          </cell>
          <cell r="N14">
            <v>-8370306.4900000002</v>
          </cell>
          <cell r="O14">
            <v>-8385606.7300000004</v>
          </cell>
          <cell r="P14">
            <v>-8393768.2300000004</v>
          </cell>
          <cell r="Q14">
            <v>-8405555.4900000002</v>
          </cell>
          <cell r="R14">
            <v>-8379189.3600000003</v>
          </cell>
          <cell r="S14">
            <v>-8400720.9399999995</v>
          </cell>
          <cell r="T14">
            <v>-8408807.4800000004</v>
          </cell>
          <cell r="U14">
            <v>-8421469.5700000003</v>
          </cell>
          <cell r="V14">
            <v>-8407904.5</v>
          </cell>
          <cell r="W14">
            <v>-8422924.0399999991</v>
          </cell>
          <cell r="X14">
            <v>-8449577.2200000007</v>
          </cell>
          <cell r="Y14">
            <v>-8477393</v>
          </cell>
          <cell r="Z14">
            <v>-8499513.2200000007</v>
          </cell>
          <cell r="AA14">
            <v>-8547003.4000000004</v>
          </cell>
          <cell r="AB14">
            <v>-8523264.0099999998</v>
          </cell>
          <cell r="AC14">
            <v>-8463248.1400000006</v>
          </cell>
          <cell r="AD14">
            <v>-8442232.9700000007</v>
          </cell>
          <cell r="AE14">
            <v>-8422590.9600000009</v>
          </cell>
          <cell r="AF14">
            <v>-8486220.7699999996</v>
          </cell>
          <cell r="AG14">
            <v>-8502774.25</v>
          </cell>
          <cell r="AH14">
            <v>-8519206.4900000002</v>
          </cell>
          <cell r="AI14">
            <v>-8498914.6300000008</v>
          </cell>
          <cell r="AJ14">
            <v>-8519190.1699999999</v>
          </cell>
          <cell r="AK14">
            <v>-8528675.0800000001</v>
          </cell>
          <cell r="AL14">
            <v>-8522908.7100000009</v>
          </cell>
          <cell r="AM14">
            <v>-8526203.0700000003</v>
          </cell>
          <cell r="AN14">
            <v>-8538626</v>
          </cell>
          <cell r="AO14">
            <v>-8636826.3000000007</v>
          </cell>
          <cell r="AP14">
            <v>-8665557.6400000006</v>
          </cell>
          <cell r="AQ14">
            <v>-8698674.1500000004</v>
          </cell>
          <cell r="AR14">
            <v>-8711577.8000000007</v>
          </cell>
          <cell r="AS14">
            <v>-8747881.2200000007</v>
          </cell>
          <cell r="AT14">
            <v>-8765684.7300000004</v>
          </cell>
          <cell r="AU14">
            <v>-8743362.8800000008</v>
          </cell>
          <cell r="AV14">
            <v>-8751670.3399999999</v>
          </cell>
          <cell r="AW14">
            <v>-8780268.7400000002</v>
          </cell>
          <cell r="AX14">
            <v>-8738544.6300000008</v>
          </cell>
          <cell r="AY14">
            <v>-8745431.2200000007</v>
          </cell>
          <cell r="AZ14">
            <v>-8780648.6400000006</v>
          </cell>
          <cell r="BA14">
            <v>-8748023.5500000007</v>
          </cell>
          <cell r="BB14">
            <v>-8784757.7599999998</v>
          </cell>
          <cell r="BC14">
            <v>-8795335.8200000003</v>
          </cell>
          <cell r="BD14">
            <v>-8779903.0899999999</v>
          </cell>
          <cell r="BE14">
            <v>-8805685.5399999991</v>
          </cell>
          <cell r="BF14">
            <v>-8842790.4800000004</v>
          </cell>
          <cell r="BG14">
            <v>-8844384.5399999991</v>
          </cell>
          <cell r="BH14">
            <v>-8884621.0500000007</v>
          </cell>
          <cell r="BI14">
            <v>-8896387.4299999997</v>
          </cell>
          <cell r="BJ14">
            <v>-8916734.9900000002</v>
          </cell>
          <cell r="BK14">
            <v>-8953077.6300000008</v>
          </cell>
          <cell r="BL14">
            <v>-8990526.6300000008</v>
          </cell>
          <cell r="BM14">
            <v>-8977840.8800000008</v>
          </cell>
          <cell r="BN14">
            <v>-9005200.3800000008</v>
          </cell>
          <cell r="BO14">
            <v>-9015577.3100000005</v>
          </cell>
          <cell r="BP14">
            <v>-9016765.7799999993</v>
          </cell>
          <cell r="BQ14">
            <v>-9016551.7799999993</v>
          </cell>
          <cell r="BR14">
            <v>-9032829.3900000006</v>
          </cell>
          <cell r="BS14">
            <v>-8978749.2599999998</v>
          </cell>
          <cell r="BT14">
            <v>-8993094.8499999996</v>
          </cell>
          <cell r="BU14">
            <v>-9025187.5299999993</v>
          </cell>
          <cell r="BV14">
            <v>-9058107.6600000001</v>
          </cell>
          <cell r="BW14">
            <v>-9065696.2300000004</v>
          </cell>
          <cell r="BX14">
            <v>-9090008.8699999992</v>
          </cell>
          <cell r="BY14">
            <v>-8987353.3499999996</v>
          </cell>
          <cell r="BZ14">
            <v>-9017983.25</v>
          </cell>
          <cell r="CA14">
            <v>-9053478.0899999999</v>
          </cell>
          <cell r="CB14">
            <v>-9084514.8200000003</v>
          </cell>
          <cell r="CC14">
            <v>-9112597.4199999999</v>
          </cell>
          <cell r="CD14">
            <v>-9110198.0099999998</v>
          </cell>
          <cell r="CE14">
            <v>-9060385.1899999995</v>
          </cell>
          <cell r="CF14">
            <v>-9090297.0500000007</v>
          </cell>
          <cell r="CG14">
            <v>-9130078.4299999997</v>
          </cell>
          <cell r="CH14">
            <v>-9136048.8900000006</v>
          </cell>
          <cell r="CI14">
            <v>-9169826.8599999994</v>
          </cell>
          <cell r="CJ14">
            <v>-9210423.75</v>
          </cell>
          <cell r="CK14">
            <v>-9339355.8100000005</v>
          </cell>
          <cell r="CL14">
            <v>-9136802.3000000007</v>
          </cell>
          <cell r="CM14">
            <v>-9182469.4299999997</v>
          </cell>
          <cell r="CN14">
            <v>-9238806.6199999992</v>
          </cell>
          <cell r="CO14">
            <v>-9272837.8800000008</v>
          </cell>
          <cell r="CP14">
            <v>-9330865.5500000007</v>
          </cell>
          <cell r="CQ14">
            <v>-9348903.8000000007</v>
          </cell>
          <cell r="CR14">
            <v>-9399071.8200000003</v>
          </cell>
          <cell r="CS14">
            <v>-9458150.6400000006</v>
          </cell>
          <cell r="CT14">
            <v>-9439204.1300000008</v>
          </cell>
          <cell r="CU14">
            <v>-9421009.8200000003</v>
          </cell>
          <cell r="CV14">
            <v>-9459235.6400000006</v>
          </cell>
          <cell r="CW14">
            <v>-9344588.8000000007</v>
          </cell>
          <cell r="CX14">
            <v>-9392312.7100000009</v>
          </cell>
          <cell r="CY14">
            <v>-9408473.0199999996</v>
          </cell>
          <cell r="CZ14">
            <v>-9455258.5500000007</v>
          </cell>
          <cell r="DA14">
            <v>-9492458.1500000004</v>
          </cell>
          <cell r="DB14">
            <v>-9540015.1199999992</v>
          </cell>
          <cell r="DC14">
            <v>-9557121.4600000009</v>
          </cell>
          <cell r="DD14">
            <v>-9591016.4499999993</v>
          </cell>
          <cell r="DE14">
            <v>-9673517.6300000008</v>
          </cell>
          <cell r="DF14">
            <v>-9701718.7599999998</v>
          </cell>
          <cell r="DG14">
            <v>-9762094.9199999999</v>
          </cell>
          <cell r="DH14">
            <v>-9821981.3900000006</v>
          </cell>
        </row>
        <row r="15">
          <cell r="C15" t="str">
            <v>ARsv Cst Rmv NC</v>
          </cell>
          <cell r="D15">
            <v>157868086.47999999</v>
          </cell>
          <cell r="E15">
            <v>157930856.16999999</v>
          </cell>
          <cell r="F15">
            <v>158207566.02000001</v>
          </cell>
          <cell r="G15">
            <v>158275709.06999999</v>
          </cell>
          <cell r="H15">
            <v>158278597.81</v>
          </cell>
          <cell r="I15">
            <v>158359823.44</v>
          </cell>
          <cell r="J15">
            <v>158476529.13999999</v>
          </cell>
          <cell r="K15">
            <v>158485418.47</v>
          </cell>
          <cell r="L15">
            <v>158544327.53999999</v>
          </cell>
          <cell r="M15">
            <v>159008737.30000001</v>
          </cell>
          <cell r="N15">
            <v>159035823.40000001</v>
          </cell>
          <cell r="O15">
            <v>159326527.94</v>
          </cell>
          <cell r="P15">
            <v>159481596.38999999</v>
          </cell>
          <cell r="Q15">
            <v>159705554.24000001</v>
          </cell>
          <cell r="R15">
            <v>159204597.91999999</v>
          </cell>
          <cell r="S15">
            <v>159613697.81999999</v>
          </cell>
          <cell r="T15">
            <v>159767342.11000001</v>
          </cell>
          <cell r="U15">
            <v>160007921.80000001</v>
          </cell>
          <cell r="V15">
            <v>159750185.44999999</v>
          </cell>
          <cell r="W15">
            <v>160035556.69</v>
          </cell>
          <cell r="X15">
            <v>160541967.15000001</v>
          </cell>
          <cell r="Y15">
            <v>161070466.96000001</v>
          </cell>
          <cell r="Z15">
            <v>161490751.22</v>
          </cell>
          <cell r="AA15">
            <v>162393064.65000001</v>
          </cell>
          <cell r="AB15">
            <v>161942016.22</v>
          </cell>
          <cell r="AC15">
            <v>160801714.69</v>
          </cell>
          <cell r="AD15">
            <v>160402426.53</v>
          </cell>
          <cell r="AE15">
            <v>160029228.36000001</v>
          </cell>
          <cell r="AF15">
            <v>161238194.55000001</v>
          </cell>
          <cell r="AG15">
            <v>161552710.74000001</v>
          </cell>
          <cell r="AH15">
            <v>161864923.40000001</v>
          </cell>
          <cell r="AI15">
            <v>161479377.88999999</v>
          </cell>
          <cell r="AJ15">
            <v>161864613.31999999</v>
          </cell>
          <cell r="AK15">
            <v>162044826.52000001</v>
          </cell>
          <cell r="AL15">
            <v>161935265.44999999</v>
          </cell>
          <cell r="AM15">
            <v>161997858.31999999</v>
          </cell>
          <cell r="AN15">
            <v>162233894.02000001</v>
          </cell>
          <cell r="AO15">
            <v>164099699.75999999</v>
          </cell>
          <cell r="AP15">
            <v>164645595.13</v>
          </cell>
          <cell r="AQ15">
            <v>165274808.75999999</v>
          </cell>
          <cell r="AR15">
            <v>165519978.13</v>
          </cell>
          <cell r="AS15">
            <v>166209743.21000001</v>
          </cell>
          <cell r="AT15">
            <v>166548009.91</v>
          </cell>
          <cell r="AU15">
            <v>166123894.66999999</v>
          </cell>
          <cell r="AV15">
            <v>166281736.52000001</v>
          </cell>
          <cell r="AW15">
            <v>166825106.06999999</v>
          </cell>
          <cell r="AX15">
            <v>166032347.90000001</v>
          </cell>
          <cell r="AY15">
            <v>166163193.16</v>
          </cell>
          <cell r="AZ15">
            <v>166832324.09</v>
          </cell>
          <cell r="BA15">
            <v>166212447.55000001</v>
          </cell>
          <cell r="BB15">
            <v>166910397.46000001</v>
          </cell>
          <cell r="BC15">
            <v>167111380.50999999</v>
          </cell>
          <cell r="BD15">
            <v>166818158.69</v>
          </cell>
          <cell r="BE15">
            <v>167308025.24000001</v>
          </cell>
          <cell r="BF15">
            <v>168013019.05000001</v>
          </cell>
          <cell r="BG15">
            <v>168043306.24000001</v>
          </cell>
          <cell r="BH15">
            <v>168807799.96000001</v>
          </cell>
          <cell r="BI15">
            <v>169031361.13999999</v>
          </cell>
          <cell r="BJ15">
            <v>169417964.81999999</v>
          </cell>
          <cell r="BK15">
            <v>170108474.88999999</v>
          </cell>
          <cell r="BL15">
            <v>170820005.96000001</v>
          </cell>
          <cell r="BM15">
            <v>170578976.66</v>
          </cell>
          <cell r="BN15">
            <v>171098807.28999999</v>
          </cell>
          <cell r="BO15">
            <v>171295968.96000001</v>
          </cell>
          <cell r="BP15">
            <v>171318549.91</v>
          </cell>
          <cell r="BQ15">
            <v>171314483.88</v>
          </cell>
          <cell r="BR15">
            <v>171623758.41999999</v>
          </cell>
          <cell r="BS15">
            <v>170596236.03</v>
          </cell>
          <cell r="BT15">
            <v>170868802.15000001</v>
          </cell>
          <cell r="BU15">
            <v>171478563.11000001</v>
          </cell>
          <cell r="BV15">
            <v>172104045.53</v>
          </cell>
          <cell r="BW15">
            <v>172248228.46000001</v>
          </cell>
          <cell r="BX15">
            <v>172710168.47999999</v>
          </cell>
          <cell r="BY15">
            <v>170759713.66</v>
          </cell>
          <cell r="BZ15">
            <v>171341681.81999999</v>
          </cell>
          <cell r="CA15">
            <v>172016083.63</v>
          </cell>
          <cell r="CB15">
            <v>172605781.63</v>
          </cell>
          <cell r="CC15">
            <v>173139350.93000001</v>
          </cell>
          <cell r="CD15">
            <v>173093762.09999999</v>
          </cell>
          <cell r="CE15">
            <v>172147318.59999999</v>
          </cell>
          <cell r="CF15">
            <v>172715644.03999999</v>
          </cell>
          <cell r="CG15">
            <v>173471490.18000001</v>
          </cell>
          <cell r="CH15">
            <v>173584928.91999999</v>
          </cell>
          <cell r="CI15">
            <v>174226710.41</v>
          </cell>
          <cell r="CJ15">
            <v>174998051.16</v>
          </cell>
          <cell r="CK15">
            <v>177447760.31</v>
          </cell>
          <cell r="CL15">
            <v>173599243.78</v>
          </cell>
          <cell r="CM15">
            <v>174466919.24000001</v>
          </cell>
          <cell r="CN15">
            <v>175537325.78</v>
          </cell>
          <cell r="CO15">
            <v>176183919.80000001</v>
          </cell>
          <cell r="CP15">
            <v>177286445.44</v>
          </cell>
          <cell r="CQ15">
            <v>177629172.22999999</v>
          </cell>
          <cell r="CR15">
            <v>178582364.50999999</v>
          </cell>
          <cell r="CS15">
            <v>179704862.22</v>
          </cell>
          <cell r="CT15">
            <v>179344878.47</v>
          </cell>
          <cell r="CU15">
            <v>178999186.68000001</v>
          </cell>
          <cell r="CV15">
            <v>179725477.24000001</v>
          </cell>
          <cell r="CW15">
            <v>177547187.30000001</v>
          </cell>
          <cell r="CX15">
            <v>178453941.47999999</v>
          </cell>
          <cell r="CY15">
            <v>178760987.41999999</v>
          </cell>
          <cell r="CZ15">
            <v>179649912.52000001</v>
          </cell>
          <cell r="DA15">
            <v>180356704.78999999</v>
          </cell>
          <cell r="DB15">
            <v>181260287.31999999</v>
          </cell>
          <cell r="DC15">
            <v>181585307.80000001</v>
          </cell>
          <cell r="DD15">
            <v>182229312.53999999</v>
          </cell>
          <cell r="DE15">
            <v>183796834.80000001</v>
          </cell>
          <cell r="DF15">
            <v>184332656.41</v>
          </cell>
          <cell r="DG15">
            <v>185479803.41</v>
          </cell>
          <cell r="DH15">
            <v>186617646.5</v>
          </cell>
        </row>
        <row r="16">
          <cell r="C16" t="str">
            <v>ARsv Cst Rmv CntraNC</v>
          </cell>
          <cell r="D16">
            <v>-157868086.47999999</v>
          </cell>
          <cell r="E16">
            <v>-157930856.16999999</v>
          </cell>
          <cell r="F16">
            <v>-158207566.02000001</v>
          </cell>
          <cell r="G16">
            <v>-158275709.06999999</v>
          </cell>
          <cell r="H16">
            <v>-158278597.81</v>
          </cell>
          <cell r="I16">
            <v>-158359823.44</v>
          </cell>
          <cell r="J16">
            <v>-158476529.13999999</v>
          </cell>
          <cell r="K16">
            <v>-158485418.47</v>
          </cell>
          <cell r="L16">
            <v>-158544327.53999999</v>
          </cell>
          <cell r="M16">
            <v>-159008737.30000001</v>
          </cell>
          <cell r="N16">
            <v>-159035823.40000001</v>
          </cell>
          <cell r="O16">
            <v>-159326527.94</v>
          </cell>
          <cell r="P16">
            <v>-159481596.38999999</v>
          </cell>
          <cell r="Q16">
            <v>-159705554.24000001</v>
          </cell>
          <cell r="R16">
            <v>-159204597.91999999</v>
          </cell>
          <cell r="S16">
            <v>-159613697.81999999</v>
          </cell>
          <cell r="T16">
            <v>-159767342.11000001</v>
          </cell>
          <cell r="U16">
            <v>-160007921.80000001</v>
          </cell>
          <cell r="V16">
            <v>-159750185.44999999</v>
          </cell>
          <cell r="W16">
            <v>-160035556.69</v>
          </cell>
          <cell r="X16">
            <v>-160541967.15000001</v>
          </cell>
          <cell r="Y16">
            <v>-161070466.96000001</v>
          </cell>
          <cell r="Z16">
            <v>-161490751.22</v>
          </cell>
          <cell r="AA16">
            <v>-162393064.65000001</v>
          </cell>
          <cell r="AB16">
            <v>-161942016.22</v>
          </cell>
          <cell r="AC16">
            <v>-160801714.69</v>
          </cell>
          <cell r="AD16">
            <v>-160402426.53</v>
          </cell>
          <cell r="AE16">
            <v>-160029228.36000001</v>
          </cell>
          <cell r="AF16">
            <v>-161238194.55000001</v>
          </cell>
          <cell r="AG16">
            <v>-161552710.74000001</v>
          </cell>
          <cell r="AH16">
            <v>-161864923.40000001</v>
          </cell>
          <cell r="AI16">
            <v>-161479377.88999999</v>
          </cell>
          <cell r="AJ16">
            <v>-161864613.31999999</v>
          </cell>
          <cell r="AK16">
            <v>-162044826.52000001</v>
          </cell>
          <cell r="AL16">
            <v>-161935265.44999999</v>
          </cell>
          <cell r="AM16">
            <v>-161997858.31999999</v>
          </cell>
          <cell r="AN16">
            <v>-162233894.02000001</v>
          </cell>
          <cell r="AO16">
            <v>-164099699.75999999</v>
          </cell>
          <cell r="AP16">
            <v>-164645595.13</v>
          </cell>
          <cell r="AQ16">
            <v>-165274808.75999999</v>
          </cell>
          <cell r="AR16">
            <v>-165519978.13</v>
          </cell>
          <cell r="AS16">
            <v>-166209743.21000001</v>
          </cell>
          <cell r="AT16">
            <v>-166548009.91</v>
          </cell>
          <cell r="AU16">
            <v>-166123894.66999999</v>
          </cell>
          <cell r="AV16">
            <v>-166281736.52000001</v>
          </cell>
          <cell r="AW16">
            <v>-166825106.06999999</v>
          </cell>
          <cell r="AX16">
            <v>-166032347.90000001</v>
          </cell>
          <cell r="AY16">
            <v>-166163193.16</v>
          </cell>
          <cell r="AZ16">
            <v>-166832324.09</v>
          </cell>
          <cell r="BA16">
            <v>-166212447.55000001</v>
          </cell>
          <cell r="BB16">
            <v>-166910397.46000001</v>
          </cell>
          <cell r="BC16">
            <v>-167111380.50999999</v>
          </cell>
          <cell r="BD16">
            <v>-166818158.69</v>
          </cell>
          <cell r="BE16">
            <v>-167308025.24000001</v>
          </cell>
          <cell r="BF16">
            <v>-168013019.05000001</v>
          </cell>
          <cell r="BG16">
            <v>-168043306.24000001</v>
          </cell>
          <cell r="BH16">
            <v>-168807799.96000001</v>
          </cell>
          <cell r="BI16">
            <v>-169031361.13999999</v>
          </cell>
          <cell r="BJ16">
            <v>-169417964.81999999</v>
          </cell>
          <cell r="BK16">
            <v>-170108474.88999999</v>
          </cell>
          <cell r="BL16">
            <v>-170820005.96000001</v>
          </cell>
          <cell r="BM16">
            <v>-170578976.66</v>
          </cell>
          <cell r="BN16">
            <v>-171098807.28999999</v>
          </cell>
          <cell r="BO16">
            <v>-171295968.96000001</v>
          </cell>
          <cell r="BP16">
            <v>-171318549.91</v>
          </cell>
          <cell r="BQ16">
            <v>-171314483.88</v>
          </cell>
          <cell r="BR16">
            <v>-171623758.41999999</v>
          </cell>
          <cell r="BS16">
            <v>-170596236.03</v>
          </cell>
          <cell r="BT16">
            <v>-170868802.15000001</v>
          </cell>
          <cell r="BU16">
            <v>-171478563.11000001</v>
          </cell>
          <cell r="BV16">
            <v>-172104045.53</v>
          </cell>
          <cell r="BW16">
            <v>-172248228.46000001</v>
          </cell>
          <cell r="BX16">
            <v>-172710168.47999999</v>
          </cell>
          <cell r="BY16">
            <v>-170759713.66</v>
          </cell>
          <cell r="BZ16">
            <v>-171341681.81999999</v>
          </cell>
          <cell r="CA16">
            <v>-172016083.63</v>
          </cell>
          <cell r="CB16">
            <v>-172605781.63</v>
          </cell>
          <cell r="CC16">
            <v>-173139350.93000001</v>
          </cell>
          <cell r="CD16">
            <v>-173093762.09999999</v>
          </cell>
          <cell r="CE16">
            <v>-172147318.59999999</v>
          </cell>
          <cell r="CF16">
            <v>-172715644.03999999</v>
          </cell>
          <cell r="CG16">
            <v>-173471490.18000001</v>
          </cell>
          <cell r="CH16">
            <v>-173584928.91999999</v>
          </cell>
          <cell r="CI16">
            <v>-174226710.41</v>
          </cell>
          <cell r="CJ16">
            <v>-174998051.16</v>
          </cell>
          <cell r="CK16">
            <v>-177447760.31</v>
          </cell>
          <cell r="CL16">
            <v>-173599243.78</v>
          </cell>
          <cell r="CM16">
            <v>-174466919.24000001</v>
          </cell>
          <cell r="CN16">
            <v>-175537325.78</v>
          </cell>
          <cell r="CO16">
            <v>-176183919.80000001</v>
          </cell>
          <cell r="CP16">
            <v>-177286445.44</v>
          </cell>
          <cell r="CQ16">
            <v>-177629172.22999999</v>
          </cell>
          <cell r="CR16">
            <v>-178582364.50999999</v>
          </cell>
          <cell r="CS16">
            <v>-179704862.22</v>
          </cell>
          <cell r="CT16">
            <v>-179344878.47</v>
          </cell>
          <cell r="CU16">
            <v>-178999186.68000001</v>
          </cell>
          <cell r="CV16">
            <v>-179725477.24000001</v>
          </cell>
          <cell r="CW16">
            <v>-177547187.30000001</v>
          </cell>
          <cell r="CX16">
            <v>-178453941.47999999</v>
          </cell>
          <cell r="CY16">
            <v>-178760987.41999999</v>
          </cell>
          <cell r="CZ16">
            <v>-179649912.52000001</v>
          </cell>
          <cell r="DA16">
            <v>-180356704.78999999</v>
          </cell>
          <cell r="DB16">
            <v>-181260287.31999999</v>
          </cell>
          <cell r="DC16">
            <v>-181585307.80000001</v>
          </cell>
          <cell r="DD16">
            <v>-182229312.53999999</v>
          </cell>
          <cell r="DE16">
            <v>-183796834.80000001</v>
          </cell>
          <cell r="DF16">
            <v>-184332656.41</v>
          </cell>
          <cell r="DG16">
            <v>-185479803.41</v>
          </cell>
          <cell r="DH16">
            <v>-186617646.5</v>
          </cell>
        </row>
        <row r="17">
          <cell r="C17" t="str">
            <v>Accum Deprec-GAAP</v>
          </cell>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v>0</v>
          </cell>
          <cell r="AG17">
            <v>0</v>
          </cell>
          <cell r="AH17">
            <v>98151</v>
          </cell>
          <cell r="AI17">
            <v>130868</v>
          </cell>
          <cell r="AJ17">
            <v>163585</v>
          </cell>
          <cell r="AK17">
            <v>196302</v>
          </cell>
          <cell r="AL17">
            <v>229019</v>
          </cell>
          <cell r="AM17">
            <v>284611</v>
          </cell>
          <cell r="AN17">
            <v>328766</v>
          </cell>
          <cell r="AO17">
            <v>372921</v>
          </cell>
          <cell r="AP17">
            <v>417076</v>
          </cell>
          <cell r="AQ17">
            <v>461231</v>
          </cell>
          <cell r="AR17">
            <v>505386</v>
          </cell>
          <cell r="AS17">
            <v>549541</v>
          </cell>
          <cell r="AT17">
            <v>593696</v>
          </cell>
          <cell r="AU17">
            <v>637851</v>
          </cell>
          <cell r="AV17">
            <v>682006</v>
          </cell>
          <cell r="AW17">
            <v>726161</v>
          </cell>
          <cell r="AX17">
            <v>770316</v>
          </cell>
          <cell r="AY17">
            <v>814471</v>
          </cell>
          <cell r="AZ17">
            <v>858626</v>
          </cell>
          <cell r="BA17">
            <v>902781</v>
          </cell>
          <cell r="BB17">
            <v>946936</v>
          </cell>
          <cell r="BC17">
            <v>991091</v>
          </cell>
          <cell r="BD17">
            <v>1035246</v>
          </cell>
          <cell r="BE17">
            <v>1079401</v>
          </cell>
          <cell r="BF17">
            <v>1123556</v>
          </cell>
          <cell r="BG17">
            <v>1167711</v>
          </cell>
          <cell r="BH17">
            <v>1211866</v>
          </cell>
          <cell r="BI17">
            <v>1256021</v>
          </cell>
          <cell r="BJ17">
            <v>1300176</v>
          </cell>
          <cell r="BK17">
            <v>1344331</v>
          </cell>
          <cell r="BL17">
            <v>1388486</v>
          </cell>
          <cell r="BM17">
            <v>1432641</v>
          </cell>
          <cell r="BN17">
            <v>1476796</v>
          </cell>
          <cell r="BO17">
            <v>1520951</v>
          </cell>
          <cell r="BP17">
            <v>1565106</v>
          </cell>
          <cell r="BQ17">
            <v>1609261</v>
          </cell>
          <cell r="BR17">
            <v>1653416</v>
          </cell>
          <cell r="BS17">
            <v>1697571</v>
          </cell>
          <cell r="BT17">
            <v>1741726</v>
          </cell>
          <cell r="BU17">
            <v>1785881</v>
          </cell>
          <cell r="BV17">
            <v>1830036</v>
          </cell>
          <cell r="BW17">
            <v>1874191</v>
          </cell>
          <cell r="BX17">
            <v>1918346</v>
          </cell>
          <cell r="BY17">
            <v>1962501</v>
          </cell>
          <cell r="BZ17">
            <v>2006656</v>
          </cell>
          <cell r="CA17">
            <v>2050811</v>
          </cell>
          <cell r="CB17">
            <v>2094966</v>
          </cell>
          <cell r="CC17">
            <v>2139121</v>
          </cell>
          <cell r="CD17">
            <v>2183276</v>
          </cell>
          <cell r="CE17">
            <v>2227431</v>
          </cell>
          <cell r="CF17">
            <v>2271586</v>
          </cell>
          <cell r="CG17">
            <v>2315741</v>
          </cell>
          <cell r="CH17">
            <v>2359896</v>
          </cell>
          <cell r="CI17">
            <v>2404051</v>
          </cell>
          <cell r="CJ17">
            <v>2448206</v>
          </cell>
          <cell r="CK17">
            <v>2492361</v>
          </cell>
          <cell r="CL17">
            <v>2536516</v>
          </cell>
          <cell r="CM17">
            <v>2580671</v>
          </cell>
          <cell r="CN17">
            <v>2624826</v>
          </cell>
          <cell r="CO17">
            <v>2668981</v>
          </cell>
          <cell r="CP17">
            <v>2713136</v>
          </cell>
          <cell r="CQ17">
            <v>2757291</v>
          </cell>
          <cell r="CR17">
            <v>2801446</v>
          </cell>
          <cell r="CS17">
            <v>2845601</v>
          </cell>
          <cell r="CT17">
            <v>2889756</v>
          </cell>
          <cell r="CU17">
            <v>2933911</v>
          </cell>
          <cell r="CV17">
            <v>2978066</v>
          </cell>
          <cell r="CW17">
            <v>3022221</v>
          </cell>
          <cell r="CX17">
            <v>3066376</v>
          </cell>
          <cell r="CY17">
            <v>2355624</v>
          </cell>
          <cell r="CZ17">
            <v>2388341</v>
          </cell>
          <cell r="DA17">
            <v>2421058</v>
          </cell>
          <cell r="DB17">
            <v>2453775</v>
          </cell>
          <cell r="DC17">
            <v>0</v>
          </cell>
          <cell r="DD17">
            <v>0</v>
          </cell>
          <cell r="DE17">
            <v>0</v>
          </cell>
          <cell r="DF17">
            <v>0</v>
          </cell>
          <cell r="DG17">
            <v>0</v>
          </cell>
          <cell r="DH17">
            <v>0</v>
          </cell>
        </row>
        <row r="18">
          <cell r="C18" t="str">
            <v>Plant Acquisitn Adj</v>
          </cell>
          <cell r="D18">
            <v>5031897.24</v>
          </cell>
          <cell r="E18">
            <v>5031897.24</v>
          </cell>
          <cell r="F18">
            <v>5031897.24</v>
          </cell>
          <cell r="G18">
            <v>5031897.24</v>
          </cell>
          <cell r="H18">
            <v>5031897.24</v>
          </cell>
          <cell r="I18">
            <v>5031897.24</v>
          </cell>
          <cell r="J18">
            <v>5031897.24</v>
          </cell>
          <cell r="K18">
            <v>5031897.24</v>
          </cell>
          <cell r="L18">
            <v>5031897.24</v>
          </cell>
          <cell r="M18">
            <v>5031897.24</v>
          </cell>
          <cell r="N18">
            <v>5031897.24</v>
          </cell>
          <cell r="O18">
            <v>5031897.24</v>
          </cell>
          <cell r="P18">
            <v>5031897.24</v>
          </cell>
          <cell r="Q18">
            <v>5031897.24</v>
          </cell>
          <cell r="R18">
            <v>5031897.24</v>
          </cell>
          <cell r="S18">
            <v>5031897.24</v>
          </cell>
          <cell r="T18">
            <v>5031897.24</v>
          </cell>
          <cell r="U18">
            <v>5031897.24</v>
          </cell>
          <cell r="V18">
            <v>5031897.24</v>
          </cell>
          <cell r="W18">
            <v>5031897.24</v>
          </cell>
          <cell r="X18">
            <v>5031897.24</v>
          </cell>
          <cell r="Y18">
            <v>5031897.24</v>
          </cell>
          <cell r="Z18">
            <v>5031897.24</v>
          </cell>
          <cell r="AA18">
            <v>5031897.24</v>
          </cell>
          <cell r="AB18">
            <v>5031897.24</v>
          </cell>
          <cell r="AC18">
            <v>5031897.24</v>
          </cell>
          <cell r="AD18">
            <v>5031897.24</v>
          </cell>
          <cell r="AE18">
            <v>5031897.24</v>
          </cell>
          <cell r="AF18">
            <v>5031897.24</v>
          </cell>
          <cell r="AG18">
            <v>5031897.24</v>
          </cell>
          <cell r="AH18">
            <v>5031897.24</v>
          </cell>
          <cell r="AI18">
            <v>5031897.24</v>
          </cell>
          <cell r="AJ18">
            <v>5031897.24</v>
          </cell>
          <cell r="AK18">
            <v>5031897.24</v>
          </cell>
          <cell r="AL18">
            <v>5031897.24</v>
          </cell>
          <cell r="AM18">
            <v>5031897.24</v>
          </cell>
          <cell r="AN18">
            <v>5031897.24</v>
          </cell>
          <cell r="AO18">
            <v>5031897.24</v>
          </cell>
          <cell r="AP18">
            <v>5031897.24</v>
          </cell>
          <cell r="AQ18">
            <v>5031897.24</v>
          </cell>
          <cell r="AR18">
            <v>5031897.24</v>
          </cell>
          <cell r="AS18">
            <v>5031897.24</v>
          </cell>
          <cell r="AT18">
            <v>5031897.24</v>
          </cell>
          <cell r="AU18">
            <v>5031897.24</v>
          </cell>
          <cell r="AV18">
            <v>5031897.24</v>
          </cell>
          <cell r="AW18">
            <v>5031897.24</v>
          </cell>
          <cell r="AX18">
            <v>5031897.24</v>
          </cell>
          <cell r="AY18">
            <v>5031897.24</v>
          </cell>
          <cell r="AZ18">
            <v>5031897.24</v>
          </cell>
          <cell r="BA18">
            <v>5031897.24</v>
          </cell>
          <cell r="BB18">
            <v>5031897.24</v>
          </cell>
          <cell r="BC18">
            <v>5031897.24</v>
          </cell>
          <cell r="BD18">
            <v>5031897.24</v>
          </cell>
          <cell r="BE18">
            <v>5031897.24</v>
          </cell>
          <cell r="BF18">
            <v>5031897.24</v>
          </cell>
          <cell r="BG18">
            <v>5031897.24</v>
          </cell>
          <cell r="BH18">
            <v>5031897.24</v>
          </cell>
          <cell r="BI18">
            <v>5031897.24</v>
          </cell>
          <cell r="BJ18">
            <v>5031897.24</v>
          </cell>
          <cell r="BK18">
            <v>5031897.24</v>
          </cell>
          <cell r="BL18">
            <v>5031897.24</v>
          </cell>
          <cell r="BM18">
            <v>5031897.24</v>
          </cell>
          <cell r="BN18">
            <v>5031897.24</v>
          </cell>
          <cell r="BO18">
            <v>5031897.24</v>
          </cell>
          <cell r="BP18">
            <v>5031897.24</v>
          </cell>
          <cell r="BQ18">
            <v>5031897.24</v>
          </cell>
          <cell r="BR18">
            <v>5031897.24</v>
          </cell>
          <cell r="BS18">
            <v>5031897.24</v>
          </cell>
          <cell r="BT18">
            <v>5031897.24</v>
          </cell>
          <cell r="BU18">
            <v>5031897.24</v>
          </cell>
          <cell r="BV18">
            <v>5031897.24</v>
          </cell>
          <cell r="BW18">
            <v>5031897.24</v>
          </cell>
          <cell r="BX18">
            <v>5031897.24</v>
          </cell>
          <cell r="BY18">
            <v>5031897.24</v>
          </cell>
          <cell r="BZ18">
            <v>5031897.24</v>
          </cell>
          <cell r="CA18">
            <v>5031897.24</v>
          </cell>
          <cell r="CB18">
            <v>5031897.24</v>
          </cell>
          <cell r="CC18">
            <v>5031897.24</v>
          </cell>
          <cell r="CD18">
            <v>5031897.24</v>
          </cell>
          <cell r="CE18">
            <v>5031897.24</v>
          </cell>
          <cell r="CF18">
            <v>5031897.24</v>
          </cell>
          <cell r="CG18">
            <v>5031897.24</v>
          </cell>
          <cell r="CH18">
            <v>5031897.24</v>
          </cell>
          <cell r="CI18">
            <v>5031897.24</v>
          </cell>
          <cell r="CJ18">
            <v>5031897.24</v>
          </cell>
          <cell r="CK18">
            <v>5031897.24</v>
          </cell>
          <cell r="CL18">
            <v>5031897.24</v>
          </cell>
          <cell r="CM18">
            <v>5031897.24</v>
          </cell>
          <cell r="CN18">
            <v>5031897.24</v>
          </cell>
          <cell r="CO18">
            <v>5031897.24</v>
          </cell>
          <cell r="CP18">
            <v>5031897.24</v>
          </cell>
          <cell r="CQ18">
            <v>5031897.24</v>
          </cell>
          <cell r="CR18">
            <v>5031897.24</v>
          </cell>
          <cell r="CS18">
            <v>5031897.24</v>
          </cell>
          <cell r="CT18">
            <v>5031897.24</v>
          </cell>
          <cell r="CU18">
            <v>5031897.24</v>
          </cell>
          <cell r="CV18">
            <v>5031897.24</v>
          </cell>
          <cell r="CW18">
            <v>5031897.24</v>
          </cell>
          <cell r="CX18">
            <v>5031897.24</v>
          </cell>
          <cell r="CY18">
            <v>5031897.24</v>
          </cell>
          <cell r="CZ18">
            <v>5031897.24</v>
          </cell>
          <cell r="DA18">
            <v>5031897.24</v>
          </cell>
          <cell r="DB18">
            <v>5031897.24</v>
          </cell>
          <cell r="DC18">
            <v>5031897.24</v>
          </cell>
          <cell r="DD18">
            <v>5031897.24</v>
          </cell>
          <cell r="DE18">
            <v>5031897.24</v>
          </cell>
          <cell r="DF18">
            <v>5031897.24</v>
          </cell>
          <cell r="DG18">
            <v>5031897.24</v>
          </cell>
          <cell r="DH18">
            <v>5031897.24</v>
          </cell>
        </row>
        <row r="19">
          <cell r="C19" t="str">
            <v>Amort Plnt Acq Adj</v>
          </cell>
          <cell r="D19">
            <v>-3962608.63</v>
          </cell>
          <cell r="E19">
            <v>-3975037.45</v>
          </cell>
          <cell r="F19">
            <v>-3987466.27</v>
          </cell>
          <cell r="G19">
            <v>-3999895.09</v>
          </cell>
          <cell r="H19">
            <v>-4012323.91</v>
          </cell>
          <cell r="I19">
            <v>-4037181.55</v>
          </cell>
          <cell r="J19">
            <v>-4024752.73</v>
          </cell>
          <cell r="K19">
            <v>-4049610.37</v>
          </cell>
          <cell r="L19">
            <v>-4062039.19</v>
          </cell>
          <cell r="M19">
            <v>-4074468.01</v>
          </cell>
          <cell r="N19">
            <v>-4086896.83</v>
          </cell>
          <cell r="O19">
            <v>-4099325.65</v>
          </cell>
          <cell r="P19">
            <v>-4111754.47</v>
          </cell>
          <cell r="Q19">
            <v>-4124183.29</v>
          </cell>
          <cell r="R19">
            <v>-4136612.11</v>
          </cell>
          <cell r="S19">
            <v>-4149040.93</v>
          </cell>
          <cell r="T19">
            <v>-4161469.75</v>
          </cell>
          <cell r="U19">
            <v>-4173898.57</v>
          </cell>
          <cell r="V19">
            <v>-4186327.39</v>
          </cell>
          <cell r="W19">
            <v>-4198756.21</v>
          </cell>
          <cell r="X19">
            <v>-4211185.03</v>
          </cell>
          <cell r="Y19">
            <v>-4223613.8499999996</v>
          </cell>
          <cell r="Z19">
            <v>-4236042.67</v>
          </cell>
          <cell r="AA19">
            <v>-4260900.3099999996</v>
          </cell>
          <cell r="AB19">
            <v>-4248471.49</v>
          </cell>
          <cell r="AC19">
            <v>-4273329.13</v>
          </cell>
          <cell r="AD19">
            <v>-4285757.95</v>
          </cell>
          <cell r="AE19">
            <v>-4298186.7699999996</v>
          </cell>
          <cell r="AF19">
            <v>-4310615.59</v>
          </cell>
          <cell r="AG19">
            <v>-4323044.41</v>
          </cell>
          <cell r="AH19">
            <v>-4335473.2300000004</v>
          </cell>
          <cell r="AI19">
            <v>-4347902.05</v>
          </cell>
          <cell r="AJ19">
            <v>-4360330.87</v>
          </cell>
          <cell r="AK19">
            <v>-4372759.6900000004</v>
          </cell>
          <cell r="AL19">
            <v>-4385188.51</v>
          </cell>
          <cell r="AM19">
            <v>-4397617.33</v>
          </cell>
          <cell r="AN19">
            <v>-4410046.1500000004</v>
          </cell>
          <cell r="AO19">
            <v>-4422474.97</v>
          </cell>
          <cell r="AP19">
            <v>-4434903.79</v>
          </cell>
          <cell r="AQ19">
            <v>-4447332.6100000003</v>
          </cell>
          <cell r="AR19">
            <v>-4459761.43</v>
          </cell>
          <cell r="AS19">
            <v>-4472190.25</v>
          </cell>
          <cell r="AT19">
            <v>-4484619.07</v>
          </cell>
          <cell r="AU19">
            <v>-4497047.8899999997</v>
          </cell>
          <cell r="AV19">
            <v>-4509476.71</v>
          </cell>
          <cell r="AW19">
            <v>-4521905.53</v>
          </cell>
          <cell r="AX19">
            <v>-4534334.3499999996</v>
          </cell>
          <cell r="AY19">
            <v>-4546763.17</v>
          </cell>
          <cell r="AZ19">
            <v>-4559191.99</v>
          </cell>
          <cell r="BA19">
            <v>-4571620.8099999996</v>
          </cell>
          <cell r="BB19">
            <v>-4584049.63</v>
          </cell>
          <cell r="BC19">
            <v>-4596478.45</v>
          </cell>
          <cell r="BD19">
            <v>-4608907.2699999996</v>
          </cell>
          <cell r="BE19">
            <v>-4621336.09</v>
          </cell>
          <cell r="BF19">
            <v>-4633764.91</v>
          </cell>
          <cell r="BG19">
            <v>-4646193.7300000004</v>
          </cell>
          <cell r="BH19">
            <v>-4658622.55</v>
          </cell>
          <cell r="BI19">
            <v>-4671051.37</v>
          </cell>
          <cell r="BJ19">
            <v>-4683480.1900000004</v>
          </cell>
          <cell r="BK19">
            <v>-4695909.01</v>
          </cell>
          <cell r="BL19">
            <v>-4708337.83</v>
          </cell>
          <cell r="BM19">
            <v>-4720766.6500000004</v>
          </cell>
          <cell r="BN19">
            <v>-4733195.47</v>
          </cell>
          <cell r="BO19">
            <v>-4745624.29</v>
          </cell>
          <cell r="BP19">
            <v>-4758053.1100000003</v>
          </cell>
          <cell r="BQ19">
            <v>-4770481.93</v>
          </cell>
          <cell r="BR19">
            <v>-4782910.75</v>
          </cell>
          <cell r="BS19">
            <v>-4795339.57</v>
          </cell>
          <cell r="BT19">
            <v>-4807768.3899999997</v>
          </cell>
          <cell r="BU19">
            <v>-4820197.21</v>
          </cell>
          <cell r="BV19">
            <v>-4832626.03</v>
          </cell>
          <cell r="BW19">
            <v>-4845054.8499999996</v>
          </cell>
          <cell r="BX19">
            <v>-4857483.67</v>
          </cell>
          <cell r="BY19">
            <v>-4869912.49</v>
          </cell>
          <cell r="BZ19">
            <v>-4882341.3099999996</v>
          </cell>
          <cell r="CA19">
            <v>-4894770.13</v>
          </cell>
          <cell r="CB19">
            <v>-4907198.95</v>
          </cell>
          <cell r="CC19">
            <v>-4919627.7699999996</v>
          </cell>
          <cell r="CD19">
            <v>-4932056.59</v>
          </cell>
          <cell r="CE19">
            <v>-4944485.41</v>
          </cell>
          <cell r="CF19">
            <v>-4956914.2300000004</v>
          </cell>
          <cell r="CG19">
            <v>-4969343.05</v>
          </cell>
          <cell r="CH19">
            <v>-4975292.78</v>
          </cell>
          <cell r="CI19">
            <v>-4981242.51</v>
          </cell>
          <cell r="CJ19">
            <v>-4987192.24</v>
          </cell>
          <cell r="CK19">
            <v>-4993141.97</v>
          </cell>
          <cell r="CL19">
            <v>-4999091.7</v>
          </cell>
          <cell r="CM19">
            <v>-5005041.43</v>
          </cell>
          <cell r="CN19">
            <v>-5010991.16</v>
          </cell>
          <cell r="CO19">
            <v>-5016940.8899999997</v>
          </cell>
          <cell r="CP19">
            <v>-5022890.62</v>
          </cell>
          <cell r="CQ19">
            <v>-5028840.3499999996</v>
          </cell>
          <cell r="CR19">
            <v>-5028152.9800000004</v>
          </cell>
          <cell r="CS19">
            <v>-5028152.9800000004</v>
          </cell>
          <cell r="CT19">
            <v>-5028152.9800000004</v>
          </cell>
          <cell r="CU19">
            <v>-5028152.9800000004</v>
          </cell>
          <cell r="CV19">
            <v>-5028152.9800000004</v>
          </cell>
          <cell r="CW19">
            <v>-5028152.9800000004</v>
          </cell>
          <cell r="CX19">
            <v>-5028152.9800000004</v>
          </cell>
          <cell r="CY19">
            <v>-5028152.9800000004</v>
          </cell>
          <cell r="CZ19">
            <v>-5028152.9800000004</v>
          </cell>
          <cell r="DA19">
            <v>-5028152.9800000004</v>
          </cell>
          <cell r="DB19">
            <v>-5028152.9800000004</v>
          </cell>
          <cell r="DC19">
            <v>-5028152.9800000004</v>
          </cell>
          <cell r="DD19">
            <v>-5028152.9800000004</v>
          </cell>
          <cell r="DE19">
            <v>-5028152.9800000004</v>
          </cell>
          <cell r="DF19">
            <v>-5028152.9800000004</v>
          </cell>
          <cell r="DG19">
            <v>-5028152.9800000004</v>
          </cell>
          <cell r="DH19">
            <v>-5028152.9800000004</v>
          </cell>
        </row>
        <row r="20">
          <cell r="C20" t="str">
            <v>Inv Subsidiaries</v>
          </cell>
          <cell r="D20">
            <v>1072286.1399999999</v>
          </cell>
          <cell r="E20">
            <v>690737.44</v>
          </cell>
          <cell r="F20">
            <v>1021328.38</v>
          </cell>
          <cell r="G20">
            <v>1227819.6399999999</v>
          </cell>
          <cell r="H20">
            <v>789786.66</v>
          </cell>
          <cell r="I20">
            <v>1230761.6100000001</v>
          </cell>
          <cell r="J20">
            <v>968313.89</v>
          </cell>
          <cell r="K20">
            <v>805462.03</v>
          </cell>
          <cell r="L20">
            <v>1003294.07</v>
          </cell>
          <cell r="M20">
            <v>1072047.3899999999</v>
          </cell>
          <cell r="N20">
            <v>665438.34</v>
          </cell>
          <cell r="O20">
            <v>833785.45</v>
          </cell>
          <cell r="P20">
            <v>1026666.02</v>
          </cell>
          <cell r="Q20">
            <v>1417441.09</v>
          </cell>
          <cell r="R20">
            <v>1096979.0900000001</v>
          </cell>
          <cell r="S20">
            <v>1247742.3799999999</v>
          </cell>
          <cell r="T20">
            <v>570274.97</v>
          </cell>
          <cell r="U20">
            <v>794634.67</v>
          </cell>
          <cell r="V20">
            <v>1010928.84</v>
          </cell>
          <cell r="W20">
            <v>671653.09</v>
          </cell>
          <cell r="X20">
            <v>842696.67</v>
          </cell>
          <cell r="Y20">
            <v>1066034.9099999999</v>
          </cell>
          <cell r="Z20">
            <v>1196268.3899999999</v>
          </cell>
          <cell r="AA20">
            <v>1550191.33</v>
          </cell>
          <cell r="AB20">
            <v>846357.32</v>
          </cell>
          <cell r="AC20">
            <v>1846471.79</v>
          </cell>
          <cell r="AD20">
            <v>1665481.94</v>
          </cell>
          <cell r="AE20">
            <v>1768137.91</v>
          </cell>
          <cell r="AF20">
            <v>1890203.72</v>
          </cell>
          <cell r="AG20">
            <v>817696.9</v>
          </cell>
          <cell r="AH20">
            <v>451270.74</v>
          </cell>
          <cell r="AI20">
            <v>666141.99</v>
          </cell>
          <cell r="AJ20">
            <v>943907.39</v>
          </cell>
          <cell r="AK20">
            <v>1124178.3799999999</v>
          </cell>
          <cell r="AL20">
            <v>1893574.75</v>
          </cell>
          <cell r="AM20">
            <v>1455090.61</v>
          </cell>
          <cell r="AN20">
            <v>1676407.65</v>
          </cell>
          <cell r="AO20">
            <v>2030340.05</v>
          </cell>
          <cell r="AP20">
            <v>1185824.46</v>
          </cell>
          <cell r="AQ20">
            <v>1472993.61</v>
          </cell>
          <cell r="AR20">
            <v>1619962.16</v>
          </cell>
          <cell r="AS20">
            <v>1068540.05</v>
          </cell>
          <cell r="AT20">
            <v>915178.88</v>
          </cell>
          <cell r="AU20">
            <v>1208435.27</v>
          </cell>
          <cell r="AV20">
            <v>564156.92000000004</v>
          </cell>
          <cell r="AW20">
            <v>862127.45</v>
          </cell>
          <cell r="AX20">
            <v>1107738.21</v>
          </cell>
          <cell r="AY20">
            <v>1166609.79</v>
          </cell>
          <cell r="AZ20">
            <v>1715678.71</v>
          </cell>
          <cell r="BA20">
            <v>2142944.46</v>
          </cell>
          <cell r="BB20">
            <v>1123292.52</v>
          </cell>
          <cell r="BC20">
            <v>1235895.02</v>
          </cell>
          <cell r="BD20">
            <v>1742173.74</v>
          </cell>
          <cell r="BE20">
            <v>1049799.92</v>
          </cell>
          <cell r="BF20">
            <v>1272460.1100000001</v>
          </cell>
          <cell r="BG20">
            <v>1562003.94</v>
          </cell>
          <cell r="BH20">
            <v>760636.27</v>
          </cell>
          <cell r="BI20">
            <v>935108.73</v>
          </cell>
          <cell r="BJ20">
            <v>1188785.76</v>
          </cell>
          <cell r="BK20">
            <v>777880.49</v>
          </cell>
          <cell r="BL20">
            <v>1195217.6599999999</v>
          </cell>
          <cell r="BM20">
            <v>1451866.25</v>
          </cell>
          <cell r="BN20">
            <v>823643.62</v>
          </cell>
          <cell r="BO20">
            <v>1284772.3600000001</v>
          </cell>
          <cell r="BP20">
            <v>1701879.38</v>
          </cell>
          <cell r="BQ20">
            <v>1022397.48</v>
          </cell>
          <cell r="BR20">
            <v>1256931.8</v>
          </cell>
          <cell r="BS20">
            <v>1595861.92</v>
          </cell>
          <cell r="BT20">
            <v>1079865.1299999999</v>
          </cell>
          <cell r="BU20">
            <v>1299029.46</v>
          </cell>
          <cell r="BV20">
            <v>1496620.32</v>
          </cell>
          <cell r="BW20">
            <v>673250.97</v>
          </cell>
          <cell r="BX20">
            <v>902043.41</v>
          </cell>
          <cell r="BY20">
            <v>1028316.05</v>
          </cell>
          <cell r="BZ20">
            <v>832643.11</v>
          </cell>
          <cell r="CA20">
            <v>926542.53</v>
          </cell>
          <cell r="CB20">
            <v>1260989.77</v>
          </cell>
          <cell r="CC20">
            <v>1026254.93</v>
          </cell>
          <cell r="CD20">
            <v>1250596.3700000001</v>
          </cell>
          <cell r="CE20">
            <v>1439036.29</v>
          </cell>
          <cell r="CF20">
            <v>781252.78</v>
          </cell>
          <cell r="CG20">
            <v>1020483.08</v>
          </cell>
          <cell r="CH20">
            <v>1371276.5</v>
          </cell>
          <cell r="CI20">
            <v>841297.66</v>
          </cell>
          <cell r="CJ20">
            <v>1208345.97</v>
          </cell>
          <cell r="CK20">
            <v>1542480.94</v>
          </cell>
          <cell r="CL20">
            <v>1003468.87</v>
          </cell>
          <cell r="CM20">
            <v>1278830.19</v>
          </cell>
          <cell r="CN20">
            <v>612943.16</v>
          </cell>
          <cell r="CO20">
            <v>1003456.24</v>
          </cell>
          <cell r="CP20">
            <v>1274946.82</v>
          </cell>
          <cell r="CQ20">
            <v>1549067.57</v>
          </cell>
          <cell r="CR20">
            <v>892660.69</v>
          </cell>
          <cell r="CS20">
            <v>1188488.3400000001</v>
          </cell>
          <cell r="CT20">
            <v>1502236.12</v>
          </cell>
          <cell r="CU20">
            <v>868331.8</v>
          </cell>
          <cell r="CV20">
            <v>1027776.72</v>
          </cell>
          <cell r="CW20">
            <v>1172773.1200000001</v>
          </cell>
          <cell r="CX20">
            <v>679786.76</v>
          </cell>
          <cell r="CY20">
            <v>1153410.45</v>
          </cell>
          <cell r="CZ20">
            <v>538847.81999999995</v>
          </cell>
          <cell r="DA20">
            <v>814853.23</v>
          </cell>
          <cell r="DB20">
            <v>1037827.6</v>
          </cell>
          <cell r="DC20">
            <v>1474440.33</v>
          </cell>
          <cell r="DD20">
            <v>1006071.92</v>
          </cell>
          <cell r="DE20">
            <v>1343627.69</v>
          </cell>
          <cell r="DF20">
            <v>532971.34</v>
          </cell>
          <cell r="DG20">
            <v>833075.57</v>
          </cell>
          <cell r="DH20">
            <v>846204.52</v>
          </cell>
        </row>
        <row r="21">
          <cell r="C21" t="str">
            <v>JPM 3428 Concentratn</v>
          </cell>
          <cell r="D21">
            <v>854815.57</v>
          </cell>
          <cell r="E21">
            <v>661843.68000000005</v>
          </cell>
          <cell r="F21">
            <v>924904.98</v>
          </cell>
          <cell r="G21">
            <v>1024070.57</v>
          </cell>
          <cell r="H21">
            <v>1305784.8</v>
          </cell>
          <cell r="I21">
            <v>7815621.4199999999</v>
          </cell>
          <cell r="J21">
            <v>10340489.99</v>
          </cell>
          <cell r="K21">
            <v>9387597.6600000001</v>
          </cell>
          <cell r="L21">
            <v>850191.94</v>
          </cell>
          <cell r="M21">
            <v>743876.29</v>
          </cell>
          <cell r="N21">
            <v>3692806.89</v>
          </cell>
          <cell r="O21">
            <v>4648640.5199999996</v>
          </cell>
          <cell r="P21">
            <v>585926.86</v>
          </cell>
          <cell r="Q21">
            <v>579112.88</v>
          </cell>
          <cell r="R21">
            <v>556338.87</v>
          </cell>
          <cell r="S21">
            <v>473980.34</v>
          </cell>
          <cell r="T21">
            <v>547609.64</v>
          </cell>
          <cell r="U21">
            <v>26328236.010000002</v>
          </cell>
          <cell r="V21">
            <v>21575472.969999999</v>
          </cell>
          <cell r="W21">
            <v>25276954.329999998</v>
          </cell>
          <cell r="X21">
            <v>25642033.100000001</v>
          </cell>
          <cell r="Y21">
            <v>23546556.809999999</v>
          </cell>
          <cell r="Z21">
            <v>8806099.6099999994</v>
          </cell>
          <cell r="AA21">
            <v>1927001.38</v>
          </cell>
          <cell r="AB21">
            <v>8378742.0599999996</v>
          </cell>
          <cell r="AC21">
            <v>549407.79</v>
          </cell>
          <cell r="AD21">
            <v>671614.12</v>
          </cell>
          <cell r="AE21">
            <v>22075282.539999999</v>
          </cell>
          <cell r="AF21">
            <v>297651.90999999997</v>
          </cell>
          <cell r="AG21">
            <v>662687.07999999996</v>
          </cell>
          <cell r="AH21">
            <v>599825.23</v>
          </cell>
          <cell r="AI21">
            <v>619928.79</v>
          </cell>
          <cell r="AJ21">
            <v>557419.53</v>
          </cell>
          <cell r="AK21">
            <v>656809.67000000004</v>
          </cell>
          <cell r="AL21">
            <v>572076.66</v>
          </cell>
          <cell r="AM21">
            <v>601132.79</v>
          </cell>
          <cell r="AN21">
            <v>818171.77</v>
          </cell>
          <cell r="AO21">
            <v>637802.86</v>
          </cell>
          <cell r="AP21">
            <v>646762.9</v>
          </cell>
          <cell r="AQ21">
            <v>675305.84</v>
          </cell>
          <cell r="AR21">
            <v>646663.01</v>
          </cell>
          <cell r="AS21">
            <v>571795.04</v>
          </cell>
          <cell r="AT21">
            <v>709690.96</v>
          </cell>
          <cell r="AU21">
            <v>614747.28</v>
          </cell>
          <cell r="AV21">
            <v>614391.43999999994</v>
          </cell>
          <cell r="AW21">
            <v>1095273.49</v>
          </cell>
          <cell r="AX21">
            <v>687301.89</v>
          </cell>
          <cell r="AY21">
            <v>730359.73</v>
          </cell>
          <cell r="AZ21">
            <v>681072.76</v>
          </cell>
          <cell r="BA21">
            <v>719315.4</v>
          </cell>
          <cell r="BB21">
            <v>696914.39</v>
          </cell>
          <cell r="BC21">
            <v>2644856.91</v>
          </cell>
          <cell r="BD21">
            <v>745369.21</v>
          </cell>
          <cell r="BE21">
            <v>640773.44999999995</v>
          </cell>
          <cell r="BF21">
            <v>708236.77</v>
          </cell>
          <cell r="BG21">
            <v>557876.63</v>
          </cell>
          <cell r="BH21">
            <v>678369.39</v>
          </cell>
          <cell r="BI21">
            <v>729174.77</v>
          </cell>
          <cell r="BJ21">
            <v>660169.24</v>
          </cell>
          <cell r="BK21">
            <v>709709.23</v>
          </cell>
          <cell r="BL21">
            <v>1018274.8</v>
          </cell>
          <cell r="BM21">
            <v>620747.97</v>
          </cell>
          <cell r="BN21">
            <v>1202930.22</v>
          </cell>
          <cell r="BO21">
            <v>704923.74</v>
          </cell>
          <cell r="BP21">
            <v>1063591.54</v>
          </cell>
          <cell r="BQ21">
            <v>1046393.18</v>
          </cell>
          <cell r="BR21">
            <v>911536.45</v>
          </cell>
          <cell r="BS21">
            <v>647143.74</v>
          </cell>
          <cell r="BT21">
            <v>1009822.93</v>
          </cell>
          <cell r="BU21">
            <v>1059380.8899999999</v>
          </cell>
          <cell r="BV21">
            <v>1198188.1399999999</v>
          </cell>
          <cell r="BW21">
            <v>8018323.5199999996</v>
          </cell>
          <cell r="BX21">
            <v>994252.87</v>
          </cell>
          <cell r="BY21">
            <v>630038.43999999994</v>
          </cell>
          <cell r="BZ21">
            <v>1538150.9</v>
          </cell>
          <cell r="CA21">
            <v>1044381.48</v>
          </cell>
          <cell r="CB21">
            <v>1015364.45</v>
          </cell>
          <cell r="CC21">
            <v>1034529.03</v>
          </cell>
          <cell r="CD21">
            <v>1010362.23</v>
          </cell>
          <cell r="CE21">
            <v>954111.76</v>
          </cell>
          <cell r="CF21">
            <v>944421.79</v>
          </cell>
          <cell r="CG21">
            <v>723426.49</v>
          </cell>
          <cell r="CH21">
            <v>614929.98</v>
          </cell>
          <cell r="CI21">
            <v>3866819.45</v>
          </cell>
          <cell r="CJ21">
            <v>1057359.6100000001</v>
          </cell>
          <cell r="CK21">
            <v>579831.86</v>
          </cell>
          <cell r="CL21">
            <v>704088.34</v>
          </cell>
          <cell r="CM21">
            <v>609290.61</v>
          </cell>
          <cell r="CN21">
            <v>642186.61</v>
          </cell>
          <cell r="CO21">
            <v>912798.05</v>
          </cell>
          <cell r="CP21">
            <v>761599.99</v>
          </cell>
          <cell r="CQ21">
            <v>714396.9</v>
          </cell>
          <cell r="CR21">
            <v>986515.46</v>
          </cell>
          <cell r="CS21">
            <v>980118.27</v>
          </cell>
          <cell r="CT21">
            <v>678663.65</v>
          </cell>
          <cell r="CU21">
            <v>884462.77</v>
          </cell>
          <cell r="CV21">
            <v>3275417.08</v>
          </cell>
          <cell r="CW21">
            <v>648250.16</v>
          </cell>
          <cell r="CX21">
            <v>690347.1</v>
          </cell>
          <cell r="CY21">
            <v>663840.46</v>
          </cell>
          <cell r="CZ21">
            <v>758631.41</v>
          </cell>
          <cell r="DA21">
            <v>670883.91</v>
          </cell>
          <cell r="DB21">
            <v>1098691.8899999999</v>
          </cell>
          <cell r="DC21">
            <v>1807908.29</v>
          </cell>
          <cell r="DD21">
            <v>637265.87</v>
          </cell>
          <cell r="DE21">
            <v>1236452.8700000001</v>
          </cell>
          <cell r="DF21">
            <v>608831.79</v>
          </cell>
          <cell r="DG21">
            <v>632468.51</v>
          </cell>
          <cell r="DH21">
            <v>165092.31</v>
          </cell>
        </row>
        <row r="22">
          <cell r="C22" t="str">
            <v>JPM 3428 ACH Out</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row>
        <row r="23">
          <cell r="C23" t="str">
            <v>JPM 3428 ZBA</v>
          </cell>
          <cell r="D23">
            <v>1000476.12</v>
          </cell>
          <cell r="E23">
            <v>514412.59</v>
          </cell>
          <cell r="F23">
            <v>826890.32</v>
          </cell>
          <cell r="G23">
            <v>319907.7</v>
          </cell>
          <cell r="H23">
            <v>414602.05</v>
          </cell>
          <cell r="I23">
            <v>617357.43000000005</v>
          </cell>
          <cell r="J23">
            <v>692083.33</v>
          </cell>
          <cell r="K23">
            <v>285129.64</v>
          </cell>
          <cell r="L23">
            <v>629758.16</v>
          </cell>
          <cell r="M23">
            <v>1041821.69</v>
          </cell>
          <cell r="N23">
            <v>822923.54</v>
          </cell>
          <cell r="O23">
            <v>1268260.1399999999</v>
          </cell>
          <cell r="P23">
            <v>1258474.46</v>
          </cell>
          <cell r="Q23">
            <v>570846.76</v>
          </cell>
          <cell r="R23">
            <v>249456</v>
          </cell>
          <cell r="S23">
            <v>688255.03</v>
          </cell>
          <cell r="T23">
            <v>669083.65</v>
          </cell>
          <cell r="U23">
            <v>1074762.75</v>
          </cell>
          <cell r="V23">
            <v>1292010.8799999999</v>
          </cell>
          <cell r="W23">
            <v>959054.16</v>
          </cell>
          <cell r="X23">
            <v>1142006.72</v>
          </cell>
          <cell r="Y23">
            <v>1649423.17</v>
          </cell>
          <cell r="Z23">
            <v>1180035.79</v>
          </cell>
          <cell r="AA23">
            <v>1450809.67</v>
          </cell>
          <cell r="AB23">
            <v>1194367.04</v>
          </cell>
          <cell r="AC23">
            <v>35947.31</v>
          </cell>
          <cell r="AD23">
            <v>237712.28</v>
          </cell>
          <cell r="AE23">
            <v>-21447.94</v>
          </cell>
          <cell r="AF23">
            <v>325285.39</v>
          </cell>
          <cell r="AG23">
            <v>1271006.3600000001</v>
          </cell>
          <cell r="AH23">
            <v>1794283.64</v>
          </cell>
          <cell r="AI23">
            <v>1303920.98</v>
          </cell>
          <cell r="AJ23">
            <v>1002082.64</v>
          </cell>
          <cell r="AK23">
            <v>741266.25</v>
          </cell>
          <cell r="AL23">
            <v>426507.98</v>
          </cell>
          <cell r="AM23">
            <v>-366003.82</v>
          </cell>
          <cell r="AN23">
            <v>477724.18</v>
          </cell>
          <cell r="AO23">
            <v>373031.27</v>
          </cell>
          <cell r="AP23">
            <v>1896689.58</v>
          </cell>
          <cell r="AQ23">
            <v>1980837.44</v>
          </cell>
          <cell r="AR23">
            <v>2625657.86</v>
          </cell>
          <cell r="AS23">
            <v>3260593.25</v>
          </cell>
          <cell r="AT23">
            <v>3438603.64</v>
          </cell>
          <cell r="AU23">
            <v>3286863.11</v>
          </cell>
          <cell r="AV23">
            <v>3754296.47</v>
          </cell>
          <cell r="AW23">
            <v>4247608.74</v>
          </cell>
          <cell r="AX23">
            <v>4182584.75</v>
          </cell>
          <cell r="AY23">
            <v>3880070.35</v>
          </cell>
          <cell r="AZ23">
            <v>4086700.25</v>
          </cell>
          <cell r="BA23">
            <v>2911185.93</v>
          </cell>
          <cell r="BB23">
            <v>4778478.55</v>
          </cell>
          <cell r="BC23">
            <v>4764918.57</v>
          </cell>
          <cell r="BD23">
            <v>4705005.87</v>
          </cell>
          <cell r="BE23">
            <v>5621894.6100000003</v>
          </cell>
          <cell r="BF23">
            <v>5295981.92</v>
          </cell>
          <cell r="BG23">
            <v>5045305.79</v>
          </cell>
          <cell r="BH23">
            <v>5840427.7199999997</v>
          </cell>
          <cell r="BI23">
            <v>5806311.6299999999</v>
          </cell>
          <cell r="BJ23">
            <v>5738346.0800000001</v>
          </cell>
          <cell r="BK23">
            <v>6056047.2300000004</v>
          </cell>
          <cell r="BL23">
            <v>6039023.0700000003</v>
          </cell>
          <cell r="BM23">
            <v>6880849.8099999996</v>
          </cell>
          <cell r="BN23">
            <v>7098255.2800000003</v>
          </cell>
          <cell r="BO23">
            <v>7117504.8799999999</v>
          </cell>
          <cell r="BP23">
            <v>7013590.6799999997</v>
          </cell>
          <cell r="BQ23">
            <v>7612102.7800000003</v>
          </cell>
          <cell r="BR23">
            <v>7697795.9299999997</v>
          </cell>
          <cell r="BS23">
            <v>7648262.1299999999</v>
          </cell>
          <cell r="BT23">
            <v>8492932.2699999996</v>
          </cell>
          <cell r="BU23">
            <v>8819620.75</v>
          </cell>
          <cell r="BV23">
            <v>8197965.4299999997</v>
          </cell>
          <cell r="BW23">
            <v>9022419.7400000002</v>
          </cell>
          <cell r="BX23">
            <v>9358422.9499999993</v>
          </cell>
          <cell r="BY23">
            <v>8782897.5999999996</v>
          </cell>
          <cell r="BZ23">
            <v>9922360.0099999998</v>
          </cell>
          <cell r="CA23">
            <v>9604001.5899999999</v>
          </cell>
          <cell r="CB23">
            <v>10116400.779999999</v>
          </cell>
          <cell r="CC23">
            <v>10104312.289999999</v>
          </cell>
          <cell r="CD23">
            <v>9855581.2599999998</v>
          </cell>
          <cell r="CE23">
            <v>9665812.9100000001</v>
          </cell>
          <cell r="CF23">
            <v>10417693.32</v>
          </cell>
          <cell r="CG23">
            <v>10371590.91</v>
          </cell>
          <cell r="CH23">
            <v>9788294.5</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row>
        <row r="24">
          <cell r="C24" t="str">
            <v>JPM 3444 Operations</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row>
        <row r="25">
          <cell r="C25" t="str">
            <v>JPM 3444 ACH Out</v>
          </cell>
          <cell r="D25">
            <v>0</v>
          </cell>
          <cell r="E25">
            <v>0</v>
          </cell>
          <cell r="F25">
            <v>0</v>
          </cell>
          <cell r="G25">
            <v>-9646.65</v>
          </cell>
          <cell r="H25">
            <v>0</v>
          </cell>
          <cell r="I25">
            <v>-5152.2700000000004</v>
          </cell>
          <cell r="J25">
            <v>0</v>
          </cell>
          <cell r="K25">
            <v>-447.44</v>
          </cell>
          <cell r="L25">
            <v>0</v>
          </cell>
          <cell r="M25">
            <v>0</v>
          </cell>
          <cell r="N25">
            <v>-4263.3999999999996</v>
          </cell>
          <cell r="O25">
            <v>0</v>
          </cell>
          <cell r="P25">
            <v>-1608.51</v>
          </cell>
          <cell r="Q25">
            <v>-9972.57</v>
          </cell>
          <cell r="R25">
            <v>0</v>
          </cell>
          <cell r="S25">
            <v>0</v>
          </cell>
          <cell r="T25">
            <v>-11369.06</v>
          </cell>
          <cell r="U25">
            <v>0</v>
          </cell>
          <cell r="V25">
            <v>-9993.23</v>
          </cell>
          <cell r="W25">
            <v>-11608.8</v>
          </cell>
          <cell r="X25">
            <v>-9744.02</v>
          </cell>
          <cell r="Y25">
            <v>0</v>
          </cell>
          <cell r="Z25">
            <v>0</v>
          </cell>
          <cell r="AA25">
            <v>-3657.68</v>
          </cell>
          <cell r="AB25">
            <v>-5708</v>
          </cell>
          <cell r="AC25">
            <v>-440</v>
          </cell>
          <cell r="AD25">
            <v>-1171.8699999999999</v>
          </cell>
          <cell r="AE25">
            <v>-1751</v>
          </cell>
          <cell r="AF25">
            <v>-16114.68</v>
          </cell>
          <cell r="AG25">
            <v>-6903.79</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-6253.62</v>
          </cell>
        </row>
        <row r="26">
          <cell r="C26" t="str">
            <v>JPM 3444 ACH In</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row>
        <row r="27">
          <cell r="C27" t="str">
            <v>JPM 3444 Wire Out</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row>
        <row r="28">
          <cell r="C28" t="str">
            <v>JPM 3444 Wire In</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row>
        <row r="29">
          <cell r="C29" t="str">
            <v>JPM 1238 Payroll</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row>
        <row r="30">
          <cell r="C30" t="str">
            <v>JPM 1238 ACH Out</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1591.87</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608.38</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750.01</v>
          </cell>
          <cell r="BL30">
            <v>260</v>
          </cell>
          <cell r="BM30">
            <v>260</v>
          </cell>
          <cell r="BN30">
            <v>0</v>
          </cell>
          <cell r="BO30">
            <v>0</v>
          </cell>
          <cell r="BP30">
            <v>0</v>
          </cell>
          <cell r="BQ30">
            <v>0</v>
          </cell>
          <cell r="BR30">
            <v>0</v>
          </cell>
          <cell r="BS30">
            <v>0</v>
          </cell>
          <cell r="BT30">
            <v>0</v>
          </cell>
          <cell r="BU30">
            <v>0</v>
          </cell>
          <cell r="BV30">
            <v>539.24</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-983.37</v>
          </cell>
          <cell r="DD30">
            <v>-5426.85</v>
          </cell>
          <cell r="DE30">
            <v>-6410.22</v>
          </cell>
          <cell r="DF30">
            <v>-3460.11</v>
          </cell>
          <cell r="DG30">
            <v>-3460.11</v>
          </cell>
          <cell r="DH30">
            <v>0</v>
          </cell>
        </row>
        <row r="31">
          <cell r="C31" t="str">
            <v>JPM 1238 ACH In</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-500.01</v>
          </cell>
          <cell r="BJ31">
            <v>-500.01</v>
          </cell>
          <cell r="BK31">
            <v>-500.01</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row>
        <row r="32">
          <cell r="C32" t="str">
            <v>JPM 1238 Check Out</v>
          </cell>
          <cell r="D32">
            <v>-13257.76</v>
          </cell>
          <cell r="E32">
            <v>-301304.73</v>
          </cell>
          <cell r="F32">
            <v>-21503.85</v>
          </cell>
          <cell r="G32">
            <v>-100</v>
          </cell>
          <cell r="H32">
            <v>-550</v>
          </cell>
          <cell r="I32">
            <v>-5455.42</v>
          </cell>
          <cell r="J32">
            <v>-21010.68</v>
          </cell>
          <cell r="K32">
            <v>-3607.4</v>
          </cell>
          <cell r="L32">
            <v>-271.73</v>
          </cell>
          <cell r="M32">
            <v>-100</v>
          </cell>
          <cell r="N32">
            <v>-9714.24</v>
          </cell>
          <cell r="O32">
            <v>-8559.6</v>
          </cell>
          <cell r="P32">
            <v>-6879.98</v>
          </cell>
          <cell r="Q32">
            <v>-2919.89</v>
          </cell>
          <cell r="R32">
            <v>-35288.730000000003</v>
          </cell>
          <cell r="S32">
            <v>-11292.99</v>
          </cell>
          <cell r="T32">
            <v>-27956.58</v>
          </cell>
          <cell r="U32">
            <v>-27248.080000000002</v>
          </cell>
          <cell r="V32">
            <v>-4982.0600000000004</v>
          </cell>
          <cell r="W32">
            <v>-5315.16</v>
          </cell>
          <cell r="X32">
            <v>-1721.25</v>
          </cell>
          <cell r="Y32">
            <v>-150</v>
          </cell>
          <cell r="Z32">
            <v>-13828.77</v>
          </cell>
          <cell r="AA32">
            <v>-3663.21</v>
          </cell>
          <cell r="AB32">
            <v>-3567.17</v>
          </cell>
          <cell r="AC32">
            <v>-1490.67</v>
          </cell>
          <cell r="AD32">
            <v>-17112.330000000002</v>
          </cell>
          <cell r="AE32">
            <v>-28371.25</v>
          </cell>
          <cell r="AF32">
            <v>-10459.879999999999</v>
          </cell>
          <cell r="AG32">
            <v>-8331.75</v>
          </cell>
          <cell r="AH32">
            <v>-1324.29</v>
          </cell>
          <cell r="AI32">
            <v>-3832.29</v>
          </cell>
          <cell r="AJ32">
            <v>-7023.53</v>
          </cell>
          <cell r="AK32">
            <v>-14996.98</v>
          </cell>
          <cell r="AL32">
            <v>-8728.73</v>
          </cell>
          <cell r="AM32">
            <v>-4498.34</v>
          </cell>
          <cell r="AN32">
            <v>-14942.15</v>
          </cell>
          <cell r="AO32">
            <v>-5963.33</v>
          </cell>
          <cell r="AP32">
            <v>-18833.71</v>
          </cell>
          <cell r="AQ32">
            <v>-7716.83</v>
          </cell>
          <cell r="AR32">
            <v>-8180.13</v>
          </cell>
          <cell r="AS32">
            <v>-598.87</v>
          </cell>
          <cell r="AT32">
            <v>-100</v>
          </cell>
          <cell r="AU32">
            <v>-1008.38</v>
          </cell>
          <cell r="AV32">
            <v>-14572.69</v>
          </cell>
          <cell r="AW32">
            <v>-7555.14</v>
          </cell>
          <cell r="AX32">
            <v>-350</v>
          </cell>
          <cell r="AY32">
            <v>-1371.96</v>
          </cell>
          <cell r="AZ32">
            <v>0</v>
          </cell>
          <cell r="BA32">
            <v>0</v>
          </cell>
          <cell r="BB32">
            <v>-23774.11</v>
          </cell>
          <cell r="BC32">
            <v>-11726.02</v>
          </cell>
          <cell r="BD32">
            <v>-11753.33</v>
          </cell>
          <cell r="BE32">
            <v>-1549.55</v>
          </cell>
          <cell r="BF32">
            <v>-968.3</v>
          </cell>
          <cell r="BG32">
            <v>-600</v>
          </cell>
          <cell r="BH32">
            <v>-5538.9</v>
          </cell>
          <cell r="BI32">
            <v>-1789.64</v>
          </cell>
          <cell r="BJ32">
            <v>-1478.18</v>
          </cell>
          <cell r="BK32">
            <v>-1352.58</v>
          </cell>
          <cell r="BL32">
            <v>-460</v>
          </cell>
          <cell r="BM32">
            <v>-12426.09</v>
          </cell>
          <cell r="BN32">
            <v>-50373.03</v>
          </cell>
          <cell r="BO32">
            <v>-25402.09</v>
          </cell>
          <cell r="BP32">
            <v>-3065.88</v>
          </cell>
          <cell r="BQ32">
            <v>-3195.88</v>
          </cell>
          <cell r="BR32">
            <v>-2562.56</v>
          </cell>
          <cell r="BS32">
            <v>-3063.36</v>
          </cell>
          <cell r="BT32">
            <v>-6748.27</v>
          </cell>
          <cell r="BU32">
            <v>-5624.05</v>
          </cell>
          <cell r="BV32">
            <v>-1446.63</v>
          </cell>
          <cell r="BW32">
            <v>-612.39</v>
          </cell>
          <cell r="BX32">
            <v>-407.39</v>
          </cell>
          <cell r="BY32">
            <v>-5934.37</v>
          </cell>
          <cell r="BZ32">
            <v>-133267.64000000001</v>
          </cell>
          <cell r="CA32">
            <v>-9887.8799999999992</v>
          </cell>
          <cell r="CB32">
            <v>-7649.72</v>
          </cell>
          <cell r="CC32">
            <v>-7474.4</v>
          </cell>
          <cell r="CD32">
            <v>-7431.1</v>
          </cell>
          <cell r="CE32">
            <v>-4934.46</v>
          </cell>
          <cell r="CF32">
            <v>-4718.4399999999996</v>
          </cell>
          <cell r="CG32">
            <v>-2800.24</v>
          </cell>
          <cell r="CH32">
            <v>-362.39</v>
          </cell>
          <cell r="CI32">
            <v>-412.39</v>
          </cell>
          <cell r="CJ32">
            <v>-2630.73</v>
          </cell>
          <cell r="CK32">
            <v>-2460.25</v>
          </cell>
          <cell r="CL32">
            <v>-4205.13</v>
          </cell>
          <cell r="CM32">
            <v>-8637.61</v>
          </cell>
          <cell r="CN32">
            <v>-2095.3200000000002</v>
          </cell>
          <cell r="CO32">
            <v>-6089.56</v>
          </cell>
          <cell r="CP32">
            <v>-730.69</v>
          </cell>
          <cell r="CQ32">
            <v>-3941.39</v>
          </cell>
          <cell r="CR32">
            <v>-3331.67</v>
          </cell>
          <cell r="CS32">
            <v>-1902.4</v>
          </cell>
          <cell r="CT32">
            <v>-2583.36</v>
          </cell>
          <cell r="CU32">
            <v>-2574.37</v>
          </cell>
          <cell r="CV32">
            <v>-9339.5</v>
          </cell>
          <cell r="CW32">
            <v>-10419.77</v>
          </cell>
          <cell r="CX32">
            <v>-6533.99</v>
          </cell>
          <cell r="CY32">
            <v>-3662.7</v>
          </cell>
          <cell r="CZ32">
            <v>-37054.050000000003</v>
          </cell>
          <cell r="DA32">
            <v>-3799.88</v>
          </cell>
          <cell r="DB32">
            <v>-6366.19</v>
          </cell>
          <cell r="DC32">
            <v>-7786.77</v>
          </cell>
          <cell r="DD32">
            <v>-3856.52</v>
          </cell>
          <cell r="DE32">
            <v>-61297.52</v>
          </cell>
          <cell r="DF32">
            <v>-3541.83</v>
          </cell>
          <cell r="DG32">
            <v>-5145.8900000000003</v>
          </cell>
          <cell r="DH32">
            <v>-7783.15</v>
          </cell>
        </row>
        <row r="33">
          <cell r="C33" t="str">
            <v>JPM 3436 Deposits</v>
          </cell>
          <cell r="D33">
            <v>331516.73</v>
          </cell>
          <cell r="E33">
            <v>359162.04</v>
          </cell>
          <cell r="F33">
            <v>423137.69</v>
          </cell>
          <cell r="G33">
            <v>773711.35</v>
          </cell>
          <cell r="H33">
            <v>309413.56</v>
          </cell>
          <cell r="I33">
            <v>544866.37</v>
          </cell>
          <cell r="J33">
            <v>325689.78000000003</v>
          </cell>
          <cell r="K33">
            <v>259699.26</v>
          </cell>
          <cell r="L33">
            <v>301394.03000000003</v>
          </cell>
          <cell r="M33">
            <v>360264.69</v>
          </cell>
          <cell r="N33">
            <v>433255.08</v>
          </cell>
          <cell r="O33">
            <v>-130796.44</v>
          </cell>
          <cell r="P33">
            <v>519844.98</v>
          </cell>
          <cell r="Q33">
            <v>560518.25</v>
          </cell>
          <cell r="R33">
            <v>499837.21</v>
          </cell>
          <cell r="S33">
            <v>675487.96</v>
          </cell>
          <cell r="T33">
            <v>428689.11</v>
          </cell>
          <cell r="U33">
            <v>329444.87</v>
          </cell>
          <cell r="V33">
            <v>741175.49</v>
          </cell>
          <cell r="W33">
            <v>368123.21</v>
          </cell>
          <cell r="X33">
            <v>696842.45</v>
          </cell>
          <cell r="Y33">
            <v>410674.09</v>
          </cell>
          <cell r="Z33">
            <v>341710.23</v>
          </cell>
          <cell r="AA33">
            <v>417095.05</v>
          </cell>
          <cell r="AB33">
            <v>537902.91</v>
          </cell>
          <cell r="AC33">
            <v>402000.85</v>
          </cell>
          <cell r="AD33">
            <v>1188155.99</v>
          </cell>
          <cell r="AE33">
            <v>362769.37</v>
          </cell>
          <cell r="AF33">
            <v>434510.4</v>
          </cell>
          <cell r="AG33">
            <v>925107.95</v>
          </cell>
          <cell r="AH33">
            <v>297086.21000000002</v>
          </cell>
          <cell r="AI33">
            <v>346666.34</v>
          </cell>
          <cell r="AJ33">
            <v>306152.3</v>
          </cell>
          <cell r="AK33">
            <v>361351.54</v>
          </cell>
          <cell r="AL33">
            <v>588213.24</v>
          </cell>
          <cell r="AM33">
            <v>356927.72</v>
          </cell>
          <cell r="AN33">
            <v>329481.73</v>
          </cell>
          <cell r="AO33">
            <v>-11322</v>
          </cell>
          <cell r="AP33">
            <v>0</v>
          </cell>
          <cell r="AQ33">
            <v>0</v>
          </cell>
          <cell r="AR33">
            <v>0</v>
          </cell>
          <cell r="AS33">
            <v>0</v>
          </cell>
          <cell r="AT33">
            <v>0</v>
          </cell>
          <cell r="AU33">
            <v>0</v>
          </cell>
          <cell r="AV33">
            <v>0</v>
          </cell>
          <cell r="AW33">
            <v>411238.87</v>
          </cell>
          <cell r="AX33">
            <v>309290.62</v>
          </cell>
          <cell r="AY33">
            <v>310760</v>
          </cell>
          <cell r="AZ33">
            <v>471487.29</v>
          </cell>
          <cell r="BA33">
            <v>318668.86</v>
          </cell>
          <cell r="BB33">
            <v>323691.55</v>
          </cell>
          <cell r="BC33">
            <v>343377.04</v>
          </cell>
          <cell r="BD33">
            <v>308499.93</v>
          </cell>
          <cell r="BE33">
            <v>599300.32999999996</v>
          </cell>
          <cell r="BF33">
            <v>320219.67</v>
          </cell>
          <cell r="BG33">
            <v>300732.37</v>
          </cell>
          <cell r="BH33">
            <v>331434.61</v>
          </cell>
          <cell r="BI33">
            <v>292031.21999999997</v>
          </cell>
          <cell r="BJ33">
            <v>313236.09000000003</v>
          </cell>
          <cell r="BK33">
            <v>316105.76</v>
          </cell>
          <cell r="BL33">
            <v>337051.8</v>
          </cell>
          <cell r="BM33">
            <v>330015.09000000003</v>
          </cell>
          <cell r="BN33">
            <v>320490.51</v>
          </cell>
          <cell r="BO33">
            <v>298183.77</v>
          </cell>
          <cell r="BP33">
            <v>302068.11</v>
          </cell>
          <cell r="BQ33">
            <v>304740.34000000003</v>
          </cell>
          <cell r="BR33">
            <v>305652.53000000003</v>
          </cell>
          <cell r="BS33">
            <v>292641.87</v>
          </cell>
          <cell r="BT33">
            <v>304532.93</v>
          </cell>
          <cell r="BU33">
            <v>331380.88</v>
          </cell>
          <cell r="BV33">
            <v>306659.65000000002</v>
          </cell>
          <cell r="BW33">
            <v>353765.99</v>
          </cell>
          <cell r="BX33">
            <v>297929.49</v>
          </cell>
          <cell r="BY33">
            <v>334104.07</v>
          </cell>
          <cell r="BZ33">
            <v>302487.90999999997</v>
          </cell>
          <cell r="CA33">
            <v>280574.49</v>
          </cell>
          <cell r="CB33">
            <v>304854.78000000003</v>
          </cell>
          <cell r="CC33">
            <v>303331.44</v>
          </cell>
          <cell r="CD33">
            <v>289934.71000000002</v>
          </cell>
          <cell r="CE33">
            <v>299163.99</v>
          </cell>
          <cell r="CF33">
            <v>288106.71999999997</v>
          </cell>
          <cell r="CG33">
            <v>282336.65000000002</v>
          </cell>
          <cell r="CH33">
            <v>241442.18</v>
          </cell>
          <cell r="CI33">
            <v>286211.15000000002</v>
          </cell>
          <cell r="CJ33">
            <v>246961.59</v>
          </cell>
          <cell r="CK33">
            <v>230630.47</v>
          </cell>
          <cell r="CL33">
            <v>250057.51</v>
          </cell>
          <cell r="CM33">
            <v>182155.12</v>
          </cell>
          <cell r="CN33">
            <v>100255.54</v>
          </cell>
          <cell r="CO33">
            <v>50047.85</v>
          </cell>
          <cell r="CP33">
            <v>10569.87</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row>
        <row r="34">
          <cell r="C34" t="str">
            <v>JPM 0180 CDA</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row>
        <row r="35">
          <cell r="C35" t="str">
            <v>JPM 0180 ACH In</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v>0</v>
          </cell>
          <cell r="AG35">
            <v>0</v>
          </cell>
          <cell r="AH35">
            <v>0</v>
          </cell>
          <cell r="AI35">
            <v>0</v>
          </cell>
          <cell r="AJ35">
            <v>0</v>
          </cell>
          <cell r="AK35">
            <v>0</v>
          </cell>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row>
        <row r="36">
          <cell r="C36" t="str">
            <v>JPM 0180 Check Out</v>
          </cell>
          <cell r="D36">
            <v>-2370541.0699999998</v>
          </cell>
          <cell r="E36">
            <v>-2044057.99</v>
          </cell>
          <cell r="F36">
            <v>-2674540.5699999998</v>
          </cell>
          <cell r="G36">
            <v>-3052885.51</v>
          </cell>
          <cell r="H36">
            <v>-1813071.55</v>
          </cell>
          <cell r="I36">
            <v>-1563913.01</v>
          </cell>
          <cell r="J36">
            <v>-3951649.9</v>
          </cell>
          <cell r="K36">
            <v>-4752099.24</v>
          </cell>
          <cell r="L36">
            <v>-4384239.3600000003</v>
          </cell>
          <cell r="M36">
            <v>-1538841.52</v>
          </cell>
          <cell r="N36">
            <v>-3367764.12</v>
          </cell>
          <cell r="O36">
            <v>-9623367.5700000003</v>
          </cell>
          <cell r="P36">
            <v>-4131703.24</v>
          </cell>
          <cell r="Q36">
            <v>-3347661.83</v>
          </cell>
          <cell r="R36">
            <v>-2828654.47</v>
          </cell>
          <cell r="S36">
            <v>-2779070.5</v>
          </cell>
          <cell r="T36">
            <v>-2554148.63</v>
          </cell>
          <cell r="U36">
            <v>-2724584.12</v>
          </cell>
          <cell r="V36">
            <v>-2383334.81</v>
          </cell>
          <cell r="W36">
            <v>-3574636.32</v>
          </cell>
          <cell r="X36">
            <v>-1956018.17</v>
          </cell>
          <cell r="Y36">
            <v>-1909404.19</v>
          </cell>
          <cell r="Z36">
            <v>-3762827.1</v>
          </cell>
          <cell r="AA36">
            <v>-5199026.66</v>
          </cell>
          <cell r="AB36">
            <v>-11587292.57</v>
          </cell>
          <cell r="AC36">
            <v>-3463796.64</v>
          </cell>
          <cell r="AD36">
            <v>-2184041.4900000002</v>
          </cell>
          <cell r="AE36">
            <v>-2697977.18</v>
          </cell>
          <cell r="AF36">
            <v>-3421366.7</v>
          </cell>
          <cell r="AG36">
            <v>-2811076.32</v>
          </cell>
          <cell r="AH36">
            <v>-4782727.0999999996</v>
          </cell>
          <cell r="AI36">
            <v>-5113250.17</v>
          </cell>
          <cell r="AJ36">
            <v>-2554941.6</v>
          </cell>
          <cell r="AK36">
            <v>-3040279</v>
          </cell>
          <cell r="AL36">
            <v>-2743304.77</v>
          </cell>
          <cell r="AM36">
            <v>-11928813.5</v>
          </cell>
          <cell r="AN36">
            <v>-4724928.26</v>
          </cell>
          <cell r="AO36">
            <v>-3405068.69</v>
          </cell>
          <cell r="AP36">
            <v>-4361477.6500000004</v>
          </cell>
          <cell r="AQ36">
            <v>-3022413.99</v>
          </cell>
          <cell r="AR36">
            <v>-4115127.65</v>
          </cell>
          <cell r="AS36">
            <v>-1929115.33</v>
          </cell>
          <cell r="AT36">
            <v>-2878917.53</v>
          </cell>
          <cell r="AU36">
            <v>-3908483.49</v>
          </cell>
          <cell r="AV36">
            <v>-4192152.78</v>
          </cell>
          <cell r="AW36">
            <v>-3241713.72</v>
          </cell>
          <cell r="AX36">
            <v>-3135936.63</v>
          </cell>
          <cell r="AY36">
            <v>-11486450.210000001</v>
          </cell>
          <cell r="AZ36">
            <v>-3789351.71</v>
          </cell>
          <cell r="BA36">
            <v>-4217556.17</v>
          </cell>
          <cell r="BB36">
            <v>-5339645.58</v>
          </cell>
          <cell r="BC36">
            <v>-3315187.89</v>
          </cell>
          <cell r="BD36">
            <v>-4664021.45</v>
          </cell>
          <cell r="BE36">
            <v>-2902368.64</v>
          </cell>
          <cell r="BF36">
            <v>-2873925.17</v>
          </cell>
          <cell r="BG36">
            <v>-3857807.3599999999</v>
          </cell>
          <cell r="BH36">
            <v>-4843347.79</v>
          </cell>
          <cell r="BI36">
            <v>-4575029.45</v>
          </cell>
          <cell r="BJ36">
            <v>-4711247.55</v>
          </cell>
          <cell r="BK36">
            <v>-16069622.77</v>
          </cell>
          <cell r="BL36">
            <v>-2779740.87</v>
          </cell>
          <cell r="BM36">
            <v>-5528011.9299999997</v>
          </cell>
          <cell r="BN36">
            <v>-3617192.48</v>
          </cell>
          <cell r="BO36">
            <v>-6810435.7699999996</v>
          </cell>
          <cell r="BP36">
            <v>-4379667.3099999996</v>
          </cell>
          <cell r="BQ36">
            <v>-6145212.8700000001</v>
          </cell>
          <cell r="BR36">
            <v>-5321949.3</v>
          </cell>
          <cell r="BS36">
            <v>-4752946.21</v>
          </cell>
          <cell r="BT36">
            <v>-7470187.6100000003</v>
          </cell>
          <cell r="BU36">
            <v>-3986960.41</v>
          </cell>
          <cell r="BV36">
            <v>-5637158.0199999996</v>
          </cell>
          <cell r="BW36">
            <v>-15457815.689999999</v>
          </cell>
          <cell r="BX36">
            <v>-5558714.2300000004</v>
          </cell>
          <cell r="BY36">
            <v>-8815252.5700000003</v>
          </cell>
          <cell r="BZ36">
            <v>-11664648.67</v>
          </cell>
          <cell r="CA36">
            <v>-5098236.76</v>
          </cell>
          <cell r="CB36">
            <v>-12022634.84</v>
          </cell>
          <cell r="CC36">
            <v>-12235991.26</v>
          </cell>
          <cell r="CD36">
            <v>-6255599.9100000001</v>
          </cell>
          <cell r="CE36">
            <v>-6597190.1600000001</v>
          </cell>
          <cell r="CF36">
            <v>-7959815.0899999999</v>
          </cell>
          <cell r="CG36">
            <v>-8952373.5399999991</v>
          </cell>
          <cell r="CH36">
            <v>-13272435.5</v>
          </cell>
          <cell r="CI36">
            <v>-18610627.030000001</v>
          </cell>
          <cell r="CJ36">
            <v>-6483106.7699999996</v>
          </cell>
          <cell r="CK36">
            <v>-10064488.9</v>
          </cell>
          <cell r="CL36">
            <v>-8998838.2300000004</v>
          </cell>
          <cell r="CM36">
            <v>-10144623.07</v>
          </cell>
          <cell r="CN36">
            <v>-6984037.4900000002</v>
          </cell>
          <cell r="CO36">
            <v>-5003484.3499999996</v>
          </cell>
          <cell r="CP36">
            <v>-5664906.1200000001</v>
          </cell>
          <cell r="CQ36">
            <v>-5947057.4199999999</v>
          </cell>
          <cell r="CR36">
            <v>-6030549.9000000004</v>
          </cell>
          <cell r="CS36">
            <v>-6149570.7599999998</v>
          </cell>
          <cell r="CT36">
            <v>-5255895.1100000003</v>
          </cell>
          <cell r="CU36">
            <v>-17982022.609999999</v>
          </cell>
          <cell r="CV36">
            <v>-3781353.35</v>
          </cell>
          <cell r="CW36">
            <v>-8618060.7300000004</v>
          </cell>
          <cell r="CX36">
            <v>-6327461.8099999996</v>
          </cell>
          <cell r="CY36">
            <v>-5715669.2800000003</v>
          </cell>
          <cell r="CZ36">
            <v>-5293155.76</v>
          </cell>
          <cell r="DA36">
            <v>-6298991.7599999998</v>
          </cell>
          <cell r="DB36">
            <v>-6395872.4299999997</v>
          </cell>
          <cell r="DC36">
            <v>-6712417.1500000004</v>
          </cell>
          <cell r="DD36">
            <v>-3507049.93</v>
          </cell>
          <cell r="DE36">
            <v>-5892705.8799999999</v>
          </cell>
          <cell r="DF36">
            <v>-3703582.65</v>
          </cell>
          <cell r="DG36">
            <v>-19843052.420000002</v>
          </cell>
          <cell r="DH36">
            <v>-4958663.5599999996</v>
          </cell>
        </row>
        <row r="37">
          <cell r="C37" t="str">
            <v>JPM 0180 ZBA</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cell r="AM37"/>
          <cell r="AN37"/>
          <cell r="AO37"/>
          <cell r="AP37"/>
          <cell r="AQ37"/>
          <cell r="AR37"/>
          <cell r="AS37"/>
          <cell r="AT37"/>
          <cell r="AU37"/>
          <cell r="AV37"/>
          <cell r="AW37"/>
          <cell r="AX37"/>
          <cell r="AY37"/>
          <cell r="AZ37"/>
          <cell r="BA37"/>
          <cell r="BB37"/>
          <cell r="BC37"/>
          <cell r="BD37"/>
          <cell r="BE37"/>
          <cell r="BF37"/>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row>
        <row r="38">
          <cell r="C38" t="str">
            <v>JPM 3460 Conservatin</v>
          </cell>
          <cell r="D38">
            <v>-322038.68</v>
          </cell>
          <cell r="E38">
            <v>-455865.56</v>
          </cell>
          <cell r="F38">
            <v>-403675.91</v>
          </cell>
          <cell r="G38">
            <v>-294865.08</v>
          </cell>
          <cell r="H38">
            <v>-327946.67</v>
          </cell>
          <cell r="I38">
            <v>-325633.15000000002</v>
          </cell>
          <cell r="J38">
            <v>-409966.66</v>
          </cell>
          <cell r="K38">
            <v>-476118.4</v>
          </cell>
          <cell r="L38">
            <v>-392171.98</v>
          </cell>
          <cell r="M38">
            <v>-437777.5</v>
          </cell>
          <cell r="N38">
            <v>-362181.07</v>
          </cell>
          <cell r="O38">
            <v>-276568.8</v>
          </cell>
          <cell r="P38">
            <v>-247085.77</v>
          </cell>
          <cell r="Q38">
            <v>-532304.59</v>
          </cell>
          <cell r="R38">
            <v>-402145.3</v>
          </cell>
          <cell r="S38">
            <v>-343452.95</v>
          </cell>
          <cell r="T38">
            <v>-357601.66</v>
          </cell>
          <cell r="U38">
            <v>-374770.26</v>
          </cell>
          <cell r="V38">
            <v>-342617.15</v>
          </cell>
          <cell r="W38">
            <v>-460744.51</v>
          </cell>
          <cell r="X38">
            <v>-317950.59000000003</v>
          </cell>
          <cell r="Y38">
            <v>-383937.26</v>
          </cell>
          <cell r="Z38">
            <v>-523546.67</v>
          </cell>
          <cell r="AA38">
            <v>-316509.26</v>
          </cell>
          <cell r="AB38">
            <v>-332156.76</v>
          </cell>
          <cell r="AC38">
            <v>-349245.15</v>
          </cell>
          <cell r="AD38">
            <v>-432412.31</v>
          </cell>
          <cell r="AE38">
            <v>-494138.25</v>
          </cell>
          <cell r="AF38">
            <v>-545407.54</v>
          </cell>
          <cell r="AG38">
            <v>-341872.69</v>
          </cell>
          <cell r="AH38">
            <v>-418234.89</v>
          </cell>
          <cell r="AI38">
            <v>-476125</v>
          </cell>
          <cell r="AJ38">
            <v>-430403</v>
          </cell>
          <cell r="AK38">
            <v>-462621</v>
          </cell>
          <cell r="AL38">
            <v>-540400</v>
          </cell>
          <cell r="AM38">
            <v>-437805</v>
          </cell>
          <cell r="AN38">
            <v>-784228.43</v>
          </cell>
          <cell r="AO38">
            <v>-118500</v>
          </cell>
          <cell r="AP38">
            <v>-107050</v>
          </cell>
          <cell r="AQ38">
            <v>-96300</v>
          </cell>
          <cell r="AR38">
            <v>-94700</v>
          </cell>
          <cell r="AS38">
            <v>-93000</v>
          </cell>
          <cell r="AT38">
            <v>-89600</v>
          </cell>
          <cell r="AU38">
            <v>-87850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row>
        <row r="39">
          <cell r="C39" t="str">
            <v>JPM 3452 TEC-R Concn</v>
          </cell>
          <cell r="D39">
            <v>504520.2</v>
          </cell>
          <cell r="E39">
            <v>553582.18000000005</v>
          </cell>
          <cell r="F39">
            <v>564847.35</v>
          </cell>
          <cell r="G39">
            <v>1951793.59</v>
          </cell>
          <cell r="H39">
            <v>515886.66</v>
          </cell>
          <cell r="I39">
            <v>4997939.5199999996</v>
          </cell>
          <cell r="J39">
            <v>7611670.46</v>
          </cell>
          <cell r="K39">
            <v>478861.22</v>
          </cell>
          <cell r="L39">
            <v>599142.36</v>
          </cell>
          <cell r="M39">
            <v>507131.77</v>
          </cell>
          <cell r="N39">
            <v>514773.31</v>
          </cell>
          <cell r="O39">
            <v>587544.47</v>
          </cell>
          <cell r="P39">
            <v>447096.37</v>
          </cell>
          <cell r="Q39">
            <v>338984.74</v>
          </cell>
          <cell r="R39">
            <v>249254.28</v>
          </cell>
          <cell r="S39">
            <v>3540006.9</v>
          </cell>
          <cell r="T39">
            <v>240227.84</v>
          </cell>
          <cell r="U39">
            <v>6139924.0499999998</v>
          </cell>
          <cell r="V39">
            <v>408616.18</v>
          </cell>
          <cell r="W39">
            <v>571609.93999999994</v>
          </cell>
          <cell r="X39">
            <v>553867.56999999995</v>
          </cell>
          <cell r="Y39">
            <v>771043.21</v>
          </cell>
          <cell r="Z39">
            <v>15540894.460000001</v>
          </cell>
          <cell r="AA39">
            <v>1038483.82</v>
          </cell>
          <cell r="AB39">
            <v>353534.41</v>
          </cell>
          <cell r="AC39">
            <v>1920970.31</v>
          </cell>
          <cell r="AD39">
            <v>815180.99</v>
          </cell>
          <cell r="AE39">
            <v>708480.02</v>
          </cell>
          <cell r="AF39">
            <v>213536.73</v>
          </cell>
          <cell r="AG39">
            <v>662781.6</v>
          </cell>
          <cell r="AH39">
            <v>250458.45</v>
          </cell>
          <cell r="AI39">
            <v>356261.25</v>
          </cell>
          <cell r="AJ39">
            <v>678540.4</v>
          </cell>
          <cell r="AK39">
            <v>382178.71</v>
          </cell>
          <cell r="AL39">
            <v>1455836.03</v>
          </cell>
          <cell r="AM39">
            <v>369276.74</v>
          </cell>
          <cell r="AN39">
            <v>573045.17000000004</v>
          </cell>
          <cell r="AO39">
            <v>443761.23</v>
          </cell>
          <cell r="AP39">
            <v>522167.86</v>
          </cell>
          <cell r="AQ39">
            <v>634944.36</v>
          </cell>
          <cell r="AR39">
            <v>556017.22</v>
          </cell>
          <cell r="AS39">
            <v>554884.29</v>
          </cell>
          <cell r="AT39">
            <v>547441.44999999995</v>
          </cell>
          <cell r="AU39">
            <v>512643.88</v>
          </cell>
          <cell r="AV39">
            <v>496777.64</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row>
        <row r="40">
          <cell r="C40" t="str">
            <v>JPM 3452 ACH Out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row>
        <row r="41">
          <cell r="C41" t="str">
            <v>JPM 3452 ACH In</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row>
        <row r="42">
          <cell r="C42" t="str">
            <v>JPM 3452 Wire Out</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row>
        <row r="43">
          <cell r="C43" t="str">
            <v>JPM 3452 Wire In</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row>
        <row r="44">
          <cell r="C44" t="str">
            <v>JPM 3452 ZBA</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row>
        <row r="45">
          <cell r="C45" t="str">
            <v>SUN 2376 Meter Dep</v>
          </cell>
          <cell r="D45">
            <v>-356803.24</v>
          </cell>
          <cell r="E45">
            <v>-417463.6</v>
          </cell>
          <cell r="F45">
            <v>-380435.3</v>
          </cell>
          <cell r="G45">
            <v>-460815.83</v>
          </cell>
          <cell r="H45">
            <v>-349953.66</v>
          </cell>
          <cell r="I45">
            <v>-369621.2</v>
          </cell>
          <cell r="J45">
            <v>-326217.86</v>
          </cell>
          <cell r="K45">
            <v>-372966.15</v>
          </cell>
          <cell r="L45">
            <v>-402892.79999999999</v>
          </cell>
          <cell r="M45">
            <v>-340277.47</v>
          </cell>
          <cell r="N45">
            <v>-418507.59</v>
          </cell>
          <cell r="O45">
            <v>-542687.42000000004</v>
          </cell>
          <cell r="P45">
            <v>-276683</v>
          </cell>
          <cell r="Q45">
            <v>-460783.61</v>
          </cell>
          <cell r="R45">
            <v>-393263.08</v>
          </cell>
          <cell r="S45">
            <v>-409361.95</v>
          </cell>
          <cell r="T45">
            <v>-447910.36</v>
          </cell>
          <cell r="U45">
            <v>-432316.01</v>
          </cell>
          <cell r="V45">
            <v>-390083.87</v>
          </cell>
          <cell r="W45">
            <v>-400888.99</v>
          </cell>
          <cell r="X45">
            <v>-383254.5</v>
          </cell>
          <cell r="Y45">
            <v>-372637.4</v>
          </cell>
          <cell r="Z45">
            <v>-382827.51</v>
          </cell>
          <cell r="AA45">
            <v>-334906.07</v>
          </cell>
          <cell r="AB45">
            <v>-396305.4</v>
          </cell>
          <cell r="AC45">
            <v>-397485.49</v>
          </cell>
          <cell r="AD45">
            <v>-713422.99</v>
          </cell>
          <cell r="AE45">
            <v>-375115.14</v>
          </cell>
          <cell r="AF45">
            <v>-468384.95</v>
          </cell>
          <cell r="AG45">
            <v>-453761.13</v>
          </cell>
          <cell r="AH45">
            <v>-457769.58</v>
          </cell>
          <cell r="AI45">
            <v>-652898.51</v>
          </cell>
          <cell r="AJ45">
            <v>-485868.28</v>
          </cell>
          <cell r="AK45">
            <v>-607450.02</v>
          </cell>
          <cell r="AL45">
            <v>-471575.98</v>
          </cell>
          <cell r="AM45">
            <v>-432099.42</v>
          </cell>
          <cell r="AN45">
            <v>-721228.27</v>
          </cell>
          <cell r="AO45">
            <v>-281703.28999999998</v>
          </cell>
          <cell r="AP45">
            <v>-209866.08</v>
          </cell>
          <cell r="AQ45">
            <v>-143926.03</v>
          </cell>
          <cell r="AR45">
            <v>-106715.1</v>
          </cell>
          <cell r="AS45">
            <v>-79006.38</v>
          </cell>
          <cell r="AT45">
            <v>-41469.46</v>
          </cell>
          <cell r="AU45">
            <v>-19663.14</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row>
        <row r="46">
          <cell r="C46" t="str">
            <v>SUN 4743 TEC-R Dep</v>
          </cell>
          <cell r="D46">
            <v>1253758.56</v>
          </cell>
          <cell r="E46">
            <v>1208633.3899999999</v>
          </cell>
          <cell r="F46">
            <v>1370390.39</v>
          </cell>
          <cell r="G46">
            <v>1298478.0900000001</v>
          </cell>
          <cell r="H46">
            <v>977517.92</v>
          </cell>
          <cell r="I46">
            <v>1062625</v>
          </cell>
          <cell r="J46">
            <v>1315182.0800000001</v>
          </cell>
          <cell r="K46">
            <v>1175544.54</v>
          </cell>
          <cell r="L46">
            <v>900315.79</v>
          </cell>
          <cell r="M46">
            <v>919544.19</v>
          </cell>
          <cell r="N46">
            <v>796260.2</v>
          </cell>
          <cell r="O46">
            <v>312750.59000000003</v>
          </cell>
          <cell r="P46">
            <v>1595655.14</v>
          </cell>
          <cell r="Q46">
            <v>1096771.6000000001</v>
          </cell>
          <cell r="R46">
            <v>1314102.25</v>
          </cell>
          <cell r="S46">
            <v>1741844.72</v>
          </cell>
          <cell r="T46">
            <v>1017457.64</v>
          </cell>
          <cell r="U46">
            <v>927737.13</v>
          </cell>
          <cell r="V46">
            <v>1351838.23</v>
          </cell>
          <cell r="W46">
            <v>870913.26</v>
          </cell>
          <cell r="X46">
            <v>858623.45</v>
          </cell>
          <cell r="Y46">
            <v>1070461.26</v>
          </cell>
          <cell r="Z46">
            <v>794315.85</v>
          </cell>
          <cell r="AA46">
            <v>1211935.99</v>
          </cell>
          <cell r="AB46">
            <v>1261527.5900000001</v>
          </cell>
          <cell r="AC46">
            <v>1152146.48</v>
          </cell>
          <cell r="AD46">
            <v>1175384.51</v>
          </cell>
          <cell r="AE46">
            <v>1049060.23</v>
          </cell>
          <cell r="AF46">
            <v>953963.55</v>
          </cell>
          <cell r="AG46">
            <v>836624.24</v>
          </cell>
          <cell r="AH46">
            <v>920757.31</v>
          </cell>
          <cell r="AI46">
            <v>1167407.1399999999</v>
          </cell>
          <cell r="AJ46">
            <v>910043.2</v>
          </cell>
          <cell r="AK46">
            <v>749417.82</v>
          </cell>
          <cell r="AL46">
            <v>860510.84</v>
          </cell>
          <cell r="AM46">
            <v>1661382.56</v>
          </cell>
          <cell r="AN46">
            <v>1462190.73</v>
          </cell>
          <cell r="AO46">
            <v>293542.01</v>
          </cell>
          <cell r="AP46">
            <v>301609.02</v>
          </cell>
          <cell r="AQ46">
            <v>301261.84000000003</v>
          </cell>
          <cell r="AR46">
            <v>299824.65999999997</v>
          </cell>
          <cell r="AS46">
            <v>298770.2</v>
          </cell>
          <cell r="AT46">
            <v>298746.92</v>
          </cell>
          <cell r="AU46">
            <v>298617.02</v>
          </cell>
          <cell r="AV46">
            <v>298617.02</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row>
        <row r="47">
          <cell r="C47" t="str">
            <v>Seacoast Natl Bank</v>
          </cell>
          <cell r="D47">
            <v>170751</v>
          </cell>
          <cell r="E47">
            <v>170761.15</v>
          </cell>
          <cell r="F47">
            <v>170771.31</v>
          </cell>
          <cell r="G47">
            <v>170779.59</v>
          </cell>
          <cell r="H47">
            <v>170788.29</v>
          </cell>
          <cell r="I47">
            <v>0</v>
          </cell>
          <cell r="J47">
            <v>170796.71</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row>
        <row r="48">
          <cell r="C48" t="str">
            <v>SUN 2103 Misc Dep</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v>0</v>
          </cell>
          <cell r="AM48">
            <v>0</v>
          </cell>
          <cell r="AN48">
            <v>43.24</v>
          </cell>
          <cell r="AO48">
            <v>150621.59</v>
          </cell>
          <cell r="AP48">
            <v>122740.56</v>
          </cell>
          <cell r="AQ48">
            <v>172100.26</v>
          </cell>
          <cell r="AR48">
            <v>100000</v>
          </cell>
          <cell r="AS48">
            <v>154945.56</v>
          </cell>
          <cell r="AT48">
            <v>113341.6</v>
          </cell>
          <cell r="AU48">
            <v>107607.95</v>
          </cell>
          <cell r="AV48">
            <v>7307093.8600000003</v>
          </cell>
          <cell r="AW48">
            <v>133232</v>
          </cell>
          <cell r="AX48">
            <v>171919.03</v>
          </cell>
          <cell r="AY48">
            <v>100000</v>
          </cell>
          <cell r="AZ48">
            <v>209687.65</v>
          </cell>
          <cell r="BA48">
            <v>130776.02</v>
          </cell>
          <cell r="BB48">
            <v>108119</v>
          </cell>
          <cell r="BC48">
            <v>108249</v>
          </cell>
          <cell r="BD48">
            <v>132510.87</v>
          </cell>
          <cell r="BE48">
            <v>187942.09</v>
          </cell>
          <cell r="BF48">
            <v>129253</v>
          </cell>
          <cell r="BG48">
            <v>177675</v>
          </cell>
          <cell r="BH48">
            <v>118549</v>
          </cell>
          <cell r="BI48">
            <v>129104.23</v>
          </cell>
          <cell r="BJ48">
            <v>107054.99</v>
          </cell>
          <cell r="BK48">
            <v>282556.82</v>
          </cell>
          <cell r="BL48">
            <v>108185</v>
          </cell>
          <cell r="BM48">
            <v>144716.17000000001</v>
          </cell>
          <cell r="BN48">
            <v>151436</v>
          </cell>
          <cell r="BO48">
            <v>131623.15</v>
          </cell>
          <cell r="BP48">
            <v>231156.13</v>
          </cell>
          <cell r="BQ48">
            <v>203186</v>
          </cell>
          <cell r="BR48">
            <v>177164</v>
          </cell>
          <cell r="BS48">
            <v>199575</v>
          </cell>
          <cell r="BT48">
            <v>195807.26</v>
          </cell>
          <cell r="BU48">
            <v>139391</v>
          </cell>
          <cell r="BV48">
            <v>244831.52</v>
          </cell>
          <cell r="BW48">
            <v>117510</v>
          </cell>
          <cell r="BX48">
            <v>152460</v>
          </cell>
          <cell r="BY48">
            <v>156051.66</v>
          </cell>
          <cell r="BZ48">
            <v>293510.21000000002</v>
          </cell>
          <cell r="CA48">
            <v>141126.46</v>
          </cell>
          <cell r="CB48">
            <v>134525</v>
          </cell>
          <cell r="CC48">
            <v>142383.70000000001</v>
          </cell>
          <cell r="CD48">
            <v>178839.71</v>
          </cell>
          <cell r="CE48">
            <v>250489</v>
          </cell>
          <cell r="CF48">
            <v>117011</v>
          </cell>
          <cell r="CG48">
            <v>116132.78</v>
          </cell>
          <cell r="CH48">
            <v>258135.39</v>
          </cell>
          <cell r="CI48">
            <v>100360</v>
          </cell>
          <cell r="CJ48">
            <v>219961.26</v>
          </cell>
          <cell r="CK48">
            <v>185639.67999999999</v>
          </cell>
          <cell r="CL48">
            <v>155650.71</v>
          </cell>
          <cell r="CM48">
            <v>200254.38</v>
          </cell>
          <cell r="CN48">
            <v>427903.01</v>
          </cell>
          <cell r="CO48">
            <v>141417.48000000001</v>
          </cell>
          <cell r="CP48">
            <v>187367.08</v>
          </cell>
          <cell r="CQ48">
            <v>217337</v>
          </cell>
          <cell r="CR48">
            <v>120254</v>
          </cell>
          <cell r="CS48">
            <v>424748.46</v>
          </cell>
          <cell r="CT48">
            <v>458112.84</v>
          </cell>
          <cell r="CU48">
            <v>116068</v>
          </cell>
          <cell r="CV48">
            <v>100300</v>
          </cell>
          <cell r="CW48">
            <v>131316.29</v>
          </cell>
          <cell r="CX48">
            <v>206645</v>
          </cell>
          <cell r="CY48">
            <v>100000</v>
          </cell>
          <cell r="CZ48">
            <v>98518</v>
          </cell>
          <cell r="DA48">
            <v>119715</v>
          </cell>
          <cell r="DB48">
            <v>279008.15999999997</v>
          </cell>
          <cell r="DC48">
            <v>226588.26</v>
          </cell>
          <cell r="DD48">
            <v>100000</v>
          </cell>
          <cell r="DE48">
            <v>100000</v>
          </cell>
          <cell r="DF48">
            <v>100059</v>
          </cell>
          <cell r="DG48">
            <v>100750</v>
          </cell>
          <cell r="DH48">
            <v>145670</v>
          </cell>
        </row>
        <row r="49">
          <cell r="C49" t="str">
            <v>Cash Misc Adj</v>
          </cell>
          <cell r="D49">
            <v>2207825.1800000002</v>
          </cell>
          <cell r="E49">
            <v>2556848.2000000002</v>
          </cell>
          <cell r="F49">
            <v>2555250.65</v>
          </cell>
          <cell r="G49">
            <v>2794242.5</v>
          </cell>
          <cell r="H49">
            <v>1185737.08</v>
          </cell>
          <cell r="I49">
            <v>369621.2</v>
          </cell>
          <cell r="J49">
            <v>326217.86</v>
          </cell>
          <cell r="K49">
            <v>372966.15</v>
          </cell>
          <cell r="L49">
            <v>4329383.93</v>
          </cell>
          <cell r="M49">
            <v>1573120.2</v>
          </cell>
          <cell r="N49">
            <v>-469623.53</v>
          </cell>
          <cell r="O49">
            <v>4863295.8099999996</v>
          </cell>
          <cell r="P49">
            <v>4078033.64</v>
          </cell>
          <cell r="Q49">
            <v>3774529.61</v>
          </cell>
          <cell r="R49">
            <v>3103012.71</v>
          </cell>
          <cell r="S49">
            <v>3069198.05</v>
          </cell>
          <cell r="T49">
            <v>2851376.65</v>
          </cell>
          <cell r="U49">
            <v>432316.01</v>
          </cell>
          <cell r="V49">
            <v>390083.87</v>
          </cell>
          <cell r="W49">
            <v>400888.99</v>
          </cell>
          <cell r="X49">
            <v>383254.5</v>
          </cell>
          <cell r="Y49">
            <v>372637.4</v>
          </cell>
          <cell r="Z49">
            <v>382827.51</v>
          </cell>
          <cell r="AA49">
            <v>3930761.5</v>
          </cell>
          <cell r="AB49">
            <v>3946287.84</v>
          </cell>
          <cell r="AC49">
            <v>3663050.16</v>
          </cell>
          <cell r="AD49">
            <v>2676546.87</v>
          </cell>
          <cell r="AE49">
            <v>375115.14</v>
          </cell>
          <cell r="AF49">
            <v>4164081.84</v>
          </cell>
          <cell r="AG49">
            <v>2959258.6</v>
          </cell>
          <cell r="AH49">
            <v>5060230.62</v>
          </cell>
          <cell r="AI49">
            <v>5626177.1799999997</v>
          </cell>
          <cell r="AJ49">
            <v>2920816.88</v>
          </cell>
          <cell r="AK49">
            <v>3468537.33</v>
          </cell>
          <cell r="AL49">
            <v>3191932.82</v>
          </cell>
          <cell r="AM49">
            <v>12202083.470000001</v>
          </cell>
          <cell r="AN49">
            <v>5427155.3399999999</v>
          </cell>
          <cell r="AO49">
            <v>611972.86</v>
          </cell>
          <cell r="AP49">
            <v>8890266.5899999999</v>
          </cell>
          <cell r="AQ49">
            <v>5033891.47</v>
          </cell>
          <cell r="AR49">
            <v>10828878.630000001</v>
          </cell>
          <cell r="AS49">
            <v>10369734.470000001</v>
          </cell>
          <cell r="AT49">
            <v>5137481.8</v>
          </cell>
          <cell r="AU49">
            <v>8650716.8000000007</v>
          </cell>
          <cell r="AV49">
            <v>-4281506.63</v>
          </cell>
          <cell r="AW49">
            <v>6657507.8300000001</v>
          </cell>
          <cell r="AX49">
            <v>7341958.0099999998</v>
          </cell>
          <cell r="AY49">
            <v>15752138.189999999</v>
          </cell>
          <cell r="AZ49">
            <v>8017752.7699999996</v>
          </cell>
          <cell r="BA49">
            <v>7826133.7199999997</v>
          </cell>
          <cell r="BB49">
            <v>10366444.890000001</v>
          </cell>
          <cell r="BC49">
            <v>4144097.38</v>
          </cell>
          <cell r="BD49">
            <v>5989570.2400000002</v>
          </cell>
          <cell r="BE49">
            <v>5378519.8300000001</v>
          </cell>
          <cell r="BF49">
            <v>5402843.1100000003</v>
          </cell>
          <cell r="BG49">
            <v>6414039.2000000002</v>
          </cell>
          <cell r="BH49">
            <v>7025110.0700000003</v>
          </cell>
          <cell r="BI49">
            <v>7039902.4500000002</v>
          </cell>
          <cell r="BJ49">
            <v>6855747.6799999997</v>
          </cell>
          <cell r="BK49">
            <v>17691226.23</v>
          </cell>
          <cell r="BL49">
            <v>3759221.39</v>
          </cell>
          <cell r="BM49">
            <v>6747072.9299999997</v>
          </cell>
          <cell r="BN49">
            <v>3644616.55</v>
          </cell>
          <cell r="BO49">
            <v>7055143.9500000002</v>
          </cell>
          <cell r="BP49">
            <v>3804055.28</v>
          </cell>
          <cell r="BQ49">
            <v>5420424.9299999997</v>
          </cell>
          <cell r="BR49">
            <v>4353729.2</v>
          </cell>
          <cell r="BS49">
            <v>3877103.13</v>
          </cell>
          <cell r="BT49">
            <v>5982709.7699999996</v>
          </cell>
          <cell r="BU49">
            <v>2177468.23</v>
          </cell>
          <cell r="BV49">
            <v>3471258.92</v>
          </cell>
          <cell r="BW49">
            <v>6032045.4800000004</v>
          </cell>
          <cell r="BX49">
            <v>3059925.6</v>
          </cell>
          <cell r="BY49">
            <v>6220611.0199999996</v>
          </cell>
          <cell r="BZ49">
            <v>8029323.21</v>
          </cell>
          <cell r="CA49">
            <v>1363862.25</v>
          </cell>
          <cell r="CB49">
            <v>9038231.4700000007</v>
          </cell>
          <cell r="CC49">
            <v>8598774.1500000004</v>
          </cell>
          <cell r="CD49">
            <v>4145603.57</v>
          </cell>
          <cell r="CE49">
            <v>4181538.25</v>
          </cell>
          <cell r="CF49">
            <v>5288490.38</v>
          </cell>
          <cell r="CG49">
            <v>6155639.7199999997</v>
          </cell>
          <cell r="CH49">
            <v>10279420.67</v>
          </cell>
          <cell r="CI49">
            <v>12028358.17</v>
          </cell>
          <cell r="CJ49">
            <v>2444274.5299999998</v>
          </cell>
          <cell r="CK49">
            <v>6381098.21</v>
          </cell>
          <cell r="CL49">
            <v>4731190.66</v>
          </cell>
          <cell r="CM49">
            <v>-2239962.9</v>
          </cell>
          <cell r="CN49">
            <v>306434.31</v>
          </cell>
          <cell r="CO49">
            <v>-2555683.4500000002</v>
          </cell>
          <cell r="CP49">
            <v>-2242925.3199999998</v>
          </cell>
          <cell r="CQ49">
            <v>-2379188.7200000002</v>
          </cell>
          <cell r="CR49">
            <v>-3300505.6000000001</v>
          </cell>
          <cell r="CS49">
            <v>-3019248.11</v>
          </cell>
          <cell r="CT49">
            <v>-3348659.75</v>
          </cell>
          <cell r="CU49">
            <v>9248676.8599999994</v>
          </cell>
          <cell r="CV49">
            <v>2519272.86</v>
          </cell>
          <cell r="CW49">
            <v>10270282.460000001</v>
          </cell>
          <cell r="CX49">
            <v>8351087.1200000001</v>
          </cell>
          <cell r="CY49">
            <v>7872477.3099999996</v>
          </cell>
          <cell r="CZ49">
            <v>7559311.7000000002</v>
          </cell>
          <cell r="DA49">
            <v>8606453.0700000003</v>
          </cell>
          <cell r="DB49">
            <v>8202982.6399999997</v>
          </cell>
          <cell r="DC49">
            <v>8213276.8700000001</v>
          </cell>
          <cell r="DD49">
            <v>6370715.2699999996</v>
          </cell>
          <cell r="DE49">
            <v>8307806.1900000004</v>
          </cell>
          <cell r="DF49">
            <v>7121024</v>
          </cell>
          <cell r="DG49">
            <v>22811587.600000001</v>
          </cell>
          <cell r="DH49">
            <v>8060769.2400000002</v>
          </cell>
        </row>
        <row r="50">
          <cell r="C50" t="str">
            <v>Oth Spec Dep LT</v>
          </cell>
          <cell r="D50">
            <v>25000</v>
          </cell>
          <cell r="E50">
            <v>25000</v>
          </cell>
          <cell r="F50">
            <v>25000</v>
          </cell>
          <cell r="G50">
            <v>25000</v>
          </cell>
          <cell r="H50">
            <v>25000</v>
          </cell>
          <cell r="I50">
            <v>25000</v>
          </cell>
          <cell r="J50">
            <v>25000</v>
          </cell>
          <cell r="K50">
            <v>25000</v>
          </cell>
          <cell r="L50">
            <v>25000</v>
          </cell>
          <cell r="M50">
            <v>25000</v>
          </cell>
          <cell r="N50">
            <v>25000</v>
          </cell>
          <cell r="O50">
            <v>25000</v>
          </cell>
          <cell r="P50">
            <v>25000</v>
          </cell>
          <cell r="Q50">
            <v>25000</v>
          </cell>
          <cell r="R50">
            <v>25000</v>
          </cell>
          <cell r="S50">
            <v>25000</v>
          </cell>
          <cell r="T50">
            <v>25000</v>
          </cell>
          <cell r="U50">
            <v>25000</v>
          </cell>
          <cell r="V50">
            <v>25000</v>
          </cell>
          <cell r="W50">
            <v>25000</v>
          </cell>
          <cell r="X50">
            <v>25000</v>
          </cell>
          <cell r="Y50">
            <v>25000</v>
          </cell>
          <cell r="Z50">
            <v>25000</v>
          </cell>
          <cell r="AA50">
            <v>25000</v>
          </cell>
          <cell r="AB50">
            <v>25000</v>
          </cell>
          <cell r="AC50">
            <v>25000</v>
          </cell>
          <cell r="AD50">
            <v>25000</v>
          </cell>
          <cell r="AE50">
            <v>25000</v>
          </cell>
          <cell r="AF50">
            <v>25000</v>
          </cell>
          <cell r="AG50">
            <v>25000</v>
          </cell>
          <cell r="AH50">
            <v>25000</v>
          </cell>
          <cell r="AI50">
            <v>25000</v>
          </cell>
          <cell r="AJ50">
            <v>25000</v>
          </cell>
          <cell r="AK50">
            <v>25000</v>
          </cell>
          <cell r="AL50">
            <v>25000</v>
          </cell>
          <cell r="AM50">
            <v>25000</v>
          </cell>
          <cell r="AN50">
            <v>25000</v>
          </cell>
          <cell r="AO50">
            <v>25000</v>
          </cell>
          <cell r="AP50">
            <v>25000</v>
          </cell>
          <cell r="AQ50">
            <v>25000</v>
          </cell>
          <cell r="AR50">
            <v>25000</v>
          </cell>
          <cell r="AS50">
            <v>25000</v>
          </cell>
          <cell r="AT50">
            <v>25000</v>
          </cell>
          <cell r="AU50">
            <v>25000</v>
          </cell>
          <cell r="AV50">
            <v>25000</v>
          </cell>
          <cell r="AW50">
            <v>25000</v>
          </cell>
          <cell r="AX50">
            <v>25000</v>
          </cell>
          <cell r="AY50">
            <v>25000</v>
          </cell>
          <cell r="AZ50">
            <v>25000</v>
          </cell>
          <cell r="BA50">
            <v>25000</v>
          </cell>
          <cell r="BB50">
            <v>25000</v>
          </cell>
          <cell r="BC50">
            <v>25000</v>
          </cell>
          <cell r="BD50">
            <v>25000</v>
          </cell>
          <cell r="BE50">
            <v>25000</v>
          </cell>
          <cell r="BF50">
            <v>25000</v>
          </cell>
          <cell r="BG50">
            <v>25000</v>
          </cell>
          <cell r="BH50">
            <v>25000</v>
          </cell>
          <cell r="BI50">
            <v>25000</v>
          </cell>
          <cell r="BJ50">
            <v>25000</v>
          </cell>
          <cell r="BK50">
            <v>25000</v>
          </cell>
          <cell r="BL50">
            <v>25000</v>
          </cell>
          <cell r="BM50">
            <v>25000</v>
          </cell>
          <cell r="BN50">
            <v>25000</v>
          </cell>
          <cell r="BO50">
            <v>25000</v>
          </cell>
          <cell r="BP50">
            <v>25000</v>
          </cell>
          <cell r="BQ50">
            <v>25000</v>
          </cell>
          <cell r="BR50">
            <v>25000</v>
          </cell>
          <cell r="BS50">
            <v>25000</v>
          </cell>
          <cell r="BT50">
            <v>25000</v>
          </cell>
          <cell r="BU50">
            <v>25000</v>
          </cell>
          <cell r="BV50">
            <v>25000</v>
          </cell>
          <cell r="BW50">
            <v>25000</v>
          </cell>
          <cell r="BX50">
            <v>25000</v>
          </cell>
          <cell r="BY50">
            <v>25000</v>
          </cell>
          <cell r="BZ50">
            <v>25000</v>
          </cell>
          <cell r="CA50">
            <v>25000</v>
          </cell>
          <cell r="CB50">
            <v>25000</v>
          </cell>
          <cell r="CC50">
            <v>25000</v>
          </cell>
          <cell r="CD50">
            <v>25000</v>
          </cell>
          <cell r="CE50">
            <v>25000</v>
          </cell>
          <cell r="CF50">
            <v>25000</v>
          </cell>
          <cell r="CG50">
            <v>25000</v>
          </cell>
          <cell r="CH50">
            <v>25000</v>
          </cell>
          <cell r="CI50">
            <v>25000</v>
          </cell>
          <cell r="CJ50">
            <v>25000</v>
          </cell>
          <cell r="CK50">
            <v>25000</v>
          </cell>
          <cell r="CL50">
            <v>25000</v>
          </cell>
          <cell r="CM50">
            <v>25000</v>
          </cell>
          <cell r="CN50">
            <v>25000</v>
          </cell>
          <cell r="CO50">
            <v>25000</v>
          </cell>
          <cell r="CP50">
            <v>25000</v>
          </cell>
          <cell r="CQ50">
            <v>25000</v>
          </cell>
          <cell r="CR50">
            <v>25000</v>
          </cell>
          <cell r="CS50">
            <v>25000</v>
          </cell>
          <cell r="CT50">
            <v>25000</v>
          </cell>
          <cell r="CU50">
            <v>25000</v>
          </cell>
          <cell r="CV50">
            <v>25000</v>
          </cell>
          <cell r="CW50">
            <v>25000</v>
          </cell>
          <cell r="CX50">
            <v>25000</v>
          </cell>
          <cell r="CY50">
            <v>25000</v>
          </cell>
          <cell r="CZ50">
            <v>25000</v>
          </cell>
          <cell r="DA50">
            <v>25000</v>
          </cell>
          <cell r="DB50">
            <v>25000</v>
          </cell>
          <cell r="DC50">
            <v>25000</v>
          </cell>
          <cell r="DD50">
            <v>25000</v>
          </cell>
          <cell r="DE50">
            <v>25000</v>
          </cell>
          <cell r="DF50">
            <v>25000</v>
          </cell>
          <cell r="DG50">
            <v>25000</v>
          </cell>
          <cell r="DH50">
            <v>25000</v>
          </cell>
        </row>
        <row r="51">
          <cell r="C51" t="str">
            <v>Petty Cash USD</v>
          </cell>
          <cell r="D51">
            <v>3500</v>
          </cell>
          <cell r="E51">
            <v>3500</v>
          </cell>
          <cell r="F51">
            <v>3500</v>
          </cell>
          <cell r="G51">
            <v>3500</v>
          </cell>
          <cell r="H51">
            <v>3500</v>
          </cell>
          <cell r="I51">
            <v>3500</v>
          </cell>
          <cell r="J51">
            <v>3500</v>
          </cell>
          <cell r="K51">
            <v>3450</v>
          </cell>
          <cell r="L51">
            <v>3450</v>
          </cell>
          <cell r="M51">
            <v>3450</v>
          </cell>
          <cell r="N51">
            <v>3450</v>
          </cell>
          <cell r="O51">
            <v>3450</v>
          </cell>
          <cell r="P51">
            <v>3450</v>
          </cell>
          <cell r="Q51">
            <v>3450</v>
          </cell>
          <cell r="R51">
            <v>3450</v>
          </cell>
          <cell r="S51">
            <v>3450</v>
          </cell>
          <cell r="T51">
            <v>3450</v>
          </cell>
          <cell r="U51">
            <v>2950</v>
          </cell>
          <cell r="V51">
            <v>2950</v>
          </cell>
          <cell r="W51">
            <v>2950</v>
          </cell>
          <cell r="X51">
            <v>2950</v>
          </cell>
          <cell r="Y51">
            <v>2950</v>
          </cell>
          <cell r="Z51">
            <v>2950</v>
          </cell>
          <cell r="AA51">
            <v>2950</v>
          </cell>
          <cell r="AB51">
            <v>2950</v>
          </cell>
          <cell r="AC51">
            <v>2950</v>
          </cell>
          <cell r="AD51">
            <v>2950</v>
          </cell>
          <cell r="AE51">
            <v>2950</v>
          </cell>
          <cell r="AF51">
            <v>2950</v>
          </cell>
          <cell r="AG51">
            <v>2950</v>
          </cell>
          <cell r="AH51">
            <v>2950</v>
          </cell>
          <cell r="AI51">
            <v>2950</v>
          </cell>
          <cell r="AJ51">
            <v>2950</v>
          </cell>
          <cell r="AK51">
            <v>3450</v>
          </cell>
          <cell r="AL51">
            <v>3450</v>
          </cell>
          <cell r="AM51">
            <v>2950</v>
          </cell>
          <cell r="AN51">
            <v>2950</v>
          </cell>
          <cell r="AO51">
            <v>2950</v>
          </cell>
          <cell r="AP51">
            <v>2950</v>
          </cell>
          <cell r="AQ51">
            <v>2950</v>
          </cell>
          <cell r="AR51">
            <v>2950</v>
          </cell>
          <cell r="AS51">
            <v>2950</v>
          </cell>
          <cell r="AT51">
            <v>2950</v>
          </cell>
          <cell r="AU51">
            <v>2950</v>
          </cell>
          <cell r="AV51">
            <v>2950</v>
          </cell>
          <cell r="AW51">
            <v>2950</v>
          </cell>
          <cell r="AX51">
            <v>2950</v>
          </cell>
          <cell r="AY51">
            <v>2950</v>
          </cell>
          <cell r="AZ51">
            <v>2950</v>
          </cell>
          <cell r="BA51">
            <v>2950</v>
          </cell>
          <cell r="BB51">
            <v>2950</v>
          </cell>
          <cell r="BC51">
            <v>2950</v>
          </cell>
          <cell r="BD51">
            <v>2950</v>
          </cell>
          <cell r="BE51">
            <v>2950</v>
          </cell>
          <cell r="BF51">
            <v>2950</v>
          </cell>
          <cell r="BG51">
            <v>2950</v>
          </cell>
          <cell r="BH51">
            <v>2950</v>
          </cell>
          <cell r="BI51">
            <v>2950</v>
          </cell>
          <cell r="BJ51">
            <v>2950</v>
          </cell>
          <cell r="BK51">
            <v>2950</v>
          </cell>
          <cell r="BL51">
            <v>2950</v>
          </cell>
          <cell r="BM51">
            <v>2950</v>
          </cell>
          <cell r="BN51">
            <v>2950</v>
          </cell>
          <cell r="BO51">
            <v>2950</v>
          </cell>
          <cell r="BP51">
            <v>2950</v>
          </cell>
          <cell r="BQ51">
            <v>2950</v>
          </cell>
          <cell r="BR51">
            <v>2950</v>
          </cell>
          <cell r="BS51">
            <v>2950</v>
          </cell>
          <cell r="BT51">
            <v>2950</v>
          </cell>
          <cell r="BU51">
            <v>2950</v>
          </cell>
          <cell r="BV51">
            <v>2950</v>
          </cell>
          <cell r="BW51">
            <v>2950</v>
          </cell>
          <cell r="BX51">
            <v>2950</v>
          </cell>
          <cell r="BY51">
            <v>2950</v>
          </cell>
          <cell r="BZ51">
            <v>2950</v>
          </cell>
          <cell r="CA51">
            <v>2950</v>
          </cell>
          <cell r="CB51">
            <v>2950</v>
          </cell>
          <cell r="CC51">
            <v>2950</v>
          </cell>
          <cell r="CD51">
            <v>2950</v>
          </cell>
          <cell r="CE51">
            <v>2950</v>
          </cell>
          <cell r="CF51">
            <v>2950</v>
          </cell>
          <cell r="CG51">
            <v>2950</v>
          </cell>
          <cell r="CH51">
            <v>2950</v>
          </cell>
          <cell r="CI51">
            <v>2950</v>
          </cell>
          <cell r="CJ51">
            <v>2950</v>
          </cell>
          <cell r="CK51">
            <v>2950</v>
          </cell>
          <cell r="CL51">
            <v>2950</v>
          </cell>
          <cell r="CM51">
            <v>2950</v>
          </cell>
          <cell r="CN51">
            <v>2950</v>
          </cell>
          <cell r="CO51">
            <v>2950</v>
          </cell>
          <cell r="CP51">
            <v>2950</v>
          </cell>
          <cell r="CQ51">
            <v>2950</v>
          </cell>
          <cell r="CR51">
            <v>2950</v>
          </cell>
          <cell r="CS51">
            <v>2950</v>
          </cell>
          <cell r="CT51">
            <v>2950</v>
          </cell>
          <cell r="CU51">
            <v>2950</v>
          </cell>
          <cell r="CV51">
            <v>2950</v>
          </cell>
          <cell r="CW51">
            <v>2950</v>
          </cell>
          <cell r="CX51">
            <v>2950</v>
          </cell>
          <cell r="CY51">
            <v>2950</v>
          </cell>
          <cell r="CZ51">
            <v>2950</v>
          </cell>
          <cell r="DA51">
            <v>2950</v>
          </cell>
          <cell r="DB51">
            <v>2950</v>
          </cell>
          <cell r="DC51">
            <v>2950</v>
          </cell>
          <cell r="DD51">
            <v>2950</v>
          </cell>
          <cell r="DE51">
            <v>2950</v>
          </cell>
          <cell r="DF51">
            <v>2950</v>
          </cell>
          <cell r="DG51">
            <v>2950</v>
          </cell>
          <cell r="DH51">
            <v>2950</v>
          </cell>
        </row>
        <row r="52">
          <cell r="C52" t="str">
            <v>AR CRM RECON</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v>25568247.780000001</v>
          </cell>
          <cell r="AP52">
            <v>26752718.670000002</v>
          </cell>
          <cell r="AQ52">
            <v>22643359.32</v>
          </cell>
          <cell r="AR52">
            <v>24049024.02</v>
          </cell>
          <cell r="AS52">
            <v>20824640.829999998</v>
          </cell>
          <cell r="AT52">
            <v>19134322.170000002</v>
          </cell>
          <cell r="AU52">
            <v>18573233.079999998</v>
          </cell>
          <cell r="AV52">
            <v>14873248.439999999</v>
          </cell>
          <cell r="AW52">
            <v>19546545.170000002</v>
          </cell>
          <cell r="AX52">
            <v>17574397.530000001</v>
          </cell>
          <cell r="AY52">
            <v>21378201.82</v>
          </cell>
          <cell r="AZ52">
            <v>25220364.420000002</v>
          </cell>
          <cell r="BA52">
            <v>33998061.049999997</v>
          </cell>
          <cell r="BB52">
            <v>31050787.07</v>
          </cell>
          <cell r="BC52">
            <v>26543834.23</v>
          </cell>
          <cell r="BD52">
            <v>27168187.940000001</v>
          </cell>
          <cell r="BE52">
            <v>22659335.059999999</v>
          </cell>
          <cell r="BF52">
            <v>21542336.32</v>
          </cell>
          <cell r="BG52">
            <v>20060723.140000001</v>
          </cell>
          <cell r="BH52">
            <v>16932231.059999999</v>
          </cell>
          <cell r="BI52">
            <v>22029116.82</v>
          </cell>
          <cell r="BJ52">
            <v>19584560.550000001</v>
          </cell>
          <cell r="BK52">
            <v>21530275.149999999</v>
          </cell>
          <cell r="BL52">
            <v>25510306.289999999</v>
          </cell>
          <cell r="BM52">
            <v>28138943.129999999</v>
          </cell>
          <cell r="BN52">
            <v>29865132.850000001</v>
          </cell>
          <cell r="BO52">
            <v>27188493.48</v>
          </cell>
          <cell r="BP52">
            <v>24115802.109999999</v>
          </cell>
          <cell r="BQ52">
            <v>21043844.59</v>
          </cell>
          <cell r="BR52">
            <v>20508936.23</v>
          </cell>
          <cell r="BS52">
            <v>18497831.829999998</v>
          </cell>
          <cell r="BT52">
            <v>17018307.600000001</v>
          </cell>
          <cell r="BU52">
            <v>19383604.25</v>
          </cell>
          <cell r="BV52">
            <v>17383938.379999999</v>
          </cell>
          <cell r="BW52">
            <v>21813502.469999999</v>
          </cell>
          <cell r="BX52">
            <v>26207841.449999999</v>
          </cell>
          <cell r="BY52">
            <v>28814229.329999998</v>
          </cell>
          <cell r="BZ52">
            <v>29457788.809999999</v>
          </cell>
          <cell r="CA52">
            <v>26732166.68</v>
          </cell>
          <cell r="CB52">
            <v>24042297.670000002</v>
          </cell>
          <cell r="CC52">
            <v>23768990.760000002</v>
          </cell>
          <cell r="CD52">
            <v>21895029.829999998</v>
          </cell>
          <cell r="CE52">
            <v>20012870.460000001</v>
          </cell>
          <cell r="CF52">
            <v>20937102.98</v>
          </cell>
          <cell r="CG52">
            <v>20879257.16</v>
          </cell>
          <cell r="CH52">
            <v>20212337.640000001</v>
          </cell>
          <cell r="CI52">
            <v>24110219.210000001</v>
          </cell>
          <cell r="CJ52">
            <v>27398149.84</v>
          </cell>
          <cell r="CK52">
            <v>39748767.259999998</v>
          </cell>
          <cell r="CL52">
            <v>40559043.670000002</v>
          </cell>
          <cell r="CM52">
            <v>34244077.100000001</v>
          </cell>
          <cell r="CN52">
            <v>33226670.600000001</v>
          </cell>
          <cell r="CO52">
            <v>29943858.16</v>
          </cell>
          <cell r="CP52">
            <v>27209510.16</v>
          </cell>
          <cell r="CQ52">
            <v>27514498.629999999</v>
          </cell>
          <cell r="CR52">
            <v>24352948.850000001</v>
          </cell>
          <cell r="CS52">
            <v>26152595.670000002</v>
          </cell>
          <cell r="CT52">
            <v>26343935.699999999</v>
          </cell>
          <cell r="CU52">
            <v>29144009.329999998</v>
          </cell>
          <cell r="CV52">
            <v>35036564.810000002</v>
          </cell>
          <cell r="CW52">
            <v>42793359.859999999</v>
          </cell>
          <cell r="CX52">
            <v>48311239.240000002</v>
          </cell>
          <cell r="CY52">
            <v>37908924.539999999</v>
          </cell>
          <cell r="CZ52">
            <v>37018604.509999998</v>
          </cell>
          <cell r="DA52">
            <v>34638748.670000002</v>
          </cell>
          <cell r="DB52">
            <v>30864482.449999999</v>
          </cell>
          <cell r="DC52">
            <v>30029452.710000001</v>
          </cell>
          <cell r="DD52">
            <v>27710853.149999999</v>
          </cell>
          <cell r="DE52">
            <v>31263216.210000001</v>
          </cell>
          <cell r="DF52">
            <v>31958005.16</v>
          </cell>
          <cell r="DG52">
            <v>30152953.25</v>
          </cell>
          <cell r="DH52">
            <v>34474977.5</v>
          </cell>
        </row>
        <row r="53">
          <cell r="C53" t="str">
            <v>AR CRM Posting</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v>11185.56</v>
          </cell>
          <cell r="AP53">
            <v>30777.66</v>
          </cell>
          <cell r="AQ53">
            <v>36501.519999999997</v>
          </cell>
          <cell r="AR53">
            <v>-80484.22</v>
          </cell>
          <cell r="AS53">
            <v>-16606.82</v>
          </cell>
          <cell r="AT53">
            <v>4028.45</v>
          </cell>
          <cell r="AU53">
            <v>6724.84</v>
          </cell>
          <cell r="AV53">
            <v>263.73</v>
          </cell>
          <cell r="AW53">
            <v>-1191.98</v>
          </cell>
          <cell r="AX53">
            <v>-108914.4</v>
          </cell>
          <cell r="AY53">
            <v>-10940.85</v>
          </cell>
          <cell r="AZ53">
            <v>-13449.28</v>
          </cell>
          <cell r="BA53">
            <v>-25965.27</v>
          </cell>
          <cell r="BB53">
            <v>-40801.53</v>
          </cell>
          <cell r="BC53">
            <v>-48348.22</v>
          </cell>
          <cell r="BD53">
            <v>-47002.96</v>
          </cell>
          <cell r="BE53">
            <v>-53685.38</v>
          </cell>
          <cell r="BF53">
            <v>-51878.73</v>
          </cell>
          <cell r="BG53">
            <v>-51179.11</v>
          </cell>
          <cell r="BH53">
            <v>-50901.94</v>
          </cell>
          <cell r="BI53">
            <v>-42058.879999999997</v>
          </cell>
          <cell r="BJ53">
            <v>-49684.160000000003</v>
          </cell>
          <cell r="BK53">
            <v>-53384.21</v>
          </cell>
          <cell r="BL53">
            <v>-71966.92</v>
          </cell>
          <cell r="BM53">
            <v>-68560.490000000005</v>
          </cell>
          <cell r="BN53">
            <v>-63792.56</v>
          </cell>
          <cell r="BO53">
            <v>-72149.61</v>
          </cell>
          <cell r="BP53">
            <v>-69111.31</v>
          </cell>
          <cell r="BQ53">
            <v>-78826.31</v>
          </cell>
          <cell r="BR53">
            <v>-78177.960000000006</v>
          </cell>
          <cell r="BS53">
            <v>-68677.62</v>
          </cell>
          <cell r="BT53">
            <v>-75885.05</v>
          </cell>
          <cell r="BU53">
            <v>-68324.73</v>
          </cell>
          <cell r="BV53">
            <v>-112332.35</v>
          </cell>
          <cell r="BW53">
            <v>-81968.179999999993</v>
          </cell>
          <cell r="BX53">
            <v>-97196.91</v>
          </cell>
          <cell r="BY53">
            <v>-93024.48</v>
          </cell>
          <cell r="BZ53">
            <v>-95902.14</v>
          </cell>
          <cell r="CA53">
            <v>-105822.94</v>
          </cell>
          <cell r="CB53">
            <v>-109230.5</v>
          </cell>
          <cell r="CC53">
            <v>-112703.52</v>
          </cell>
          <cell r="CD53">
            <v>-120985.16</v>
          </cell>
          <cell r="CE53">
            <v>-122686.29</v>
          </cell>
          <cell r="CF53">
            <v>-130415.29</v>
          </cell>
          <cell r="CG53">
            <v>-135428.31</v>
          </cell>
          <cell r="CH53">
            <v>-139068.22</v>
          </cell>
          <cell r="CI53">
            <v>-140837.76999999999</v>
          </cell>
          <cell r="CJ53">
            <v>-159921.63</v>
          </cell>
          <cell r="CK53">
            <v>-145598.48000000001</v>
          </cell>
          <cell r="CL53">
            <v>-140101.26</v>
          </cell>
          <cell r="CM53">
            <v>-183278.41</v>
          </cell>
          <cell r="CN53">
            <v>-182658.71</v>
          </cell>
          <cell r="CO53">
            <v>-176968.09</v>
          </cell>
          <cell r="CP53">
            <v>-166008.39000000001</v>
          </cell>
          <cell r="CQ53">
            <v>-170118.2</v>
          </cell>
          <cell r="CR53">
            <v>-171818.75</v>
          </cell>
          <cell r="CS53">
            <v>-150318.01</v>
          </cell>
          <cell r="CT53">
            <v>-156516.12</v>
          </cell>
          <cell r="CU53">
            <v>-169089.47</v>
          </cell>
          <cell r="CV53">
            <v>-194939.71</v>
          </cell>
          <cell r="CW53">
            <v>-192325.27</v>
          </cell>
          <cell r="CX53">
            <v>-208980.74</v>
          </cell>
          <cell r="CY53">
            <v>-224819.82</v>
          </cell>
          <cell r="CZ53">
            <v>-214304.32</v>
          </cell>
          <cell r="DA53">
            <v>-204014.92</v>
          </cell>
          <cell r="DB53">
            <v>-225629.83</v>
          </cell>
          <cell r="DC53">
            <v>-206219.92</v>
          </cell>
          <cell r="DD53">
            <v>-205239.39</v>
          </cell>
          <cell r="DE53">
            <v>-180798.59</v>
          </cell>
          <cell r="DF53">
            <v>-237188.13</v>
          </cell>
          <cell r="DG53">
            <v>-188911.96</v>
          </cell>
          <cell r="DH53">
            <v>-203735.36</v>
          </cell>
        </row>
        <row r="54">
          <cell r="C54" t="str">
            <v>AR CIS - TEC-R</v>
          </cell>
          <cell r="D54">
            <v>20129818.18</v>
          </cell>
          <cell r="E54">
            <v>27584524.829999998</v>
          </cell>
          <cell r="F54">
            <v>27329632.710000001</v>
          </cell>
          <cell r="G54">
            <v>24242990.359999999</v>
          </cell>
          <cell r="H54">
            <v>21283098.43</v>
          </cell>
          <cell r="I54">
            <v>17741900.280000001</v>
          </cell>
          <cell r="J54">
            <v>18624678.899999999</v>
          </cell>
          <cell r="K54">
            <v>17780622.300000001</v>
          </cell>
          <cell r="L54">
            <v>15694632.060000001</v>
          </cell>
          <cell r="M54">
            <v>16187363.539999999</v>
          </cell>
          <cell r="N54">
            <v>17331657.289999999</v>
          </cell>
          <cell r="O54">
            <v>18519179.260000002</v>
          </cell>
          <cell r="P54">
            <v>22554790.969999999</v>
          </cell>
          <cell r="Q54">
            <v>26841211.82</v>
          </cell>
          <cell r="R54">
            <v>25861303.079999998</v>
          </cell>
          <cell r="S54">
            <v>24515305.02</v>
          </cell>
          <cell r="T54">
            <v>20821888.870000001</v>
          </cell>
          <cell r="U54">
            <v>17359076.68</v>
          </cell>
          <cell r="V54">
            <v>17899073.399999999</v>
          </cell>
          <cell r="W54">
            <v>19745102.52</v>
          </cell>
          <cell r="X54">
            <v>16469940.49</v>
          </cell>
          <cell r="Y54">
            <v>17441519.629999999</v>
          </cell>
          <cell r="Z54">
            <v>17980077.600000001</v>
          </cell>
          <cell r="AA54">
            <v>19380147.300000001</v>
          </cell>
          <cell r="AB54">
            <v>17055092.949999999</v>
          </cell>
          <cell r="AC54">
            <v>24902354.800000001</v>
          </cell>
          <cell r="AD54">
            <v>26165765.68</v>
          </cell>
          <cell r="AE54">
            <v>22452608.18</v>
          </cell>
          <cell r="AF54">
            <v>20112518.43</v>
          </cell>
          <cell r="AG54">
            <v>17311711.41</v>
          </cell>
          <cell r="AH54">
            <v>17600430.510000002</v>
          </cell>
          <cell r="AI54">
            <v>13948883.41</v>
          </cell>
          <cell r="AJ54">
            <v>12810488.74</v>
          </cell>
          <cell r="AK54">
            <v>13124306.140000001</v>
          </cell>
          <cell r="AL54">
            <v>13062235.960000001</v>
          </cell>
          <cell r="AM54">
            <v>14169123.369999999</v>
          </cell>
          <cell r="AN54">
            <v>17217019.07</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row>
        <row r="55">
          <cell r="C55" t="str">
            <v>AR CIS Increm Billng</v>
          </cell>
          <cell r="D55">
            <v>70754.850000000006</v>
          </cell>
          <cell r="E55">
            <v>64414.31</v>
          </cell>
          <cell r="F55">
            <v>56935.39</v>
          </cell>
          <cell r="G55">
            <v>47934.86</v>
          </cell>
          <cell r="H55">
            <v>38911.870000000003</v>
          </cell>
          <cell r="I55">
            <v>33648.629999999997</v>
          </cell>
          <cell r="J55">
            <v>34064.43</v>
          </cell>
          <cell r="K55">
            <v>37341.449999999997</v>
          </cell>
          <cell r="L55">
            <v>110549.43</v>
          </cell>
          <cell r="M55">
            <v>102103.26</v>
          </cell>
          <cell r="N55">
            <v>93326.68</v>
          </cell>
          <cell r="O55">
            <v>83176.320000000007</v>
          </cell>
          <cell r="P55">
            <v>79871.990000000005</v>
          </cell>
          <cell r="Q55">
            <v>73946.179999999993</v>
          </cell>
          <cell r="R55">
            <v>71365.38</v>
          </cell>
          <cell r="S55">
            <v>66523.58</v>
          </cell>
          <cell r="T55">
            <v>61791.71</v>
          </cell>
          <cell r="U55">
            <v>57416.47</v>
          </cell>
          <cell r="V55">
            <v>53400.95</v>
          </cell>
          <cell r="W55">
            <v>147881.82999999999</v>
          </cell>
          <cell r="X55">
            <v>142368.29</v>
          </cell>
          <cell r="Y55">
            <v>121855.74</v>
          </cell>
          <cell r="Z55">
            <v>137988.62</v>
          </cell>
          <cell r="AA55">
            <v>126894.5</v>
          </cell>
          <cell r="AB55">
            <v>132441.56</v>
          </cell>
          <cell r="AC55">
            <v>123164.26</v>
          </cell>
          <cell r="AD55">
            <v>139340</v>
          </cell>
          <cell r="AE55">
            <v>111689.03</v>
          </cell>
          <cell r="AF55">
            <v>105960.87</v>
          </cell>
          <cell r="AG55">
            <v>100232.67</v>
          </cell>
          <cell r="AH55">
            <v>14538.78</v>
          </cell>
          <cell r="AI55">
            <v>11680.56</v>
          </cell>
          <cell r="AJ55">
            <v>5973.62</v>
          </cell>
          <cell r="AK55">
            <v>3594.75</v>
          </cell>
          <cell r="AL55">
            <v>4690.54</v>
          </cell>
          <cell r="AM55">
            <v>3903.08</v>
          </cell>
          <cell r="AN55">
            <v>3115.62</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row>
        <row r="56">
          <cell r="C56" t="str">
            <v>AR CIS Unappl Cash</v>
          </cell>
          <cell r="D56">
            <v>1327072.03</v>
          </cell>
          <cell r="E56">
            <v>1908100.53</v>
          </cell>
          <cell r="F56">
            <v>4463299.4000000004</v>
          </cell>
          <cell r="G56">
            <v>3440441.12</v>
          </cell>
          <cell r="H56">
            <v>2273487.92</v>
          </cell>
          <cell r="I56">
            <v>2845900.51</v>
          </cell>
          <cell r="J56">
            <v>1330001.8899999999</v>
          </cell>
          <cell r="K56">
            <v>990899.55</v>
          </cell>
          <cell r="L56">
            <v>1353672.99</v>
          </cell>
          <cell r="M56">
            <v>2181265.06</v>
          </cell>
          <cell r="N56">
            <v>1362877.2</v>
          </cell>
          <cell r="O56">
            <v>4302890.16</v>
          </cell>
          <cell r="P56">
            <v>1314846.26</v>
          </cell>
          <cell r="Q56">
            <v>1860125.01</v>
          </cell>
          <cell r="R56">
            <v>4666893.54</v>
          </cell>
          <cell r="S56">
            <v>2956490.68</v>
          </cell>
          <cell r="T56">
            <v>1099732.3799999999</v>
          </cell>
          <cell r="U56">
            <v>2768620.87</v>
          </cell>
          <cell r="V56">
            <v>1853795.3</v>
          </cell>
          <cell r="W56">
            <v>1396030.7</v>
          </cell>
          <cell r="X56">
            <v>2523857.06</v>
          </cell>
          <cell r="Y56">
            <v>2064367.11</v>
          </cell>
          <cell r="Z56">
            <v>1324333.74</v>
          </cell>
          <cell r="AA56">
            <v>1704245.09</v>
          </cell>
          <cell r="AB56">
            <v>2950424.98</v>
          </cell>
          <cell r="AC56">
            <v>3812336.37</v>
          </cell>
          <cell r="AD56">
            <v>4467347.3899999997</v>
          </cell>
          <cell r="AE56">
            <v>1217972.8600000001</v>
          </cell>
          <cell r="AF56">
            <v>1711305.73</v>
          </cell>
          <cell r="AG56">
            <v>3165735.05</v>
          </cell>
          <cell r="AH56">
            <v>921447.94</v>
          </cell>
          <cell r="AI56">
            <v>2744242.89</v>
          </cell>
          <cell r="AJ56">
            <v>1335160.45</v>
          </cell>
          <cell r="AK56">
            <v>1206590.51</v>
          </cell>
          <cell r="AL56">
            <v>1594943.04</v>
          </cell>
          <cell r="AM56">
            <v>952464.56</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row>
        <row r="57">
          <cell r="C57" t="str">
            <v>AR CIS Unappl Refund</v>
          </cell>
          <cell r="D57">
            <v>-6363.95</v>
          </cell>
          <cell r="E57">
            <v>-6251.5</v>
          </cell>
          <cell r="F57">
            <v>-36118.18</v>
          </cell>
          <cell r="G57">
            <v>-16776.57</v>
          </cell>
          <cell r="H57">
            <v>-3698.28</v>
          </cell>
          <cell r="I57">
            <v>-79432.350000000006</v>
          </cell>
          <cell r="J57">
            <v>-6412.59</v>
          </cell>
          <cell r="K57">
            <v>-42417.58</v>
          </cell>
          <cell r="L57">
            <v>-10055.700000000001</v>
          </cell>
          <cell r="M57">
            <v>-13019.47</v>
          </cell>
          <cell r="N57">
            <v>4156.46</v>
          </cell>
          <cell r="O57">
            <v>-19411.650000000001</v>
          </cell>
          <cell r="P57">
            <v>15557.33</v>
          </cell>
          <cell r="Q57">
            <v>360</v>
          </cell>
          <cell r="R57">
            <v>6143.82</v>
          </cell>
          <cell r="S57">
            <v>-26200.67</v>
          </cell>
          <cell r="T57">
            <v>-15776.46</v>
          </cell>
          <cell r="U57">
            <v>-16857.54</v>
          </cell>
          <cell r="V57">
            <v>-51908.37</v>
          </cell>
          <cell r="W57">
            <v>1202.04</v>
          </cell>
          <cell r="X57">
            <v>-2230.4499999999998</v>
          </cell>
          <cell r="Y57">
            <v>-13613.6</v>
          </cell>
          <cell r="Z57">
            <v>11393.56</v>
          </cell>
          <cell r="AA57">
            <v>-938.9</v>
          </cell>
          <cell r="AB57">
            <v>-49576.98</v>
          </cell>
          <cell r="AC57">
            <v>15526.97</v>
          </cell>
          <cell r="AD57">
            <v>7139.49</v>
          </cell>
          <cell r="AE57">
            <v>-66138.720000000001</v>
          </cell>
          <cell r="AF57">
            <v>-18045.240000000002</v>
          </cell>
          <cell r="AG57">
            <v>-59676.1</v>
          </cell>
          <cell r="AH57">
            <v>-3977.46</v>
          </cell>
          <cell r="AI57">
            <v>-26629.69</v>
          </cell>
          <cell r="AJ57">
            <v>-1280.29</v>
          </cell>
          <cell r="AK57">
            <v>-33628.36</v>
          </cell>
          <cell r="AL57">
            <v>-7452.89</v>
          </cell>
          <cell r="AM57">
            <v>16191.22</v>
          </cell>
          <cell r="AN57">
            <v>70767.570000000007</v>
          </cell>
          <cell r="AO57">
            <v>70767.570000000007</v>
          </cell>
          <cell r="AP57">
            <v>70767.570000000007</v>
          </cell>
          <cell r="AQ57">
            <v>70767.570000000007</v>
          </cell>
          <cell r="AR57">
            <v>70767.570000000007</v>
          </cell>
          <cell r="AS57">
            <v>70767.570000000007</v>
          </cell>
          <cell r="AT57">
            <v>70767.570000000007</v>
          </cell>
          <cell r="AU57">
            <v>70767.570000000007</v>
          </cell>
          <cell r="AV57">
            <v>70767.570000000007</v>
          </cell>
          <cell r="AW57">
            <v>70767.570000000007</v>
          </cell>
          <cell r="AX57">
            <v>70767.570000000007</v>
          </cell>
          <cell r="AY57">
            <v>70767.570000000007</v>
          </cell>
          <cell r="AZ57">
            <v>70767.570000000007</v>
          </cell>
          <cell r="BA57">
            <v>70767.570000000007</v>
          </cell>
          <cell r="BB57">
            <v>70767.570000000007</v>
          </cell>
          <cell r="BC57">
            <v>70767.570000000007</v>
          </cell>
          <cell r="BD57">
            <v>70767.570000000007</v>
          </cell>
          <cell r="BE57">
            <v>70767.570000000007</v>
          </cell>
          <cell r="BF57">
            <v>70767.570000000007</v>
          </cell>
          <cell r="BG57">
            <v>70767.570000000007</v>
          </cell>
          <cell r="BH57">
            <v>70767.570000000007</v>
          </cell>
          <cell r="BI57">
            <v>70767.570000000007</v>
          </cell>
          <cell r="BJ57">
            <v>70767.570000000007</v>
          </cell>
          <cell r="BK57">
            <v>70767.570000000007</v>
          </cell>
          <cell r="BL57">
            <v>70767.570000000007</v>
          </cell>
          <cell r="BM57">
            <v>70767.570000000007</v>
          </cell>
          <cell r="BN57">
            <v>70767.570000000007</v>
          </cell>
          <cell r="BO57">
            <v>70767.570000000007</v>
          </cell>
          <cell r="BP57">
            <v>70767.570000000007</v>
          </cell>
          <cell r="BQ57">
            <v>70767.570000000007</v>
          </cell>
          <cell r="BR57">
            <v>70767.570000000007</v>
          </cell>
          <cell r="BS57">
            <v>70767.570000000007</v>
          </cell>
          <cell r="BT57">
            <v>70767.570000000007</v>
          </cell>
          <cell r="BU57">
            <v>70767.570000000007</v>
          </cell>
          <cell r="BV57">
            <v>70767.570000000007</v>
          </cell>
          <cell r="BW57">
            <v>70767.570000000007</v>
          </cell>
          <cell r="BX57">
            <v>70767.570000000007</v>
          </cell>
          <cell r="BY57">
            <v>70767.570000000007</v>
          </cell>
          <cell r="BZ57">
            <v>70767.570000000007</v>
          </cell>
          <cell r="CA57">
            <v>70767.570000000007</v>
          </cell>
          <cell r="CB57">
            <v>70767.570000000007</v>
          </cell>
          <cell r="CC57">
            <v>70767.570000000007</v>
          </cell>
          <cell r="CD57">
            <v>70767.570000000007</v>
          </cell>
          <cell r="CE57">
            <v>70767.570000000007</v>
          </cell>
          <cell r="CF57">
            <v>70767.570000000007</v>
          </cell>
          <cell r="CG57">
            <v>70767.570000000007</v>
          </cell>
          <cell r="CH57">
            <v>70767.570000000007</v>
          </cell>
          <cell r="CI57">
            <v>70767.570000000007</v>
          </cell>
          <cell r="CJ57">
            <v>70767.570000000007</v>
          </cell>
          <cell r="CK57">
            <v>70767.570000000007</v>
          </cell>
          <cell r="CL57">
            <v>70767.570000000007</v>
          </cell>
          <cell r="CM57">
            <v>70767.570000000007</v>
          </cell>
          <cell r="CN57">
            <v>70767.570000000007</v>
          </cell>
          <cell r="CO57">
            <v>70767.570000000007</v>
          </cell>
          <cell r="CP57">
            <v>70767.570000000007</v>
          </cell>
          <cell r="CQ57">
            <v>70767.570000000007</v>
          </cell>
          <cell r="CR57">
            <v>70767.570000000007</v>
          </cell>
          <cell r="CS57">
            <v>70767.570000000007</v>
          </cell>
          <cell r="CT57">
            <v>70767.570000000007</v>
          </cell>
          <cell r="CU57">
            <v>70767.570000000007</v>
          </cell>
          <cell r="CV57">
            <v>70767.570000000007</v>
          </cell>
          <cell r="CW57">
            <v>70767.570000000007</v>
          </cell>
          <cell r="CX57">
            <v>70767.570000000007</v>
          </cell>
          <cell r="CY57">
            <v>70767.570000000007</v>
          </cell>
          <cell r="CZ57">
            <v>70767.570000000007</v>
          </cell>
          <cell r="DA57">
            <v>70767.570000000007</v>
          </cell>
          <cell r="DB57">
            <v>70767.570000000007</v>
          </cell>
          <cell r="DC57">
            <v>70767.570000000007</v>
          </cell>
          <cell r="DD57">
            <v>70767.570000000007</v>
          </cell>
          <cell r="DE57">
            <v>70767.570000000007</v>
          </cell>
          <cell r="DF57">
            <v>70767.570000000007</v>
          </cell>
          <cell r="DG57">
            <v>70767.570000000007</v>
          </cell>
          <cell r="DH57">
            <v>70767.570000000007</v>
          </cell>
        </row>
        <row r="58">
          <cell r="C58" t="str">
            <v>AR CIS Leveliz Bill</v>
          </cell>
          <cell r="D58">
            <v>-23117.73</v>
          </cell>
          <cell r="E58">
            <v>29928.59</v>
          </cell>
          <cell r="F58">
            <v>91079.83</v>
          </cell>
          <cell r="G58">
            <v>109965.01</v>
          </cell>
          <cell r="H58">
            <v>112363.27</v>
          </cell>
          <cell r="I58">
            <v>78251.09</v>
          </cell>
          <cell r="J58">
            <v>96677.2</v>
          </cell>
          <cell r="K58">
            <v>56532.74</v>
          </cell>
          <cell r="L58">
            <v>32965.660000000003</v>
          </cell>
          <cell r="M58">
            <v>10532.9</v>
          </cell>
          <cell r="N58">
            <v>-10885.25</v>
          </cell>
          <cell r="O58">
            <v>-19932.900000000001</v>
          </cell>
          <cell r="P58">
            <v>2021.01</v>
          </cell>
          <cell r="Q58">
            <v>38223.129999999997</v>
          </cell>
          <cell r="R58">
            <v>80063.199999999997</v>
          </cell>
          <cell r="S58">
            <v>108079.05</v>
          </cell>
          <cell r="T58">
            <v>91099.77</v>
          </cell>
          <cell r="U58">
            <v>65397.68</v>
          </cell>
          <cell r="V58">
            <v>41150.94</v>
          </cell>
          <cell r="W58">
            <v>13704.1</v>
          </cell>
          <cell r="X58">
            <v>-12349.01</v>
          </cell>
          <cell r="Y58">
            <v>-38996.639999999999</v>
          </cell>
          <cell r="Z58">
            <v>-62015.61</v>
          </cell>
          <cell r="AA58">
            <v>-95784.65</v>
          </cell>
          <cell r="AB58">
            <v>-84519.34</v>
          </cell>
          <cell r="AC58">
            <v>-74276.789999999994</v>
          </cell>
          <cell r="AD58">
            <v>-26768.38</v>
          </cell>
          <cell r="AE58">
            <v>-5592.68</v>
          </cell>
          <cell r="AF58">
            <v>-7674.08</v>
          </cell>
          <cell r="AG58">
            <v>-15191.9</v>
          </cell>
          <cell r="AH58">
            <v>-27083.91</v>
          </cell>
          <cell r="AI58">
            <v>-42907.11</v>
          </cell>
          <cell r="AJ58">
            <v>-57591.67</v>
          </cell>
          <cell r="AK58">
            <v>-70843.039999999994</v>
          </cell>
          <cell r="AL58">
            <v>-82154</v>
          </cell>
          <cell r="AM58">
            <v>-87895.61</v>
          </cell>
          <cell r="AN58">
            <v>-82215.710000000006</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row>
        <row r="59">
          <cell r="C59" t="str">
            <v>AR OSS RECON</v>
          </cell>
          <cell r="D59">
            <v>-3.53</v>
          </cell>
          <cell r="E59">
            <v>0</v>
          </cell>
          <cell r="F59">
            <v>4755.1400000000003</v>
          </cell>
          <cell r="G59">
            <v>0</v>
          </cell>
          <cell r="H59">
            <v>72520</v>
          </cell>
          <cell r="I59">
            <v>0</v>
          </cell>
          <cell r="J59">
            <v>0</v>
          </cell>
          <cell r="K59">
            <v>0</v>
          </cell>
          <cell r="L59">
            <v>0</v>
          </cell>
          <cell r="M59">
            <v>562941.38</v>
          </cell>
          <cell r="N59">
            <v>290</v>
          </cell>
          <cell r="O59">
            <v>26161.74</v>
          </cell>
          <cell r="P59">
            <v>0</v>
          </cell>
          <cell r="Q59">
            <v>65790</v>
          </cell>
          <cell r="R59">
            <v>184000.01</v>
          </cell>
          <cell r="S59">
            <v>9987.8700000000008</v>
          </cell>
          <cell r="T59">
            <v>90486.1</v>
          </cell>
          <cell r="U59">
            <v>0.12</v>
          </cell>
          <cell r="V59">
            <v>138.78</v>
          </cell>
          <cell r="W59">
            <v>17898.38</v>
          </cell>
          <cell r="X59">
            <v>15471.5</v>
          </cell>
          <cell r="Y59">
            <v>49548.35</v>
          </cell>
          <cell r="Z59">
            <v>1920.12</v>
          </cell>
          <cell r="AA59">
            <v>1943.17</v>
          </cell>
          <cell r="AB59">
            <v>1920.14</v>
          </cell>
          <cell r="AC59">
            <v>1920.27</v>
          </cell>
          <cell r="AD59">
            <v>2505.77</v>
          </cell>
          <cell r="AE59">
            <v>4793.37</v>
          </cell>
          <cell r="AF59">
            <v>0.27</v>
          </cell>
          <cell r="AG59">
            <v>0.27</v>
          </cell>
          <cell r="AH59">
            <v>0.27</v>
          </cell>
          <cell r="AI59">
            <v>0.27</v>
          </cell>
          <cell r="AJ59">
            <v>41452.58</v>
          </cell>
          <cell r="AK59">
            <v>274.64999999999998</v>
          </cell>
          <cell r="AL59">
            <v>65322.09</v>
          </cell>
          <cell r="AM59">
            <v>0.3</v>
          </cell>
          <cell r="AN59">
            <v>0.3</v>
          </cell>
          <cell r="AO59">
            <v>328590.34999999998</v>
          </cell>
          <cell r="AP59">
            <v>27523.74</v>
          </cell>
          <cell r="AQ59">
            <v>0.3</v>
          </cell>
          <cell r="AR59">
            <v>0.3</v>
          </cell>
          <cell r="AS59">
            <v>1190968.8</v>
          </cell>
          <cell r="AT59">
            <v>0.16</v>
          </cell>
          <cell r="AU59">
            <v>211796.64</v>
          </cell>
          <cell r="AV59">
            <v>0.17</v>
          </cell>
          <cell r="AW59">
            <v>1032616.92</v>
          </cell>
          <cell r="AX59">
            <v>139745.32</v>
          </cell>
          <cell r="AY59">
            <v>783295.53</v>
          </cell>
          <cell r="AZ59">
            <v>62085.45</v>
          </cell>
          <cell r="BA59">
            <v>0.14000000000000001</v>
          </cell>
          <cell r="BB59">
            <v>1213.0899999999999</v>
          </cell>
          <cell r="BC59">
            <v>0</v>
          </cell>
          <cell r="BD59">
            <v>1183.5999999999999</v>
          </cell>
          <cell r="BE59">
            <v>0</v>
          </cell>
          <cell r="BF59">
            <v>0</v>
          </cell>
          <cell r="BG59">
            <v>0</v>
          </cell>
          <cell r="BH59">
            <v>114017.46</v>
          </cell>
          <cell r="BI59">
            <v>0</v>
          </cell>
          <cell r="BJ59">
            <v>0</v>
          </cell>
          <cell r="BK59">
            <v>102450</v>
          </cell>
          <cell r="BL59">
            <v>23750</v>
          </cell>
          <cell r="BM59">
            <v>440000</v>
          </cell>
          <cell r="BN59">
            <v>0</v>
          </cell>
          <cell r="BO59">
            <v>0</v>
          </cell>
          <cell r="BP59">
            <v>0</v>
          </cell>
          <cell r="BQ59">
            <v>0</v>
          </cell>
          <cell r="BR59">
            <v>0</v>
          </cell>
          <cell r="BS59">
            <v>0</v>
          </cell>
          <cell r="BT59">
            <v>89590</v>
          </cell>
          <cell r="BU59">
            <v>0</v>
          </cell>
          <cell r="BV59">
            <v>64575</v>
          </cell>
          <cell r="BW59">
            <v>0.01</v>
          </cell>
          <cell r="BX59">
            <v>0</v>
          </cell>
          <cell r="BY59">
            <v>2264304.36</v>
          </cell>
          <cell r="BZ59">
            <v>0.01</v>
          </cell>
          <cell r="CA59">
            <v>0</v>
          </cell>
          <cell r="CB59">
            <v>0</v>
          </cell>
          <cell r="CC59">
            <v>0</v>
          </cell>
          <cell r="CD59">
            <v>0</v>
          </cell>
          <cell r="CE59">
            <v>0</v>
          </cell>
          <cell r="CF59">
            <v>0.02</v>
          </cell>
          <cell r="CG59">
            <v>0</v>
          </cell>
          <cell r="CH59">
            <v>0</v>
          </cell>
          <cell r="CI59">
            <v>0</v>
          </cell>
          <cell r="CJ59">
            <v>0</v>
          </cell>
          <cell r="CK59">
            <v>0</v>
          </cell>
          <cell r="CL59">
            <v>0</v>
          </cell>
          <cell r="CM59">
            <v>32237.040000000001</v>
          </cell>
          <cell r="CN59">
            <v>0</v>
          </cell>
          <cell r="CO59">
            <v>684.06</v>
          </cell>
          <cell r="CP59">
            <v>0</v>
          </cell>
          <cell r="CQ59">
            <v>0</v>
          </cell>
          <cell r="CR59">
            <v>0</v>
          </cell>
          <cell r="CS59">
            <v>204155.14</v>
          </cell>
          <cell r="CT59">
            <v>204155.14</v>
          </cell>
          <cell r="CU59">
            <v>253907.98</v>
          </cell>
          <cell r="CV59">
            <v>0</v>
          </cell>
          <cell r="CW59">
            <v>0</v>
          </cell>
          <cell r="CX59">
            <v>0</v>
          </cell>
          <cell r="CY59">
            <v>0.02</v>
          </cell>
          <cell r="CZ59">
            <v>0.02</v>
          </cell>
          <cell r="DA59">
            <v>0.02</v>
          </cell>
          <cell r="DB59">
            <v>23026.92</v>
          </cell>
          <cell r="DC59">
            <v>0</v>
          </cell>
          <cell r="DD59">
            <v>6238.44</v>
          </cell>
          <cell r="DE59">
            <v>138738.04</v>
          </cell>
          <cell r="DF59">
            <v>9244.0499999999993</v>
          </cell>
          <cell r="DG59">
            <v>7739.17</v>
          </cell>
          <cell r="DH59">
            <v>7739.17</v>
          </cell>
        </row>
        <row r="60">
          <cell r="C60" t="str">
            <v>AR OSS Posting</v>
          </cell>
          <cell r="D60">
            <v>1151097.06</v>
          </cell>
          <cell r="E60">
            <v>3191986.66</v>
          </cell>
          <cell r="F60">
            <v>2178407.2999999998</v>
          </cell>
          <cell r="G60">
            <v>2270435</v>
          </cell>
          <cell r="H60">
            <v>5253425.95</v>
          </cell>
          <cell r="I60">
            <v>1176115.3600000001</v>
          </cell>
          <cell r="J60">
            <v>1883610.21</v>
          </cell>
          <cell r="K60">
            <v>3709294.66</v>
          </cell>
          <cell r="L60">
            <v>5924963.1600000001</v>
          </cell>
          <cell r="M60">
            <v>1170890.25</v>
          </cell>
          <cell r="N60">
            <v>3017292.35</v>
          </cell>
          <cell r="O60">
            <v>3080973.08</v>
          </cell>
          <cell r="P60">
            <v>2067738.76</v>
          </cell>
          <cell r="Q60">
            <v>3053747.31</v>
          </cell>
          <cell r="R60">
            <v>2975653.25</v>
          </cell>
          <cell r="S60">
            <v>1869718.57</v>
          </cell>
          <cell r="T60">
            <v>6082661.0499999998</v>
          </cell>
          <cell r="U60">
            <v>3525655.2</v>
          </cell>
          <cell r="V60">
            <v>4279807.0199999996</v>
          </cell>
          <cell r="W60">
            <v>2402261.14</v>
          </cell>
          <cell r="X60">
            <v>5125792.0599999996</v>
          </cell>
          <cell r="Y60">
            <v>4191578.34</v>
          </cell>
          <cell r="Z60">
            <v>4335537.4000000004</v>
          </cell>
          <cell r="AA60">
            <v>2253798.31</v>
          </cell>
          <cell r="AB60">
            <v>6512951.0800000001</v>
          </cell>
          <cell r="AC60">
            <v>3069509.29</v>
          </cell>
          <cell r="AD60">
            <v>2904974.37</v>
          </cell>
          <cell r="AE60">
            <v>3803744</v>
          </cell>
          <cell r="AF60">
            <v>5018376.1100000003</v>
          </cell>
          <cell r="AG60">
            <v>5177661.0999999996</v>
          </cell>
          <cell r="AH60">
            <v>6653040.3200000003</v>
          </cell>
          <cell r="AI60">
            <v>10779824.75</v>
          </cell>
          <cell r="AJ60">
            <v>9260621.1999999993</v>
          </cell>
          <cell r="AK60">
            <v>6999268.0300000003</v>
          </cell>
          <cell r="AL60">
            <v>8029251.1799999997</v>
          </cell>
          <cell r="AM60">
            <v>2717893.6</v>
          </cell>
          <cell r="AN60">
            <v>3363227.31</v>
          </cell>
          <cell r="AO60">
            <v>3796641.09</v>
          </cell>
          <cell r="AP60">
            <v>3614441.34</v>
          </cell>
          <cell r="AQ60">
            <v>2568021.61</v>
          </cell>
          <cell r="AR60">
            <v>5098656.41</v>
          </cell>
          <cell r="AS60">
            <v>4819269.18</v>
          </cell>
          <cell r="AT60">
            <v>4569270.62</v>
          </cell>
          <cell r="AU60">
            <v>6004250.2800000003</v>
          </cell>
          <cell r="AV60">
            <v>4221796.59</v>
          </cell>
          <cell r="AW60">
            <v>4422087.12</v>
          </cell>
          <cell r="AX60">
            <v>3687066.8</v>
          </cell>
          <cell r="AY60">
            <v>2594799</v>
          </cell>
          <cell r="AZ60">
            <v>4082935.15</v>
          </cell>
          <cell r="BA60">
            <v>5099773.99</v>
          </cell>
          <cell r="BB60">
            <v>2400995.42</v>
          </cell>
          <cell r="BC60">
            <v>1803712.03</v>
          </cell>
          <cell r="BD60">
            <v>3154301.15</v>
          </cell>
          <cell r="BE60">
            <v>3785072.36</v>
          </cell>
          <cell r="BF60">
            <v>4761823.41</v>
          </cell>
          <cell r="BG60">
            <v>7597477.7599999998</v>
          </cell>
          <cell r="BH60">
            <v>5356690.22</v>
          </cell>
          <cell r="BI60">
            <v>4923337.6900000004</v>
          </cell>
          <cell r="BJ60">
            <v>5710084.0499999998</v>
          </cell>
          <cell r="BK60">
            <v>2508493.1</v>
          </cell>
          <cell r="BL60">
            <v>3443743.14</v>
          </cell>
          <cell r="BM60">
            <v>3847388.49</v>
          </cell>
          <cell r="BN60">
            <v>2323705.79</v>
          </cell>
          <cell r="BO60">
            <v>1599108.11</v>
          </cell>
          <cell r="BP60">
            <v>3040663.06</v>
          </cell>
          <cell r="BQ60">
            <v>4606565.49</v>
          </cell>
          <cell r="BR60">
            <v>3379699.51</v>
          </cell>
          <cell r="BS60">
            <v>2900805.94</v>
          </cell>
          <cell r="BT60">
            <v>2902458.8</v>
          </cell>
          <cell r="BU60">
            <v>4184109.81</v>
          </cell>
          <cell r="BV60">
            <v>3514813.75</v>
          </cell>
          <cell r="BW60">
            <v>3159589.52</v>
          </cell>
          <cell r="BX60">
            <v>2264304.35</v>
          </cell>
          <cell r="BY60">
            <v>2611828.88</v>
          </cell>
          <cell r="BZ60">
            <v>2002312.12</v>
          </cell>
          <cell r="CA60">
            <v>2072057.08</v>
          </cell>
          <cell r="CB60">
            <v>2059955.3</v>
          </cell>
          <cell r="CC60">
            <v>1911048.47</v>
          </cell>
          <cell r="CD60">
            <v>2786815.94</v>
          </cell>
          <cell r="CE60">
            <v>2718366.71</v>
          </cell>
          <cell r="CF60">
            <v>1214795.58</v>
          </cell>
          <cell r="CG60">
            <v>1991150.76</v>
          </cell>
          <cell r="CH60">
            <v>1323104.93</v>
          </cell>
          <cell r="CI60">
            <v>1522218.8</v>
          </cell>
          <cell r="CJ60">
            <v>1877371.15</v>
          </cell>
          <cell r="CK60">
            <v>1686392.92</v>
          </cell>
          <cell r="CL60">
            <v>2827228.75</v>
          </cell>
          <cell r="CM60">
            <v>3401606.62</v>
          </cell>
          <cell r="CN60">
            <v>403721.09</v>
          </cell>
          <cell r="CO60">
            <v>1632845.09</v>
          </cell>
          <cell r="CP60">
            <v>1449632.95</v>
          </cell>
          <cell r="CQ60">
            <v>1372016.33</v>
          </cell>
          <cell r="CR60">
            <v>3080461.57</v>
          </cell>
          <cell r="CS60">
            <v>2487669.91</v>
          </cell>
          <cell r="CT60">
            <v>4343419.47</v>
          </cell>
          <cell r="CU60">
            <v>266766.17</v>
          </cell>
          <cell r="CV60">
            <v>63075</v>
          </cell>
          <cell r="CW60">
            <v>4376455.6399999997</v>
          </cell>
          <cell r="CX60">
            <v>3857570.56</v>
          </cell>
          <cell r="CY60">
            <v>4476962.04</v>
          </cell>
          <cell r="CZ60">
            <v>4003020.98</v>
          </cell>
          <cell r="DA60">
            <v>7434336.75</v>
          </cell>
          <cell r="DB60">
            <v>7346304.7699999996</v>
          </cell>
          <cell r="DC60">
            <v>11065216.449999999</v>
          </cell>
          <cell r="DD60">
            <v>9587066.2899999991</v>
          </cell>
          <cell r="DE60">
            <v>5609113.3499999996</v>
          </cell>
          <cell r="DF60">
            <v>3526303.71</v>
          </cell>
          <cell r="DG60">
            <v>3451887.59</v>
          </cell>
          <cell r="DH60">
            <v>4168444.97</v>
          </cell>
        </row>
        <row r="61">
          <cell r="C61" t="str">
            <v>AR Cust Oth RECON</v>
          </cell>
          <cell r="D61">
            <v>0</v>
          </cell>
          <cell r="E61">
            <v>0</v>
          </cell>
          <cell r="F61">
            <v>0</v>
          </cell>
          <cell r="G61">
            <v>0</v>
          </cell>
          <cell r="H61">
            <v>0</v>
          </cell>
          <cell r="I61">
            <v>0</v>
          </cell>
          <cell r="J61">
            <v>0</v>
          </cell>
          <cell r="K61">
            <v>0</v>
          </cell>
          <cell r="L61">
            <v>14106</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row>
        <row r="62">
          <cell r="C62" t="str">
            <v>AR Cust Oth Posting</v>
          </cell>
          <cell r="D62">
            <v>267747.86</v>
          </cell>
          <cell r="E62">
            <v>1115536.05</v>
          </cell>
          <cell r="F62">
            <v>476186.06</v>
          </cell>
          <cell r="G62">
            <v>689063.82</v>
          </cell>
          <cell r="H62">
            <v>633818.68000000005</v>
          </cell>
          <cell r="I62">
            <v>707749.75</v>
          </cell>
          <cell r="J62">
            <v>517006.79</v>
          </cell>
          <cell r="K62">
            <v>708963.97</v>
          </cell>
          <cell r="L62">
            <v>757630.27</v>
          </cell>
          <cell r="M62">
            <v>2119021.86</v>
          </cell>
          <cell r="N62">
            <v>301078.55</v>
          </cell>
          <cell r="O62">
            <v>350311.59</v>
          </cell>
          <cell r="P62">
            <v>0</v>
          </cell>
          <cell r="Q62">
            <v>254123.47</v>
          </cell>
          <cell r="R62">
            <v>194412.79999999999</v>
          </cell>
          <cell r="S62">
            <v>41450</v>
          </cell>
          <cell r="T62">
            <v>8472.1</v>
          </cell>
          <cell r="U62">
            <v>-193902</v>
          </cell>
          <cell r="V62">
            <v>0</v>
          </cell>
          <cell r="W62">
            <v>-2306671.56</v>
          </cell>
          <cell r="X62">
            <v>36000</v>
          </cell>
          <cell r="Y62">
            <v>0</v>
          </cell>
          <cell r="Z62">
            <v>42823.61</v>
          </cell>
          <cell r="AA62">
            <v>0</v>
          </cell>
          <cell r="AB62">
            <v>0</v>
          </cell>
          <cell r="AC62">
            <v>0</v>
          </cell>
          <cell r="AD62">
            <v>0</v>
          </cell>
          <cell r="AE62">
            <v>-122295.97</v>
          </cell>
          <cell r="AF62">
            <v>68976.89</v>
          </cell>
          <cell r="AG62">
            <v>0</v>
          </cell>
          <cell r="AH62">
            <v>56035.06</v>
          </cell>
          <cell r="AI62">
            <v>0</v>
          </cell>
          <cell r="AJ62">
            <v>0</v>
          </cell>
          <cell r="AK62">
            <v>0</v>
          </cell>
          <cell r="AL62">
            <v>0</v>
          </cell>
          <cell r="AM62">
            <v>97762.38</v>
          </cell>
          <cell r="AN62">
            <v>-164770.76</v>
          </cell>
          <cell r="AO62">
            <v>213450.99</v>
          </cell>
          <cell r="AP62">
            <v>0</v>
          </cell>
          <cell r="AQ62">
            <v>106698.62</v>
          </cell>
          <cell r="AR62">
            <v>128160.17</v>
          </cell>
          <cell r="AS62">
            <v>-125051.69</v>
          </cell>
          <cell r="AT62">
            <v>0</v>
          </cell>
          <cell r="AU62">
            <v>0</v>
          </cell>
          <cell r="AV62">
            <v>216654.49</v>
          </cell>
          <cell r="AW62">
            <v>1151309.26</v>
          </cell>
          <cell r="AX62">
            <v>0</v>
          </cell>
          <cell r="AY62">
            <v>-1289520</v>
          </cell>
          <cell r="AZ62">
            <v>166886</v>
          </cell>
          <cell r="BA62">
            <v>0</v>
          </cell>
          <cell r="BB62">
            <v>37165</v>
          </cell>
          <cell r="BC62">
            <v>0</v>
          </cell>
          <cell r="BD62">
            <v>0</v>
          </cell>
          <cell r="BE62">
            <v>0</v>
          </cell>
          <cell r="BF62">
            <v>0</v>
          </cell>
          <cell r="BG62">
            <v>0</v>
          </cell>
          <cell r="BH62">
            <v>0</v>
          </cell>
          <cell r="BI62">
            <v>0</v>
          </cell>
          <cell r="BJ62">
            <v>0</v>
          </cell>
          <cell r="BK62">
            <v>0</v>
          </cell>
          <cell r="BL62">
            <v>565989.18000000005</v>
          </cell>
          <cell r="BM62">
            <v>153620.01999999999</v>
          </cell>
          <cell r="BN62">
            <v>0</v>
          </cell>
          <cell r="BO62">
            <v>288214.15999999997</v>
          </cell>
          <cell r="BP62">
            <v>27342.41</v>
          </cell>
          <cell r="BQ62">
            <v>0</v>
          </cell>
          <cell r="BR62">
            <v>0</v>
          </cell>
          <cell r="BS62">
            <v>6642.94</v>
          </cell>
          <cell r="BT62">
            <v>157937.66</v>
          </cell>
          <cell r="BU62">
            <v>0</v>
          </cell>
          <cell r="BV62">
            <v>0</v>
          </cell>
          <cell r="BW62">
            <v>89156.4</v>
          </cell>
          <cell r="BX62">
            <v>0</v>
          </cell>
          <cell r="BY62">
            <v>22859.61</v>
          </cell>
          <cell r="BZ62">
            <v>0</v>
          </cell>
          <cell r="CA62">
            <v>191078.48</v>
          </cell>
          <cell r="CB62">
            <v>-621358.56999999995</v>
          </cell>
          <cell r="CC62">
            <v>-778496.31</v>
          </cell>
          <cell r="CD62">
            <v>-303015.43</v>
          </cell>
          <cell r="CE62">
            <v>-125092.8</v>
          </cell>
          <cell r="CF62">
            <v>239392.77</v>
          </cell>
          <cell r="CG62">
            <v>270825.21999999997</v>
          </cell>
          <cell r="CH62">
            <v>160798.62</v>
          </cell>
          <cell r="CI62">
            <v>-125092.8</v>
          </cell>
          <cell r="CJ62">
            <v>-125092.8</v>
          </cell>
          <cell r="CK62">
            <v>74375.070000000007</v>
          </cell>
          <cell r="CL62">
            <v>-125092.8</v>
          </cell>
          <cell r="CM62">
            <v>-254297.89</v>
          </cell>
          <cell r="CN62">
            <v>-468460.06</v>
          </cell>
          <cell r="CO62">
            <v>-87293.65</v>
          </cell>
          <cell r="CP62">
            <v>143819.51</v>
          </cell>
          <cell r="CQ62">
            <v>55165.29</v>
          </cell>
          <cell r="CR62">
            <v>-125092.8</v>
          </cell>
          <cell r="CS62">
            <v>71812.240000000005</v>
          </cell>
          <cell r="CT62">
            <v>-125092.8</v>
          </cell>
          <cell r="CU62">
            <v>-207474.65</v>
          </cell>
          <cell r="CV62">
            <v>-86064.18</v>
          </cell>
          <cell r="CW62">
            <v>-245273.8</v>
          </cell>
          <cell r="CX62">
            <v>-168421.95</v>
          </cell>
          <cell r="CY62">
            <v>37110.44</v>
          </cell>
          <cell r="CZ62">
            <v>-245273.8</v>
          </cell>
          <cell r="DA62">
            <v>-289788.79999999999</v>
          </cell>
          <cell r="DB62">
            <v>-149148.88</v>
          </cell>
          <cell r="DC62">
            <v>-289788.79999999999</v>
          </cell>
          <cell r="DD62">
            <v>-282153.90999999997</v>
          </cell>
          <cell r="DE62">
            <v>-289788.79999999999</v>
          </cell>
          <cell r="DF62">
            <v>-650874.78</v>
          </cell>
          <cell r="DG62">
            <v>-655812.69999999995</v>
          </cell>
          <cell r="DH62">
            <v>-839896.8</v>
          </cell>
        </row>
        <row r="63">
          <cell r="C63" t="str">
            <v>AR Oth RECON</v>
          </cell>
          <cell r="D63">
            <v>7939.23</v>
          </cell>
          <cell r="E63">
            <v>8150</v>
          </cell>
          <cell r="F63">
            <v>16080.47</v>
          </cell>
          <cell r="G63">
            <v>10930.47</v>
          </cell>
          <cell r="H63">
            <v>81915.509999999995</v>
          </cell>
          <cell r="I63">
            <v>111736.51</v>
          </cell>
          <cell r="J63">
            <v>61459.69</v>
          </cell>
          <cell r="K63">
            <v>206000</v>
          </cell>
          <cell r="L63">
            <v>0</v>
          </cell>
          <cell r="M63">
            <v>0</v>
          </cell>
          <cell r="N63">
            <v>0</v>
          </cell>
          <cell r="O63">
            <v>-0.01</v>
          </cell>
          <cell r="P63">
            <v>225947.49</v>
          </cell>
          <cell r="Q63">
            <v>283.83</v>
          </cell>
          <cell r="R63">
            <v>82373.25</v>
          </cell>
          <cell r="S63">
            <v>82373.25</v>
          </cell>
          <cell r="T63">
            <v>106777.34</v>
          </cell>
          <cell r="U63">
            <v>523342.05</v>
          </cell>
          <cell r="V63">
            <v>289677.90000000002</v>
          </cell>
          <cell r="W63">
            <v>1034648.51</v>
          </cell>
          <cell r="X63">
            <v>57030.9</v>
          </cell>
          <cell r="Y63">
            <v>57007.62</v>
          </cell>
          <cell r="Z63">
            <v>3.06</v>
          </cell>
          <cell r="AA63">
            <v>207480.51</v>
          </cell>
          <cell r="AB63">
            <v>26288.29</v>
          </cell>
          <cell r="AC63">
            <v>3003.06</v>
          </cell>
          <cell r="AD63">
            <v>377367.41</v>
          </cell>
          <cell r="AE63">
            <v>9481.98</v>
          </cell>
          <cell r="AF63">
            <v>25300.58</v>
          </cell>
          <cell r="AG63">
            <v>25869.599999999999</v>
          </cell>
          <cell r="AH63">
            <v>25540.28</v>
          </cell>
          <cell r="AI63">
            <v>25727.18</v>
          </cell>
          <cell r="AJ63">
            <v>50014.080000000002</v>
          </cell>
          <cell r="AK63">
            <v>812757.77</v>
          </cell>
          <cell r="AL63">
            <v>3.05</v>
          </cell>
          <cell r="AM63">
            <v>3436.01</v>
          </cell>
          <cell r="AN63">
            <v>551269.44999999995</v>
          </cell>
          <cell r="AO63">
            <v>374406.1</v>
          </cell>
          <cell r="AP63">
            <v>389188.18</v>
          </cell>
          <cell r="AQ63">
            <v>593794.15</v>
          </cell>
          <cell r="AR63">
            <v>393509.58</v>
          </cell>
          <cell r="AS63">
            <v>843081.78</v>
          </cell>
          <cell r="AT63">
            <v>710676.47</v>
          </cell>
          <cell r="AU63">
            <v>375071.52</v>
          </cell>
          <cell r="AV63">
            <v>209135.1</v>
          </cell>
          <cell r="AW63">
            <v>272974.03000000003</v>
          </cell>
          <cell r="AX63">
            <v>292860.24</v>
          </cell>
          <cell r="AY63">
            <v>271676.59999999998</v>
          </cell>
          <cell r="AZ63">
            <v>477030.26</v>
          </cell>
          <cell r="BA63">
            <v>516880.91</v>
          </cell>
          <cell r="BB63">
            <v>504318.3</v>
          </cell>
          <cell r="BC63">
            <v>501189.36</v>
          </cell>
          <cell r="BD63">
            <v>463753.56</v>
          </cell>
          <cell r="BE63">
            <v>904101.81</v>
          </cell>
          <cell r="BF63">
            <v>714695.42</v>
          </cell>
          <cell r="BG63">
            <v>494385.15</v>
          </cell>
          <cell r="BH63">
            <v>675375.86</v>
          </cell>
          <cell r="BI63">
            <v>558758.55000000005</v>
          </cell>
          <cell r="BJ63">
            <v>527470.03</v>
          </cell>
          <cell r="BK63">
            <v>320514</v>
          </cell>
          <cell r="BL63">
            <v>491952.51</v>
          </cell>
          <cell r="BM63">
            <v>425527.64</v>
          </cell>
          <cell r="BN63">
            <v>433281.63</v>
          </cell>
          <cell r="BO63">
            <v>290075.3</v>
          </cell>
          <cell r="BP63">
            <v>203374.92</v>
          </cell>
          <cell r="BQ63">
            <v>248074.43</v>
          </cell>
          <cell r="BR63">
            <v>256256.13</v>
          </cell>
          <cell r="BS63">
            <v>369516.63</v>
          </cell>
          <cell r="BT63">
            <v>427656.21</v>
          </cell>
          <cell r="BU63">
            <v>418163.8</v>
          </cell>
          <cell r="BV63">
            <v>315644.86</v>
          </cell>
          <cell r="BW63">
            <v>336136.26</v>
          </cell>
          <cell r="BX63">
            <v>443107.56</v>
          </cell>
          <cell r="BY63">
            <v>357136.08</v>
          </cell>
          <cell r="BZ63">
            <v>452092.83</v>
          </cell>
          <cell r="CA63">
            <v>540410.53</v>
          </cell>
          <cell r="CB63">
            <v>900022.81</v>
          </cell>
          <cell r="CC63">
            <v>1112734.3999999999</v>
          </cell>
          <cell r="CD63">
            <v>1321395.8700000001</v>
          </cell>
          <cell r="CE63">
            <v>1390257.3</v>
          </cell>
          <cell r="CF63">
            <v>1091451.3999999999</v>
          </cell>
          <cell r="CG63">
            <v>960964.18</v>
          </cell>
          <cell r="CH63">
            <v>404926.51</v>
          </cell>
          <cell r="CI63">
            <v>1294587.23</v>
          </cell>
          <cell r="CJ63">
            <v>554946.28</v>
          </cell>
          <cell r="CK63">
            <v>248299.51999999999</v>
          </cell>
          <cell r="CL63">
            <v>361288.86</v>
          </cell>
          <cell r="CM63">
            <v>301708.06</v>
          </cell>
          <cell r="CN63">
            <v>458931.16</v>
          </cell>
          <cell r="CO63">
            <v>467302.42</v>
          </cell>
          <cell r="CP63">
            <v>433028.72</v>
          </cell>
          <cell r="CQ63">
            <v>555540.31999999995</v>
          </cell>
          <cell r="CR63">
            <v>648716.28</v>
          </cell>
          <cell r="CS63">
            <v>791257.27</v>
          </cell>
          <cell r="CT63">
            <v>581431.06999999995</v>
          </cell>
          <cell r="CU63">
            <v>602500.39</v>
          </cell>
          <cell r="CV63">
            <v>699436.52</v>
          </cell>
          <cell r="CW63">
            <v>518987.18</v>
          </cell>
          <cell r="CX63">
            <v>828719.17</v>
          </cell>
          <cell r="CY63">
            <v>636530.1</v>
          </cell>
          <cell r="CZ63">
            <v>657934.09</v>
          </cell>
          <cell r="DA63">
            <v>738189.17</v>
          </cell>
          <cell r="DB63">
            <v>819046</v>
          </cell>
          <cell r="DC63">
            <v>3209518.53</v>
          </cell>
          <cell r="DD63">
            <v>895340.83</v>
          </cell>
          <cell r="DE63">
            <v>1025464.89</v>
          </cell>
          <cell r="DF63">
            <v>1653987.94</v>
          </cell>
          <cell r="DG63">
            <v>1593962.63</v>
          </cell>
          <cell r="DH63">
            <v>839094.76</v>
          </cell>
        </row>
        <row r="64">
          <cell r="C64" t="str">
            <v>AR Oth Posting</v>
          </cell>
          <cell r="D64">
            <v>0</v>
          </cell>
          <cell r="E64">
            <v>0</v>
          </cell>
          <cell r="F64">
            <v>0</v>
          </cell>
          <cell r="G64">
            <v>19423.330000000002</v>
          </cell>
          <cell r="H64">
            <v>0</v>
          </cell>
          <cell r="I64">
            <v>-95477.23</v>
          </cell>
          <cell r="J64">
            <v>0</v>
          </cell>
          <cell r="K64">
            <v>0</v>
          </cell>
          <cell r="L64">
            <v>0</v>
          </cell>
          <cell r="M64">
            <v>30921.88</v>
          </cell>
          <cell r="N64">
            <v>0</v>
          </cell>
          <cell r="O64">
            <v>0</v>
          </cell>
          <cell r="P64">
            <v>0</v>
          </cell>
          <cell r="Q64">
            <v>0</v>
          </cell>
          <cell r="R64">
            <v>0</v>
          </cell>
          <cell r="S64">
            <v>-34052.35</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60000</v>
          </cell>
          <cell r="AI64">
            <v>60000</v>
          </cell>
          <cell r="AJ64">
            <v>60000</v>
          </cell>
          <cell r="AK64">
            <v>60000</v>
          </cell>
          <cell r="AL64">
            <v>60000</v>
          </cell>
          <cell r="AM64">
            <v>60000</v>
          </cell>
          <cell r="AN64">
            <v>60000</v>
          </cell>
          <cell r="AO64">
            <v>-268590.05</v>
          </cell>
          <cell r="AP64">
            <v>-1823.74</v>
          </cell>
          <cell r="AQ64">
            <v>60000</v>
          </cell>
          <cell r="AR64">
            <v>60000</v>
          </cell>
          <cell r="AS64">
            <v>60000</v>
          </cell>
          <cell r="AT64">
            <v>60000</v>
          </cell>
          <cell r="AU64">
            <v>60000</v>
          </cell>
          <cell r="AV64">
            <v>60000</v>
          </cell>
          <cell r="AW64">
            <v>52881.599999999999</v>
          </cell>
          <cell r="AX64">
            <v>52922</v>
          </cell>
          <cell r="AY64">
            <v>32922</v>
          </cell>
          <cell r="AZ64">
            <v>122097.04</v>
          </cell>
          <cell r="BA64">
            <v>32922</v>
          </cell>
          <cell r="BB64">
            <v>19502.88</v>
          </cell>
          <cell r="BC64">
            <v>12922</v>
          </cell>
          <cell r="BD64">
            <v>12922</v>
          </cell>
          <cell r="BE64">
            <v>12922</v>
          </cell>
          <cell r="BF64">
            <v>12922</v>
          </cell>
          <cell r="BG64">
            <v>12922</v>
          </cell>
          <cell r="BH64">
            <v>12922</v>
          </cell>
          <cell r="BI64">
            <v>12922</v>
          </cell>
          <cell r="BJ64">
            <v>12922</v>
          </cell>
          <cell r="BK64">
            <v>-7078</v>
          </cell>
          <cell r="BL64">
            <v>-130017.43</v>
          </cell>
          <cell r="BM64">
            <v>14844.81</v>
          </cell>
          <cell r="BN64">
            <v>14844.81</v>
          </cell>
          <cell r="BO64">
            <v>-7078</v>
          </cell>
          <cell r="BP64">
            <v>-7078</v>
          </cell>
          <cell r="BQ64">
            <v>30721.15</v>
          </cell>
          <cell r="BR64">
            <v>129979.45</v>
          </cell>
          <cell r="BS64">
            <v>92180.3</v>
          </cell>
          <cell r="BT64">
            <v>-7078</v>
          </cell>
          <cell r="BU64">
            <v>-7078</v>
          </cell>
          <cell r="BV64">
            <v>-7078</v>
          </cell>
          <cell r="BW64">
            <v>30721.15</v>
          </cell>
          <cell r="BX64">
            <v>25733.15</v>
          </cell>
          <cell r="BY64">
            <v>-11053</v>
          </cell>
          <cell r="BZ64">
            <v>-42006.17</v>
          </cell>
          <cell r="CA64">
            <v>197095.09</v>
          </cell>
          <cell r="CB64">
            <v>24308.97</v>
          </cell>
          <cell r="CC64">
            <v>-11353</v>
          </cell>
          <cell r="CD64">
            <v>-11353</v>
          </cell>
          <cell r="CE64">
            <v>-11353</v>
          </cell>
          <cell r="CF64">
            <v>-11353</v>
          </cell>
          <cell r="CG64">
            <v>-11353</v>
          </cell>
          <cell r="CH64">
            <v>-24162</v>
          </cell>
          <cell r="CI64">
            <v>13637.15</v>
          </cell>
          <cell r="CJ64">
            <v>13637.15</v>
          </cell>
          <cell r="CK64">
            <v>-7501.93</v>
          </cell>
          <cell r="CL64">
            <v>-7078</v>
          </cell>
          <cell r="CM64">
            <v>-7078</v>
          </cell>
          <cell r="CN64">
            <v>-7078</v>
          </cell>
          <cell r="CO64">
            <v>-7078</v>
          </cell>
          <cell r="CP64">
            <v>-7078</v>
          </cell>
          <cell r="CQ64">
            <v>-7078</v>
          </cell>
          <cell r="CR64">
            <v>-7078</v>
          </cell>
          <cell r="CS64">
            <v>-7078</v>
          </cell>
          <cell r="CT64">
            <v>-7078</v>
          </cell>
          <cell r="CU64">
            <v>0</v>
          </cell>
          <cell r="CV64">
            <v>0</v>
          </cell>
          <cell r="CW64">
            <v>0</v>
          </cell>
          <cell r="CX64">
            <v>0</v>
          </cell>
          <cell r="CY64">
            <v>0</v>
          </cell>
          <cell r="CZ64">
            <v>0</v>
          </cell>
          <cell r="DA64">
            <v>0</v>
          </cell>
          <cell r="DB64">
            <v>973057.51</v>
          </cell>
          <cell r="DC64">
            <v>580764.18000000005</v>
          </cell>
          <cell r="DD64">
            <v>-150</v>
          </cell>
          <cell r="DE64">
            <v>1295461.94</v>
          </cell>
          <cell r="DF64">
            <v>-3583</v>
          </cell>
          <cell r="DG64">
            <v>1021679.87</v>
          </cell>
          <cell r="DH64">
            <v>551964.82999999996</v>
          </cell>
        </row>
        <row r="65">
          <cell r="C65" t="str">
            <v>AR Vendor Adv Pymt</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122926.35</v>
          </cell>
          <cell r="DH65">
            <v>122926.35</v>
          </cell>
        </row>
        <row r="66">
          <cell r="C66" t="str">
            <v>AR Employee Advance</v>
          </cell>
          <cell r="D66">
            <v>0</v>
          </cell>
          <cell r="E66">
            <v>0</v>
          </cell>
          <cell r="F66">
            <v>0</v>
          </cell>
          <cell r="G66">
            <v>300</v>
          </cell>
          <cell r="H66">
            <v>300</v>
          </cell>
          <cell r="I66">
            <v>300</v>
          </cell>
          <cell r="J66">
            <v>300</v>
          </cell>
          <cell r="K66">
            <v>300</v>
          </cell>
          <cell r="L66">
            <v>300</v>
          </cell>
          <cell r="M66">
            <v>300</v>
          </cell>
          <cell r="N66">
            <v>300</v>
          </cell>
          <cell r="O66">
            <v>300</v>
          </cell>
          <cell r="P66">
            <v>300</v>
          </cell>
          <cell r="Q66">
            <v>300</v>
          </cell>
          <cell r="R66">
            <v>300</v>
          </cell>
          <cell r="S66">
            <v>300</v>
          </cell>
          <cell r="T66">
            <v>300</v>
          </cell>
          <cell r="U66">
            <v>300</v>
          </cell>
          <cell r="V66">
            <v>300</v>
          </cell>
          <cell r="W66">
            <v>300</v>
          </cell>
          <cell r="X66">
            <v>300</v>
          </cell>
          <cell r="Y66">
            <v>300</v>
          </cell>
          <cell r="Z66">
            <v>300</v>
          </cell>
          <cell r="AA66">
            <v>300</v>
          </cell>
          <cell r="AB66">
            <v>300</v>
          </cell>
          <cell r="AC66">
            <v>300</v>
          </cell>
          <cell r="AD66">
            <v>300</v>
          </cell>
          <cell r="AE66">
            <v>300</v>
          </cell>
          <cell r="AF66">
            <v>300</v>
          </cell>
          <cell r="AG66">
            <v>300</v>
          </cell>
          <cell r="AH66">
            <v>300</v>
          </cell>
          <cell r="AI66">
            <v>300</v>
          </cell>
          <cell r="AJ66">
            <v>300</v>
          </cell>
          <cell r="AK66">
            <v>300</v>
          </cell>
          <cell r="AL66">
            <v>300</v>
          </cell>
          <cell r="AM66">
            <v>300</v>
          </cell>
          <cell r="AN66">
            <v>300</v>
          </cell>
          <cell r="AO66">
            <v>300</v>
          </cell>
          <cell r="AP66">
            <v>300</v>
          </cell>
          <cell r="AQ66">
            <v>300</v>
          </cell>
          <cell r="AR66">
            <v>300</v>
          </cell>
          <cell r="AS66">
            <v>300</v>
          </cell>
          <cell r="AT66">
            <v>550</v>
          </cell>
          <cell r="AU66">
            <v>300</v>
          </cell>
          <cell r="AV66">
            <v>300</v>
          </cell>
          <cell r="AW66">
            <v>300</v>
          </cell>
          <cell r="AX66">
            <v>300</v>
          </cell>
          <cell r="AY66">
            <v>-17.78</v>
          </cell>
          <cell r="AZ66">
            <v>1709.44</v>
          </cell>
          <cell r="BA66">
            <v>1391.66</v>
          </cell>
          <cell r="BB66">
            <v>1073.8900000000001</v>
          </cell>
          <cell r="BC66">
            <v>597.25</v>
          </cell>
          <cell r="BD66">
            <v>279.49</v>
          </cell>
          <cell r="BE66">
            <v>279.49</v>
          </cell>
          <cell r="BF66">
            <v>279.49</v>
          </cell>
          <cell r="BG66">
            <v>279.49</v>
          </cell>
          <cell r="BH66">
            <v>279.49</v>
          </cell>
          <cell r="BI66">
            <v>279.49</v>
          </cell>
          <cell r="BJ66">
            <v>279.49</v>
          </cell>
          <cell r="BK66">
            <v>279.49</v>
          </cell>
          <cell r="BL66">
            <v>279.49</v>
          </cell>
          <cell r="BM66">
            <v>279.49</v>
          </cell>
          <cell r="BN66">
            <v>279.49</v>
          </cell>
          <cell r="BO66">
            <v>279.49</v>
          </cell>
          <cell r="BP66">
            <v>279.49</v>
          </cell>
          <cell r="BQ66">
            <v>279.49</v>
          </cell>
          <cell r="BR66">
            <v>734.57</v>
          </cell>
          <cell r="BS66">
            <v>734.57</v>
          </cell>
          <cell r="BT66">
            <v>734.57</v>
          </cell>
          <cell r="BU66">
            <v>734.57</v>
          </cell>
          <cell r="BV66">
            <v>734.57</v>
          </cell>
          <cell r="BW66">
            <v>734.57</v>
          </cell>
          <cell r="BX66">
            <v>734.57</v>
          </cell>
          <cell r="BY66">
            <v>734.57</v>
          </cell>
          <cell r="BZ66">
            <v>734.57</v>
          </cell>
          <cell r="CA66">
            <v>734.57</v>
          </cell>
          <cell r="CB66">
            <v>734.57</v>
          </cell>
          <cell r="CC66">
            <v>734.57</v>
          </cell>
          <cell r="CD66">
            <v>0</v>
          </cell>
          <cell r="CE66">
            <v>0</v>
          </cell>
          <cell r="CF66">
            <v>0</v>
          </cell>
          <cell r="CG66">
            <v>34.729999999999997</v>
          </cell>
          <cell r="CH66">
            <v>0</v>
          </cell>
          <cell r="CI66">
            <v>0</v>
          </cell>
          <cell r="CJ66">
            <v>4911.8599999999997</v>
          </cell>
          <cell r="CK66">
            <v>4911.8599999999997</v>
          </cell>
          <cell r="CL66">
            <v>4911.8599999999997</v>
          </cell>
          <cell r="CM66">
            <v>4911.8599999999997</v>
          </cell>
          <cell r="CN66">
            <v>4911.8599999999997</v>
          </cell>
          <cell r="CO66">
            <v>4911.8599999999997</v>
          </cell>
          <cell r="CP66">
            <v>4911.8599999999997</v>
          </cell>
          <cell r="CQ66">
            <v>4911.8599999999997</v>
          </cell>
          <cell r="CR66">
            <v>5218.12</v>
          </cell>
          <cell r="CS66">
            <v>5218.12</v>
          </cell>
          <cell r="CT66">
            <v>5218.12</v>
          </cell>
          <cell r="CU66">
            <v>5218.12</v>
          </cell>
          <cell r="CV66">
            <v>5218.12</v>
          </cell>
          <cell r="CW66">
            <v>5218.12</v>
          </cell>
          <cell r="CX66">
            <v>5218.12</v>
          </cell>
          <cell r="CY66">
            <v>5218.12</v>
          </cell>
          <cell r="CZ66">
            <v>5218.12</v>
          </cell>
          <cell r="DA66">
            <v>5218.12</v>
          </cell>
          <cell r="DB66">
            <v>5218.12</v>
          </cell>
          <cell r="DC66">
            <v>5218.12</v>
          </cell>
          <cell r="DD66">
            <v>5218.12</v>
          </cell>
          <cell r="DE66">
            <v>5218.12</v>
          </cell>
          <cell r="DF66">
            <v>5218.12</v>
          </cell>
          <cell r="DG66">
            <v>5218.12</v>
          </cell>
          <cell r="DH66">
            <v>5218.12</v>
          </cell>
        </row>
        <row r="67">
          <cell r="C67" t="str">
            <v>AR - Employee Personal Reimbursement Pcard Charge</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v>48</v>
          </cell>
          <cell r="CI67">
            <v>48</v>
          </cell>
          <cell r="CJ67">
            <v>93.81</v>
          </cell>
          <cell r="CK67">
            <v>93.81</v>
          </cell>
          <cell r="CL67">
            <v>93.81</v>
          </cell>
          <cell r="CM67">
            <v>182.82</v>
          </cell>
          <cell r="CN67">
            <v>208.49</v>
          </cell>
          <cell r="CO67">
            <v>243.57</v>
          </cell>
          <cell r="CP67">
            <v>243.57</v>
          </cell>
          <cell r="CQ67">
            <v>243.57</v>
          </cell>
          <cell r="CR67">
            <v>243.57</v>
          </cell>
          <cell r="CS67">
            <v>188.55</v>
          </cell>
          <cell r="CT67">
            <v>188.55</v>
          </cell>
          <cell r="CU67">
            <v>188.55</v>
          </cell>
          <cell r="CV67">
            <v>188.55</v>
          </cell>
          <cell r="CW67">
            <v>188.55</v>
          </cell>
          <cell r="CX67">
            <v>188.55</v>
          </cell>
          <cell r="CY67">
            <v>188.55</v>
          </cell>
          <cell r="CZ67">
            <v>188.55</v>
          </cell>
          <cell r="DA67">
            <v>188.55</v>
          </cell>
          <cell r="DB67">
            <v>188.55</v>
          </cell>
          <cell r="DC67">
            <v>188.55</v>
          </cell>
          <cell r="DD67">
            <v>188.55</v>
          </cell>
          <cell r="DE67">
            <v>188.55</v>
          </cell>
          <cell r="DF67">
            <v>188.55</v>
          </cell>
          <cell r="DG67">
            <v>188.55</v>
          </cell>
          <cell r="DH67">
            <v>188.55</v>
          </cell>
        </row>
        <row r="68">
          <cell r="C68" t="str">
            <v>AR Oth CRM RECON</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v>6281501.0599999996</v>
          </cell>
          <cell r="AP68">
            <v>6084358.3899999997</v>
          </cell>
          <cell r="AQ68">
            <v>5842368.4400000004</v>
          </cell>
          <cell r="AR68">
            <v>5641895.1399999997</v>
          </cell>
          <cell r="AS68">
            <v>5415338.29</v>
          </cell>
          <cell r="AT68">
            <v>5198265.75</v>
          </cell>
          <cell r="AU68">
            <v>4989805.97</v>
          </cell>
          <cell r="AV68">
            <v>4769650.97</v>
          </cell>
          <cell r="AW68">
            <v>4605679.53</v>
          </cell>
          <cell r="AX68">
            <v>4411520.0599999996</v>
          </cell>
          <cell r="AY68">
            <v>4240233.17</v>
          </cell>
          <cell r="AZ68">
            <v>4082767.85</v>
          </cell>
          <cell r="BA68">
            <v>3910268.1</v>
          </cell>
          <cell r="BB68">
            <v>3754436.35</v>
          </cell>
          <cell r="BC68">
            <v>3591401.74</v>
          </cell>
          <cell r="BD68">
            <v>3436949.22</v>
          </cell>
          <cell r="BE68">
            <v>3278923.67</v>
          </cell>
          <cell r="BF68">
            <v>3129316.36</v>
          </cell>
          <cell r="BG68">
            <v>2978680.45</v>
          </cell>
          <cell r="BH68">
            <v>2822342.85</v>
          </cell>
          <cell r="BI68">
            <v>2708113.74</v>
          </cell>
          <cell r="BJ68">
            <v>2566235.42</v>
          </cell>
          <cell r="BK68">
            <v>2437176.2799999998</v>
          </cell>
          <cell r="BL68">
            <v>2314149.33</v>
          </cell>
          <cell r="BM68">
            <v>2191151.0499999998</v>
          </cell>
          <cell r="BN68">
            <v>2079141.37</v>
          </cell>
          <cell r="BO68">
            <v>1960043.42</v>
          </cell>
          <cell r="BP68">
            <v>1840549.68</v>
          </cell>
          <cell r="BQ68">
            <v>1725672.34</v>
          </cell>
          <cell r="BR68">
            <v>1624348.79</v>
          </cell>
          <cell r="BS68">
            <v>1461832.14</v>
          </cell>
          <cell r="BT68">
            <v>1349870.07</v>
          </cell>
          <cell r="BU68">
            <v>1257472.1499999999</v>
          </cell>
          <cell r="BV68">
            <v>1157823.6100000001</v>
          </cell>
          <cell r="BW68">
            <v>1073763.3600000001</v>
          </cell>
          <cell r="BX68">
            <v>982667.57</v>
          </cell>
          <cell r="BY68">
            <v>900464.47</v>
          </cell>
          <cell r="BZ68">
            <v>824061.04</v>
          </cell>
          <cell r="CA68">
            <v>747257.39</v>
          </cell>
          <cell r="CB68">
            <v>678652.55</v>
          </cell>
          <cell r="CC68">
            <v>615987.97</v>
          </cell>
          <cell r="CD68">
            <v>551919.27</v>
          </cell>
          <cell r="CE68">
            <v>492128.34</v>
          </cell>
          <cell r="CF68">
            <v>439643.19</v>
          </cell>
          <cell r="CG68">
            <v>389027.24</v>
          </cell>
          <cell r="CH68">
            <v>337021.94</v>
          </cell>
          <cell r="CI68">
            <v>294453.58</v>
          </cell>
          <cell r="CJ68">
            <v>252442.48</v>
          </cell>
          <cell r="CK68">
            <v>217554.56</v>
          </cell>
          <cell r="CL68">
            <v>185014.27</v>
          </cell>
          <cell r="CM68">
            <v>153448.82999999999</v>
          </cell>
          <cell r="CN68">
            <v>127608.53</v>
          </cell>
          <cell r="CO68">
            <v>106976.04</v>
          </cell>
          <cell r="CP68">
            <v>84478.73</v>
          </cell>
          <cell r="CQ68">
            <v>64409.41</v>
          </cell>
          <cell r="CR68">
            <v>48295.53</v>
          </cell>
          <cell r="CS68">
            <v>36164.25</v>
          </cell>
          <cell r="CT68">
            <v>27817.69</v>
          </cell>
          <cell r="CU68">
            <v>21667.17</v>
          </cell>
          <cell r="CV68">
            <v>18394.61</v>
          </cell>
          <cell r="CW68">
            <v>14769.01</v>
          </cell>
          <cell r="CX68">
            <v>9491.7199999999993</v>
          </cell>
          <cell r="CY68">
            <v>8990.2900000000009</v>
          </cell>
          <cell r="CZ68">
            <v>8832.27</v>
          </cell>
          <cell r="DA68">
            <v>10109.49</v>
          </cell>
          <cell r="DB68">
            <v>9834.74</v>
          </cell>
          <cell r="DC68">
            <v>10176.56</v>
          </cell>
          <cell r="DD68">
            <v>9992.99</v>
          </cell>
          <cell r="DE68">
            <v>9558.3700000000008</v>
          </cell>
          <cell r="DF68">
            <v>9406.99</v>
          </cell>
          <cell r="DG68">
            <v>9172.2000000000007</v>
          </cell>
          <cell r="DH68">
            <v>9094.77</v>
          </cell>
        </row>
        <row r="69">
          <cell r="C69" t="str">
            <v>AR Inc Tax Rec Fed</v>
          </cell>
          <cell r="D69">
            <v>964325.18</v>
          </cell>
          <cell r="E69">
            <v>0</v>
          </cell>
          <cell r="F69">
            <v>0</v>
          </cell>
          <cell r="G69">
            <v>0</v>
          </cell>
          <cell r="H69">
            <v>0</v>
          </cell>
          <cell r="I69">
            <v>0</v>
          </cell>
          <cell r="J69">
            <v>0</v>
          </cell>
          <cell r="K69">
            <v>0</v>
          </cell>
          <cell r="L69">
            <v>0</v>
          </cell>
          <cell r="M69">
            <v>0</v>
          </cell>
          <cell r="N69">
            <v>0</v>
          </cell>
          <cell r="O69">
            <v>0</v>
          </cell>
          <cell r="P69">
            <v>9712348.9600000009</v>
          </cell>
          <cell r="Q69">
            <v>0</v>
          </cell>
          <cell r="R69">
            <v>0</v>
          </cell>
          <cell r="S69">
            <v>0</v>
          </cell>
          <cell r="T69">
            <v>0</v>
          </cell>
          <cell r="U69">
            <v>0</v>
          </cell>
          <cell r="V69">
            <v>0</v>
          </cell>
          <cell r="W69">
            <v>0</v>
          </cell>
          <cell r="X69">
            <v>0</v>
          </cell>
          <cell r="Y69">
            <v>0</v>
          </cell>
          <cell r="Z69">
            <v>0</v>
          </cell>
          <cell r="AA69">
            <v>13507098.35</v>
          </cell>
          <cell r="AB69">
            <v>0</v>
          </cell>
          <cell r="AC69">
            <v>0</v>
          </cell>
          <cell r="AD69">
            <v>0</v>
          </cell>
          <cell r="AE69">
            <v>0</v>
          </cell>
          <cell r="AF69">
            <v>0</v>
          </cell>
          <cell r="AG69">
            <v>0</v>
          </cell>
          <cell r="AH69">
            <v>0</v>
          </cell>
          <cell r="AI69">
            <v>0</v>
          </cell>
          <cell r="AJ69">
            <v>0</v>
          </cell>
          <cell r="AK69">
            <v>0</v>
          </cell>
          <cell r="AL69">
            <v>0</v>
          </cell>
          <cell r="AM69">
            <v>0</v>
          </cell>
          <cell r="AN69">
            <v>963997.02</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cell r="BK69"/>
          <cell r="BL69"/>
          <cell r="BM69"/>
          <cell r="BN69"/>
          <cell r="BO69"/>
          <cell r="BP69"/>
          <cell r="BQ69"/>
          <cell r="BR69"/>
          <cell r="BS69"/>
          <cell r="BT69"/>
          <cell r="BU69"/>
          <cell r="BV69">
            <v>0</v>
          </cell>
          <cell r="BW69">
            <v>0</v>
          </cell>
          <cell r="BX69">
            <v>208003.27</v>
          </cell>
          <cell r="BY69">
            <v>208003.27</v>
          </cell>
          <cell r="BZ69">
            <v>208003.27</v>
          </cell>
          <cell r="CA69">
            <v>208003.27</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3163255.15</v>
          </cell>
          <cell r="CW69">
            <v>0</v>
          </cell>
          <cell r="CX69">
            <v>0</v>
          </cell>
          <cell r="CY69">
            <v>0</v>
          </cell>
          <cell r="CZ69">
            <v>0</v>
          </cell>
          <cell r="DA69">
            <v>0</v>
          </cell>
          <cell r="DB69">
            <v>0</v>
          </cell>
          <cell r="DC69">
            <v>0</v>
          </cell>
          <cell r="DD69">
            <v>0</v>
          </cell>
          <cell r="DE69">
            <v>0</v>
          </cell>
          <cell r="DF69">
            <v>0</v>
          </cell>
          <cell r="DG69">
            <v>0</v>
          </cell>
          <cell r="DH69">
            <v>0</v>
          </cell>
        </row>
        <row r="70">
          <cell r="C70" t="str">
            <v>AR Inc Tax Rec State</v>
          </cell>
          <cell r="D70">
            <v>56521.04</v>
          </cell>
          <cell r="E70">
            <v>0</v>
          </cell>
          <cell r="F70">
            <v>0</v>
          </cell>
          <cell r="G70">
            <v>0</v>
          </cell>
          <cell r="H70">
            <v>0</v>
          </cell>
          <cell r="I70">
            <v>0</v>
          </cell>
          <cell r="J70">
            <v>0</v>
          </cell>
          <cell r="K70">
            <v>0</v>
          </cell>
          <cell r="L70">
            <v>0</v>
          </cell>
          <cell r="M70">
            <v>0</v>
          </cell>
          <cell r="N70">
            <v>0</v>
          </cell>
          <cell r="O70">
            <v>0</v>
          </cell>
          <cell r="P70">
            <v>314614.12</v>
          </cell>
          <cell r="Q70">
            <v>0</v>
          </cell>
          <cell r="R70">
            <v>0</v>
          </cell>
          <cell r="S70">
            <v>0</v>
          </cell>
          <cell r="T70">
            <v>0</v>
          </cell>
          <cell r="U70">
            <v>0</v>
          </cell>
          <cell r="V70">
            <v>0</v>
          </cell>
          <cell r="W70">
            <v>0</v>
          </cell>
          <cell r="X70">
            <v>0</v>
          </cell>
          <cell r="Y70">
            <v>0</v>
          </cell>
          <cell r="Z70">
            <v>0</v>
          </cell>
          <cell r="AA70">
            <v>215924.46</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cell r="AY70"/>
          <cell r="AZ70"/>
          <cell r="BA70"/>
          <cell r="BB70"/>
          <cell r="BC70"/>
          <cell r="BD70"/>
          <cell r="BE70"/>
          <cell r="BF70"/>
          <cell r="BG70"/>
          <cell r="BH70"/>
          <cell r="BI70"/>
          <cell r="BJ70">
            <v>0</v>
          </cell>
          <cell r="BK70">
            <v>0</v>
          </cell>
          <cell r="BL70">
            <v>277608.63</v>
          </cell>
          <cell r="BM70">
            <v>0</v>
          </cell>
          <cell r="BN70">
            <v>0</v>
          </cell>
          <cell r="BO70">
            <v>0</v>
          </cell>
          <cell r="BP70">
            <v>0</v>
          </cell>
          <cell r="BQ70">
            <v>0</v>
          </cell>
          <cell r="BR70">
            <v>0</v>
          </cell>
          <cell r="BS70">
            <v>0</v>
          </cell>
          <cell r="BT70">
            <v>0</v>
          </cell>
          <cell r="BU70">
            <v>0</v>
          </cell>
          <cell r="BV70">
            <v>0</v>
          </cell>
          <cell r="BW70">
            <v>0</v>
          </cell>
          <cell r="BX70">
            <v>34285.1</v>
          </cell>
          <cell r="BY70">
            <v>34285.1</v>
          </cell>
          <cell r="BZ70">
            <v>34285.1</v>
          </cell>
          <cell r="CA70">
            <v>34285.1</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791635.73</v>
          </cell>
          <cell r="CW70">
            <v>0</v>
          </cell>
          <cell r="CX70">
            <v>0</v>
          </cell>
          <cell r="CY70">
            <v>0</v>
          </cell>
          <cell r="CZ70">
            <v>0</v>
          </cell>
          <cell r="DA70">
            <v>0</v>
          </cell>
          <cell r="DB70">
            <v>0</v>
          </cell>
          <cell r="DC70">
            <v>0</v>
          </cell>
          <cell r="DD70">
            <v>0</v>
          </cell>
          <cell r="DE70">
            <v>0</v>
          </cell>
          <cell r="DF70">
            <v>0</v>
          </cell>
          <cell r="DG70">
            <v>0</v>
          </cell>
          <cell r="DH70">
            <v>0</v>
          </cell>
        </row>
        <row r="71">
          <cell r="C71" t="str">
            <v>AR CIS Incre Non-Gas</v>
          </cell>
          <cell r="D71">
            <v>5905080.3899999997</v>
          </cell>
          <cell r="E71">
            <v>5863523.46</v>
          </cell>
          <cell r="F71">
            <v>5810181.5599999996</v>
          </cell>
          <cell r="G71">
            <v>5753329.4900000002</v>
          </cell>
          <cell r="H71">
            <v>5690205.46</v>
          </cell>
          <cell r="I71">
            <v>5487850.8300000001</v>
          </cell>
          <cell r="J71">
            <v>5565021.0300000003</v>
          </cell>
          <cell r="K71">
            <v>5436662.7300000004</v>
          </cell>
          <cell r="L71">
            <v>5366404.5599999996</v>
          </cell>
          <cell r="M71">
            <v>5359116.46</v>
          </cell>
          <cell r="N71">
            <v>5342134.0599999996</v>
          </cell>
          <cell r="O71">
            <v>5406194.29</v>
          </cell>
          <cell r="P71">
            <v>5477737.7999999998</v>
          </cell>
          <cell r="Q71">
            <v>5815734.4100000001</v>
          </cell>
          <cell r="R71">
            <v>5844889.3099999996</v>
          </cell>
          <cell r="S71">
            <v>5910725.5099999998</v>
          </cell>
          <cell r="T71">
            <v>5859765.5999999996</v>
          </cell>
          <cell r="U71">
            <v>5852703.6600000001</v>
          </cell>
          <cell r="V71">
            <v>5892331.9699999997</v>
          </cell>
          <cell r="W71">
            <v>5963421.3099999996</v>
          </cell>
          <cell r="X71">
            <v>6061500.9199999999</v>
          </cell>
          <cell r="Y71">
            <v>6194083.9400000004</v>
          </cell>
          <cell r="Z71">
            <v>6264404.0499999998</v>
          </cell>
          <cell r="AA71">
            <v>6283131.75</v>
          </cell>
          <cell r="AB71">
            <v>6198201.46</v>
          </cell>
          <cell r="AC71">
            <v>6356595.2999999998</v>
          </cell>
          <cell r="AD71">
            <v>6427854.71</v>
          </cell>
          <cell r="AE71">
            <v>6466328.3300000001</v>
          </cell>
          <cell r="AF71">
            <v>6474090.5700000003</v>
          </cell>
          <cell r="AG71">
            <v>6509965.7400000002</v>
          </cell>
          <cell r="AH71">
            <v>6527950.4400000004</v>
          </cell>
          <cell r="AI71">
            <v>6538306.2800000003</v>
          </cell>
          <cell r="AJ71">
            <v>6543025.4699999997</v>
          </cell>
          <cell r="AK71">
            <v>6539187.0599999996</v>
          </cell>
          <cell r="AL71">
            <v>6576654.9699999997</v>
          </cell>
          <cell r="AM71">
            <v>6600424.6799999997</v>
          </cell>
          <cell r="AN71">
            <v>6367837.25</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row>
        <row r="72">
          <cell r="C72" t="str">
            <v>AR CIS Jobbing Recl</v>
          </cell>
          <cell r="D72">
            <v>299544.82</v>
          </cell>
          <cell r="E72">
            <v>311813.09000000003</v>
          </cell>
          <cell r="F72">
            <v>298175.56</v>
          </cell>
          <cell r="G72">
            <v>293873.90999999997</v>
          </cell>
          <cell r="H72">
            <v>300479.46000000002</v>
          </cell>
          <cell r="I72">
            <v>328361.49</v>
          </cell>
          <cell r="J72">
            <v>319703.84000000003</v>
          </cell>
          <cell r="K72">
            <v>309100.55</v>
          </cell>
          <cell r="L72">
            <v>258061.39</v>
          </cell>
          <cell r="M72">
            <v>244409.26</v>
          </cell>
          <cell r="N72">
            <v>269405.78000000003</v>
          </cell>
          <cell r="O72">
            <v>269624.84000000003</v>
          </cell>
          <cell r="P72">
            <v>275730.61</v>
          </cell>
          <cell r="Q72">
            <v>284648.15999999997</v>
          </cell>
          <cell r="R72">
            <v>273045.23</v>
          </cell>
          <cell r="S72">
            <v>255037.29</v>
          </cell>
          <cell r="T72">
            <v>292334.76</v>
          </cell>
          <cell r="U72">
            <v>284688.42</v>
          </cell>
          <cell r="V72">
            <v>294605.74</v>
          </cell>
          <cell r="W72">
            <v>288460</v>
          </cell>
          <cell r="X72">
            <v>261888.79</v>
          </cell>
          <cell r="Y72">
            <v>281088.46999999997</v>
          </cell>
          <cell r="Z72">
            <v>306371.25</v>
          </cell>
          <cell r="AA72">
            <v>260016.42</v>
          </cell>
          <cell r="AB72">
            <v>280875.23</v>
          </cell>
          <cell r="AC72">
            <v>300487.06</v>
          </cell>
          <cell r="AD72">
            <v>312214.75</v>
          </cell>
          <cell r="AE72">
            <v>328736.71999999997</v>
          </cell>
          <cell r="AF72">
            <v>390168.92</v>
          </cell>
          <cell r="AG72">
            <v>329446.44</v>
          </cell>
          <cell r="AH72">
            <v>-10743.16</v>
          </cell>
          <cell r="AI72">
            <v>311257.81</v>
          </cell>
          <cell r="AJ72">
            <v>272543.96999999997</v>
          </cell>
          <cell r="AK72">
            <v>256777.32</v>
          </cell>
          <cell r="AL72">
            <v>110734.01</v>
          </cell>
          <cell r="AM72">
            <v>208045.63</v>
          </cell>
          <cell r="AN72">
            <v>243228.07</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row>
        <row r="73">
          <cell r="C73" t="str">
            <v>AR Misc Unappl Cash</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-3000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row>
        <row r="74">
          <cell r="C74" t="str">
            <v>Allow Uncollectibles</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v>0</v>
          </cell>
          <cell r="AM74">
            <v>0</v>
          </cell>
          <cell r="AN74">
            <v>0</v>
          </cell>
          <cell r="AO74">
            <v>-157044.19</v>
          </cell>
          <cell r="AP74">
            <v>-238993.48</v>
          </cell>
          <cell r="AQ74">
            <v>-403051.53</v>
          </cell>
          <cell r="AR74">
            <v>-242110.57</v>
          </cell>
          <cell r="AS74">
            <v>-265419.90000000002</v>
          </cell>
          <cell r="AT74">
            <v>-183869.23</v>
          </cell>
          <cell r="AU74">
            <v>-249028.99</v>
          </cell>
          <cell r="AV74">
            <v>-246106.38</v>
          </cell>
          <cell r="AW74">
            <v>-246103.96</v>
          </cell>
          <cell r="AX74">
            <v>-255198.62</v>
          </cell>
          <cell r="AY74">
            <v>-275618.68</v>
          </cell>
          <cell r="AZ74">
            <v>-303726.56</v>
          </cell>
          <cell r="BA74">
            <v>-389179.01</v>
          </cell>
          <cell r="BB74">
            <v>-291069.13</v>
          </cell>
          <cell r="BC74">
            <v>-266234.40000000002</v>
          </cell>
          <cell r="BD74">
            <v>-237517.38</v>
          </cell>
          <cell r="BE74">
            <v>-233160.92</v>
          </cell>
          <cell r="BF74">
            <v>-232236.3</v>
          </cell>
          <cell r="BG74">
            <v>-245567.91</v>
          </cell>
          <cell r="BH74">
            <v>-269580.15999999997</v>
          </cell>
          <cell r="BI74">
            <v>-274642.02</v>
          </cell>
          <cell r="BJ74">
            <v>-264875.34000000003</v>
          </cell>
          <cell r="BK74">
            <v>-274851.34000000003</v>
          </cell>
          <cell r="BL74">
            <v>-326654.49</v>
          </cell>
          <cell r="BM74">
            <v>-352897.36</v>
          </cell>
          <cell r="BN74">
            <v>-351707.88</v>
          </cell>
          <cell r="BO74">
            <v>-359604.9</v>
          </cell>
          <cell r="BP74">
            <v>-372164.2</v>
          </cell>
          <cell r="BQ74">
            <v>-369066.23999999999</v>
          </cell>
          <cell r="BR74">
            <v>-351922.05</v>
          </cell>
          <cell r="BS74">
            <v>-342564.94</v>
          </cell>
          <cell r="BT74">
            <v>-337491.07</v>
          </cell>
          <cell r="BU74">
            <v>-315476.51</v>
          </cell>
          <cell r="BV74">
            <v>-305934.44</v>
          </cell>
          <cell r="BW74">
            <v>-327635.53000000003</v>
          </cell>
          <cell r="BX74">
            <v>-335559.6</v>
          </cell>
          <cell r="BY74">
            <v>-363319.21</v>
          </cell>
          <cell r="BZ74">
            <v>-332766.71999999997</v>
          </cell>
          <cell r="CA74">
            <v>-515565.99</v>
          </cell>
          <cell r="CB74">
            <v>-759958.55</v>
          </cell>
          <cell r="CC74">
            <v>-1016864.46</v>
          </cell>
          <cell r="CD74">
            <v>-1314337.8600000001</v>
          </cell>
          <cell r="CE74">
            <v>-1525174</v>
          </cell>
          <cell r="CF74">
            <v>-1763349.47</v>
          </cell>
          <cell r="CG74">
            <v>-1944094.85</v>
          </cell>
          <cell r="CH74">
            <v>-1758071.57</v>
          </cell>
          <cell r="CI74">
            <v>-1893706.34</v>
          </cell>
          <cell r="CJ74">
            <v>-1306227.33</v>
          </cell>
          <cell r="CK74">
            <v>-1503254.69</v>
          </cell>
          <cell r="CL74">
            <v>-1676938.96</v>
          </cell>
          <cell r="CM74">
            <v>-1356182.17</v>
          </cell>
          <cell r="CN74">
            <v>-1450493.44</v>
          </cell>
          <cell r="CO74">
            <v>-1529217.09</v>
          </cell>
          <cell r="CP74">
            <v>-1511549.4</v>
          </cell>
          <cell r="CQ74">
            <v>-1550433.59</v>
          </cell>
          <cell r="CR74">
            <v>-1604740.44</v>
          </cell>
          <cell r="CS74">
            <v>-1657765.44</v>
          </cell>
          <cell r="CT74">
            <v>-1730433.11</v>
          </cell>
          <cell r="CU74">
            <v>-1705592.45</v>
          </cell>
          <cell r="CV74">
            <v>-1717716.51</v>
          </cell>
          <cell r="CW74">
            <v>-1776442.59</v>
          </cell>
          <cell r="CX74">
            <v>-1776430.87</v>
          </cell>
          <cell r="CY74">
            <v>-1796787.4</v>
          </cell>
          <cell r="CZ74">
            <v>-1718309.15</v>
          </cell>
          <cell r="DA74">
            <v>-1737695.01</v>
          </cell>
          <cell r="DB74">
            <v>-1765897.88</v>
          </cell>
          <cell r="DC74">
            <v>-1768522.54</v>
          </cell>
          <cell r="DD74">
            <v>-1854931.39</v>
          </cell>
          <cell r="DE74">
            <v>-1860255.8</v>
          </cell>
          <cell r="DF74">
            <v>-1864281.29</v>
          </cell>
          <cell r="DG74">
            <v>-1773644.94</v>
          </cell>
          <cell r="DH74">
            <v>-1262970.48</v>
          </cell>
        </row>
        <row r="75">
          <cell r="C75" t="str">
            <v>Allow Uncoll-CRM FF</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v>0</v>
          </cell>
          <cell r="AP75">
            <v>0</v>
          </cell>
          <cell r="AQ75">
            <v>3.23</v>
          </cell>
          <cell r="AR75">
            <v>2057.7600000000002</v>
          </cell>
          <cell r="AS75">
            <v>2905.6</v>
          </cell>
          <cell r="AT75">
            <v>7363.61</v>
          </cell>
          <cell r="AU75">
            <v>9977.17</v>
          </cell>
          <cell r="AV75">
            <v>15857.9</v>
          </cell>
          <cell r="AW75">
            <v>23736.03</v>
          </cell>
          <cell r="AX75">
            <v>30984.13</v>
          </cell>
          <cell r="AY75">
            <v>33977.25</v>
          </cell>
          <cell r="AZ75">
            <v>35115.89</v>
          </cell>
          <cell r="BA75">
            <v>38624.629999999997</v>
          </cell>
          <cell r="BB75">
            <v>40992.97</v>
          </cell>
          <cell r="BC75">
            <v>43998.94</v>
          </cell>
          <cell r="BD75">
            <v>50001.07</v>
          </cell>
          <cell r="BE75">
            <v>55546.01</v>
          </cell>
          <cell r="BF75">
            <v>59404.27</v>
          </cell>
          <cell r="BG75">
            <v>64158.04</v>
          </cell>
          <cell r="BH75">
            <v>67622.36</v>
          </cell>
          <cell r="BI75">
            <v>71557.33</v>
          </cell>
          <cell r="BJ75">
            <v>75866.31</v>
          </cell>
          <cell r="BK75">
            <v>80678.080000000002</v>
          </cell>
          <cell r="BL75">
            <v>88611.32</v>
          </cell>
          <cell r="BM75">
            <v>94068.75</v>
          </cell>
          <cell r="BN75">
            <v>97332.800000000003</v>
          </cell>
          <cell r="BO75">
            <v>103991.65</v>
          </cell>
          <cell r="BP75">
            <v>113019.47</v>
          </cell>
          <cell r="BQ75">
            <v>116910.02</v>
          </cell>
          <cell r="BR75">
            <v>120169.91</v>
          </cell>
          <cell r="BS75">
            <v>123028.99</v>
          </cell>
          <cell r="BT75">
            <v>125883.39</v>
          </cell>
          <cell r="BU75">
            <v>131890.16</v>
          </cell>
          <cell r="BV75">
            <v>134948.69</v>
          </cell>
          <cell r="BW75">
            <v>137287.82</v>
          </cell>
          <cell r="BX75">
            <v>140153.79</v>
          </cell>
          <cell r="BY75">
            <v>143478.28</v>
          </cell>
          <cell r="BZ75">
            <v>145427.46</v>
          </cell>
          <cell r="CA75">
            <v>145636.06</v>
          </cell>
          <cell r="CB75">
            <v>145303.85</v>
          </cell>
          <cell r="CC75">
            <v>145294.19</v>
          </cell>
          <cell r="CD75">
            <v>144853.89000000001</v>
          </cell>
          <cell r="CE75">
            <v>145285.25</v>
          </cell>
          <cell r="CF75">
            <v>145221.01</v>
          </cell>
          <cell r="CG75">
            <v>148919.21</v>
          </cell>
          <cell r="CH75">
            <v>163203.75</v>
          </cell>
          <cell r="CI75">
            <v>166088.21</v>
          </cell>
          <cell r="CJ75">
            <v>173008.4</v>
          </cell>
          <cell r="CK75">
            <v>175117.56</v>
          </cell>
          <cell r="CL75">
            <v>177971.17</v>
          </cell>
          <cell r="CM75">
            <v>180266.7</v>
          </cell>
          <cell r="CN75">
            <v>184896.53</v>
          </cell>
          <cell r="CO75">
            <v>187550.51</v>
          </cell>
          <cell r="CP75">
            <v>192726.21</v>
          </cell>
          <cell r="CQ75">
            <v>198214.28</v>
          </cell>
          <cell r="CR75">
            <v>202188.24</v>
          </cell>
          <cell r="CS75">
            <v>205916.17</v>
          </cell>
          <cell r="CT75">
            <v>209692.77</v>
          </cell>
          <cell r="CU75">
            <v>212560.29</v>
          </cell>
          <cell r="CV75">
            <v>216214.85</v>
          </cell>
          <cell r="CW75">
            <v>219375.21</v>
          </cell>
          <cell r="CX75">
            <v>220569.79</v>
          </cell>
          <cell r="CY75">
            <v>223722.23999999999</v>
          </cell>
          <cell r="CZ75">
            <v>226859.07</v>
          </cell>
          <cell r="DA75">
            <v>230226.09</v>
          </cell>
          <cell r="DB75">
            <v>235325.79</v>
          </cell>
          <cell r="DC75">
            <v>238979.97</v>
          </cell>
          <cell r="DD75">
            <v>242894.3</v>
          </cell>
          <cell r="DE75">
            <v>246495.79</v>
          </cell>
          <cell r="DF75">
            <v>249495.35</v>
          </cell>
          <cell r="DG75">
            <v>253673.44</v>
          </cell>
          <cell r="DH75">
            <v>256779.38</v>
          </cell>
        </row>
        <row r="76">
          <cell r="C76" t="str">
            <v>Allow Uncoll-CRM GRT</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v>0</v>
          </cell>
          <cell r="AP76">
            <v>0</v>
          </cell>
          <cell r="AQ76">
            <v>0.89</v>
          </cell>
          <cell r="AR76">
            <v>1181.52</v>
          </cell>
          <cell r="AS76">
            <v>1714.26</v>
          </cell>
          <cell r="AT76">
            <v>4234.34</v>
          </cell>
          <cell r="AU76">
            <v>5459.98</v>
          </cell>
          <cell r="AV76">
            <v>8743.52</v>
          </cell>
          <cell r="AW76">
            <v>11612.39</v>
          </cell>
          <cell r="AX76">
            <v>14586.34</v>
          </cell>
          <cell r="AY76">
            <v>15884.86</v>
          </cell>
          <cell r="AZ76">
            <v>16423.68</v>
          </cell>
          <cell r="BA76">
            <v>17963.78</v>
          </cell>
          <cell r="BB76">
            <v>18978.64</v>
          </cell>
          <cell r="BC76">
            <v>20533.759999999998</v>
          </cell>
          <cell r="BD76">
            <v>23666.79</v>
          </cell>
          <cell r="BE76">
            <v>25729.99</v>
          </cell>
          <cell r="BF76">
            <v>27337.21</v>
          </cell>
          <cell r="BG76">
            <v>29414.29</v>
          </cell>
          <cell r="BH76">
            <v>30835.27</v>
          </cell>
          <cell r="BI76">
            <v>32352.62</v>
          </cell>
          <cell r="BJ76">
            <v>33988.19</v>
          </cell>
          <cell r="BK76">
            <v>36016.14</v>
          </cell>
          <cell r="BL76">
            <v>39268.720000000001</v>
          </cell>
          <cell r="BM76">
            <v>40805.19</v>
          </cell>
          <cell r="BN76">
            <v>42463.41</v>
          </cell>
          <cell r="BO76">
            <v>44937.97</v>
          </cell>
          <cell r="BP76">
            <v>48222.400000000001</v>
          </cell>
          <cell r="BQ76">
            <v>49666.33</v>
          </cell>
          <cell r="BR76">
            <v>51521.47</v>
          </cell>
          <cell r="BS76">
            <v>53020.28</v>
          </cell>
          <cell r="BT76">
            <v>54266.83</v>
          </cell>
          <cell r="BU76">
            <v>59844.18</v>
          </cell>
          <cell r="BV76">
            <v>61134.02</v>
          </cell>
          <cell r="BW76">
            <v>61899.360000000001</v>
          </cell>
          <cell r="BX76">
            <v>63105.43</v>
          </cell>
          <cell r="BY76">
            <v>65270.27</v>
          </cell>
          <cell r="BZ76">
            <v>66161.86</v>
          </cell>
          <cell r="CA76">
            <v>66565.62</v>
          </cell>
          <cell r="CB76">
            <v>66378.75</v>
          </cell>
          <cell r="CC76">
            <v>67039.69</v>
          </cell>
          <cell r="CD76">
            <v>66846.41</v>
          </cell>
          <cell r="CE76">
            <v>68255.37</v>
          </cell>
          <cell r="CF76">
            <v>68320.08</v>
          </cell>
          <cell r="CG76">
            <v>70159.08</v>
          </cell>
          <cell r="CH76">
            <v>78227.86</v>
          </cell>
          <cell r="CI76">
            <v>79582.759999999995</v>
          </cell>
          <cell r="CJ76">
            <v>86030.24</v>
          </cell>
          <cell r="CK76">
            <v>87935.17</v>
          </cell>
          <cell r="CL76">
            <v>88380.17</v>
          </cell>
          <cell r="CM76">
            <v>87716.37</v>
          </cell>
          <cell r="CN76">
            <v>89611.63</v>
          </cell>
          <cell r="CO76">
            <v>91101.22</v>
          </cell>
          <cell r="CP76">
            <v>93382.11</v>
          </cell>
          <cell r="CQ76">
            <v>95237.24</v>
          </cell>
          <cell r="CR76">
            <v>96851.68</v>
          </cell>
          <cell r="CS76">
            <v>98001.67</v>
          </cell>
          <cell r="CT76">
            <v>101000.66</v>
          </cell>
          <cell r="CU76">
            <v>100542.53</v>
          </cell>
          <cell r="CV76">
            <v>101979.93</v>
          </cell>
          <cell r="CW76">
            <v>102743.18</v>
          </cell>
          <cell r="CX76">
            <v>103192.67</v>
          </cell>
          <cell r="CY76">
            <v>104425.61</v>
          </cell>
          <cell r="CZ76">
            <v>105756.55</v>
          </cell>
          <cell r="DA76">
            <v>107407.67999999999</v>
          </cell>
          <cell r="DB76">
            <v>109290.73</v>
          </cell>
          <cell r="DC76">
            <v>111075.2</v>
          </cell>
          <cell r="DD76">
            <v>112575.96</v>
          </cell>
          <cell r="DE76">
            <v>113970.18</v>
          </cell>
          <cell r="DF76">
            <v>115118.53</v>
          </cell>
          <cell r="DG76">
            <v>116405.45</v>
          </cell>
          <cell r="DH76">
            <v>117526.11</v>
          </cell>
        </row>
        <row r="77">
          <cell r="C77" t="str">
            <v>AlwUncoll-Regular</v>
          </cell>
          <cell r="D77">
            <v>-731329.09</v>
          </cell>
          <cell r="E77">
            <v>-782748.28</v>
          </cell>
          <cell r="F77">
            <v>-917716.05</v>
          </cell>
          <cell r="G77">
            <v>-957279.1</v>
          </cell>
          <cell r="H77">
            <v>-935207.56</v>
          </cell>
          <cell r="I77">
            <v>-816528.2</v>
          </cell>
          <cell r="J77">
            <v>-856777.71</v>
          </cell>
          <cell r="K77">
            <v>-794094.56</v>
          </cell>
          <cell r="L77">
            <v>-747608.48</v>
          </cell>
          <cell r="M77">
            <v>-725358.9</v>
          </cell>
          <cell r="N77">
            <v>-695536.87</v>
          </cell>
          <cell r="O77">
            <v>-707430.92</v>
          </cell>
          <cell r="P77">
            <v>-716180.51</v>
          </cell>
          <cell r="Q77">
            <v>-764563.98</v>
          </cell>
          <cell r="R77">
            <v>-833682.14</v>
          </cell>
          <cell r="S77">
            <v>-866987.2</v>
          </cell>
          <cell r="T77">
            <v>-866890.19</v>
          </cell>
          <cell r="U77">
            <v>-848576.7</v>
          </cell>
          <cell r="V77">
            <v>-848491.47</v>
          </cell>
          <cell r="W77">
            <v>-838881.91</v>
          </cell>
          <cell r="X77">
            <v>-842812.73</v>
          </cell>
          <cell r="Y77">
            <v>-837646</v>
          </cell>
          <cell r="Z77">
            <v>-838111.69</v>
          </cell>
          <cell r="AA77">
            <v>-849690.38</v>
          </cell>
          <cell r="AB77">
            <v>-847212.74</v>
          </cell>
          <cell r="AC77">
            <v>-887536.24</v>
          </cell>
          <cell r="AD77">
            <v>-944535.58</v>
          </cell>
          <cell r="AE77">
            <v>-956846.5</v>
          </cell>
          <cell r="AF77">
            <v>-941985.09</v>
          </cell>
          <cell r="AG77">
            <v>-940287.95</v>
          </cell>
          <cell r="AH77">
            <v>-903512.59</v>
          </cell>
          <cell r="AI77">
            <v>-849498.54</v>
          </cell>
          <cell r="AJ77">
            <v>-845093.79</v>
          </cell>
          <cell r="AK77">
            <v>-801433.25</v>
          </cell>
          <cell r="AL77">
            <v>-783650.76</v>
          </cell>
          <cell r="AM77">
            <v>-787925.3</v>
          </cell>
          <cell r="AN77">
            <v>-63418.5</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row>
        <row r="78">
          <cell r="C78" t="str">
            <v>AlwUncoll-Misc Bill</v>
          </cell>
          <cell r="D78">
            <v>-300000</v>
          </cell>
          <cell r="E78">
            <v>-300000</v>
          </cell>
          <cell r="F78">
            <v>-300000</v>
          </cell>
          <cell r="G78">
            <v>-300000</v>
          </cell>
          <cell r="H78">
            <v>-300000</v>
          </cell>
          <cell r="I78">
            <v>-300000</v>
          </cell>
          <cell r="J78">
            <v>-300000</v>
          </cell>
          <cell r="K78">
            <v>-300000</v>
          </cell>
          <cell r="L78">
            <v>-300000</v>
          </cell>
          <cell r="M78">
            <v>-300000</v>
          </cell>
          <cell r="N78">
            <v>-300000</v>
          </cell>
          <cell r="O78">
            <v>-300000</v>
          </cell>
          <cell r="P78">
            <v>-300000</v>
          </cell>
          <cell r="Q78">
            <v>-300000</v>
          </cell>
          <cell r="R78">
            <v>-300000</v>
          </cell>
          <cell r="S78">
            <v>-300000</v>
          </cell>
          <cell r="T78">
            <v>-300000</v>
          </cell>
          <cell r="U78">
            <v>-300000</v>
          </cell>
          <cell r="V78">
            <v>-300000</v>
          </cell>
          <cell r="W78">
            <v>-300000</v>
          </cell>
          <cell r="X78">
            <v>-300000</v>
          </cell>
          <cell r="Y78">
            <v>-300000</v>
          </cell>
          <cell r="Z78">
            <v>-300000</v>
          </cell>
          <cell r="AA78">
            <v>-300000</v>
          </cell>
          <cell r="AB78">
            <v>-300000</v>
          </cell>
          <cell r="AC78">
            <v>-300000</v>
          </cell>
          <cell r="AD78">
            <v>-300000</v>
          </cell>
          <cell r="AE78">
            <v>-300000</v>
          </cell>
          <cell r="AF78">
            <v>-300000</v>
          </cell>
          <cell r="AG78">
            <v>-300000</v>
          </cell>
          <cell r="AH78">
            <v>-300000</v>
          </cell>
          <cell r="AI78">
            <v>-300000</v>
          </cell>
          <cell r="AJ78">
            <v>-300000</v>
          </cell>
          <cell r="AK78">
            <v>-300000</v>
          </cell>
          <cell r="AL78">
            <v>-300000</v>
          </cell>
          <cell r="AM78">
            <v>-300000</v>
          </cell>
          <cell r="AN78">
            <v>-350000</v>
          </cell>
          <cell r="AO78">
            <v>-350000</v>
          </cell>
          <cell r="AP78">
            <v>-350000</v>
          </cell>
          <cell r="AQ78">
            <v>-350000</v>
          </cell>
          <cell r="AR78">
            <v>-350000</v>
          </cell>
          <cell r="AS78">
            <v>-350000</v>
          </cell>
          <cell r="AT78">
            <v>-350000</v>
          </cell>
          <cell r="AU78">
            <v>-350000</v>
          </cell>
          <cell r="AV78">
            <v>-350000</v>
          </cell>
          <cell r="AW78">
            <v>-350000</v>
          </cell>
          <cell r="AX78">
            <v>-350000</v>
          </cell>
          <cell r="AY78">
            <v>-350000</v>
          </cell>
          <cell r="AZ78">
            <v>-350000</v>
          </cell>
          <cell r="BA78">
            <v>-350000</v>
          </cell>
          <cell r="BB78">
            <v>-350000</v>
          </cell>
          <cell r="BC78">
            <v>-350000</v>
          </cell>
          <cell r="BD78">
            <v>-350000</v>
          </cell>
          <cell r="BE78">
            <v>-350000</v>
          </cell>
          <cell r="BF78">
            <v>-350000</v>
          </cell>
          <cell r="BG78">
            <v>-350000</v>
          </cell>
          <cell r="BH78">
            <v>-350000</v>
          </cell>
          <cell r="BI78">
            <v>-350000</v>
          </cell>
          <cell r="BJ78">
            <v>-350000</v>
          </cell>
          <cell r="BK78">
            <v>-350000</v>
          </cell>
          <cell r="BL78">
            <v>-350000</v>
          </cell>
          <cell r="BM78">
            <v>-350000</v>
          </cell>
          <cell r="BN78">
            <v>-350000</v>
          </cell>
          <cell r="BO78">
            <v>-350000</v>
          </cell>
          <cell r="BP78">
            <v>-350000</v>
          </cell>
          <cell r="BQ78">
            <v>-350000</v>
          </cell>
          <cell r="BR78">
            <v>-350000</v>
          </cell>
          <cell r="BS78">
            <v>-175000</v>
          </cell>
          <cell r="BT78">
            <v>-175000</v>
          </cell>
          <cell r="BU78">
            <v>-175000</v>
          </cell>
          <cell r="BV78">
            <v>-204508.87</v>
          </cell>
          <cell r="BW78">
            <v>-204508.87</v>
          </cell>
          <cell r="BX78">
            <v>-204508.87</v>
          </cell>
          <cell r="BY78">
            <v>-204508.87</v>
          </cell>
          <cell r="BZ78">
            <v>-204508.87</v>
          </cell>
          <cell r="CA78">
            <v>-204508.87</v>
          </cell>
          <cell r="CB78">
            <v>-204508.87</v>
          </cell>
          <cell r="CC78">
            <v>-204508.87</v>
          </cell>
          <cell r="CD78">
            <v>-204508.87</v>
          </cell>
          <cell r="CE78">
            <v>-204508.87</v>
          </cell>
          <cell r="CF78">
            <v>-204508.87</v>
          </cell>
          <cell r="CG78">
            <v>-204508.87</v>
          </cell>
          <cell r="CH78">
            <v>-204508.87</v>
          </cell>
          <cell r="CI78">
            <v>-204508.87</v>
          </cell>
          <cell r="CJ78">
            <v>-204508.87</v>
          </cell>
          <cell r="CK78">
            <v>-204508.87</v>
          </cell>
          <cell r="CL78">
            <v>-204508.87</v>
          </cell>
          <cell r="CM78">
            <v>-204508.87</v>
          </cell>
          <cell r="CN78">
            <v>-204508.87</v>
          </cell>
          <cell r="CO78">
            <v>-204508.87</v>
          </cell>
          <cell r="CP78">
            <v>-204508.87</v>
          </cell>
          <cell r="CQ78">
            <v>-204508.87</v>
          </cell>
          <cell r="CR78">
            <v>-204508.87</v>
          </cell>
          <cell r="CS78">
            <v>-204508.87</v>
          </cell>
          <cell r="CT78">
            <v>-204508.87</v>
          </cell>
          <cell r="CU78">
            <v>-204508.87</v>
          </cell>
          <cell r="CV78">
            <v>-204508.87</v>
          </cell>
          <cell r="CW78">
            <v>-204508.87</v>
          </cell>
          <cell r="CX78">
            <v>-204508.87</v>
          </cell>
          <cell r="CY78">
            <v>-204508.87</v>
          </cell>
          <cell r="CZ78">
            <v>-204508.87</v>
          </cell>
          <cell r="DA78">
            <v>-204508.87</v>
          </cell>
          <cell r="DB78">
            <v>-204508.87</v>
          </cell>
          <cell r="DC78">
            <v>-204508.87</v>
          </cell>
          <cell r="DD78">
            <v>-204508.87</v>
          </cell>
          <cell r="DE78">
            <v>-204508.87</v>
          </cell>
          <cell r="DF78">
            <v>-204508.87</v>
          </cell>
          <cell r="DG78">
            <v>0</v>
          </cell>
          <cell r="DH78">
            <v>0</v>
          </cell>
        </row>
        <row r="79">
          <cell r="C79" t="str">
            <v>NR IC Current</v>
          </cell>
          <cell r="D79">
            <v>0</v>
          </cell>
          <cell r="E79">
            <v>0</v>
          </cell>
          <cell r="F79">
            <v>0</v>
          </cell>
          <cell r="G79">
            <v>1500000</v>
          </cell>
          <cell r="H79">
            <v>0</v>
          </cell>
          <cell r="I79">
            <v>0</v>
          </cell>
          <cell r="J79">
            <v>0</v>
          </cell>
          <cell r="K79">
            <v>0</v>
          </cell>
          <cell r="L79">
            <v>0</v>
          </cell>
          <cell r="M79">
            <v>0</v>
          </cell>
          <cell r="N79">
            <v>0</v>
          </cell>
          <cell r="O79">
            <v>0</v>
          </cell>
          <cell r="P79">
            <v>0</v>
          </cell>
          <cell r="Q79">
            <v>0</v>
          </cell>
          <cell r="R79">
            <v>0</v>
          </cell>
          <cell r="S79">
            <v>4600000</v>
          </cell>
          <cell r="T79">
            <v>10450000</v>
          </cell>
          <cell r="U79">
            <v>0</v>
          </cell>
          <cell r="V79">
            <v>0</v>
          </cell>
          <cell r="W79">
            <v>0</v>
          </cell>
          <cell r="X79">
            <v>0</v>
          </cell>
          <cell r="Y79">
            <v>0</v>
          </cell>
          <cell r="Z79">
            <v>0</v>
          </cell>
          <cell r="AA79">
            <v>4500000</v>
          </cell>
          <cell r="AB79">
            <v>12000000</v>
          </cell>
          <cell r="AC79">
            <v>3000000</v>
          </cell>
          <cell r="AD79">
            <v>0</v>
          </cell>
          <cell r="AE79">
            <v>0</v>
          </cell>
          <cell r="AF79">
            <v>23200000</v>
          </cell>
          <cell r="AG79">
            <v>5650000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9532753.8200000003</v>
          </cell>
          <cell r="CJ79">
            <v>9933659.4900000002</v>
          </cell>
          <cell r="CK79">
            <v>10459212.380000001</v>
          </cell>
          <cell r="CL79">
            <v>9618303.3200000003</v>
          </cell>
          <cell r="CM79">
            <v>10315787.27</v>
          </cell>
          <cell r="CN79">
            <v>9943295.0999999996</v>
          </cell>
          <cell r="CO79">
            <v>10267360</v>
          </cell>
          <cell r="CP79">
            <v>9828835.2899999991</v>
          </cell>
          <cell r="CQ79">
            <v>9719853.5899999999</v>
          </cell>
          <cell r="CR79">
            <v>10043801.52</v>
          </cell>
          <cell r="CS79">
            <v>9672449.2899999991</v>
          </cell>
          <cell r="CT79">
            <v>9146808.5800000001</v>
          </cell>
          <cell r="CU79">
            <v>9368777.5999999996</v>
          </cell>
          <cell r="CV79">
            <v>9985214.7300000004</v>
          </cell>
          <cell r="CW79">
            <v>8951965.4800000004</v>
          </cell>
          <cell r="CX79">
            <v>10205362.74</v>
          </cell>
          <cell r="CY79">
            <v>10528065.710000001</v>
          </cell>
          <cell r="CZ79">
            <v>9956717.6400000006</v>
          </cell>
          <cell r="DA79">
            <v>10337559.310000001</v>
          </cell>
          <cell r="DB79">
            <v>9979167.6400000006</v>
          </cell>
          <cell r="DC79">
            <v>9678886.3599999994</v>
          </cell>
          <cell r="DD79">
            <v>10135317.810000001</v>
          </cell>
          <cell r="DE79">
            <v>9639007.4199999999</v>
          </cell>
          <cell r="DF79">
            <v>9123362.3000000007</v>
          </cell>
          <cell r="DG79">
            <v>9579074.5899999999</v>
          </cell>
          <cell r="DH79">
            <v>9393665.6600000001</v>
          </cell>
        </row>
        <row r="80">
          <cell r="C80" t="str">
            <v>AR Interco Recon</v>
          </cell>
          <cell r="D80">
            <v>1679945.91</v>
          </cell>
          <cell r="E80">
            <v>644007.85</v>
          </cell>
          <cell r="F80">
            <v>724859.53</v>
          </cell>
          <cell r="G80">
            <v>975096.76</v>
          </cell>
          <cell r="H80">
            <v>1409619.51</v>
          </cell>
          <cell r="I80">
            <v>1483912.28</v>
          </cell>
          <cell r="J80">
            <v>10647654.529999999</v>
          </cell>
          <cell r="K80">
            <v>1347114.93</v>
          </cell>
          <cell r="L80">
            <v>2410962.7999999998</v>
          </cell>
          <cell r="M80">
            <v>1880114.07</v>
          </cell>
          <cell r="N80">
            <v>2761309.98</v>
          </cell>
          <cell r="O80">
            <v>1070219.1000000001</v>
          </cell>
          <cell r="P80">
            <v>3697838.5</v>
          </cell>
          <cell r="Q80">
            <v>892886.44</v>
          </cell>
          <cell r="R80">
            <v>989592.34</v>
          </cell>
          <cell r="S80">
            <v>1591172.54</v>
          </cell>
          <cell r="T80">
            <v>1113007.46</v>
          </cell>
          <cell r="U80">
            <v>1534311.47</v>
          </cell>
          <cell r="V80">
            <v>1047927.76</v>
          </cell>
          <cell r="W80">
            <v>1295193.08</v>
          </cell>
          <cell r="X80">
            <v>1499802.48</v>
          </cell>
          <cell r="Y80">
            <v>534621.31999999995</v>
          </cell>
          <cell r="Z80">
            <v>1231110.18</v>
          </cell>
          <cell r="AA80">
            <v>1439589.18</v>
          </cell>
          <cell r="AB80">
            <v>1175267.1200000001</v>
          </cell>
          <cell r="AC80">
            <v>1251794.55</v>
          </cell>
          <cell r="AD80">
            <v>982984.58</v>
          </cell>
          <cell r="AE80">
            <v>1466191.84</v>
          </cell>
          <cell r="AF80">
            <v>5341.74</v>
          </cell>
          <cell r="AG80">
            <v>49432.05</v>
          </cell>
          <cell r="AH80">
            <v>54601.65</v>
          </cell>
          <cell r="AI80">
            <v>238986.08</v>
          </cell>
          <cell r="AJ80">
            <v>33568.879999999997</v>
          </cell>
          <cell r="AK80">
            <v>42419.15</v>
          </cell>
          <cell r="AL80">
            <v>73259.210000000006</v>
          </cell>
          <cell r="AM80">
            <v>51974.79</v>
          </cell>
          <cell r="AN80">
            <v>480492.66</v>
          </cell>
          <cell r="AO80">
            <v>614376.03</v>
          </cell>
          <cell r="AP80">
            <v>572071.55000000005</v>
          </cell>
          <cell r="AQ80">
            <v>104682.72</v>
          </cell>
          <cell r="AR80">
            <v>-95100.800000000003</v>
          </cell>
          <cell r="AS80">
            <v>-39525.18</v>
          </cell>
          <cell r="AT80">
            <v>1276474.8400000001</v>
          </cell>
          <cell r="AU80">
            <v>59506.239999999998</v>
          </cell>
          <cell r="AV80">
            <v>12957750.01</v>
          </cell>
          <cell r="AW80">
            <v>67842.070000000007</v>
          </cell>
          <cell r="AX80">
            <v>67950.89</v>
          </cell>
          <cell r="AY80">
            <v>92640.59</v>
          </cell>
          <cell r="AZ80">
            <v>199466.61</v>
          </cell>
          <cell r="BA80">
            <v>46739.22</v>
          </cell>
          <cell r="BB80">
            <v>664088.48</v>
          </cell>
          <cell r="BC80">
            <v>75922.880000000005</v>
          </cell>
          <cell r="BD80">
            <v>94011.47</v>
          </cell>
          <cell r="BE80">
            <v>81576.11</v>
          </cell>
          <cell r="BF80">
            <v>80478.929999999993</v>
          </cell>
          <cell r="BG80">
            <v>75238.570000000007</v>
          </cell>
          <cell r="BH80">
            <v>109592.07</v>
          </cell>
          <cell r="BI80">
            <v>156610.57</v>
          </cell>
          <cell r="BJ80">
            <v>84354.96</v>
          </cell>
          <cell r="BK80">
            <v>84714.05</v>
          </cell>
          <cell r="BL80">
            <v>206562.38</v>
          </cell>
          <cell r="BM80">
            <v>1544307.56</v>
          </cell>
          <cell r="BN80">
            <v>223838.63</v>
          </cell>
          <cell r="BO80">
            <v>84630.44</v>
          </cell>
          <cell r="BP80">
            <v>89467.55</v>
          </cell>
          <cell r="BQ80">
            <v>87428.160000000003</v>
          </cell>
          <cell r="BR80">
            <v>73667.7</v>
          </cell>
          <cell r="BS80">
            <v>93726.02</v>
          </cell>
          <cell r="BT80">
            <v>103721.19</v>
          </cell>
          <cell r="BU80">
            <v>90429.75</v>
          </cell>
          <cell r="BV80">
            <v>205257.36</v>
          </cell>
          <cell r="BW80">
            <v>184703.19</v>
          </cell>
          <cell r="BX80">
            <v>139013.32999999999</v>
          </cell>
          <cell r="BY80">
            <v>276524.44</v>
          </cell>
          <cell r="BZ80">
            <v>95268.07</v>
          </cell>
          <cell r="CA80">
            <v>164685.78</v>
          </cell>
          <cell r="CB80">
            <v>122138.87</v>
          </cell>
          <cell r="CC80">
            <v>518871.48</v>
          </cell>
          <cell r="CD80">
            <v>107932.91</v>
          </cell>
          <cell r="CE80">
            <v>103560.43</v>
          </cell>
          <cell r="CF80">
            <v>244550.09</v>
          </cell>
          <cell r="CG80">
            <v>47686.27</v>
          </cell>
          <cell r="CH80">
            <v>235781.58</v>
          </cell>
          <cell r="CI80">
            <v>86141.77</v>
          </cell>
          <cell r="CJ80">
            <v>116582.21</v>
          </cell>
          <cell r="CK80">
            <v>87169.01</v>
          </cell>
          <cell r="CL80">
            <v>71233.850000000006</v>
          </cell>
          <cell r="CM80">
            <v>873305.85</v>
          </cell>
          <cell r="CN80">
            <v>67454.149999999994</v>
          </cell>
          <cell r="CO80">
            <v>75268.7</v>
          </cell>
          <cell r="CP80">
            <v>353345.49</v>
          </cell>
          <cell r="CQ80">
            <v>138605.84</v>
          </cell>
          <cell r="CR80">
            <v>102323.49</v>
          </cell>
          <cell r="CS80">
            <v>133181.76000000001</v>
          </cell>
          <cell r="CT80">
            <v>207079.37</v>
          </cell>
          <cell r="CU80">
            <v>177525.26</v>
          </cell>
          <cell r="CV80">
            <v>187609.58</v>
          </cell>
          <cell r="CW80">
            <v>462986.72</v>
          </cell>
          <cell r="CX80">
            <v>163089.96</v>
          </cell>
          <cell r="CY80">
            <v>282858.11</v>
          </cell>
          <cell r="CZ80">
            <v>187956.59</v>
          </cell>
          <cell r="DA80">
            <v>204533.5</v>
          </cell>
          <cell r="DB80">
            <v>162322.70000000001</v>
          </cell>
          <cell r="DC80">
            <v>178758.39999999999</v>
          </cell>
          <cell r="DD80">
            <v>181321.26</v>
          </cell>
          <cell r="DE80">
            <v>167058.39000000001</v>
          </cell>
          <cell r="DF80">
            <v>38689.21</v>
          </cell>
          <cell r="DG80">
            <v>750011.45</v>
          </cell>
          <cell r="DH80">
            <v>226705.18</v>
          </cell>
        </row>
        <row r="81">
          <cell r="C81" t="str">
            <v>AR Interco Posting</v>
          </cell>
          <cell r="D81">
            <v>584.47</v>
          </cell>
          <cell r="E81">
            <v>220715.88</v>
          </cell>
          <cell r="F81">
            <v>1291.98</v>
          </cell>
          <cell r="G81">
            <v>2746.02</v>
          </cell>
          <cell r="H81">
            <v>349127.15</v>
          </cell>
          <cell r="I81">
            <v>2311.92</v>
          </cell>
          <cell r="J81">
            <v>-1038.8</v>
          </cell>
          <cell r="K81">
            <v>74755.929999999993</v>
          </cell>
          <cell r="L81">
            <v>69993.38</v>
          </cell>
          <cell r="M81">
            <v>486.98</v>
          </cell>
          <cell r="N81">
            <v>441222.56</v>
          </cell>
          <cell r="O81">
            <v>229207.81</v>
          </cell>
          <cell r="P81">
            <v>352611.43</v>
          </cell>
          <cell r="Q81">
            <v>36214.82</v>
          </cell>
          <cell r="R81">
            <v>639208.37</v>
          </cell>
          <cell r="S81">
            <v>660267.04</v>
          </cell>
          <cell r="T81">
            <v>102520.58</v>
          </cell>
          <cell r="U81">
            <v>76247.899999999994</v>
          </cell>
          <cell r="V81">
            <v>1786190.28</v>
          </cell>
          <cell r="W81">
            <v>975314.49</v>
          </cell>
          <cell r="X81">
            <v>1012624.89</v>
          </cell>
          <cell r="Y81">
            <v>390237.67</v>
          </cell>
          <cell r="Z81">
            <v>441077.78</v>
          </cell>
          <cell r="AA81">
            <v>10347.459999999999</v>
          </cell>
          <cell r="AB81">
            <v>1170288.67</v>
          </cell>
          <cell r="AC81">
            <v>1574175.22</v>
          </cell>
          <cell r="AD81">
            <v>1470471.97</v>
          </cell>
          <cell r="AE81">
            <v>1478553.8</v>
          </cell>
          <cell r="AF81">
            <v>1625962.36</v>
          </cell>
          <cell r="AG81">
            <v>33371.199999999997</v>
          </cell>
          <cell r="AH81">
            <v>303716.28999999998</v>
          </cell>
          <cell r="AI81">
            <v>277653.15000000002</v>
          </cell>
          <cell r="AJ81">
            <v>255407.63</v>
          </cell>
          <cell r="AK81">
            <v>4280.01</v>
          </cell>
          <cell r="AL81">
            <v>186347.4</v>
          </cell>
          <cell r="AM81">
            <v>104565.26</v>
          </cell>
          <cell r="AN81">
            <v>20772.57</v>
          </cell>
          <cell r="AO81">
            <v>3378.86</v>
          </cell>
          <cell r="AP81">
            <v>60523.26</v>
          </cell>
          <cell r="AQ81">
            <v>833062.62</v>
          </cell>
          <cell r="AR81">
            <v>501126.38</v>
          </cell>
          <cell r="AS81">
            <v>1610206.85</v>
          </cell>
          <cell r="AT81">
            <v>125846.59</v>
          </cell>
          <cell r="AU81">
            <v>1039124.19</v>
          </cell>
          <cell r="AV81">
            <v>7918673.4800000004</v>
          </cell>
          <cell r="AW81">
            <v>4948601.2300000004</v>
          </cell>
          <cell r="AX81">
            <v>955164.8</v>
          </cell>
          <cell r="AY81">
            <v>340995.08</v>
          </cell>
          <cell r="AZ81">
            <v>1507251.4</v>
          </cell>
          <cell r="BA81">
            <v>3443683.2</v>
          </cell>
          <cell r="BB81">
            <v>1575614.47</v>
          </cell>
          <cell r="BC81">
            <v>812032.17</v>
          </cell>
          <cell r="BD81">
            <v>222488.66</v>
          </cell>
          <cell r="BE81">
            <v>1077761.2</v>
          </cell>
          <cell r="BF81">
            <v>3328596.09</v>
          </cell>
          <cell r="BG81">
            <v>2256462.77</v>
          </cell>
          <cell r="BH81">
            <v>1653172.7</v>
          </cell>
          <cell r="BI81">
            <v>3453974.79</v>
          </cell>
          <cell r="BJ81">
            <v>5120568.1100000003</v>
          </cell>
          <cell r="BK81">
            <v>4317923.67</v>
          </cell>
          <cell r="BL81">
            <v>492515.72</v>
          </cell>
          <cell r="BM81">
            <v>1484693.36</v>
          </cell>
          <cell r="BN81">
            <v>698618.09</v>
          </cell>
          <cell r="BO81">
            <v>2454312.9900000002</v>
          </cell>
          <cell r="BP81">
            <v>857815.78</v>
          </cell>
          <cell r="BQ81">
            <v>2072617.98</v>
          </cell>
          <cell r="BR81">
            <v>720117.44</v>
          </cell>
          <cell r="BS81">
            <v>805912.98</v>
          </cell>
          <cell r="BT81">
            <v>1019337.8</v>
          </cell>
          <cell r="BU81">
            <v>3002497.42</v>
          </cell>
          <cell r="BV81">
            <v>2757279.2</v>
          </cell>
          <cell r="BW81">
            <v>606007.47</v>
          </cell>
          <cell r="BX81">
            <v>796310.16</v>
          </cell>
          <cell r="BY81">
            <v>1277915.18</v>
          </cell>
          <cell r="BZ81">
            <v>451072.51</v>
          </cell>
          <cell r="CA81">
            <v>797805.67</v>
          </cell>
          <cell r="CB81">
            <v>149453</v>
          </cell>
          <cell r="CC81">
            <v>332948.25</v>
          </cell>
          <cell r="CD81">
            <v>764748.45</v>
          </cell>
          <cell r="CE81">
            <v>1014299.97</v>
          </cell>
          <cell r="CF81">
            <v>157862.01</v>
          </cell>
          <cell r="CG81">
            <v>178095.68</v>
          </cell>
          <cell r="CH81">
            <v>134128.21</v>
          </cell>
          <cell r="CI81">
            <v>128784.18</v>
          </cell>
          <cell r="CJ81">
            <v>299855.06</v>
          </cell>
          <cell r="CK81">
            <v>131246.69</v>
          </cell>
          <cell r="CL81">
            <v>124054</v>
          </cell>
          <cell r="CM81">
            <v>133130.56</v>
          </cell>
          <cell r="CN81">
            <v>124054</v>
          </cell>
          <cell r="CO81">
            <v>204936.02</v>
          </cell>
          <cell r="CP81">
            <v>142415.17000000001</v>
          </cell>
          <cell r="CQ81">
            <v>253178.59</v>
          </cell>
          <cell r="CR81">
            <v>124816.9</v>
          </cell>
          <cell r="CS81">
            <v>124054</v>
          </cell>
          <cell r="CT81">
            <v>183396.87</v>
          </cell>
          <cell r="CU81">
            <v>461445.35</v>
          </cell>
          <cell r="CV81">
            <v>395716.56</v>
          </cell>
          <cell r="CW81">
            <v>289849.53999999998</v>
          </cell>
          <cell r="CX81">
            <v>584284.76</v>
          </cell>
          <cell r="CY81">
            <v>457845.56</v>
          </cell>
          <cell r="CZ81">
            <v>291612.15000000002</v>
          </cell>
          <cell r="DA81">
            <v>671475.76</v>
          </cell>
          <cell r="DB81">
            <v>498170.18</v>
          </cell>
          <cell r="DC81">
            <v>1025222.1</v>
          </cell>
          <cell r="DD81">
            <v>537401.96</v>
          </cell>
          <cell r="DE81">
            <v>475590.24</v>
          </cell>
          <cell r="DF81">
            <v>931859.72</v>
          </cell>
          <cell r="DG81">
            <v>838858</v>
          </cell>
          <cell r="DH81">
            <v>1993605.14</v>
          </cell>
        </row>
        <row r="82">
          <cell r="C82" t="str">
            <v>AR Interco NMGC</v>
          </cell>
          <cell r="D82">
            <v>0</v>
          </cell>
          <cell r="E82">
            <v>0</v>
          </cell>
          <cell r="F82">
            <v>0</v>
          </cell>
          <cell r="G82">
            <v>0</v>
          </cell>
          <cell r="H82">
            <v>0</v>
          </cell>
          <cell r="I82">
            <v>0</v>
          </cell>
          <cell r="J82">
            <v>0</v>
          </cell>
          <cell r="K82">
            <v>0</v>
          </cell>
          <cell r="L82">
            <v>0</v>
          </cell>
          <cell r="M82">
            <v>0</v>
          </cell>
          <cell r="N82">
            <v>0</v>
          </cell>
          <cell r="O82">
            <v>133.61000000000001</v>
          </cell>
          <cell r="P82">
            <v>133.61000000000001</v>
          </cell>
          <cell r="Q82">
            <v>133.61000000000001</v>
          </cell>
          <cell r="R82">
            <v>1060.7</v>
          </cell>
          <cell r="S82">
            <v>1100.7</v>
          </cell>
          <cell r="T82">
            <v>1725.08</v>
          </cell>
          <cell r="U82">
            <v>1725.08</v>
          </cell>
          <cell r="V82">
            <v>1725.08</v>
          </cell>
          <cell r="W82">
            <v>1725.08</v>
          </cell>
          <cell r="X82">
            <v>1725.08</v>
          </cell>
          <cell r="Y82">
            <v>1725.08</v>
          </cell>
          <cell r="Z82">
            <v>1725.08</v>
          </cell>
          <cell r="AA82">
            <v>5314.75</v>
          </cell>
          <cell r="AB82">
            <v>2344.84</v>
          </cell>
          <cell r="AC82">
            <v>1725.08</v>
          </cell>
          <cell r="AD82">
            <v>1725.08</v>
          </cell>
          <cell r="AE82">
            <v>1725.08</v>
          </cell>
          <cell r="AF82">
            <v>1725.08</v>
          </cell>
          <cell r="AG82">
            <v>1732.94</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row>
        <row r="83">
          <cell r="C83" t="str">
            <v>AR IC Emera Inc</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85.5</v>
          </cell>
          <cell r="BR83">
            <v>85.5</v>
          </cell>
          <cell r="BS83">
            <v>85.5</v>
          </cell>
          <cell r="BT83">
            <v>585.5</v>
          </cell>
          <cell r="BU83">
            <v>585.5</v>
          </cell>
          <cell r="BV83">
            <v>0</v>
          </cell>
          <cell r="BW83">
            <v>0</v>
          </cell>
          <cell r="BX83">
            <v>0</v>
          </cell>
          <cell r="BY83">
            <v>0</v>
          </cell>
          <cell r="BZ83">
            <v>3814</v>
          </cell>
          <cell r="CA83">
            <v>3814</v>
          </cell>
          <cell r="CB83">
            <v>3814</v>
          </cell>
          <cell r="CC83">
            <v>3814</v>
          </cell>
          <cell r="CD83">
            <v>3814</v>
          </cell>
          <cell r="CE83">
            <v>3814</v>
          </cell>
          <cell r="CF83">
            <v>3814</v>
          </cell>
          <cell r="CG83">
            <v>3964</v>
          </cell>
          <cell r="CH83">
            <v>3964</v>
          </cell>
          <cell r="CI83">
            <v>0</v>
          </cell>
          <cell r="CJ83">
            <v>0</v>
          </cell>
          <cell r="CK83">
            <v>18.66</v>
          </cell>
          <cell r="CL83">
            <v>37.5</v>
          </cell>
          <cell r="CM83">
            <v>14383.69</v>
          </cell>
          <cell r="CN83">
            <v>0</v>
          </cell>
          <cell r="CO83">
            <v>18584.669999999998</v>
          </cell>
          <cell r="CP83">
            <v>0</v>
          </cell>
          <cell r="CQ83">
            <v>0</v>
          </cell>
          <cell r="CR83">
            <v>0</v>
          </cell>
          <cell r="CS83">
            <v>0</v>
          </cell>
          <cell r="CT83">
            <v>0</v>
          </cell>
          <cell r="CU83">
            <v>0</v>
          </cell>
          <cell r="CV83">
            <v>0</v>
          </cell>
          <cell r="CW83">
            <v>0</v>
          </cell>
          <cell r="CX83">
            <v>26.28</v>
          </cell>
          <cell r="CY83">
            <v>0</v>
          </cell>
          <cell r="CZ83">
            <v>0</v>
          </cell>
          <cell r="DA83">
            <v>0</v>
          </cell>
          <cell r="DB83">
            <v>0</v>
          </cell>
          <cell r="DC83">
            <v>0</v>
          </cell>
          <cell r="DD83">
            <v>1496.92</v>
          </cell>
          <cell r="DE83">
            <v>1496.92</v>
          </cell>
          <cell r="DF83">
            <v>0</v>
          </cell>
          <cell r="DG83">
            <v>0</v>
          </cell>
          <cell r="DH83">
            <v>10000</v>
          </cell>
        </row>
        <row r="84">
          <cell r="C84" t="str">
            <v>Int Rec IC Recon</v>
          </cell>
          <cell r="D84">
            <v>2047.8</v>
          </cell>
          <cell r="E84">
            <v>2047.8</v>
          </cell>
          <cell r="F84">
            <v>2047.8</v>
          </cell>
          <cell r="G84">
            <v>2047.8</v>
          </cell>
          <cell r="H84">
            <v>2047.8</v>
          </cell>
          <cell r="I84">
            <v>2047.8</v>
          </cell>
          <cell r="J84">
            <v>2047.8</v>
          </cell>
          <cell r="K84">
            <v>2047.8</v>
          </cell>
          <cell r="L84">
            <v>2047.8</v>
          </cell>
          <cell r="M84">
            <v>2047.8</v>
          </cell>
          <cell r="N84">
            <v>2047.8</v>
          </cell>
          <cell r="O84">
            <v>2047.8</v>
          </cell>
          <cell r="P84">
            <v>2047.8</v>
          </cell>
          <cell r="Q84">
            <v>2047.8</v>
          </cell>
          <cell r="R84">
            <v>2047.8</v>
          </cell>
          <cell r="S84">
            <v>2047.8</v>
          </cell>
          <cell r="T84">
            <v>2047.8</v>
          </cell>
          <cell r="U84">
            <v>2047.8</v>
          </cell>
          <cell r="V84">
            <v>2047.8</v>
          </cell>
          <cell r="W84">
            <v>2047.8</v>
          </cell>
          <cell r="X84">
            <v>2047.8</v>
          </cell>
          <cell r="Y84">
            <v>2047.8</v>
          </cell>
          <cell r="Z84">
            <v>2047.8</v>
          </cell>
          <cell r="AA84">
            <v>2047.8</v>
          </cell>
          <cell r="AB84">
            <v>2047.8</v>
          </cell>
          <cell r="AC84">
            <v>2047.8</v>
          </cell>
          <cell r="AD84">
            <v>2047.8</v>
          </cell>
          <cell r="AE84">
            <v>2047.8</v>
          </cell>
          <cell r="AF84">
            <v>2047.8</v>
          </cell>
          <cell r="AG84">
            <v>2047.8</v>
          </cell>
          <cell r="AH84">
            <v>2047.8</v>
          </cell>
          <cell r="AI84">
            <v>2047.8</v>
          </cell>
          <cell r="AJ84">
            <v>2047.8</v>
          </cell>
          <cell r="AK84">
            <v>2047.8</v>
          </cell>
          <cell r="AL84">
            <v>2047.8</v>
          </cell>
          <cell r="AM84">
            <v>2047.8</v>
          </cell>
          <cell r="AN84">
            <v>2047.8</v>
          </cell>
          <cell r="AO84">
            <v>2047.8</v>
          </cell>
          <cell r="AP84">
            <v>2047.8</v>
          </cell>
          <cell r="AQ84">
            <v>2047.8</v>
          </cell>
          <cell r="AR84">
            <v>2047.8</v>
          </cell>
          <cell r="AS84">
            <v>2047.8</v>
          </cell>
          <cell r="AT84">
            <v>2047.8</v>
          </cell>
          <cell r="AU84">
            <v>2047.8</v>
          </cell>
          <cell r="AV84">
            <v>2047.8</v>
          </cell>
          <cell r="AW84">
            <v>2047.8</v>
          </cell>
          <cell r="AX84">
            <v>2047.8</v>
          </cell>
          <cell r="AY84">
            <v>2047.8</v>
          </cell>
          <cell r="AZ84">
            <v>2047.8</v>
          </cell>
          <cell r="BA84">
            <v>2047.8</v>
          </cell>
          <cell r="BB84">
            <v>2047.8</v>
          </cell>
          <cell r="BC84">
            <v>2047.8</v>
          </cell>
          <cell r="BD84">
            <v>2047.8</v>
          </cell>
          <cell r="BE84">
            <v>2047.8</v>
          </cell>
          <cell r="BF84">
            <v>2047.8</v>
          </cell>
          <cell r="BG84">
            <v>2047.8</v>
          </cell>
          <cell r="BH84">
            <v>2047.8</v>
          </cell>
          <cell r="BI84">
            <v>2047.8</v>
          </cell>
          <cell r="BJ84">
            <v>0</v>
          </cell>
          <cell r="BK84">
            <v>0</v>
          </cell>
          <cell r="BL84">
            <v>0</v>
          </cell>
          <cell r="BM84">
            <v>0</v>
          </cell>
          <cell r="BN84">
            <v>0</v>
          </cell>
          <cell r="BO84">
            <v>0</v>
          </cell>
          <cell r="BP84">
            <v>0</v>
          </cell>
          <cell r="BQ84">
            <v>0</v>
          </cell>
          <cell r="BR84">
            <v>0</v>
          </cell>
          <cell r="BS84">
            <v>0</v>
          </cell>
          <cell r="BT84">
            <v>0</v>
          </cell>
          <cell r="BU84">
            <v>0</v>
          </cell>
          <cell r="BV84"/>
          <cell r="BW84"/>
          <cell r="BX84"/>
          <cell r="BY84"/>
          <cell r="BZ84"/>
          <cell r="CA84"/>
          <cell r="CB84"/>
          <cell r="CC84"/>
          <cell r="CD84"/>
          <cell r="CE84"/>
          <cell r="CF84"/>
          <cell r="CG84"/>
          <cell r="CH84"/>
          <cell r="CI84"/>
          <cell r="CJ84"/>
          <cell r="CK84">
            <v>9413.48</v>
          </cell>
          <cell r="CL84">
            <v>18872.66</v>
          </cell>
          <cell r="CM84">
            <v>28102.49</v>
          </cell>
          <cell r="CN84">
            <v>4897.04</v>
          </cell>
          <cell r="CO84">
            <v>10909.71</v>
          </cell>
          <cell r="CP84">
            <v>4635.07</v>
          </cell>
          <cell r="CQ84">
            <v>2076.81</v>
          </cell>
          <cell r="CR84">
            <v>2131.5</v>
          </cell>
          <cell r="CS84">
            <v>1986.29</v>
          </cell>
          <cell r="CT84">
            <v>1910.9</v>
          </cell>
          <cell r="CU84">
            <v>1944.63</v>
          </cell>
          <cell r="CV84">
            <v>2449.88</v>
          </cell>
          <cell r="CW84">
            <v>2657.93</v>
          </cell>
          <cell r="CX84">
            <v>2452.38</v>
          </cell>
          <cell r="CY84">
            <v>7580.94</v>
          </cell>
          <cell r="CZ84">
            <v>9835.57</v>
          </cell>
          <cell r="DA84">
            <v>10685.54</v>
          </cell>
          <cell r="DB84">
            <v>13833.3</v>
          </cell>
          <cell r="DC84">
            <v>17837.21</v>
          </cell>
          <cell r="DD84">
            <v>25658.32</v>
          </cell>
          <cell r="DE84">
            <v>29496.400000000001</v>
          </cell>
          <cell r="DF84">
            <v>31965.72</v>
          </cell>
          <cell r="DG84">
            <v>35430.39</v>
          </cell>
          <cell r="DH84">
            <v>39515.410000000003</v>
          </cell>
        </row>
        <row r="85">
          <cell r="C85" t="str">
            <v>Divid Rec IC Recon</v>
          </cell>
          <cell r="D85">
            <v>0</v>
          </cell>
          <cell r="E85">
            <v>595844.98</v>
          </cell>
          <cell r="F85">
            <v>0</v>
          </cell>
          <cell r="G85">
            <v>0</v>
          </cell>
          <cell r="H85">
            <v>718889.62</v>
          </cell>
          <cell r="I85">
            <v>0</v>
          </cell>
          <cell r="J85">
            <v>0</v>
          </cell>
          <cell r="K85">
            <v>665875.13</v>
          </cell>
          <cell r="L85">
            <v>0</v>
          </cell>
          <cell r="M85">
            <v>0</v>
          </cell>
          <cell r="N85">
            <v>700855.31</v>
          </cell>
          <cell r="O85">
            <v>0</v>
          </cell>
          <cell r="P85">
            <v>0</v>
          </cell>
          <cell r="Q85">
            <v>0</v>
          </cell>
          <cell r="R85">
            <v>531346.68999999994</v>
          </cell>
          <cell r="S85">
            <v>0</v>
          </cell>
          <cell r="T85">
            <v>794540.33</v>
          </cell>
          <cell r="U85">
            <v>0</v>
          </cell>
          <cell r="V85">
            <v>0</v>
          </cell>
          <cell r="W85">
            <v>492195.91</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997358.54</v>
          </cell>
          <cell r="CO85">
            <v>0</v>
          </cell>
          <cell r="CP85">
            <v>0</v>
          </cell>
          <cell r="CQ85">
            <v>0</v>
          </cell>
          <cell r="CR85">
            <v>0</v>
          </cell>
          <cell r="CS85">
            <v>0</v>
          </cell>
          <cell r="CT85">
            <v>0</v>
          </cell>
          <cell r="CU85">
            <v>0</v>
          </cell>
          <cell r="CV85">
            <v>0</v>
          </cell>
          <cell r="CW85">
            <v>0</v>
          </cell>
          <cell r="CX85">
            <v>0</v>
          </cell>
          <cell r="CY85">
            <v>0</v>
          </cell>
          <cell r="CZ85">
            <v>871938.8</v>
          </cell>
          <cell r="DA85">
            <v>0</v>
          </cell>
          <cell r="DB85">
            <v>0</v>
          </cell>
          <cell r="DC85">
            <v>0</v>
          </cell>
          <cell r="DD85">
            <v>0</v>
          </cell>
          <cell r="DE85">
            <v>0</v>
          </cell>
          <cell r="DF85">
            <v>1062156.04</v>
          </cell>
          <cell r="DG85">
            <v>0</v>
          </cell>
          <cell r="DH85">
            <v>0</v>
          </cell>
        </row>
        <row r="86">
          <cell r="C86" t="str">
            <v>AR IC CRM-OneBill</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row>
        <row r="87">
          <cell r="C87" t="str">
            <v>AR IC CRM-TEC</v>
          </cell>
          <cell r="D87"/>
          <cell r="E87"/>
          <cell r="F87"/>
          <cell r="G87"/>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row>
        <row r="88">
          <cell r="C88" t="str">
            <v>AR IC CRM-TPI</v>
          </cell>
          <cell r="D88"/>
          <cell r="E88"/>
          <cell r="F88"/>
          <cell r="G88"/>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row>
        <row r="89">
          <cell r="C89" t="str">
            <v>AR IC EmeraSAP Recon</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v>0</v>
          </cell>
          <cell r="BH89">
            <v>4029.56</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row>
        <row r="90">
          <cell r="C90" t="str">
            <v>Trade Receivable-Emera Intercompany (RECON)</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v>60493.56</v>
          </cell>
          <cell r="CI90">
            <v>9889.69</v>
          </cell>
          <cell r="CJ90">
            <v>10225.68</v>
          </cell>
          <cell r="CK90">
            <v>10225.68</v>
          </cell>
          <cell r="CL90">
            <v>10225.68</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0.01</v>
          </cell>
          <cell r="DC90">
            <v>0.01</v>
          </cell>
          <cell r="DD90">
            <v>0.01</v>
          </cell>
          <cell r="DE90">
            <v>0.09</v>
          </cell>
          <cell r="DF90">
            <v>0.09</v>
          </cell>
          <cell r="DG90">
            <v>0.09</v>
          </cell>
          <cell r="DH90">
            <v>0.09</v>
          </cell>
        </row>
        <row r="91">
          <cell r="C91" t="str">
            <v>AR IC Emera Posting</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v>0</v>
          </cell>
          <cell r="AP91">
            <v>0</v>
          </cell>
          <cell r="AQ91">
            <v>0</v>
          </cell>
          <cell r="AR91">
            <v>0</v>
          </cell>
          <cell r="AS91">
            <v>0</v>
          </cell>
          <cell r="AT91">
            <v>0</v>
          </cell>
          <cell r="AU91">
            <v>0</v>
          </cell>
          <cell r="AV91">
            <v>0</v>
          </cell>
          <cell r="AW91">
            <v>0</v>
          </cell>
          <cell r="AX91">
            <v>0</v>
          </cell>
          <cell r="AY91">
            <v>0</v>
          </cell>
          <cell r="AZ91">
            <v>1268</v>
          </cell>
          <cell r="BA91">
            <v>0</v>
          </cell>
          <cell r="BB91">
            <v>0</v>
          </cell>
          <cell r="BC91">
            <v>0</v>
          </cell>
          <cell r="BD91">
            <v>0</v>
          </cell>
          <cell r="BE91">
            <v>0</v>
          </cell>
          <cell r="BF91">
            <v>4340</v>
          </cell>
          <cell r="BG91">
            <v>0</v>
          </cell>
          <cell r="BH91">
            <v>0</v>
          </cell>
          <cell r="BI91">
            <v>15110.7</v>
          </cell>
          <cell r="BJ91">
            <v>0</v>
          </cell>
          <cell r="BK91">
            <v>0</v>
          </cell>
          <cell r="BL91">
            <v>14235</v>
          </cell>
          <cell r="BM91">
            <v>0</v>
          </cell>
          <cell r="BN91">
            <v>0</v>
          </cell>
          <cell r="BO91">
            <v>0</v>
          </cell>
          <cell r="BP91">
            <v>38130.42</v>
          </cell>
          <cell r="BQ91">
            <v>2480</v>
          </cell>
          <cell r="BR91">
            <v>0</v>
          </cell>
          <cell r="BS91">
            <v>0</v>
          </cell>
          <cell r="BT91">
            <v>0</v>
          </cell>
          <cell r="BU91">
            <v>0</v>
          </cell>
          <cell r="BV91">
            <v>0</v>
          </cell>
          <cell r="BW91">
            <v>0</v>
          </cell>
          <cell r="BX91">
            <v>93068</v>
          </cell>
          <cell r="BY91">
            <v>62828</v>
          </cell>
          <cell r="BZ91">
            <v>65389</v>
          </cell>
          <cell r="CA91">
            <v>85545</v>
          </cell>
          <cell r="CB91">
            <v>45003</v>
          </cell>
          <cell r="CC91">
            <v>69677</v>
          </cell>
          <cell r="CD91">
            <v>88296.5</v>
          </cell>
          <cell r="CE91">
            <v>59767</v>
          </cell>
          <cell r="CF91">
            <v>535321</v>
          </cell>
          <cell r="CG91">
            <v>255654.86</v>
          </cell>
          <cell r="CH91">
            <v>216829.37</v>
          </cell>
          <cell r="CI91">
            <v>273966.83</v>
          </cell>
          <cell r="CJ91">
            <v>265557.40999999997</v>
          </cell>
          <cell r="CK91">
            <v>207052.58</v>
          </cell>
          <cell r="CL91">
            <v>361102.67</v>
          </cell>
          <cell r="CM91">
            <v>268533.11</v>
          </cell>
          <cell r="CN91">
            <v>254956.27</v>
          </cell>
          <cell r="CO91">
            <v>487811.96</v>
          </cell>
          <cell r="CP91">
            <v>1623672.09</v>
          </cell>
          <cell r="CQ91">
            <v>2578706.04</v>
          </cell>
          <cell r="CR91">
            <v>2391309.62</v>
          </cell>
          <cell r="CS91">
            <v>1174824.8600000001</v>
          </cell>
          <cell r="CT91">
            <v>1478902.4</v>
          </cell>
          <cell r="CU91">
            <v>265505.61</v>
          </cell>
          <cell r="CV91">
            <v>243017.09</v>
          </cell>
          <cell r="CW91">
            <v>1168548.56</v>
          </cell>
          <cell r="CX91">
            <v>254460.39</v>
          </cell>
          <cell r="CY91">
            <v>1619546.36</v>
          </cell>
          <cell r="CZ91">
            <v>233080.91</v>
          </cell>
          <cell r="DA91">
            <v>4503860.24</v>
          </cell>
          <cell r="DB91">
            <v>6456321.3799999999</v>
          </cell>
          <cell r="DC91">
            <v>3408609.92</v>
          </cell>
          <cell r="DD91">
            <v>4656639.3899999997</v>
          </cell>
          <cell r="DE91">
            <v>3330609.55</v>
          </cell>
          <cell r="DF91">
            <v>426380.08</v>
          </cell>
          <cell r="DG91">
            <v>368934.55</v>
          </cell>
          <cell r="DH91">
            <v>1547116.99</v>
          </cell>
        </row>
        <row r="92">
          <cell r="C92" t="str">
            <v>Fuel Stock - Natural</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row>
        <row r="93">
          <cell r="C93" t="str">
            <v>Plant M&amp;S RECON</v>
          </cell>
          <cell r="D93">
            <v>3062782.86</v>
          </cell>
          <cell r="E93">
            <v>2461744.83</v>
          </cell>
          <cell r="F93">
            <v>2565528.77</v>
          </cell>
          <cell r="G93">
            <v>2101725.61</v>
          </cell>
          <cell r="H93">
            <v>2087172.27</v>
          </cell>
          <cell r="I93">
            <v>1883606.53</v>
          </cell>
          <cell r="J93">
            <v>1960379.72</v>
          </cell>
          <cell r="K93">
            <v>1886869.5</v>
          </cell>
          <cell r="L93">
            <v>1975215.06</v>
          </cell>
          <cell r="M93">
            <v>1938993.96</v>
          </cell>
          <cell r="N93">
            <v>1755238.86</v>
          </cell>
          <cell r="O93">
            <v>1763112.05</v>
          </cell>
          <cell r="P93">
            <v>1799639.2</v>
          </cell>
          <cell r="Q93">
            <v>1795256.79</v>
          </cell>
          <cell r="R93">
            <v>1882330.62</v>
          </cell>
          <cell r="S93">
            <v>1995646.83</v>
          </cell>
          <cell r="T93">
            <v>1941364.49</v>
          </cell>
          <cell r="U93">
            <v>1971050.56</v>
          </cell>
          <cell r="V93">
            <v>2109939.8199999998</v>
          </cell>
          <cell r="W93">
            <v>2392366.35</v>
          </cell>
          <cell r="X93">
            <v>2373514.0699999998</v>
          </cell>
          <cell r="Y93">
            <v>2155566.11</v>
          </cell>
          <cell r="Z93">
            <v>2415372.61</v>
          </cell>
          <cell r="AA93">
            <v>1793094.38</v>
          </cell>
          <cell r="AB93">
            <v>2065067.07</v>
          </cell>
          <cell r="AC93">
            <v>1876254.86</v>
          </cell>
          <cell r="AD93">
            <v>1981157.8</v>
          </cell>
          <cell r="AE93">
            <v>1959619.57</v>
          </cell>
          <cell r="AF93">
            <v>1899603.24</v>
          </cell>
          <cell r="AG93">
            <v>2257611.46</v>
          </cell>
          <cell r="AH93">
            <v>2468008.77</v>
          </cell>
          <cell r="AI93">
            <v>1956116.69</v>
          </cell>
          <cell r="AJ93">
            <v>1919024.36</v>
          </cell>
          <cell r="AK93">
            <v>2077150.46</v>
          </cell>
          <cell r="AL93">
            <v>1860636.12</v>
          </cell>
          <cell r="AM93">
            <v>1623395.73</v>
          </cell>
          <cell r="AN93">
            <v>1653159.73</v>
          </cell>
          <cell r="AO93">
            <v>1858855.81</v>
          </cell>
          <cell r="AP93">
            <v>1904817.91</v>
          </cell>
          <cell r="AQ93">
            <v>1988687.66</v>
          </cell>
          <cell r="AR93">
            <v>1926638.87</v>
          </cell>
          <cell r="AS93">
            <v>2100729.92</v>
          </cell>
          <cell r="AT93">
            <v>2046668.36</v>
          </cell>
          <cell r="AU93">
            <v>2071037.68</v>
          </cell>
          <cell r="AV93">
            <v>2016818.42</v>
          </cell>
          <cell r="AW93">
            <v>2131647.7999999998</v>
          </cell>
          <cell r="AX93">
            <v>2042216.68</v>
          </cell>
          <cell r="AY93">
            <v>1900584.82</v>
          </cell>
          <cell r="AZ93">
            <v>1887695.39</v>
          </cell>
          <cell r="BA93">
            <v>2070997.65</v>
          </cell>
          <cell r="BB93">
            <v>2149876.11</v>
          </cell>
          <cell r="BC93">
            <v>2006690.32</v>
          </cell>
          <cell r="BD93">
            <v>1972097.67</v>
          </cell>
          <cell r="BE93">
            <v>2190177.17</v>
          </cell>
          <cell r="BF93">
            <v>2163452.0299999998</v>
          </cell>
          <cell r="BG93">
            <v>2125576.85</v>
          </cell>
          <cell r="BH93">
            <v>2476378.0499999998</v>
          </cell>
          <cell r="BI93">
            <v>2741218.33</v>
          </cell>
          <cell r="BJ93">
            <v>2360109.85</v>
          </cell>
          <cell r="BK93">
            <v>2172177.2200000002</v>
          </cell>
          <cell r="BL93">
            <v>2073130.1</v>
          </cell>
          <cell r="BM93">
            <v>2183604.33</v>
          </cell>
          <cell r="BN93">
            <v>2363788.79</v>
          </cell>
          <cell r="BO93">
            <v>2385549.1</v>
          </cell>
          <cell r="BP93">
            <v>2474715.5499999998</v>
          </cell>
          <cell r="BQ93">
            <v>2512819.36</v>
          </cell>
          <cell r="BR93">
            <v>2780054.56</v>
          </cell>
          <cell r="BS93">
            <v>2687237.82</v>
          </cell>
          <cell r="BT93">
            <v>2783190.01</v>
          </cell>
          <cell r="BU93">
            <v>2571701.88</v>
          </cell>
          <cell r="BV93">
            <v>2738670.95</v>
          </cell>
          <cell r="BW93">
            <v>2709384.59</v>
          </cell>
          <cell r="BX93">
            <v>2401228.73</v>
          </cell>
          <cell r="BY93">
            <v>2400792.73</v>
          </cell>
          <cell r="BZ93">
            <v>2617789.75</v>
          </cell>
          <cell r="CA93">
            <v>2444409.17</v>
          </cell>
          <cell r="CB93">
            <v>2661159.0499999998</v>
          </cell>
          <cell r="CC93">
            <v>2807189.21</v>
          </cell>
          <cell r="CD93">
            <v>2832085.74</v>
          </cell>
          <cell r="CE93">
            <v>2649768.37</v>
          </cell>
          <cell r="CF93">
            <v>2895960.3</v>
          </cell>
          <cell r="CG93">
            <v>2763278.25</v>
          </cell>
          <cell r="CH93">
            <v>3044537</v>
          </cell>
          <cell r="CI93">
            <v>2851203.61</v>
          </cell>
          <cell r="CJ93">
            <v>2998336.09</v>
          </cell>
          <cell r="CK93">
            <v>3185968.43</v>
          </cell>
          <cell r="CL93">
            <v>3089869.03</v>
          </cell>
          <cell r="CM93">
            <v>3262009.15</v>
          </cell>
          <cell r="CN93">
            <v>3750227.49</v>
          </cell>
          <cell r="CO93">
            <v>3835254.8</v>
          </cell>
          <cell r="CP93">
            <v>4186310.55</v>
          </cell>
          <cell r="CQ93">
            <v>3842946.45</v>
          </cell>
          <cell r="CR93">
            <v>4056172.35</v>
          </cell>
          <cell r="CS93">
            <v>4544331.8499999996</v>
          </cell>
          <cell r="CT93">
            <v>4167012.26</v>
          </cell>
          <cell r="CU93">
            <v>4010626.99</v>
          </cell>
          <cell r="CV93">
            <v>2635011.9900000002</v>
          </cell>
          <cell r="CW93">
            <v>3634159.02</v>
          </cell>
          <cell r="CX93">
            <v>3462773.67</v>
          </cell>
          <cell r="CY93">
            <v>3847498.79</v>
          </cell>
          <cell r="CZ93">
            <v>4272214.34</v>
          </cell>
          <cell r="DA93">
            <v>4533297.7300000004</v>
          </cell>
          <cell r="DB93">
            <v>4553497.25</v>
          </cell>
          <cell r="DC93">
            <v>4636479.63</v>
          </cell>
          <cell r="DD93">
            <v>4527009.3</v>
          </cell>
          <cell r="DE93">
            <v>5185663.9400000004</v>
          </cell>
          <cell r="DF93">
            <v>6167061.3200000003</v>
          </cell>
          <cell r="DG93">
            <v>6268299.8899999997</v>
          </cell>
          <cell r="DH93">
            <v>4817154.4800000004</v>
          </cell>
        </row>
        <row r="94">
          <cell r="C94" t="str">
            <v>Plant M&amp;S Posting</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121567.51</v>
          </cell>
          <cell r="AB94">
            <v>0</v>
          </cell>
          <cell r="AC94">
            <v>0</v>
          </cell>
          <cell r="AD94">
            <v>0</v>
          </cell>
          <cell r="AE94">
            <v>0</v>
          </cell>
          <cell r="AF94">
            <v>0</v>
          </cell>
          <cell r="AG94">
            <v>0</v>
          </cell>
          <cell r="AH94">
            <v>-659863.47</v>
          </cell>
          <cell r="AI94">
            <v>0</v>
          </cell>
          <cell r="AJ94">
            <v>0</v>
          </cell>
          <cell r="AK94">
            <v>0</v>
          </cell>
          <cell r="AL94">
            <v>0</v>
          </cell>
          <cell r="AM94">
            <v>0</v>
          </cell>
          <cell r="AN94">
            <v>47542.67</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row>
        <row r="95">
          <cell r="C95" t="str">
            <v>Gas Stored-Current</v>
          </cell>
          <cell r="D95">
            <v>0</v>
          </cell>
          <cell r="E95">
            <v>0</v>
          </cell>
          <cell r="F95">
            <v>0</v>
          </cell>
          <cell r="G95">
            <v>0</v>
          </cell>
          <cell r="H95">
            <v>0</v>
          </cell>
          <cell r="I95">
            <v>915628.68</v>
          </cell>
          <cell r="J95">
            <v>674234.7</v>
          </cell>
          <cell r="K95">
            <v>566433.19999999995</v>
          </cell>
          <cell r="L95">
            <v>526874.73</v>
          </cell>
          <cell r="M95">
            <v>526874.73</v>
          </cell>
          <cell r="N95">
            <v>371458.67</v>
          </cell>
          <cell r="O95">
            <v>371458.67</v>
          </cell>
          <cell r="P95">
            <v>0.09</v>
          </cell>
          <cell r="Q95">
            <v>0.09</v>
          </cell>
          <cell r="R95">
            <v>126382.76</v>
          </cell>
          <cell r="S95">
            <v>126462.97</v>
          </cell>
          <cell r="T95">
            <v>303357.52</v>
          </cell>
          <cell r="U95">
            <v>328220.69</v>
          </cell>
          <cell r="V95">
            <v>152306.04</v>
          </cell>
          <cell r="W95">
            <v>275336.45</v>
          </cell>
          <cell r="X95">
            <v>188053.91</v>
          </cell>
          <cell r="Y95">
            <v>274691.52</v>
          </cell>
          <cell r="Z95">
            <v>274691.52</v>
          </cell>
          <cell r="AA95">
            <v>158626.06</v>
          </cell>
          <cell r="AB95">
            <v>234990.37</v>
          </cell>
          <cell r="AC95">
            <v>116977.52</v>
          </cell>
          <cell r="AD95">
            <v>141290.51999999999</v>
          </cell>
          <cell r="AE95">
            <v>180751.19</v>
          </cell>
          <cell r="AF95">
            <v>128606.99</v>
          </cell>
          <cell r="AG95">
            <v>175062.51</v>
          </cell>
          <cell r="AH95">
            <v>175779.32</v>
          </cell>
          <cell r="AI95">
            <v>159177.10999999999</v>
          </cell>
          <cell r="AJ95">
            <v>610201.92000000004</v>
          </cell>
          <cell r="AK95">
            <v>610201.92000000004</v>
          </cell>
          <cell r="AL95">
            <v>537006.63</v>
          </cell>
          <cell r="AM95">
            <v>537006.63</v>
          </cell>
          <cell r="AN95">
            <v>376420.21</v>
          </cell>
          <cell r="AO95">
            <v>332841.99</v>
          </cell>
          <cell r="AP95">
            <v>441100.59</v>
          </cell>
          <cell r="AQ95">
            <v>276589.73</v>
          </cell>
          <cell r="AR95">
            <v>326172.79999999999</v>
          </cell>
          <cell r="AS95">
            <v>326172.79999999999</v>
          </cell>
          <cell r="AT95">
            <v>467078.08</v>
          </cell>
          <cell r="AU95">
            <v>344971.23</v>
          </cell>
          <cell r="AV95">
            <v>354483.55</v>
          </cell>
          <cell r="AW95">
            <v>-2.37</v>
          </cell>
          <cell r="AX95">
            <v>-2.37</v>
          </cell>
          <cell r="AY95">
            <v>-2.37</v>
          </cell>
          <cell r="AZ95">
            <v>-2.37</v>
          </cell>
          <cell r="BA95">
            <v>-2.37</v>
          </cell>
          <cell r="BB95">
            <v>-2.37</v>
          </cell>
          <cell r="BC95">
            <v>-2.37</v>
          </cell>
          <cell r="BD95">
            <v>-2.37</v>
          </cell>
          <cell r="BE95">
            <v>-2.37</v>
          </cell>
          <cell r="BF95">
            <v>-2.37</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995777.75</v>
          </cell>
          <cell r="CV95">
            <v>864732.09</v>
          </cell>
          <cell r="CW95">
            <v>891567.41</v>
          </cell>
          <cell r="CX95">
            <v>785937.6</v>
          </cell>
          <cell r="CY95">
            <v>566425.01</v>
          </cell>
          <cell r="CZ95">
            <v>566425.01</v>
          </cell>
          <cell r="DA95">
            <v>566425.01</v>
          </cell>
          <cell r="DB95">
            <v>708429.13</v>
          </cell>
          <cell r="DC95">
            <v>708429.13</v>
          </cell>
          <cell r="DD95">
            <v>703621.83</v>
          </cell>
          <cell r="DE95">
            <v>769733.98</v>
          </cell>
          <cell r="DF95">
            <v>933797.04</v>
          </cell>
          <cell r="DG95">
            <v>959432.51</v>
          </cell>
          <cell r="DH95">
            <v>413689.47</v>
          </cell>
        </row>
        <row r="96">
          <cell r="C96" t="str">
            <v>Prepaid Permits</v>
          </cell>
          <cell r="D96">
            <v>82000</v>
          </cell>
          <cell r="E96">
            <v>82000</v>
          </cell>
          <cell r="F96">
            <v>82000</v>
          </cell>
          <cell r="G96">
            <v>82000</v>
          </cell>
          <cell r="H96">
            <v>82000</v>
          </cell>
          <cell r="I96">
            <v>82000</v>
          </cell>
          <cell r="J96">
            <v>82000</v>
          </cell>
          <cell r="K96">
            <v>82000</v>
          </cell>
          <cell r="L96">
            <v>82000</v>
          </cell>
          <cell r="M96">
            <v>82000</v>
          </cell>
          <cell r="N96">
            <v>82000</v>
          </cell>
          <cell r="O96">
            <v>82000</v>
          </cell>
          <cell r="P96">
            <v>82000</v>
          </cell>
          <cell r="Q96">
            <v>82000</v>
          </cell>
          <cell r="R96">
            <v>82000</v>
          </cell>
          <cell r="S96">
            <v>82000</v>
          </cell>
          <cell r="T96">
            <v>82000</v>
          </cell>
          <cell r="U96">
            <v>82000</v>
          </cell>
          <cell r="V96">
            <v>82000</v>
          </cell>
          <cell r="W96">
            <v>82000</v>
          </cell>
          <cell r="X96">
            <v>82000</v>
          </cell>
          <cell r="Y96">
            <v>82000</v>
          </cell>
          <cell r="Z96">
            <v>82000</v>
          </cell>
          <cell r="AA96">
            <v>0</v>
          </cell>
          <cell r="AB96">
            <v>82000</v>
          </cell>
          <cell r="AC96">
            <v>82000</v>
          </cell>
          <cell r="AD96">
            <v>82000</v>
          </cell>
          <cell r="AE96">
            <v>82000</v>
          </cell>
          <cell r="AF96">
            <v>82000</v>
          </cell>
          <cell r="AG96">
            <v>82000</v>
          </cell>
          <cell r="AH96">
            <v>82000</v>
          </cell>
          <cell r="AI96">
            <v>82000</v>
          </cell>
          <cell r="AJ96">
            <v>82000</v>
          </cell>
          <cell r="AK96">
            <v>82000</v>
          </cell>
          <cell r="AL96">
            <v>82000</v>
          </cell>
          <cell r="AM96">
            <v>82000</v>
          </cell>
          <cell r="AN96">
            <v>82000</v>
          </cell>
          <cell r="AO96">
            <v>82000</v>
          </cell>
          <cell r="AP96">
            <v>82000</v>
          </cell>
          <cell r="AQ96">
            <v>82000</v>
          </cell>
          <cell r="AR96">
            <v>82000</v>
          </cell>
          <cell r="AS96">
            <v>82000</v>
          </cell>
          <cell r="AT96">
            <v>82000</v>
          </cell>
          <cell r="AU96">
            <v>82000</v>
          </cell>
          <cell r="AV96">
            <v>82000</v>
          </cell>
          <cell r="AW96">
            <v>82000</v>
          </cell>
          <cell r="AX96">
            <v>82000</v>
          </cell>
          <cell r="AY96">
            <v>82000</v>
          </cell>
          <cell r="AZ96">
            <v>0</v>
          </cell>
          <cell r="BA96">
            <v>82000</v>
          </cell>
          <cell r="BB96">
            <v>82000</v>
          </cell>
          <cell r="BC96">
            <v>82000</v>
          </cell>
          <cell r="BD96">
            <v>82000</v>
          </cell>
          <cell r="BE96">
            <v>82000</v>
          </cell>
          <cell r="BF96">
            <v>82000</v>
          </cell>
          <cell r="BG96">
            <v>82000</v>
          </cell>
          <cell r="BH96">
            <v>82000</v>
          </cell>
          <cell r="BI96">
            <v>82000</v>
          </cell>
          <cell r="BJ96">
            <v>82000</v>
          </cell>
          <cell r="BK96">
            <v>82000</v>
          </cell>
          <cell r="BL96">
            <v>0</v>
          </cell>
          <cell r="BM96">
            <v>0</v>
          </cell>
          <cell r="BN96">
            <v>82000</v>
          </cell>
          <cell r="BO96">
            <v>82000</v>
          </cell>
          <cell r="BP96">
            <v>82000</v>
          </cell>
          <cell r="BQ96">
            <v>82000</v>
          </cell>
          <cell r="BR96">
            <v>82000</v>
          </cell>
          <cell r="BS96">
            <v>82000</v>
          </cell>
          <cell r="BT96">
            <v>82000</v>
          </cell>
          <cell r="BU96">
            <v>82000</v>
          </cell>
          <cell r="BV96">
            <v>82000</v>
          </cell>
          <cell r="BW96">
            <v>82000</v>
          </cell>
          <cell r="BX96">
            <v>82000</v>
          </cell>
          <cell r="BY96">
            <v>82000</v>
          </cell>
          <cell r="BZ96">
            <v>82000</v>
          </cell>
          <cell r="CA96">
            <v>82000</v>
          </cell>
          <cell r="CB96">
            <v>82000</v>
          </cell>
          <cell r="CC96">
            <v>82000</v>
          </cell>
          <cell r="CD96">
            <v>82000</v>
          </cell>
          <cell r="CE96">
            <v>82000</v>
          </cell>
          <cell r="CF96">
            <v>82000</v>
          </cell>
          <cell r="CG96">
            <v>82000</v>
          </cell>
          <cell r="CH96">
            <v>82000</v>
          </cell>
          <cell r="CI96">
            <v>82000</v>
          </cell>
          <cell r="CJ96">
            <v>0</v>
          </cell>
          <cell r="CK96">
            <v>82000</v>
          </cell>
          <cell r="CL96">
            <v>82000</v>
          </cell>
          <cell r="CM96">
            <v>82000</v>
          </cell>
          <cell r="CN96">
            <v>82000</v>
          </cell>
          <cell r="CO96">
            <v>82000</v>
          </cell>
          <cell r="CP96">
            <v>82000</v>
          </cell>
          <cell r="CQ96">
            <v>82000</v>
          </cell>
          <cell r="CR96">
            <v>82000</v>
          </cell>
          <cell r="CS96">
            <v>82000</v>
          </cell>
          <cell r="CT96">
            <v>82000</v>
          </cell>
          <cell r="CU96">
            <v>82000</v>
          </cell>
          <cell r="CV96">
            <v>0</v>
          </cell>
          <cell r="CW96">
            <v>82000</v>
          </cell>
          <cell r="CX96">
            <v>82000</v>
          </cell>
          <cell r="CY96">
            <v>82000</v>
          </cell>
          <cell r="CZ96">
            <v>82000</v>
          </cell>
          <cell r="DA96">
            <v>82000</v>
          </cell>
          <cell r="DB96">
            <v>82000</v>
          </cell>
          <cell r="DC96">
            <v>82000</v>
          </cell>
          <cell r="DD96">
            <v>82000</v>
          </cell>
          <cell r="DE96">
            <v>82000</v>
          </cell>
          <cell r="DF96">
            <v>82000</v>
          </cell>
          <cell r="DG96">
            <v>82000</v>
          </cell>
          <cell r="DH96">
            <v>82000</v>
          </cell>
        </row>
        <row r="97">
          <cell r="C97" t="str">
            <v>Prepaid LOC Fees</v>
          </cell>
          <cell r="D97">
            <v>347596.04</v>
          </cell>
          <cell r="E97">
            <v>342317.08</v>
          </cell>
          <cell r="F97">
            <v>337673.71</v>
          </cell>
          <cell r="G97">
            <v>331749.09999999998</v>
          </cell>
          <cell r="H97">
            <v>325822.06</v>
          </cell>
          <cell r="I97">
            <v>313973.98</v>
          </cell>
          <cell r="J97">
            <v>319898.02</v>
          </cell>
          <cell r="K97">
            <v>308049.94</v>
          </cell>
          <cell r="L97">
            <v>302125.90000000002</v>
          </cell>
          <cell r="M97">
            <v>302335.11</v>
          </cell>
          <cell r="N97">
            <v>300062.55</v>
          </cell>
          <cell r="O97">
            <v>294138.51</v>
          </cell>
          <cell r="P97">
            <v>288214.46999999997</v>
          </cell>
          <cell r="Q97">
            <v>282290.43</v>
          </cell>
          <cell r="R97">
            <v>276366.39</v>
          </cell>
          <cell r="S97">
            <v>317317.34999999998</v>
          </cell>
          <cell r="T97">
            <v>311393.31</v>
          </cell>
          <cell r="U97">
            <v>305469.27</v>
          </cell>
          <cell r="V97">
            <v>299545.23</v>
          </cell>
          <cell r="W97">
            <v>293621.19</v>
          </cell>
          <cell r="X97">
            <v>287697.15000000002</v>
          </cell>
          <cell r="Y97">
            <v>281773.11</v>
          </cell>
          <cell r="Z97">
            <v>275849.07</v>
          </cell>
          <cell r="AA97">
            <v>264000.99</v>
          </cell>
          <cell r="AB97">
            <v>269925.03000000003</v>
          </cell>
          <cell r="AC97">
            <v>258076.95</v>
          </cell>
          <cell r="AD97">
            <v>252152.91</v>
          </cell>
          <cell r="AE97">
            <v>246228.87</v>
          </cell>
          <cell r="AF97">
            <v>240304.83</v>
          </cell>
          <cell r="AG97">
            <v>234380.79</v>
          </cell>
          <cell r="AH97">
            <v>228456.75</v>
          </cell>
          <cell r="AI97">
            <v>222532.71</v>
          </cell>
          <cell r="AJ97">
            <v>216608.67</v>
          </cell>
          <cell r="AK97">
            <v>210684.63</v>
          </cell>
          <cell r="AL97">
            <v>204760.59</v>
          </cell>
          <cell r="AM97">
            <v>198836.55</v>
          </cell>
          <cell r="AN97">
            <v>192912.51</v>
          </cell>
          <cell r="AO97">
            <v>186988.47</v>
          </cell>
          <cell r="AP97">
            <v>181064.43</v>
          </cell>
          <cell r="AQ97">
            <v>411416.89</v>
          </cell>
          <cell r="AR97">
            <v>360736.07</v>
          </cell>
          <cell r="AS97">
            <v>353562.58</v>
          </cell>
          <cell r="AT97">
            <v>346454.07</v>
          </cell>
          <cell r="AU97">
            <v>339279.44</v>
          </cell>
          <cell r="AV97">
            <v>332257.71000000002</v>
          </cell>
          <cell r="AW97">
            <v>325120.26</v>
          </cell>
          <cell r="AX97">
            <v>317942.11</v>
          </cell>
          <cell r="AY97">
            <v>310763.96000000002</v>
          </cell>
          <cell r="AZ97">
            <v>303585.81</v>
          </cell>
          <cell r="BA97">
            <v>296407.65999999997</v>
          </cell>
          <cell r="BB97">
            <v>289229.51</v>
          </cell>
          <cell r="BC97">
            <v>329091.65000000002</v>
          </cell>
          <cell r="BD97">
            <v>322504.44</v>
          </cell>
          <cell r="BE97">
            <v>316379.13</v>
          </cell>
          <cell r="BF97">
            <v>309089.64</v>
          </cell>
          <cell r="BG97">
            <v>301860.03999999998</v>
          </cell>
          <cell r="BH97">
            <v>294630.44</v>
          </cell>
          <cell r="BI97">
            <v>287400.84000000003</v>
          </cell>
          <cell r="BJ97">
            <v>280171.24</v>
          </cell>
          <cell r="BK97">
            <v>272941.64</v>
          </cell>
          <cell r="BL97">
            <v>265712.03999999998</v>
          </cell>
          <cell r="BM97">
            <v>258482.44</v>
          </cell>
          <cell r="BN97">
            <v>251252.84</v>
          </cell>
          <cell r="BO97">
            <v>244023.24</v>
          </cell>
          <cell r="BP97">
            <v>236793.64</v>
          </cell>
          <cell r="BQ97">
            <v>229564.04</v>
          </cell>
          <cell r="BR97">
            <v>222334.44</v>
          </cell>
          <cell r="BS97">
            <v>215104.84</v>
          </cell>
          <cell r="BT97">
            <v>207875.24</v>
          </cell>
          <cell r="BU97">
            <v>200645.64</v>
          </cell>
          <cell r="BV97">
            <v>193416.04</v>
          </cell>
          <cell r="BW97">
            <v>186186.44</v>
          </cell>
          <cell r="BX97">
            <v>178956.84</v>
          </cell>
          <cell r="BY97">
            <v>171727.24</v>
          </cell>
          <cell r="BZ97">
            <v>206675.39</v>
          </cell>
          <cell r="CA97">
            <v>197758.68</v>
          </cell>
          <cell r="CB97">
            <v>188841.97</v>
          </cell>
          <cell r="CC97">
            <v>179925.26</v>
          </cell>
          <cell r="CD97">
            <v>171008.55</v>
          </cell>
          <cell r="CE97">
            <v>162091.84</v>
          </cell>
          <cell r="CF97">
            <v>153175.13</v>
          </cell>
          <cell r="CG97">
            <v>144258.42000000001</v>
          </cell>
          <cell r="CH97">
            <v>135341.71</v>
          </cell>
          <cell r="CI97">
            <v>127055.2</v>
          </cell>
          <cell r="CJ97">
            <v>546058.19999999995</v>
          </cell>
          <cell r="CK97">
            <v>523322.4</v>
          </cell>
          <cell r="CL97">
            <v>501883.79</v>
          </cell>
          <cell r="CM97">
            <v>492462.95</v>
          </cell>
          <cell r="CN97">
            <v>481675.22</v>
          </cell>
          <cell r="CO97">
            <v>461654.71</v>
          </cell>
          <cell r="CP97">
            <v>469914.48</v>
          </cell>
          <cell r="CQ97">
            <v>447537.6</v>
          </cell>
          <cell r="CR97">
            <v>434741.66</v>
          </cell>
          <cell r="CS97">
            <v>411860.52</v>
          </cell>
          <cell r="CT97">
            <v>389476.26</v>
          </cell>
          <cell r="CU97">
            <v>366833.88</v>
          </cell>
          <cell r="CV97">
            <v>922010.28</v>
          </cell>
          <cell r="CW97">
            <v>904202.35</v>
          </cell>
          <cell r="CX97">
            <v>886751.88</v>
          </cell>
          <cell r="CY97">
            <v>869243.6</v>
          </cell>
          <cell r="CZ97">
            <v>854139.97</v>
          </cell>
          <cell r="DA97">
            <v>836588.75</v>
          </cell>
          <cell r="DB97">
            <v>832332.96</v>
          </cell>
          <cell r="DC97">
            <v>813304.47</v>
          </cell>
          <cell r="DD97">
            <v>794275.98</v>
          </cell>
          <cell r="DE97">
            <v>775247.49</v>
          </cell>
          <cell r="DF97">
            <v>756219</v>
          </cell>
          <cell r="DG97">
            <v>737344.29</v>
          </cell>
          <cell r="DH97">
            <v>718315.8</v>
          </cell>
        </row>
        <row r="98">
          <cell r="C98" t="str">
            <v>PrePaid Ins Auto</v>
          </cell>
          <cell r="D98">
            <v>-0.06</v>
          </cell>
          <cell r="E98">
            <v>-0.06</v>
          </cell>
          <cell r="F98">
            <v>-0.06</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cell r="CC98"/>
          <cell r="CD98"/>
          <cell r="CE98"/>
          <cell r="CF98"/>
          <cell r="CG98"/>
          <cell r="CH98"/>
          <cell r="CI98"/>
          <cell r="CJ98"/>
          <cell r="CK98"/>
          <cell r="CL98"/>
          <cell r="CM98"/>
          <cell r="CN98"/>
          <cell r="CO98"/>
          <cell r="CP98"/>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row>
        <row r="99">
          <cell r="C99" t="str">
            <v>PrePaid Ins Brokerag</v>
          </cell>
          <cell r="D99">
            <v>0.04</v>
          </cell>
          <cell r="E99">
            <v>0.04</v>
          </cell>
          <cell r="F99">
            <v>0.04</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cell r="AM99"/>
          <cell r="AN99"/>
          <cell r="AO99"/>
          <cell r="AP99"/>
          <cell r="AQ99"/>
          <cell r="AR99"/>
          <cell r="AS99"/>
          <cell r="AT99"/>
          <cell r="AU99"/>
          <cell r="AV99"/>
          <cell r="AW99"/>
          <cell r="AX99"/>
          <cell r="AY99"/>
          <cell r="AZ99"/>
          <cell r="BA99"/>
          <cell r="BB99"/>
          <cell r="BC99"/>
          <cell r="BD99"/>
          <cell r="BE99"/>
          <cell r="BF99"/>
          <cell r="BG99"/>
          <cell r="BH99"/>
          <cell r="BI99"/>
          <cell r="BJ99"/>
          <cell r="BK99"/>
          <cell r="BL99"/>
          <cell r="BM99"/>
          <cell r="BN99"/>
          <cell r="BO99"/>
          <cell r="BP99"/>
          <cell r="BQ99"/>
          <cell r="BR99"/>
          <cell r="BS99"/>
          <cell r="BT99"/>
          <cell r="BU99"/>
          <cell r="BV99"/>
          <cell r="BW99"/>
          <cell r="BX99"/>
          <cell r="BY99"/>
          <cell r="BZ99"/>
          <cell r="CA99"/>
          <cell r="CB99"/>
          <cell r="CC99"/>
          <cell r="CD99"/>
          <cell r="CE99"/>
          <cell r="CF99"/>
          <cell r="CG99"/>
          <cell r="CH99"/>
          <cell r="CI99"/>
          <cell r="CJ99"/>
          <cell r="CK99"/>
          <cell r="CL99"/>
          <cell r="CM99"/>
          <cell r="CN99"/>
          <cell r="CO99"/>
          <cell r="CP99"/>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row>
        <row r="100">
          <cell r="C100" t="str">
            <v>PrePaid Ins CrimeFid</v>
          </cell>
          <cell r="D100">
            <v>2271.79</v>
          </cell>
          <cell r="E100">
            <v>1893.16</v>
          </cell>
          <cell r="F100">
            <v>1514.53</v>
          </cell>
          <cell r="G100">
            <v>1135.9000000000001</v>
          </cell>
          <cell r="H100">
            <v>757.27</v>
          </cell>
          <cell r="I100">
            <v>4816.03</v>
          </cell>
          <cell r="J100">
            <v>378.64</v>
          </cell>
          <cell r="K100">
            <v>4414.6899999999996</v>
          </cell>
          <cell r="L100">
            <v>4013.35</v>
          </cell>
          <cell r="M100">
            <v>3612.01</v>
          </cell>
          <cell r="N100">
            <v>3210.67</v>
          </cell>
          <cell r="O100">
            <v>2809.33</v>
          </cell>
          <cell r="P100">
            <v>2407.9899999999998</v>
          </cell>
          <cell r="Q100">
            <v>2006.65</v>
          </cell>
          <cell r="R100">
            <v>1605.31</v>
          </cell>
          <cell r="S100">
            <v>1203.97</v>
          </cell>
          <cell r="T100">
            <v>802.63</v>
          </cell>
          <cell r="U100">
            <v>401.29</v>
          </cell>
          <cell r="V100">
            <v>4306.08</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cell r="AM100"/>
          <cell r="AN100"/>
          <cell r="AO100"/>
          <cell r="AP100"/>
          <cell r="AQ100"/>
          <cell r="AR100"/>
          <cell r="AS100"/>
          <cell r="AT100"/>
          <cell r="AU100"/>
          <cell r="AV100"/>
          <cell r="AW100"/>
          <cell r="AX100"/>
          <cell r="AY100"/>
          <cell r="AZ100"/>
          <cell r="BA100"/>
          <cell r="BB100"/>
          <cell r="BC100"/>
          <cell r="BD100"/>
          <cell r="BE100"/>
          <cell r="BF100"/>
          <cell r="BG100"/>
          <cell r="BH100"/>
          <cell r="BI100"/>
          <cell r="BJ100"/>
          <cell r="BK100"/>
          <cell r="BL100"/>
          <cell r="BM100"/>
          <cell r="BN100"/>
          <cell r="BO100"/>
          <cell r="BP100"/>
          <cell r="BQ100"/>
          <cell r="BR100"/>
          <cell r="BS100"/>
          <cell r="BT100"/>
          <cell r="BU100"/>
          <cell r="BV100"/>
          <cell r="BW100"/>
          <cell r="BX100"/>
          <cell r="BY100"/>
          <cell r="BZ100"/>
          <cell r="CA100"/>
          <cell r="CB100"/>
          <cell r="CC100"/>
          <cell r="CD100"/>
          <cell r="CE100"/>
          <cell r="CF100"/>
          <cell r="CG100"/>
          <cell r="CH100"/>
          <cell r="CI100"/>
          <cell r="CJ100"/>
          <cell r="CK100"/>
          <cell r="CL100"/>
          <cell r="CM100"/>
          <cell r="CN100"/>
          <cell r="CO100"/>
          <cell r="CP100"/>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row>
        <row r="101">
          <cell r="C101" t="str">
            <v>PrePaid Ins Err&amp;Omis</v>
          </cell>
          <cell r="D101">
            <v>12724.19</v>
          </cell>
          <cell r="E101">
            <v>10603.49</v>
          </cell>
          <cell r="F101">
            <v>8482.7900000000009</v>
          </cell>
          <cell r="G101">
            <v>6362.09</v>
          </cell>
          <cell r="H101">
            <v>4241.3900000000003</v>
          </cell>
          <cell r="I101">
            <v>-0.01</v>
          </cell>
          <cell r="J101">
            <v>2120.69</v>
          </cell>
          <cell r="K101">
            <v>24841.279999999999</v>
          </cell>
          <cell r="L101">
            <v>22582.98</v>
          </cell>
          <cell r="M101">
            <v>20324.68</v>
          </cell>
          <cell r="N101">
            <v>18066.38</v>
          </cell>
          <cell r="O101">
            <v>15808.08</v>
          </cell>
          <cell r="P101">
            <v>13549.78</v>
          </cell>
          <cell r="Q101">
            <v>11291.48</v>
          </cell>
          <cell r="R101">
            <v>9033.18</v>
          </cell>
          <cell r="S101">
            <v>6774.88</v>
          </cell>
          <cell r="T101">
            <v>4516.58</v>
          </cell>
          <cell r="U101">
            <v>2258.2800000000002</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cell r="AM101"/>
          <cell r="AN101"/>
          <cell r="AO101"/>
          <cell r="AP101"/>
          <cell r="AQ101"/>
          <cell r="AR101"/>
          <cell r="AS101"/>
          <cell r="AT101"/>
          <cell r="AU101"/>
          <cell r="AV101"/>
          <cell r="AW101"/>
          <cell r="AX101"/>
          <cell r="AY101"/>
          <cell r="AZ101"/>
          <cell r="BA101"/>
          <cell r="BB101"/>
          <cell r="BC101"/>
          <cell r="BD101"/>
          <cell r="BE101"/>
          <cell r="BF101"/>
          <cell r="BG101"/>
          <cell r="BH101"/>
          <cell r="BI101"/>
          <cell r="BJ101"/>
          <cell r="BK101"/>
          <cell r="BL101"/>
          <cell r="BM101"/>
          <cell r="BN101"/>
          <cell r="BO101"/>
          <cell r="BP101"/>
          <cell r="BQ101"/>
          <cell r="BR101"/>
          <cell r="BS101"/>
          <cell r="BT101"/>
          <cell r="BU101"/>
          <cell r="BV101"/>
          <cell r="BW101"/>
          <cell r="BX101"/>
          <cell r="BY101"/>
          <cell r="BZ101"/>
          <cell r="CA101"/>
          <cell r="CB101"/>
          <cell r="CC101"/>
          <cell r="CD101"/>
          <cell r="CE101"/>
          <cell r="CF101"/>
          <cell r="CG101"/>
          <cell r="CH101"/>
          <cell r="CI101"/>
          <cell r="CJ101"/>
          <cell r="CK101"/>
          <cell r="CL101"/>
          <cell r="CM101"/>
          <cell r="CN101"/>
          <cell r="CO101"/>
          <cell r="CP101"/>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row>
        <row r="102">
          <cell r="C102" t="str">
            <v>PrePaid Ins Exc Auto</v>
          </cell>
          <cell r="D102">
            <v>69245.679999999993</v>
          </cell>
          <cell r="E102">
            <v>57704.73</v>
          </cell>
          <cell r="F102">
            <v>46163.78</v>
          </cell>
          <cell r="G102">
            <v>34622.83</v>
          </cell>
          <cell r="H102">
            <v>23081.88</v>
          </cell>
          <cell r="I102">
            <v>-0.02</v>
          </cell>
          <cell r="J102">
            <v>11540.93</v>
          </cell>
          <cell r="K102">
            <v>138686.41</v>
          </cell>
          <cell r="L102">
            <v>126078.55</v>
          </cell>
          <cell r="M102">
            <v>113470.69</v>
          </cell>
          <cell r="N102">
            <v>100862.83</v>
          </cell>
          <cell r="O102">
            <v>88254.97</v>
          </cell>
          <cell r="P102">
            <v>75647.11</v>
          </cell>
          <cell r="Q102">
            <v>63039.25</v>
          </cell>
          <cell r="R102">
            <v>50431.39</v>
          </cell>
          <cell r="S102">
            <v>37823.53</v>
          </cell>
          <cell r="T102">
            <v>25215.67</v>
          </cell>
          <cell r="U102">
            <v>12607.81</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cell r="AM102"/>
          <cell r="AN102"/>
          <cell r="AO102"/>
          <cell r="AP102"/>
          <cell r="AQ102"/>
          <cell r="AR102"/>
          <cell r="AS102"/>
          <cell r="AT102"/>
          <cell r="AU102"/>
          <cell r="AV102"/>
          <cell r="AW102"/>
          <cell r="AX102"/>
          <cell r="AY102"/>
          <cell r="AZ102"/>
          <cell r="BA102"/>
          <cell r="BB102"/>
          <cell r="BC102"/>
          <cell r="BD102"/>
          <cell r="BE102"/>
          <cell r="BF102"/>
          <cell r="BG102"/>
          <cell r="BH102"/>
          <cell r="BI102"/>
          <cell r="BJ102"/>
          <cell r="BK102"/>
          <cell r="BL102"/>
          <cell r="BM102"/>
          <cell r="BN102"/>
          <cell r="BO102"/>
          <cell r="BP102"/>
          <cell r="BQ102"/>
          <cell r="BR102"/>
          <cell r="BS102"/>
          <cell r="BT102"/>
          <cell r="BU102"/>
          <cell r="BV102"/>
          <cell r="BW102"/>
          <cell r="BX102"/>
          <cell r="BY102"/>
          <cell r="BZ102"/>
          <cell r="CA102"/>
          <cell r="CB102"/>
          <cell r="CC102"/>
          <cell r="CD102"/>
          <cell r="CE102"/>
          <cell r="CF102"/>
          <cell r="CG102"/>
          <cell r="CH102"/>
          <cell r="CI102"/>
          <cell r="CJ102"/>
          <cell r="CK102"/>
          <cell r="CL102"/>
          <cell r="CM102"/>
          <cell r="CN102"/>
          <cell r="CO102"/>
          <cell r="CP102"/>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row>
        <row r="103">
          <cell r="C103" t="str">
            <v>PrePaid Ins Exc GL</v>
          </cell>
          <cell r="D103">
            <v>534559.14</v>
          </cell>
          <cell r="E103">
            <v>445465.93</v>
          </cell>
          <cell r="F103">
            <v>356372.72</v>
          </cell>
          <cell r="G103">
            <v>267279.51</v>
          </cell>
          <cell r="H103">
            <v>170465.6</v>
          </cell>
          <cell r="I103">
            <v>0</v>
          </cell>
          <cell r="J103">
            <v>85232.8</v>
          </cell>
          <cell r="K103">
            <v>1014184.39</v>
          </cell>
          <cell r="L103">
            <v>927842.92</v>
          </cell>
          <cell r="M103">
            <v>835058.63</v>
          </cell>
          <cell r="N103">
            <v>750061.56</v>
          </cell>
          <cell r="O103">
            <v>656303.86</v>
          </cell>
          <cell r="P103">
            <v>562546.16</v>
          </cell>
          <cell r="Q103">
            <v>468788.46</v>
          </cell>
          <cell r="R103">
            <v>375030.76</v>
          </cell>
          <cell r="S103">
            <v>281273.06</v>
          </cell>
          <cell r="T103">
            <v>187515.36</v>
          </cell>
          <cell r="U103">
            <v>93757.66</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row>
        <row r="104">
          <cell r="C104" t="str">
            <v>PrePaid Ins Practice</v>
          </cell>
          <cell r="D104">
            <v>14411.48</v>
          </cell>
          <cell r="E104">
            <v>12009.56</v>
          </cell>
          <cell r="F104">
            <v>9607.64</v>
          </cell>
          <cell r="G104">
            <v>7205.72</v>
          </cell>
          <cell r="H104">
            <v>4803.8</v>
          </cell>
          <cell r="I104">
            <v>-0.04</v>
          </cell>
          <cell r="J104">
            <v>2401.88</v>
          </cell>
          <cell r="K104">
            <v>30712.51</v>
          </cell>
          <cell r="L104">
            <v>27920.46</v>
          </cell>
          <cell r="M104">
            <v>25128.41</v>
          </cell>
          <cell r="N104">
            <v>22336.36</v>
          </cell>
          <cell r="O104">
            <v>19544.310000000001</v>
          </cell>
          <cell r="P104">
            <v>16752.259999999998</v>
          </cell>
          <cell r="Q104">
            <v>13960.21</v>
          </cell>
          <cell r="R104">
            <v>11168.16</v>
          </cell>
          <cell r="S104">
            <v>8376.11</v>
          </cell>
          <cell r="T104">
            <v>5584.06</v>
          </cell>
          <cell r="U104">
            <v>2792.01</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cell r="AM104"/>
          <cell r="AN104"/>
          <cell r="AO104"/>
          <cell r="AP104"/>
          <cell r="AQ104"/>
          <cell r="AR104"/>
          <cell r="AS104"/>
          <cell r="AT104"/>
          <cell r="AU104"/>
          <cell r="AV104"/>
          <cell r="AW104"/>
          <cell r="AX104"/>
          <cell r="AY104"/>
          <cell r="AZ104"/>
          <cell r="BA104"/>
          <cell r="BB104"/>
          <cell r="BC104"/>
          <cell r="BD104"/>
          <cell r="BE104"/>
          <cell r="BF104"/>
          <cell r="BG104"/>
          <cell r="BH104"/>
          <cell r="BI104"/>
          <cell r="BJ104"/>
          <cell r="BK104"/>
          <cell r="BL104"/>
          <cell r="BM104"/>
          <cell r="BN104"/>
          <cell r="BO104"/>
          <cell r="BP104"/>
          <cell r="BQ104"/>
          <cell r="BR104"/>
          <cell r="BS104"/>
          <cell r="BT104"/>
          <cell r="BU104"/>
          <cell r="BV104"/>
          <cell r="BW104"/>
          <cell r="BX104"/>
          <cell r="BY104"/>
          <cell r="BZ104"/>
          <cell r="CA104"/>
          <cell r="CB104"/>
          <cell r="CC104"/>
          <cell r="CD104"/>
          <cell r="CE104"/>
          <cell r="CF104"/>
          <cell r="CG104"/>
          <cell r="CH104"/>
          <cell r="CI104"/>
          <cell r="CJ104"/>
          <cell r="CK104"/>
          <cell r="CL104"/>
          <cell r="CM104"/>
          <cell r="CN104"/>
          <cell r="CO104"/>
          <cell r="CP104"/>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row>
        <row r="105">
          <cell r="C105" t="str">
            <v>PrePaid Ins Property</v>
          </cell>
          <cell r="D105">
            <v>24031.55</v>
          </cell>
          <cell r="E105">
            <v>15975.87</v>
          </cell>
          <cell r="F105">
            <v>7920.19</v>
          </cell>
          <cell r="G105">
            <v>-135.49</v>
          </cell>
          <cell r="H105">
            <v>84053.91</v>
          </cell>
          <cell r="I105">
            <v>68771.41</v>
          </cell>
          <cell r="J105">
            <v>76412.66</v>
          </cell>
          <cell r="K105">
            <v>61220.44</v>
          </cell>
          <cell r="L105">
            <v>53567.89</v>
          </cell>
          <cell r="M105">
            <v>45834.19</v>
          </cell>
          <cell r="N105">
            <v>41600.97</v>
          </cell>
          <cell r="O105">
            <v>33961.94</v>
          </cell>
          <cell r="P105">
            <v>23764.53</v>
          </cell>
          <cell r="Q105">
            <v>16125.5</v>
          </cell>
          <cell r="R105">
            <v>8486.4699999999993</v>
          </cell>
          <cell r="S105">
            <v>847.44</v>
          </cell>
          <cell r="T105">
            <v>65875.59</v>
          </cell>
          <cell r="U105">
            <v>60555.98</v>
          </cell>
          <cell r="V105">
            <v>54500.38</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row>
        <row r="106">
          <cell r="C106" t="str">
            <v>PrePaid Ins Punitive</v>
          </cell>
          <cell r="D106">
            <v>20971.99</v>
          </cell>
          <cell r="E106">
            <v>17476.79</v>
          </cell>
          <cell r="F106">
            <v>13981.59</v>
          </cell>
          <cell r="G106">
            <v>10486.39</v>
          </cell>
          <cell r="H106">
            <v>6991.19</v>
          </cell>
          <cell r="I106">
            <v>0.79</v>
          </cell>
          <cell r="J106">
            <v>3495.99</v>
          </cell>
          <cell r="K106">
            <v>41261.4</v>
          </cell>
          <cell r="L106">
            <v>37510.43</v>
          </cell>
          <cell r="M106">
            <v>33759.46</v>
          </cell>
          <cell r="N106">
            <v>30008.49</v>
          </cell>
          <cell r="O106">
            <v>26257.52</v>
          </cell>
          <cell r="P106">
            <v>22506.55</v>
          </cell>
          <cell r="Q106">
            <v>18755.580000000002</v>
          </cell>
          <cell r="R106">
            <v>15004.61</v>
          </cell>
          <cell r="S106">
            <v>11253.64</v>
          </cell>
          <cell r="T106">
            <v>7502.67</v>
          </cell>
          <cell r="U106">
            <v>3751.7</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cell r="AM106"/>
          <cell r="AN106"/>
          <cell r="AO106"/>
          <cell r="AP106"/>
          <cell r="AQ106"/>
          <cell r="AR106"/>
          <cell r="AS106"/>
          <cell r="AT106"/>
          <cell r="AU106"/>
          <cell r="AV106"/>
          <cell r="AW106"/>
          <cell r="AX106"/>
          <cell r="AY106"/>
          <cell r="AZ106"/>
          <cell r="BA106"/>
          <cell r="BB106"/>
          <cell r="BC106"/>
          <cell r="BD106"/>
          <cell r="BE106"/>
          <cell r="BF106"/>
          <cell r="BG106"/>
          <cell r="BH106"/>
          <cell r="BI106"/>
          <cell r="BJ106"/>
          <cell r="BK106"/>
          <cell r="BL106"/>
          <cell r="BM106"/>
          <cell r="BN106"/>
          <cell r="BO106"/>
          <cell r="BP106"/>
          <cell r="BQ106"/>
          <cell r="BR106"/>
          <cell r="BS106"/>
          <cell r="BT106"/>
          <cell r="BU106"/>
          <cell r="BV106"/>
          <cell r="BW106"/>
          <cell r="BX106"/>
          <cell r="BY106"/>
          <cell r="BZ106"/>
          <cell r="CA106"/>
          <cell r="CB106"/>
          <cell r="CC106"/>
          <cell r="CD106"/>
          <cell r="CE106"/>
          <cell r="CF106"/>
          <cell r="CG106"/>
          <cell r="CH106"/>
          <cell r="CI106"/>
          <cell r="CJ106"/>
          <cell r="CK106"/>
          <cell r="CL106"/>
          <cell r="CM106"/>
          <cell r="CN106"/>
          <cell r="CO106"/>
          <cell r="CP106"/>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row>
        <row r="107">
          <cell r="C107" t="str">
            <v>PrePaid Ins SpecRisk</v>
          </cell>
          <cell r="D107">
            <v>0</v>
          </cell>
          <cell r="E107">
            <v>0</v>
          </cell>
          <cell r="F107">
            <v>0</v>
          </cell>
          <cell r="G107">
            <v>0</v>
          </cell>
          <cell r="H107">
            <v>0</v>
          </cell>
          <cell r="I107">
            <v>0</v>
          </cell>
          <cell r="J107">
            <v>0</v>
          </cell>
          <cell r="K107">
            <v>0</v>
          </cell>
          <cell r="L107">
            <v>0</v>
          </cell>
          <cell r="M107">
            <v>0</v>
          </cell>
          <cell r="N107">
            <v>2682.4</v>
          </cell>
          <cell r="O107">
            <v>2438.5500000000002</v>
          </cell>
          <cell r="P107">
            <v>2194.6999999999998</v>
          </cell>
          <cell r="Q107">
            <v>1950.85</v>
          </cell>
          <cell r="R107">
            <v>1707</v>
          </cell>
          <cell r="S107">
            <v>1463.15</v>
          </cell>
          <cell r="T107">
            <v>1219.3</v>
          </cell>
          <cell r="U107">
            <v>975.45</v>
          </cell>
          <cell r="V107">
            <v>731.6</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cell r="AM107"/>
          <cell r="AN107"/>
          <cell r="AO107"/>
          <cell r="AP107"/>
          <cell r="AQ107"/>
          <cell r="AR107"/>
          <cell r="AS107"/>
          <cell r="AT107"/>
          <cell r="AU107"/>
          <cell r="AV107"/>
          <cell r="AW107"/>
          <cell r="AX107"/>
          <cell r="AY107"/>
          <cell r="AZ107"/>
          <cell r="BA107"/>
          <cell r="BB107"/>
          <cell r="BC107"/>
          <cell r="BD107"/>
          <cell r="BE107"/>
          <cell r="BF107"/>
          <cell r="BG107"/>
          <cell r="BH107"/>
          <cell r="BI107"/>
          <cell r="BJ107"/>
          <cell r="BK107"/>
          <cell r="BL107"/>
          <cell r="BM107"/>
          <cell r="BN107"/>
          <cell r="BO107"/>
          <cell r="BP107"/>
          <cell r="BQ107"/>
          <cell r="BR107"/>
          <cell r="BS107"/>
          <cell r="BT107"/>
          <cell r="BU107"/>
          <cell r="BV107"/>
          <cell r="BW107"/>
          <cell r="BX107"/>
          <cell r="BY107"/>
          <cell r="BZ107"/>
          <cell r="CA107"/>
          <cell r="CB107"/>
          <cell r="CC107"/>
          <cell r="CD107"/>
          <cell r="CE107"/>
          <cell r="CF107"/>
          <cell r="CG107"/>
          <cell r="CH107"/>
          <cell r="CI107"/>
          <cell r="CJ107"/>
          <cell r="CK107"/>
          <cell r="CL107"/>
          <cell r="CM107"/>
          <cell r="CN107"/>
          <cell r="CO107"/>
          <cell r="CP107"/>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row>
        <row r="108">
          <cell r="C108" t="str">
            <v>PrePaid Ins Surety</v>
          </cell>
          <cell r="D108">
            <v>0.01</v>
          </cell>
          <cell r="E108">
            <v>0.01</v>
          </cell>
          <cell r="F108">
            <v>0.01</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cell r="AM108"/>
          <cell r="AN108"/>
          <cell r="AO108"/>
          <cell r="AP108"/>
          <cell r="AQ108"/>
          <cell r="AR108"/>
          <cell r="AS108"/>
          <cell r="AT108"/>
          <cell r="AU108"/>
          <cell r="AV108"/>
          <cell r="AW108"/>
          <cell r="AX108"/>
          <cell r="AY108"/>
          <cell r="AZ108"/>
          <cell r="BA108"/>
          <cell r="BB108"/>
          <cell r="BC108"/>
          <cell r="BD108"/>
          <cell r="BE108"/>
          <cell r="BF108"/>
          <cell r="BG108"/>
          <cell r="BH108"/>
          <cell r="BI108"/>
          <cell r="BJ108"/>
          <cell r="BK108"/>
          <cell r="BL108"/>
          <cell r="BM108"/>
          <cell r="BN108"/>
          <cell r="BO108"/>
          <cell r="BP108"/>
          <cell r="BQ108"/>
          <cell r="BR108"/>
          <cell r="BS108"/>
          <cell r="BT108"/>
          <cell r="BU108"/>
          <cell r="BV108"/>
          <cell r="BW108"/>
          <cell r="BX108"/>
          <cell r="BY108"/>
          <cell r="BZ108"/>
          <cell r="CA108"/>
          <cell r="CB108"/>
          <cell r="CC108"/>
          <cell r="CD108"/>
          <cell r="CE108"/>
          <cell r="CF108"/>
          <cell r="CG108"/>
          <cell r="CH108"/>
          <cell r="CI108"/>
          <cell r="CJ108"/>
          <cell r="CK108"/>
          <cell r="CL108"/>
          <cell r="CM108"/>
          <cell r="CN108"/>
          <cell r="CO108"/>
          <cell r="CP108"/>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row>
        <row r="109">
          <cell r="C109" t="str">
            <v>PrePaid Ins Travel</v>
          </cell>
          <cell r="D109">
            <v>0</v>
          </cell>
          <cell r="E109">
            <v>853.5</v>
          </cell>
          <cell r="F109">
            <v>853.5</v>
          </cell>
          <cell r="G109">
            <v>853.5</v>
          </cell>
          <cell r="H109">
            <v>853.5</v>
          </cell>
          <cell r="I109">
            <v>161.29</v>
          </cell>
          <cell r="J109">
            <v>853.5</v>
          </cell>
          <cell r="K109">
            <v>853.5</v>
          </cell>
          <cell r="L109">
            <v>853.5</v>
          </cell>
          <cell r="M109">
            <v>853.5</v>
          </cell>
          <cell r="N109">
            <v>853.5</v>
          </cell>
          <cell r="O109">
            <v>853.5</v>
          </cell>
          <cell r="P109">
            <v>0</v>
          </cell>
          <cell r="Q109">
            <v>-853.5</v>
          </cell>
          <cell r="R109">
            <v>1204.67</v>
          </cell>
          <cell r="S109">
            <v>926.67</v>
          </cell>
          <cell r="T109">
            <v>1019.34</v>
          </cell>
          <cell r="U109">
            <v>648.66</v>
          </cell>
          <cell r="V109">
            <v>555.99</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row>
        <row r="110">
          <cell r="C110" t="str">
            <v>PrePaid Ins WC Exces</v>
          </cell>
          <cell r="D110">
            <v>63864.32</v>
          </cell>
          <cell r="E110">
            <v>53220.27</v>
          </cell>
          <cell r="F110">
            <v>42576.22</v>
          </cell>
          <cell r="G110">
            <v>31932.17</v>
          </cell>
          <cell r="H110">
            <v>21288.12</v>
          </cell>
          <cell r="I110">
            <v>0.02</v>
          </cell>
          <cell r="J110">
            <v>10644.07</v>
          </cell>
          <cell r="K110">
            <v>121865.13</v>
          </cell>
          <cell r="L110">
            <v>110786.48</v>
          </cell>
          <cell r="M110">
            <v>99707.83</v>
          </cell>
          <cell r="N110">
            <v>88629.18</v>
          </cell>
          <cell r="O110">
            <v>77550.53</v>
          </cell>
          <cell r="P110">
            <v>66471.88</v>
          </cell>
          <cell r="Q110">
            <v>55393.23</v>
          </cell>
          <cell r="R110">
            <v>44314.58</v>
          </cell>
          <cell r="S110">
            <v>33235.93</v>
          </cell>
          <cell r="T110">
            <v>22157.279999999999</v>
          </cell>
          <cell r="U110">
            <v>11078.63</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cell r="AM110"/>
          <cell r="AN110"/>
          <cell r="AO110"/>
          <cell r="AP110"/>
          <cell r="AQ110"/>
          <cell r="AR110"/>
          <cell r="AS110"/>
          <cell r="AT110"/>
          <cell r="AU110"/>
          <cell r="AV110"/>
          <cell r="AW110"/>
          <cell r="AX110"/>
          <cell r="AY110"/>
          <cell r="AZ110"/>
          <cell r="BA110"/>
          <cell r="BB110"/>
          <cell r="BC110"/>
          <cell r="BD110"/>
          <cell r="BE110"/>
          <cell r="BF110"/>
          <cell r="BG110"/>
          <cell r="BH110"/>
          <cell r="BI110"/>
          <cell r="BJ110"/>
          <cell r="BK110"/>
          <cell r="BL110"/>
          <cell r="BM110"/>
          <cell r="BN110"/>
          <cell r="BO110"/>
          <cell r="BP110"/>
          <cell r="BQ110"/>
          <cell r="BR110"/>
          <cell r="BS110"/>
          <cell r="BT110"/>
          <cell r="BU110"/>
          <cell r="BV110"/>
          <cell r="BW110"/>
          <cell r="BX110"/>
          <cell r="BY110"/>
          <cell r="BZ110"/>
          <cell r="CA110"/>
          <cell r="CB110"/>
          <cell r="CC110"/>
          <cell r="CD110"/>
          <cell r="CE110"/>
          <cell r="CF110"/>
          <cell r="CG110"/>
          <cell r="CH110"/>
          <cell r="CI110"/>
          <cell r="CJ110"/>
          <cell r="CK110"/>
          <cell r="CL110"/>
          <cell r="CM110"/>
          <cell r="CN110"/>
          <cell r="CO110"/>
          <cell r="CP110"/>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row>
        <row r="111">
          <cell r="C111" t="str">
            <v>PrePaid Ins WC State</v>
          </cell>
          <cell r="D111">
            <v>-0.03</v>
          </cell>
          <cell r="E111">
            <v>-0.03</v>
          </cell>
          <cell r="F111">
            <v>-0.03</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cell r="AM111"/>
          <cell r="AN111"/>
          <cell r="AO111"/>
          <cell r="AP111"/>
          <cell r="AQ111"/>
          <cell r="AR111"/>
          <cell r="AS111"/>
          <cell r="AT111"/>
          <cell r="AU111"/>
          <cell r="AV111"/>
          <cell r="AW111"/>
          <cell r="AX111"/>
          <cell r="AY111"/>
          <cell r="AZ111"/>
          <cell r="BA111"/>
          <cell r="BB111"/>
          <cell r="BC111"/>
          <cell r="BD111"/>
          <cell r="BE111"/>
          <cell r="BF111"/>
          <cell r="BG111"/>
          <cell r="BH111"/>
          <cell r="BI111"/>
          <cell r="BJ111"/>
          <cell r="BK111"/>
          <cell r="BL111"/>
          <cell r="BM111"/>
          <cell r="BN111"/>
          <cell r="BO111"/>
          <cell r="BP111"/>
          <cell r="BQ111"/>
          <cell r="BR111"/>
          <cell r="BS111"/>
          <cell r="BT111"/>
          <cell r="BU111"/>
          <cell r="BV111"/>
          <cell r="BW111"/>
          <cell r="BX111"/>
          <cell r="BY111"/>
          <cell r="BZ111"/>
          <cell r="CA111"/>
          <cell r="CB111"/>
          <cell r="CC111"/>
          <cell r="CD111"/>
          <cell r="CE111"/>
          <cell r="CF111"/>
          <cell r="CG111"/>
          <cell r="CH111"/>
          <cell r="CI111"/>
          <cell r="CJ111"/>
          <cell r="CK111"/>
          <cell r="CL111"/>
          <cell r="CM111"/>
          <cell r="CN111"/>
          <cell r="CO111"/>
          <cell r="CP111"/>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row>
        <row r="112">
          <cell r="C112" t="str">
            <v>PrePaid Insur</v>
          </cell>
          <cell r="D112">
            <v>0</v>
          </cell>
          <cell r="E112">
            <v>0</v>
          </cell>
          <cell r="F112">
            <v>0</v>
          </cell>
          <cell r="G112">
            <v>0</v>
          </cell>
          <cell r="H112">
            <v>0</v>
          </cell>
          <cell r="I112">
            <v>3780.46</v>
          </cell>
          <cell r="J112">
            <v>3780.46</v>
          </cell>
          <cell r="K112">
            <v>2835.34</v>
          </cell>
          <cell r="L112">
            <v>2520.3000000000002</v>
          </cell>
          <cell r="M112">
            <v>2015.65</v>
          </cell>
          <cell r="N112">
            <v>1700.61</v>
          </cell>
          <cell r="O112">
            <v>1385.57</v>
          </cell>
          <cell r="P112">
            <v>1070.53</v>
          </cell>
          <cell r="Q112">
            <v>755.49</v>
          </cell>
          <cell r="R112">
            <v>440.45</v>
          </cell>
          <cell r="S112">
            <v>125.41</v>
          </cell>
          <cell r="T112">
            <v>-189.63</v>
          </cell>
          <cell r="U112">
            <v>-504.67</v>
          </cell>
          <cell r="V112">
            <v>0</v>
          </cell>
          <cell r="W112">
            <v>1475458.46</v>
          </cell>
          <cell r="X112">
            <v>1339699.05</v>
          </cell>
          <cell r="Y112">
            <v>1203939.6399999999</v>
          </cell>
          <cell r="Z112">
            <v>1068180.23</v>
          </cell>
          <cell r="AA112">
            <v>796661.44</v>
          </cell>
          <cell r="AB112">
            <v>932420.82</v>
          </cell>
          <cell r="AC112">
            <v>661824.04</v>
          </cell>
          <cell r="AD112">
            <v>526081.9</v>
          </cell>
          <cell r="AE112">
            <v>390339.78</v>
          </cell>
          <cell r="AF112">
            <v>321294.40999999997</v>
          </cell>
          <cell r="AG112">
            <v>186105.79</v>
          </cell>
          <cell r="AH112">
            <v>52475.59</v>
          </cell>
          <cell r="AI112">
            <v>1406006.63</v>
          </cell>
          <cell r="AJ112">
            <v>1279284.32</v>
          </cell>
          <cell r="AK112">
            <v>1148904.1299999999</v>
          </cell>
          <cell r="AL112">
            <v>1019301.82</v>
          </cell>
          <cell r="AM112">
            <v>889699.51</v>
          </cell>
          <cell r="AN112">
            <v>1805779.65</v>
          </cell>
          <cell r="AO112">
            <v>1604154.32</v>
          </cell>
          <cell r="AP112">
            <v>1157541.3600000001</v>
          </cell>
          <cell r="AQ112">
            <v>1003395.93</v>
          </cell>
          <cell r="AR112">
            <v>873665.49</v>
          </cell>
          <cell r="AS112">
            <v>744269.69</v>
          </cell>
          <cell r="AT112">
            <v>614976.96</v>
          </cell>
          <cell r="AU112">
            <v>523500.21</v>
          </cell>
          <cell r="AV112">
            <v>397141.88</v>
          </cell>
          <cell r="AW112">
            <v>267963.33</v>
          </cell>
          <cell r="AX112">
            <v>138784.78</v>
          </cell>
          <cell r="AY112">
            <v>9606.23</v>
          </cell>
          <cell r="AZ112">
            <v>879739.83</v>
          </cell>
          <cell r="BA112">
            <v>1445318.78</v>
          </cell>
          <cell r="BB112">
            <v>1302159.8</v>
          </cell>
          <cell r="BC112">
            <v>1164520.72</v>
          </cell>
          <cell r="BD112">
            <v>1020090.27</v>
          </cell>
          <cell r="BE112">
            <v>881423.54</v>
          </cell>
          <cell r="BF112">
            <v>735131.63</v>
          </cell>
          <cell r="BG112">
            <v>588839.72</v>
          </cell>
          <cell r="BH112">
            <v>452513.08</v>
          </cell>
          <cell r="BI112">
            <v>314200.14</v>
          </cell>
          <cell r="BJ112">
            <v>166027.70000000001</v>
          </cell>
          <cell r="BK112">
            <v>17855.259999999998</v>
          </cell>
          <cell r="BL112">
            <v>75428.160000000003</v>
          </cell>
          <cell r="BM112">
            <v>1705445.95</v>
          </cell>
          <cell r="BN112">
            <v>1575414.92</v>
          </cell>
          <cell r="BO112">
            <v>1399338.11</v>
          </cell>
          <cell r="BP112">
            <v>1222824.17</v>
          </cell>
          <cell r="BQ112">
            <v>1046064.98</v>
          </cell>
          <cell r="BR112">
            <v>875121.34</v>
          </cell>
          <cell r="BS112">
            <v>721202.42</v>
          </cell>
          <cell r="BT112">
            <v>547447.39</v>
          </cell>
          <cell r="BU112">
            <v>370719.81</v>
          </cell>
          <cell r="BV112">
            <v>194298.8</v>
          </cell>
          <cell r="BW112">
            <v>21309.49</v>
          </cell>
          <cell r="BX112">
            <v>895645.02</v>
          </cell>
          <cell r="BY112">
            <v>2464223.79</v>
          </cell>
          <cell r="BZ112">
            <v>2359808.52</v>
          </cell>
          <cell r="CA112">
            <v>2133363.6</v>
          </cell>
          <cell r="CB112">
            <v>1906918.68</v>
          </cell>
          <cell r="CC112">
            <v>1685241.34</v>
          </cell>
          <cell r="CD112">
            <v>1395439.89</v>
          </cell>
          <cell r="CE112">
            <v>1158275.7</v>
          </cell>
          <cell r="CF112">
            <v>918815.87</v>
          </cell>
          <cell r="CG112">
            <v>711598.02</v>
          </cell>
          <cell r="CH112">
            <v>468967.95</v>
          </cell>
          <cell r="CI112">
            <v>227660.84</v>
          </cell>
          <cell r="CJ112">
            <v>88652.64</v>
          </cell>
          <cell r="CK112">
            <v>1617896.81</v>
          </cell>
          <cell r="CL112">
            <v>1476991.47</v>
          </cell>
          <cell r="CM112">
            <v>1198493.56</v>
          </cell>
          <cell r="CN112">
            <v>919995.65</v>
          </cell>
          <cell r="CO112">
            <v>675589.91</v>
          </cell>
          <cell r="CP112">
            <v>571916.23</v>
          </cell>
          <cell r="CQ112">
            <v>3320485.75</v>
          </cell>
          <cell r="CR112">
            <v>2975921.15</v>
          </cell>
          <cell r="CS112">
            <v>2575747.83</v>
          </cell>
          <cell r="CT112">
            <v>2175868.6800000002</v>
          </cell>
          <cell r="CU112">
            <v>1778930.33</v>
          </cell>
          <cell r="CV112">
            <v>1478700.95</v>
          </cell>
          <cell r="CW112">
            <v>3254305.43</v>
          </cell>
          <cell r="CX112">
            <v>2836834.99</v>
          </cell>
          <cell r="CY112">
            <v>2405899.56</v>
          </cell>
          <cell r="CZ112">
            <v>1974528.29</v>
          </cell>
          <cell r="DA112">
            <v>1543974.52</v>
          </cell>
          <cell r="DB112">
            <v>1436774.55</v>
          </cell>
          <cell r="DC112">
            <v>5139395.88</v>
          </cell>
          <cell r="DD112">
            <v>4703644.1900000004</v>
          </cell>
          <cell r="DE112">
            <v>4182155.35</v>
          </cell>
          <cell r="DF112">
            <v>3654176.03</v>
          </cell>
          <cell r="DG112">
            <v>3126196.71</v>
          </cell>
          <cell r="DH112">
            <v>2603056.69</v>
          </cell>
        </row>
        <row r="113">
          <cell r="C113" t="str">
            <v>Prepaid Misc-Other</v>
          </cell>
          <cell r="D113">
            <v>197100</v>
          </cell>
          <cell r="E113">
            <v>0</v>
          </cell>
          <cell r="F113">
            <v>0</v>
          </cell>
          <cell r="G113">
            <v>57754.33</v>
          </cell>
          <cell r="H113">
            <v>57754.33</v>
          </cell>
          <cell r="I113">
            <v>158115.13</v>
          </cell>
          <cell r="J113">
            <v>57754.33</v>
          </cell>
          <cell r="K113">
            <v>123055.02</v>
          </cell>
          <cell r="L113">
            <v>74894.600000000006</v>
          </cell>
          <cell r="M113">
            <v>64833.1</v>
          </cell>
          <cell r="N113">
            <v>43222.05</v>
          </cell>
          <cell r="O113">
            <v>33161.730000000003</v>
          </cell>
          <cell r="P113">
            <v>490822.36</v>
          </cell>
          <cell r="Q113">
            <v>338902.77</v>
          </cell>
          <cell r="R113">
            <v>308093.43</v>
          </cell>
          <cell r="S113">
            <v>277284.09000000003</v>
          </cell>
          <cell r="T113">
            <v>342601.68</v>
          </cell>
          <cell r="U113">
            <v>381891.77</v>
          </cell>
          <cell r="V113">
            <v>333058</v>
          </cell>
          <cell r="W113">
            <v>353513.69</v>
          </cell>
          <cell r="X113">
            <v>298380.88</v>
          </cell>
          <cell r="Y113">
            <v>275293.07</v>
          </cell>
          <cell r="Z113">
            <v>217489.84</v>
          </cell>
          <cell r="AA113">
            <v>825244.76</v>
          </cell>
          <cell r="AB113">
            <v>159686.60999999999</v>
          </cell>
          <cell r="AC113">
            <v>576466.67000000004</v>
          </cell>
          <cell r="AD113">
            <v>492061.85</v>
          </cell>
          <cell r="AE113">
            <v>607756.53</v>
          </cell>
          <cell r="AF113">
            <v>469743.82</v>
          </cell>
          <cell r="AG113">
            <v>433491.35</v>
          </cell>
          <cell r="AH113">
            <v>372042.72</v>
          </cell>
          <cell r="AI113">
            <v>347635.65</v>
          </cell>
          <cell r="AJ113">
            <v>298269.33</v>
          </cell>
          <cell r="AK113">
            <v>280821.48</v>
          </cell>
          <cell r="AL113">
            <v>174647.21</v>
          </cell>
          <cell r="AM113">
            <v>271421.44</v>
          </cell>
          <cell r="AN113">
            <v>491255.89</v>
          </cell>
          <cell r="AO113">
            <v>763937.12</v>
          </cell>
          <cell r="AP113">
            <v>992080.98</v>
          </cell>
          <cell r="AQ113">
            <v>997017.17</v>
          </cell>
          <cell r="AR113">
            <v>845100.35</v>
          </cell>
          <cell r="AS113">
            <v>758578.86</v>
          </cell>
          <cell r="AT113">
            <v>667625.72</v>
          </cell>
          <cell r="AU113">
            <v>588781.56999999995</v>
          </cell>
          <cell r="AV113">
            <v>491057.66</v>
          </cell>
          <cell r="AW113">
            <v>393333.75</v>
          </cell>
          <cell r="AX113">
            <v>276254.15000000002</v>
          </cell>
          <cell r="AY113">
            <v>178141.1</v>
          </cell>
          <cell r="AZ113">
            <v>363526.65</v>
          </cell>
          <cell r="BA113">
            <v>787445.95</v>
          </cell>
          <cell r="BB113">
            <v>987986.37</v>
          </cell>
          <cell r="BC113">
            <v>1172019.8</v>
          </cell>
          <cell r="BD113">
            <v>972902.87</v>
          </cell>
          <cell r="BE113">
            <v>888143.13</v>
          </cell>
          <cell r="BF113">
            <v>710763.53</v>
          </cell>
          <cell r="BG113">
            <v>508609.61</v>
          </cell>
          <cell r="BH113">
            <v>449339.42</v>
          </cell>
          <cell r="BI113">
            <v>347392.91</v>
          </cell>
          <cell r="BJ113">
            <v>277705.93</v>
          </cell>
          <cell r="BK113">
            <v>175759.42</v>
          </cell>
          <cell r="BL113">
            <v>278213.7</v>
          </cell>
          <cell r="BM113">
            <v>136401.48000000001</v>
          </cell>
          <cell r="BN113">
            <v>896065.26</v>
          </cell>
          <cell r="BO113">
            <v>830429.63</v>
          </cell>
          <cell r="BP113">
            <v>694410.62</v>
          </cell>
          <cell r="BQ113">
            <v>615895.75</v>
          </cell>
          <cell r="BR113">
            <v>537380.88</v>
          </cell>
          <cell r="BS113">
            <v>552272.93000000005</v>
          </cell>
          <cell r="BT113">
            <v>707771.26</v>
          </cell>
          <cell r="BU113">
            <v>897269.59</v>
          </cell>
          <cell r="BV113">
            <v>758763.78</v>
          </cell>
          <cell r="BW113">
            <v>677762.11</v>
          </cell>
          <cell r="BX113">
            <v>253176.9</v>
          </cell>
          <cell r="BY113">
            <v>839523.6</v>
          </cell>
          <cell r="BZ113">
            <v>841449.27</v>
          </cell>
          <cell r="CA113">
            <v>950870.19</v>
          </cell>
          <cell r="CB113">
            <v>792230.11</v>
          </cell>
          <cell r="CC113">
            <v>692155.03</v>
          </cell>
          <cell r="CD113">
            <v>884523.36</v>
          </cell>
          <cell r="CE113">
            <v>677753.68</v>
          </cell>
          <cell r="CF113">
            <v>668061.29</v>
          </cell>
          <cell r="CG113">
            <v>565399.52</v>
          </cell>
          <cell r="CH113">
            <v>357711.75</v>
          </cell>
          <cell r="CI113">
            <v>266649.78000000003</v>
          </cell>
          <cell r="CJ113">
            <v>522201.96</v>
          </cell>
          <cell r="CK113">
            <v>911507.14</v>
          </cell>
          <cell r="CL113">
            <v>1174404.8600000001</v>
          </cell>
          <cell r="CM113">
            <v>1284402.1000000001</v>
          </cell>
          <cell r="CN113">
            <v>1303245.05</v>
          </cell>
          <cell r="CO113">
            <v>1150437.48</v>
          </cell>
          <cell r="CP113">
            <v>1086649.8799999999</v>
          </cell>
          <cell r="CQ113">
            <v>909766.41</v>
          </cell>
          <cell r="CR113">
            <v>884902.52</v>
          </cell>
          <cell r="CS113">
            <v>757164.42</v>
          </cell>
          <cell r="CT113">
            <v>546830.56999999995</v>
          </cell>
          <cell r="CU113">
            <v>515342.47</v>
          </cell>
          <cell r="CV113">
            <v>1012319.19</v>
          </cell>
          <cell r="CW113">
            <v>1952727.69</v>
          </cell>
          <cell r="CX113">
            <v>2421894.58</v>
          </cell>
          <cell r="CY113">
            <v>1665359.79</v>
          </cell>
          <cell r="CZ113">
            <v>1772085.8</v>
          </cell>
          <cell r="DA113">
            <v>1444551.21</v>
          </cell>
          <cell r="DB113">
            <v>1236668.1100000001</v>
          </cell>
          <cell r="DC113">
            <v>1458247.18</v>
          </cell>
          <cell r="DD113">
            <v>1592592.64</v>
          </cell>
          <cell r="DE113">
            <v>941892.36</v>
          </cell>
          <cell r="DF113">
            <v>693586.63</v>
          </cell>
          <cell r="DG113">
            <v>484426.9</v>
          </cell>
          <cell r="DH113">
            <v>552245.15</v>
          </cell>
        </row>
        <row r="114">
          <cell r="C114" t="str">
            <v>Lease Rec C-GAAP</v>
          </cell>
          <cell r="D114"/>
          <cell r="E114"/>
          <cell r="F114"/>
          <cell r="G114"/>
          <cell r="H114"/>
          <cell r="I114"/>
          <cell r="J114"/>
          <cell r="K114"/>
          <cell r="L114"/>
          <cell r="M114"/>
          <cell r="N114"/>
          <cell r="O114"/>
          <cell r="P114"/>
          <cell r="Q114"/>
          <cell r="R114"/>
          <cell r="S114"/>
          <cell r="T114"/>
          <cell r="U114"/>
          <cell r="V114"/>
          <cell r="W114"/>
          <cell r="X114"/>
          <cell r="Y114"/>
          <cell r="Z114"/>
          <cell r="AA114"/>
          <cell r="AB114"/>
          <cell r="AC114"/>
          <cell r="AD114"/>
          <cell r="AE114"/>
          <cell r="AF114">
            <v>0</v>
          </cell>
          <cell r="AG114">
            <v>0</v>
          </cell>
          <cell r="AH114">
            <v>454460</v>
          </cell>
          <cell r="AI114">
            <v>480320</v>
          </cell>
          <cell r="AJ114">
            <v>506181</v>
          </cell>
          <cell r="AK114">
            <v>719930</v>
          </cell>
          <cell r="AL114">
            <v>777106</v>
          </cell>
          <cell r="AM114">
            <v>984015</v>
          </cell>
          <cell r="AN114">
            <v>1050147</v>
          </cell>
          <cell r="AO114">
            <v>1160341</v>
          </cell>
          <cell r="AP114">
            <v>1237678</v>
          </cell>
          <cell r="AQ114">
            <v>1315014</v>
          </cell>
          <cell r="AR114">
            <v>1335544</v>
          </cell>
          <cell r="AS114">
            <v>1356074</v>
          </cell>
          <cell r="AT114">
            <v>1376603</v>
          </cell>
          <cell r="AU114">
            <v>1397132</v>
          </cell>
          <cell r="AV114">
            <v>1417661</v>
          </cell>
          <cell r="AW114">
            <v>1438191</v>
          </cell>
          <cell r="AX114">
            <v>1438853</v>
          </cell>
          <cell r="AY114">
            <v>1439515</v>
          </cell>
          <cell r="AZ114">
            <v>1440177</v>
          </cell>
          <cell r="BA114">
            <v>1440840</v>
          </cell>
          <cell r="BB114">
            <v>1441503</v>
          </cell>
          <cell r="BC114">
            <v>1442164</v>
          </cell>
          <cell r="BD114">
            <v>1442827</v>
          </cell>
          <cell r="BE114">
            <v>1443489</v>
          </cell>
          <cell r="BF114">
            <v>1444152</v>
          </cell>
          <cell r="BG114">
            <v>1444813</v>
          </cell>
          <cell r="BH114">
            <v>1445476</v>
          </cell>
          <cell r="BI114">
            <v>1446139</v>
          </cell>
          <cell r="BJ114">
            <v>1446801</v>
          </cell>
          <cell r="BK114">
            <v>1447463</v>
          </cell>
          <cell r="BL114">
            <v>1448125</v>
          </cell>
          <cell r="BM114">
            <v>1448788</v>
          </cell>
          <cell r="BN114">
            <v>1449450</v>
          </cell>
          <cell r="BO114">
            <v>1450112</v>
          </cell>
          <cell r="BP114">
            <v>1435096</v>
          </cell>
          <cell r="BQ114">
            <v>1420081</v>
          </cell>
          <cell r="BR114">
            <v>1405066</v>
          </cell>
          <cell r="BS114">
            <v>1390050</v>
          </cell>
          <cell r="BT114">
            <v>1375034</v>
          </cell>
          <cell r="BU114">
            <v>1360018</v>
          </cell>
          <cell r="BV114">
            <v>1339520</v>
          </cell>
          <cell r="BW114">
            <v>1319021</v>
          </cell>
          <cell r="BX114">
            <v>1298523</v>
          </cell>
          <cell r="BY114">
            <v>1278025</v>
          </cell>
          <cell r="BZ114">
            <v>425128</v>
          </cell>
          <cell r="CA114">
            <v>1237027</v>
          </cell>
          <cell r="CB114">
            <v>1232206</v>
          </cell>
          <cell r="CC114">
            <v>1227386</v>
          </cell>
          <cell r="CD114">
            <v>1222565</v>
          </cell>
          <cell r="CE114">
            <v>1217744</v>
          </cell>
          <cell r="CF114">
            <v>1212923</v>
          </cell>
          <cell r="CG114">
            <v>1208103</v>
          </cell>
          <cell r="CH114">
            <v>1208766</v>
          </cell>
          <cell r="CI114">
            <v>1209427</v>
          </cell>
          <cell r="CJ114">
            <v>1210090</v>
          </cell>
          <cell r="CK114">
            <v>1210752</v>
          </cell>
          <cell r="CL114">
            <v>1211415</v>
          </cell>
          <cell r="CM114">
            <v>1212076</v>
          </cell>
          <cell r="CN114">
            <v>1212739</v>
          </cell>
          <cell r="CO114">
            <v>1213402</v>
          </cell>
          <cell r="CP114">
            <v>1214064</v>
          </cell>
          <cell r="CQ114">
            <v>1214726</v>
          </cell>
          <cell r="CR114">
            <v>1215388</v>
          </cell>
          <cell r="CS114">
            <v>1216051</v>
          </cell>
          <cell r="CT114">
            <v>1216713</v>
          </cell>
          <cell r="CU114">
            <v>1217375</v>
          </cell>
          <cell r="CV114">
            <v>1218037</v>
          </cell>
          <cell r="CW114">
            <v>1218700</v>
          </cell>
          <cell r="CX114">
            <v>1219362</v>
          </cell>
          <cell r="CY114">
            <v>904660</v>
          </cell>
          <cell r="CZ114">
            <v>905151</v>
          </cell>
          <cell r="DA114">
            <v>905642</v>
          </cell>
          <cell r="DB114">
            <v>906132</v>
          </cell>
          <cell r="DC114">
            <v>0</v>
          </cell>
          <cell r="DD114">
            <v>0</v>
          </cell>
          <cell r="DE114">
            <v>0</v>
          </cell>
          <cell r="DF114">
            <v>0</v>
          </cell>
          <cell r="DG114">
            <v>0</v>
          </cell>
          <cell r="DH114">
            <v>0</v>
          </cell>
        </row>
        <row r="115">
          <cell r="C115" t="str">
            <v>Lease Rec NC-GAAP</v>
          </cell>
          <cell r="D115"/>
          <cell r="E115"/>
          <cell r="F115"/>
          <cell r="G115"/>
          <cell r="H115"/>
          <cell r="I115"/>
          <cell r="J115"/>
          <cell r="K115"/>
          <cell r="L115"/>
          <cell r="M115"/>
          <cell r="N115"/>
          <cell r="O115"/>
          <cell r="P115"/>
          <cell r="Q115"/>
          <cell r="R115"/>
          <cell r="S115"/>
          <cell r="T115"/>
          <cell r="U115"/>
          <cell r="V115"/>
          <cell r="W115"/>
          <cell r="X115"/>
          <cell r="Y115"/>
          <cell r="Z115"/>
          <cell r="AA115"/>
          <cell r="AB115"/>
          <cell r="AC115"/>
          <cell r="AD115"/>
          <cell r="AE115"/>
          <cell r="AF115">
            <v>0</v>
          </cell>
          <cell r="AG115">
            <v>0</v>
          </cell>
          <cell r="AH115">
            <v>18028986</v>
          </cell>
          <cell r="AI115">
            <v>17971811</v>
          </cell>
          <cell r="AJ115">
            <v>17914635</v>
          </cell>
          <cell r="AK115">
            <v>17669571</v>
          </cell>
          <cell r="AL115">
            <v>17581081</v>
          </cell>
          <cell r="AM115">
            <v>23818101</v>
          </cell>
          <cell r="AN115">
            <v>23709701</v>
          </cell>
          <cell r="AO115">
            <v>23556827</v>
          </cell>
          <cell r="AP115">
            <v>23436811</v>
          </cell>
          <cell r="AQ115">
            <v>23316796</v>
          </cell>
          <cell r="AR115">
            <v>23196780</v>
          </cell>
          <cell r="AS115">
            <v>23076764</v>
          </cell>
          <cell r="AT115">
            <v>22956749</v>
          </cell>
          <cell r="AU115">
            <v>22836734</v>
          </cell>
          <cell r="AV115">
            <v>22716719</v>
          </cell>
          <cell r="AW115">
            <v>22596703</v>
          </cell>
          <cell r="AX115">
            <v>22476688</v>
          </cell>
          <cell r="AY115">
            <v>22356673</v>
          </cell>
          <cell r="AZ115">
            <v>22236658</v>
          </cell>
          <cell r="BA115">
            <v>22115980</v>
          </cell>
          <cell r="BB115">
            <v>21995302</v>
          </cell>
          <cell r="BC115">
            <v>21874626</v>
          </cell>
          <cell r="BD115">
            <v>21753948</v>
          </cell>
          <cell r="BE115">
            <v>21633271</v>
          </cell>
          <cell r="BF115">
            <v>21512587</v>
          </cell>
          <cell r="BG115">
            <v>21391910</v>
          </cell>
          <cell r="BH115">
            <v>21271232</v>
          </cell>
          <cell r="BI115">
            <v>21150554</v>
          </cell>
          <cell r="BJ115">
            <v>21029877</v>
          </cell>
          <cell r="BK115">
            <v>20909200</v>
          </cell>
          <cell r="BL115">
            <v>20788523</v>
          </cell>
          <cell r="BM115">
            <v>20667182</v>
          </cell>
          <cell r="BN115">
            <v>20545842</v>
          </cell>
          <cell r="BO115">
            <v>20424502</v>
          </cell>
          <cell r="BP115">
            <v>20318840</v>
          </cell>
          <cell r="BQ115">
            <v>20213177</v>
          </cell>
          <cell r="BR115">
            <v>20107514</v>
          </cell>
          <cell r="BS115">
            <v>20001853</v>
          </cell>
          <cell r="BT115">
            <v>19896192</v>
          </cell>
          <cell r="BU115">
            <v>19790531</v>
          </cell>
          <cell r="BV115">
            <v>19690351</v>
          </cell>
          <cell r="BW115">
            <v>19590172</v>
          </cell>
          <cell r="BX115">
            <v>19489992</v>
          </cell>
          <cell r="BY115">
            <v>19389149</v>
          </cell>
          <cell r="BZ115">
            <v>20120706</v>
          </cell>
          <cell r="CA115">
            <v>19187466</v>
          </cell>
          <cell r="CB115">
            <v>19086624</v>
          </cell>
          <cell r="CC115">
            <v>18985782</v>
          </cell>
          <cell r="CD115">
            <v>18884940</v>
          </cell>
          <cell r="CE115">
            <v>18784098</v>
          </cell>
          <cell r="CF115">
            <v>18683256</v>
          </cell>
          <cell r="CG115">
            <v>18582413</v>
          </cell>
          <cell r="CH115">
            <v>18481571</v>
          </cell>
          <cell r="CI115">
            <v>18380731</v>
          </cell>
          <cell r="CJ115">
            <v>18279889</v>
          </cell>
          <cell r="CK115">
            <v>18178386</v>
          </cell>
          <cell r="CL115">
            <v>18076881</v>
          </cell>
          <cell r="CM115">
            <v>17975379</v>
          </cell>
          <cell r="CN115">
            <v>17873875</v>
          </cell>
          <cell r="CO115">
            <v>17772371</v>
          </cell>
          <cell r="CP115">
            <v>17670868</v>
          </cell>
          <cell r="CQ115">
            <v>17569365</v>
          </cell>
          <cell r="CR115">
            <v>17467862</v>
          </cell>
          <cell r="CS115">
            <v>17366358</v>
          </cell>
          <cell r="CT115">
            <v>17264855</v>
          </cell>
          <cell r="CU115">
            <v>17163352</v>
          </cell>
          <cell r="CV115">
            <v>17061849</v>
          </cell>
          <cell r="CW115">
            <v>16959683</v>
          </cell>
          <cell r="CX115">
            <v>16857518</v>
          </cell>
          <cell r="CY115">
            <v>12296453</v>
          </cell>
          <cell r="CZ115">
            <v>12220696</v>
          </cell>
          <cell r="DA115">
            <v>12144939</v>
          </cell>
          <cell r="DB115">
            <v>12069183</v>
          </cell>
          <cell r="DC115">
            <v>0</v>
          </cell>
          <cell r="DD115">
            <v>0</v>
          </cell>
          <cell r="DE115">
            <v>0</v>
          </cell>
          <cell r="DF115">
            <v>0</v>
          </cell>
          <cell r="DG115">
            <v>0</v>
          </cell>
          <cell r="DH115">
            <v>0</v>
          </cell>
        </row>
        <row r="116">
          <cell r="C116" t="str">
            <v>Unearn Int LeaseGAAP</v>
          </cell>
          <cell r="D116"/>
          <cell r="E116"/>
          <cell r="F116"/>
          <cell r="G116"/>
          <cell r="H116"/>
          <cell r="I116"/>
          <cell r="J116"/>
          <cell r="K116"/>
          <cell r="L116"/>
          <cell r="M116"/>
          <cell r="N116"/>
          <cell r="O116"/>
          <cell r="P116"/>
          <cell r="Q116"/>
          <cell r="R116"/>
          <cell r="S116"/>
          <cell r="T116"/>
          <cell r="U116"/>
          <cell r="V116"/>
          <cell r="W116"/>
          <cell r="X116"/>
          <cell r="Y116"/>
          <cell r="Z116"/>
          <cell r="AA116"/>
          <cell r="AB116"/>
          <cell r="AC116"/>
          <cell r="AD116"/>
          <cell r="AE116"/>
          <cell r="AF116">
            <v>0</v>
          </cell>
          <cell r="AG116">
            <v>0</v>
          </cell>
          <cell r="AH116">
            <v>-10529937</v>
          </cell>
          <cell r="AI116">
            <v>-10464217</v>
          </cell>
          <cell r="AJ116">
            <v>-10398213</v>
          </cell>
          <cell r="AK116">
            <v>-10331923</v>
          </cell>
          <cell r="AL116">
            <v>-10265344</v>
          </cell>
          <cell r="AM116">
            <v>-13905135</v>
          </cell>
          <cell r="AN116">
            <v>-13815080</v>
          </cell>
          <cell r="AO116">
            <v>-13724630</v>
          </cell>
          <cell r="AP116">
            <v>-13633785</v>
          </cell>
          <cell r="AQ116">
            <v>-13542542</v>
          </cell>
          <cell r="AR116">
            <v>-13450898</v>
          </cell>
          <cell r="AS116">
            <v>-13359319</v>
          </cell>
          <cell r="AT116">
            <v>-13267805</v>
          </cell>
          <cell r="AU116">
            <v>-13176357</v>
          </cell>
          <cell r="AV116">
            <v>-13084976</v>
          </cell>
          <cell r="AW116">
            <v>-12993662</v>
          </cell>
          <cell r="AX116">
            <v>-12902415</v>
          </cell>
          <cell r="AY116">
            <v>-12811400</v>
          </cell>
          <cell r="AZ116">
            <v>-12720619</v>
          </cell>
          <cell r="BA116">
            <v>-12630075</v>
          </cell>
          <cell r="BB116">
            <v>-12539774</v>
          </cell>
          <cell r="BC116">
            <v>-12449719</v>
          </cell>
          <cell r="BD116">
            <v>-12359911</v>
          </cell>
          <cell r="BE116">
            <v>-12270354</v>
          </cell>
          <cell r="BF116">
            <v>-12181047</v>
          </cell>
          <cell r="BG116">
            <v>-12091994</v>
          </cell>
          <cell r="BH116">
            <v>-12003197</v>
          </cell>
          <cell r="BI116">
            <v>-11914658</v>
          </cell>
          <cell r="BJ116">
            <v>-11826379</v>
          </cell>
          <cell r="BK116">
            <v>-11738362</v>
          </cell>
          <cell r="BL116">
            <v>-11650609</v>
          </cell>
          <cell r="BM116">
            <v>-11563124</v>
          </cell>
          <cell r="BN116">
            <v>-11475913</v>
          </cell>
          <cell r="BO116">
            <v>-11388978</v>
          </cell>
          <cell r="BP116">
            <v>-11302322</v>
          </cell>
          <cell r="BQ116">
            <v>-11215947</v>
          </cell>
          <cell r="BR116">
            <v>-11129856</v>
          </cell>
          <cell r="BS116">
            <v>-11044051</v>
          </cell>
          <cell r="BT116">
            <v>-10958534</v>
          </cell>
          <cell r="BU116">
            <v>-10873308</v>
          </cell>
          <cell r="BV116">
            <v>-10788374</v>
          </cell>
          <cell r="BW116">
            <v>-10703736</v>
          </cell>
          <cell r="BX116">
            <v>-10619395</v>
          </cell>
          <cell r="BY116">
            <v>-10535355</v>
          </cell>
          <cell r="BZ116">
            <v>-10451623</v>
          </cell>
          <cell r="CA116">
            <v>-10368201</v>
          </cell>
          <cell r="CB116">
            <v>-10285093</v>
          </cell>
          <cell r="CC116">
            <v>-10202172</v>
          </cell>
          <cell r="CD116">
            <v>-10119439</v>
          </cell>
          <cell r="CE116">
            <v>-10036895</v>
          </cell>
          <cell r="CF116">
            <v>-9954542</v>
          </cell>
          <cell r="CG116">
            <v>-9872382</v>
          </cell>
          <cell r="CH116">
            <v>-9790417</v>
          </cell>
          <cell r="CI116">
            <v>-9708602</v>
          </cell>
          <cell r="CJ116">
            <v>-9626825</v>
          </cell>
          <cell r="CK116">
            <v>-9545429</v>
          </cell>
          <cell r="CL116">
            <v>-9464078</v>
          </cell>
          <cell r="CM116">
            <v>-9382889</v>
          </cell>
          <cell r="CN116">
            <v>-9301862</v>
          </cell>
          <cell r="CO116">
            <v>-9220998</v>
          </cell>
          <cell r="CP116">
            <v>-9140300</v>
          </cell>
          <cell r="CQ116">
            <v>-9059768</v>
          </cell>
          <cell r="CR116">
            <v>-8979404</v>
          </cell>
          <cell r="CS116">
            <v>-8899209</v>
          </cell>
          <cell r="CT116">
            <v>-8819185</v>
          </cell>
          <cell r="CU116">
            <v>-8739332</v>
          </cell>
          <cell r="CV116">
            <v>-8659654</v>
          </cell>
          <cell r="CW116">
            <v>-8580151</v>
          </cell>
          <cell r="CX116">
            <v>-8500828</v>
          </cell>
          <cell r="CY116">
            <v>-6147581</v>
          </cell>
          <cell r="CZ116">
            <v>-6089298</v>
          </cell>
          <cell r="DA116">
            <v>-6031155</v>
          </cell>
          <cell r="DB116">
            <v>-5973154</v>
          </cell>
          <cell r="DC116">
            <v>0</v>
          </cell>
          <cell r="DD116">
            <v>0</v>
          </cell>
          <cell r="DE116">
            <v>0</v>
          </cell>
          <cell r="DF116">
            <v>0</v>
          </cell>
          <cell r="DG116">
            <v>0</v>
          </cell>
          <cell r="DH116">
            <v>0</v>
          </cell>
        </row>
        <row r="117">
          <cell r="C117" t="str">
            <v>Accr Util Rev C</v>
          </cell>
          <cell r="D117">
            <v>10453804</v>
          </cell>
          <cell r="E117">
            <v>14121424</v>
          </cell>
          <cell r="F117">
            <v>14501272</v>
          </cell>
          <cell r="G117">
            <v>12210429</v>
          </cell>
          <cell r="H117">
            <v>11264410</v>
          </cell>
          <cell r="I117">
            <v>9309625</v>
          </cell>
          <cell r="J117">
            <v>9588042</v>
          </cell>
          <cell r="K117">
            <v>8689961</v>
          </cell>
          <cell r="L117">
            <v>8265612</v>
          </cell>
          <cell r="M117">
            <v>8573106</v>
          </cell>
          <cell r="N117">
            <v>8758043</v>
          </cell>
          <cell r="O117">
            <v>9690129</v>
          </cell>
          <cell r="P117">
            <v>12160508</v>
          </cell>
          <cell r="Q117">
            <v>13773698</v>
          </cell>
          <cell r="R117">
            <v>13842191</v>
          </cell>
          <cell r="S117">
            <v>13153486</v>
          </cell>
          <cell r="T117">
            <v>10396447</v>
          </cell>
          <cell r="U117">
            <v>8997653</v>
          </cell>
          <cell r="V117">
            <v>9318367</v>
          </cell>
          <cell r="W117">
            <v>8578586</v>
          </cell>
          <cell r="X117">
            <v>8605700</v>
          </cell>
          <cell r="Y117">
            <v>8467002</v>
          </cell>
          <cell r="Z117">
            <v>8631054</v>
          </cell>
          <cell r="AA117">
            <v>10568472</v>
          </cell>
          <cell r="AB117">
            <v>9332814</v>
          </cell>
          <cell r="AC117">
            <v>13194093</v>
          </cell>
          <cell r="AD117">
            <v>14606125</v>
          </cell>
          <cell r="AE117">
            <v>12771278</v>
          </cell>
          <cell r="AF117">
            <v>11268386</v>
          </cell>
          <cell r="AG117">
            <v>9955795</v>
          </cell>
          <cell r="AH117">
            <v>9011790</v>
          </cell>
          <cell r="AI117">
            <v>8305546</v>
          </cell>
          <cell r="AJ117">
            <v>8236893</v>
          </cell>
          <cell r="AK117">
            <v>8329332</v>
          </cell>
          <cell r="AL117">
            <v>8272996</v>
          </cell>
          <cell r="AM117">
            <v>9246536</v>
          </cell>
          <cell r="AN117">
            <v>10736588</v>
          </cell>
          <cell r="AO117">
            <v>12078768</v>
          </cell>
          <cell r="AP117">
            <v>11961224</v>
          </cell>
          <cell r="AQ117">
            <v>11195527</v>
          </cell>
          <cell r="AR117">
            <v>10986039</v>
          </cell>
          <cell r="AS117">
            <v>9783910</v>
          </cell>
          <cell r="AT117">
            <v>8920964</v>
          </cell>
          <cell r="AU117">
            <v>8405325</v>
          </cell>
          <cell r="AV117">
            <v>8345855</v>
          </cell>
          <cell r="AW117">
            <v>8880385</v>
          </cell>
          <cell r="AX117">
            <v>9055757</v>
          </cell>
          <cell r="AY117">
            <v>10184241</v>
          </cell>
          <cell r="AZ117">
            <v>12037763</v>
          </cell>
          <cell r="BA117">
            <v>16903475</v>
          </cell>
          <cell r="BB117">
            <v>15075867</v>
          </cell>
          <cell r="BC117">
            <v>12324817</v>
          </cell>
          <cell r="BD117">
            <v>12712880</v>
          </cell>
          <cell r="BE117">
            <v>10609698</v>
          </cell>
          <cell r="BF117">
            <v>9391200</v>
          </cell>
          <cell r="BG117">
            <v>9182201</v>
          </cell>
          <cell r="BH117">
            <v>8937787</v>
          </cell>
          <cell r="BI117">
            <v>8976897</v>
          </cell>
          <cell r="BJ117">
            <v>8940430</v>
          </cell>
          <cell r="BK117">
            <v>10330350</v>
          </cell>
          <cell r="BL117">
            <v>12353298</v>
          </cell>
          <cell r="BM117">
            <v>13959659</v>
          </cell>
          <cell r="BN117">
            <v>11843869</v>
          </cell>
          <cell r="BO117">
            <v>12411808</v>
          </cell>
          <cell r="BP117">
            <v>12154083</v>
          </cell>
          <cell r="BQ117">
            <v>10937017</v>
          </cell>
          <cell r="BR117">
            <v>9590748</v>
          </cell>
          <cell r="BS117">
            <v>9249482</v>
          </cell>
          <cell r="BT117">
            <v>8624741</v>
          </cell>
          <cell r="BU117">
            <v>8918257</v>
          </cell>
          <cell r="BV117">
            <v>8868740</v>
          </cell>
          <cell r="BW117">
            <v>11408241</v>
          </cell>
          <cell r="BX117">
            <v>12585260</v>
          </cell>
          <cell r="BY117">
            <v>13948631</v>
          </cell>
          <cell r="BZ117">
            <v>13340275</v>
          </cell>
          <cell r="CA117">
            <v>11488328</v>
          </cell>
          <cell r="CB117">
            <v>10090773</v>
          </cell>
          <cell r="CC117">
            <v>9202897</v>
          </cell>
          <cell r="CD117">
            <v>9178472</v>
          </cell>
          <cell r="CE117">
            <v>8547643</v>
          </cell>
          <cell r="CF117">
            <v>8576101</v>
          </cell>
          <cell r="CG117">
            <v>8525635</v>
          </cell>
          <cell r="CH117">
            <v>9004210</v>
          </cell>
          <cell r="CI117">
            <v>10300774</v>
          </cell>
          <cell r="CJ117">
            <v>15058285</v>
          </cell>
          <cell r="CK117">
            <v>18903678</v>
          </cell>
          <cell r="CL117">
            <v>15409592</v>
          </cell>
          <cell r="CM117">
            <v>16257338</v>
          </cell>
          <cell r="CN117">
            <v>16067614</v>
          </cell>
          <cell r="CO117">
            <v>13825000</v>
          </cell>
          <cell r="CP117">
            <v>12980495</v>
          </cell>
          <cell r="CQ117">
            <v>12554084</v>
          </cell>
          <cell r="CR117">
            <v>11932838</v>
          </cell>
          <cell r="CS117">
            <v>12452247</v>
          </cell>
          <cell r="CT117">
            <v>12150759</v>
          </cell>
          <cell r="CU117">
            <v>13785737</v>
          </cell>
          <cell r="CV117">
            <v>17180538</v>
          </cell>
          <cell r="CW117">
            <v>22714314</v>
          </cell>
          <cell r="CX117">
            <v>21544001</v>
          </cell>
          <cell r="CY117">
            <v>18374847</v>
          </cell>
          <cell r="CZ117">
            <v>16853412</v>
          </cell>
          <cell r="DA117">
            <v>15553655</v>
          </cell>
          <cell r="DB117">
            <v>13680802</v>
          </cell>
          <cell r="DC117">
            <v>12783744</v>
          </cell>
          <cell r="DD117">
            <v>14256348</v>
          </cell>
          <cell r="DE117">
            <v>13334863</v>
          </cell>
          <cell r="DF117">
            <v>15910901</v>
          </cell>
          <cell r="DG117">
            <v>14071119</v>
          </cell>
          <cell r="DH117">
            <v>16225985</v>
          </cell>
        </row>
        <row r="118">
          <cell r="C118" t="str">
            <v>Curr Deriv Asset</v>
          </cell>
          <cell r="D118">
            <v>1083910</v>
          </cell>
          <cell r="E118">
            <v>3450680</v>
          </cell>
          <cell r="F118">
            <v>2417910</v>
          </cell>
          <cell r="G118">
            <v>1479840</v>
          </cell>
          <cell r="H118">
            <v>2610693.6800000002</v>
          </cell>
          <cell r="I118">
            <v>579510</v>
          </cell>
          <cell r="J118">
            <v>1045615</v>
          </cell>
          <cell r="K118">
            <v>0</v>
          </cell>
          <cell r="L118">
            <v>4975</v>
          </cell>
          <cell r="M118">
            <v>0</v>
          </cell>
          <cell r="N118">
            <v>0</v>
          </cell>
          <cell r="O118">
            <v>0</v>
          </cell>
          <cell r="P118">
            <v>0</v>
          </cell>
          <cell r="Q118">
            <v>0</v>
          </cell>
          <cell r="R118">
            <v>0</v>
          </cell>
          <cell r="S118">
            <v>27523.919999999998</v>
          </cell>
          <cell r="T118">
            <v>187787.92</v>
          </cell>
          <cell r="U118">
            <v>0</v>
          </cell>
          <cell r="V118">
            <v>0</v>
          </cell>
          <cell r="W118">
            <v>0</v>
          </cell>
          <cell r="X118">
            <v>0</v>
          </cell>
          <cell r="Y118">
            <v>0</v>
          </cell>
          <cell r="Z118">
            <v>0</v>
          </cell>
          <cell r="AA118">
            <v>0</v>
          </cell>
          <cell r="AB118">
            <v>0</v>
          </cell>
          <cell r="AC118">
            <v>2520</v>
          </cell>
          <cell r="AD118">
            <v>0</v>
          </cell>
          <cell r="AE118">
            <v>0</v>
          </cell>
          <cell r="AF118">
            <v>0</v>
          </cell>
          <cell r="AG118">
            <v>3720</v>
          </cell>
          <cell r="AH118">
            <v>235290</v>
          </cell>
          <cell r="AI118">
            <v>215630</v>
          </cell>
          <cell r="AJ118">
            <v>103720</v>
          </cell>
          <cell r="AK118">
            <v>63240</v>
          </cell>
          <cell r="AL118">
            <v>24520</v>
          </cell>
          <cell r="AM118">
            <v>382970</v>
          </cell>
          <cell r="AN118">
            <v>1721815</v>
          </cell>
          <cell r="AO118">
            <v>428585</v>
          </cell>
          <cell r="AP118">
            <v>31520</v>
          </cell>
          <cell r="AQ118">
            <v>481000</v>
          </cell>
          <cell r="AR118">
            <v>504425</v>
          </cell>
          <cell r="AS118">
            <v>161805</v>
          </cell>
          <cell r="AT118">
            <v>86755</v>
          </cell>
          <cell r="AU118">
            <v>8450</v>
          </cell>
          <cell r="AV118">
            <v>94105</v>
          </cell>
          <cell r="AW118">
            <v>72175</v>
          </cell>
          <cell r="AX118">
            <v>0</v>
          </cell>
          <cell r="AY118">
            <v>7230</v>
          </cell>
          <cell r="AZ118">
            <v>0</v>
          </cell>
          <cell r="BA118">
            <v>77895</v>
          </cell>
          <cell r="BB118">
            <v>0</v>
          </cell>
          <cell r="BC118">
            <v>0</v>
          </cell>
          <cell r="BD118">
            <v>2040</v>
          </cell>
          <cell r="BE118">
            <v>20020</v>
          </cell>
          <cell r="BF118">
            <v>15330</v>
          </cell>
          <cell r="BG118">
            <v>0</v>
          </cell>
          <cell r="BH118">
            <v>3500</v>
          </cell>
          <cell r="BI118">
            <v>10040</v>
          </cell>
          <cell r="BJ118">
            <v>14650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row>
        <row r="119">
          <cell r="C119" t="str">
            <v>LT Deriv Asset</v>
          </cell>
          <cell r="D119">
            <v>51235</v>
          </cell>
          <cell r="E119">
            <v>113765</v>
          </cell>
          <cell r="F119">
            <v>71605</v>
          </cell>
          <cell r="G119">
            <v>25205</v>
          </cell>
          <cell r="H119">
            <v>481885</v>
          </cell>
          <cell r="I119">
            <v>98245</v>
          </cell>
          <cell r="J119">
            <v>134995</v>
          </cell>
          <cell r="K119">
            <v>0</v>
          </cell>
          <cell r="L119">
            <v>0</v>
          </cell>
          <cell r="M119">
            <v>0</v>
          </cell>
          <cell r="N119">
            <v>0</v>
          </cell>
          <cell r="O119">
            <v>0</v>
          </cell>
          <cell r="P119">
            <v>0</v>
          </cell>
          <cell r="Q119">
            <v>0</v>
          </cell>
          <cell r="R119">
            <v>0</v>
          </cell>
          <cell r="S119">
            <v>0</v>
          </cell>
          <cell r="T119">
            <v>0</v>
          </cell>
          <cell r="U119">
            <v>0</v>
          </cell>
          <cell r="V119">
            <v>360</v>
          </cell>
          <cell r="W119">
            <v>0</v>
          </cell>
          <cell r="X119">
            <v>0</v>
          </cell>
          <cell r="Y119">
            <v>0</v>
          </cell>
          <cell r="Z119">
            <v>0</v>
          </cell>
          <cell r="AA119">
            <v>0</v>
          </cell>
          <cell r="AB119">
            <v>0</v>
          </cell>
          <cell r="AC119">
            <v>0</v>
          </cell>
          <cell r="AD119">
            <v>0</v>
          </cell>
          <cell r="AE119">
            <v>2790</v>
          </cell>
          <cell r="AF119">
            <v>56285</v>
          </cell>
          <cell r="AG119">
            <v>74965</v>
          </cell>
          <cell r="AH119">
            <v>123345</v>
          </cell>
          <cell r="AI119">
            <v>136115</v>
          </cell>
          <cell r="AJ119">
            <v>97905</v>
          </cell>
          <cell r="AK119">
            <v>55055</v>
          </cell>
          <cell r="AL119">
            <v>128885</v>
          </cell>
          <cell r="AM119">
            <v>149175</v>
          </cell>
          <cell r="AN119">
            <v>267425</v>
          </cell>
          <cell r="AO119">
            <v>106815</v>
          </cell>
          <cell r="AP119">
            <v>0</v>
          </cell>
          <cell r="AQ119">
            <v>1880</v>
          </cell>
          <cell r="AR119">
            <v>34420</v>
          </cell>
          <cell r="AS119">
            <v>7720</v>
          </cell>
          <cell r="AT119">
            <v>1520</v>
          </cell>
          <cell r="AU119">
            <v>0</v>
          </cell>
          <cell r="AV119">
            <v>7090</v>
          </cell>
          <cell r="AW119">
            <v>7570</v>
          </cell>
          <cell r="AX119">
            <v>4800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row>
        <row r="120">
          <cell r="C120" t="str">
            <v>UA Debt Exp ST Loan</v>
          </cell>
          <cell r="D120"/>
          <cell r="E120"/>
          <cell r="F120"/>
          <cell r="G120"/>
          <cell r="H120"/>
          <cell r="I120"/>
          <cell r="J120"/>
          <cell r="K120"/>
          <cell r="L120"/>
          <cell r="M120"/>
          <cell r="N120"/>
          <cell r="O120"/>
          <cell r="P120"/>
          <cell r="Q120"/>
          <cell r="R120"/>
          <cell r="S120"/>
          <cell r="T120"/>
          <cell r="U120"/>
          <cell r="V120"/>
          <cell r="W120"/>
          <cell r="X120"/>
          <cell r="Y120"/>
          <cell r="Z120"/>
          <cell r="AA120"/>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cell r="AZ120"/>
          <cell r="BA120">
            <v>0</v>
          </cell>
          <cell r="BB120">
            <v>0</v>
          </cell>
          <cell r="BC120">
            <v>45859.38</v>
          </cell>
          <cell r="BD120">
            <v>39308.04</v>
          </cell>
          <cell r="BE120">
            <v>32756.7</v>
          </cell>
          <cell r="BF120">
            <v>26205.360000000001</v>
          </cell>
          <cell r="BG120">
            <v>19654.02</v>
          </cell>
          <cell r="BH120">
            <v>13102.68</v>
          </cell>
          <cell r="BI120">
            <v>6551.34</v>
          </cell>
          <cell r="BJ120">
            <v>0</v>
          </cell>
          <cell r="BK120">
            <v>0</v>
          </cell>
          <cell r="BL120">
            <v>0</v>
          </cell>
          <cell r="BM120">
            <v>0</v>
          </cell>
          <cell r="BN120">
            <v>0</v>
          </cell>
          <cell r="BO120">
            <v>0</v>
          </cell>
          <cell r="BP120">
            <v>0</v>
          </cell>
          <cell r="BQ120">
            <v>0</v>
          </cell>
          <cell r="BR120">
            <v>0</v>
          </cell>
          <cell r="BS120">
            <v>0</v>
          </cell>
          <cell r="BT120">
            <v>0</v>
          </cell>
          <cell r="BU120">
            <v>0</v>
          </cell>
          <cell r="BV120"/>
          <cell r="BW120"/>
          <cell r="BX120"/>
          <cell r="BY120">
            <v>0</v>
          </cell>
          <cell r="BZ120">
            <v>11319.55</v>
          </cell>
          <cell r="CA120">
            <v>14670.6</v>
          </cell>
          <cell r="CB120">
            <v>13203.54</v>
          </cell>
          <cell r="CC120">
            <v>11736.48</v>
          </cell>
          <cell r="CD120">
            <v>10269.42</v>
          </cell>
          <cell r="CE120">
            <v>8802.36</v>
          </cell>
          <cell r="CF120">
            <v>7335.3</v>
          </cell>
          <cell r="CG120">
            <v>5868.24</v>
          </cell>
          <cell r="CH120">
            <v>4401.18</v>
          </cell>
          <cell r="CI120">
            <v>2934.12</v>
          </cell>
          <cell r="CJ120">
            <v>1467.06</v>
          </cell>
          <cell r="CK120">
            <v>6563.9</v>
          </cell>
          <cell r="CL120">
            <v>4375.9399999999996</v>
          </cell>
          <cell r="CM120">
            <v>2543.25</v>
          </cell>
          <cell r="CN120">
            <v>0</v>
          </cell>
          <cell r="CO120">
            <v>0</v>
          </cell>
          <cell r="CP120">
            <v>0</v>
          </cell>
          <cell r="CQ120">
            <v>0</v>
          </cell>
          <cell r="CR120">
            <v>0</v>
          </cell>
          <cell r="CS120">
            <v>0</v>
          </cell>
          <cell r="CT120">
            <v>0</v>
          </cell>
          <cell r="CU120">
            <v>0</v>
          </cell>
          <cell r="CV120">
            <v>14512.82</v>
          </cell>
          <cell r="CW120">
            <v>13059.42</v>
          </cell>
          <cell r="CX120">
            <v>11872.2</v>
          </cell>
          <cell r="CY120">
            <v>10684.98</v>
          </cell>
          <cell r="CZ120">
            <v>10479.040000000001</v>
          </cell>
          <cell r="DA120">
            <v>9169.16</v>
          </cell>
          <cell r="DB120">
            <v>7859.28</v>
          </cell>
          <cell r="DC120">
            <v>6549.4</v>
          </cell>
          <cell r="DD120">
            <v>5239.5200000000004</v>
          </cell>
          <cell r="DE120">
            <v>3929.64</v>
          </cell>
          <cell r="DF120">
            <v>2619.7600000000002</v>
          </cell>
          <cell r="DG120">
            <v>1309.8800000000001</v>
          </cell>
          <cell r="DH120">
            <v>38270.980000000003</v>
          </cell>
        </row>
        <row r="121">
          <cell r="C121" t="str">
            <v>UA Debt Exp Recourse</v>
          </cell>
          <cell r="D121">
            <v>1094576.58</v>
          </cell>
          <cell r="E121">
            <v>1087397.54</v>
          </cell>
          <cell r="F121">
            <v>1080218.5</v>
          </cell>
          <cell r="G121">
            <v>1073039.46</v>
          </cell>
          <cell r="H121">
            <v>1065860.42</v>
          </cell>
          <cell r="I121">
            <v>1146259.69</v>
          </cell>
          <cell r="J121">
            <v>1151468.8799999999</v>
          </cell>
          <cell r="K121">
            <v>1141357.42</v>
          </cell>
          <cell r="L121">
            <v>1134105.01</v>
          </cell>
          <cell r="M121">
            <v>1136898.3899999999</v>
          </cell>
          <cell r="N121">
            <v>1129580.24</v>
          </cell>
          <cell r="O121">
            <v>1122097.51</v>
          </cell>
          <cell r="P121">
            <v>1114614.78</v>
          </cell>
          <cell r="Q121">
            <v>1107132.05</v>
          </cell>
          <cell r="R121">
            <v>1099649.32</v>
          </cell>
          <cell r="S121">
            <v>1092166.5900000001</v>
          </cell>
          <cell r="T121">
            <v>1084683.8600000001</v>
          </cell>
          <cell r="U121">
            <v>1266226.81</v>
          </cell>
          <cell r="V121">
            <v>1277958.69</v>
          </cell>
          <cell r="W121">
            <v>1271078.6399999999</v>
          </cell>
          <cell r="X121">
            <v>1263012.55</v>
          </cell>
          <cell r="Y121">
            <v>1264835.3400000001</v>
          </cell>
          <cell r="Z121">
            <v>1256741.47</v>
          </cell>
          <cell r="AA121">
            <v>1240554.44</v>
          </cell>
          <cell r="AB121">
            <v>1248648.31</v>
          </cell>
          <cell r="AC121">
            <v>1232460.57</v>
          </cell>
          <cell r="AD121">
            <v>1224366.7</v>
          </cell>
          <cell r="AE121">
            <v>1216272.83</v>
          </cell>
          <cell r="AF121">
            <v>1208178.96</v>
          </cell>
          <cell r="AG121">
            <v>1200085.0900000001</v>
          </cell>
          <cell r="AH121">
            <v>1191991.22</v>
          </cell>
          <cell r="AI121">
            <v>1183897.3500000001</v>
          </cell>
          <cell r="AJ121">
            <v>1175803.48</v>
          </cell>
          <cell r="AK121">
            <v>1167709.6100000001</v>
          </cell>
          <cell r="AL121">
            <v>1159615.74</v>
          </cell>
          <cell r="AM121">
            <v>1151521.8700000001</v>
          </cell>
          <cell r="AN121">
            <v>1143428</v>
          </cell>
          <cell r="AO121">
            <v>1135334.1299999999</v>
          </cell>
          <cell r="AP121">
            <v>1127240.26</v>
          </cell>
          <cell r="AQ121">
            <v>1119146.3899999999</v>
          </cell>
          <cell r="AR121">
            <v>1111052.52</v>
          </cell>
          <cell r="AS121">
            <v>1102958.6499999999</v>
          </cell>
          <cell r="AT121">
            <v>1094864.78</v>
          </cell>
          <cell r="AU121">
            <v>1086770.9099999999</v>
          </cell>
          <cell r="AV121">
            <v>1078677.04</v>
          </cell>
          <cell r="AW121">
            <v>1070583.17</v>
          </cell>
          <cell r="AX121">
            <v>1062489.3</v>
          </cell>
          <cell r="AY121">
            <v>1054395.43</v>
          </cell>
          <cell r="AZ121">
            <v>1046301.56</v>
          </cell>
          <cell r="BA121">
            <v>1038207.69</v>
          </cell>
          <cell r="BB121">
            <v>1030113.82</v>
          </cell>
          <cell r="BC121">
            <v>1022019.95</v>
          </cell>
          <cell r="BD121">
            <v>1013926.08</v>
          </cell>
          <cell r="BE121">
            <v>1007409.23</v>
          </cell>
          <cell r="BF121">
            <v>1758857.41</v>
          </cell>
          <cell r="BG121">
            <v>1768017.45</v>
          </cell>
          <cell r="BH121">
            <v>1766034.23</v>
          </cell>
          <cell r="BI121">
            <v>1800462.55</v>
          </cell>
          <cell r="BJ121">
            <v>2037074.48</v>
          </cell>
          <cell r="BK121">
            <v>2030609.45</v>
          </cell>
          <cell r="BL121">
            <v>2027977.83</v>
          </cell>
          <cell r="BM121">
            <v>2020072.15</v>
          </cell>
          <cell r="BN121">
            <v>2012183.48</v>
          </cell>
          <cell r="BO121">
            <v>2018048.28</v>
          </cell>
          <cell r="BP121">
            <v>2010104.56</v>
          </cell>
          <cell r="BQ121">
            <v>2002160.84</v>
          </cell>
          <cell r="BR121">
            <v>1994217.12</v>
          </cell>
          <cell r="BS121">
            <v>2205578.9</v>
          </cell>
          <cell r="BT121">
            <v>2242159.67</v>
          </cell>
          <cell r="BU121">
            <v>2244443.7000000002</v>
          </cell>
          <cell r="BV121">
            <v>2235757.23</v>
          </cell>
          <cell r="BW121">
            <v>2227070.7599999998</v>
          </cell>
          <cell r="BX121">
            <v>2233060.89</v>
          </cell>
          <cell r="BY121">
            <v>2224334.3199999998</v>
          </cell>
          <cell r="BZ121">
            <v>2215607.75</v>
          </cell>
          <cell r="CA121">
            <v>2207345.8199999998</v>
          </cell>
          <cell r="CB121">
            <v>2198617.9700000002</v>
          </cell>
          <cell r="CC121">
            <v>2189890.12</v>
          </cell>
          <cell r="CD121">
            <v>2181162.27</v>
          </cell>
          <cell r="CE121">
            <v>2172434.42</v>
          </cell>
          <cell r="CF121">
            <v>2163706.5699999998</v>
          </cell>
          <cell r="CG121">
            <v>2154978.7200000002</v>
          </cell>
          <cell r="CH121">
            <v>2146250.87</v>
          </cell>
          <cell r="CI121">
            <v>2137523.02</v>
          </cell>
          <cell r="CJ121">
            <v>2128795.17</v>
          </cell>
          <cell r="CK121">
            <v>2120067.3199999998</v>
          </cell>
          <cell r="CL121">
            <v>2111339.4700000002</v>
          </cell>
          <cell r="CM121">
            <v>3960407.64</v>
          </cell>
          <cell r="CN121">
            <v>4083428.36</v>
          </cell>
          <cell r="CO121">
            <v>4214954.07</v>
          </cell>
          <cell r="CP121">
            <v>4360244.96</v>
          </cell>
          <cell r="CQ121">
            <v>4339276.21</v>
          </cell>
          <cell r="CR121">
            <v>4318307.46</v>
          </cell>
          <cell r="CS121">
            <v>4297338.71</v>
          </cell>
          <cell r="CT121">
            <v>4276369.96</v>
          </cell>
          <cell r="CU121">
            <v>4255401.21</v>
          </cell>
          <cell r="CV121">
            <v>4234432.46</v>
          </cell>
          <cell r="CW121">
            <v>4213463.71</v>
          </cell>
          <cell r="CX121">
            <v>4192494.96</v>
          </cell>
          <cell r="CY121">
            <v>4171526.21</v>
          </cell>
          <cell r="CZ121">
            <v>4150557.46</v>
          </cell>
          <cell r="DA121">
            <v>4129588.71</v>
          </cell>
          <cell r="DB121">
            <v>4108619.96</v>
          </cell>
          <cell r="DC121">
            <v>4561678.3899999997</v>
          </cell>
          <cell r="DD121">
            <v>4601808.08</v>
          </cell>
          <cell r="DE121">
            <v>4573916</v>
          </cell>
          <cell r="DF121">
            <v>4559647.47</v>
          </cell>
          <cell r="DG121">
            <v>4532310.43</v>
          </cell>
          <cell r="DH121">
            <v>4504973.3899999997</v>
          </cell>
        </row>
        <row r="122">
          <cell r="C122" t="str">
            <v>Reg Ast Conserv Cls</v>
          </cell>
          <cell r="D122">
            <v>1701760</v>
          </cell>
          <cell r="E122">
            <v>1197700</v>
          </cell>
          <cell r="F122">
            <v>372893</v>
          </cell>
          <cell r="G122">
            <v>0</v>
          </cell>
          <cell r="H122">
            <v>0</v>
          </cell>
          <cell r="I122">
            <v>0</v>
          </cell>
          <cell r="J122">
            <v>0</v>
          </cell>
          <cell r="K122">
            <v>0</v>
          </cell>
          <cell r="L122">
            <v>0</v>
          </cell>
          <cell r="M122">
            <v>165017</v>
          </cell>
          <cell r="N122">
            <v>273314</v>
          </cell>
          <cell r="O122">
            <v>243252</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189617</v>
          </cell>
          <cell r="AO122">
            <v>0</v>
          </cell>
          <cell r="AP122">
            <v>0</v>
          </cell>
          <cell r="AQ122">
            <v>0</v>
          </cell>
          <cell r="AR122">
            <v>0</v>
          </cell>
          <cell r="AS122">
            <v>0</v>
          </cell>
          <cell r="AT122">
            <v>0</v>
          </cell>
          <cell r="AU122">
            <v>0</v>
          </cell>
          <cell r="AV122">
            <v>644180</v>
          </cell>
          <cell r="AW122">
            <v>1043840</v>
          </cell>
          <cell r="AX122">
            <v>2243077</v>
          </cell>
          <cell r="AY122">
            <v>2637591</v>
          </cell>
          <cell r="AZ122">
            <v>2498428</v>
          </cell>
          <cell r="BA122">
            <v>1599342</v>
          </cell>
          <cell r="BB122">
            <v>1232539</v>
          </cell>
          <cell r="BC122">
            <v>1526254</v>
          </cell>
          <cell r="BD122">
            <v>2526586</v>
          </cell>
          <cell r="BE122">
            <v>2276018</v>
          </cell>
          <cell r="BF122">
            <v>2209544</v>
          </cell>
          <cell r="BG122">
            <v>3301272</v>
          </cell>
          <cell r="BH122">
            <v>3838458</v>
          </cell>
          <cell r="BI122">
            <v>3615230</v>
          </cell>
          <cell r="BJ122">
            <v>4659576</v>
          </cell>
          <cell r="BK122">
            <v>4538810</v>
          </cell>
          <cell r="BL122">
            <v>4327501</v>
          </cell>
          <cell r="BM122">
            <v>3928978</v>
          </cell>
          <cell r="BN122">
            <v>2604221</v>
          </cell>
          <cell r="BO122">
            <v>1941372</v>
          </cell>
          <cell r="BP122">
            <v>1695605</v>
          </cell>
          <cell r="BQ122">
            <v>1332769</v>
          </cell>
          <cell r="BR122">
            <v>1894237</v>
          </cell>
          <cell r="BS122">
            <v>2877206</v>
          </cell>
          <cell r="BT122">
            <v>3118975</v>
          </cell>
          <cell r="BU122">
            <v>2922432</v>
          </cell>
          <cell r="BV122">
            <v>3370670</v>
          </cell>
          <cell r="BW122">
            <v>3465742</v>
          </cell>
          <cell r="BX122">
            <v>3036822</v>
          </cell>
          <cell r="BY122">
            <v>2633697</v>
          </cell>
          <cell r="BZ122">
            <v>1715623</v>
          </cell>
          <cell r="CA122">
            <v>691836</v>
          </cell>
          <cell r="CB122">
            <v>723557</v>
          </cell>
          <cell r="CC122">
            <v>748018</v>
          </cell>
          <cell r="CD122">
            <v>833637</v>
          </cell>
          <cell r="CE122">
            <v>867661</v>
          </cell>
          <cell r="CF122">
            <v>1134391</v>
          </cell>
          <cell r="CG122">
            <v>1694757</v>
          </cell>
          <cell r="CH122">
            <v>2368913</v>
          </cell>
          <cell r="CI122">
            <v>2272665</v>
          </cell>
          <cell r="CJ122">
            <v>1885102</v>
          </cell>
          <cell r="CK122">
            <v>889684</v>
          </cell>
          <cell r="CL122">
            <v>650520</v>
          </cell>
          <cell r="CM122">
            <v>483078</v>
          </cell>
          <cell r="CN122">
            <v>194675</v>
          </cell>
          <cell r="CO122">
            <v>88787</v>
          </cell>
          <cell r="CP122">
            <v>5123</v>
          </cell>
          <cell r="CQ122">
            <v>209420</v>
          </cell>
          <cell r="CR122">
            <v>59927</v>
          </cell>
          <cell r="CS122">
            <v>468406</v>
          </cell>
          <cell r="CT122">
            <v>764146</v>
          </cell>
          <cell r="CU122">
            <v>808833</v>
          </cell>
          <cell r="CV122">
            <v>601758</v>
          </cell>
          <cell r="CW122">
            <v>0</v>
          </cell>
          <cell r="CX122">
            <v>0</v>
          </cell>
          <cell r="CY122">
            <v>0</v>
          </cell>
          <cell r="CZ122">
            <v>0</v>
          </cell>
          <cell r="DA122">
            <v>0</v>
          </cell>
          <cell r="DB122">
            <v>0</v>
          </cell>
          <cell r="DC122">
            <v>0</v>
          </cell>
          <cell r="DD122">
            <v>0</v>
          </cell>
          <cell r="DE122">
            <v>0</v>
          </cell>
          <cell r="DF122">
            <v>0</v>
          </cell>
          <cell r="DG122">
            <v>0</v>
          </cell>
          <cell r="DH122">
            <v>0</v>
          </cell>
        </row>
        <row r="123">
          <cell r="C123" t="str">
            <v>Reg Ast CRA Clause</v>
          </cell>
          <cell r="D123">
            <v>4149218.84</v>
          </cell>
          <cell r="E123">
            <v>3881649.9</v>
          </cell>
          <cell r="F123">
            <v>3595984.45</v>
          </cell>
          <cell r="G123">
            <v>3356242.61</v>
          </cell>
          <cell r="H123">
            <v>3153815.07</v>
          </cell>
          <cell r="I123">
            <v>2846062.38</v>
          </cell>
          <cell r="J123">
            <v>2998600.52</v>
          </cell>
          <cell r="K123">
            <v>2754013.64</v>
          </cell>
          <cell r="L123">
            <v>2695425.26</v>
          </cell>
          <cell r="M123">
            <v>2593528.2999999998</v>
          </cell>
          <cell r="N123">
            <v>2832302.36</v>
          </cell>
          <cell r="O123">
            <v>2822611.69</v>
          </cell>
          <cell r="P123">
            <v>2791257.34</v>
          </cell>
          <cell r="Q123">
            <v>2733301.01</v>
          </cell>
          <cell r="R123">
            <v>2656755.98</v>
          </cell>
          <cell r="S123">
            <v>2587102.0099999998</v>
          </cell>
          <cell r="T123">
            <v>2549200.44</v>
          </cell>
          <cell r="U123">
            <v>2538827.5</v>
          </cell>
          <cell r="V123">
            <v>2506040.91</v>
          </cell>
          <cell r="W123">
            <v>2480624.2599999998</v>
          </cell>
          <cell r="X123">
            <v>2461141.5499999998</v>
          </cell>
          <cell r="Y123">
            <v>2444276.2400000002</v>
          </cell>
          <cell r="Z123">
            <v>2630639.09</v>
          </cell>
          <cell r="AA123">
            <v>2616417.9900000002</v>
          </cell>
          <cell r="AB123">
            <v>2626735.1800000002</v>
          </cell>
          <cell r="AC123">
            <v>2600383.5099999998</v>
          </cell>
          <cell r="AD123">
            <v>2555116.81</v>
          </cell>
          <cell r="AE123">
            <v>2543852.42</v>
          </cell>
          <cell r="AF123">
            <v>2534897.92</v>
          </cell>
          <cell r="AG123">
            <v>2528328.54</v>
          </cell>
          <cell r="AH123">
            <v>2532623.12</v>
          </cell>
          <cell r="AI123">
            <v>2517883.4900000002</v>
          </cell>
          <cell r="AJ123">
            <v>2537883.17</v>
          </cell>
          <cell r="AK123">
            <v>2543247.84</v>
          </cell>
          <cell r="AL123">
            <v>2725589.12</v>
          </cell>
          <cell r="AM123">
            <v>2731782.47</v>
          </cell>
          <cell r="AN123">
            <v>2726753.03</v>
          </cell>
          <cell r="AO123">
            <v>2715133.36</v>
          </cell>
          <cell r="AP123">
            <v>2685800.75</v>
          </cell>
          <cell r="AQ123">
            <v>2695731.94</v>
          </cell>
          <cell r="AR123">
            <v>2688156.83</v>
          </cell>
          <cell r="AS123">
            <v>2698362.17</v>
          </cell>
          <cell r="AT123">
            <v>2695538.46</v>
          </cell>
          <cell r="AU123">
            <v>2698530.13</v>
          </cell>
          <cell r="AV123">
            <v>2712868.69</v>
          </cell>
          <cell r="AW123">
            <v>2678963.89</v>
          </cell>
          <cell r="AX123">
            <v>2881127.79</v>
          </cell>
          <cell r="AY123">
            <v>2884220.64</v>
          </cell>
          <cell r="AZ123">
            <v>2885477.71</v>
          </cell>
          <cell r="BA123">
            <v>2806305.95</v>
          </cell>
          <cell r="BB123">
            <v>2706387.5</v>
          </cell>
          <cell r="BC123">
            <v>2727131.46</v>
          </cell>
          <cell r="BD123">
            <v>2707613.49</v>
          </cell>
          <cell r="BE123">
            <v>2709115.34</v>
          </cell>
          <cell r="BF123">
            <v>2702704.39</v>
          </cell>
          <cell r="BG123">
            <v>2704507.73</v>
          </cell>
          <cell r="BH123">
            <v>2702358.66</v>
          </cell>
          <cell r="BI123">
            <v>2685662.23</v>
          </cell>
          <cell r="BJ123">
            <v>2884730.31</v>
          </cell>
          <cell r="BK123">
            <v>2871545.31</v>
          </cell>
          <cell r="BL123">
            <v>3047398.14</v>
          </cell>
          <cell r="BM123">
            <v>2968833.26</v>
          </cell>
          <cell r="BN123">
            <v>2931366.27</v>
          </cell>
          <cell r="BO123">
            <v>2907963.42</v>
          </cell>
          <cell r="BP123">
            <v>2863286.67</v>
          </cell>
          <cell r="BQ123">
            <v>2868711.93</v>
          </cell>
          <cell r="BR123">
            <v>2846804.47</v>
          </cell>
          <cell r="BS123">
            <v>2853585.55</v>
          </cell>
          <cell r="BT123">
            <v>2785230.28</v>
          </cell>
          <cell r="BU123">
            <v>2856522.46</v>
          </cell>
          <cell r="BV123">
            <v>3074698.81</v>
          </cell>
          <cell r="BW123">
            <v>3065884.64</v>
          </cell>
          <cell r="BX123">
            <v>3035607.81</v>
          </cell>
          <cell r="BY123">
            <v>2981636.98</v>
          </cell>
          <cell r="BZ123">
            <v>2949472.71</v>
          </cell>
          <cell r="CA123">
            <v>2914420.77</v>
          </cell>
          <cell r="CB123">
            <v>2955122.67</v>
          </cell>
          <cell r="CC123">
            <v>3017050.97</v>
          </cell>
          <cell r="CD123">
            <v>3017741.43</v>
          </cell>
          <cell r="CE123">
            <v>3007112.01</v>
          </cell>
          <cell r="CF123">
            <v>3039422.32</v>
          </cell>
          <cell r="CG123">
            <v>3065669.68</v>
          </cell>
          <cell r="CH123">
            <v>3290228.97</v>
          </cell>
          <cell r="CI123">
            <v>3277817.81</v>
          </cell>
          <cell r="CJ123">
            <v>3237878.87</v>
          </cell>
          <cell r="CK123">
            <v>3208927.07</v>
          </cell>
          <cell r="CL123">
            <v>3177923.51</v>
          </cell>
          <cell r="CM123">
            <v>3265234.2</v>
          </cell>
          <cell r="CN123">
            <v>3289735.79</v>
          </cell>
          <cell r="CO123">
            <v>3370157.54</v>
          </cell>
          <cell r="CP123">
            <v>3449867.3</v>
          </cell>
          <cell r="CQ123">
            <v>3507792.7</v>
          </cell>
          <cell r="CR123">
            <v>3572579</v>
          </cell>
          <cell r="CS123">
            <v>3613025.2</v>
          </cell>
          <cell r="CT123">
            <v>3939284.26</v>
          </cell>
          <cell r="CU123">
            <v>3921548.21</v>
          </cell>
          <cell r="CV123">
            <v>3752772.99</v>
          </cell>
          <cell r="CW123">
            <v>3769639.75</v>
          </cell>
          <cell r="CX123">
            <v>3708831.04</v>
          </cell>
          <cell r="CY123">
            <v>3657458.81</v>
          </cell>
          <cell r="CZ123">
            <v>3633399.35</v>
          </cell>
          <cell r="DA123">
            <v>3480527.59</v>
          </cell>
          <cell r="DB123">
            <v>3438173.9</v>
          </cell>
          <cell r="DC123">
            <v>3436599.49</v>
          </cell>
          <cell r="DD123">
            <v>3485938.45</v>
          </cell>
          <cell r="DE123">
            <v>3445167.11</v>
          </cell>
          <cell r="DF123">
            <v>3873964.36</v>
          </cell>
          <cell r="DG123">
            <v>3845173.79</v>
          </cell>
          <cell r="DH123">
            <v>3792773.34</v>
          </cell>
        </row>
        <row r="124">
          <cell r="C124" t="str">
            <v>Reg Ast CI/BSR Rider</v>
          </cell>
          <cell r="D124"/>
          <cell r="E124"/>
          <cell r="F124"/>
          <cell r="G124"/>
          <cell r="H124"/>
          <cell r="I124"/>
          <cell r="J124"/>
          <cell r="K124"/>
          <cell r="L124"/>
          <cell r="M124"/>
          <cell r="N124"/>
          <cell r="O124"/>
          <cell r="P124"/>
          <cell r="Q124"/>
          <cell r="R124"/>
          <cell r="S124"/>
          <cell r="T124"/>
          <cell r="U124"/>
          <cell r="V124"/>
          <cell r="W124"/>
          <cell r="X124"/>
          <cell r="Y124"/>
          <cell r="Z124"/>
          <cell r="AA124">
            <v>98324.52</v>
          </cell>
          <cell r="AB124">
            <v>37261.61</v>
          </cell>
          <cell r="AC124"/>
          <cell r="AD124"/>
          <cell r="AE124"/>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20892</v>
          </cell>
          <cell r="AX124">
            <v>374994</v>
          </cell>
          <cell r="AY124">
            <v>691185</v>
          </cell>
          <cell r="AZ124">
            <v>1030552</v>
          </cell>
          <cell r="BA124">
            <v>409479</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296896</v>
          </cell>
          <cell r="BS124">
            <v>764380</v>
          </cell>
          <cell r="BT124">
            <v>1275141</v>
          </cell>
          <cell r="BU124">
            <v>1795596</v>
          </cell>
          <cell r="BV124">
            <v>2279551</v>
          </cell>
          <cell r="BW124">
            <v>2772764</v>
          </cell>
          <cell r="BX124">
            <v>3382549</v>
          </cell>
          <cell r="BY124">
            <v>2748249</v>
          </cell>
          <cell r="BZ124">
            <v>2185698</v>
          </cell>
          <cell r="CA124">
            <v>1786204</v>
          </cell>
          <cell r="CB124">
            <v>1888696</v>
          </cell>
          <cell r="CC124">
            <v>2168596</v>
          </cell>
          <cell r="CD124">
            <v>2473698</v>
          </cell>
          <cell r="CE124">
            <v>2911099</v>
          </cell>
          <cell r="CF124">
            <v>3383454</v>
          </cell>
          <cell r="CG124">
            <v>3892511</v>
          </cell>
          <cell r="CH124">
            <v>4349664</v>
          </cell>
          <cell r="CI124">
            <v>4644312</v>
          </cell>
          <cell r="CJ124">
            <v>4581212</v>
          </cell>
          <cell r="CK124">
            <v>3927879</v>
          </cell>
          <cell r="CL124">
            <v>3358080</v>
          </cell>
          <cell r="CM124">
            <v>2895960</v>
          </cell>
          <cell r="CN124">
            <v>2471088</v>
          </cell>
          <cell r="CO124">
            <v>2144007</v>
          </cell>
          <cell r="CP124">
            <v>1861783</v>
          </cell>
          <cell r="CQ124">
            <v>1609829</v>
          </cell>
          <cell r="CR124">
            <v>1407755</v>
          </cell>
          <cell r="CS124">
            <v>1200758</v>
          </cell>
          <cell r="CT124">
            <v>1033527</v>
          </cell>
          <cell r="CU124">
            <v>837170</v>
          </cell>
          <cell r="CV124">
            <v>563794</v>
          </cell>
          <cell r="CW124">
            <v>359095</v>
          </cell>
          <cell r="CX124">
            <v>131728</v>
          </cell>
          <cell r="CY124">
            <v>4678</v>
          </cell>
          <cell r="CZ124">
            <v>0</v>
          </cell>
          <cell r="DA124">
            <v>0</v>
          </cell>
          <cell r="DB124">
            <v>0</v>
          </cell>
          <cell r="DC124">
            <v>0</v>
          </cell>
          <cell r="DD124">
            <v>0</v>
          </cell>
          <cell r="DE124">
            <v>318938.61</v>
          </cell>
          <cell r="DF124">
            <v>426783.61</v>
          </cell>
          <cell r="DG124">
            <v>525660.61</v>
          </cell>
          <cell r="DH124">
            <v>845047.11</v>
          </cell>
        </row>
        <row r="125">
          <cell r="C125" t="str">
            <v>Reg Ast FAS158 C</v>
          </cell>
          <cell r="D125">
            <v>1383953</v>
          </cell>
          <cell r="E125">
            <v>1383953</v>
          </cell>
          <cell r="F125">
            <v>1383953</v>
          </cell>
          <cell r="G125">
            <v>1383953</v>
          </cell>
          <cell r="H125">
            <v>1383953</v>
          </cell>
          <cell r="I125">
            <v>1383953</v>
          </cell>
          <cell r="J125">
            <v>1383953</v>
          </cell>
          <cell r="K125">
            <v>1383953</v>
          </cell>
          <cell r="L125">
            <v>1383953</v>
          </cell>
          <cell r="M125">
            <v>1383953</v>
          </cell>
          <cell r="N125">
            <v>1383953</v>
          </cell>
          <cell r="O125">
            <v>1383953</v>
          </cell>
          <cell r="P125">
            <v>1110915</v>
          </cell>
          <cell r="Q125">
            <v>1110915</v>
          </cell>
          <cell r="R125">
            <v>1110915</v>
          </cell>
          <cell r="S125">
            <v>1110915</v>
          </cell>
          <cell r="T125">
            <v>1110915</v>
          </cell>
          <cell r="U125">
            <v>1110915</v>
          </cell>
          <cell r="V125">
            <v>1110915</v>
          </cell>
          <cell r="W125">
            <v>1110915</v>
          </cell>
          <cell r="X125">
            <v>1110915</v>
          </cell>
          <cell r="Y125">
            <v>1110915</v>
          </cell>
          <cell r="Z125">
            <v>1110915</v>
          </cell>
          <cell r="AA125">
            <v>1110915</v>
          </cell>
          <cell r="AB125">
            <v>1110915</v>
          </cell>
          <cell r="AC125">
            <v>1086987</v>
          </cell>
          <cell r="AD125">
            <v>1086987</v>
          </cell>
          <cell r="AE125">
            <v>1086987</v>
          </cell>
          <cell r="AF125">
            <v>1086987</v>
          </cell>
          <cell r="AG125">
            <v>1086987</v>
          </cell>
          <cell r="AH125">
            <v>1086987</v>
          </cell>
          <cell r="AI125">
            <v>1086987</v>
          </cell>
          <cell r="AJ125">
            <v>1086987</v>
          </cell>
          <cell r="AK125">
            <v>1086987</v>
          </cell>
          <cell r="AL125">
            <v>1086987</v>
          </cell>
          <cell r="AM125">
            <v>1086987</v>
          </cell>
          <cell r="AN125">
            <v>1086987</v>
          </cell>
          <cell r="AO125">
            <v>1086987</v>
          </cell>
          <cell r="AP125">
            <v>1086987</v>
          </cell>
          <cell r="AQ125">
            <v>1086987</v>
          </cell>
          <cell r="AR125">
            <v>1086987</v>
          </cell>
          <cell r="AS125">
            <v>1086987</v>
          </cell>
          <cell r="AT125">
            <v>1086987</v>
          </cell>
          <cell r="AU125">
            <v>1086987</v>
          </cell>
          <cell r="AV125">
            <v>1086987</v>
          </cell>
          <cell r="AW125">
            <v>1086987</v>
          </cell>
          <cell r="AX125">
            <v>1086987</v>
          </cell>
          <cell r="AY125">
            <v>1086987</v>
          </cell>
          <cell r="AZ125">
            <v>1086987</v>
          </cell>
          <cell r="BA125">
            <v>1086987</v>
          </cell>
          <cell r="BB125">
            <v>1086987</v>
          </cell>
          <cell r="BC125">
            <v>1086987</v>
          </cell>
          <cell r="BD125">
            <v>1086987</v>
          </cell>
          <cell r="BE125">
            <v>1086987</v>
          </cell>
          <cell r="BF125">
            <v>1064492</v>
          </cell>
          <cell r="BG125">
            <v>1064492</v>
          </cell>
          <cell r="BH125">
            <v>1064492</v>
          </cell>
          <cell r="BI125">
            <v>1064492</v>
          </cell>
          <cell r="BJ125">
            <v>1064492</v>
          </cell>
          <cell r="BK125">
            <v>1064492</v>
          </cell>
          <cell r="BL125">
            <v>1064492</v>
          </cell>
          <cell r="BM125">
            <v>1064492</v>
          </cell>
          <cell r="BN125">
            <v>1064492</v>
          </cell>
          <cell r="BO125">
            <v>1132280</v>
          </cell>
          <cell r="BP125">
            <v>1132280</v>
          </cell>
          <cell r="BQ125">
            <v>1132280</v>
          </cell>
          <cell r="BR125">
            <v>1132280</v>
          </cell>
          <cell r="BS125">
            <v>1132280</v>
          </cell>
          <cell r="BT125">
            <v>1132280</v>
          </cell>
          <cell r="BU125">
            <v>1132280</v>
          </cell>
          <cell r="BV125">
            <v>1132280</v>
          </cell>
          <cell r="BW125">
            <v>1132280</v>
          </cell>
          <cell r="BX125">
            <v>1097401</v>
          </cell>
          <cell r="BY125">
            <v>1097401</v>
          </cell>
          <cell r="BZ125">
            <v>1097401</v>
          </cell>
          <cell r="CA125">
            <v>1167159</v>
          </cell>
          <cell r="CB125">
            <v>1167159</v>
          </cell>
          <cell r="CC125">
            <v>1167159</v>
          </cell>
          <cell r="CD125">
            <v>1167159</v>
          </cell>
          <cell r="CE125">
            <v>1167159</v>
          </cell>
          <cell r="CF125">
            <v>1167159</v>
          </cell>
          <cell r="CG125">
            <v>1167159</v>
          </cell>
          <cell r="CH125">
            <v>1167159</v>
          </cell>
          <cell r="CI125">
            <v>1167159</v>
          </cell>
          <cell r="CJ125">
            <v>924658</v>
          </cell>
          <cell r="CK125">
            <v>924658</v>
          </cell>
          <cell r="CL125">
            <v>924658</v>
          </cell>
          <cell r="CM125">
            <v>924658</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-1143383</v>
          </cell>
          <cell r="DC125">
            <v>-1143383</v>
          </cell>
          <cell r="DD125">
            <v>-1143383</v>
          </cell>
          <cell r="DE125">
            <v>-1143383</v>
          </cell>
          <cell r="DF125">
            <v>-1143383</v>
          </cell>
          <cell r="DG125">
            <v>-1143383</v>
          </cell>
          <cell r="DH125">
            <v>0</v>
          </cell>
        </row>
        <row r="126">
          <cell r="C126" t="str">
            <v>Reg Ast Rate Case C</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410149.62</v>
          </cell>
          <cell r="CK126">
            <v>419664.57</v>
          </cell>
          <cell r="CL126">
            <v>420104.43</v>
          </cell>
          <cell r="CM126">
            <v>420119.03999999998</v>
          </cell>
          <cell r="CN126">
            <v>420119.03999999998</v>
          </cell>
          <cell r="CO126">
            <v>423476.42</v>
          </cell>
          <cell r="CP126">
            <v>423476.42</v>
          </cell>
          <cell r="CQ126">
            <v>423476.42</v>
          </cell>
          <cell r="CR126">
            <v>423476.42</v>
          </cell>
          <cell r="CS126">
            <v>423476.42</v>
          </cell>
          <cell r="CT126">
            <v>423476.42</v>
          </cell>
          <cell r="CU126">
            <v>423476.42</v>
          </cell>
          <cell r="CV126">
            <v>423476.42</v>
          </cell>
          <cell r="CW126">
            <v>423476.42</v>
          </cell>
          <cell r="CX126">
            <v>423476.42</v>
          </cell>
          <cell r="CY126">
            <v>423476.42</v>
          </cell>
          <cell r="CZ126">
            <v>423476.42</v>
          </cell>
          <cell r="DA126">
            <v>423476.42</v>
          </cell>
          <cell r="DB126">
            <v>423476.42</v>
          </cell>
          <cell r="DC126">
            <v>423476.42</v>
          </cell>
          <cell r="DD126">
            <v>423476.42</v>
          </cell>
          <cell r="DE126">
            <v>423476.42</v>
          </cell>
          <cell r="DF126">
            <v>423476.42</v>
          </cell>
          <cell r="DG126">
            <v>423476.42</v>
          </cell>
          <cell r="DH126">
            <v>423476.42</v>
          </cell>
        </row>
        <row r="127">
          <cell r="C127" t="str">
            <v>Curr Derv-Regulatory</v>
          </cell>
          <cell r="D127">
            <v>7120</v>
          </cell>
          <cell r="E127">
            <v>0</v>
          </cell>
          <cell r="F127">
            <v>0</v>
          </cell>
          <cell r="G127">
            <v>0</v>
          </cell>
          <cell r="H127">
            <v>0</v>
          </cell>
          <cell r="I127">
            <v>128875</v>
          </cell>
          <cell r="J127">
            <v>38715</v>
          </cell>
          <cell r="K127">
            <v>2468590</v>
          </cell>
          <cell r="L127">
            <v>1173365</v>
          </cell>
          <cell r="M127">
            <v>1223070</v>
          </cell>
          <cell r="N127">
            <v>2881650</v>
          </cell>
          <cell r="O127">
            <v>2014370</v>
          </cell>
          <cell r="P127">
            <v>7392240</v>
          </cell>
          <cell r="Q127">
            <v>7790065</v>
          </cell>
          <cell r="R127">
            <v>6393740</v>
          </cell>
          <cell r="S127">
            <v>6342450</v>
          </cell>
          <cell r="T127">
            <v>5637320</v>
          </cell>
          <cell r="U127">
            <v>5755855</v>
          </cell>
          <cell r="V127">
            <v>4880205</v>
          </cell>
          <cell r="W127">
            <v>4858745</v>
          </cell>
          <cell r="X127">
            <v>5110565</v>
          </cell>
          <cell r="Y127">
            <v>5737865</v>
          </cell>
          <cell r="Z127">
            <v>7190665</v>
          </cell>
          <cell r="AA127">
            <v>5677115</v>
          </cell>
          <cell r="AB127">
            <v>7185065</v>
          </cell>
          <cell r="AC127">
            <v>4421245</v>
          </cell>
          <cell r="AD127">
            <v>5029175</v>
          </cell>
          <cell r="AE127">
            <v>3317630</v>
          </cell>
          <cell r="AF127">
            <v>1955540</v>
          </cell>
          <cell r="AG127">
            <v>1672795</v>
          </cell>
          <cell r="AH127">
            <v>343605</v>
          </cell>
          <cell r="AI127">
            <v>334975</v>
          </cell>
          <cell r="AJ127">
            <v>322945</v>
          </cell>
          <cell r="AK127">
            <v>385945</v>
          </cell>
          <cell r="AL127">
            <v>407985</v>
          </cell>
          <cell r="AM127">
            <v>73985</v>
          </cell>
          <cell r="AN127">
            <v>0</v>
          </cell>
          <cell r="AO127">
            <v>55450</v>
          </cell>
          <cell r="AP127">
            <v>358425</v>
          </cell>
          <cell r="AQ127">
            <v>0</v>
          </cell>
          <cell r="AR127">
            <v>0</v>
          </cell>
          <cell r="AS127">
            <v>3400</v>
          </cell>
          <cell r="AT127">
            <v>20300</v>
          </cell>
          <cell r="AU127">
            <v>132075</v>
          </cell>
          <cell r="AV127">
            <v>4680</v>
          </cell>
          <cell r="AW127">
            <v>9230</v>
          </cell>
          <cell r="AX127">
            <v>138225</v>
          </cell>
          <cell r="AY127">
            <v>60555</v>
          </cell>
          <cell r="AZ127">
            <v>181065</v>
          </cell>
          <cell r="BA127">
            <v>1780</v>
          </cell>
          <cell r="BB127">
            <v>113125</v>
          </cell>
          <cell r="BC127">
            <v>32645</v>
          </cell>
          <cell r="BD127">
            <v>25690</v>
          </cell>
          <cell r="BE127">
            <v>0</v>
          </cell>
          <cell r="BF127">
            <v>280</v>
          </cell>
          <cell r="BG127">
            <v>11720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row>
        <row r="128">
          <cell r="C128" t="str">
            <v>Prov Prop Ins Db C - NEW ACCT</v>
          </cell>
          <cell r="D128"/>
          <cell r="E128"/>
          <cell r="F128"/>
          <cell r="G128"/>
          <cell r="H128"/>
          <cell r="I128"/>
          <cell r="J128"/>
          <cell r="K128"/>
          <cell r="L128"/>
          <cell r="M128"/>
          <cell r="N128"/>
          <cell r="O128"/>
          <cell r="P128"/>
          <cell r="Q128"/>
          <cell r="R128"/>
          <cell r="S128"/>
          <cell r="T128"/>
          <cell r="U128"/>
          <cell r="V128"/>
          <cell r="W128"/>
          <cell r="X128"/>
          <cell r="Y128"/>
          <cell r="Z128"/>
          <cell r="AA128"/>
          <cell r="AB128"/>
          <cell r="AC128"/>
          <cell r="AD128"/>
          <cell r="AE128"/>
          <cell r="AF128"/>
          <cell r="AG128"/>
          <cell r="AH128"/>
          <cell r="AI128"/>
          <cell r="AJ128"/>
          <cell r="AK128"/>
          <cell r="AL128"/>
          <cell r="AM128"/>
          <cell r="AN128"/>
          <cell r="AO128"/>
          <cell r="AP128"/>
          <cell r="AQ128"/>
          <cell r="AR128"/>
          <cell r="AS128"/>
          <cell r="AT128"/>
          <cell r="AU128"/>
          <cell r="AV128"/>
          <cell r="AW128"/>
          <cell r="AX128"/>
          <cell r="AY128"/>
          <cell r="AZ128"/>
          <cell r="BA128"/>
          <cell r="BB128"/>
          <cell r="BC128"/>
          <cell r="BD128"/>
          <cell r="BE128"/>
          <cell r="BF128"/>
          <cell r="BG128"/>
          <cell r="BH128"/>
          <cell r="BI128"/>
          <cell r="BJ128"/>
          <cell r="BK128"/>
          <cell r="BL128"/>
          <cell r="BM128"/>
          <cell r="BN128"/>
          <cell r="BO128"/>
          <cell r="BP128"/>
          <cell r="BQ128"/>
          <cell r="BR128"/>
          <cell r="BS128"/>
          <cell r="BT128"/>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746637.03</v>
          </cell>
        </row>
        <row r="129">
          <cell r="C129" t="str">
            <v>Reg Ast FAS158 NC</v>
          </cell>
          <cell r="D129">
            <v>15895212</v>
          </cell>
          <cell r="E129">
            <v>15895212</v>
          </cell>
          <cell r="F129">
            <v>15895212</v>
          </cell>
          <cell r="G129">
            <v>15515120</v>
          </cell>
          <cell r="H129">
            <v>15515120</v>
          </cell>
          <cell r="I129">
            <v>15123910</v>
          </cell>
          <cell r="J129">
            <v>15515120</v>
          </cell>
          <cell r="K129">
            <v>15123910</v>
          </cell>
          <cell r="L129">
            <v>15123910</v>
          </cell>
          <cell r="M129">
            <v>14917721</v>
          </cell>
          <cell r="N129">
            <v>14917721</v>
          </cell>
          <cell r="O129">
            <v>14917721</v>
          </cell>
          <cell r="P129">
            <v>18221183</v>
          </cell>
          <cell r="Q129">
            <v>18221183</v>
          </cell>
          <cell r="R129">
            <v>18221183</v>
          </cell>
          <cell r="S129">
            <v>18583829</v>
          </cell>
          <cell r="T129">
            <v>18583829</v>
          </cell>
          <cell r="U129">
            <v>18583829</v>
          </cell>
          <cell r="V129">
            <v>17393031</v>
          </cell>
          <cell r="W129">
            <v>17393031</v>
          </cell>
          <cell r="X129">
            <v>17086508</v>
          </cell>
          <cell r="Y129">
            <v>16672431</v>
          </cell>
          <cell r="Z129">
            <v>16672431</v>
          </cell>
          <cell r="AA129">
            <v>23999401</v>
          </cell>
          <cell r="AB129">
            <v>16672431</v>
          </cell>
          <cell r="AC129">
            <v>24023329</v>
          </cell>
          <cell r="AD129">
            <v>24023329</v>
          </cell>
          <cell r="AE129">
            <v>23669511</v>
          </cell>
          <cell r="AF129">
            <v>23669511</v>
          </cell>
          <cell r="AG129">
            <v>23678786</v>
          </cell>
          <cell r="AH129">
            <v>23206944</v>
          </cell>
          <cell r="AI129">
            <v>23206944</v>
          </cell>
          <cell r="AJ129">
            <v>23206944</v>
          </cell>
          <cell r="AK129">
            <v>31647791</v>
          </cell>
          <cell r="AL129">
            <v>31647791</v>
          </cell>
          <cell r="AM129">
            <v>31647791</v>
          </cell>
          <cell r="AN129">
            <v>27242785</v>
          </cell>
          <cell r="AO129">
            <v>27242785</v>
          </cell>
          <cell r="AP129">
            <v>27242785</v>
          </cell>
          <cell r="AQ129">
            <v>26819238</v>
          </cell>
          <cell r="AR129">
            <v>26819238</v>
          </cell>
          <cell r="AS129">
            <v>26819238</v>
          </cell>
          <cell r="AT129">
            <v>27584550</v>
          </cell>
          <cell r="AU129">
            <v>27584550</v>
          </cell>
          <cell r="AV129">
            <v>27584550</v>
          </cell>
          <cell r="AW129">
            <v>27125023</v>
          </cell>
          <cell r="AX129">
            <v>27125023</v>
          </cell>
          <cell r="AY129">
            <v>27125023</v>
          </cell>
          <cell r="AZ129">
            <v>25198875</v>
          </cell>
          <cell r="BA129">
            <v>25198875</v>
          </cell>
          <cell r="BB129">
            <v>25198875</v>
          </cell>
          <cell r="BC129">
            <v>24715716</v>
          </cell>
          <cell r="BD129">
            <v>24715716</v>
          </cell>
          <cell r="BE129">
            <v>24715716</v>
          </cell>
          <cell r="BF129">
            <v>24200293</v>
          </cell>
          <cell r="BG129">
            <v>24200293</v>
          </cell>
          <cell r="BH129">
            <v>24200293</v>
          </cell>
          <cell r="BI129">
            <v>23713049</v>
          </cell>
          <cell r="BJ129">
            <v>23713049</v>
          </cell>
          <cell r="BK129">
            <v>23713049</v>
          </cell>
          <cell r="BL129">
            <v>29672933</v>
          </cell>
          <cell r="BM129">
            <v>29672933</v>
          </cell>
          <cell r="BN129">
            <v>29672933</v>
          </cell>
          <cell r="BO129">
            <v>29208554</v>
          </cell>
          <cell r="BP129">
            <v>29208554</v>
          </cell>
          <cell r="BQ129">
            <v>29208554</v>
          </cell>
          <cell r="BR129">
            <v>28773624</v>
          </cell>
          <cell r="BS129">
            <v>28773624</v>
          </cell>
          <cell r="BT129">
            <v>28773624</v>
          </cell>
          <cell r="BU129">
            <v>28357863</v>
          </cell>
          <cell r="BV129">
            <v>28357863</v>
          </cell>
          <cell r="BW129">
            <v>28357863</v>
          </cell>
          <cell r="BX129">
            <v>28607784</v>
          </cell>
          <cell r="BY129">
            <v>28607784</v>
          </cell>
          <cell r="BZ129">
            <v>28607784</v>
          </cell>
          <cell r="CA129">
            <v>28018094</v>
          </cell>
          <cell r="CB129">
            <v>28018094</v>
          </cell>
          <cell r="CC129">
            <v>28018094</v>
          </cell>
          <cell r="CD129">
            <v>27469279</v>
          </cell>
          <cell r="CE129">
            <v>27469279</v>
          </cell>
          <cell r="CF129">
            <v>27469279</v>
          </cell>
          <cell r="CG129">
            <v>26934905</v>
          </cell>
          <cell r="CH129">
            <v>26934905</v>
          </cell>
          <cell r="CI129">
            <v>26934905</v>
          </cell>
          <cell r="CJ129">
            <v>33407291</v>
          </cell>
          <cell r="CK129">
            <v>33407291</v>
          </cell>
          <cell r="CL129">
            <v>33407291</v>
          </cell>
          <cell r="CM129">
            <v>32711380</v>
          </cell>
          <cell r="CN129">
            <v>33636038</v>
          </cell>
          <cell r="CO129">
            <v>33636038</v>
          </cell>
          <cell r="CP129">
            <v>32940127</v>
          </cell>
          <cell r="CQ129">
            <v>32940127</v>
          </cell>
          <cell r="CR129">
            <v>32940127</v>
          </cell>
          <cell r="CS129">
            <v>31860403</v>
          </cell>
          <cell r="CT129">
            <v>31860403</v>
          </cell>
          <cell r="CU129">
            <v>31860403</v>
          </cell>
          <cell r="CV129">
            <v>25456886</v>
          </cell>
          <cell r="CW129">
            <v>25456886</v>
          </cell>
          <cell r="CX129">
            <v>25456886</v>
          </cell>
          <cell r="CY129">
            <v>24902562</v>
          </cell>
          <cell r="CZ129">
            <v>24902562</v>
          </cell>
          <cell r="DA129">
            <v>24902562</v>
          </cell>
          <cell r="DB129">
            <v>24338045</v>
          </cell>
          <cell r="DC129">
            <v>24338045</v>
          </cell>
          <cell r="DD129">
            <v>24338045</v>
          </cell>
          <cell r="DE129">
            <v>23778625</v>
          </cell>
          <cell r="DF129">
            <v>23778625</v>
          </cell>
          <cell r="DG129">
            <v>23778625</v>
          </cell>
          <cell r="DH129">
            <v>30211330</v>
          </cell>
        </row>
        <row r="130">
          <cell r="C130" t="str">
            <v>Oth Reg Asset-Rate Case Expense Non-Current</v>
          </cell>
          <cell r="D130"/>
          <cell r="E130"/>
          <cell r="F130"/>
          <cell r="G130"/>
          <cell r="H130"/>
          <cell r="I130"/>
          <cell r="J130"/>
          <cell r="K130"/>
          <cell r="L130"/>
          <cell r="M130"/>
          <cell r="N130"/>
          <cell r="O130"/>
          <cell r="P130"/>
          <cell r="Q130"/>
          <cell r="R130"/>
          <cell r="S130"/>
          <cell r="T130"/>
          <cell r="U130"/>
          <cell r="V130"/>
          <cell r="W130"/>
          <cell r="X130"/>
          <cell r="Y130"/>
          <cell r="Z130"/>
          <cell r="AA130"/>
          <cell r="AB130"/>
          <cell r="AC130"/>
          <cell r="AD130"/>
          <cell r="AE130"/>
          <cell r="AF130"/>
          <cell r="AG130"/>
          <cell r="AH130"/>
          <cell r="AI130"/>
          <cell r="AJ130"/>
          <cell r="AK130"/>
          <cell r="AL130"/>
          <cell r="AM130"/>
          <cell r="AN130"/>
          <cell r="AO130"/>
          <cell r="AP130"/>
          <cell r="AQ130"/>
          <cell r="AR130"/>
          <cell r="AS130"/>
          <cell r="AT130"/>
          <cell r="AU130"/>
          <cell r="AV130"/>
          <cell r="AW130"/>
          <cell r="AX130"/>
          <cell r="AY130"/>
          <cell r="AZ130"/>
          <cell r="BA130"/>
          <cell r="BB130"/>
          <cell r="BC130"/>
          <cell r="BD130"/>
          <cell r="BE130"/>
          <cell r="BF130"/>
          <cell r="BG130"/>
          <cell r="BH130"/>
          <cell r="BI130"/>
          <cell r="BJ130"/>
          <cell r="BK130"/>
          <cell r="BL130"/>
          <cell r="BM130"/>
          <cell r="BN130"/>
          <cell r="BO130"/>
          <cell r="BP130"/>
          <cell r="BQ130"/>
          <cell r="BR130"/>
          <cell r="BS130"/>
          <cell r="BT130"/>
          <cell r="BU130"/>
          <cell r="BV130"/>
          <cell r="BW130"/>
          <cell r="BX130"/>
          <cell r="BY130"/>
          <cell r="BZ130"/>
          <cell r="CA130"/>
          <cell r="CB130"/>
          <cell r="CC130"/>
          <cell r="CD130"/>
          <cell r="CE130"/>
          <cell r="CF130"/>
          <cell r="CG130"/>
          <cell r="CH130">
            <v>0</v>
          </cell>
          <cell r="CI130">
            <v>0</v>
          </cell>
          <cell r="CJ130">
            <v>820299.24</v>
          </cell>
          <cell r="CK130">
            <v>805150.02</v>
          </cell>
          <cell r="CL130">
            <v>770191.46</v>
          </cell>
          <cell r="CM130">
            <v>735208.32</v>
          </cell>
          <cell r="CN130">
            <v>700198.40000000002</v>
          </cell>
          <cell r="CO130">
            <v>670504.31999999995</v>
          </cell>
          <cell r="CP130">
            <v>635214.62</v>
          </cell>
          <cell r="CQ130">
            <v>599924.92000000004</v>
          </cell>
          <cell r="CR130">
            <v>564635.22</v>
          </cell>
          <cell r="CS130">
            <v>529345.52</v>
          </cell>
          <cell r="CT130">
            <v>494055.82</v>
          </cell>
          <cell r="CU130">
            <v>458766.12</v>
          </cell>
          <cell r="CV130">
            <v>423476.42</v>
          </cell>
          <cell r="CW130">
            <v>388186.72</v>
          </cell>
          <cell r="CX130">
            <v>352897.02</v>
          </cell>
          <cell r="CY130">
            <v>317607.32</v>
          </cell>
          <cell r="CZ130">
            <v>282317.62</v>
          </cell>
          <cell r="DA130">
            <v>247027.92</v>
          </cell>
          <cell r="DB130">
            <v>211738.22</v>
          </cell>
          <cell r="DC130">
            <v>176448.52</v>
          </cell>
          <cell r="DD130">
            <v>141158.82</v>
          </cell>
          <cell r="DE130">
            <v>105869.12</v>
          </cell>
          <cell r="DF130">
            <v>70579.42</v>
          </cell>
          <cell r="DG130">
            <v>35289.72</v>
          </cell>
          <cell r="DH130">
            <v>0</v>
          </cell>
        </row>
        <row r="131">
          <cell r="C131" t="str">
            <v>LT Deriv-Regulatory</v>
          </cell>
          <cell r="D131">
            <v>28565</v>
          </cell>
          <cell r="E131">
            <v>16835</v>
          </cell>
          <cell r="F131">
            <v>11185</v>
          </cell>
          <cell r="G131">
            <v>18490</v>
          </cell>
          <cell r="H131">
            <v>800</v>
          </cell>
          <cell r="I131">
            <v>58765</v>
          </cell>
          <cell r="J131">
            <v>48975</v>
          </cell>
          <cell r="K131">
            <v>780035</v>
          </cell>
          <cell r="L131">
            <v>352435</v>
          </cell>
          <cell r="M131">
            <v>394780</v>
          </cell>
          <cell r="N131">
            <v>777250</v>
          </cell>
          <cell r="O131">
            <v>688750</v>
          </cell>
          <cell r="P131">
            <v>1593250</v>
          </cell>
          <cell r="Q131">
            <v>1274880</v>
          </cell>
          <cell r="R131">
            <v>1033930</v>
          </cell>
          <cell r="S131">
            <v>879585</v>
          </cell>
          <cell r="T131">
            <v>655185</v>
          </cell>
          <cell r="U131">
            <v>552090</v>
          </cell>
          <cell r="V131">
            <v>314130</v>
          </cell>
          <cell r="W131">
            <v>359700</v>
          </cell>
          <cell r="X131">
            <v>439100</v>
          </cell>
          <cell r="Y131">
            <v>594500</v>
          </cell>
          <cell r="Z131">
            <v>853370</v>
          </cell>
          <cell r="AA131">
            <v>668840</v>
          </cell>
          <cell r="AB131">
            <v>880470</v>
          </cell>
          <cell r="AC131">
            <v>461890</v>
          </cell>
          <cell r="AD131">
            <v>401870</v>
          </cell>
          <cell r="AE131">
            <v>134920</v>
          </cell>
          <cell r="AF131">
            <v>16250</v>
          </cell>
          <cell r="AG131">
            <v>15820</v>
          </cell>
          <cell r="AH131">
            <v>0</v>
          </cell>
          <cell r="AI131">
            <v>0</v>
          </cell>
          <cell r="AJ131">
            <v>480</v>
          </cell>
          <cell r="AK131">
            <v>18320</v>
          </cell>
          <cell r="AL131">
            <v>530</v>
          </cell>
          <cell r="AM131">
            <v>2800</v>
          </cell>
          <cell r="AN131">
            <v>0</v>
          </cell>
          <cell r="AO131">
            <v>600</v>
          </cell>
          <cell r="AP131">
            <v>31075</v>
          </cell>
          <cell r="AQ131">
            <v>4235</v>
          </cell>
          <cell r="AR131">
            <v>0</v>
          </cell>
          <cell r="AS131">
            <v>520</v>
          </cell>
          <cell r="AT131">
            <v>1980</v>
          </cell>
          <cell r="AU131">
            <v>7950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cell r="BK131"/>
          <cell r="BL131"/>
          <cell r="BM131"/>
          <cell r="BN131"/>
          <cell r="BO131"/>
          <cell r="BP131"/>
          <cell r="BQ131"/>
          <cell r="BR131"/>
          <cell r="BS131"/>
          <cell r="BT131"/>
          <cell r="BU131"/>
          <cell r="BV131"/>
          <cell r="BW131"/>
          <cell r="BX131"/>
          <cell r="BY131"/>
          <cell r="BZ131"/>
          <cell r="CA131"/>
          <cell r="CB131"/>
          <cell r="CC131"/>
          <cell r="CD131"/>
          <cell r="CE131"/>
          <cell r="CF131"/>
          <cell r="CG131"/>
          <cell r="CH131"/>
          <cell r="CI131"/>
          <cell r="CJ131"/>
          <cell r="CK131"/>
          <cell r="CL131"/>
          <cell r="CM131"/>
          <cell r="CN131"/>
          <cell r="CO131"/>
          <cell r="CP131"/>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row>
        <row r="132">
          <cell r="C132" t="str">
            <v>Oth Reg Asset-Deft Loss Prop Sales Non-Current</v>
          </cell>
          <cell r="D132"/>
          <cell r="E132"/>
          <cell r="F132"/>
          <cell r="G132"/>
          <cell r="H132"/>
          <cell r="I132"/>
          <cell r="J132"/>
          <cell r="K132"/>
          <cell r="L132"/>
          <cell r="M132"/>
          <cell r="N132"/>
          <cell r="O132"/>
          <cell r="P132"/>
          <cell r="Q132"/>
          <cell r="R132"/>
          <cell r="S132"/>
          <cell r="T132"/>
          <cell r="U132"/>
          <cell r="V132"/>
          <cell r="W132"/>
          <cell r="X132"/>
          <cell r="Y132"/>
          <cell r="Z132"/>
          <cell r="AA132"/>
          <cell r="AB132"/>
          <cell r="AC132"/>
          <cell r="AD132"/>
          <cell r="AE132"/>
          <cell r="AF132"/>
          <cell r="AG132"/>
          <cell r="AH132"/>
          <cell r="AI132"/>
          <cell r="AJ132"/>
          <cell r="AK132"/>
          <cell r="AL132"/>
          <cell r="AM132"/>
          <cell r="AN132"/>
          <cell r="AO132"/>
          <cell r="AP132"/>
          <cell r="AQ132"/>
          <cell r="AR132"/>
          <cell r="AS132"/>
          <cell r="AT132"/>
          <cell r="AU132"/>
          <cell r="AV132"/>
          <cell r="AW132"/>
          <cell r="AX132"/>
          <cell r="AY132"/>
          <cell r="AZ132"/>
          <cell r="BA132"/>
          <cell r="BB132"/>
          <cell r="BC132"/>
          <cell r="BD132"/>
          <cell r="BE132"/>
          <cell r="BF132"/>
          <cell r="BG132"/>
          <cell r="BH132"/>
          <cell r="BI132"/>
          <cell r="BJ132"/>
          <cell r="BK132"/>
          <cell r="BL132"/>
          <cell r="BM132"/>
          <cell r="BN132"/>
          <cell r="BO132"/>
          <cell r="BP132"/>
          <cell r="BQ132"/>
          <cell r="BR132"/>
          <cell r="BS132"/>
          <cell r="BT132"/>
          <cell r="BU132"/>
          <cell r="BV132"/>
          <cell r="BW132"/>
          <cell r="BX132"/>
          <cell r="BY132">
            <v>0</v>
          </cell>
          <cell r="BZ132">
            <v>242507.17</v>
          </cell>
          <cell r="CA132">
            <v>242768.72</v>
          </cell>
          <cell r="CB132">
            <v>237603.43</v>
          </cell>
          <cell r="CC132">
            <v>232438.14</v>
          </cell>
          <cell r="CD132">
            <v>227272.85</v>
          </cell>
          <cell r="CE132">
            <v>222107.56</v>
          </cell>
          <cell r="CF132">
            <v>216942.27</v>
          </cell>
          <cell r="CG132">
            <v>211776.98</v>
          </cell>
          <cell r="CH132">
            <v>206611.69</v>
          </cell>
          <cell r="CI132">
            <v>201446.39999999999</v>
          </cell>
          <cell r="CJ132">
            <v>196281.11</v>
          </cell>
          <cell r="CK132">
            <v>191115.82</v>
          </cell>
          <cell r="CL132">
            <v>185950.53</v>
          </cell>
          <cell r="CM132">
            <v>180785.24</v>
          </cell>
          <cell r="CN132">
            <v>175619.95</v>
          </cell>
          <cell r="CO132">
            <v>170454.66</v>
          </cell>
          <cell r="CP132">
            <v>165289.37</v>
          </cell>
          <cell r="CQ132">
            <v>160124.07999999999</v>
          </cell>
          <cell r="CR132">
            <v>154958.79</v>
          </cell>
          <cell r="CS132">
            <v>149793.5</v>
          </cell>
          <cell r="CT132">
            <v>144628.21</v>
          </cell>
          <cell r="CU132">
            <v>139462.92000000001</v>
          </cell>
          <cell r="CV132">
            <v>134297.63</v>
          </cell>
          <cell r="CW132">
            <v>129132.34</v>
          </cell>
          <cell r="CX132">
            <v>123967.05</v>
          </cell>
          <cell r="CY132">
            <v>118801.76</v>
          </cell>
          <cell r="CZ132">
            <v>113636.47</v>
          </cell>
          <cell r="DA132">
            <v>108471.18</v>
          </cell>
          <cell r="DB132">
            <v>103305.89</v>
          </cell>
          <cell r="DC132">
            <v>98140.6</v>
          </cell>
          <cell r="DD132">
            <v>92975.31</v>
          </cell>
          <cell r="DE132">
            <v>87810.02</v>
          </cell>
          <cell r="DF132">
            <v>82644.73</v>
          </cell>
          <cell r="DG132">
            <v>77479.44</v>
          </cell>
          <cell r="DH132">
            <v>72314.149999999994</v>
          </cell>
        </row>
        <row r="133">
          <cell r="C133" t="str">
            <v>Oth Reg Asset-Non-Capital SW Project Costs NC</v>
          </cell>
          <cell r="D133"/>
          <cell r="E133"/>
          <cell r="F133"/>
          <cell r="G133"/>
          <cell r="H133"/>
          <cell r="I133"/>
          <cell r="J133"/>
          <cell r="K133"/>
          <cell r="L133"/>
          <cell r="M133"/>
          <cell r="N133"/>
          <cell r="O133"/>
          <cell r="P133"/>
          <cell r="Q133"/>
          <cell r="R133"/>
          <cell r="S133"/>
          <cell r="T133"/>
          <cell r="U133"/>
          <cell r="V133"/>
          <cell r="W133"/>
          <cell r="X133"/>
          <cell r="Y133"/>
          <cell r="Z133"/>
          <cell r="AA133"/>
          <cell r="AB133"/>
          <cell r="AC133"/>
          <cell r="AD133"/>
          <cell r="AE133"/>
          <cell r="AF133"/>
          <cell r="AG133"/>
          <cell r="AH133"/>
          <cell r="AI133"/>
          <cell r="AJ133"/>
          <cell r="AK133"/>
          <cell r="AL133"/>
          <cell r="AM133"/>
          <cell r="AN133"/>
          <cell r="AO133"/>
          <cell r="AP133"/>
          <cell r="AQ133"/>
          <cell r="AR133"/>
          <cell r="AS133"/>
          <cell r="AT133"/>
          <cell r="AU133"/>
          <cell r="AV133"/>
          <cell r="AW133"/>
          <cell r="AX133"/>
          <cell r="AY133"/>
          <cell r="AZ133"/>
          <cell r="BA133"/>
          <cell r="BB133"/>
          <cell r="BC133"/>
          <cell r="BD133"/>
          <cell r="BE133"/>
          <cell r="BF133"/>
          <cell r="BG133"/>
          <cell r="BH133"/>
          <cell r="BI133"/>
          <cell r="BJ133"/>
          <cell r="BK133"/>
          <cell r="BL133"/>
          <cell r="BM133"/>
          <cell r="BN133"/>
          <cell r="BO133"/>
          <cell r="BP133"/>
          <cell r="BQ133"/>
          <cell r="BR133"/>
          <cell r="BS133"/>
          <cell r="BT133"/>
          <cell r="BU133"/>
          <cell r="BV133"/>
          <cell r="BW133"/>
          <cell r="BX133"/>
          <cell r="BY133"/>
          <cell r="BZ133"/>
          <cell r="CA133"/>
          <cell r="CB133"/>
          <cell r="CC133"/>
          <cell r="CD133"/>
          <cell r="CE133"/>
          <cell r="CF133"/>
          <cell r="CG133"/>
          <cell r="CH133">
            <v>0</v>
          </cell>
          <cell r="CI133">
            <v>0</v>
          </cell>
          <cell r="CJ133">
            <v>52454.57</v>
          </cell>
          <cell r="CK133">
            <v>15526.83</v>
          </cell>
          <cell r="CL133">
            <v>281372.48</v>
          </cell>
          <cell r="CM133">
            <v>289771.12</v>
          </cell>
          <cell r="CN133">
            <v>289771.12</v>
          </cell>
          <cell r="CO133">
            <v>309148.39</v>
          </cell>
          <cell r="CP133">
            <v>318939.01</v>
          </cell>
          <cell r="CQ133">
            <v>327079.78999999998</v>
          </cell>
          <cell r="CR133">
            <v>335363.44</v>
          </cell>
          <cell r="CS133">
            <v>349833.47</v>
          </cell>
          <cell r="CT133">
            <v>366468.03</v>
          </cell>
          <cell r="CU133">
            <v>378525.37</v>
          </cell>
          <cell r="CV133">
            <v>384858.52</v>
          </cell>
          <cell r="CW133">
            <v>407631.05</v>
          </cell>
          <cell r="CX133">
            <v>407631.05</v>
          </cell>
          <cell r="CY133">
            <v>428358.92</v>
          </cell>
          <cell r="CZ133">
            <v>428358.92</v>
          </cell>
          <cell r="DA133">
            <v>449578.52</v>
          </cell>
          <cell r="DB133">
            <v>455078.41</v>
          </cell>
          <cell r="DC133">
            <v>457004.91</v>
          </cell>
          <cell r="DD133">
            <v>458447.89</v>
          </cell>
          <cell r="DE133">
            <v>463416.02</v>
          </cell>
          <cell r="DF133">
            <v>463416.02</v>
          </cell>
          <cell r="DG133">
            <v>465458.8</v>
          </cell>
          <cell r="DH133">
            <v>468317.65</v>
          </cell>
        </row>
        <row r="134">
          <cell r="C134" t="str">
            <v>RegAst EnvRem Cst NC</v>
          </cell>
          <cell r="D134">
            <v>0</v>
          </cell>
          <cell r="E134">
            <v>0</v>
          </cell>
          <cell r="F134">
            <v>0</v>
          </cell>
          <cell r="G134">
            <v>0</v>
          </cell>
          <cell r="H134">
            <v>0</v>
          </cell>
          <cell r="I134">
            <v>0</v>
          </cell>
          <cell r="J134">
            <v>0</v>
          </cell>
          <cell r="K134">
            <v>0</v>
          </cell>
          <cell r="L134">
            <v>0</v>
          </cell>
          <cell r="M134">
            <v>18363858.07</v>
          </cell>
          <cell r="N134">
            <v>18398728.989999998</v>
          </cell>
          <cell r="O134">
            <v>18714715.5</v>
          </cell>
          <cell r="P134">
            <v>19130863.190000001</v>
          </cell>
          <cell r="Q134">
            <v>19251652.18</v>
          </cell>
          <cell r="R134">
            <v>19262416.27</v>
          </cell>
          <cell r="S134">
            <v>19451612.09</v>
          </cell>
          <cell r="T134">
            <v>17884838.050000001</v>
          </cell>
          <cell r="U134">
            <v>18061345.780000001</v>
          </cell>
          <cell r="V134">
            <v>18529860.780000001</v>
          </cell>
          <cell r="W134">
            <v>18717871.989999998</v>
          </cell>
          <cell r="X134">
            <v>18579730.59</v>
          </cell>
          <cell r="Y134">
            <v>18707942.100000001</v>
          </cell>
          <cell r="Z134">
            <v>18783072.949999999</v>
          </cell>
          <cell r="AA134">
            <v>19351996.600000001</v>
          </cell>
          <cell r="AB134">
            <v>19275563.25</v>
          </cell>
          <cell r="AC134">
            <v>19491791.550000001</v>
          </cell>
          <cell r="AD134">
            <v>19532169.859999999</v>
          </cell>
          <cell r="AE134">
            <v>19717101.739999998</v>
          </cell>
          <cell r="AF134">
            <v>19704177.66</v>
          </cell>
          <cell r="AG134">
            <v>19746889.16</v>
          </cell>
          <cell r="AH134">
            <v>20157733.030000001</v>
          </cell>
          <cell r="AI134">
            <v>20153677.280000001</v>
          </cell>
          <cell r="AJ134">
            <v>20268550.670000002</v>
          </cell>
          <cell r="AK134">
            <v>20253233.98</v>
          </cell>
          <cell r="AL134">
            <v>20268550.670000002</v>
          </cell>
          <cell r="AM134">
            <v>20414253.219999999</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-5792407.5999999996</v>
          </cell>
          <cell r="BJ134">
            <v>-6058410.2699999996</v>
          </cell>
          <cell r="BK134">
            <v>-5508665.9900000002</v>
          </cell>
          <cell r="BL134">
            <v>-5357398.4000000004</v>
          </cell>
          <cell r="BM134">
            <v>-5328923.1500000004</v>
          </cell>
          <cell r="BN134">
            <v>-4528553.33</v>
          </cell>
          <cell r="BO134">
            <v>-4422102.78</v>
          </cell>
          <cell r="BP134">
            <v>-3869786.44</v>
          </cell>
          <cell r="BQ134">
            <v>-3204277.27</v>
          </cell>
          <cell r="BR134">
            <v>-2531784.81</v>
          </cell>
          <cell r="BS134">
            <v>-2449547.7200000002</v>
          </cell>
          <cell r="BT134">
            <v>-2315438.73</v>
          </cell>
          <cell r="BU134">
            <v>-1380738.59</v>
          </cell>
          <cell r="BV134">
            <v>-1310066.8999999999</v>
          </cell>
          <cell r="BW134">
            <v>-620994.42000000004</v>
          </cell>
          <cell r="BX134">
            <v>-844525.4</v>
          </cell>
          <cell r="BY134">
            <v>-869902.38</v>
          </cell>
          <cell r="BZ134">
            <v>-769991.41</v>
          </cell>
          <cell r="CA134">
            <v>-482200.19</v>
          </cell>
          <cell r="CB134">
            <v>-447003.73</v>
          </cell>
          <cell r="CC134">
            <v>-39999.08</v>
          </cell>
          <cell r="CD134">
            <v>180217.56</v>
          </cell>
          <cell r="CE134">
            <v>464250.37</v>
          </cell>
          <cell r="CF134">
            <v>760879.01</v>
          </cell>
          <cell r="CG134">
            <v>1217000.7</v>
          </cell>
          <cell r="CH134">
            <v>1968452.79</v>
          </cell>
          <cell r="CI134">
            <v>3632193.85</v>
          </cell>
          <cell r="CJ134">
            <v>3601049.9</v>
          </cell>
          <cell r="CK134">
            <v>3490704.27</v>
          </cell>
          <cell r="CL134">
            <v>4316685.58</v>
          </cell>
          <cell r="CM134">
            <v>4851445.0199999996</v>
          </cell>
          <cell r="CN134">
            <v>4845790.1500000004</v>
          </cell>
          <cell r="CO134">
            <v>6315838.2199999997</v>
          </cell>
          <cell r="CP134">
            <v>6336294.9900000002</v>
          </cell>
          <cell r="CQ134">
            <v>7145631.7400000002</v>
          </cell>
          <cell r="CR134">
            <v>7108228.9699999997</v>
          </cell>
          <cell r="CS134">
            <v>5678650.8300000001</v>
          </cell>
          <cell r="CT134">
            <v>5843976.3399999999</v>
          </cell>
          <cell r="CU134">
            <v>6782716.7699999996</v>
          </cell>
          <cell r="CV134">
            <v>6887518.2800000003</v>
          </cell>
          <cell r="CW134">
            <v>7029960.8499999996</v>
          </cell>
          <cell r="CX134">
            <v>7050080.9900000002</v>
          </cell>
          <cell r="CY134">
            <v>7027005.9800000004</v>
          </cell>
          <cell r="CZ134">
            <v>7040378.4199999999</v>
          </cell>
          <cell r="DA134">
            <v>7219712.9299999997</v>
          </cell>
          <cell r="DB134">
            <v>7229800.8600000003</v>
          </cell>
          <cell r="DC134">
            <v>7180908.0899999999</v>
          </cell>
          <cell r="DD134">
            <v>7178924.9699999997</v>
          </cell>
          <cell r="DE134">
            <v>7237771.9100000001</v>
          </cell>
          <cell r="DF134">
            <v>6522778.4800000004</v>
          </cell>
          <cell r="DG134">
            <v>6494591.1299999999</v>
          </cell>
          <cell r="DH134">
            <v>6592523.5300000003</v>
          </cell>
        </row>
        <row r="135">
          <cell r="C135" t="str">
            <v>Oth Reg Asset-Emergency Conditions - COVID-19</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550933</v>
          </cell>
          <cell r="CG135">
            <v>1385701</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row>
        <row r="136">
          <cell r="C136" t="str">
            <v>Oth Reg Asset-Deferred Tax Reform Impact Current</v>
          </cell>
          <cell r="D136"/>
          <cell r="E136"/>
          <cell r="F136"/>
          <cell r="G136"/>
          <cell r="H136"/>
          <cell r="I136"/>
          <cell r="J136"/>
          <cell r="K136"/>
          <cell r="L136"/>
          <cell r="M136"/>
          <cell r="N136"/>
          <cell r="O136"/>
          <cell r="P136"/>
          <cell r="Q136"/>
          <cell r="R136"/>
          <cell r="S136"/>
          <cell r="T136"/>
          <cell r="U136"/>
          <cell r="V136"/>
          <cell r="W136"/>
          <cell r="X136"/>
          <cell r="Y136"/>
          <cell r="Z136"/>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cell r="BH136"/>
          <cell r="BI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G136"/>
          <cell r="CH136"/>
          <cell r="CI136"/>
          <cell r="CJ136"/>
          <cell r="CK136"/>
          <cell r="CL136"/>
          <cell r="CM136"/>
          <cell r="CN136"/>
          <cell r="CO136"/>
          <cell r="CP136"/>
          <cell r="CQ136"/>
          <cell r="CR136"/>
          <cell r="CS136"/>
          <cell r="CT136"/>
          <cell r="CU136"/>
          <cell r="CV136"/>
          <cell r="CW136"/>
          <cell r="CX136"/>
          <cell r="CY136"/>
          <cell r="CZ136">
            <v>0</v>
          </cell>
          <cell r="DA136">
            <v>457013</v>
          </cell>
          <cell r="DB136">
            <v>0</v>
          </cell>
          <cell r="DC136">
            <v>91402.5</v>
          </cell>
          <cell r="DD136">
            <v>182805</v>
          </cell>
          <cell r="DE136">
            <v>0</v>
          </cell>
          <cell r="DF136">
            <v>91402.5</v>
          </cell>
          <cell r="DG136">
            <v>182805</v>
          </cell>
          <cell r="DH136">
            <v>0</v>
          </cell>
        </row>
        <row r="137">
          <cell r="C137" t="str">
            <v>Oth Reg Asset-TIMP Accrual - Current</v>
          </cell>
          <cell r="D137"/>
          <cell r="E137"/>
          <cell r="F137"/>
          <cell r="G137"/>
          <cell r="H137"/>
          <cell r="I137"/>
          <cell r="J137"/>
          <cell r="K137"/>
          <cell r="L137"/>
          <cell r="M137"/>
          <cell r="N137"/>
          <cell r="O137"/>
          <cell r="P137"/>
          <cell r="Q137"/>
          <cell r="R137"/>
          <cell r="S137"/>
          <cell r="T137"/>
          <cell r="U137"/>
          <cell r="V137"/>
          <cell r="W137"/>
          <cell r="X137"/>
          <cell r="Y137"/>
          <cell r="Z137"/>
          <cell r="AA137"/>
          <cell r="AB137"/>
          <cell r="AC137"/>
          <cell r="AD137"/>
          <cell r="AE137"/>
          <cell r="AF137"/>
          <cell r="AG137"/>
          <cell r="AH137"/>
          <cell r="AI137"/>
          <cell r="AJ137"/>
          <cell r="AK137"/>
          <cell r="AL137"/>
          <cell r="AM137"/>
          <cell r="AN137"/>
          <cell r="AO137"/>
          <cell r="AP137"/>
          <cell r="AQ137"/>
          <cell r="AR137"/>
          <cell r="AS137"/>
          <cell r="AT137"/>
          <cell r="AU137"/>
          <cell r="AV137"/>
          <cell r="AW137"/>
          <cell r="AX137"/>
          <cell r="AY137"/>
          <cell r="AZ137"/>
          <cell r="BA137"/>
          <cell r="BB137"/>
          <cell r="BC137"/>
          <cell r="BD137"/>
          <cell r="BE137"/>
          <cell r="BF137"/>
          <cell r="BG137"/>
          <cell r="BH137"/>
          <cell r="BI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G137"/>
          <cell r="CH137"/>
          <cell r="CI137"/>
          <cell r="CJ137">
            <v>1</v>
          </cell>
          <cell r="CK137">
            <v>-119789.58</v>
          </cell>
          <cell r="CL137">
            <v>-239579.16</v>
          </cell>
          <cell r="CM137">
            <v>175667.09</v>
          </cell>
          <cell r="CN137">
            <v>56716.68</v>
          </cell>
          <cell r="CO137">
            <v>-52377.9</v>
          </cell>
          <cell r="CP137">
            <v>441305.99</v>
          </cell>
          <cell r="CQ137">
            <v>835316.04</v>
          </cell>
          <cell r="CR137">
            <v>863608.46</v>
          </cell>
          <cell r="CS137">
            <v>913782.88</v>
          </cell>
          <cell r="CT137">
            <v>878248.4</v>
          </cell>
          <cell r="CU137">
            <v>758458.82</v>
          </cell>
          <cell r="CV137">
            <v>638669.24</v>
          </cell>
          <cell r="CW137">
            <v>518879.66</v>
          </cell>
          <cell r="CX137">
            <v>399090.08</v>
          </cell>
          <cell r="CY137">
            <v>279300.5</v>
          </cell>
          <cell r="CZ137">
            <v>234692.92</v>
          </cell>
          <cell r="DA137">
            <v>114903.34</v>
          </cell>
          <cell r="DB137">
            <v>6231.26</v>
          </cell>
          <cell r="DC137">
            <v>-29049.279999999999</v>
          </cell>
          <cell r="DD137">
            <v>-66455.78</v>
          </cell>
          <cell r="DE137">
            <v>0</v>
          </cell>
          <cell r="DF137">
            <v>0</v>
          </cell>
          <cell r="DG137">
            <v>35558.339999999997</v>
          </cell>
          <cell r="DH137">
            <v>425186.98</v>
          </cell>
        </row>
        <row r="138">
          <cell r="C138" t="str">
            <v>RegAst Env Rem</v>
          </cell>
          <cell r="D138">
            <v>40439944</v>
          </cell>
          <cell r="E138">
            <v>40439944</v>
          </cell>
          <cell r="F138">
            <v>40439944</v>
          </cell>
          <cell r="G138">
            <v>38439944</v>
          </cell>
          <cell r="H138">
            <v>38439944</v>
          </cell>
          <cell r="I138">
            <v>35939944</v>
          </cell>
          <cell r="J138">
            <v>38439944</v>
          </cell>
          <cell r="K138">
            <v>35939944</v>
          </cell>
          <cell r="L138">
            <v>35939944</v>
          </cell>
          <cell r="M138">
            <v>33284401</v>
          </cell>
          <cell r="N138">
            <v>33284401</v>
          </cell>
          <cell r="O138">
            <v>33284401</v>
          </cell>
          <cell r="P138">
            <v>33295565</v>
          </cell>
          <cell r="Q138">
            <v>33295565</v>
          </cell>
          <cell r="R138">
            <v>33295565</v>
          </cell>
          <cell r="S138">
            <v>33295565</v>
          </cell>
          <cell r="T138">
            <v>33295565</v>
          </cell>
          <cell r="U138">
            <v>33295565</v>
          </cell>
          <cell r="V138">
            <v>33295565</v>
          </cell>
          <cell r="W138">
            <v>33295565</v>
          </cell>
          <cell r="X138">
            <v>33295565</v>
          </cell>
          <cell r="Y138">
            <v>33295565</v>
          </cell>
          <cell r="Z138">
            <v>33295565</v>
          </cell>
          <cell r="AA138">
            <v>33938077</v>
          </cell>
          <cell r="AB138">
            <v>33295565</v>
          </cell>
          <cell r="AC138">
            <v>33938077</v>
          </cell>
          <cell r="AD138">
            <v>33938077</v>
          </cell>
          <cell r="AE138">
            <v>33938077</v>
          </cell>
          <cell r="AF138">
            <v>33938077</v>
          </cell>
          <cell r="AG138">
            <v>33938077</v>
          </cell>
          <cell r="AH138">
            <v>33938077</v>
          </cell>
          <cell r="AI138">
            <v>33938077</v>
          </cell>
          <cell r="AJ138">
            <v>33938077</v>
          </cell>
          <cell r="AK138">
            <v>33938077</v>
          </cell>
          <cell r="AL138">
            <v>33938077</v>
          </cell>
          <cell r="AM138">
            <v>33938077</v>
          </cell>
          <cell r="AN138">
            <v>31563329</v>
          </cell>
          <cell r="AO138">
            <v>31563329</v>
          </cell>
          <cell r="AP138">
            <v>31563329</v>
          </cell>
          <cell r="AQ138">
            <v>30390812</v>
          </cell>
          <cell r="AR138">
            <v>30390812</v>
          </cell>
          <cell r="AS138">
            <v>30390812</v>
          </cell>
          <cell r="AT138">
            <v>30390812</v>
          </cell>
          <cell r="AU138">
            <v>30390812</v>
          </cell>
          <cell r="AV138">
            <v>30390812</v>
          </cell>
          <cell r="AW138">
            <v>30390812</v>
          </cell>
          <cell r="AX138">
            <v>30390812</v>
          </cell>
          <cell r="AY138">
            <v>30390812</v>
          </cell>
          <cell r="AZ138">
            <v>30039284</v>
          </cell>
          <cell r="BA138">
            <v>30039284</v>
          </cell>
          <cell r="BB138">
            <v>30039284</v>
          </cell>
          <cell r="BC138">
            <v>27963655</v>
          </cell>
          <cell r="BD138">
            <v>27963655</v>
          </cell>
          <cell r="BE138">
            <v>27963655</v>
          </cell>
          <cell r="BF138">
            <v>27963655</v>
          </cell>
          <cell r="BG138">
            <v>27963655</v>
          </cell>
          <cell r="BH138">
            <v>27963655</v>
          </cell>
          <cell r="BI138">
            <v>27963655</v>
          </cell>
          <cell r="BJ138">
            <v>27963655</v>
          </cell>
          <cell r="BK138">
            <v>27963655</v>
          </cell>
          <cell r="BL138">
            <v>27962095</v>
          </cell>
          <cell r="BM138">
            <v>27962095</v>
          </cell>
          <cell r="BN138">
            <v>27962095</v>
          </cell>
          <cell r="BO138">
            <v>27962095</v>
          </cell>
          <cell r="BP138">
            <v>27962095</v>
          </cell>
          <cell r="BQ138">
            <v>27962095</v>
          </cell>
          <cell r="BR138">
            <v>27962095</v>
          </cell>
          <cell r="BS138">
            <v>27962095</v>
          </cell>
          <cell r="BT138">
            <v>27962095</v>
          </cell>
          <cell r="BU138">
            <v>27962095</v>
          </cell>
          <cell r="BV138">
            <v>27962095</v>
          </cell>
          <cell r="BW138">
            <v>27962095</v>
          </cell>
          <cell r="BX138">
            <v>20805063</v>
          </cell>
          <cell r="BY138">
            <v>20805063</v>
          </cell>
          <cell r="BZ138">
            <v>20805063</v>
          </cell>
          <cell r="CA138">
            <v>20805063</v>
          </cell>
          <cell r="CB138">
            <v>20805063</v>
          </cell>
          <cell r="CC138">
            <v>20805063</v>
          </cell>
          <cell r="CD138">
            <v>20805063</v>
          </cell>
          <cell r="CE138">
            <v>20805063</v>
          </cell>
          <cell r="CF138">
            <v>20805063</v>
          </cell>
          <cell r="CG138">
            <v>20805063</v>
          </cell>
          <cell r="CH138">
            <v>20805063</v>
          </cell>
          <cell r="CI138">
            <v>20805063</v>
          </cell>
          <cell r="CJ138">
            <v>17404076</v>
          </cell>
          <cell r="CK138">
            <v>17404076</v>
          </cell>
          <cell r="CL138">
            <v>17404076</v>
          </cell>
          <cell r="CM138">
            <v>17404076</v>
          </cell>
          <cell r="CN138">
            <v>17404076</v>
          </cell>
          <cell r="CO138">
            <v>17404076</v>
          </cell>
          <cell r="CP138">
            <v>17404076</v>
          </cell>
          <cell r="CQ138">
            <v>17404076</v>
          </cell>
          <cell r="CR138">
            <v>17404076</v>
          </cell>
          <cell r="CS138">
            <v>17404076</v>
          </cell>
          <cell r="CT138">
            <v>17404076</v>
          </cell>
          <cell r="CU138">
            <v>17404076</v>
          </cell>
          <cell r="CV138">
            <v>13903851</v>
          </cell>
          <cell r="CW138">
            <v>13903851</v>
          </cell>
          <cell r="CX138">
            <v>13903851</v>
          </cell>
          <cell r="CY138">
            <v>13903851</v>
          </cell>
          <cell r="CZ138">
            <v>13903851</v>
          </cell>
          <cell r="DA138">
            <v>13903851</v>
          </cell>
          <cell r="DB138">
            <v>13903851</v>
          </cell>
          <cell r="DC138">
            <v>13903851</v>
          </cell>
          <cell r="DD138">
            <v>13903851</v>
          </cell>
          <cell r="DE138">
            <v>13903851</v>
          </cell>
          <cell r="DF138">
            <v>13903851</v>
          </cell>
          <cell r="DG138">
            <v>13903851</v>
          </cell>
          <cell r="DH138">
            <v>12618620</v>
          </cell>
        </row>
        <row r="139">
          <cell r="C139" t="str">
            <v>RegAst Env Rem Csts</v>
          </cell>
          <cell r="D139">
            <v>10963627.550000001</v>
          </cell>
          <cell r="E139">
            <v>10991818.220000001</v>
          </cell>
          <cell r="F139">
            <v>12906272.789999999</v>
          </cell>
          <cell r="G139">
            <v>12938463.060000001</v>
          </cell>
          <cell r="H139">
            <v>14172729.17</v>
          </cell>
          <cell r="I139">
            <v>16051375.82</v>
          </cell>
          <cell r="J139">
            <v>15034002.460000001</v>
          </cell>
          <cell r="K139">
            <v>17339455.219999999</v>
          </cell>
          <cell r="L139">
            <v>18912768.109999999</v>
          </cell>
          <cell r="M139">
            <v>640785.9</v>
          </cell>
          <cell r="N139">
            <v>640000</v>
          </cell>
          <cell r="O139">
            <v>640000</v>
          </cell>
          <cell r="P139">
            <v>640000</v>
          </cell>
          <cell r="Q139">
            <v>640000</v>
          </cell>
          <cell r="R139">
            <v>640000</v>
          </cell>
          <cell r="S139">
            <v>640000</v>
          </cell>
          <cell r="T139">
            <v>640000</v>
          </cell>
          <cell r="U139">
            <v>640000</v>
          </cell>
          <cell r="V139">
            <v>640000</v>
          </cell>
          <cell r="W139">
            <v>651387.55000000005</v>
          </cell>
          <cell r="X139">
            <v>640000</v>
          </cell>
          <cell r="Y139">
            <v>640000</v>
          </cell>
          <cell r="Z139">
            <v>640000</v>
          </cell>
          <cell r="AA139">
            <v>640000</v>
          </cell>
          <cell r="AB139">
            <v>640000</v>
          </cell>
          <cell r="AC139">
            <v>651508.61</v>
          </cell>
          <cell r="AD139">
            <v>651236.93000000005</v>
          </cell>
          <cell r="AE139">
            <v>640000</v>
          </cell>
          <cell r="AF139">
            <v>640000</v>
          </cell>
          <cell r="AG139">
            <v>640000</v>
          </cell>
          <cell r="AH139">
            <v>640000</v>
          </cell>
          <cell r="AI139">
            <v>640000</v>
          </cell>
          <cell r="AJ139">
            <v>640000</v>
          </cell>
          <cell r="AK139">
            <v>640000</v>
          </cell>
          <cell r="AL139">
            <v>650137.81000000006</v>
          </cell>
          <cell r="AM139">
            <v>640000</v>
          </cell>
          <cell r="AN139">
            <v>5386294.5099999998</v>
          </cell>
          <cell r="AO139">
            <v>5489687.9500000002</v>
          </cell>
          <cell r="AP139">
            <v>4791816.68</v>
          </cell>
          <cell r="AQ139">
            <v>4420507.99</v>
          </cell>
          <cell r="AR139">
            <v>4091990.79</v>
          </cell>
          <cell r="AS139">
            <v>3912201.07</v>
          </cell>
          <cell r="AT139">
            <v>3515072.9</v>
          </cell>
          <cell r="AU139">
            <v>3149354.11</v>
          </cell>
          <cell r="AV139">
            <v>3302798.76</v>
          </cell>
          <cell r="AW139">
            <v>2483445.73</v>
          </cell>
          <cell r="AX139">
            <v>2167939.35</v>
          </cell>
          <cell r="AY139">
            <v>1787053.5</v>
          </cell>
          <cell r="AZ139">
            <v>2643026.87</v>
          </cell>
          <cell r="BA139">
            <v>2921728.14</v>
          </cell>
          <cell r="BB139">
            <v>3413269.72</v>
          </cell>
          <cell r="BC139">
            <v>571963.46</v>
          </cell>
          <cell r="BD139">
            <v>781297.63</v>
          </cell>
          <cell r="BE139">
            <v>861189.82</v>
          </cell>
          <cell r="BF139">
            <v>932580.57</v>
          </cell>
          <cell r="BG139">
            <v>1299590.25</v>
          </cell>
          <cell r="BH139">
            <v>1540588.71</v>
          </cell>
          <cell r="BI139">
            <v>927790</v>
          </cell>
          <cell r="BJ139">
            <v>927790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1000000</v>
          </cell>
          <cell r="CK139">
            <v>1000000</v>
          </cell>
          <cell r="CL139">
            <v>1000000</v>
          </cell>
          <cell r="CM139">
            <v>1000000</v>
          </cell>
          <cell r="CN139">
            <v>1000000</v>
          </cell>
          <cell r="CO139">
            <v>1000000</v>
          </cell>
          <cell r="CP139">
            <v>1000000</v>
          </cell>
          <cell r="CQ139">
            <v>1000000</v>
          </cell>
          <cell r="CR139">
            <v>1000000</v>
          </cell>
          <cell r="CS139">
            <v>1000000</v>
          </cell>
          <cell r="CT139">
            <v>1000000</v>
          </cell>
          <cell r="CU139">
            <v>1000000</v>
          </cell>
          <cell r="CV139">
            <v>1000000</v>
          </cell>
          <cell r="CW139">
            <v>1000000</v>
          </cell>
          <cell r="CX139">
            <v>1000000</v>
          </cell>
          <cell r="CY139">
            <v>1000000</v>
          </cell>
          <cell r="CZ139">
            <v>1000000</v>
          </cell>
          <cell r="DA139">
            <v>1000000</v>
          </cell>
          <cell r="DB139">
            <v>1000000</v>
          </cell>
          <cell r="DC139">
            <v>999000</v>
          </cell>
          <cell r="DD139">
            <v>1000000</v>
          </cell>
          <cell r="DE139">
            <v>1000000</v>
          </cell>
          <cell r="DF139">
            <v>1000000</v>
          </cell>
          <cell r="DG139">
            <v>1000000</v>
          </cell>
          <cell r="DH139">
            <v>1000000</v>
          </cell>
        </row>
        <row r="140">
          <cell r="C140" t="str">
            <v>Reg Ast FAS109 ITax</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45567.42</v>
          </cell>
          <cell r="BU140">
            <v>75174.31</v>
          </cell>
          <cell r="BV140">
            <v>98598.53</v>
          </cell>
          <cell r="BW140">
            <v>124843.7</v>
          </cell>
          <cell r="BX140">
            <v>158391.91</v>
          </cell>
          <cell r="BY140">
            <v>200733.99</v>
          </cell>
          <cell r="BZ140">
            <v>254402.09</v>
          </cell>
          <cell r="CA140">
            <v>316988.55</v>
          </cell>
          <cell r="CB140">
            <v>388324.47</v>
          </cell>
          <cell r="CC140">
            <v>475014.17</v>
          </cell>
          <cell r="CD140">
            <v>574265.81000000006</v>
          </cell>
          <cell r="CE140">
            <v>681120.1</v>
          </cell>
          <cell r="CF140">
            <v>800293</v>
          </cell>
          <cell r="CG140">
            <v>934111.41</v>
          </cell>
          <cell r="CH140">
            <v>1039552.16</v>
          </cell>
          <cell r="CI140">
            <v>1116898.8400000001</v>
          </cell>
          <cell r="CJ140">
            <v>1206726.8899999999</v>
          </cell>
          <cell r="CK140">
            <v>1307965.5900000001</v>
          </cell>
          <cell r="CL140">
            <v>1431380.41</v>
          </cell>
          <cell r="CM140">
            <v>1561950.37</v>
          </cell>
          <cell r="CN140">
            <v>1670561.21</v>
          </cell>
          <cell r="CO140">
            <v>1743753.73</v>
          </cell>
          <cell r="CP140">
            <v>1819694.46</v>
          </cell>
          <cell r="CQ140">
            <v>1902130.74</v>
          </cell>
          <cell r="CR140">
            <v>1994983.06</v>
          </cell>
          <cell r="CS140">
            <v>2096617.68</v>
          </cell>
          <cell r="CT140">
            <v>2205902.7200000002</v>
          </cell>
          <cell r="CU140">
            <v>2242783.67</v>
          </cell>
          <cell r="CV140">
            <v>2294930.2799999998</v>
          </cell>
          <cell r="CW140">
            <v>2353501.04</v>
          </cell>
          <cell r="CX140">
            <v>2417440.83</v>
          </cell>
          <cell r="CY140">
            <v>2487545.8199999998</v>
          </cell>
          <cell r="CZ140">
            <v>2564848.4300000002</v>
          </cell>
          <cell r="DA140">
            <v>2650622.31</v>
          </cell>
          <cell r="DB140">
            <v>2746845.6</v>
          </cell>
          <cell r="DC140">
            <v>2854530.05</v>
          </cell>
          <cell r="DD140">
            <v>2971109.13</v>
          </cell>
          <cell r="DE140">
            <v>3094220.84</v>
          </cell>
          <cell r="DF140">
            <v>3148450.49</v>
          </cell>
          <cell r="DG140">
            <v>3229076.42</v>
          </cell>
          <cell r="DH140">
            <v>3313117.81</v>
          </cell>
        </row>
        <row r="141">
          <cell r="C141" t="str">
            <v>CIS Intrfc Suspense</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row>
        <row r="142">
          <cell r="C142" t="str">
            <v>PP Intrfc Suspense</v>
          </cell>
          <cell r="D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row>
        <row r="143">
          <cell r="C143" t="str">
            <v>Intrfc Doc Balancing</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41828.07</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row>
        <row r="144">
          <cell r="C144" t="str">
            <v>HR Doc Balancing</v>
          </cell>
          <cell r="D144">
            <v>5502.76</v>
          </cell>
          <cell r="E144">
            <v>5562.76</v>
          </cell>
          <cell r="F144">
            <v>5622.76</v>
          </cell>
          <cell r="G144">
            <v>5682.76</v>
          </cell>
          <cell r="H144">
            <v>5742.76</v>
          </cell>
          <cell r="I144">
            <v>5862.76</v>
          </cell>
          <cell r="J144">
            <v>5802.76</v>
          </cell>
          <cell r="K144">
            <v>5922.76</v>
          </cell>
          <cell r="L144">
            <v>5982.76</v>
          </cell>
          <cell r="M144">
            <v>6042.76</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60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row>
        <row r="145">
          <cell r="C145" t="str">
            <v>DefDr SERP Trust</v>
          </cell>
          <cell r="D145"/>
          <cell r="E145"/>
          <cell r="F145"/>
          <cell r="G145"/>
          <cell r="H145"/>
          <cell r="I145"/>
          <cell r="J145"/>
          <cell r="K145"/>
          <cell r="L145"/>
          <cell r="M145"/>
          <cell r="N145"/>
          <cell r="O145"/>
          <cell r="P145"/>
          <cell r="Q145"/>
          <cell r="R145"/>
          <cell r="S145"/>
          <cell r="T145"/>
          <cell r="U145"/>
          <cell r="V145"/>
          <cell r="W145"/>
          <cell r="X145"/>
          <cell r="Z145">
            <v>2935168</v>
          </cell>
          <cell r="AA145">
            <v>2935168</v>
          </cell>
          <cell r="AB145">
            <v>2935168</v>
          </cell>
          <cell r="AC145">
            <v>2950896</v>
          </cell>
          <cell r="AD145">
            <v>2950896</v>
          </cell>
          <cell r="AE145">
            <v>2950896</v>
          </cell>
          <cell r="AF145">
            <v>2950896</v>
          </cell>
          <cell r="AG145">
            <v>2950896</v>
          </cell>
          <cell r="AH145">
            <v>2950896</v>
          </cell>
          <cell r="AI145">
            <v>2950896</v>
          </cell>
          <cell r="AJ145">
            <v>2950896</v>
          </cell>
          <cell r="AK145">
            <v>2950896</v>
          </cell>
          <cell r="AL145">
            <v>2950896</v>
          </cell>
          <cell r="AM145">
            <v>2950896</v>
          </cell>
          <cell r="AN145">
            <v>2950896</v>
          </cell>
          <cell r="AO145">
            <v>2950896</v>
          </cell>
          <cell r="AP145">
            <v>2366610</v>
          </cell>
          <cell r="AQ145">
            <v>2366610</v>
          </cell>
          <cell r="AR145">
            <v>2366610</v>
          </cell>
          <cell r="AS145">
            <v>2366610</v>
          </cell>
          <cell r="AT145">
            <v>2366610</v>
          </cell>
          <cell r="AU145">
            <v>2366610</v>
          </cell>
          <cell r="AV145">
            <v>2366610</v>
          </cell>
          <cell r="AW145">
            <v>2366610</v>
          </cell>
          <cell r="AX145">
            <v>2366610</v>
          </cell>
          <cell r="AY145">
            <v>2366610</v>
          </cell>
          <cell r="AZ145">
            <v>2366610</v>
          </cell>
          <cell r="BA145">
            <v>2366610</v>
          </cell>
          <cell r="BB145">
            <v>2083308</v>
          </cell>
          <cell r="BC145">
            <v>2083308</v>
          </cell>
          <cell r="BD145">
            <v>2083308</v>
          </cell>
          <cell r="BE145">
            <v>2083308</v>
          </cell>
          <cell r="BF145">
            <v>2083308</v>
          </cell>
          <cell r="BG145">
            <v>2083308</v>
          </cell>
          <cell r="BH145">
            <v>2083308</v>
          </cell>
          <cell r="BI145">
            <v>2083308</v>
          </cell>
          <cell r="BJ145">
            <v>2083308</v>
          </cell>
          <cell r="BK145">
            <v>2083308</v>
          </cell>
          <cell r="BL145">
            <v>2083308</v>
          </cell>
          <cell r="BM145">
            <v>1876488</v>
          </cell>
          <cell r="BN145">
            <v>1876488</v>
          </cell>
          <cell r="BO145">
            <v>1876488</v>
          </cell>
          <cell r="BP145">
            <v>1876488</v>
          </cell>
          <cell r="BQ145">
            <v>1876488</v>
          </cell>
          <cell r="BR145">
            <v>1876488</v>
          </cell>
          <cell r="BS145">
            <v>1876488</v>
          </cell>
          <cell r="BT145">
            <v>1876488</v>
          </cell>
          <cell r="BU145">
            <v>1876488</v>
          </cell>
          <cell r="BV145">
            <v>1876488</v>
          </cell>
          <cell r="BW145">
            <v>1876488</v>
          </cell>
          <cell r="BX145">
            <v>1876488</v>
          </cell>
          <cell r="BY145">
            <v>1876488</v>
          </cell>
          <cell r="BZ145">
            <v>1876488</v>
          </cell>
          <cell r="CA145">
            <v>1876488</v>
          </cell>
          <cell r="CB145">
            <v>1876488</v>
          </cell>
          <cell r="CC145">
            <v>1876488</v>
          </cell>
          <cell r="CD145">
            <v>1876488</v>
          </cell>
          <cell r="CE145">
            <v>1876488</v>
          </cell>
          <cell r="CF145">
            <v>1876488</v>
          </cell>
          <cell r="CG145">
            <v>1876488</v>
          </cell>
          <cell r="CH145">
            <v>1876488</v>
          </cell>
          <cell r="CI145">
            <v>1876488</v>
          </cell>
          <cell r="CJ145">
            <v>1876488</v>
          </cell>
          <cell r="CK145">
            <v>1651972</v>
          </cell>
          <cell r="CL145">
            <v>1651972</v>
          </cell>
          <cell r="CM145">
            <v>1651972</v>
          </cell>
          <cell r="CN145">
            <v>1651972</v>
          </cell>
          <cell r="CO145">
            <v>1651972</v>
          </cell>
          <cell r="CP145">
            <v>1651972</v>
          </cell>
          <cell r="CQ145">
            <v>1651972</v>
          </cell>
          <cell r="CR145">
            <v>1651972</v>
          </cell>
          <cell r="CS145">
            <v>1651972</v>
          </cell>
          <cell r="CT145">
            <v>1651972</v>
          </cell>
          <cell r="CU145">
            <v>1651972</v>
          </cell>
          <cell r="CV145">
            <v>1651972</v>
          </cell>
          <cell r="CW145">
            <v>1651972</v>
          </cell>
          <cell r="CX145">
            <v>1474890</v>
          </cell>
          <cell r="CY145">
            <v>1474890</v>
          </cell>
          <cell r="CZ145">
            <v>1474890</v>
          </cell>
          <cell r="DA145">
            <v>1474890</v>
          </cell>
          <cell r="DB145">
            <v>1474890</v>
          </cell>
          <cell r="DC145">
            <v>1474890</v>
          </cell>
          <cell r="DD145">
            <v>1474890</v>
          </cell>
          <cell r="DE145">
            <v>1474890</v>
          </cell>
          <cell r="DF145">
            <v>1474890</v>
          </cell>
          <cell r="DG145">
            <v>1474890</v>
          </cell>
          <cell r="DH145">
            <v>1474890</v>
          </cell>
        </row>
        <row r="146">
          <cell r="C146" t="str">
            <v>DefDr Other</v>
          </cell>
          <cell r="D146">
            <v>86795.96</v>
          </cell>
          <cell r="E146">
            <v>88384</v>
          </cell>
          <cell r="F146">
            <v>89989.31</v>
          </cell>
          <cell r="G146">
            <v>90844.64</v>
          </cell>
          <cell r="H146">
            <v>99264.48</v>
          </cell>
          <cell r="I146">
            <v>76940.460000000006</v>
          </cell>
          <cell r="J146">
            <v>110175.51</v>
          </cell>
          <cell r="K146">
            <v>59996.959999999999</v>
          </cell>
          <cell r="L146">
            <v>58519.46</v>
          </cell>
          <cell r="M146">
            <v>62883.22</v>
          </cell>
          <cell r="N146">
            <v>65352.2</v>
          </cell>
          <cell r="O146">
            <v>65604.2</v>
          </cell>
          <cell r="P146">
            <v>68874.649999999994</v>
          </cell>
          <cell r="Q146">
            <v>72874.28</v>
          </cell>
          <cell r="R146">
            <v>72879.320000000007</v>
          </cell>
          <cell r="S146">
            <v>76937.59</v>
          </cell>
          <cell r="T146">
            <v>56464.08</v>
          </cell>
          <cell r="U146">
            <v>114055.15</v>
          </cell>
          <cell r="V146">
            <v>139182.43</v>
          </cell>
          <cell r="W146">
            <v>79661.02</v>
          </cell>
          <cell r="X146">
            <v>407401.19</v>
          </cell>
          <cell r="Y146">
            <v>86393.03</v>
          </cell>
          <cell r="Z146">
            <v>88225.52</v>
          </cell>
          <cell r="AA146">
            <v>159094.73000000001</v>
          </cell>
          <cell r="AB146">
            <v>107563.82</v>
          </cell>
          <cell r="AC146">
            <v>161426.23999999999</v>
          </cell>
          <cell r="AD146">
            <v>114707.76</v>
          </cell>
          <cell r="AE146">
            <v>117024.39</v>
          </cell>
          <cell r="AF146">
            <v>96846.36</v>
          </cell>
          <cell r="AG146">
            <v>104568.63</v>
          </cell>
          <cell r="AH146">
            <v>168406.55</v>
          </cell>
          <cell r="AI146">
            <v>171089.8</v>
          </cell>
          <cell r="AJ146">
            <v>155215.38</v>
          </cell>
          <cell r="AK146">
            <v>192431.13</v>
          </cell>
          <cell r="AL146">
            <v>323779.05</v>
          </cell>
          <cell r="AM146">
            <v>332738.05</v>
          </cell>
          <cell r="AN146">
            <v>231630.91</v>
          </cell>
          <cell r="AO146">
            <v>2496568.8199999998</v>
          </cell>
          <cell r="AP146">
            <v>3203374.84</v>
          </cell>
          <cell r="AQ146">
            <v>3451686.52</v>
          </cell>
          <cell r="AR146">
            <v>3357250.16</v>
          </cell>
          <cell r="AS146">
            <v>3112872.17</v>
          </cell>
          <cell r="AT146">
            <v>3171250.12</v>
          </cell>
          <cell r="AU146">
            <v>3153292.53</v>
          </cell>
          <cell r="AV146">
            <v>3158725.57</v>
          </cell>
          <cell r="AW146">
            <v>3509190.18</v>
          </cell>
          <cell r="AX146">
            <v>3482180</v>
          </cell>
          <cell r="AY146">
            <v>3507650.78</v>
          </cell>
          <cell r="AZ146">
            <v>3500798.79</v>
          </cell>
          <cell r="BA146">
            <v>3319911.45</v>
          </cell>
          <cell r="BB146">
            <v>3422684.9</v>
          </cell>
          <cell r="BC146">
            <v>3406331.55</v>
          </cell>
          <cell r="BD146">
            <v>3475003.04</v>
          </cell>
          <cell r="BE146">
            <v>3375539.49</v>
          </cell>
          <cell r="BF146">
            <v>3378075.29</v>
          </cell>
          <cell r="BG146">
            <v>3362549.5</v>
          </cell>
          <cell r="BH146">
            <v>3780094.9</v>
          </cell>
          <cell r="BI146">
            <v>3416070.9</v>
          </cell>
          <cell r="BJ146">
            <v>4589153.0999999996</v>
          </cell>
          <cell r="BK146">
            <v>6514301.7699999996</v>
          </cell>
          <cell r="BL146">
            <v>2851715.49</v>
          </cell>
          <cell r="BM146">
            <v>2833097.98</v>
          </cell>
          <cell r="BN146">
            <v>2817067.62</v>
          </cell>
          <cell r="BO146">
            <v>2867050.06</v>
          </cell>
          <cell r="BP146">
            <v>2823970.11</v>
          </cell>
          <cell r="BQ146">
            <v>2814873.01</v>
          </cell>
          <cell r="BR146">
            <v>2775839.66</v>
          </cell>
          <cell r="BS146">
            <v>2724938.35</v>
          </cell>
          <cell r="BT146">
            <v>2949895.23</v>
          </cell>
          <cell r="BU146">
            <v>3083394.47</v>
          </cell>
          <cell r="BV146">
            <v>3240010.19</v>
          </cell>
          <cell r="BW146">
            <v>3353538.42</v>
          </cell>
          <cell r="BX146">
            <v>2931886.83</v>
          </cell>
          <cell r="BY146">
            <v>2907048.91</v>
          </cell>
          <cell r="BZ146">
            <v>2734373.27</v>
          </cell>
          <cell r="CA146">
            <v>2949762.27</v>
          </cell>
          <cell r="CB146">
            <v>3160667.99</v>
          </cell>
          <cell r="CC146">
            <v>3420032.25</v>
          </cell>
          <cell r="CD146">
            <v>3432738.71</v>
          </cell>
          <cell r="CE146">
            <v>3478460.19</v>
          </cell>
          <cell r="CF146">
            <v>3792145.01</v>
          </cell>
          <cell r="CG146">
            <v>3985290.61</v>
          </cell>
          <cell r="CH146">
            <v>4106831.75</v>
          </cell>
          <cell r="CI146">
            <v>3557241.5</v>
          </cell>
          <cell r="CJ146">
            <v>2179477.52</v>
          </cell>
          <cell r="CK146">
            <v>2158432.2599999998</v>
          </cell>
          <cell r="CL146">
            <v>2143203.17</v>
          </cell>
          <cell r="CM146">
            <v>2133779.17</v>
          </cell>
          <cell r="CN146">
            <v>2122450.15</v>
          </cell>
          <cell r="CO146">
            <v>2109847.25</v>
          </cell>
          <cell r="CP146">
            <v>2094259.45</v>
          </cell>
          <cell r="CQ146">
            <v>2090746.57</v>
          </cell>
          <cell r="CR146">
            <v>2072893.07</v>
          </cell>
          <cell r="CS146">
            <v>2054800.49</v>
          </cell>
          <cell r="CT146">
            <v>2131639.9900000002</v>
          </cell>
          <cell r="CU146">
            <v>2086418.59</v>
          </cell>
          <cell r="CV146">
            <v>2430458.84</v>
          </cell>
          <cell r="CW146">
            <v>2350671.0499999998</v>
          </cell>
          <cell r="CX146">
            <v>2243017.08</v>
          </cell>
          <cell r="CY146">
            <v>2033767.6</v>
          </cell>
          <cell r="CZ146">
            <v>2230215.6800000002</v>
          </cell>
          <cell r="DA146">
            <v>2276130.5299999998</v>
          </cell>
          <cell r="DB146">
            <v>2307199.44</v>
          </cell>
          <cell r="DC146">
            <v>2270832.98</v>
          </cell>
          <cell r="DD146">
            <v>2303483.7200000002</v>
          </cell>
          <cell r="DE146">
            <v>2319403.23</v>
          </cell>
          <cell r="DF146">
            <v>2373901.8199999998</v>
          </cell>
          <cell r="DG146">
            <v>2388780.33</v>
          </cell>
          <cell r="DH146">
            <v>2868151.19</v>
          </cell>
        </row>
        <row r="147">
          <cell r="C147" t="str">
            <v>U/A Loss ReaqDebt LT</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row>
        <row r="148">
          <cell r="C148" t="str">
            <v>DTA Federal</v>
          </cell>
          <cell r="D148">
            <v>21628001.879999999</v>
          </cell>
          <cell r="E148">
            <v>21257218.539999999</v>
          </cell>
          <cell r="F148">
            <v>21078413.539999999</v>
          </cell>
          <cell r="G148">
            <v>21506647.09</v>
          </cell>
          <cell r="H148">
            <v>21627617.16</v>
          </cell>
          <cell r="I148">
            <v>21684736.66</v>
          </cell>
          <cell r="J148">
            <v>21756798.170000002</v>
          </cell>
          <cell r="K148">
            <v>21598264.09</v>
          </cell>
          <cell r="L148">
            <v>21307278.170000002</v>
          </cell>
          <cell r="M148">
            <v>21850043.800000001</v>
          </cell>
          <cell r="N148">
            <v>22200630.010000002</v>
          </cell>
          <cell r="O148">
            <v>20151378.109999999</v>
          </cell>
          <cell r="P148">
            <v>20385210.100000001</v>
          </cell>
          <cell r="Q148">
            <v>20788723.390000001</v>
          </cell>
          <cell r="R148">
            <v>20106538.640000001</v>
          </cell>
          <cell r="S148">
            <v>20561585.879999999</v>
          </cell>
          <cell r="T148">
            <v>20849182.739999998</v>
          </cell>
          <cell r="U148">
            <v>20841028.949999999</v>
          </cell>
          <cell r="V148">
            <v>20797679.09</v>
          </cell>
          <cell r="W148">
            <v>20825804.210000001</v>
          </cell>
          <cell r="X148">
            <v>20862305.91</v>
          </cell>
          <cell r="Y148">
            <v>20856989.66</v>
          </cell>
          <cell r="Z148">
            <v>20873795.5</v>
          </cell>
          <cell r="AA148">
            <v>21158352.989999998</v>
          </cell>
          <cell r="AB148">
            <v>21019758.379999999</v>
          </cell>
          <cell r="AC148">
            <v>21417772.989999998</v>
          </cell>
          <cell r="AD148">
            <v>21071637.719999999</v>
          </cell>
          <cell r="AE148">
            <v>21388524.829999998</v>
          </cell>
          <cell r="AF148">
            <v>21532902.850000001</v>
          </cell>
          <cell r="AG148">
            <v>21621250.199999999</v>
          </cell>
          <cell r="AH148">
            <v>21618534.699999999</v>
          </cell>
          <cell r="AI148">
            <v>21727442.100000001</v>
          </cell>
          <cell r="AJ148">
            <v>21869034.66</v>
          </cell>
          <cell r="AK148">
            <v>22072339.899999999</v>
          </cell>
          <cell r="AL148">
            <v>22031045.390000001</v>
          </cell>
          <cell r="AM148">
            <v>21862518.829999998</v>
          </cell>
          <cell r="AN148">
            <v>27089342.120000001</v>
          </cell>
          <cell r="AO148">
            <v>27867573.079999998</v>
          </cell>
          <cell r="AP148">
            <v>27024912.350000001</v>
          </cell>
          <cell r="AQ148">
            <v>27485652</v>
          </cell>
          <cell r="AR148">
            <v>27752437.969999999</v>
          </cell>
          <cell r="AS148">
            <v>27906920.309999999</v>
          </cell>
          <cell r="AT148">
            <v>28134592.719999999</v>
          </cell>
          <cell r="AU148">
            <v>28295488.719999999</v>
          </cell>
          <cell r="AV148">
            <v>28284701.059999999</v>
          </cell>
          <cell r="AW148">
            <v>28880199.940000001</v>
          </cell>
          <cell r="AX148">
            <v>28810048.719999999</v>
          </cell>
          <cell r="AY148">
            <v>28935820.190000001</v>
          </cell>
          <cell r="AZ148">
            <v>28470878.440000001</v>
          </cell>
          <cell r="BA148">
            <v>28952719.100000001</v>
          </cell>
          <cell r="BB148">
            <v>28723646.800000001</v>
          </cell>
          <cell r="BC148">
            <v>29590823.870000001</v>
          </cell>
          <cell r="BD148">
            <v>29837500.84</v>
          </cell>
          <cell r="BE148">
            <v>30042629.73</v>
          </cell>
          <cell r="BF148">
            <v>30184002.920000002</v>
          </cell>
          <cell r="BG148">
            <v>30238523.23</v>
          </cell>
          <cell r="BH148">
            <v>30268817.02</v>
          </cell>
          <cell r="BI148">
            <v>31645217.93</v>
          </cell>
          <cell r="BJ148">
            <v>31701980.02</v>
          </cell>
          <cell r="BK148">
            <v>31735623.52</v>
          </cell>
          <cell r="BL148">
            <v>31216129.710000001</v>
          </cell>
          <cell r="BM148">
            <v>31397899.620000001</v>
          </cell>
          <cell r="BN148">
            <v>30783785.710000001</v>
          </cell>
          <cell r="BO148">
            <v>31277440.899999999</v>
          </cell>
          <cell r="BP148">
            <v>31372037.969999999</v>
          </cell>
          <cell r="BQ148">
            <v>31401284.469999999</v>
          </cell>
          <cell r="BR148">
            <v>31505541.859999999</v>
          </cell>
          <cell r="BS148">
            <v>31733914.780000001</v>
          </cell>
          <cell r="BT148">
            <v>31809459.34</v>
          </cell>
          <cell r="BU148">
            <v>31797211.850000001</v>
          </cell>
          <cell r="BV148">
            <v>31896964.190000001</v>
          </cell>
          <cell r="BW148">
            <v>32129934.199999999</v>
          </cell>
          <cell r="BX148">
            <v>32387504.850000001</v>
          </cell>
          <cell r="BY148">
            <v>32844580.809999999</v>
          </cell>
          <cell r="BZ148">
            <v>32082072.780000001</v>
          </cell>
          <cell r="CA148">
            <v>32342112.609999999</v>
          </cell>
          <cell r="CB148">
            <v>32546323.899999999</v>
          </cell>
          <cell r="CC148">
            <v>32657507.210000001</v>
          </cell>
          <cell r="CD148">
            <v>33002745.93</v>
          </cell>
          <cell r="CE148">
            <v>33075814.050000001</v>
          </cell>
          <cell r="CF148">
            <v>33030982.460000001</v>
          </cell>
          <cell r="CG148">
            <v>33295588.210000001</v>
          </cell>
          <cell r="CH148">
            <v>33349655.199999999</v>
          </cell>
          <cell r="CI148">
            <v>33167719.989999998</v>
          </cell>
          <cell r="CJ148">
            <v>33742293.310000002</v>
          </cell>
          <cell r="CK148">
            <v>34280918.25</v>
          </cell>
          <cell r="CL148">
            <v>34559950.119999997</v>
          </cell>
          <cell r="CM148">
            <v>33215260.219999999</v>
          </cell>
          <cell r="CN148">
            <v>33568588.909999996</v>
          </cell>
          <cell r="CO148">
            <v>33524413.370000001</v>
          </cell>
          <cell r="CP148">
            <v>33843798.890000001</v>
          </cell>
          <cell r="CQ148">
            <v>33936106.479999997</v>
          </cell>
          <cell r="CR148">
            <v>34166557.579999998</v>
          </cell>
          <cell r="CS148">
            <v>34873747.079999998</v>
          </cell>
          <cell r="CT148">
            <v>34335105.240000002</v>
          </cell>
          <cell r="CU148">
            <v>34918379.270000003</v>
          </cell>
          <cell r="CV148">
            <v>35600459.32</v>
          </cell>
          <cell r="CW148">
            <v>35881802.390000001</v>
          </cell>
          <cell r="CX148">
            <v>36844661.390000001</v>
          </cell>
          <cell r="CY148">
            <v>35487940.329999998</v>
          </cell>
          <cell r="CZ148">
            <v>35758852.829999998</v>
          </cell>
          <cell r="DA148">
            <v>35947949.990000002</v>
          </cell>
          <cell r="DB148">
            <v>36314997.060000002</v>
          </cell>
          <cell r="DC148">
            <v>36320926.039999999</v>
          </cell>
          <cell r="DD148">
            <v>36071781.369999997</v>
          </cell>
          <cell r="DE148">
            <v>36595431.780000001</v>
          </cell>
          <cell r="DF148">
            <v>36721530.299999997</v>
          </cell>
          <cell r="DG148">
            <v>37032822.859999999</v>
          </cell>
          <cell r="DH148">
            <v>36962691.409999996</v>
          </cell>
        </row>
        <row r="149">
          <cell r="C149" t="str">
            <v>DTA Sep Co Fed</v>
          </cell>
          <cell r="D149"/>
          <cell r="E149"/>
          <cell r="F149"/>
          <cell r="G149"/>
          <cell r="H149"/>
          <cell r="I149"/>
          <cell r="J149"/>
          <cell r="K149"/>
          <cell r="L149"/>
          <cell r="M149"/>
          <cell r="N149"/>
          <cell r="O149"/>
          <cell r="P149"/>
          <cell r="Q149"/>
          <cell r="R149"/>
          <cell r="S149"/>
          <cell r="T149"/>
          <cell r="U149"/>
          <cell r="V149"/>
          <cell r="W149"/>
          <cell r="X149"/>
          <cell r="Y149"/>
          <cell r="Z149"/>
          <cell r="AA149"/>
          <cell r="AB149"/>
          <cell r="AC149"/>
          <cell r="AD149"/>
          <cell r="AE149"/>
          <cell r="AF149"/>
          <cell r="AG149"/>
          <cell r="AH149"/>
          <cell r="AI149"/>
          <cell r="AJ149"/>
          <cell r="AK149"/>
          <cell r="AL149">
            <v>0</v>
          </cell>
          <cell r="AM149">
            <v>0</v>
          </cell>
          <cell r="AN149">
            <v>2950480.06</v>
          </cell>
          <cell r="AO149">
            <v>2950480.06</v>
          </cell>
          <cell r="AP149">
            <v>2950480.06</v>
          </cell>
          <cell r="AQ149">
            <v>2950480.06</v>
          </cell>
          <cell r="AR149">
            <v>2950480.06</v>
          </cell>
          <cell r="AS149">
            <v>2950480.06</v>
          </cell>
          <cell r="AT149">
            <v>2950480.06</v>
          </cell>
          <cell r="AU149">
            <v>2950480.06</v>
          </cell>
          <cell r="AV149">
            <v>2950480.06</v>
          </cell>
          <cell r="AW149">
            <v>4432944.58</v>
          </cell>
          <cell r="AX149">
            <v>4432944.58</v>
          </cell>
          <cell r="AY149">
            <v>4432944.58</v>
          </cell>
          <cell r="AZ149">
            <v>3236134.48</v>
          </cell>
          <cell r="BA149">
            <v>3236134.48</v>
          </cell>
          <cell r="BB149">
            <v>3236134.48</v>
          </cell>
          <cell r="BC149">
            <v>3236134.48</v>
          </cell>
          <cell r="BD149">
            <v>3236134.48</v>
          </cell>
          <cell r="BE149">
            <v>3236134.48</v>
          </cell>
          <cell r="BF149">
            <v>3236134.48</v>
          </cell>
          <cell r="BG149">
            <v>3236134.48</v>
          </cell>
          <cell r="BH149">
            <v>3236134.48</v>
          </cell>
          <cell r="BI149">
            <v>3236134.48</v>
          </cell>
          <cell r="BJ149">
            <v>3236134.48</v>
          </cell>
          <cell r="BK149">
            <v>3685535.11</v>
          </cell>
          <cell r="BL149">
            <v>3685535.11</v>
          </cell>
          <cell r="BM149">
            <v>3685535.11</v>
          </cell>
          <cell r="BN149">
            <v>3685535.11</v>
          </cell>
          <cell r="BO149">
            <v>3685535.11</v>
          </cell>
          <cell r="BP149">
            <v>3685535.11</v>
          </cell>
          <cell r="BQ149">
            <v>3685535.11</v>
          </cell>
          <cell r="BR149">
            <v>3685535.11</v>
          </cell>
          <cell r="BS149">
            <v>3685535.11</v>
          </cell>
          <cell r="BT149">
            <v>3685535.11</v>
          </cell>
          <cell r="BU149">
            <v>3685535.11</v>
          </cell>
          <cell r="BV149">
            <v>3685535.11</v>
          </cell>
          <cell r="BW149">
            <v>3685535.11</v>
          </cell>
          <cell r="BX149">
            <v>3685535.11</v>
          </cell>
          <cell r="BY149">
            <v>3685535.11</v>
          </cell>
          <cell r="BZ149">
            <v>3685535.11</v>
          </cell>
          <cell r="CA149">
            <v>3685535.11</v>
          </cell>
          <cell r="CB149">
            <v>3685535.11</v>
          </cell>
          <cell r="CC149">
            <v>3685535.11</v>
          </cell>
          <cell r="CD149">
            <v>3685535.11</v>
          </cell>
          <cell r="CE149">
            <v>3685535.11</v>
          </cell>
          <cell r="CF149">
            <v>3685535.11</v>
          </cell>
          <cell r="CG149">
            <v>3685535.11</v>
          </cell>
          <cell r="CH149">
            <v>3685535.11</v>
          </cell>
          <cell r="CI149">
            <v>3685535.11</v>
          </cell>
          <cell r="CJ149">
            <v>3685535.11</v>
          </cell>
          <cell r="CK149">
            <v>3685535.11</v>
          </cell>
          <cell r="CL149">
            <v>3685535.11</v>
          </cell>
          <cell r="CM149">
            <v>3685535.11</v>
          </cell>
          <cell r="CN149">
            <v>3685535.11</v>
          </cell>
          <cell r="CO149">
            <v>3685535.11</v>
          </cell>
          <cell r="CP149">
            <v>3685535.11</v>
          </cell>
          <cell r="CQ149">
            <v>3685535.11</v>
          </cell>
          <cell r="CR149">
            <v>3685535.11</v>
          </cell>
          <cell r="CS149">
            <v>3685535.11</v>
          </cell>
          <cell r="CT149">
            <v>3685535.11</v>
          </cell>
          <cell r="CU149">
            <v>3685535.11</v>
          </cell>
          <cell r="CV149">
            <v>3685535.11</v>
          </cell>
          <cell r="CW149">
            <v>3685535.11</v>
          </cell>
          <cell r="CX149">
            <v>3685535.11</v>
          </cell>
          <cell r="CY149">
            <v>3685535.11</v>
          </cell>
          <cell r="CZ149">
            <v>3685535.11</v>
          </cell>
          <cell r="DA149">
            <v>3685535.11</v>
          </cell>
          <cell r="DB149">
            <v>3685535.11</v>
          </cell>
          <cell r="DC149">
            <v>3685535.11</v>
          </cell>
          <cell r="DD149">
            <v>3685535.11</v>
          </cell>
          <cell r="DE149">
            <v>3685535.11</v>
          </cell>
          <cell r="DF149">
            <v>3685535.11</v>
          </cell>
          <cell r="DG149">
            <v>3685535.11</v>
          </cell>
          <cell r="DH149">
            <v>3685535.11</v>
          </cell>
        </row>
        <row r="150">
          <cell r="C150" t="str">
            <v>DTA Fed NonUtility</v>
          </cell>
          <cell r="D150"/>
          <cell r="E150"/>
          <cell r="F150"/>
          <cell r="G150"/>
          <cell r="H150"/>
          <cell r="I150"/>
          <cell r="J150"/>
          <cell r="K150"/>
          <cell r="L150"/>
          <cell r="M150"/>
          <cell r="N150"/>
          <cell r="O150"/>
          <cell r="P150"/>
          <cell r="Q150"/>
          <cell r="R150"/>
          <cell r="S150"/>
          <cell r="T150"/>
          <cell r="U150"/>
          <cell r="V150"/>
          <cell r="W150"/>
          <cell r="X150"/>
          <cell r="Y150"/>
          <cell r="Z150"/>
          <cell r="AA150"/>
          <cell r="AB150"/>
          <cell r="AC150"/>
          <cell r="AD150"/>
          <cell r="AE150"/>
          <cell r="AF150"/>
          <cell r="AG150"/>
          <cell r="AH150"/>
          <cell r="AI150"/>
          <cell r="AJ150"/>
          <cell r="AK150"/>
          <cell r="AL150">
            <v>0</v>
          </cell>
          <cell r="AM150">
            <v>0</v>
          </cell>
          <cell r="AN150">
            <v>6.32</v>
          </cell>
          <cell r="AO150">
            <v>6.32</v>
          </cell>
          <cell r="AP150">
            <v>6.32</v>
          </cell>
          <cell r="AQ150">
            <v>0</v>
          </cell>
          <cell r="AR150">
            <v>0</v>
          </cell>
          <cell r="AS150">
            <v>0</v>
          </cell>
          <cell r="AT150">
            <v>0</v>
          </cell>
          <cell r="AU150">
            <v>0</v>
          </cell>
          <cell r="AV150">
            <v>0</v>
          </cell>
          <cell r="AW150">
            <v>0</v>
          </cell>
          <cell r="AX150">
            <v>-18.8</v>
          </cell>
          <cell r="AY150">
            <v>0</v>
          </cell>
          <cell r="AZ150">
            <v>0</v>
          </cell>
          <cell r="BA150">
            <v>0</v>
          </cell>
          <cell r="BB150">
            <v>0</v>
          </cell>
          <cell r="BC150">
            <v>0</v>
          </cell>
          <cell r="BD150">
            <v>0</v>
          </cell>
          <cell r="BE150">
            <v>0</v>
          </cell>
          <cell r="BF150">
            <v>-20.91</v>
          </cell>
          <cell r="BG150">
            <v>-330.9</v>
          </cell>
          <cell r="BH150">
            <v>-261.52</v>
          </cell>
          <cell r="BI150">
            <v>-600.67999999999995</v>
          </cell>
          <cell r="BJ150">
            <v>-118.65</v>
          </cell>
          <cell r="BK150">
            <v>183.13</v>
          </cell>
          <cell r="BL150">
            <v>768.35</v>
          </cell>
          <cell r="BM150">
            <v>-37.83</v>
          </cell>
          <cell r="BN150">
            <v>40.53</v>
          </cell>
          <cell r="BO150">
            <v>40.53</v>
          </cell>
          <cell r="BP150">
            <v>1251.22</v>
          </cell>
          <cell r="BQ150">
            <v>1728.23</v>
          </cell>
          <cell r="BR150">
            <v>302.68</v>
          </cell>
          <cell r="BS150">
            <v>-890.09</v>
          </cell>
          <cell r="BT150">
            <v>-4.95</v>
          </cell>
          <cell r="BU150">
            <v>9.93</v>
          </cell>
          <cell r="BV150">
            <v>49.28</v>
          </cell>
          <cell r="BW150">
            <v>-33.06</v>
          </cell>
          <cell r="BX150">
            <v>-47.55</v>
          </cell>
          <cell r="BY150">
            <v>-47.55</v>
          </cell>
          <cell r="BZ150">
            <v>-47.55</v>
          </cell>
          <cell r="CA150">
            <v>-47.55</v>
          </cell>
          <cell r="CB150">
            <v>-47.55</v>
          </cell>
          <cell r="CC150">
            <v>-47.55</v>
          </cell>
          <cell r="CD150">
            <v>-47.55</v>
          </cell>
          <cell r="CE150">
            <v>-47.55</v>
          </cell>
          <cell r="CF150">
            <v>-47.55</v>
          </cell>
          <cell r="CG150">
            <v>-47.55</v>
          </cell>
          <cell r="CH150">
            <v>-47.55</v>
          </cell>
          <cell r="CI150">
            <v>-47.55</v>
          </cell>
          <cell r="CJ150">
            <v>-47.55</v>
          </cell>
          <cell r="CK150">
            <v>-47.55</v>
          </cell>
          <cell r="CL150">
            <v>-47.55</v>
          </cell>
          <cell r="CM150">
            <v>-47.55</v>
          </cell>
          <cell r="CN150">
            <v>-47.55</v>
          </cell>
          <cell r="CO150">
            <v>-47.55</v>
          </cell>
          <cell r="CP150">
            <v>-47.55</v>
          </cell>
          <cell r="CQ150">
            <v>-47.55</v>
          </cell>
          <cell r="CR150">
            <v>-47.55</v>
          </cell>
          <cell r="CS150">
            <v>-47.55</v>
          </cell>
          <cell r="CT150">
            <v>-47.55</v>
          </cell>
          <cell r="CU150">
            <v>-47.55</v>
          </cell>
          <cell r="CV150">
            <v>-47.55</v>
          </cell>
          <cell r="CW150">
            <v>-47.55</v>
          </cell>
          <cell r="CX150">
            <v>-47.55</v>
          </cell>
          <cell r="CY150">
            <v>-47.55</v>
          </cell>
          <cell r="CZ150">
            <v>-47.55</v>
          </cell>
          <cell r="DA150">
            <v>-47.55</v>
          </cell>
          <cell r="DB150">
            <v>-47.55</v>
          </cell>
          <cell r="DC150">
            <v>-47.55</v>
          </cell>
          <cell r="DD150">
            <v>-47.55</v>
          </cell>
          <cell r="DE150">
            <v>-47.55</v>
          </cell>
          <cell r="DF150">
            <v>-47.55</v>
          </cell>
          <cell r="DG150">
            <v>-47.55</v>
          </cell>
          <cell r="DH150">
            <v>-47.55</v>
          </cell>
        </row>
        <row r="151">
          <cell r="C151" t="str">
            <v>Defd FIT FAS133</v>
          </cell>
          <cell r="D151">
            <v>387252.06</v>
          </cell>
          <cell r="E151">
            <v>1184508.3999999999</v>
          </cell>
          <cell r="F151">
            <v>827106.56</v>
          </cell>
          <cell r="G151">
            <v>503909.24</v>
          </cell>
          <cell r="H151">
            <v>1022346.63</v>
          </cell>
          <cell r="I151">
            <v>286229.44</v>
          </cell>
          <cell r="J151">
            <v>419490.27</v>
          </cell>
          <cell r="K151">
            <v>1074482.76</v>
          </cell>
          <cell r="L151">
            <v>506303.87</v>
          </cell>
          <cell r="M151">
            <v>535103.92000000004</v>
          </cell>
          <cell r="N151">
            <v>1210181.22</v>
          </cell>
          <cell r="O151">
            <v>894056.98</v>
          </cell>
          <cell r="P151">
            <v>2971950.86</v>
          </cell>
          <cell r="Q151">
            <v>2998230.6</v>
          </cell>
          <cell r="R151">
            <v>2456701.89</v>
          </cell>
          <cell r="S151">
            <v>2388688.12</v>
          </cell>
          <cell r="T151">
            <v>2081246.07</v>
          </cell>
          <cell r="U151">
            <v>2086352.85</v>
          </cell>
          <cell r="V151">
            <v>1718145.41</v>
          </cell>
          <cell r="W151">
            <v>1726000.72</v>
          </cell>
          <cell r="X151">
            <v>1835551.73</v>
          </cell>
          <cell r="Y151">
            <v>2094429.76</v>
          </cell>
          <cell r="Z151">
            <v>2660564.62</v>
          </cell>
          <cell r="AA151">
            <v>2098924.66</v>
          </cell>
          <cell r="AB151">
            <v>2667675.7400000002</v>
          </cell>
          <cell r="AC151">
            <v>1615930.43</v>
          </cell>
          <cell r="AD151">
            <v>1796318.17</v>
          </cell>
          <cell r="AE151">
            <v>1142853.74</v>
          </cell>
          <cell r="AF151">
            <v>670785.84</v>
          </cell>
          <cell r="AG151">
            <v>584534.52</v>
          </cell>
          <cell r="AH151">
            <v>232265.92</v>
          </cell>
          <cell r="AI151">
            <v>227132.68</v>
          </cell>
          <cell r="AJ151">
            <v>173660.33</v>
          </cell>
          <cell r="AK151">
            <v>172836.76</v>
          </cell>
          <cell r="AL151">
            <v>185855.08</v>
          </cell>
          <cell r="AM151">
            <v>201403.64</v>
          </cell>
          <cell r="AN151">
            <v>657941.17000000004</v>
          </cell>
          <cell r="AO151">
            <v>195622.13</v>
          </cell>
          <cell r="AP151">
            <v>139252.41</v>
          </cell>
          <cell r="AQ151">
            <v>161113.32999999999</v>
          </cell>
          <cell r="AR151">
            <v>178223.02</v>
          </cell>
          <cell r="AS151">
            <v>57366.97</v>
          </cell>
          <cell r="AT151">
            <v>36566.1</v>
          </cell>
          <cell r="AU151">
            <v>49108.14</v>
          </cell>
          <cell r="AV151">
            <v>35018.199999999997</v>
          </cell>
          <cell r="AW151">
            <v>29428.52</v>
          </cell>
          <cell r="AX151">
            <v>47305.56</v>
          </cell>
          <cell r="AY151">
            <v>22419.93</v>
          </cell>
          <cell r="AZ151">
            <v>299108.84000000003</v>
          </cell>
          <cell r="BA151">
            <v>278987.99</v>
          </cell>
          <cell r="BB151">
            <v>285626.15000000002</v>
          </cell>
          <cell r="BC151">
            <v>269654.89</v>
          </cell>
          <cell r="BD151">
            <v>268679.51</v>
          </cell>
          <cell r="BE151">
            <v>267149.46000000002</v>
          </cell>
          <cell r="BF151">
            <v>266274.3</v>
          </cell>
          <cell r="BG151">
            <v>265502.32</v>
          </cell>
          <cell r="BH151">
            <v>263871.07</v>
          </cell>
          <cell r="BI151">
            <v>265168.93</v>
          </cell>
          <cell r="BJ151">
            <v>266083.78000000003</v>
          </cell>
          <cell r="BK151">
            <v>263176.49</v>
          </cell>
          <cell r="BL151">
            <v>263176.49</v>
          </cell>
          <cell r="BM151">
            <v>263176.49</v>
          </cell>
          <cell r="BN151">
            <v>263176.49</v>
          </cell>
          <cell r="BO151">
            <v>263176.49</v>
          </cell>
          <cell r="BP151">
            <v>263176.49</v>
          </cell>
          <cell r="BQ151">
            <v>263176.49</v>
          </cell>
          <cell r="BR151">
            <v>263176.49</v>
          </cell>
          <cell r="BS151">
            <v>263176.49</v>
          </cell>
          <cell r="BT151">
            <v>263176.49</v>
          </cell>
          <cell r="BU151">
            <v>263176.49</v>
          </cell>
          <cell r="BV151">
            <v>263176.49</v>
          </cell>
          <cell r="BW151">
            <v>263176.49</v>
          </cell>
          <cell r="BX151">
            <v>263176.49</v>
          </cell>
          <cell r="BY151">
            <v>263176.49</v>
          </cell>
          <cell r="BZ151">
            <v>263176.49</v>
          </cell>
          <cell r="CA151">
            <v>263176.49</v>
          </cell>
          <cell r="CB151">
            <v>263176.49</v>
          </cell>
          <cell r="CC151">
            <v>263176.49</v>
          </cell>
          <cell r="CD151">
            <v>263176.49</v>
          </cell>
          <cell r="CE151">
            <v>263176.49</v>
          </cell>
          <cell r="CF151">
            <v>263176.49</v>
          </cell>
          <cell r="CG151">
            <v>263176.49</v>
          </cell>
          <cell r="CH151">
            <v>263176.49</v>
          </cell>
          <cell r="CI151">
            <v>263176.49</v>
          </cell>
          <cell r="CJ151">
            <v>263176.49</v>
          </cell>
          <cell r="CK151">
            <v>263176.49</v>
          </cell>
          <cell r="CL151">
            <v>263176.49</v>
          </cell>
          <cell r="CM151">
            <v>263176.49</v>
          </cell>
          <cell r="CN151">
            <v>263176.49</v>
          </cell>
          <cell r="CO151">
            <v>263176.49</v>
          </cell>
          <cell r="CP151">
            <v>263176.49</v>
          </cell>
          <cell r="CQ151">
            <v>263176.49</v>
          </cell>
          <cell r="CR151">
            <v>263176.49</v>
          </cell>
          <cell r="CS151">
            <v>263176.49</v>
          </cell>
          <cell r="CT151">
            <v>263176.49</v>
          </cell>
          <cell r="CU151">
            <v>263176.49</v>
          </cell>
          <cell r="CV151">
            <v>263176.49</v>
          </cell>
          <cell r="CW151">
            <v>263176.49</v>
          </cell>
          <cell r="CX151">
            <v>263176.49</v>
          </cell>
          <cell r="CY151">
            <v>263176.49</v>
          </cell>
          <cell r="CZ151">
            <v>263176.49</v>
          </cell>
          <cell r="DA151">
            <v>263176.49</v>
          </cell>
          <cell r="DB151">
            <v>263176.49</v>
          </cell>
          <cell r="DC151">
            <v>263176.49</v>
          </cell>
          <cell r="DD151">
            <v>263176.49</v>
          </cell>
          <cell r="DE151">
            <v>263176.49</v>
          </cell>
          <cell r="DF151">
            <v>263176.49</v>
          </cell>
          <cell r="DG151">
            <v>263176.49</v>
          </cell>
          <cell r="DH151">
            <v>263176.49</v>
          </cell>
        </row>
        <row r="152">
          <cell r="C152" t="str">
            <v>Defd FIT FAS133 Int</v>
          </cell>
          <cell r="D152">
            <v>985034.78</v>
          </cell>
          <cell r="E152">
            <v>972968.37</v>
          </cell>
          <cell r="F152">
            <v>960901.97</v>
          </cell>
          <cell r="G152">
            <v>948835.56</v>
          </cell>
          <cell r="H152">
            <v>935980.75</v>
          </cell>
          <cell r="I152">
            <v>916047.19</v>
          </cell>
          <cell r="J152">
            <v>928123.12</v>
          </cell>
          <cell r="K152">
            <v>903971.27</v>
          </cell>
          <cell r="L152">
            <v>891895.35</v>
          </cell>
          <cell r="M152">
            <v>879819.43</v>
          </cell>
          <cell r="N152">
            <v>867743.51</v>
          </cell>
          <cell r="O152">
            <v>855667.58</v>
          </cell>
          <cell r="P152">
            <v>843591.66</v>
          </cell>
          <cell r="Q152">
            <v>831515.75</v>
          </cell>
          <cell r="R152">
            <v>819439.83</v>
          </cell>
          <cell r="S152">
            <v>798260.36</v>
          </cell>
          <cell r="T152">
            <v>733177.13</v>
          </cell>
          <cell r="U152">
            <v>668428.57999999996</v>
          </cell>
          <cell r="V152">
            <v>656671.51</v>
          </cell>
          <cell r="W152">
            <v>644914.43000000005</v>
          </cell>
          <cell r="X152">
            <v>633157.35</v>
          </cell>
          <cell r="Y152">
            <v>621400.27</v>
          </cell>
          <cell r="Z152">
            <v>609643.18999999994</v>
          </cell>
          <cell r="AA152">
            <v>586129.04</v>
          </cell>
          <cell r="AB152">
            <v>597886.12</v>
          </cell>
          <cell r="AC152">
            <v>574371.97</v>
          </cell>
          <cell r="AD152">
            <v>562614.88</v>
          </cell>
          <cell r="AE152">
            <v>550857.81000000006</v>
          </cell>
          <cell r="AF152">
            <v>539100.73</v>
          </cell>
          <cell r="AG152">
            <v>527343.65</v>
          </cell>
          <cell r="AH152">
            <v>515586.58</v>
          </cell>
          <cell r="AI152">
            <v>503829.49</v>
          </cell>
          <cell r="AJ152">
            <v>492072.42</v>
          </cell>
          <cell r="AK152">
            <v>480315.34</v>
          </cell>
          <cell r="AL152">
            <v>468558.27</v>
          </cell>
          <cell r="AM152">
            <v>456801.19</v>
          </cell>
          <cell r="AN152">
            <v>445044.1</v>
          </cell>
          <cell r="AO152">
            <v>433287.03</v>
          </cell>
          <cell r="AP152">
            <v>421529.95</v>
          </cell>
          <cell r="AQ152">
            <v>409772.88</v>
          </cell>
          <cell r="AR152">
            <v>398015.8</v>
          </cell>
          <cell r="AS152">
            <v>386258.72</v>
          </cell>
          <cell r="AT152">
            <v>374501.64</v>
          </cell>
          <cell r="AU152">
            <v>362744.57</v>
          </cell>
          <cell r="AV152">
            <v>350987.49</v>
          </cell>
          <cell r="AW152">
            <v>339230.41</v>
          </cell>
          <cell r="AX152">
            <v>327473.33</v>
          </cell>
          <cell r="AY152">
            <v>315716.25</v>
          </cell>
          <cell r="AZ152">
            <v>360393.15</v>
          </cell>
          <cell r="BA152">
            <v>353338.9</v>
          </cell>
          <cell r="BB152">
            <v>346284.66</v>
          </cell>
          <cell r="BC152">
            <v>339230.41</v>
          </cell>
          <cell r="BD152">
            <v>332176.17</v>
          </cell>
          <cell r="BE152">
            <v>328376.3</v>
          </cell>
          <cell r="BF152">
            <v>327830.77</v>
          </cell>
          <cell r="BG152">
            <v>327285.24</v>
          </cell>
          <cell r="BH152">
            <v>326739.73</v>
          </cell>
          <cell r="BI152">
            <v>326194.2</v>
          </cell>
          <cell r="BJ152">
            <v>325648.67</v>
          </cell>
          <cell r="BK152">
            <v>325103.14</v>
          </cell>
          <cell r="BL152">
            <v>324557.62</v>
          </cell>
          <cell r="BM152">
            <v>324012.09000000003</v>
          </cell>
          <cell r="BN152">
            <v>323466.57</v>
          </cell>
          <cell r="BO152">
            <v>322921.03999999998</v>
          </cell>
          <cell r="BP152">
            <v>322375.51</v>
          </cell>
          <cell r="BQ152">
            <v>321829.98</v>
          </cell>
          <cell r="BR152">
            <v>321284.46000000002</v>
          </cell>
          <cell r="BS152">
            <v>320738.93</v>
          </cell>
          <cell r="BT152">
            <v>320193.40000000002</v>
          </cell>
          <cell r="BU152">
            <v>319647.87</v>
          </cell>
          <cell r="BV152">
            <v>319102.34999999998</v>
          </cell>
          <cell r="BW152">
            <v>318556.82</v>
          </cell>
          <cell r="BX152">
            <v>318011.28999999998</v>
          </cell>
          <cell r="BY152">
            <v>317465.76</v>
          </cell>
          <cell r="BZ152">
            <v>316920.24</v>
          </cell>
          <cell r="CA152">
            <v>316374.71000000002</v>
          </cell>
          <cell r="CB152">
            <v>315829.18</v>
          </cell>
          <cell r="CC152">
            <v>315283.65000000002</v>
          </cell>
          <cell r="CD152">
            <v>314738.13</v>
          </cell>
          <cell r="CE152">
            <v>314192.59999999998</v>
          </cell>
          <cell r="CF152">
            <v>313647.07</v>
          </cell>
          <cell r="CG152">
            <v>313101.53999999998</v>
          </cell>
          <cell r="CH152">
            <v>312556.02</v>
          </cell>
          <cell r="CI152">
            <v>312010.49</v>
          </cell>
          <cell r="CJ152">
            <v>311464.96000000002</v>
          </cell>
          <cell r="CK152">
            <v>310919.43</v>
          </cell>
          <cell r="CL152">
            <v>310373.90999999997</v>
          </cell>
          <cell r="CM152">
            <v>309828.38</v>
          </cell>
          <cell r="CN152">
            <v>309282.84999999998</v>
          </cell>
          <cell r="CO152">
            <v>308737.32</v>
          </cell>
          <cell r="CP152">
            <v>308191.8</v>
          </cell>
          <cell r="CQ152">
            <v>307646.27</v>
          </cell>
          <cell r="CR152">
            <v>307100.74</v>
          </cell>
          <cell r="CS152">
            <v>306555.21000000002</v>
          </cell>
          <cell r="CT152">
            <v>306009.69</v>
          </cell>
          <cell r="CU152">
            <v>305464.15999999997</v>
          </cell>
          <cell r="CV152">
            <v>304918.63</v>
          </cell>
          <cell r="CW152">
            <v>304373.09999999998</v>
          </cell>
          <cell r="CX152">
            <v>303827.58</v>
          </cell>
          <cell r="CY152">
            <v>303282.05</v>
          </cell>
          <cell r="CZ152">
            <v>302736.52</v>
          </cell>
          <cell r="DA152">
            <v>302190.99</v>
          </cell>
          <cell r="DB152">
            <v>301645.46999999997</v>
          </cell>
          <cell r="DC152">
            <v>301099.94</v>
          </cell>
          <cell r="DD152">
            <v>300554.40999999997</v>
          </cell>
          <cell r="DE152">
            <v>300008.88</v>
          </cell>
          <cell r="DF152">
            <v>299463.36</v>
          </cell>
          <cell r="DG152">
            <v>298917.83</v>
          </cell>
          <cell r="DH152">
            <v>298372.3</v>
          </cell>
        </row>
        <row r="153">
          <cell r="C153" t="str">
            <v>Defd FIT FAS158</v>
          </cell>
          <cell r="D153">
            <v>5715079.0599999996</v>
          </cell>
          <cell r="E153">
            <v>5715079.0599999996</v>
          </cell>
          <cell r="F153">
            <v>5715079.0599999996</v>
          </cell>
          <cell r="G153">
            <v>5589363.6399999997</v>
          </cell>
          <cell r="H153">
            <v>5589363.6399999997</v>
          </cell>
          <cell r="I153">
            <v>5459970.9199999999</v>
          </cell>
          <cell r="J153">
            <v>5589363.6399999997</v>
          </cell>
          <cell r="K153">
            <v>5459970.9199999999</v>
          </cell>
          <cell r="L153">
            <v>5459970.9199999999</v>
          </cell>
          <cell r="M153">
            <v>5391773.9100000001</v>
          </cell>
          <cell r="N153">
            <v>5391773.9100000001</v>
          </cell>
          <cell r="O153">
            <v>5391773.9100000001</v>
          </cell>
          <cell r="P153">
            <v>6394086.6500000004</v>
          </cell>
          <cell r="Q153">
            <v>6394086.6500000004</v>
          </cell>
          <cell r="R153">
            <v>6394086.6500000004</v>
          </cell>
          <cell r="S153">
            <v>6514031.8099999996</v>
          </cell>
          <cell r="T153">
            <v>6514031.8099999996</v>
          </cell>
          <cell r="U153">
            <v>6514031.8099999996</v>
          </cell>
          <cell r="V153">
            <v>6120175.3700000001</v>
          </cell>
          <cell r="W153">
            <v>6120175.3700000001</v>
          </cell>
          <cell r="X153">
            <v>6018792.9000000004</v>
          </cell>
          <cell r="Y153">
            <v>5881836.9299999997</v>
          </cell>
          <cell r="Z153">
            <v>5881836.9299999997</v>
          </cell>
          <cell r="AA153">
            <v>8305232.25</v>
          </cell>
          <cell r="AB153">
            <v>5881836.9299999997</v>
          </cell>
          <cell r="AC153">
            <v>8305232.25</v>
          </cell>
          <cell r="AD153">
            <v>8305232.25</v>
          </cell>
          <cell r="AE153">
            <v>8188206.9500000002</v>
          </cell>
          <cell r="AF153">
            <v>8188206.9500000002</v>
          </cell>
          <cell r="AG153">
            <v>8191274.6600000001</v>
          </cell>
          <cell r="AH153">
            <v>8035212.9100000001</v>
          </cell>
          <cell r="AI153">
            <v>8035212.9100000001</v>
          </cell>
          <cell r="AJ153">
            <v>8035212.9100000001</v>
          </cell>
          <cell r="AK153">
            <v>10827023.060000001</v>
          </cell>
          <cell r="AL153">
            <v>10827023.060000001</v>
          </cell>
          <cell r="AM153">
            <v>10827023.060000001</v>
          </cell>
          <cell r="AN153">
            <v>9370067.3300000001</v>
          </cell>
          <cell r="AO153">
            <v>9370067.3300000001</v>
          </cell>
          <cell r="AP153">
            <v>9370067.3300000001</v>
          </cell>
          <cell r="AQ153">
            <v>9229979.1500000004</v>
          </cell>
          <cell r="AR153">
            <v>9229979.1500000004</v>
          </cell>
          <cell r="AS153">
            <v>9229979.1500000004</v>
          </cell>
          <cell r="AT153">
            <v>9483106.1099999994</v>
          </cell>
          <cell r="AU153">
            <v>9483106.1099999994</v>
          </cell>
          <cell r="AV153">
            <v>9483106.1099999994</v>
          </cell>
          <cell r="AW153">
            <v>9331117.5399999991</v>
          </cell>
          <cell r="AX153">
            <v>9331117.5399999991</v>
          </cell>
          <cell r="AY153">
            <v>9331117.5399999991</v>
          </cell>
          <cell r="AZ153">
            <v>8964453.3800000008</v>
          </cell>
          <cell r="BA153">
            <v>8964453.3800000008</v>
          </cell>
          <cell r="BB153">
            <v>8964453.3800000008</v>
          </cell>
          <cell r="BC153">
            <v>8868570.4700000007</v>
          </cell>
          <cell r="BD153">
            <v>8868570.4700000007</v>
          </cell>
          <cell r="BE153">
            <v>8868570.4700000007</v>
          </cell>
          <cell r="BF153">
            <v>8761820.6600000001</v>
          </cell>
          <cell r="BG153">
            <v>8761820.6600000001</v>
          </cell>
          <cell r="BH153">
            <v>8761820.6600000001</v>
          </cell>
          <cell r="BI153">
            <v>8665127.0800000001</v>
          </cell>
          <cell r="BJ153">
            <v>8665127.0800000001</v>
          </cell>
          <cell r="BK153">
            <v>8665127.0800000001</v>
          </cell>
          <cell r="BL153">
            <v>9847866.0700000003</v>
          </cell>
          <cell r="BM153">
            <v>9847866.0700000003</v>
          </cell>
          <cell r="BN153">
            <v>9847866.0700000003</v>
          </cell>
          <cell r="BO153">
            <v>9769162.5999999996</v>
          </cell>
          <cell r="BP153">
            <v>9769162.5999999996</v>
          </cell>
          <cell r="BQ153">
            <v>9769162.5999999996</v>
          </cell>
          <cell r="BR153">
            <v>9682850.7300000004</v>
          </cell>
          <cell r="BS153">
            <v>9682850.7300000004</v>
          </cell>
          <cell r="BT153">
            <v>9682850.7300000004</v>
          </cell>
          <cell r="BU153">
            <v>9600342.9700000007</v>
          </cell>
          <cell r="BV153">
            <v>9600342.9700000007</v>
          </cell>
          <cell r="BW153">
            <v>9600342.9700000007</v>
          </cell>
          <cell r="BX153">
            <v>9643018.0399999991</v>
          </cell>
          <cell r="BY153">
            <v>9643018.0399999991</v>
          </cell>
          <cell r="BZ153">
            <v>9643018.0399999991</v>
          </cell>
          <cell r="CA153">
            <v>9539837.5299999993</v>
          </cell>
          <cell r="CB153">
            <v>9539837.5299999993</v>
          </cell>
          <cell r="CC153">
            <v>9539837.5299999993</v>
          </cell>
          <cell r="CD153">
            <v>9430925.1999999993</v>
          </cell>
          <cell r="CE153">
            <v>9430925.1999999993</v>
          </cell>
          <cell r="CF153">
            <v>9430925.1999999993</v>
          </cell>
          <cell r="CG153">
            <v>9324878.6799999997</v>
          </cell>
          <cell r="CH153">
            <v>9324878.6799999997</v>
          </cell>
          <cell r="CI153">
            <v>9324878.6799999997</v>
          </cell>
          <cell r="CJ153">
            <v>10561199.359999999</v>
          </cell>
          <cell r="CK153">
            <v>10561199.359999999</v>
          </cell>
          <cell r="CL153">
            <v>10561199.359999999</v>
          </cell>
          <cell r="CM153">
            <v>10423095.82</v>
          </cell>
          <cell r="CN153">
            <v>10423095.82</v>
          </cell>
          <cell r="CO153">
            <v>10423095.82</v>
          </cell>
          <cell r="CP153">
            <v>10284992.279999999</v>
          </cell>
          <cell r="CQ153">
            <v>10284992.279999999</v>
          </cell>
          <cell r="CR153">
            <v>10284992.279999999</v>
          </cell>
          <cell r="CS153">
            <v>10070721.060000001</v>
          </cell>
          <cell r="CT153">
            <v>10070721.060000001</v>
          </cell>
          <cell r="CU153">
            <v>10070721.060000001</v>
          </cell>
          <cell r="CV153">
            <v>8799943.1199999992</v>
          </cell>
          <cell r="CW153">
            <v>8799943.1199999992</v>
          </cell>
          <cell r="CX153">
            <v>8799943.1199999992</v>
          </cell>
          <cell r="CY153">
            <v>8689937.5199999996</v>
          </cell>
          <cell r="CZ153">
            <v>8689937.5199999996</v>
          </cell>
          <cell r="DA153">
            <v>8689937.5199999996</v>
          </cell>
          <cell r="DB153">
            <v>8351004.7800000003</v>
          </cell>
          <cell r="DC153">
            <v>8351004.7800000003</v>
          </cell>
          <cell r="DD153">
            <v>8351004.7800000003</v>
          </cell>
          <cell r="DE153">
            <v>8239987.8700000001</v>
          </cell>
          <cell r="DF153">
            <v>8239987.8700000001</v>
          </cell>
          <cell r="DG153">
            <v>8239987.8700000001</v>
          </cell>
          <cell r="DH153">
            <v>9743462.5299999993</v>
          </cell>
        </row>
        <row r="154">
          <cell r="C154" t="str">
            <v>Defd FIT FAS158 MedD</v>
          </cell>
          <cell r="D154">
            <v>31991</v>
          </cell>
          <cell r="E154">
            <v>31991</v>
          </cell>
          <cell r="F154">
            <v>31991</v>
          </cell>
          <cell r="G154">
            <v>31991</v>
          </cell>
          <cell r="H154">
            <v>31991</v>
          </cell>
          <cell r="I154">
            <v>31991</v>
          </cell>
          <cell r="J154">
            <v>31991</v>
          </cell>
          <cell r="K154">
            <v>31991</v>
          </cell>
          <cell r="L154">
            <v>31991</v>
          </cell>
          <cell r="M154">
            <v>31991</v>
          </cell>
          <cell r="N154">
            <v>31991</v>
          </cell>
          <cell r="O154">
            <v>31991</v>
          </cell>
          <cell r="P154">
            <v>31991</v>
          </cell>
          <cell r="Q154">
            <v>31991</v>
          </cell>
          <cell r="R154">
            <v>31991</v>
          </cell>
          <cell r="S154">
            <v>31991</v>
          </cell>
          <cell r="T154">
            <v>31991</v>
          </cell>
          <cell r="U154">
            <v>31991</v>
          </cell>
          <cell r="V154">
            <v>31991</v>
          </cell>
          <cell r="W154">
            <v>31991</v>
          </cell>
          <cell r="X154">
            <v>31991</v>
          </cell>
          <cell r="Y154">
            <v>31991</v>
          </cell>
          <cell r="Z154">
            <v>31991</v>
          </cell>
          <cell r="AA154">
            <v>31991</v>
          </cell>
          <cell r="AB154">
            <v>31991</v>
          </cell>
          <cell r="AC154">
            <v>31991</v>
          </cell>
          <cell r="AD154">
            <v>31991</v>
          </cell>
          <cell r="AE154">
            <v>31991</v>
          </cell>
          <cell r="AF154">
            <v>31991</v>
          </cell>
          <cell r="AG154">
            <v>31991</v>
          </cell>
          <cell r="AH154">
            <v>31991</v>
          </cell>
          <cell r="AI154">
            <v>31991</v>
          </cell>
          <cell r="AJ154">
            <v>31991</v>
          </cell>
          <cell r="AK154">
            <v>31991</v>
          </cell>
          <cell r="AL154">
            <v>31991</v>
          </cell>
          <cell r="AM154">
            <v>31991</v>
          </cell>
          <cell r="AN154">
            <v>31991</v>
          </cell>
          <cell r="AO154">
            <v>31991</v>
          </cell>
          <cell r="AP154">
            <v>31991</v>
          </cell>
          <cell r="AQ154">
            <v>31991</v>
          </cell>
          <cell r="AR154">
            <v>31991</v>
          </cell>
          <cell r="AS154">
            <v>31991</v>
          </cell>
          <cell r="AT154">
            <v>31991</v>
          </cell>
          <cell r="AU154">
            <v>31991</v>
          </cell>
          <cell r="AV154">
            <v>31991</v>
          </cell>
          <cell r="AW154">
            <v>31991</v>
          </cell>
          <cell r="AX154">
            <v>31991</v>
          </cell>
          <cell r="AY154">
            <v>31991</v>
          </cell>
          <cell r="AZ154">
            <v>31991</v>
          </cell>
          <cell r="BA154">
            <v>31991</v>
          </cell>
          <cell r="BB154">
            <v>31991</v>
          </cell>
          <cell r="BC154">
            <v>31991</v>
          </cell>
          <cell r="BD154">
            <v>31991</v>
          </cell>
          <cell r="BE154">
            <v>31991</v>
          </cell>
          <cell r="BF154">
            <v>31991</v>
          </cell>
          <cell r="BG154">
            <v>31991</v>
          </cell>
          <cell r="BH154">
            <v>31991</v>
          </cell>
          <cell r="BI154">
            <v>31991</v>
          </cell>
          <cell r="BJ154">
            <v>31991</v>
          </cell>
          <cell r="BK154">
            <v>31991</v>
          </cell>
          <cell r="BL154">
            <v>31991</v>
          </cell>
          <cell r="BM154">
            <v>31991</v>
          </cell>
          <cell r="BN154">
            <v>31991</v>
          </cell>
          <cell r="BO154">
            <v>31991</v>
          </cell>
          <cell r="BP154">
            <v>31991</v>
          </cell>
          <cell r="BQ154">
            <v>31991</v>
          </cell>
          <cell r="BR154">
            <v>31991</v>
          </cell>
          <cell r="BS154">
            <v>31991</v>
          </cell>
          <cell r="BT154">
            <v>31991</v>
          </cell>
          <cell r="BU154">
            <v>31991</v>
          </cell>
          <cell r="BV154">
            <v>31991</v>
          </cell>
          <cell r="BW154">
            <v>31991</v>
          </cell>
          <cell r="BX154">
            <v>31991</v>
          </cell>
          <cell r="BY154">
            <v>31991</v>
          </cell>
          <cell r="BZ154">
            <v>31991</v>
          </cell>
          <cell r="CA154">
            <v>31991</v>
          </cell>
          <cell r="CB154">
            <v>31991</v>
          </cell>
          <cell r="CC154">
            <v>31991</v>
          </cell>
          <cell r="CD154">
            <v>31991</v>
          </cell>
          <cell r="CE154">
            <v>31991</v>
          </cell>
          <cell r="CF154">
            <v>31991</v>
          </cell>
          <cell r="CG154">
            <v>31991</v>
          </cell>
          <cell r="CH154">
            <v>31991</v>
          </cell>
          <cell r="CI154">
            <v>31991</v>
          </cell>
          <cell r="CJ154">
            <v>31991</v>
          </cell>
          <cell r="CK154">
            <v>31991</v>
          </cell>
          <cell r="CL154">
            <v>31991</v>
          </cell>
          <cell r="CM154">
            <v>31991</v>
          </cell>
          <cell r="CN154">
            <v>31991</v>
          </cell>
          <cell r="CO154">
            <v>31991</v>
          </cell>
          <cell r="CP154">
            <v>31991</v>
          </cell>
          <cell r="CQ154">
            <v>31991</v>
          </cell>
          <cell r="CR154">
            <v>31991</v>
          </cell>
          <cell r="CS154">
            <v>31991</v>
          </cell>
          <cell r="CT154">
            <v>31991</v>
          </cell>
          <cell r="CU154">
            <v>31991</v>
          </cell>
          <cell r="CV154">
            <v>31991</v>
          </cell>
          <cell r="CW154">
            <v>31991</v>
          </cell>
          <cell r="CX154">
            <v>31991</v>
          </cell>
          <cell r="CY154">
            <v>31991</v>
          </cell>
          <cell r="CZ154">
            <v>31991</v>
          </cell>
          <cell r="DA154">
            <v>31991</v>
          </cell>
          <cell r="DB154">
            <v>31991</v>
          </cell>
          <cell r="DC154">
            <v>31991</v>
          </cell>
          <cell r="DD154">
            <v>31991</v>
          </cell>
          <cell r="DE154">
            <v>31991</v>
          </cell>
          <cell r="DF154">
            <v>31991</v>
          </cell>
          <cell r="DG154">
            <v>31991</v>
          </cell>
          <cell r="DH154">
            <v>31991</v>
          </cell>
        </row>
        <row r="155">
          <cell r="C155" t="str">
            <v>Defd Tax FIT Credits</v>
          </cell>
          <cell r="D155">
            <v>104848</v>
          </cell>
          <cell r="E155">
            <v>104848</v>
          </cell>
          <cell r="F155">
            <v>104848</v>
          </cell>
          <cell r="G155">
            <v>104848</v>
          </cell>
          <cell r="H155">
            <v>104848</v>
          </cell>
          <cell r="I155">
            <v>104848</v>
          </cell>
          <cell r="J155">
            <v>104848</v>
          </cell>
          <cell r="K155">
            <v>104848</v>
          </cell>
          <cell r="L155">
            <v>104848</v>
          </cell>
          <cell r="M155">
            <v>104848</v>
          </cell>
          <cell r="N155">
            <v>104848</v>
          </cell>
          <cell r="O155">
            <v>104848</v>
          </cell>
          <cell r="P155">
            <v>104848</v>
          </cell>
          <cell r="Q155">
            <v>104848</v>
          </cell>
          <cell r="R155">
            <v>104848</v>
          </cell>
          <cell r="S155">
            <v>104848</v>
          </cell>
          <cell r="T155">
            <v>104848</v>
          </cell>
          <cell r="U155">
            <v>104848</v>
          </cell>
          <cell r="V155">
            <v>104848</v>
          </cell>
          <cell r="W155">
            <v>104848</v>
          </cell>
          <cell r="X155">
            <v>104848</v>
          </cell>
          <cell r="Y155">
            <v>104848</v>
          </cell>
          <cell r="Z155">
            <v>104848</v>
          </cell>
          <cell r="AA155">
            <v>104848</v>
          </cell>
          <cell r="AB155">
            <v>104848</v>
          </cell>
          <cell r="AC155">
            <v>104848</v>
          </cell>
          <cell r="AD155">
            <v>104848</v>
          </cell>
          <cell r="AE155">
            <v>104848</v>
          </cell>
          <cell r="AF155">
            <v>104848</v>
          </cell>
          <cell r="AG155">
            <v>104848</v>
          </cell>
          <cell r="AH155">
            <v>104848</v>
          </cell>
          <cell r="AI155">
            <v>104848</v>
          </cell>
          <cell r="AJ155">
            <v>462207</v>
          </cell>
          <cell r="AK155">
            <v>394317</v>
          </cell>
          <cell r="AL155">
            <v>394317</v>
          </cell>
          <cell r="AM155">
            <v>394317</v>
          </cell>
          <cell r="AN155">
            <v>394317</v>
          </cell>
          <cell r="AO155">
            <v>394317</v>
          </cell>
          <cell r="AP155">
            <v>394317</v>
          </cell>
          <cell r="AQ155">
            <v>394317</v>
          </cell>
          <cell r="AR155">
            <v>394317</v>
          </cell>
          <cell r="AS155">
            <v>394317</v>
          </cell>
          <cell r="AT155">
            <v>394317</v>
          </cell>
          <cell r="AU155">
            <v>394317</v>
          </cell>
          <cell r="AV155">
            <v>394317</v>
          </cell>
          <cell r="AW155">
            <v>394317</v>
          </cell>
          <cell r="AX155">
            <v>394317</v>
          </cell>
          <cell r="AY155">
            <v>394317</v>
          </cell>
          <cell r="AZ155">
            <v>394317</v>
          </cell>
          <cell r="BA155">
            <v>394317</v>
          </cell>
          <cell r="BB155">
            <v>394317</v>
          </cell>
          <cell r="BC155">
            <v>394317</v>
          </cell>
          <cell r="BD155">
            <v>394317</v>
          </cell>
          <cell r="BE155">
            <v>394317</v>
          </cell>
          <cell r="BF155">
            <v>394317</v>
          </cell>
          <cell r="BG155">
            <v>394317</v>
          </cell>
          <cell r="BH155">
            <v>394317</v>
          </cell>
          <cell r="BI155">
            <v>394317</v>
          </cell>
          <cell r="BJ155">
            <v>394317</v>
          </cell>
          <cell r="BK155">
            <v>394317</v>
          </cell>
          <cell r="BL155">
            <v>683608.01</v>
          </cell>
          <cell r="BM155">
            <v>683608.01</v>
          </cell>
          <cell r="BN155">
            <v>683608.01</v>
          </cell>
          <cell r="BO155">
            <v>683608.01</v>
          </cell>
          <cell r="BP155">
            <v>683608.01</v>
          </cell>
          <cell r="BQ155">
            <v>683608.01</v>
          </cell>
          <cell r="BR155">
            <v>683608.01</v>
          </cell>
          <cell r="BS155">
            <v>683608.01</v>
          </cell>
          <cell r="BT155">
            <v>683608.01</v>
          </cell>
          <cell r="BU155">
            <v>683608.01</v>
          </cell>
          <cell r="BV155">
            <v>683608.01</v>
          </cell>
          <cell r="BW155">
            <v>683608.01</v>
          </cell>
          <cell r="BX155">
            <v>925322.01</v>
          </cell>
          <cell r="BY155">
            <v>925322.01</v>
          </cell>
          <cell r="BZ155">
            <v>925322.01</v>
          </cell>
          <cell r="CA155">
            <v>925322.01</v>
          </cell>
          <cell r="CB155">
            <v>925322.01</v>
          </cell>
          <cell r="CC155">
            <v>925322.01</v>
          </cell>
          <cell r="CD155">
            <v>925322.01</v>
          </cell>
          <cell r="CE155">
            <v>925322.01</v>
          </cell>
          <cell r="CF155">
            <v>925322.01</v>
          </cell>
          <cell r="CG155">
            <v>925322.01</v>
          </cell>
          <cell r="CH155">
            <v>1263660.01</v>
          </cell>
          <cell r="CI155">
            <v>1263660.01</v>
          </cell>
          <cell r="CJ155">
            <v>1821886.01</v>
          </cell>
          <cell r="CK155">
            <v>1821886.01</v>
          </cell>
          <cell r="CL155">
            <v>1821886.01</v>
          </cell>
          <cell r="CM155">
            <v>1821886.01</v>
          </cell>
          <cell r="CN155">
            <v>1821886.01</v>
          </cell>
          <cell r="CO155">
            <v>1821886.01</v>
          </cell>
          <cell r="CP155">
            <v>1821886.01</v>
          </cell>
          <cell r="CQ155">
            <v>1821886.01</v>
          </cell>
          <cell r="CR155">
            <v>1821886.01</v>
          </cell>
          <cell r="CS155">
            <v>1821886.01</v>
          </cell>
          <cell r="CT155">
            <v>1821886.01</v>
          </cell>
          <cell r="CU155">
            <v>1821886.01</v>
          </cell>
          <cell r="CV155">
            <v>2028740.01</v>
          </cell>
          <cell r="CW155">
            <v>2028740.01</v>
          </cell>
          <cell r="CX155">
            <v>2028740.01</v>
          </cell>
          <cell r="CY155">
            <v>2028740.01</v>
          </cell>
          <cell r="CZ155">
            <v>2028740.01</v>
          </cell>
          <cell r="DA155">
            <v>2028740.01</v>
          </cell>
          <cell r="DB155">
            <v>2028740.01</v>
          </cell>
          <cell r="DC155">
            <v>2028740.01</v>
          </cell>
          <cell r="DD155">
            <v>2028740.01</v>
          </cell>
          <cell r="DE155">
            <v>2028740.01</v>
          </cell>
          <cell r="DF155">
            <v>2028740.01</v>
          </cell>
          <cell r="DG155">
            <v>2028740.01</v>
          </cell>
          <cell r="DH155">
            <v>2269912.0099999998</v>
          </cell>
        </row>
        <row r="156">
          <cell r="C156" t="str">
            <v>DTA State</v>
          </cell>
          <cell r="D156">
            <v>3596496.98</v>
          </cell>
          <cell r="E156">
            <v>3534839.91</v>
          </cell>
          <cell r="F156">
            <v>3505106.64</v>
          </cell>
          <cell r="G156">
            <v>3576317.07</v>
          </cell>
          <cell r="H156">
            <v>3596433.02</v>
          </cell>
          <cell r="I156">
            <v>3605931.36</v>
          </cell>
          <cell r="J156">
            <v>3617914.37</v>
          </cell>
          <cell r="K156">
            <v>3591551.95</v>
          </cell>
          <cell r="L156">
            <v>3543164.26</v>
          </cell>
          <cell r="M156">
            <v>3633420.07</v>
          </cell>
          <cell r="N156">
            <v>3691718.62</v>
          </cell>
          <cell r="O156">
            <v>3350951.11</v>
          </cell>
          <cell r="P156">
            <v>3389834.74</v>
          </cell>
          <cell r="Q156">
            <v>3456934.45</v>
          </cell>
          <cell r="R156">
            <v>3343494.81</v>
          </cell>
          <cell r="S156">
            <v>3419164.06</v>
          </cell>
          <cell r="T156">
            <v>3466988.16</v>
          </cell>
          <cell r="U156">
            <v>3465632.27</v>
          </cell>
          <cell r="V156">
            <v>3458423.72</v>
          </cell>
          <cell r="W156">
            <v>3463100.59</v>
          </cell>
          <cell r="X156">
            <v>3469170.42</v>
          </cell>
          <cell r="Y156">
            <v>3468286.38</v>
          </cell>
          <cell r="Z156">
            <v>3471080.99</v>
          </cell>
          <cell r="AA156">
            <v>3518399.69</v>
          </cell>
          <cell r="AB156">
            <v>3495352.96</v>
          </cell>
          <cell r="AC156">
            <v>3561538.32</v>
          </cell>
          <cell r="AD156">
            <v>3503979.91</v>
          </cell>
          <cell r="AE156">
            <v>3556674.69</v>
          </cell>
          <cell r="AF156">
            <v>3580683.11</v>
          </cell>
          <cell r="AG156">
            <v>3595374.3</v>
          </cell>
          <cell r="AH156">
            <v>3594922.74</v>
          </cell>
          <cell r="AI156">
            <v>3613032.82</v>
          </cell>
          <cell r="AJ156">
            <v>3636578.07</v>
          </cell>
          <cell r="AK156">
            <v>3670385.45</v>
          </cell>
          <cell r="AL156">
            <v>3663518.65</v>
          </cell>
          <cell r="AM156">
            <v>3635494.59</v>
          </cell>
          <cell r="AN156">
            <v>4504656.41</v>
          </cell>
          <cell r="AO156">
            <v>4634067.47</v>
          </cell>
          <cell r="AP156">
            <v>4493942.4800000004</v>
          </cell>
          <cell r="AQ156">
            <v>4570558.29</v>
          </cell>
          <cell r="AR156">
            <v>4614921.8</v>
          </cell>
          <cell r="AS156">
            <v>4640610.46</v>
          </cell>
          <cell r="AT156">
            <v>4678469.83</v>
          </cell>
          <cell r="AU156">
            <v>4705225.01</v>
          </cell>
          <cell r="AV156">
            <v>4703431.13</v>
          </cell>
          <cell r="AW156">
            <v>4802455.92</v>
          </cell>
          <cell r="AX156">
            <v>4790790.5199999996</v>
          </cell>
          <cell r="AY156">
            <v>4811704.91</v>
          </cell>
          <cell r="AZ156">
            <v>4734390.3099999996</v>
          </cell>
          <cell r="BA156">
            <v>4867931.43</v>
          </cell>
          <cell r="BB156">
            <v>4804444.53</v>
          </cell>
          <cell r="BC156">
            <v>5044780.84</v>
          </cell>
          <cell r="BD156">
            <v>5113146.83</v>
          </cell>
          <cell r="BE156">
            <v>5169997.8899999997</v>
          </cell>
          <cell r="BF156">
            <v>5209179.17</v>
          </cell>
          <cell r="BG156">
            <v>5224289.33</v>
          </cell>
          <cell r="BH156">
            <v>5232685.16</v>
          </cell>
          <cell r="BI156">
            <v>5614151.8300000001</v>
          </cell>
          <cell r="BJ156">
            <v>5629883.3200000003</v>
          </cell>
          <cell r="BK156">
            <v>5655171.21</v>
          </cell>
          <cell r="BL156">
            <v>5511194.5800000001</v>
          </cell>
          <cell r="BM156">
            <v>5561571.7400000002</v>
          </cell>
          <cell r="BN156">
            <v>5391371.3600000003</v>
          </cell>
          <cell r="BO156">
            <v>5528186.8799999999</v>
          </cell>
          <cell r="BP156">
            <v>5554404.2300000004</v>
          </cell>
          <cell r="BQ156">
            <v>5562509.8200000003</v>
          </cell>
          <cell r="BR156">
            <v>5591404.54</v>
          </cell>
          <cell r="BS156">
            <v>5654697.6399999997</v>
          </cell>
          <cell r="BT156">
            <v>5675634.6699999999</v>
          </cell>
          <cell r="BU156">
            <v>5640338.4199999999</v>
          </cell>
          <cell r="BV156">
            <v>5662500.7999999998</v>
          </cell>
          <cell r="BW156">
            <v>5714268.1600000001</v>
          </cell>
          <cell r="BX156">
            <v>5755791.2699999996</v>
          </cell>
          <cell r="BY156">
            <v>5857340.7400000002</v>
          </cell>
          <cell r="BZ156">
            <v>5688702.4400000004</v>
          </cell>
          <cell r="CA156">
            <v>5746567.4299999997</v>
          </cell>
          <cell r="CB156">
            <v>5791915.6600000001</v>
          </cell>
          <cell r="CC156">
            <v>5816596.6799999997</v>
          </cell>
          <cell r="CD156">
            <v>5895500.9400000004</v>
          </cell>
          <cell r="CE156">
            <v>5911726.7699999996</v>
          </cell>
          <cell r="CF156">
            <v>5901744.6399999997</v>
          </cell>
          <cell r="CG156">
            <v>5964287.04</v>
          </cell>
          <cell r="CH156">
            <v>5976300.5800000001</v>
          </cell>
          <cell r="CI156">
            <v>5935857.5300000003</v>
          </cell>
          <cell r="CJ156">
            <v>6067292.54</v>
          </cell>
          <cell r="CK156">
            <v>6186995.7199999997</v>
          </cell>
          <cell r="CL156">
            <v>6248982.9900000002</v>
          </cell>
          <cell r="CM156">
            <v>5986342.1699999999</v>
          </cell>
          <cell r="CN156">
            <v>6064816.8499999996</v>
          </cell>
          <cell r="CO156">
            <v>6055023.3099999996</v>
          </cell>
          <cell r="CP156">
            <v>6165453.25</v>
          </cell>
          <cell r="CQ156">
            <v>6190224.8499999996</v>
          </cell>
          <cell r="CR156">
            <v>6241744.8600000003</v>
          </cell>
          <cell r="CS156">
            <v>6372000.2000000002</v>
          </cell>
          <cell r="CT156">
            <v>6277965.5199999996</v>
          </cell>
          <cell r="CU156">
            <v>6379811.96</v>
          </cell>
          <cell r="CV156">
            <v>6390655.1200000001</v>
          </cell>
          <cell r="CW156">
            <v>6468628.7800000003</v>
          </cell>
          <cell r="CX156">
            <v>6735483.1100000003</v>
          </cell>
          <cell r="CY156">
            <v>6359470.7300000004</v>
          </cell>
          <cell r="CZ156">
            <v>6434553.5599999996</v>
          </cell>
          <cell r="DA156">
            <v>6486961.4100000001</v>
          </cell>
          <cell r="DB156">
            <v>6657317.21</v>
          </cell>
          <cell r="DC156">
            <v>6658960.4000000004</v>
          </cell>
          <cell r="DD156">
            <v>6589910.46</v>
          </cell>
          <cell r="DE156">
            <v>6735039.1100000003</v>
          </cell>
          <cell r="DF156">
            <v>6769987.0199999996</v>
          </cell>
          <cell r="DG156">
            <v>6856261.1100000003</v>
          </cell>
          <cell r="DH156">
            <v>6913000.7800000003</v>
          </cell>
        </row>
        <row r="157">
          <cell r="C157" t="str">
            <v>DTA Sep Co State</v>
          </cell>
          <cell r="D157"/>
          <cell r="E157"/>
          <cell r="F157"/>
          <cell r="G157"/>
          <cell r="H157"/>
          <cell r="I157"/>
          <cell r="J157"/>
          <cell r="K157"/>
          <cell r="L157"/>
          <cell r="M157"/>
          <cell r="N157"/>
          <cell r="O157"/>
          <cell r="P157"/>
          <cell r="Q157"/>
          <cell r="R157"/>
          <cell r="S157"/>
          <cell r="T157"/>
          <cell r="U157"/>
          <cell r="V157"/>
          <cell r="W157"/>
          <cell r="X157"/>
          <cell r="Y157"/>
          <cell r="Z157"/>
          <cell r="AA157"/>
          <cell r="AB157"/>
          <cell r="AC157"/>
          <cell r="AD157"/>
          <cell r="AE157"/>
          <cell r="AF157"/>
          <cell r="AG157"/>
          <cell r="AH157"/>
          <cell r="AI157"/>
          <cell r="AJ157"/>
          <cell r="AK157"/>
          <cell r="AL157">
            <v>0</v>
          </cell>
          <cell r="AM157">
            <v>0</v>
          </cell>
          <cell r="AN157">
            <v>221311.32</v>
          </cell>
          <cell r="AO157">
            <v>221311.32</v>
          </cell>
          <cell r="AP157">
            <v>221311.32</v>
          </cell>
          <cell r="AQ157">
            <v>221311.32</v>
          </cell>
          <cell r="AR157">
            <v>221311.32</v>
          </cell>
          <cell r="AS157">
            <v>221311.32</v>
          </cell>
          <cell r="AT157">
            <v>221311.32</v>
          </cell>
          <cell r="AU157">
            <v>221311.32</v>
          </cell>
          <cell r="AV157">
            <v>221311.32</v>
          </cell>
          <cell r="AW157">
            <v>221311.32</v>
          </cell>
          <cell r="AX157">
            <v>221311.32</v>
          </cell>
          <cell r="AY157">
            <v>221311.32</v>
          </cell>
          <cell r="AZ157">
            <v>254375.84</v>
          </cell>
          <cell r="BA157">
            <v>254375.84</v>
          </cell>
          <cell r="BB157">
            <v>254375.84</v>
          </cell>
          <cell r="BC157">
            <v>254375.84</v>
          </cell>
          <cell r="BD157">
            <v>254375.84</v>
          </cell>
          <cell r="BE157">
            <v>254375.84</v>
          </cell>
          <cell r="BF157">
            <v>254375.84</v>
          </cell>
          <cell r="BG157">
            <v>254375.84</v>
          </cell>
          <cell r="BH157">
            <v>254375.84</v>
          </cell>
          <cell r="BI157">
            <v>254375.84</v>
          </cell>
          <cell r="BJ157">
            <v>254375.84</v>
          </cell>
          <cell r="BK157">
            <v>278220.05</v>
          </cell>
          <cell r="BL157">
            <v>278220.05</v>
          </cell>
          <cell r="BM157">
            <v>278220.05</v>
          </cell>
          <cell r="BN157">
            <v>278220.05</v>
          </cell>
          <cell r="BO157">
            <v>278220.05</v>
          </cell>
          <cell r="BP157">
            <v>278220.05</v>
          </cell>
          <cell r="BQ157">
            <v>278220.05</v>
          </cell>
          <cell r="BR157">
            <v>278220.05</v>
          </cell>
          <cell r="BS157">
            <v>278220.05</v>
          </cell>
          <cell r="BT157">
            <v>278220.05</v>
          </cell>
          <cell r="BU157">
            <v>278220.05</v>
          </cell>
          <cell r="BV157">
            <v>278220.05</v>
          </cell>
          <cell r="BW157">
            <v>278220.05</v>
          </cell>
          <cell r="BX157">
            <v>278220.05</v>
          </cell>
          <cell r="BY157">
            <v>278220.05</v>
          </cell>
          <cell r="BZ157">
            <v>278220.05</v>
          </cell>
          <cell r="CA157">
            <v>278220.05</v>
          </cell>
          <cell r="CB157">
            <v>278220.05</v>
          </cell>
          <cell r="CC157">
            <v>278220.05</v>
          </cell>
          <cell r="CD157">
            <v>278220.05</v>
          </cell>
          <cell r="CE157">
            <v>278220.05</v>
          </cell>
          <cell r="CF157">
            <v>278220.05</v>
          </cell>
          <cell r="CG157">
            <v>278220.05</v>
          </cell>
          <cell r="CH157">
            <v>278220.05</v>
          </cell>
          <cell r="CI157">
            <v>278220.05</v>
          </cell>
          <cell r="CJ157">
            <v>278220.05</v>
          </cell>
          <cell r="CK157">
            <v>278220.05</v>
          </cell>
          <cell r="CL157">
            <v>278220.05</v>
          </cell>
          <cell r="CM157">
            <v>278220.05</v>
          </cell>
          <cell r="CN157">
            <v>278220.05</v>
          </cell>
          <cell r="CO157">
            <v>278220.05</v>
          </cell>
          <cell r="CP157">
            <v>278220.05</v>
          </cell>
          <cell r="CQ157">
            <v>278220.05</v>
          </cell>
          <cell r="CR157">
            <v>278220.05</v>
          </cell>
          <cell r="CS157">
            <v>278220.05</v>
          </cell>
          <cell r="CT157">
            <v>278220.05</v>
          </cell>
          <cell r="CU157">
            <v>278220.05</v>
          </cell>
          <cell r="CV157">
            <v>278220.05</v>
          </cell>
          <cell r="CW157">
            <v>278220.05</v>
          </cell>
          <cell r="CX157">
            <v>278220.05</v>
          </cell>
          <cell r="CY157">
            <v>278220.05</v>
          </cell>
          <cell r="CZ157">
            <v>278220.05</v>
          </cell>
          <cell r="DA157">
            <v>278220.05</v>
          </cell>
          <cell r="DB157">
            <v>278220.05</v>
          </cell>
          <cell r="DC157">
            <v>278220.05</v>
          </cell>
          <cell r="DD157">
            <v>278220.05</v>
          </cell>
          <cell r="DE157">
            <v>278220.05</v>
          </cell>
          <cell r="DF157">
            <v>278220.05</v>
          </cell>
          <cell r="DG157">
            <v>278220.05</v>
          </cell>
          <cell r="DH157">
            <v>278220.05</v>
          </cell>
        </row>
        <row r="158">
          <cell r="C158" t="str">
            <v>DTA State NonUtility</v>
          </cell>
          <cell r="D158"/>
          <cell r="E158"/>
          <cell r="F158"/>
          <cell r="G158"/>
          <cell r="H158"/>
          <cell r="I158"/>
          <cell r="J158"/>
          <cell r="K158"/>
          <cell r="L158"/>
          <cell r="M158"/>
          <cell r="N158"/>
          <cell r="O158"/>
          <cell r="P158"/>
          <cell r="Q158"/>
          <cell r="R158"/>
          <cell r="S158"/>
          <cell r="T158"/>
          <cell r="U158"/>
          <cell r="V158"/>
          <cell r="W158"/>
          <cell r="X158"/>
          <cell r="Y158"/>
          <cell r="Z158"/>
          <cell r="AA158"/>
          <cell r="AB158"/>
          <cell r="AC158"/>
          <cell r="AD158"/>
          <cell r="AE158"/>
          <cell r="AF158"/>
          <cell r="AG158"/>
          <cell r="AH158"/>
          <cell r="AI158"/>
          <cell r="AJ158"/>
          <cell r="AK158"/>
          <cell r="AL158">
            <v>0</v>
          </cell>
          <cell r="AM158">
            <v>0</v>
          </cell>
          <cell r="AN158">
            <v>1.05</v>
          </cell>
          <cell r="AO158">
            <v>1.05</v>
          </cell>
          <cell r="AP158">
            <v>1.05</v>
          </cell>
          <cell r="AQ158">
            <v>0</v>
          </cell>
          <cell r="AR158">
            <v>0</v>
          </cell>
          <cell r="AS158">
            <v>0</v>
          </cell>
          <cell r="AT158">
            <v>0</v>
          </cell>
          <cell r="AU158">
            <v>0</v>
          </cell>
          <cell r="AV158">
            <v>0</v>
          </cell>
          <cell r="AW158">
            <v>0</v>
          </cell>
          <cell r="AX158">
            <v>-3.13</v>
          </cell>
          <cell r="AY158">
            <v>0</v>
          </cell>
          <cell r="AZ158">
            <v>0</v>
          </cell>
          <cell r="BA158">
            <v>0</v>
          </cell>
          <cell r="BB158">
            <v>0</v>
          </cell>
          <cell r="BC158">
            <v>0</v>
          </cell>
          <cell r="BD158">
            <v>0</v>
          </cell>
          <cell r="BE158">
            <v>0</v>
          </cell>
          <cell r="BF158">
            <v>0</v>
          </cell>
          <cell r="BG158">
            <v>0</v>
          </cell>
          <cell r="BH158">
            <v>0</v>
          </cell>
          <cell r="BI158">
            <v>0</v>
          </cell>
          <cell r="BJ158"/>
          <cell r="BK158"/>
          <cell r="BL158"/>
          <cell r="BM158"/>
          <cell r="BN158"/>
          <cell r="BO158"/>
          <cell r="BP158"/>
          <cell r="BQ158"/>
          <cell r="BR158"/>
          <cell r="BS158"/>
          <cell r="BT158"/>
          <cell r="BU158"/>
          <cell r="BV158"/>
          <cell r="BW158"/>
          <cell r="BX158"/>
          <cell r="BY158"/>
          <cell r="BZ158"/>
          <cell r="CA158"/>
          <cell r="CB158"/>
          <cell r="CC158"/>
          <cell r="CD158"/>
          <cell r="CE158"/>
          <cell r="CF158"/>
          <cell r="CG158"/>
          <cell r="CH158"/>
          <cell r="CI158"/>
          <cell r="CJ158"/>
          <cell r="CK158"/>
          <cell r="CL158"/>
          <cell r="CM158"/>
          <cell r="CN158"/>
          <cell r="CO158"/>
          <cell r="CP158"/>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row>
        <row r="159">
          <cell r="C159" t="str">
            <v>Defd SIT FAS133</v>
          </cell>
          <cell r="D159">
            <v>64395.26</v>
          </cell>
          <cell r="E159">
            <v>196970.01</v>
          </cell>
          <cell r="F159">
            <v>137538.10999999999</v>
          </cell>
          <cell r="G159">
            <v>83794.039999999994</v>
          </cell>
          <cell r="H159">
            <v>170004.34</v>
          </cell>
          <cell r="I159">
            <v>47596.34</v>
          </cell>
          <cell r="J159">
            <v>69756.11</v>
          </cell>
          <cell r="K159">
            <v>178673.99</v>
          </cell>
          <cell r="L159">
            <v>84192.24</v>
          </cell>
          <cell r="M159">
            <v>88981.36</v>
          </cell>
          <cell r="N159">
            <v>201239.11</v>
          </cell>
          <cell r="O159">
            <v>148671.21</v>
          </cell>
          <cell r="P159">
            <v>494201.56</v>
          </cell>
          <cell r="Q159">
            <v>498571.59</v>
          </cell>
          <cell r="R159">
            <v>408521.46</v>
          </cell>
          <cell r="S159">
            <v>397211.54</v>
          </cell>
          <cell r="T159">
            <v>346087.39</v>
          </cell>
          <cell r="U159">
            <v>346936.59</v>
          </cell>
          <cell r="V159">
            <v>285707.84000000003</v>
          </cell>
          <cell r="W159">
            <v>287014.09000000003</v>
          </cell>
          <cell r="X159">
            <v>305231.19</v>
          </cell>
          <cell r="Y159">
            <v>348279.69</v>
          </cell>
          <cell r="Z159">
            <v>442421.54</v>
          </cell>
          <cell r="AA159">
            <v>349027.14</v>
          </cell>
          <cell r="AB159">
            <v>443604.04</v>
          </cell>
          <cell r="AC159">
            <v>268710.64</v>
          </cell>
          <cell r="AD159">
            <v>298707.09000000003</v>
          </cell>
          <cell r="AE159">
            <v>190043.31</v>
          </cell>
          <cell r="AF159">
            <v>111543.74</v>
          </cell>
          <cell r="AG159">
            <v>97201.12</v>
          </cell>
          <cell r="AH159">
            <v>38622.82</v>
          </cell>
          <cell r="AI159">
            <v>37769.22</v>
          </cell>
          <cell r="AJ159">
            <v>28877.37</v>
          </cell>
          <cell r="AK159">
            <v>28740.42</v>
          </cell>
          <cell r="AL159">
            <v>30905.22</v>
          </cell>
          <cell r="AM159">
            <v>33490.769999999997</v>
          </cell>
          <cell r="AN159">
            <v>109407.82</v>
          </cell>
          <cell r="AO159">
            <v>32529.37</v>
          </cell>
          <cell r="AP159">
            <v>23155.72</v>
          </cell>
          <cell r="AQ159">
            <v>26790.94</v>
          </cell>
          <cell r="AR159">
            <v>29636.09</v>
          </cell>
          <cell r="AS159">
            <v>9539.09</v>
          </cell>
          <cell r="AT159">
            <v>6080.14</v>
          </cell>
          <cell r="AU159">
            <v>8165.74</v>
          </cell>
          <cell r="AV159">
            <v>5822.74</v>
          </cell>
          <cell r="AW159">
            <v>4893.24</v>
          </cell>
          <cell r="AX159">
            <v>7865.99</v>
          </cell>
          <cell r="AY159">
            <v>3727.79</v>
          </cell>
          <cell r="AZ159">
            <v>9958.19</v>
          </cell>
          <cell r="BA159">
            <v>4381.74</v>
          </cell>
          <cell r="BB159">
            <v>6221.49</v>
          </cell>
          <cell r="BC159">
            <v>1795.09</v>
          </cell>
          <cell r="BD159">
            <v>1524.76</v>
          </cell>
          <cell r="BE159">
            <v>1100.71</v>
          </cell>
          <cell r="BF159">
            <v>858.16</v>
          </cell>
          <cell r="BG159">
            <v>644.21</v>
          </cell>
          <cell r="BH159">
            <v>192.11</v>
          </cell>
          <cell r="BI159">
            <v>551.80999999999995</v>
          </cell>
          <cell r="BJ159">
            <v>805.36</v>
          </cell>
          <cell r="BK159">
            <v>-0.39</v>
          </cell>
          <cell r="BL159">
            <v>-0.39</v>
          </cell>
          <cell r="BM159">
            <v>-0.39</v>
          </cell>
          <cell r="BN159">
            <v>-0.39</v>
          </cell>
          <cell r="BO159">
            <v>-0.39</v>
          </cell>
          <cell r="BP159">
            <v>-0.39</v>
          </cell>
          <cell r="BQ159">
            <v>-0.39</v>
          </cell>
          <cell r="BR159">
            <v>-0.39</v>
          </cell>
          <cell r="BS159">
            <v>-0.39</v>
          </cell>
          <cell r="BT159">
            <v>-0.39</v>
          </cell>
          <cell r="BU159">
            <v>-0.39</v>
          </cell>
          <cell r="BV159">
            <v>-0.39</v>
          </cell>
          <cell r="BW159">
            <v>-0.39</v>
          </cell>
          <cell r="BX159">
            <v>-0.39</v>
          </cell>
          <cell r="BY159">
            <v>-0.39</v>
          </cell>
          <cell r="BZ159">
            <v>-0.39</v>
          </cell>
          <cell r="CA159">
            <v>-0.39</v>
          </cell>
          <cell r="CB159">
            <v>-0.39</v>
          </cell>
          <cell r="CC159">
            <v>-0.39</v>
          </cell>
          <cell r="CD159">
            <v>-0.39</v>
          </cell>
          <cell r="CE159">
            <v>-0.39</v>
          </cell>
          <cell r="CF159">
            <v>-0.39</v>
          </cell>
          <cell r="CG159">
            <v>-0.39</v>
          </cell>
          <cell r="CH159">
            <v>-0.39</v>
          </cell>
          <cell r="CI159">
            <v>-0.39</v>
          </cell>
          <cell r="CJ159">
            <v>-0.39</v>
          </cell>
          <cell r="CK159">
            <v>-0.39</v>
          </cell>
          <cell r="CL159">
            <v>-0.39</v>
          </cell>
          <cell r="CM159">
            <v>-0.39</v>
          </cell>
          <cell r="CN159">
            <v>-0.39</v>
          </cell>
          <cell r="CO159">
            <v>-0.39</v>
          </cell>
          <cell r="CP159">
            <v>-0.39</v>
          </cell>
          <cell r="CQ159">
            <v>-0.39</v>
          </cell>
          <cell r="CR159">
            <v>-0.39</v>
          </cell>
          <cell r="CS159">
            <v>-0.39</v>
          </cell>
          <cell r="CT159">
            <v>-0.39</v>
          </cell>
          <cell r="CU159">
            <v>-0.39</v>
          </cell>
          <cell r="CV159">
            <v>-0.39</v>
          </cell>
          <cell r="CW159">
            <v>-0.39</v>
          </cell>
          <cell r="CX159">
            <v>-0.39</v>
          </cell>
          <cell r="CY159">
            <v>-0.39</v>
          </cell>
          <cell r="CZ159">
            <v>-0.39</v>
          </cell>
          <cell r="DA159">
            <v>-0.39</v>
          </cell>
          <cell r="DB159">
            <v>-0.39</v>
          </cell>
          <cell r="DC159">
            <v>-0.39</v>
          </cell>
          <cell r="DD159">
            <v>-0.39</v>
          </cell>
          <cell r="DE159">
            <v>-0.39</v>
          </cell>
          <cell r="DF159">
            <v>-0.39</v>
          </cell>
          <cell r="DG159">
            <v>-0.39</v>
          </cell>
          <cell r="DH159">
            <v>-0.39</v>
          </cell>
        </row>
        <row r="160">
          <cell r="C160" t="str">
            <v>Defd SIT FAS133 Int</v>
          </cell>
          <cell r="D160">
            <v>163800</v>
          </cell>
          <cell r="E160">
            <v>161793.5</v>
          </cell>
          <cell r="F160">
            <v>159786.99</v>
          </cell>
          <cell r="G160">
            <v>157780.48000000001</v>
          </cell>
          <cell r="H160">
            <v>155642.87</v>
          </cell>
          <cell r="I160">
            <v>152328.15</v>
          </cell>
          <cell r="J160">
            <v>154336.24</v>
          </cell>
          <cell r="K160">
            <v>150320.06</v>
          </cell>
          <cell r="L160">
            <v>148311.97</v>
          </cell>
          <cell r="M160">
            <v>146303.88</v>
          </cell>
          <cell r="N160">
            <v>144295.79</v>
          </cell>
          <cell r="O160">
            <v>142287.70000000001</v>
          </cell>
          <cell r="P160">
            <v>140279.60999999999</v>
          </cell>
          <cell r="Q160">
            <v>138271.51999999999</v>
          </cell>
          <cell r="R160">
            <v>136263.43</v>
          </cell>
          <cell r="S160">
            <v>132741.51999999999</v>
          </cell>
          <cell r="T160">
            <v>121918.91</v>
          </cell>
          <cell r="U160">
            <v>111151.96</v>
          </cell>
          <cell r="V160">
            <v>109196.89</v>
          </cell>
          <cell r="W160">
            <v>107241.82</v>
          </cell>
          <cell r="X160">
            <v>105286.75</v>
          </cell>
          <cell r="Y160">
            <v>103331.68</v>
          </cell>
          <cell r="Z160">
            <v>101376.61</v>
          </cell>
          <cell r="AA160">
            <v>97466.47</v>
          </cell>
          <cell r="AB160">
            <v>99421.54</v>
          </cell>
          <cell r="AC160">
            <v>95511.4</v>
          </cell>
          <cell r="AD160">
            <v>93556.33</v>
          </cell>
          <cell r="AE160">
            <v>91601.26</v>
          </cell>
          <cell r="AF160">
            <v>89646.2</v>
          </cell>
          <cell r="AG160">
            <v>87691.13</v>
          </cell>
          <cell r="AH160">
            <v>85736.06</v>
          </cell>
          <cell r="AI160">
            <v>83780.990000000005</v>
          </cell>
          <cell r="AJ160">
            <v>81825.919999999998</v>
          </cell>
          <cell r="AK160">
            <v>79870.850000000006</v>
          </cell>
          <cell r="AL160">
            <v>77915.78</v>
          </cell>
          <cell r="AM160">
            <v>75960.710000000006</v>
          </cell>
          <cell r="AN160">
            <v>74005.64</v>
          </cell>
          <cell r="AO160">
            <v>72050.570000000007</v>
          </cell>
          <cell r="AP160">
            <v>70095.5</v>
          </cell>
          <cell r="AQ160">
            <v>68140.429999999993</v>
          </cell>
          <cell r="AR160">
            <v>66185.36</v>
          </cell>
          <cell r="AS160">
            <v>64230.29</v>
          </cell>
          <cell r="AT160">
            <v>62275.22</v>
          </cell>
          <cell r="AU160">
            <v>60320.15</v>
          </cell>
          <cell r="AV160">
            <v>58365.08</v>
          </cell>
          <cell r="AW160">
            <v>56410.01</v>
          </cell>
          <cell r="AX160">
            <v>54454.94</v>
          </cell>
          <cell r="AY160">
            <v>52499.87</v>
          </cell>
          <cell r="AZ160">
            <v>50544.800000000003</v>
          </cell>
          <cell r="BA160">
            <v>48589.73</v>
          </cell>
          <cell r="BB160">
            <v>46634.66</v>
          </cell>
          <cell r="BC160">
            <v>44679.59</v>
          </cell>
          <cell r="BD160">
            <v>42724.52</v>
          </cell>
          <cell r="BE160">
            <v>41671.4</v>
          </cell>
          <cell r="BF160">
            <v>41520.21</v>
          </cell>
          <cell r="BG160">
            <v>41369.01</v>
          </cell>
          <cell r="BH160">
            <v>41217.82</v>
          </cell>
          <cell r="BI160">
            <v>41066.629999999997</v>
          </cell>
          <cell r="BJ160">
            <v>40915.440000000002</v>
          </cell>
          <cell r="BK160">
            <v>40764.25</v>
          </cell>
          <cell r="BL160">
            <v>40613.06</v>
          </cell>
          <cell r="BM160">
            <v>40461.870000000003</v>
          </cell>
          <cell r="BN160">
            <v>40310.68</v>
          </cell>
          <cell r="BO160">
            <v>40159.480000000003</v>
          </cell>
          <cell r="BP160">
            <v>40008.29</v>
          </cell>
          <cell r="BQ160">
            <v>39857.1</v>
          </cell>
          <cell r="BR160">
            <v>39705.910000000003</v>
          </cell>
          <cell r="BS160">
            <v>39554.720000000001</v>
          </cell>
          <cell r="BT160">
            <v>39403.53</v>
          </cell>
          <cell r="BU160">
            <v>39252.33</v>
          </cell>
          <cell r="BV160">
            <v>39101.14</v>
          </cell>
          <cell r="BW160">
            <v>38949.949999999997</v>
          </cell>
          <cell r="BX160">
            <v>38798.76</v>
          </cell>
          <cell r="BY160">
            <v>38647.57</v>
          </cell>
          <cell r="BZ160">
            <v>38496.379999999997</v>
          </cell>
          <cell r="CA160">
            <v>38345.18</v>
          </cell>
          <cell r="CB160">
            <v>38193.99</v>
          </cell>
          <cell r="CC160">
            <v>38042.800000000003</v>
          </cell>
          <cell r="CD160">
            <v>37891.61</v>
          </cell>
          <cell r="CE160">
            <v>37740.42</v>
          </cell>
          <cell r="CF160">
            <v>37589.230000000003</v>
          </cell>
          <cell r="CG160">
            <v>37438.03</v>
          </cell>
          <cell r="CH160">
            <v>37286.839999999997</v>
          </cell>
          <cell r="CI160">
            <v>37135.65</v>
          </cell>
          <cell r="CJ160">
            <v>36984.46</v>
          </cell>
          <cell r="CK160">
            <v>36833.269999999997</v>
          </cell>
          <cell r="CL160">
            <v>36682.080000000002</v>
          </cell>
          <cell r="CM160">
            <v>36530.879999999997</v>
          </cell>
          <cell r="CN160">
            <v>36379.69</v>
          </cell>
          <cell r="CO160">
            <v>36228.5</v>
          </cell>
          <cell r="CP160">
            <v>36077.31</v>
          </cell>
          <cell r="CQ160">
            <v>35926.120000000003</v>
          </cell>
          <cell r="CR160">
            <v>35774.93</v>
          </cell>
          <cell r="CS160">
            <v>35623.730000000003</v>
          </cell>
          <cell r="CT160">
            <v>35472.54</v>
          </cell>
          <cell r="CU160">
            <v>35321.35</v>
          </cell>
          <cell r="CV160">
            <v>35170.160000000003</v>
          </cell>
          <cell r="CW160">
            <v>35018.97</v>
          </cell>
          <cell r="CX160">
            <v>34867.78</v>
          </cell>
          <cell r="CY160">
            <v>34716.58</v>
          </cell>
          <cell r="CZ160">
            <v>34565.39</v>
          </cell>
          <cell r="DA160">
            <v>34414.199999999997</v>
          </cell>
          <cell r="DB160">
            <v>34263.01</v>
          </cell>
          <cell r="DC160">
            <v>34111.82</v>
          </cell>
          <cell r="DD160">
            <v>33960.629999999997</v>
          </cell>
          <cell r="DE160">
            <v>33809.43</v>
          </cell>
          <cell r="DF160">
            <v>33658.239999999998</v>
          </cell>
          <cell r="DG160">
            <v>33507.050000000003</v>
          </cell>
          <cell r="DH160">
            <v>33355.86</v>
          </cell>
        </row>
        <row r="161">
          <cell r="C161" t="str">
            <v>Defd SIT FAS158</v>
          </cell>
          <cell r="D161">
            <v>950350.38</v>
          </cell>
          <cell r="E161">
            <v>950350.38</v>
          </cell>
          <cell r="F161">
            <v>950350.38</v>
          </cell>
          <cell r="G161">
            <v>929445.33</v>
          </cell>
          <cell r="H161">
            <v>929445.33</v>
          </cell>
          <cell r="I161">
            <v>907928.77</v>
          </cell>
          <cell r="J161">
            <v>929445.33</v>
          </cell>
          <cell r="K161">
            <v>907928.77</v>
          </cell>
          <cell r="L161">
            <v>907928.77</v>
          </cell>
          <cell r="M161">
            <v>896588.37</v>
          </cell>
          <cell r="N161">
            <v>896588.37</v>
          </cell>
          <cell r="O161">
            <v>896588.37</v>
          </cell>
          <cell r="P161">
            <v>1063261.7</v>
          </cell>
          <cell r="Q161">
            <v>1063261.7</v>
          </cell>
          <cell r="R161">
            <v>1063261.7</v>
          </cell>
          <cell r="S161">
            <v>1083207.22</v>
          </cell>
          <cell r="T161">
            <v>1083207.22</v>
          </cell>
          <cell r="U161">
            <v>1083207.22</v>
          </cell>
          <cell r="V161">
            <v>1017713.34</v>
          </cell>
          <cell r="W161">
            <v>1017713.34</v>
          </cell>
          <cell r="X161">
            <v>1000854.58</v>
          </cell>
          <cell r="Y161">
            <v>978080.34</v>
          </cell>
          <cell r="Z161">
            <v>978080.34</v>
          </cell>
          <cell r="AA161">
            <v>1381063.69</v>
          </cell>
          <cell r="AB161">
            <v>978080.34</v>
          </cell>
          <cell r="AC161">
            <v>1381063.69</v>
          </cell>
          <cell r="AD161">
            <v>1381063.69</v>
          </cell>
          <cell r="AE161">
            <v>1361603.7</v>
          </cell>
          <cell r="AF161">
            <v>1361603.7</v>
          </cell>
          <cell r="AG161">
            <v>1362113.83</v>
          </cell>
          <cell r="AH161">
            <v>1336162.52</v>
          </cell>
          <cell r="AI161">
            <v>1336162.52</v>
          </cell>
          <cell r="AJ161">
            <v>1336162.52</v>
          </cell>
          <cell r="AK161">
            <v>1800409.1</v>
          </cell>
          <cell r="AL161">
            <v>1800409.1</v>
          </cell>
          <cell r="AM161">
            <v>1800409.1</v>
          </cell>
          <cell r="AN161">
            <v>1558133.78</v>
          </cell>
          <cell r="AO161">
            <v>1558133.78</v>
          </cell>
          <cell r="AP161">
            <v>1558133.78</v>
          </cell>
          <cell r="AQ161">
            <v>1534838.69</v>
          </cell>
          <cell r="AR161">
            <v>1534838.69</v>
          </cell>
          <cell r="AS161">
            <v>1534838.69</v>
          </cell>
          <cell r="AT161">
            <v>1576930.85</v>
          </cell>
          <cell r="AU161">
            <v>1576930.85</v>
          </cell>
          <cell r="AV161">
            <v>1576930.85</v>
          </cell>
          <cell r="AW161">
            <v>1551656.86</v>
          </cell>
          <cell r="AX161">
            <v>1551656.86</v>
          </cell>
          <cell r="AY161">
            <v>1551656.86</v>
          </cell>
          <cell r="AZ161">
            <v>1445718.72</v>
          </cell>
          <cell r="BA161">
            <v>1445718.72</v>
          </cell>
          <cell r="BB161">
            <v>1445718.72</v>
          </cell>
          <cell r="BC161">
            <v>1419144.98</v>
          </cell>
          <cell r="BD161">
            <v>1419144.98</v>
          </cell>
          <cell r="BE161">
            <v>1419144.98</v>
          </cell>
          <cell r="BF161">
            <v>1389559.47</v>
          </cell>
          <cell r="BG161">
            <v>1389559.47</v>
          </cell>
          <cell r="BH161">
            <v>1389559.47</v>
          </cell>
          <cell r="BI161">
            <v>1362761.05</v>
          </cell>
          <cell r="BJ161">
            <v>1362761.05</v>
          </cell>
          <cell r="BK161">
            <v>1362761.05</v>
          </cell>
          <cell r="BL161">
            <v>1690554.69</v>
          </cell>
          <cell r="BM161">
            <v>1690554.69</v>
          </cell>
          <cell r="BN161">
            <v>1690554.69</v>
          </cell>
          <cell r="BO161">
            <v>1668742.19</v>
          </cell>
          <cell r="BP161">
            <v>1668742.19</v>
          </cell>
          <cell r="BQ161">
            <v>1668742.19</v>
          </cell>
          <cell r="BR161">
            <v>1644821.03</v>
          </cell>
          <cell r="BS161">
            <v>1644821.03</v>
          </cell>
          <cell r="BT161">
            <v>1644821.03</v>
          </cell>
          <cell r="BU161">
            <v>1621954.17</v>
          </cell>
          <cell r="BV161">
            <v>1621954.17</v>
          </cell>
          <cell r="BW161">
            <v>1621954.17</v>
          </cell>
          <cell r="BX161">
            <v>1633781.48</v>
          </cell>
          <cell r="BY161">
            <v>1633781.48</v>
          </cell>
          <cell r="BZ161">
            <v>1633781.48</v>
          </cell>
          <cell r="CA161">
            <v>1605185.21</v>
          </cell>
          <cell r="CB161">
            <v>1605185.21</v>
          </cell>
          <cell r="CC161">
            <v>1605185.21</v>
          </cell>
          <cell r="CD161">
            <v>1575000.39</v>
          </cell>
          <cell r="CE161">
            <v>1575000.39</v>
          </cell>
          <cell r="CF161">
            <v>1575000.39</v>
          </cell>
          <cell r="CG161">
            <v>1545609.82</v>
          </cell>
          <cell r="CH161">
            <v>1545609.82</v>
          </cell>
          <cell r="CI161">
            <v>1545609.82</v>
          </cell>
          <cell r="CJ161">
            <v>1888253.51</v>
          </cell>
          <cell r="CK161">
            <v>1888253.51</v>
          </cell>
          <cell r="CL161">
            <v>1888253.51</v>
          </cell>
          <cell r="CM161">
            <v>1849978.39</v>
          </cell>
          <cell r="CN161">
            <v>1849978.39</v>
          </cell>
          <cell r="CO161">
            <v>1849978.39</v>
          </cell>
          <cell r="CP161">
            <v>1811703.3</v>
          </cell>
          <cell r="CQ161">
            <v>1811703.3</v>
          </cell>
          <cell r="CR161">
            <v>1811703.3</v>
          </cell>
          <cell r="CS161">
            <v>1752318.47</v>
          </cell>
          <cell r="CT161">
            <v>1752318.47</v>
          </cell>
          <cell r="CU161">
            <v>1752318.47</v>
          </cell>
          <cell r="CV161">
            <v>1400125.04</v>
          </cell>
          <cell r="CW161">
            <v>1400125.04</v>
          </cell>
          <cell r="CX161">
            <v>1400125.04</v>
          </cell>
          <cell r="CY161">
            <v>1369637.21</v>
          </cell>
          <cell r="CZ161">
            <v>1369637.21</v>
          </cell>
          <cell r="DA161">
            <v>1369637.21</v>
          </cell>
          <cell r="DB161">
            <v>1275702.7</v>
          </cell>
          <cell r="DC161">
            <v>1275702.7</v>
          </cell>
          <cell r="DD161">
            <v>1275702.7</v>
          </cell>
          <cell r="DE161">
            <v>1244934.6200000001</v>
          </cell>
          <cell r="DF161">
            <v>1244934.6200000001</v>
          </cell>
          <cell r="DG161">
            <v>1244934.6200000001</v>
          </cell>
          <cell r="DH161">
            <v>1661619.46</v>
          </cell>
        </row>
        <row r="162">
          <cell r="C162" t="str">
            <v>Defd SIT FAS158 MedD</v>
          </cell>
          <cell r="D162">
            <v>5320</v>
          </cell>
          <cell r="E162">
            <v>5320</v>
          </cell>
          <cell r="F162">
            <v>5320</v>
          </cell>
          <cell r="G162">
            <v>5320</v>
          </cell>
          <cell r="H162">
            <v>5320</v>
          </cell>
          <cell r="I162">
            <v>5320</v>
          </cell>
          <cell r="J162">
            <v>5320</v>
          </cell>
          <cell r="K162">
            <v>5320</v>
          </cell>
          <cell r="L162">
            <v>5320</v>
          </cell>
          <cell r="M162">
            <v>5320</v>
          </cell>
          <cell r="N162">
            <v>5320</v>
          </cell>
          <cell r="O162">
            <v>5320</v>
          </cell>
          <cell r="P162">
            <v>5320</v>
          </cell>
          <cell r="Q162">
            <v>5320</v>
          </cell>
          <cell r="R162">
            <v>5320</v>
          </cell>
          <cell r="S162">
            <v>5320</v>
          </cell>
          <cell r="T162">
            <v>5320</v>
          </cell>
          <cell r="U162">
            <v>5320</v>
          </cell>
          <cell r="V162">
            <v>5320</v>
          </cell>
          <cell r="W162">
            <v>5320</v>
          </cell>
          <cell r="X162">
            <v>5320</v>
          </cell>
          <cell r="Y162">
            <v>5320</v>
          </cell>
          <cell r="Z162">
            <v>5320</v>
          </cell>
          <cell r="AA162">
            <v>5320</v>
          </cell>
          <cell r="AB162">
            <v>5320</v>
          </cell>
          <cell r="AC162">
            <v>5320</v>
          </cell>
          <cell r="AD162">
            <v>5320</v>
          </cell>
          <cell r="AE162">
            <v>5320</v>
          </cell>
          <cell r="AF162">
            <v>5320</v>
          </cell>
          <cell r="AG162">
            <v>5320</v>
          </cell>
          <cell r="AH162">
            <v>5320</v>
          </cell>
          <cell r="AI162">
            <v>5320</v>
          </cell>
          <cell r="AJ162">
            <v>5320</v>
          </cell>
          <cell r="AK162">
            <v>5320</v>
          </cell>
          <cell r="AL162">
            <v>5320</v>
          </cell>
          <cell r="AM162">
            <v>5320</v>
          </cell>
          <cell r="AN162">
            <v>5320</v>
          </cell>
          <cell r="AO162">
            <v>5320</v>
          </cell>
          <cell r="AP162">
            <v>5320</v>
          </cell>
          <cell r="AQ162">
            <v>5320</v>
          </cell>
          <cell r="AR162">
            <v>5320</v>
          </cell>
          <cell r="AS162">
            <v>5320</v>
          </cell>
          <cell r="AT162">
            <v>5320</v>
          </cell>
          <cell r="AU162">
            <v>5320</v>
          </cell>
          <cell r="AV162">
            <v>5320</v>
          </cell>
          <cell r="AW162">
            <v>5320</v>
          </cell>
          <cell r="AX162">
            <v>5320</v>
          </cell>
          <cell r="AY162">
            <v>5320</v>
          </cell>
          <cell r="AZ162">
            <v>5320</v>
          </cell>
          <cell r="BA162">
            <v>5320</v>
          </cell>
          <cell r="BB162">
            <v>5320</v>
          </cell>
          <cell r="BC162">
            <v>5320</v>
          </cell>
          <cell r="BD162">
            <v>5320</v>
          </cell>
          <cell r="BE162">
            <v>5320</v>
          </cell>
          <cell r="BF162">
            <v>5320</v>
          </cell>
          <cell r="BG162">
            <v>5320</v>
          </cell>
          <cell r="BH162">
            <v>5320</v>
          </cell>
          <cell r="BI162">
            <v>5320</v>
          </cell>
          <cell r="BJ162">
            <v>5320</v>
          </cell>
          <cell r="BK162">
            <v>5320</v>
          </cell>
          <cell r="BL162">
            <v>5320</v>
          </cell>
          <cell r="BM162">
            <v>5320</v>
          </cell>
          <cell r="BN162">
            <v>5320</v>
          </cell>
          <cell r="BO162">
            <v>5320</v>
          </cell>
          <cell r="BP162">
            <v>5320</v>
          </cell>
          <cell r="BQ162">
            <v>5320</v>
          </cell>
          <cell r="BR162">
            <v>5320</v>
          </cell>
          <cell r="BS162">
            <v>5320</v>
          </cell>
          <cell r="BT162">
            <v>5320</v>
          </cell>
          <cell r="BU162">
            <v>5320</v>
          </cell>
          <cell r="BV162">
            <v>5320</v>
          </cell>
          <cell r="BW162">
            <v>5320</v>
          </cell>
          <cell r="BX162">
            <v>5320</v>
          </cell>
          <cell r="BY162">
            <v>5320</v>
          </cell>
          <cell r="BZ162">
            <v>5320</v>
          </cell>
          <cell r="CA162">
            <v>5320</v>
          </cell>
          <cell r="CB162">
            <v>5320</v>
          </cell>
          <cell r="CC162">
            <v>5320</v>
          </cell>
          <cell r="CD162">
            <v>5320</v>
          </cell>
          <cell r="CE162">
            <v>5320</v>
          </cell>
          <cell r="CF162">
            <v>5320</v>
          </cell>
          <cell r="CG162">
            <v>5320</v>
          </cell>
          <cell r="CH162">
            <v>5320</v>
          </cell>
          <cell r="CI162">
            <v>5320</v>
          </cell>
          <cell r="CJ162">
            <v>5320</v>
          </cell>
          <cell r="CK162">
            <v>5320</v>
          </cell>
          <cell r="CL162">
            <v>5320</v>
          </cell>
          <cell r="CM162">
            <v>5320</v>
          </cell>
          <cell r="CN162">
            <v>5320</v>
          </cell>
          <cell r="CO162">
            <v>5320</v>
          </cell>
          <cell r="CP162">
            <v>5320</v>
          </cell>
          <cell r="CQ162">
            <v>5320</v>
          </cell>
          <cell r="CR162">
            <v>5320</v>
          </cell>
          <cell r="CS162">
            <v>5320</v>
          </cell>
          <cell r="CT162">
            <v>5320</v>
          </cell>
          <cell r="CU162">
            <v>5320</v>
          </cell>
          <cell r="CV162">
            <v>5320</v>
          </cell>
          <cell r="CW162">
            <v>5320</v>
          </cell>
          <cell r="CX162">
            <v>5320</v>
          </cell>
          <cell r="CY162">
            <v>5320</v>
          </cell>
          <cell r="CZ162">
            <v>5320</v>
          </cell>
          <cell r="DA162">
            <v>5320</v>
          </cell>
          <cell r="DB162">
            <v>5320</v>
          </cell>
          <cell r="DC162">
            <v>5320</v>
          </cell>
          <cell r="DD162">
            <v>5320</v>
          </cell>
          <cell r="DE162">
            <v>5320</v>
          </cell>
          <cell r="DF162">
            <v>5320</v>
          </cell>
          <cell r="DG162">
            <v>5320</v>
          </cell>
          <cell r="DH162">
            <v>5320</v>
          </cell>
        </row>
        <row r="163">
          <cell r="C163" t="str">
            <v>Defd SIT Credits</v>
          </cell>
          <cell r="D163"/>
          <cell r="E163"/>
          <cell r="F163"/>
          <cell r="G163"/>
          <cell r="H163"/>
          <cell r="I163"/>
          <cell r="J163"/>
          <cell r="K163"/>
          <cell r="L163"/>
          <cell r="M163"/>
          <cell r="N163"/>
          <cell r="O163"/>
          <cell r="P163"/>
          <cell r="Q163"/>
          <cell r="R163"/>
          <cell r="S163"/>
          <cell r="T163"/>
          <cell r="U163"/>
          <cell r="V163"/>
          <cell r="W163"/>
          <cell r="X163">
            <v>786467</v>
          </cell>
          <cell r="Y163">
            <v>786467</v>
          </cell>
          <cell r="Z163">
            <v>786467</v>
          </cell>
          <cell r="AA163">
            <v>786467</v>
          </cell>
          <cell r="AB163">
            <v>786467</v>
          </cell>
          <cell r="AC163">
            <v>786467</v>
          </cell>
          <cell r="AD163">
            <v>786467</v>
          </cell>
          <cell r="AE163">
            <v>786467</v>
          </cell>
          <cell r="AF163">
            <v>786467</v>
          </cell>
          <cell r="AG163">
            <v>786467</v>
          </cell>
          <cell r="AH163">
            <v>511203.55</v>
          </cell>
          <cell r="AI163">
            <v>511203.55</v>
          </cell>
          <cell r="AJ163">
            <v>511203.55</v>
          </cell>
          <cell r="AK163">
            <v>511203.55</v>
          </cell>
          <cell r="AL163">
            <v>511203.55</v>
          </cell>
          <cell r="AM163">
            <v>511203.55</v>
          </cell>
          <cell r="AN163">
            <v>511203.55</v>
          </cell>
          <cell r="AO163">
            <v>511203.55</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row>
        <row r="164">
          <cell r="C164" t="str">
            <v>Defd Tax ValAllw</v>
          </cell>
          <cell r="D164"/>
          <cell r="E164"/>
          <cell r="F164"/>
          <cell r="G164"/>
          <cell r="H164"/>
          <cell r="I164"/>
          <cell r="J164"/>
          <cell r="K164"/>
          <cell r="L164"/>
          <cell r="M164"/>
          <cell r="N164"/>
          <cell r="O164"/>
          <cell r="P164"/>
          <cell r="Q164"/>
          <cell r="R164"/>
          <cell r="S164"/>
          <cell r="T164"/>
          <cell r="U164"/>
          <cell r="V164"/>
          <cell r="W164"/>
          <cell r="X164"/>
          <cell r="Y164"/>
          <cell r="Z164"/>
          <cell r="AA164"/>
          <cell r="AB164"/>
          <cell r="AC164"/>
          <cell r="AD164"/>
          <cell r="AE164"/>
          <cell r="AF164">
            <v>0</v>
          </cell>
          <cell r="AG164">
            <v>0</v>
          </cell>
          <cell r="AH164">
            <v>-61344.4</v>
          </cell>
          <cell r="AI164">
            <v>-61344.4</v>
          </cell>
          <cell r="AJ164">
            <v>-61344.4</v>
          </cell>
          <cell r="AK164">
            <v>-61344.4</v>
          </cell>
          <cell r="AL164">
            <v>-61344.4</v>
          </cell>
          <cell r="AM164">
            <v>-61344.4</v>
          </cell>
          <cell r="AN164">
            <v>-61344.4</v>
          </cell>
          <cell r="AO164">
            <v>-61344.4</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row>
        <row r="165">
          <cell r="C165" t="str">
            <v>Unrcv PurcGas Cst C</v>
          </cell>
          <cell r="D165">
            <v>-96106223.920000002</v>
          </cell>
          <cell r="E165">
            <v>-96394532.439999998</v>
          </cell>
          <cell r="F165">
            <v>-99828320.439999998</v>
          </cell>
          <cell r="G165">
            <v>-98512647.439999998</v>
          </cell>
          <cell r="H165">
            <v>-100061166.2</v>
          </cell>
          <cell r="I165">
            <v>-99400115.129999995</v>
          </cell>
          <cell r="J165">
            <v>-97764840.200000003</v>
          </cell>
          <cell r="K165">
            <v>-100056751.18000001</v>
          </cell>
          <cell r="L165">
            <v>-100443908.18000001</v>
          </cell>
          <cell r="M165">
            <v>-100322514.18000001</v>
          </cell>
          <cell r="N165">
            <v>-98457434.180000007</v>
          </cell>
          <cell r="O165">
            <v>-93170295.180000007</v>
          </cell>
          <cell r="P165">
            <v>-95671733.079999998</v>
          </cell>
          <cell r="Q165">
            <v>-97818951.079999998</v>
          </cell>
          <cell r="R165">
            <v>-98769599.079999998</v>
          </cell>
          <cell r="S165">
            <v>-101256492.08</v>
          </cell>
          <cell r="T165">
            <v>-100332145.08</v>
          </cell>
          <cell r="U165">
            <v>-100412482.08</v>
          </cell>
          <cell r="V165">
            <v>-103136454.08</v>
          </cell>
          <cell r="W165">
            <v>-102453662.08</v>
          </cell>
          <cell r="X165">
            <v>-103265220.08</v>
          </cell>
          <cell r="Y165">
            <v>-103307102.08</v>
          </cell>
          <cell r="Z165">
            <v>-101491686.08</v>
          </cell>
          <cell r="AA165">
            <v>-101425799.06999999</v>
          </cell>
          <cell r="AB165">
            <v>-100274678.08</v>
          </cell>
          <cell r="AC165">
            <v>-104182998.06999999</v>
          </cell>
          <cell r="AD165">
            <v>-110531518.27</v>
          </cell>
          <cell r="AE165">
            <v>-113125774.27</v>
          </cell>
          <cell r="AF165">
            <v>-114438345.27</v>
          </cell>
          <cell r="AG165">
            <v>-116374299.27</v>
          </cell>
          <cell r="AH165">
            <v>-118691714.27</v>
          </cell>
          <cell r="AI165">
            <v>-119986027.59999999</v>
          </cell>
          <cell r="AJ165">
            <v>-120886961.59999999</v>
          </cell>
          <cell r="AK165">
            <v>-120415701.59999999</v>
          </cell>
          <cell r="AL165">
            <v>-117749437.59999999</v>
          </cell>
          <cell r="AM165">
            <v>-115012916.59999999</v>
          </cell>
          <cell r="AN165">
            <v>-114552574.54000001</v>
          </cell>
          <cell r="AO165">
            <v>-114567801.54000001</v>
          </cell>
          <cell r="AP165">
            <v>-117692525.55</v>
          </cell>
          <cell r="AQ165">
            <v>-114430444.55</v>
          </cell>
          <cell r="AR165">
            <v>-115333953.55</v>
          </cell>
          <cell r="AS165">
            <v>-115302898.55</v>
          </cell>
          <cell r="AT165">
            <v>-114351282.55</v>
          </cell>
          <cell r="AU165">
            <v>-113167939.91</v>
          </cell>
          <cell r="AV165">
            <v>-111983976.91</v>
          </cell>
          <cell r="AW165">
            <v>-113177314.91</v>
          </cell>
          <cell r="AX165">
            <v>-109761241.91</v>
          </cell>
          <cell r="AY165">
            <v>-108607491.91</v>
          </cell>
          <cell r="AZ165">
            <v>-109278934.06999999</v>
          </cell>
          <cell r="BA165">
            <v>-114575765.06999999</v>
          </cell>
          <cell r="BB165">
            <v>-120659536.06999999</v>
          </cell>
          <cell r="BC165">
            <v>-118040921.06999999</v>
          </cell>
          <cell r="BD165">
            <v>-121708933.06999999</v>
          </cell>
          <cell r="BE165">
            <v>-121584129.06999999</v>
          </cell>
          <cell r="BF165">
            <v>-122137109.06999999</v>
          </cell>
          <cell r="BG165">
            <v>-122271981.34</v>
          </cell>
          <cell r="BH165">
            <v>-121868162.34</v>
          </cell>
          <cell r="BI165">
            <v>-122380938.34</v>
          </cell>
          <cell r="BJ165">
            <v>-119323885.39</v>
          </cell>
          <cell r="BK165">
            <v>-112994846.39</v>
          </cell>
          <cell r="BL165">
            <v>-109747687.8</v>
          </cell>
          <cell r="BM165">
            <v>-111530054.95</v>
          </cell>
          <cell r="BN165">
            <v>-114924164.95</v>
          </cell>
          <cell r="BO165">
            <v>-115966382.95</v>
          </cell>
          <cell r="BP165">
            <v>-118894174.95</v>
          </cell>
          <cell r="BQ165">
            <v>-121312929.95</v>
          </cell>
          <cell r="BR165">
            <v>-122461259.95</v>
          </cell>
          <cell r="BS165">
            <v>-122621523.95</v>
          </cell>
          <cell r="BT165">
            <v>-121061920.95</v>
          </cell>
          <cell r="BU165">
            <v>-121615677.61</v>
          </cell>
          <cell r="BV165">
            <v>-118995406.61</v>
          </cell>
          <cell r="BW165">
            <v>-116667471.61</v>
          </cell>
          <cell r="BX165">
            <v>-117770364.61</v>
          </cell>
          <cell r="BY165">
            <v>-121160462.61</v>
          </cell>
          <cell r="BZ165">
            <v>-124245125.78</v>
          </cell>
          <cell r="CA165">
            <v>-125475141.78</v>
          </cell>
          <cell r="CB165">
            <v>-126115777.78</v>
          </cell>
          <cell r="CC165">
            <v>-125579668.78</v>
          </cell>
          <cell r="CD165">
            <v>-126229763.78</v>
          </cell>
          <cell r="CE165">
            <v>-125646219.78</v>
          </cell>
          <cell r="CF165">
            <v>-123137797.78</v>
          </cell>
          <cell r="CG165">
            <v>-122343773.94</v>
          </cell>
          <cell r="CH165">
            <v>-118327958.94</v>
          </cell>
          <cell r="CI165">
            <v>-114832209.13</v>
          </cell>
          <cell r="CJ165">
            <v>-114047246.16</v>
          </cell>
          <cell r="CK165">
            <v>-117674224.16</v>
          </cell>
          <cell r="CL165">
            <v>-115144037.5</v>
          </cell>
          <cell r="CM165">
            <v>-113837467.5</v>
          </cell>
          <cell r="CN165">
            <v>-117659334.5</v>
          </cell>
          <cell r="CO165">
            <v>-118055349.5</v>
          </cell>
          <cell r="CP165">
            <v>-117314832.5</v>
          </cell>
          <cell r="CQ165">
            <v>-117625812.5</v>
          </cell>
          <cell r="CR165">
            <v>-116615187.5</v>
          </cell>
          <cell r="CS165">
            <v>-115139066.68000001</v>
          </cell>
          <cell r="CT165">
            <v>-107422458.68000001</v>
          </cell>
          <cell r="CU165">
            <v>-99629730.189999998</v>
          </cell>
          <cell r="CV165">
            <v>-100110911.19</v>
          </cell>
          <cell r="CW165">
            <v>-104672602.19</v>
          </cell>
          <cell r="CX165">
            <v>-110039088.2</v>
          </cell>
          <cell r="CY165">
            <v>-109475913.64</v>
          </cell>
          <cell r="CZ165">
            <v>-114118512.94</v>
          </cell>
          <cell r="DA165">
            <v>-112536098.94</v>
          </cell>
          <cell r="DB165">
            <v>-112835867.94</v>
          </cell>
          <cell r="DC165">
            <v>-113597568.94</v>
          </cell>
          <cell r="DD165">
            <v>-117167764.39</v>
          </cell>
          <cell r="DE165">
            <v>-122367926.56</v>
          </cell>
          <cell r="DF165">
            <v>-125506772.56</v>
          </cell>
          <cell r="DG165">
            <v>-115559908.56</v>
          </cell>
          <cell r="DH165">
            <v>-110077972.56</v>
          </cell>
        </row>
        <row r="166">
          <cell r="C166" t="str">
            <v>PurchGas Drv Stld C</v>
          </cell>
          <cell r="D166">
            <v>99135200.140000001</v>
          </cell>
          <cell r="E166">
            <v>98722850.140000001</v>
          </cell>
          <cell r="F166">
            <v>97137940.140000001</v>
          </cell>
          <cell r="G166">
            <v>96641460.140000001</v>
          </cell>
          <cell r="H166">
            <v>96235685.140000001</v>
          </cell>
          <cell r="I166">
            <v>95668535.140000001</v>
          </cell>
          <cell r="J166">
            <v>95893455.140000001</v>
          </cell>
          <cell r="K166">
            <v>95561065.140000001</v>
          </cell>
          <cell r="L166">
            <v>95758605.140000001</v>
          </cell>
          <cell r="M166">
            <v>95906895.140000001</v>
          </cell>
          <cell r="N166">
            <v>96030895.140000001</v>
          </cell>
          <cell r="O166">
            <v>96432405.140000001</v>
          </cell>
          <cell r="P166">
            <v>96494455.140000001</v>
          </cell>
          <cell r="Q166">
            <v>97819350.140000001</v>
          </cell>
          <cell r="R166">
            <v>99294180.140000001</v>
          </cell>
          <cell r="S166">
            <v>100140360.14</v>
          </cell>
          <cell r="T166">
            <v>100888430.14</v>
          </cell>
          <cell r="U166">
            <v>101465100.14</v>
          </cell>
          <cell r="V166">
            <v>101894990.14</v>
          </cell>
          <cell r="W166">
            <v>102347520.14</v>
          </cell>
          <cell r="X166">
            <v>102678190.14</v>
          </cell>
          <cell r="Y166">
            <v>103141990.14</v>
          </cell>
          <cell r="Z166">
            <v>103742890.14</v>
          </cell>
          <cell r="AA166">
            <v>106243330.14</v>
          </cell>
          <cell r="AB166">
            <v>104841160.14</v>
          </cell>
          <cell r="AC166">
            <v>108059660.14</v>
          </cell>
          <cell r="AD166">
            <v>109407050.14</v>
          </cell>
          <cell r="AE166">
            <v>110445060.14</v>
          </cell>
          <cell r="AF166">
            <v>111046550.14</v>
          </cell>
          <cell r="AG166">
            <v>111456145.14</v>
          </cell>
          <cell r="AH166">
            <v>111866685.14</v>
          </cell>
          <cell r="AI166">
            <v>111934325.14</v>
          </cell>
          <cell r="AJ166">
            <v>112064995.14</v>
          </cell>
          <cell r="AK166">
            <v>112131775.14</v>
          </cell>
          <cell r="AL166">
            <v>112203715.14</v>
          </cell>
          <cell r="AM166">
            <v>112354875.14</v>
          </cell>
          <cell r="AN166">
            <v>112375905.14</v>
          </cell>
          <cell r="AO166">
            <v>111925455.14</v>
          </cell>
          <cell r="AP166">
            <v>111887535.14</v>
          </cell>
          <cell r="AQ166">
            <v>112135590.14</v>
          </cell>
          <cell r="AR166">
            <v>112082620.14</v>
          </cell>
          <cell r="AS166">
            <v>112043480.14</v>
          </cell>
          <cell r="AT166">
            <v>112017500.14</v>
          </cell>
          <cell r="AU166">
            <v>112027580.14</v>
          </cell>
          <cell r="AV166">
            <v>112046830.14</v>
          </cell>
          <cell r="AW166">
            <v>112052030.14</v>
          </cell>
          <cell r="AX166">
            <v>112054680.14</v>
          </cell>
          <cell r="AY166">
            <v>112113300.14</v>
          </cell>
          <cell r="AZ166">
            <v>112113600.14</v>
          </cell>
          <cell r="BA166">
            <v>112191700.14</v>
          </cell>
          <cell r="BB166">
            <v>112113980.14</v>
          </cell>
          <cell r="BC166">
            <v>112172800.14</v>
          </cell>
          <cell r="BD166">
            <v>112185955.14</v>
          </cell>
          <cell r="BE166">
            <v>112183915.14</v>
          </cell>
          <cell r="BF166">
            <v>112183915.14</v>
          </cell>
          <cell r="BG166">
            <v>112177555.14</v>
          </cell>
          <cell r="BH166">
            <v>112179865.14</v>
          </cell>
          <cell r="BI166">
            <v>112178755.14</v>
          </cell>
          <cell r="BJ166">
            <v>112174515.14</v>
          </cell>
          <cell r="BK166">
            <v>112159865.14</v>
          </cell>
          <cell r="BL166">
            <v>112159865.14</v>
          </cell>
          <cell r="BM166">
            <v>112159865.14</v>
          </cell>
          <cell r="BN166">
            <v>112159865.14</v>
          </cell>
          <cell r="BO166">
            <v>112159865.14</v>
          </cell>
          <cell r="BP166">
            <v>112159865.14</v>
          </cell>
          <cell r="BQ166">
            <v>112159865.14</v>
          </cell>
          <cell r="BR166">
            <v>112159865.14</v>
          </cell>
          <cell r="BS166">
            <v>112159865.14</v>
          </cell>
          <cell r="BT166">
            <v>112159865.14</v>
          </cell>
          <cell r="BU166">
            <v>112159865.14</v>
          </cell>
          <cell r="BV166">
            <v>112159865.14</v>
          </cell>
          <cell r="BW166">
            <v>112159865.14</v>
          </cell>
          <cell r="BX166">
            <v>112159865.14</v>
          </cell>
          <cell r="BY166">
            <v>112159865.14</v>
          </cell>
          <cell r="BZ166">
            <v>112159865.14</v>
          </cell>
          <cell r="CA166">
            <v>112159865.14</v>
          </cell>
          <cell r="CB166">
            <v>112159865.14</v>
          </cell>
          <cell r="CC166">
            <v>112159865.14</v>
          </cell>
          <cell r="CD166">
            <v>112159865.14</v>
          </cell>
          <cell r="CE166">
            <v>112159865.14</v>
          </cell>
          <cell r="CF166">
            <v>112159865.14</v>
          </cell>
          <cell r="CG166">
            <v>112159865.14</v>
          </cell>
          <cell r="CH166">
            <v>112159865.14</v>
          </cell>
          <cell r="CI166">
            <v>112159865.14</v>
          </cell>
          <cell r="CJ166">
            <v>112159865.14</v>
          </cell>
          <cell r="CK166">
            <v>112159865.14</v>
          </cell>
          <cell r="CL166">
            <v>112159865.14</v>
          </cell>
          <cell r="CM166">
            <v>112159865.14</v>
          </cell>
          <cell r="CN166">
            <v>112159865.14</v>
          </cell>
          <cell r="CO166">
            <v>112159865.14</v>
          </cell>
          <cell r="CP166">
            <v>112159865.14</v>
          </cell>
          <cell r="CQ166">
            <v>112159865.14</v>
          </cell>
          <cell r="CR166">
            <v>112159865.14</v>
          </cell>
          <cell r="CS166">
            <v>112159865.14</v>
          </cell>
          <cell r="CT166">
            <v>112159865.14</v>
          </cell>
          <cell r="CU166">
            <v>112159865.14</v>
          </cell>
          <cell r="CV166">
            <v>112159865.14</v>
          </cell>
          <cell r="CW166">
            <v>112159865.14</v>
          </cell>
          <cell r="CX166">
            <v>112159865.14</v>
          </cell>
          <cell r="CY166">
            <v>112159865.14</v>
          </cell>
          <cell r="CZ166">
            <v>112159865.14</v>
          </cell>
          <cell r="DA166">
            <v>112159865.14</v>
          </cell>
          <cell r="DB166">
            <v>112159865.14</v>
          </cell>
          <cell r="DC166">
            <v>112159865.14</v>
          </cell>
          <cell r="DD166">
            <v>112159865.14</v>
          </cell>
          <cell r="DE166">
            <v>112159865.14</v>
          </cell>
          <cell r="DF166">
            <v>112159865.14</v>
          </cell>
          <cell r="DG166">
            <v>112159865.14</v>
          </cell>
          <cell r="DH166">
            <v>112159865.14</v>
          </cell>
        </row>
        <row r="167">
          <cell r="C167" t="str">
            <v>PurGasAdj Contra C</v>
          </cell>
          <cell r="D167">
            <v>0</v>
          </cell>
          <cell r="E167">
            <v>0</v>
          </cell>
          <cell r="F167">
            <v>2690380.3</v>
          </cell>
          <cell r="G167">
            <v>1871187.3</v>
          </cell>
          <cell r="H167">
            <v>3825481.06</v>
          </cell>
          <cell r="I167">
            <v>3731579.99</v>
          </cell>
          <cell r="J167">
            <v>1871385.06</v>
          </cell>
          <cell r="K167">
            <v>4495686.04</v>
          </cell>
          <cell r="L167">
            <v>4685303.04</v>
          </cell>
          <cell r="M167">
            <v>4415619.04</v>
          </cell>
          <cell r="N167">
            <v>2426539.04</v>
          </cell>
          <cell r="O167">
            <v>0</v>
          </cell>
          <cell r="P167">
            <v>0</v>
          </cell>
          <cell r="Q167">
            <v>0</v>
          </cell>
          <cell r="R167">
            <v>0</v>
          </cell>
          <cell r="S167">
            <v>1116132</v>
          </cell>
          <cell r="T167">
            <v>0</v>
          </cell>
          <cell r="U167">
            <v>0</v>
          </cell>
          <cell r="V167">
            <v>1241464</v>
          </cell>
          <cell r="W167">
            <v>106142</v>
          </cell>
          <cell r="X167">
            <v>587030</v>
          </cell>
          <cell r="Y167">
            <v>165112</v>
          </cell>
          <cell r="Z167">
            <v>0</v>
          </cell>
          <cell r="AA167">
            <v>0</v>
          </cell>
          <cell r="AB167">
            <v>0</v>
          </cell>
          <cell r="AC167">
            <v>0</v>
          </cell>
          <cell r="AD167">
            <v>1124468.1299999999</v>
          </cell>
          <cell r="AE167">
            <v>2680714.13</v>
          </cell>
          <cell r="AF167">
            <v>3391795.13</v>
          </cell>
          <cell r="AG167">
            <v>4918154.13</v>
          </cell>
          <cell r="AH167">
            <v>6825029.1299999999</v>
          </cell>
          <cell r="AI167">
            <v>8051702.46</v>
          </cell>
          <cell r="AJ167">
            <v>8821966.4600000009</v>
          </cell>
          <cell r="AK167">
            <v>8283926.46</v>
          </cell>
          <cell r="AL167">
            <v>5545722.46</v>
          </cell>
          <cell r="AM167">
            <v>2658041.46</v>
          </cell>
          <cell r="AN167">
            <v>2176669.4</v>
          </cell>
          <cell r="AO167">
            <v>2642346.4</v>
          </cell>
          <cell r="AP167">
            <v>5804990.4100000001</v>
          </cell>
          <cell r="AQ167">
            <v>2294854.41</v>
          </cell>
          <cell r="AR167">
            <v>3251333.41</v>
          </cell>
          <cell r="AS167">
            <v>3259418.41</v>
          </cell>
          <cell r="AT167">
            <v>2333782.41</v>
          </cell>
          <cell r="AU167">
            <v>1140359.77</v>
          </cell>
          <cell r="AV167">
            <v>0</v>
          </cell>
          <cell r="AW167">
            <v>1125284.77</v>
          </cell>
          <cell r="AX167">
            <v>0</v>
          </cell>
          <cell r="AY167">
            <v>0</v>
          </cell>
          <cell r="AZ167">
            <v>0</v>
          </cell>
          <cell r="BA167">
            <v>2384064.9300000002</v>
          </cell>
          <cell r="BB167">
            <v>8545555.9299999997</v>
          </cell>
          <cell r="BC167">
            <v>5868120.9299999997</v>
          </cell>
          <cell r="BD167">
            <v>9522977.9299999997</v>
          </cell>
          <cell r="BE167">
            <v>9400213.9299999997</v>
          </cell>
          <cell r="BF167">
            <v>9953193.9299999997</v>
          </cell>
          <cell r="BG167">
            <v>10094432.93</v>
          </cell>
          <cell r="BH167">
            <v>9688297.1999999993</v>
          </cell>
          <cell r="BI167">
            <v>10202183.199999999</v>
          </cell>
          <cell r="BJ167">
            <v>7149370.25</v>
          </cell>
          <cell r="BK167">
            <v>834981.25</v>
          </cell>
          <cell r="BL167">
            <v>0</v>
          </cell>
          <cell r="BM167">
            <v>0</v>
          </cell>
          <cell r="BN167">
            <v>2764299.81</v>
          </cell>
          <cell r="BO167">
            <v>3806517.81</v>
          </cell>
          <cell r="BP167">
            <v>6734309.8099999996</v>
          </cell>
          <cell r="BQ167">
            <v>9153064.8100000005</v>
          </cell>
          <cell r="BR167">
            <v>10301394.810000001</v>
          </cell>
          <cell r="BS167">
            <v>10461658.810000001</v>
          </cell>
          <cell r="BT167">
            <v>8902055.8100000005</v>
          </cell>
          <cell r="BU167">
            <v>9455812.4700000007</v>
          </cell>
          <cell r="BV167">
            <v>6835541.4699999997</v>
          </cell>
          <cell r="BW167">
            <v>4507606.47</v>
          </cell>
          <cell r="BX167">
            <v>5610499.4699999997</v>
          </cell>
          <cell r="BY167">
            <v>9000597.4700000007</v>
          </cell>
          <cell r="BZ167">
            <v>12085260.640000001</v>
          </cell>
          <cell r="CA167">
            <v>13315276.640000001</v>
          </cell>
          <cell r="CB167">
            <v>13955912.640000001</v>
          </cell>
          <cell r="CC167">
            <v>13419803.640000001</v>
          </cell>
          <cell r="CD167">
            <v>14069898.640000001</v>
          </cell>
          <cell r="CE167">
            <v>13486354.640000001</v>
          </cell>
          <cell r="CF167">
            <v>10977932.640000001</v>
          </cell>
          <cell r="CG167">
            <v>10183908.800000001</v>
          </cell>
          <cell r="CH167">
            <v>6168093.7999999998</v>
          </cell>
          <cell r="CI167">
            <v>2672343.9900000002</v>
          </cell>
          <cell r="CJ167">
            <v>1887381.02</v>
          </cell>
          <cell r="CK167">
            <v>5514359.0199999996</v>
          </cell>
          <cell r="CL167">
            <v>2984172.36</v>
          </cell>
          <cell r="CM167">
            <v>1677602.36</v>
          </cell>
          <cell r="CN167">
            <v>5499469.3600000003</v>
          </cell>
          <cell r="CO167">
            <v>5895484.3600000003</v>
          </cell>
          <cell r="CP167">
            <v>5154967.3600000003</v>
          </cell>
          <cell r="CQ167">
            <v>5465947.3600000003</v>
          </cell>
          <cell r="CR167">
            <v>4455322.3600000003</v>
          </cell>
          <cell r="CS167">
            <v>2979201.54</v>
          </cell>
          <cell r="CT167">
            <v>0</v>
          </cell>
          <cell r="CU167">
            <v>0</v>
          </cell>
          <cell r="CV167">
            <v>0</v>
          </cell>
          <cell r="CW167">
            <v>0</v>
          </cell>
          <cell r="CX167">
            <v>0</v>
          </cell>
          <cell r="CY167">
            <v>0</v>
          </cell>
          <cell r="CZ167">
            <v>1958647.8</v>
          </cell>
          <cell r="DA167">
            <v>376233.8</v>
          </cell>
          <cell r="DB167">
            <v>676002.8</v>
          </cell>
          <cell r="DC167">
            <v>1437703.8</v>
          </cell>
          <cell r="DD167">
            <v>5007899.25</v>
          </cell>
          <cell r="DE167">
            <v>10208061.42</v>
          </cell>
          <cell r="DF167">
            <v>13346907.42</v>
          </cell>
          <cell r="DG167">
            <v>3400043.42</v>
          </cell>
          <cell r="DH167">
            <v>0</v>
          </cell>
        </row>
        <row r="168">
          <cell r="C168" t="str">
            <v>PurGasAdj Reclass C</v>
          </cell>
          <cell r="D168">
            <v>0</v>
          </cell>
          <cell r="E168">
            <v>0</v>
          </cell>
          <cell r="F168">
            <v>-2690380.3</v>
          </cell>
          <cell r="G168">
            <v>-1871187.3</v>
          </cell>
          <cell r="H168">
            <v>-3825481.06</v>
          </cell>
          <cell r="I168">
            <v>-3731579.99</v>
          </cell>
          <cell r="J168">
            <v>-1871385.06</v>
          </cell>
          <cell r="K168">
            <v>-4495686.04</v>
          </cell>
          <cell r="L168">
            <v>-4685303.04</v>
          </cell>
          <cell r="M168">
            <v>-4415619.04</v>
          </cell>
          <cell r="N168">
            <v>-2426539.04</v>
          </cell>
          <cell r="O168">
            <v>0</v>
          </cell>
          <cell r="P168">
            <v>0</v>
          </cell>
          <cell r="Q168">
            <v>0</v>
          </cell>
          <cell r="R168">
            <v>0</v>
          </cell>
          <cell r="S168">
            <v>-1116132</v>
          </cell>
          <cell r="T168">
            <v>0</v>
          </cell>
          <cell r="U168">
            <v>0</v>
          </cell>
          <cell r="V168">
            <v>-1241464</v>
          </cell>
          <cell r="W168">
            <v>-106142</v>
          </cell>
          <cell r="X168">
            <v>-587030</v>
          </cell>
          <cell r="Y168">
            <v>-165112</v>
          </cell>
          <cell r="Z168">
            <v>0</v>
          </cell>
          <cell r="AA168">
            <v>0</v>
          </cell>
          <cell r="AB168">
            <v>0</v>
          </cell>
          <cell r="AC168">
            <v>0</v>
          </cell>
          <cell r="AD168">
            <v>-1124468.1299999999</v>
          </cell>
          <cell r="AE168">
            <v>-2680714.13</v>
          </cell>
          <cell r="AF168">
            <v>-3391795.13</v>
          </cell>
          <cell r="AG168">
            <v>-4918154.13</v>
          </cell>
          <cell r="AH168">
            <v>-6825029.1299999999</v>
          </cell>
          <cell r="AI168">
            <v>-8051702.46</v>
          </cell>
          <cell r="AJ168">
            <v>-8821966.4600000009</v>
          </cell>
          <cell r="AK168">
            <v>-8283926.46</v>
          </cell>
          <cell r="AL168">
            <v>-5545722.46</v>
          </cell>
          <cell r="AM168">
            <v>-2658041.46</v>
          </cell>
          <cell r="AN168">
            <v>-2176669.4</v>
          </cell>
          <cell r="AO168">
            <v>-2642346.4</v>
          </cell>
          <cell r="AP168">
            <v>-5804990.4100000001</v>
          </cell>
          <cell r="AQ168">
            <v>-2294854.41</v>
          </cell>
          <cell r="AR168">
            <v>-3251333.41</v>
          </cell>
          <cell r="AS168">
            <v>-3259418.41</v>
          </cell>
          <cell r="AT168">
            <v>-2333782.41</v>
          </cell>
          <cell r="AU168">
            <v>-1140359.77</v>
          </cell>
          <cell r="AV168">
            <v>0</v>
          </cell>
          <cell r="AW168">
            <v>-1125284.77</v>
          </cell>
          <cell r="AX168">
            <v>0</v>
          </cell>
          <cell r="AY168">
            <v>0</v>
          </cell>
          <cell r="AZ168">
            <v>0</v>
          </cell>
          <cell r="BA168">
            <v>-2384064.9300000002</v>
          </cell>
          <cell r="BB168">
            <v>-8545555.9299999997</v>
          </cell>
          <cell r="BC168">
            <v>-5868120.9299999997</v>
          </cell>
          <cell r="BD168">
            <v>-9522977.9299999997</v>
          </cell>
          <cell r="BE168">
            <v>-9400213.9299999997</v>
          </cell>
          <cell r="BF168">
            <v>-9953193.9299999997</v>
          </cell>
          <cell r="BG168">
            <v>-10094432.93</v>
          </cell>
          <cell r="BH168">
            <v>-9688297.1999999993</v>
          </cell>
          <cell r="BI168">
            <v>-10202183.199999999</v>
          </cell>
          <cell r="BJ168">
            <v>-7149370.25</v>
          </cell>
          <cell r="BK168">
            <v>-834981.25</v>
          </cell>
          <cell r="BL168">
            <v>0</v>
          </cell>
          <cell r="BM168">
            <v>0</v>
          </cell>
          <cell r="BN168">
            <v>-2764299.81</v>
          </cell>
          <cell r="BO168">
            <v>-3806517.81</v>
          </cell>
          <cell r="BP168">
            <v>-6734309.8099999996</v>
          </cell>
          <cell r="BQ168">
            <v>-9153064.8100000005</v>
          </cell>
          <cell r="BR168">
            <v>-10301394.810000001</v>
          </cell>
          <cell r="BS168">
            <v>-10461658.810000001</v>
          </cell>
          <cell r="BT168">
            <v>-8902055.8100000005</v>
          </cell>
          <cell r="BU168">
            <v>-9455812.4700000007</v>
          </cell>
          <cell r="BV168">
            <v>-6835541.4699999997</v>
          </cell>
          <cell r="BW168">
            <v>-4507606.47</v>
          </cell>
          <cell r="BX168">
            <v>-5610499.4699999997</v>
          </cell>
          <cell r="BY168">
            <v>-9000597.4700000007</v>
          </cell>
          <cell r="BZ168">
            <v>-12085260.640000001</v>
          </cell>
          <cell r="CA168">
            <v>-13315276.640000001</v>
          </cell>
          <cell r="CB168">
            <v>-13955912.640000001</v>
          </cell>
          <cell r="CC168">
            <v>-13419803.640000001</v>
          </cell>
          <cell r="CD168">
            <v>-14069898.640000001</v>
          </cell>
          <cell r="CE168">
            <v>-13486354.640000001</v>
          </cell>
          <cell r="CF168">
            <v>-10977932.640000001</v>
          </cell>
          <cell r="CG168">
            <v>-10183908.800000001</v>
          </cell>
          <cell r="CH168">
            <v>-6168093.7999999998</v>
          </cell>
          <cell r="CI168">
            <v>-2672343.9900000002</v>
          </cell>
          <cell r="CJ168">
            <v>-1887381.02</v>
          </cell>
          <cell r="CK168">
            <v>-5514359.0199999996</v>
          </cell>
          <cell r="CL168">
            <v>-2984172.36</v>
          </cell>
          <cell r="CM168">
            <v>-1677602.36</v>
          </cell>
          <cell r="CN168">
            <v>-5499469.3600000003</v>
          </cell>
          <cell r="CO168">
            <v>-5895484.3600000003</v>
          </cell>
          <cell r="CP168">
            <v>-5154967.3600000003</v>
          </cell>
          <cell r="CQ168">
            <v>-5465947.3600000003</v>
          </cell>
          <cell r="CR168">
            <v>-4455322.3600000003</v>
          </cell>
          <cell r="CS168">
            <v>-2979201.54</v>
          </cell>
          <cell r="CT168">
            <v>0</v>
          </cell>
          <cell r="CU168">
            <v>0</v>
          </cell>
          <cell r="CV168">
            <v>0</v>
          </cell>
          <cell r="CW168">
            <v>0</v>
          </cell>
          <cell r="CX168">
            <v>0</v>
          </cell>
          <cell r="CY168">
            <v>0</v>
          </cell>
          <cell r="CZ168">
            <v>-1958647.8</v>
          </cell>
          <cell r="DA168">
            <v>-376233.8</v>
          </cell>
          <cell r="DB168">
            <v>-676002.8</v>
          </cell>
          <cell r="DC168">
            <v>-1437703.8</v>
          </cell>
          <cell r="DD168">
            <v>-5007899.25</v>
          </cell>
          <cell r="DE168">
            <v>-10208061.42</v>
          </cell>
          <cell r="DF168">
            <v>-13346907.42</v>
          </cell>
          <cell r="DG168">
            <v>-3400043.42</v>
          </cell>
          <cell r="DH168">
            <v>0</v>
          </cell>
        </row>
        <row r="169">
          <cell r="C169" t="str">
            <v>GL Data Takeover</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row>
        <row r="170">
          <cell r="C170" t="str">
            <v>Inventory Takeover</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row>
        <row r="171">
          <cell r="C171" t="str">
            <v>CRM Takeover</v>
          </cell>
          <cell r="D171"/>
          <cell r="E171"/>
          <cell r="F171"/>
          <cell r="G171"/>
          <cell r="H171"/>
          <cell r="I171"/>
          <cell r="J171"/>
          <cell r="K171"/>
          <cell r="L171"/>
          <cell r="M171"/>
          <cell r="N171"/>
          <cell r="O171"/>
          <cell r="P171"/>
          <cell r="Q171"/>
          <cell r="R171"/>
          <cell r="S171"/>
          <cell r="T171"/>
          <cell r="U171"/>
          <cell r="V171"/>
          <cell r="W171"/>
          <cell r="X171"/>
          <cell r="Y171"/>
          <cell r="Z171"/>
          <cell r="AA171"/>
          <cell r="AB171"/>
          <cell r="AC171"/>
          <cell r="AD171"/>
          <cell r="AE171"/>
          <cell r="AF171"/>
          <cell r="AG171"/>
          <cell r="AH171"/>
          <cell r="AI171"/>
          <cell r="AJ171"/>
          <cell r="AK171"/>
          <cell r="AL171"/>
          <cell r="AM171"/>
          <cell r="AN171"/>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row>
        <row r="172">
          <cell r="C172" t="str">
            <v>Prem Capital Stock</v>
          </cell>
          <cell r="D172">
            <v>-5575333.3300000001</v>
          </cell>
          <cell r="E172">
            <v>-5575333.3300000001</v>
          </cell>
          <cell r="F172">
            <v>-5575333.3300000001</v>
          </cell>
          <cell r="G172">
            <v>-5575333.3300000001</v>
          </cell>
          <cell r="H172">
            <v>-5575333.3300000001</v>
          </cell>
          <cell r="I172">
            <v>-5575333.3300000001</v>
          </cell>
          <cell r="J172">
            <v>-5575333.3300000001</v>
          </cell>
          <cell r="K172">
            <v>-5575333.3300000001</v>
          </cell>
          <cell r="L172">
            <v>-5575333.3300000001</v>
          </cell>
          <cell r="M172">
            <v>-5575333.3300000001</v>
          </cell>
          <cell r="N172">
            <v>-5575333.3300000001</v>
          </cell>
          <cell r="O172">
            <v>-5575333.3300000001</v>
          </cell>
          <cell r="P172">
            <v>-5575333.3300000001</v>
          </cell>
          <cell r="Q172">
            <v>-5575333.3300000001</v>
          </cell>
          <cell r="R172">
            <v>-5575333.3300000001</v>
          </cell>
          <cell r="S172">
            <v>-5575333.3300000001</v>
          </cell>
          <cell r="T172">
            <v>-5575333.3300000001</v>
          </cell>
          <cell r="U172">
            <v>-5575333.3300000001</v>
          </cell>
          <cell r="V172">
            <v>-5575333.3300000001</v>
          </cell>
          <cell r="W172">
            <v>-5575333.3300000001</v>
          </cell>
          <cell r="X172">
            <v>-5575333.3300000001</v>
          </cell>
          <cell r="Y172">
            <v>-5575333.3300000001</v>
          </cell>
          <cell r="Z172">
            <v>-5575333.3300000001</v>
          </cell>
          <cell r="AA172">
            <v>-5575333.3300000001</v>
          </cell>
          <cell r="AB172">
            <v>-5575333.3300000001</v>
          </cell>
          <cell r="AC172">
            <v>-5575333.3300000001</v>
          </cell>
          <cell r="AD172">
            <v>-5575333.3300000001</v>
          </cell>
          <cell r="AE172">
            <v>-5575333.3300000001</v>
          </cell>
          <cell r="AF172">
            <v>-5575333.3300000001</v>
          </cell>
          <cell r="AG172">
            <v>-5575333.3300000001</v>
          </cell>
          <cell r="AH172">
            <v>-5575333.3300000001</v>
          </cell>
          <cell r="AI172">
            <v>-5575333.3300000001</v>
          </cell>
          <cell r="AJ172">
            <v>-5575333.3300000001</v>
          </cell>
          <cell r="AK172">
            <v>-5575333.3300000001</v>
          </cell>
          <cell r="AL172">
            <v>-5575333.3300000001</v>
          </cell>
          <cell r="AM172">
            <v>-5575333.3300000001</v>
          </cell>
          <cell r="AN172">
            <v>-5575333.3300000001</v>
          </cell>
          <cell r="AO172">
            <v>-5575333.3300000001</v>
          </cell>
          <cell r="AP172">
            <v>-5575333.3300000001</v>
          </cell>
          <cell r="AQ172">
            <v>-5575333.3300000001</v>
          </cell>
          <cell r="AR172">
            <v>-5575333.3300000001</v>
          </cell>
          <cell r="AS172">
            <v>-5575333.3300000001</v>
          </cell>
          <cell r="AT172">
            <v>-5575333.3300000001</v>
          </cell>
          <cell r="AU172">
            <v>-5575333.3300000001</v>
          </cell>
          <cell r="AV172">
            <v>-5575333.3300000001</v>
          </cell>
          <cell r="AW172">
            <v>-5575333.3300000001</v>
          </cell>
          <cell r="AX172">
            <v>-5575333.3300000001</v>
          </cell>
          <cell r="AY172">
            <v>-5575333.3300000001</v>
          </cell>
          <cell r="AZ172">
            <v>-5575333.3300000001</v>
          </cell>
          <cell r="BA172">
            <v>-5575333.3300000001</v>
          </cell>
          <cell r="BB172">
            <v>-5575333.3300000001</v>
          </cell>
          <cell r="BC172">
            <v>-5575333.3300000001</v>
          </cell>
          <cell r="BD172">
            <v>-5575333.3300000001</v>
          </cell>
          <cell r="BE172">
            <v>-5575333.3300000001</v>
          </cell>
          <cell r="BF172">
            <v>-5575333.3300000001</v>
          </cell>
          <cell r="BG172">
            <v>-5575333.3300000001</v>
          </cell>
          <cell r="BH172">
            <v>-5575333.3300000001</v>
          </cell>
          <cell r="BI172">
            <v>-5575333.3300000001</v>
          </cell>
          <cell r="BJ172">
            <v>-5575333.3300000001</v>
          </cell>
          <cell r="BK172">
            <v>-5575333.3300000001</v>
          </cell>
          <cell r="BL172">
            <v>-5575333.3300000001</v>
          </cell>
          <cell r="BM172">
            <v>-5575333.3300000001</v>
          </cell>
          <cell r="BN172">
            <v>-5575333.3300000001</v>
          </cell>
          <cell r="BO172">
            <v>-5575333.3300000001</v>
          </cell>
          <cell r="BP172">
            <v>-5575333.3300000001</v>
          </cell>
          <cell r="BQ172">
            <v>-5575333.3300000001</v>
          </cell>
          <cell r="BR172">
            <v>-5575333.3300000001</v>
          </cell>
          <cell r="BS172">
            <v>-5575333.3300000001</v>
          </cell>
          <cell r="BT172">
            <v>-5575333.3300000001</v>
          </cell>
          <cell r="BU172">
            <v>-5575333.3300000001</v>
          </cell>
          <cell r="BV172">
            <v>-5575333.3300000001</v>
          </cell>
          <cell r="BW172">
            <v>-5575333.3300000001</v>
          </cell>
          <cell r="BX172">
            <v>-5575333.3300000001</v>
          </cell>
          <cell r="BY172">
            <v>-5575333.3300000001</v>
          </cell>
          <cell r="BZ172">
            <v>-5575333.3300000001</v>
          </cell>
          <cell r="CA172">
            <v>-5575333.3300000001</v>
          </cell>
          <cell r="CB172">
            <v>-5575333.3300000001</v>
          </cell>
          <cell r="CC172">
            <v>-5575333.3300000001</v>
          </cell>
          <cell r="CD172">
            <v>-5575333.3300000001</v>
          </cell>
          <cell r="CE172">
            <v>-5575333.3300000001</v>
          </cell>
          <cell r="CF172">
            <v>-5575333.3300000001</v>
          </cell>
          <cell r="CG172">
            <v>-5575333.3300000001</v>
          </cell>
          <cell r="CH172">
            <v>-5575333.3300000001</v>
          </cell>
          <cell r="CI172">
            <v>-5575333.3300000001</v>
          </cell>
          <cell r="CJ172">
            <v>-5575333.3300000001</v>
          </cell>
          <cell r="CK172">
            <v>-5575333.3300000001</v>
          </cell>
          <cell r="CL172">
            <v>-5575333.3300000001</v>
          </cell>
          <cell r="CM172">
            <v>-5575333.3300000001</v>
          </cell>
          <cell r="CN172">
            <v>-5575333.3300000001</v>
          </cell>
          <cell r="CO172">
            <v>-5575333.3300000001</v>
          </cell>
          <cell r="CP172">
            <v>-5575333.3300000001</v>
          </cell>
          <cell r="CQ172">
            <v>-5575333.3300000001</v>
          </cell>
          <cell r="CR172">
            <v>-5575333.3300000001</v>
          </cell>
          <cell r="CS172">
            <v>-5575333.3300000001</v>
          </cell>
          <cell r="CT172">
            <v>-5575333.3300000001</v>
          </cell>
          <cell r="CU172">
            <v>-5575333.3300000001</v>
          </cell>
          <cell r="CV172">
            <v>-5575333.3300000001</v>
          </cell>
          <cell r="CW172">
            <v>-5575333.3300000001</v>
          </cell>
          <cell r="CX172">
            <v>-5575333.3300000001</v>
          </cell>
          <cell r="CY172">
            <v>-5575333.3300000001</v>
          </cell>
          <cell r="CZ172">
            <v>-5575333.3300000001</v>
          </cell>
          <cell r="DA172">
            <v>-5575333.3300000001</v>
          </cell>
          <cell r="DB172">
            <v>-5575333.3300000001</v>
          </cell>
          <cell r="DC172">
            <v>-5575333.3300000001</v>
          </cell>
          <cell r="DD172">
            <v>-5575333.3300000001</v>
          </cell>
          <cell r="DE172">
            <v>-5575333.3300000001</v>
          </cell>
          <cell r="DF172">
            <v>-5575333.3300000001</v>
          </cell>
          <cell r="DG172">
            <v>-5575333.3300000001</v>
          </cell>
          <cell r="DH172">
            <v>-5575333.3300000001</v>
          </cell>
        </row>
        <row r="173">
          <cell r="C173" t="str">
            <v>Misc Paidin Capital</v>
          </cell>
          <cell r="D173">
            <v>-179974835.86000001</v>
          </cell>
          <cell r="E173">
            <v>-179974835.86000001</v>
          </cell>
          <cell r="F173">
            <v>-186974835.86000001</v>
          </cell>
          <cell r="G173">
            <v>-186974835.86000001</v>
          </cell>
          <cell r="H173">
            <v>-186974835.86000001</v>
          </cell>
          <cell r="I173">
            <v>-196974835.86000001</v>
          </cell>
          <cell r="J173">
            <v>-196974835.86000001</v>
          </cell>
          <cell r="K173">
            <v>-196974835.86000001</v>
          </cell>
          <cell r="L173">
            <v>-199474835.86000001</v>
          </cell>
          <cell r="M173">
            <v>-199474835.86000001</v>
          </cell>
          <cell r="N173">
            <v>-199474835.86000001</v>
          </cell>
          <cell r="O173">
            <v>-204974835.86000001</v>
          </cell>
          <cell r="P173">
            <v>-204974835.86000001</v>
          </cell>
          <cell r="Q173">
            <v>-204974835.86000001</v>
          </cell>
          <cell r="R173">
            <v>-204974835.86000001</v>
          </cell>
          <cell r="S173">
            <v>-204974835.86000001</v>
          </cell>
          <cell r="T173">
            <v>-204974835.86000001</v>
          </cell>
          <cell r="U173">
            <v>-214974835.86000001</v>
          </cell>
          <cell r="V173">
            <v>-214974835.86000001</v>
          </cell>
          <cell r="W173">
            <v>-214974835.86000001</v>
          </cell>
          <cell r="X173">
            <v>-222974835.86000001</v>
          </cell>
          <cell r="Y173">
            <v>-222974835.86000001</v>
          </cell>
          <cell r="Z173">
            <v>-222974835.86000001</v>
          </cell>
          <cell r="AA173">
            <v>-229974835.86000001</v>
          </cell>
          <cell r="AB173">
            <v>-229974835.86000001</v>
          </cell>
          <cell r="AC173">
            <v>-229974835.86000001</v>
          </cell>
          <cell r="AD173">
            <v>-229974835.86000001</v>
          </cell>
          <cell r="AE173">
            <v>-229974835.86000001</v>
          </cell>
          <cell r="AF173">
            <v>-229974835.86000001</v>
          </cell>
          <cell r="AG173">
            <v>-229974835.86000001</v>
          </cell>
          <cell r="AH173">
            <v>-229974835.86000001</v>
          </cell>
          <cell r="AI173">
            <v>-229974835.86000001</v>
          </cell>
          <cell r="AJ173">
            <v>-229974835.86000001</v>
          </cell>
          <cell r="AK173">
            <v>-229974835.86000001</v>
          </cell>
          <cell r="AL173">
            <v>-229974835.86000001</v>
          </cell>
          <cell r="AM173">
            <v>-229974835.86000001</v>
          </cell>
          <cell r="AN173">
            <v>-229974835.86000001</v>
          </cell>
          <cell r="AO173">
            <v>-229974835.86000001</v>
          </cell>
          <cell r="AP173">
            <v>-236974835.86000001</v>
          </cell>
          <cell r="AQ173">
            <v>-236974835.86000001</v>
          </cell>
          <cell r="AR173">
            <v>-236974835.86000001</v>
          </cell>
          <cell r="AS173">
            <v>-252974835.86000001</v>
          </cell>
          <cell r="AT173">
            <v>-252974835.86000001</v>
          </cell>
          <cell r="AU173">
            <v>-252974835.86000001</v>
          </cell>
          <cell r="AV173">
            <v>-262974835.86000001</v>
          </cell>
          <cell r="AW173">
            <v>-262974835.86000001</v>
          </cell>
          <cell r="AX173">
            <v>-262974835.86000001</v>
          </cell>
          <cell r="AY173">
            <v>-269974835.86000001</v>
          </cell>
          <cell r="AZ173">
            <v>-269974835.86000001</v>
          </cell>
          <cell r="BA173">
            <v>-269974835.86000001</v>
          </cell>
          <cell r="BB173">
            <v>-279974835.86000001</v>
          </cell>
          <cell r="BC173">
            <v>-279974835.86000001</v>
          </cell>
          <cell r="BD173">
            <v>-279974835.86000001</v>
          </cell>
          <cell r="BE173">
            <v>-294974835.86000001</v>
          </cell>
          <cell r="BF173">
            <v>-294974835.86000001</v>
          </cell>
          <cell r="BG173">
            <v>-294974835.86000001</v>
          </cell>
          <cell r="BH173">
            <v>-304974835.86000001</v>
          </cell>
          <cell r="BI173">
            <v>-304974835.86000001</v>
          </cell>
          <cell r="BJ173">
            <v>-304974835.86000001</v>
          </cell>
          <cell r="BK173">
            <v>-314974835.86000001</v>
          </cell>
          <cell r="BL173">
            <v>-314974835.86000001</v>
          </cell>
          <cell r="BM173">
            <v>-314974835.86000001</v>
          </cell>
          <cell r="BN173">
            <v>-349974835.86000001</v>
          </cell>
          <cell r="BO173">
            <v>-349974835.86000001</v>
          </cell>
          <cell r="BP173">
            <v>-349974835.86000001</v>
          </cell>
          <cell r="BQ173">
            <v>-384974835.86000001</v>
          </cell>
          <cell r="BR173">
            <v>-384974835.86000001</v>
          </cell>
          <cell r="BS173">
            <v>-384974835.86000001</v>
          </cell>
          <cell r="BT173">
            <v>-384974835.86000001</v>
          </cell>
          <cell r="BU173">
            <v>-409974835.86000001</v>
          </cell>
          <cell r="BV173">
            <v>-409974835.86000001</v>
          </cell>
          <cell r="BW173">
            <v>-409974835.86000001</v>
          </cell>
          <cell r="BX173">
            <v>-409974835.86000001</v>
          </cell>
          <cell r="BY173">
            <v>-409974835.86000001</v>
          </cell>
          <cell r="BZ173">
            <v>-449974835.86000001</v>
          </cell>
          <cell r="CA173">
            <v>-449974835.86000001</v>
          </cell>
          <cell r="CB173">
            <v>-449974835.86000001</v>
          </cell>
          <cell r="CC173">
            <v>-479974835.86000001</v>
          </cell>
          <cell r="CD173">
            <v>-479974835.86000001</v>
          </cell>
          <cell r="CE173">
            <v>-479974835.86000001</v>
          </cell>
          <cell r="CF173">
            <v>-524974835.86000001</v>
          </cell>
          <cell r="CG173">
            <v>-524974835.86000001</v>
          </cell>
          <cell r="CH173">
            <v>-524974835.86000001</v>
          </cell>
          <cell r="CI173">
            <v>-539974835.86000001</v>
          </cell>
          <cell r="CJ173">
            <v>-539974835.86000001</v>
          </cell>
          <cell r="CK173">
            <v>-539974835.86000001</v>
          </cell>
          <cell r="CL173">
            <v>-579974835.86000001</v>
          </cell>
          <cell r="CM173">
            <v>-579974835.86000001</v>
          </cell>
          <cell r="CN173">
            <v>-579974835.86000001</v>
          </cell>
          <cell r="CO173">
            <v>-599974835.86000001</v>
          </cell>
          <cell r="CP173">
            <v>-599974835.86000001</v>
          </cell>
          <cell r="CQ173">
            <v>-599974835.86000001</v>
          </cell>
          <cell r="CR173">
            <v>-634974835.86000001</v>
          </cell>
          <cell r="CS173">
            <v>-634974835.86000001</v>
          </cell>
          <cell r="CT173">
            <v>-634974835.86000001</v>
          </cell>
          <cell r="CU173">
            <v>-659974835.86000001</v>
          </cell>
          <cell r="CV173">
            <v>-659974835.86000001</v>
          </cell>
          <cell r="CW173">
            <v>-659974835.86000001</v>
          </cell>
          <cell r="CX173">
            <v>-734974835.86000001</v>
          </cell>
          <cell r="CY173">
            <v>-734974835.86000001</v>
          </cell>
          <cell r="CZ173">
            <v>-734974835.86000001</v>
          </cell>
          <cell r="DA173">
            <v>-764974835.86000001</v>
          </cell>
          <cell r="DB173">
            <v>-764974835.86000001</v>
          </cell>
          <cell r="DC173">
            <v>-764974835.86000001</v>
          </cell>
          <cell r="DD173">
            <v>-804974835.86000001</v>
          </cell>
          <cell r="DE173">
            <v>-804974835.86000001</v>
          </cell>
          <cell r="DF173">
            <v>-804974835.86000001</v>
          </cell>
          <cell r="DG173">
            <v>-829974835.86000001</v>
          </cell>
          <cell r="DH173">
            <v>-864974835.86000001</v>
          </cell>
        </row>
        <row r="174">
          <cell r="C174" t="str">
            <v>Retained Earnings</v>
          </cell>
          <cell r="D174">
            <v>-112751746.77</v>
          </cell>
          <cell r="E174">
            <v>-110952205.43000001</v>
          </cell>
          <cell r="F174">
            <v>-115124241.33</v>
          </cell>
          <cell r="G174">
            <v>-119799633.63</v>
          </cell>
          <cell r="H174">
            <v>-111564858.44</v>
          </cell>
          <cell r="I174">
            <v>-115416639.97</v>
          </cell>
          <cell r="J174">
            <v>-113200545.61</v>
          </cell>
          <cell r="K174">
            <v>-107554579.37</v>
          </cell>
          <cell r="L174">
            <v>-109067808.43000001</v>
          </cell>
          <cell r="M174">
            <v>-110333721.84999999</v>
          </cell>
          <cell r="N174">
            <v>-107285782.06</v>
          </cell>
          <cell r="O174">
            <v>-110110889.66</v>
          </cell>
          <cell r="P174">
            <v>-113647895.56999999</v>
          </cell>
          <cell r="Q174">
            <v>-118802797.55</v>
          </cell>
          <cell r="R174">
            <v>-117504527.31999999</v>
          </cell>
          <cell r="S174">
            <v>-121475246.72</v>
          </cell>
          <cell r="T174">
            <v>-110287568.98999999</v>
          </cell>
          <cell r="U174">
            <v>-112407027.02</v>
          </cell>
          <cell r="V174">
            <v>-114986553.63</v>
          </cell>
          <cell r="W174">
            <v>-108323066.45999999</v>
          </cell>
          <cell r="X174">
            <v>-110663699.53</v>
          </cell>
          <cell r="Y174">
            <v>-112300808.7</v>
          </cell>
          <cell r="Z174">
            <v>-114335585.09999999</v>
          </cell>
          <cell r="AA174">
            <v>-111596653.5</v>
          </cell>
          <cell r="AB174">
            <v>-109351454.22</v>
          </cell>
          <cell r="AC174">
            <v>-116597753.33</v>
          </cell>
          <cell r="AD174">
            <v>-116398348.61</v>
          </cell>
          <cell r="AE174">
            <v>-118668858.11</v>
          </cell>
          <cell r="AF174">
            <v>-121492806.76000001</v>
          </cell>
          <cell r="AG174">
            <v>-111639873.68000001</v>
          </cell>
          <cell r="AH174">
            <v>-105236370.94</v>
          </cell>
          <cell r="AI174">
            <v>-107637597.34</v>
          </cell>
          <cell r="AJ174">
            <v>-109379707.72</v>
          </cell>
          <cell r="AK174">
            <v>-111158412.81</v>
          </cell>
          <cell r="AL174">
            <v>-113332997.3</v>
          </cell>
          <cell r="AM174">
            <v>-110917535.06</v>
          </cell>
          <cell r="AN174">
            <v>-112749467.06999999</v>
          </cell>
          <cell r="AO174">
            <v>-117760363.55</v>
          </cell>
          <cell r="AP174">
            <v>-114776913.91</v>
          </cell>
          <cell r="AQ174">
            <v>-119026536.19</v>
          </cell>
          <cell r="AR174">
            <v>-122710535.67</v>
          </cell>
          <cell r="AS174">
            <v>-115691041.48999999</v>
          </cell>
          <cell r="AT174">
            <v>-117926021.73</v>
          </cell>
          <cell r="AU174">
            <v>-120083512.84</v>
          </cell>
          <cell r="AV174">
            <v>-111138566.63</v>
          </cell>
          <cell r="AW174">
            <v>-113846485.06</v>
          </cell>
          <cell r="AX174">
            <v>-116231024.20999999</v>
          </cell>
          <cell r="AY174">
            <v>-112278072.45</v>
          </cell>
          <cell r="AZ174">
            <v>-117313122.59999999</v>
          </cell>
          <cell r="BA174">
            <v>-126187963.14</v>
          </cell>
          <cell r="BB174">
            <v>-117345565.77</v>
          </cell>
          <cell r="BC174">
            <v>-118883531.98999999</v>
          </cell>
          <cell r="BD174">
            <v>-123682154.91</v>
          </cell>
          <cell r="BE174">
            <v>-111606549.43000001</v>
          </cell>
          <cell r="BF174">
            <v>-114480264.23999999</v>
          </cell>
          <cell r="BG174">
            <v>-117295990.61</v>
          </cell>
          <cell r="BH174">
            <v>-109540020.92</v>
          </cell>
          <cell r="BI174">
            <v>-113063498.97</v>
          </cell>
          <cell r="BJ174">
            <v>-115613095.17</v>
          </cell>
          <cell r="BK174">
            <v>-110210539.77</v>
          </cell>
          <cell r="BL174">
            <v>-115286558.36</v>
          </cell>
          <cell r="BM174">
            <v>-121647855.66</v>
          </cell>
          <cell r="BN174">
            <v>-116324247.79000001</v>
          </cell>
          <cell r="BO174">
            <v>-121359169.36</v>
          </cell>
          <cell r="BP174">
            <v>-126168992.53</v>
          </cell>
          <cell r="BQ174">
            <v>-113450977.5</v>
          </cell>
          <cell r="BR174">
            <v>-116981616.55</v>
          </cell>
          <cell r="BS174">
            <v>-119701501.81</v>
          </cell>
          <cell r="BT174">
            <v>-110484117.76000001</v>
          </cell>
          <cell r="BU174">
            <v>-113948813.06</v>
          </cell>
          <cell r="BV174">
            <v>-117176831.29000001</v>
          </cell>
          <cell r="BW174">
            <v>-111817281.34999999</v>
          </cell>
          <cell r="BX174">
            <v>-115649892.59999999</v>
          </cell>
          <cell r="BY174">
            <v>-123199237.58</v>
          </cell>
          <cell r="BZ174">
            <v>-117446726.44</v>
          </cell>
          <cell r="CA174">
            <v>-122197610.2</v>
          </cell>
          <cell r="CB174">
            <v>-125573891.23999999</v>
          </cell>
          <cell r="CC174">
            <v>-110956104.92</v>
          </cell>
          <cell r="CD174">
            <v>-113941556.62</v>
          </cell>
          <cell r="CE174">
            <v>-116849250.12</v>
          </cell>
          <cell r="CF174">
            <v>-110735988.48</v>
          </cell>
          <cell r="CG174">
            <v>-113912115.83</v>
          </cell>
          <cell r="CH174">
            <v>-116508199.70999999</v>
          </cell>
          <cell r="CI174">
            <v>-111858761.63</v>
          </cell>
          <cell r="CJ174">
            <v>-116111278.3</v>
          </cell>
          <cell r="CK174">
            <v>-127172630.66</v>
          </cell>
          <cell r="CL174">
            <v>-123064941.83</v>
          </cell>
          <cell r="CM174">
            <v>-130480380.98</v>
          </cell>
          <cell r="CN174">
            <v>-111744075.12</v>
          </cell>
          <cell r="CO174">
            <v>-116876984.18000001</v>
          </cell>
          <cell r="CP174">
            <v>-122048111.78</v>
          </cell>
          <cell r="CQ174">
            <v>-126208593.48999999</v>
          </cell>
          <cell r="CR174">
            <v>-112972753.8</v>
          </cell>
          <cell r="CS174">
            <v>-118232854.02</v>
          </cell>
          <cell r="CT174">
            <v>-123024793.39</v>
          </cell>
          <cell r="CU174">
            <v>-114701526.48</v>
          </cell>
          <cell r="CV174">
            <v>-120404681.34999999</v>
          </cell>
          <cell r="CW174">
            <v>-130047622.41</v>
          </cell>
          <cell r="CX174">
            <v>-122619869.13</v>
          </cell>
          <cell r="CY174">
            <v>-133052877.31</v>
          </cell>
          <cell r="CZ174">
            <v>-110833577.27</v>
          </cell>
          <cell r="DA174">
            <v>-116812916.17</v>
          </cell>
          <cell r="DB174">
            <v>-123248501.63</v>
          </cell>
          <cell r="DC174">
            <v>-127207087.25</v>
          </cell>
          <cell r="DD174">
            <v>-112614571.16</v>
          </cell>
          <cell r="DE174">
            <v>-119547023.81999999</v>
          </cell>
          <cell r="DF174">
            <v>-108934379.69</v>
          </cell>
          <cell r="DG174">
            <v>-114567294.52</v>
          </cell>
          <cell r="DH174">
            <v>-120661285.5</v>
          </cell>
        </row>
        <row r="175">
          <cell r="C175" t="str">
            <v>Unappr Subs Earn</v>
          </cell>
          <cell r="D175">
            <v>-1089914.58</v>
          </cell>
          <cell r="E175">
            <v>-708365.88</v>
          </cell>
          <cell r="F175">
            <v>-1038956.82</v>
          </cell>
          <cell r="G175">
            <v>-1245448.08</v>
          </cell>
          <cell r="H175">
            <v>-807415.1</v>
          </cell>
          <cell r="I175">
            <v>-1248390.05</v>
          </cell>
          <cell r="J175">
            <v>-985942.33</v>
          </cell>
          <cell r="K175">
            <v>-823090.47</v>
          </cell>
          <cell r="L175">
            <v>-1020922.51</v>
          </cell>
          <cell r="M175">
            <v>-1089675.83</v>
          </cell>
          <cell r="N175">
            <v>-683066.78</v>
          </cell>
          <cell r="O175">
            <v>-683066.78</v>
          </cell>
          <cell r="P175">
            <v>-875947.35</v>
          </cell>
          <cell r="Q175">
            <v>-1266722.42</v>
          </cell>
          <cell r="R175">
            <v>-946260.42</v>
          </cell>
          <cell r="S175">
            <v>-1097023.71</v>
          </cell>
          <cell r="T175">
            <v>-419556.3</v>
          </cell>
          <cell r="U175">
            <v>-643916</v>
          </cell>
          <cell r="V175">
            <v>-860210.17</v>
          </cell>
          <cell r="W175">
            <v>-520934.42</v>
          </cell>
          <cell r="X175">
            <v>-691978</v>
          </cell>
          <cell r="Y175">
            <v>-915316.24</v>
          </cell>
          <cell r="Z175">
            <v>-1045549.72</v>
          </cell>
          <cell r="AA175">
            <v>-1399472.66</v>
          </cell>
          <cell r="AB175">
            <v>-695638.65</v>
          </cell>
          <cell r="AC175">
            <v>-1695753.12</v>
          </cell>
          <cell r="AD175">
            <v>-1514763.27</v>
          </cell>
          <cell r="AE175">
            <v>-1617419.24</v>
          </cell>
          <cell r="AF175">
            <v>-1739485.05</v>
          </cell>
          <cell r="AG175">
            <v>-666978.23</v>
          </cell>
          <cell r="AH175">
            <v>-300552.07</v>
          </cell>
          <cell r="AI175">
            <v>-515423.32</v>
          </cell>
          <cell r="AJ175">
            <v>-793188.72</v>
          </cell>
          <cell r="AK175">
            <v>-973459.71</v>
          </cell>
          <cell r="AL175">
            <v>-1742856.08</v>
          </cell>
          <cell r="AM175">
            <v>-1304371.94</v>
          </cell>
          <cell r="AN175">
            <v>-1525688.98</v>
          </cell>
          <cell r="AO175">
            <v>-1879621.38</v>
          </cell>
          <cell r="AP175">
            <v>-726969.53</v>
          </cell>
          <cell r="AQ175">
            <v>-1014138.68</v>
          </cell>
          <cell r="AR175">
            <v>-1161107.23</v>
          </cell>
          <cell r="AS175">
            <v>-609685.12</v>
          </cell>
          <cell r="AT175">
            <v>-456323.95</v>
          </cell>
          <cell r="AU175">
            <v>-1057716.6000000001</v>
          </cell>
          <cell r="AV175">
            <v>-413438.25</v>
          </cell>
          <cell r="AW175">
            <v>-413438.25</v>
          </cell>
          <cell r="AX175">
            <v>-659049.01</v>
          </cell>
          <cell r="AY175">
            <v>-717920.59</v>
          </cell>
          <cell r="AZ175">
            <v>-1266989.51</v>
          </cell>
          <cell r="BA175">
            <v>-1694255.26</v>
          </cell>
          <cell r="BB175">
            <v>-674603.32</v>
          </cell>
          <cell r="BC175">
            <v>-787205.82</v>
          </cell>
          <cell r="BD175">
            <v>-1293484.54</v>
          </cell>
          <cell r="BE175">
            <v>-601110.72</v>
          </cell>
          <cell r="BF175">
            <v>-823770.91</v>
          </cell>
          <cell r="BG175">
            <v>-1113314.74</v>
          </cell>
          <cell r="BH175">
            <v>-311947.07</v>
          </cell>
          <cell r="BI175">
            <v>-486419.53</v>
          </cell>
          <cell r="BJ175">
            <v>-740096.56</v>
          </cell>
          <cell r="BK175">
            <v>-329191.28999999998</v>
          </cell>
          <cell r="BL175">
            <v>-746528.46</v>
          </cell>
          <cell r="BM175">
            <v>-1003177.05</v>
          </cell>
          <cell r="BN175">
            <v>-374954.42</v>
          </cell>
          <cell r="BO175">
            <v>-836083.16</v>
          </cell>
          <cell r="BP175">
            <v>-1253190.18</v>
          </cell>
          <cell r="BQ175">
            <v>-573708.28</v>
          </cell>
          <cell r="BR175">
            <v>-808242.6</v>
          </cell>
          <cell r="BS175">
            <v>-1147172.72</v>
          </cell>
          <cell r="BT175">
            <v>-631175.93000000005</v>
          </cell>
          <cell r="BU175">
            <v>-850340.26</v>
          </cell>
          <cell r="BV175">
            <v>-1047931.12</v>
          </cell>
          <cell r="BW175">
            <v>-224561.77</v>
          </cell>
          <cell r="BX175">
            <v>-453354.21</v>
          </cell>
          <cell r="BY175">
            <v>-579626.85</v>
          </cell>
          <cell r="BZ175">
            <v>-383953.91</v>
          </cell>
          <cell r="CA175">
            <v>-477853.33</v>
          </cell>
          <cell r="CB175">
            <v>-812300.57</v>
          </cell>
          <cell r="CC175">
            <v>-577565.73</v>
          </cell>
          <cell r="CD175">
            <v>-801907.17</v>
          </cell>
          <cell r="CE175">
            <v>-990347.09</v>
          </cell>
          <cell r="CF175">
            <v>-332563.58</v>
          </cell>
          <cell r="CG175">
            <v>-571793.88</v>
          </cell>
          <cell r="CH175">
            <v>-922587.3</v>
          </cell>
          <cell r="CI175">
            <v>-392608.46</v>
          </cell>
          <cell r="CJ175">
            <v>-759656.77</v>
          </cell>
          <cell r="CK175">
            <v>-1093791.74</v>
          </cell>
          <cell r="CL175">
            <v>-554779.67000000004</v>
          </cell>
          <cell r="CM175">
            <v>-830140.99</v>
          </cell>
          <cell r="CN175">
            <v>-164253.96</v>
          </cell>
          <cell r="CO175">
            <v>-554767.04</v>
          </cell>
          <cell r="CP175">
            <v>-826257.62</v>
          </cell>
          <cell r="CQ175">
            <v>-1100378.3700000001</v>
          </cell>
          <cell r="CR175">
            <v>-443971.49</v>
          </cell>
          <cell r="CS175">
            <v>-739799.14</v>
          </cell>
          <cell r="CT175">
            <v>-1053546.92</v>
          </cell>
          <cell r="CU175">
            <v>-419642.6</v>
          </cell>
          <cell r="CV175">
            <v>-579087.52</v>
          </cell>
          <cell r="CW175">
            <v>-724083.92</v>
          </cell>
          <cell r="CX175">
            <v>-231097.56</v>
          </cell>
          <cell r="CY175">
            <v>-704721.25</v>
          </cell>
          <cell r="CZ175">
            <v>-90158.62</v>
          </cell>
          <cell r="DA175">
            <v>-366164.03</v>
          </cell>
          <cell r="DB175">
            <v>-589138.4</v>
          </cell>
          <cell r="DC175">
            <v>-1025751.13</v>
          </cell>
          <cell r="DD175">
            <v>-557382.72</v>
          </cell>
          <cell r="DE175">
            <v>-894938.49</v>
          </cell>
          <cell r="DF175">
            <v>-84282.14</v>
          </cell>
          <cell r="DG175">
            <v>-384386.37</v>
          </cell>
          <cell r="DH175">
            <v>-397515.32</v>
          </cell>
        </row>
        <row r="176">
          <cell r="C176" t="str">
            <v>OCI Other Pretax</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row>
        <row r="177">
          <cell r="C177" t="str">
            <v>OCI Other Taxes</v>
          </cell>
          <cell r="D177"/>
          <cell r="E177">
            <v>0</v>
          </cell>
          <cell r="F177">
            <v>0</v>
          </cell>
          <cell r="G177">
            <v>0</v>
          </cell>
          <cell r="H177">
            <v>919.51</v>
          </cell>
          <cell r="I177">
            <v>0</v>
          </cell>
          <cell r="J177">
            <v>0</v>
          </cell>
          <cell r="K177">
            <v>0</v>
          </cell>
          <cell r="L177">
            <v>0</v>
          </cell>
          <cell r="M177">
            <v>0</v>
          </cell>
          <cell r="N177">
            <v>0</v>
          </cell>
          <cell r="O177">
            <v>0</v>
          </cell>
          <cell r="P177">
            <v>0</v>
          </cell>
          <cell r="Q177">
            <v>0</v>
          </cell>
          <cell r="R177">
            <v>0</v>
          </cell>
          <cell r="S177">
            <v>10617.35</v>
          </cell>
          <cell r="T177">
            <v>0</v>
          </cell>
          <cell r="U177">
            <v>-72439.19</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cell r="AM177"/>
          <cell r="AN177"/>
          <cell r="AO177"/>
          <cell r="AP177"/>
          <cell r="AQ177"/>
          <cell r="AR177"/>
          <cell r="AS177"/>
          <cell r="AT177"/>
          <cell r="AU177"/>
          <cell r="AV177"/>
          <cell r="AW177"/>
          <cell r="AX177"/>
          <cell r="AY177"/>
          <cell r="AZ177"/>
          <cell r="BA177"/>
          <cell r="BB177"/>
          <cell r="BC177"/>
          <cell r="BD177"/>
          <cell r="BE177"/>
          <cell r="BF177"/>
          <cell r="BG177"/>
          <cell r="BH177"/>
          <cell r="BI177"/>
          <cell r="BJ177"/>
          <cell r="BK177"/>
          <cell r="BL177"/>
          <cell r="BM177"/>
          <cell r="BN177"/>
          <cell r="BO177"/>
          <cell r="BP177"/>
          <cell r="BQ177"/>
          <cell r="BR177"/>
          <cell r="BS177"/>
          <cell r="BT177"/>
          <cell r="BU177"/>
          <cell r="BV177"/>
          <cell r="BW177"/>
          <cell r="BX177"/>
          <cell r="BY177"/>
          <cell r="BZ177"/>
          <cell r="CA177"/>
          <cell r="CB177"/>
          <cell r="CC177"/>
          <cell r="CD177"/>
          <cell r="CE177"/>
          <cell r="CF177"/>
          <cell r="CG177"/>
          <cell r="CH177"/>
          <cell r="CI177"/>
          <cell r="CJ177"/>
          <cell r="CK177"/>
          <cell r="CL177"/>
          <cell r="CM177"/>
          <cell r="CN177"/>
          <cell r="CO177"/>
          <cell r="CP177"/>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row>
        <row r="178">
          <cell r="C178" t="str">
            <v>OCI Pension Pretax</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row>
        <row r="179">
          <cell r="C179" t="str">
            <v>OCI Pension Taxes</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row>
        <row r="180">
          <cell r="C180" t="str">
            <v>OCI SERP Pretax</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row>
        <row r="181">
          <cell r="C181" t="str">
            <v>OCI FAS106 Pretax</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row>
        <row r="182">
          <cell r="C182" t="str">
            <v>OCI FAS106 Taxes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cell r="AM182"/>
          <cell r="AN182"/>
          <cell r="AO182"/>
          <cell r="AP182"/>
          <cell r="AQ182"/>
          <cell r="AR182"/>
          <cell r="AS182"/>
          <cell r="AT182"/>
          <cell r="AU182"/>
          <cell r="AV182"/>
          <cell r="AW182"/>
          <cell r="AX182"/>
          <cell r="AY182"/>
          <cell r="AZ182"/>
          <cell r="BA182"/>
          <cell r="BB182"/>
          <cell r="BC182"/>
          <cell r="BD182"/>
          <cell r="BE182"/>
          <cell r="BF182"/>
          <cell r="BG182"/>
          <cell r="BH182"/>
          <cell r="BI182"/>
          <cell r="BJ182"/>
          <cell r="BK182"/>
          <cell r="BL182"/>
          <cell r="BM182"/>
          <cell r="BN182"/>
          <cell r="BO182"/>
          <cell r="BP182"/>
          <cell r="BQ182"/>
          <cell r="BR182"/>
          <cell r="BS182"/>
          <cell r="BT182"/>
          <cell r="BU182"/>
          <cell r="BV182"/>
          <cell r="BW182"/>
          <cell r="BX182"/>
          <cell r="BY182"/>
          <cell r="BZ182"/>
          <cell r="CA182"/>
          <cell r="CB182"/>
          <cell r="CC182"/>
          <cell r="CD182"/>
          <cell r="CE182"/>
          <cell r="CF182"/>
          <cell r="CG182"/>
          <cell r="CH182"/>
          <cell r="CI182"/>
          <cell r="CJ182"/>
          <cell r="CK182"/>
          <cell r="CL182"/>
          <cell r="CM182"/>
          <cell r="CN182"/>
          <cell r="CO182"/>
          <cell r="CP182"/>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row>
        <row r="183">
          <cell r="C183" t="str">
            <v>OCI CF Hedge Pretax</v>
          </cell>
          <cell r="D183">
            <v>2978184.09</v>
          </cell>
          <cell r="E183">
            <v>2941702.14</v>
          </cell>
          <cell r="F183">
            <v>2905220.19</v>
          </cell>
          <cell r="G183">
            <v>2868738.24</v>
          </cell>
          <cell r="H183">
            <v>2829872.61</v>
          </cell>
          <cell r="I183">
            <v>2769604.84</v>
          </cell>
          <cell r="J183">
            <v>2806115.56</v>
          </cell>
          <cell r="K183">
            <v>2733094.12</v>
          </cell>
          <cell r="L183">
            <v>2696583.4</v>
          </cell>
          <cell r="M183">
            <v>2660072.6800000002</v>
          </cell>
          <cell r="N183">
            <v>2623561.96</v>
          </cell>
          <cell r="O183">
            <v>2587051.2400000002</v>
          </cell>
          <cell r="P183">
            <v>2550540.52</v>
          </cell>
          <cell r="Q183">
            <v>2514029.7999999998</v>
          </cell>
          <cell r="R183">
            <v>2477519.08</v>
          </cell>
          <cell r="S183">
            <v>2413484.44</v>
          </cell>
          <cell r="T183">
            <v>2216709.7200000002</v>
          </cell>
          <cell r="U183">
            <v>2020946.92</v>
          </cell>
          <cell r="V183">
            <v>1985400.2</v>
          </cell>
          <cell r="W183">
            <v>1949853.48</v>
          </cell>
          <cell r="X183">
            <v>1914306.76</v>
          </cell>
          <cell r="Y183">
            <v>1878760.04</v>
          </cell>
          <cell r="Z183">
            <v>1843213.32</v>
          </cell>
          <cell r="AA183">
            <v>1772119.88</v>
          </cell>
          <cell r="AB183">
            <v>1807666.6</v>
          </cell>
          <cell r="AC183">
            <v>1736573.16</v>
          </cell>
          <cell r="AD183">
            <v>1701026.44</v>
          </cell>
          <cell r="AE183">
            <v>1665479.72</v>
          </cell>
          <cell r="AF183">
            <v>1629933</v>
          </cell>
          <cell r="AG183">
            <v>1594386.28</v>
          </cell>
          <cell r="AH183">
            <v>1558839.56</v>
          </cell>
          <cell r="AI183">
            <v>1523292.84</v>
          </cell>
          <cell r="AJ183">
            <v>1487746.12</v>
          </cell>
          <cell r="AK183">
            <v>1452199.4</v>
          </cell>
          <cell r="AL183">
            <v>1416652.68</v>
          </cell>
          <cell r="AM183">
            <v>1381105.96</v>
          </cell>
          <cell r="AN183">
            <v>1345559.24</v>
          </cell>
          <cell r="AO183">
            <v>1310012.52</v>
          </cell>
          <cell r="AP183">
            <v>1274465.8</v>
          </cell>
          <cell r="AQ183">
            <v>1238919.08</v>
          </cell>
          <cell r="AR183">
            <v>1203372.3600000001</v>
          </cell>
          <cell r="AS183">
            <v>1167825.6399999999</v>
          </cell>
          <cell r="AT183">
            <v>1132278.92</v>
          </cell>
          <cell r="AU183">
            <v>1096732.2</v>
          </cell>
          <cell r="AV183">
            <v>1061185.48</v>
          </cell>
          <cell r="AW183">
            <v>1025638.76</v>
          </cell>
          <cell r="AX183">
            <v>990092.04</v>
          </cell>
          <cell r="AY183">
            <v>954545.32</v>
          </cell>
          <cell r="AZ183">
            <v>918998.6</v>
          </cell>
          <cell r="BA183">
            <v>883451.88</v>
          </cell>
          <cell r="BB183">
            <v>847905.16</v>
          </cell>
          <cell r="BC183">
            <v>812358.44</v>
          </cell>
          <cell r="BD183">
            <v>776811.72</v>
          </cell>
          <cell r="BE183">
            <v>757664.02</v>
          </cell>
          <cell r="BF183">
            <v>754915.08</v>
          </cell>
          <cell r="BG183">
            <v>752166.14</v>
          </cell>
          <cell r="BH183">
            <v>749417.2</v>
          </cell>
          <cell r="BI183">
            <v>746668.26</v>
          </cell>
          <cell r="BJ183">
            <v>743919.32</v>
          </cell>
          <cell r="BK183">
            <v>741170.38</v>
          </cell>
          <cell r="BL183">
            <v>738421.44</v>
          </cell>
          <cell r="BM183">
            <v>735672.5</v>
          </cell>
          <cell r="BN183">
            <v>732923.56</v>
          </cell>
          <cell r="BO183">
            <v>730174.62</v>
          </cell>
          <cell r="BP183">
            <v>727425.68</v>
          </cell>
          <cell r="BQ183">
            <v>724676.74</v>
          </cell>
          <cell r="BR183">
            <v>721927.8</v>
          </cell>
          <cell r="BS183">
            <v>719178.86</v>
          </cell>
          <cell r="BT183">
            <v>716429.92</v>
          </cell>
          <cell r="BU183">
            <v>713680.98</v>
          </cell>
          <cell r="BV183">
            <v>710932.04</v>
          </cell>
          <cell r="BW183">
            <v>708183.1</v>
          </cell>
          <cell r="BX183">
            <v>705434.16</v>
          </cell>
          <cell r="BY183">
            <v>702685.22</v>
          </cell>
          <cell r="BZ183">
            <v>699936.28</v>
          </cell>
          <cell r="CA183">
            <v>697187.34</v>
          </cell>
          <cell r="CB183">
            <v>694438.40000000002</v>
          </cell>
          <cell r="CC183">
            <v>691689.46</v>
          </cell>
          <cell r="CD183">
            <v>688940.52</v>
          </cell>
          <cell r="CE183">
            <v>686191.58</v>
          </cell>
          <cell r="CF183">
            <v>683442.64</v>
          </cell>
          <cell r="CG183">
            <v>680693.7</v>
          </cell>
          <cell r="CH183">
            <v>677944.76</v>
          </cell>
          <cell r="CI183">
            <v>675195.82</v>
          </cell>
          <cell r="CJ183">
            <v>672446.88</v>
          </cell>
          <cell r="CK183">
            <v>669697.93999999994</v>
          </cell>
          <cell r="CL183">
            <v>666949</v>
          </cell>
          <cell r="CM183">
            <v>664200.06000000006</v>
          </cell>
          <cell r="CN183">
            <v>661438.32999999996</v>
          </cell>
          <cell r="CO183">
            <v>658689.39</v>
          </cell>
          <cell r="CP183">
            <v>655940.44999999995</v>
          </cell>
          <cell r="CQ183">
            <v>653191.51</v>
          </cell>
          <cell r="CR183">
            <v>650442.56999999995</v>
          </cell>
          <cell r="CS183">
            <v>647693.63</v>
          </cell>
          <cell r="CT183">
            <v>644944.68999999994</v>
          </cell>
          <cell r="CU183">
            <v>642195.75</v>
          </cell>
          <cell r="CV183">
            <v>639446.81000000006</v>
          </cell>
          <cell r="CW183">
            <v>636697.87</v>
          </cell>
          <cell r="CX183">
            <v>633948.93000000005</v>
          </cell>
          <cell r="CY183">
            <v>631199.99</v>
          </cell>
          <cell r="CZ183">
            <v>628451.05000000005</v>
          </cell>
          <cell r="DA183">
            <v>625702.11</v>
          </cell>
          <cell r="DB183">
            <v>622953.17000000004</v>
          </cell>
          <cell r="DC183">
            <v>620204.23</v>
          </cell>
          <cell r="DD183">
            <v>617455.29</v>
          </cell>
          <cell r="DE183">
            <v>614706.35</v>
          </cell>
          <cell r="DF183">
            <v>611957.41</v>
          </cell>
          <cell r="DG183">
            <v>609208.47</v>
          </cell>
          <cell r="DH183">
            <v>606459.53</v>
          </cell>
        </row>
        <row r="184">
          <cell r="C184" t="str">
            <v>OCI CF Hedge Taxes</v>
          </cell>
          <cell r="D184">
            <v>-1148834.5900000001</v>
          </cell>
          <cell r="E184">
            <v>-1134761.68</v>
          </cell>
          <cell r="F184">
            <v>-1120688.77</v>
          </cell>
          <cell r="G184">
            <v>-1106615.8500000001</v>
          </cell>
          <cell r="H184">
            <v>-1091623.43</v>
          </cell>
          <cell r="I184">
            <v>-1068375.1499999999</v>
          </cell>
          <cell r="J184">
            <v>-1082459.17</v>
          </cell>
          <cell r="K184">
            <v>-1054291.1399999999</v>
          </cell>
          <cell r="L184">
            <v>-1040207.13</v>
          </cell>
          <cell r="M184">
            <v>-1026123.12</v>
          </cell>
          <cell r="N184">
            <v>-1012039.11</v>
          </cell>
          <cell r="O184">
            <v>-997955.09</v>
          </cell>
          <cell r="P184">
            <v>-983871.08</v>
          </cell>
          <cell r="Q184">
            <v>-969787.08</v>
          </cell>
          <cell r="R184">
            <v>-955703.07</v>
          </cell>
          <cell r="S184">
            <v>-931001.69</v>
          </cell>
          <cell r="T184">
            <v>-855095.85</v>
          </cell>
          <cell r="U184">
            <v>-779580.35</v>
          </cell>
          <cell r="V184">
            <v>-765868.21</v>
          </cell>
          <cell r="W184">
            <v>-752156.06</v>
          </cell>
          <cell r="X184">
            <v>-738443.91</v>
          </cell>
          <cell r="Y184">
            <v>-724731.76</v>
          </cell>
          <cell r="Z184">
            <v>-711019.61</v>
          </cell>
          <cell r="AA184">
            <v>-683595.32</v>
          </cell>
          <cell r="AB184">
            <v>-697307.47</v>
          </cell>
          <cell r="AC184">
            <v>-669883.18000000005</v>
          </cell>
          <cell r="AD184">
            <v>-656171.02</v>
          </cell>
          <cell r="AE184">
            <v>-642458.88</v>
          </cell>
          <cell r="AF184">
            <v>-628746.74</v>
          </cell>
          <cell r="AG184">
            <v>-615034.59</v>
          </cell>
          <cell r="AH184">
            <v>-601322.44999999995</v>
          </cell>
          <cell r="AI184">
            <v>-587610.29</v>
          </cell>
          <cell r="AJ184">
            <v>-573898.15</v>
          </cell>
          <cell r="AK184">
            <v>-560186</v>
          </cell>
          <cell r="AL184">
            <v>-546473.86</v>
          </cell>
          <cell r="AM184">
            <v>-532761.71</v>
          </cell>
          <cell r="AN184">
            <v>-519049.55</v>
          </cell>
          <cell r="AO184">
            <v>-505337.41</v>
          </cell>
          <cell r="AP184">
            <v>-491625.26</v>
          </cell>
          <cell r="AQ184">
            <v>-477913.12</v>
          </cell>
          <cell r="AR184">
            <v>-464200.97</v>
          </cell>
          <cell r="AS184">
            <v>-450488.82</v>
          </cell>
          <cell r="AT184">
            <v>-436776.67</v>
          </cell>
          <cell r="AU184">
            <v>-423064.53</v>
          </cell>
          <cell r="AV184">
            <v>-409352.38</v>
          </cell>
          <cell r="AW184">
            <v>-395640.23</v>
          </cell>
          <cell r="AX184">
            <v>-381928.08</v>
          </cell>
          <cell r="AY184">
            <v>-368215.93</v>
          </cell>
          <cell r="AZ184">
            <v>-410937.76</v>
          </cell>
          <cell r="BA184">
            <v>-401928.44</v>
          </cell>
          <cell r="BB184">
            <v>-392919.13</v>
          </cell>
          <cell r="BC184">
            <v>-383909.81</v>
          </cell>
          <cell r="BD184">
            <v>-374900.5</v>
          </cell>
          <cell r="BE184">
            <v>-370047.51</v>
          </cell>
          <cell r="BF184">
            <v>-369350.79</v>
          </cell>
          <cell r="BG184">
            <v>-368654.06</v>
          </cell>
          <cell r="BH184">
            <v>-367957.36</v>
          </cell>
          <cell r="BI184">
            <v>-367260.64</v>
          </cell>
          <cell r="BJ184">
            <v>-366563.92</v>
          </cell>
          <cell r="BK184">
            <v>-365867.2</v>
          </cell>
          <cell r="BL184">
            <v>-365170.49</v>
          </cell>
          <cell r="BM184">
            <v>-364473.77</v>
          </cell>
          <cell r="BN184">
            <v>-363777.06</v>
          </cell>
          <cell r="BO184">
            <v>-363080.33</v>
          </cell>
          <cell r="BP184">
            <v>-362383.61</v>
          </cell>
          <cell r="BQ184">
            <v>-361686.89</v>
          </cell>
          <cell r="BR184">
            <v>-360990.18</v>
          </cell>
          <cell r="BS184">
            <v>-360293.46</v>
          </cell>
          <cell r="BT184">
            <v>-359596.74</v>
          </cell>
          <cell r="BU184">
            <v>-358900.01</v>
          </cell>
          <cell r="BV184">
            <v>-358203.3</v>
          </cell>
          <cell r="BW184">
            <v>-357506.58</v>
          </cell>
          <cell r="BX184">
            <v>-356809.86</v>
          </cell>
          <cell r="BY184">
            <v>-356113.14</v>
          </cell>
          <cell r="BZ184">
            <v>-355416.43</v>
          </cell>
          <cell r="CA184">
            <v>-354719.7</v>
          </cell>
          <cell r="CB184">
            <v>-354022.98</v>
          </cell>
          <cell r="CC184">
            <v>-353326.26</v>
          </cell>
          <cell r="CD184">
            <v>-352629.55</v>
          </cell>
          <cell r="CE184">
            <v>-351932.83</v>
          </cell>
          <cell r="CF184">
            <v>-351236.11</v>
          </cell>
          <cell r="CG184">
            <v>-350539.38</v>
          </cell>
          <cell r="CH184">
            <v>-349842.67</v>
          </cell>
          <cell r="CI184">
            <v>-349145.95</v>
          </cell>
          <cell r="CJ184">
            <v>-348449.23</v>
          </cell>
          <cell r="CK184">
            <v>-347752.51</v>
          </cell>
          <cell r="CL184">
            <v>-347055.8</v>
          </cell>
          <cell r="CM184">
            <v>-346359.07</v>
          </cell>
          <cell r="CN184">
            <v>-345662.35</v>
          </cell>
          <cell r="CO184">
            <v>-344965.63</v>
          </cell>
          <cell r="CP184">
            <v>-344268.92</v>
          </cell>
          <cell r="CQ184">
            <v>-343572.2</v>
          </cell>
          <cell r="CR184">
            <v>-342875.48</v>
          </cell>
          <cell r="CS184">
            <v>-342178.75</v>
          </cell>
          <cell r="CT184">
            <v>-341482.04</v>
          </cell>
          <cell r="CU184">
            <v>-340785.32</v>
          </cell>
          <cell r="CV184">
            <v>-340088.6</v>
          </cell>
          <cell r="CW184">
            <v>-339391.88</v>
          </cell>
          <cell r="CX184">
            <v>-338695.17</v>
          </cell>
          <cell r="CY184">
            <v>-337998.44</v>
          </cell>
          <cell r="CZ184">
            <v>-337301.72</v>
          </cell>
          <cell r="DA184">
            <v>-336605</v>
          </cell>
          <cell r="DB184">
            <v>-335908.29</v>
          </cell>
          <cell r="DC184">
            <v>-335211.57</v>
          </cell>
          <cell r="DD184">
            <v>-334514.84999999998</v>
          </cell>
          <cell r="DE184">
            <v>-333818.12</v>
          </cell>
          <cell r="DF184">
            <v>-333121.40999999997</v>
          </cell>
          <cell r="DG184">
            <v>-332424.69</v>
          </cell>
          <cell r="DH184">
            <v>-331727.96999999997</v>
          </cell>
        </row>
        <row r="185">
          <cell r="C185" t="str">
            <v>OCI Restor Pretax</v>
          </cell>
          <cell r="D185"/>
          <cell r="E185"/>
          <cell r="F185"/>
          <cell r="G185"/>
          <cell r="H185"/>
          <cell r="I185"/>
          <cell r="J185"/>
          <cell r="K185"/>
          <cell r="L185"/>
          <cell r="M185"/>
          <cell r="N185"/>
          <cell r="O185"/>
          <cell r="P185"/>
          <cell r="Q185"/>
          <cell r="R185"/>
          <cell r="S185"/>
          <cell r="T185"/>
          <cell r="U185"/>
          <cell r="V185"/>
          <cell r="W185"/>
          <cell r="X185"/>
          <cell r="Y185"/>
          <cell r="Z185"/>
          <cell r="AA185"/>
          <cell r="AB185"/>
          <cell r="AC185"/>
          <cell r="AD185"/>
          <cell r="AE185"/>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row>
        <row r="186">
          <cell r="C186"/>
          <cell r="D186"/>
          <cell r="E186"/>
          <cell r="F186"/>
          <cell r="G186"/>
          <cell r="H186"/>
          <cell r="I186"/>
          <cell r="J186"/>
          <cell r="K186"/>
          <cell r="L186"/>
          <cell r="M186"/>
          <cell r="N186"/>
          <cell r="O186"/>
          <cell r="P186"/>
          <cell r="Q186"/>
          <cell r="R186"/>
          <cell r="S186"/>
          <cell r="T186"/>
          <cell r="U186"/>
          <cell r="V186"/>
          <cell r="W186"/>
          <cell r="X186"/>
          <cell r="Y186"/>
          <cell r="Z186"/>
          <cell r="AA186"/>
          <cell r="AB186"/>
          <cell r="AC186"/>
          <cell r="AD186"/>
          <cell r="AE186"/>
          <cell r="AF186"/>
          <cell r="AG186"/>
          <cell r="AH186"/>
          <cell r="AI186"/>
          <cell r="AJ186"/>
          <cell r="AK186"/>
          <cell r="AL186"/>
          <cell r="AM186"/>
          <cell r="AN186"/>
          <cell r="AO186"/>
          <cell r="AP186"/>
          <cell r="AQ186"/>
          <cell r="AR186"/>
          <cell r="AS186"/>
          <cell r="AT186"/>
          <cell r="AU186"/>
          <cell r="AV186"/>
          <cell r="AW186"/>
          <cell r="AX186"/>
          <cell r="AY186"/>
          <cell r="AZ186"/>
          <cell r="BA186"/>
          <cell r="BB186"/>
          <cell r="BC186"/>
          <cell r="BD186"/>
          <cell r="BE186"/>
          <cell r="BF186"/>
          <cell r="BG186"/>
          <cell r="BH186"/>
          <cell r="BI186"/>
          <cell r="BJ186"/>
          <cell r="BK186"/>
          <cell r="BL186"/>
          <cell r="BM186"/>
          <cell r="BN186"/>
          <cell r="BO186"/>
          <cell r="BP186"/>
          <cell r="BQ186"/>
          <cell r="BR186"/>
          <cell r="BS186"/>
          <cell r="BT186"/>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row>
        <row r="187">
          <cell r="C187" t="str">
            <v>LTD Recourse C</v>
          </cell>
          <cell r="D187"/>
          <cell r="E187"/>
          <cell r="F187"/>
          <cell r="G187"/>
          <cell r="H187"/>
          <cell r="I187"/>
          <cell r="J187"/>
          <cell r="K187"/>
          <cell r="L187"/>
          <cell r="M187"/>
          <cell r="N187"/>
          <cell r="O187"/>
          <cell r="P187"/>
          <cell r="Q187"/>
          <cell r="R187"/>
          <cell r="S187"/>
          <cell r="T187"/>
          <cell r="U187"/>
          <cell r="V187"/>
          <cell r="W187"/>
          <cell r="X187"/>
          <cell r="Y187"/>
          <cell r="Z187"/>
          <cell r="AA187"/>
          <cell r="AB187"/>
          <cell r="AC187"/>
          <cell r="AD187"/>
          <cell r="AE187"/>
          <cell r="AF187"/>
          <cell r="AG187"/>
          <cell r="AH187"/>
          <cell r="AI187"/>
          <cell r="AJ187"/>
          <cell r="AK187"/>
          <cell r="AL187"/>
          <cell r="AM187"/>
          <cell r="AN187"/>
          <cell r="AO187"/>
          <cell r="AP187"/>
          <cell r="AQ187"/>
          <cell r="AR187">
            <v>0</v>
          </cell>
          <cell r="AS187">
            <v>-50000000</v>
          </cell>
          <cell r="AT187">
            <v>-50000000</v>
          </cell>
          <cell r="AU187">
            <v>-50000000</v>
          </cell>
          <cell r="AV187">
            <v>-50000000</v>
          </cell>
          <cell r="AW187">
            <v>-50000000</v>
          </cell>
          <cell r="AX187">
            <v>-50000000</v>
          </cell>
          <cell r="AY187">
            <v>-50000000</v>
          </cell>
          <cell r="AZ187">
            <v>-50000000</v>
          </cell>
          <cell r="BA187">
            <v>-50000000</v>
          </cell>
          <cell r="BB187">
            <v>-50000000</v>
          </cell>
          <cell r="BC187">
            <v>-50000000</v>
          </cell>
          <cell r="BD187">
            <v>-50000000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cell r="BW187"/>
          <cell r="BX187"/>
          <cell r="BY187"/>
          <cell r="BZ187"/>
          <cell r="CA187"/>
          <cell r="CB187"/>
          <cell r="CC187">
            <v>-46764680</v>
          </cell>
          <cell r="CD187">
            <v>-46764680</v>
          </cell>
          <cell r="CE187">
            <v>-46764680</v>
          </cell>
          <cell r="CF187">
            <v>-46764680</v>
          </cell>
          <cell r="CG187">
            <v>-46764680</v>
          </cell>
          <cell r="CH187">
            <v>-46764680</v>
          </cell>
          <cell r="CI187">
            <v>-46764680</v>
          </cell>
          <cell r="CJ187">
            <v>-46764680</v>
          </cell>
          <cell r="CK187">
            <v>-46764680</v>
          </cell>
          <cell r="CL187">
            <v>-46764680</v>
          </cell>
          <cell r="CM187">
            <v>-46764680</v>
          </cell>
          <cell r="CN187">
            <v>-46764680</v>
          </cell>
          <cell r="CO187">
            <v>0</v>
          </cell>
          <cell r="CP187">
            <v>0</v>
          </cell>
          <cell r="CQ187">
            <v>0</v>
          </cell>
          <cell r="CR187">
            <v>0</v>
          </cell>
          <cell r="CS187">
            <v>-25000000</v>
          </cell>
          <cell r="CT187">
            <v>-25000000</v>
          </cell>
          <cell r="CU187">
            <v>-25000000</v>
          </cell>
          <cell r="CV187">
            <v>-25000000</v>
          </cell>
          <cell r="CW187">
            <v>-25000000</v>
          </cell>
          <cell r="CX187">
            <v>-25000000</v>
          </cell>
          <cell r="CY187">
            <v>-25000000</v>
          </cell>
          <cell r="CZ187">
            <v>-25000000</v>
          </cell>
          <cell r="DA187">
            <v>-25000000</v>
          </cell>
          <cell r="DB187">
            <v>-25000000</v>
          </cell>
          <cell r="DC187">
            <v>-25000000</v>
          </cell>
          <cell r="DD187">
            <v>-25000000</v>
          </cell>
          <cell r="DE187">
            <v>0</v>
          </cell>
          <cell r="DF187">
            <v>0</v>
          </cell>
          <cell r="DG187">
            <v>0</v>
          </cell>
          <cell r="DH187">
            <v>0</v>
          </cell>
        </row>
        <row r="188">
          <cell r="C188" t="str">
            <v>LTD Recourse NC</v>
          </cell>
          <cell r="D188">
            <v>-231764680</v>
          </cell>
          <cell r="E188">
            <v>-231764680</v>
          </cell>
          <cell r="F188">
            <v>-231764680</v>
          </cell>
          <cell r="G188">
            <v>-231764680</v>
          </cell>
          <cell r="H188">
            <v>-231764680</v>
          </cell>
          <cell r="I188">
            <v>-241764680</v>
          </cell>
          <cell r="J188">
            <v>-241764680</v>
          </cell>
          <cell r="K188">
            <v>-241764680</v>
          </cell>
          <cell r="L188">
            <v>-241764680</v>
          </cell>
          <cell r="M188">
            <v>-241764680</v>
          </cell>
          <cell r="N188">
            <v>-241764680</v>
          </cell>
          <cell r="O188">
            <v>-241764680</v>
          </cell>
          <cell r="P188">
            <v>-241764680</v>
          </cell>
          <cell r="Q188">
            <v>-241764680</v>
          </cell>
          <cell r="R188">
            <v>-241764680</v>
          </cell>
          <cell r="S188">
            <v>-241764680</v>
          </cell>
          <cell r="T188">
            <v>-241764680</v>
          </cell>
          <cell r="U188">
            <v>-261764680</v>
          </cell>
          <cell r="V188">
            <v>-261764680</v>
          </cell>
          <cell r="W188">
            <v>-261764680</v>
          </cell>
          <cell r="X188">
            <v>-261764680</v>
          </cell>
          <cell r="Y188">
            <v>-261764680</v>
          </cell>
          <cell r="Z188">
            <v>-261764680</v>
          </cell>
          <cell r="AA188">
            <v>-261764680</v>
          </cell>
          <cell r="AB188">
            <v>-261764680</v>
          </cell>
          <cell r="AC188">
            <v>-261764680</v>
          </cell>
          <cell r="AD188">
            <v>-261764680</v>
          </cell>
          <cell r="AE188">
            <v>-261764680</v>
          </cell>
          <cell r="AF188">
            <v>-261764680</v>
          </cell>
          <cell r="AG188">
            <v>-261764680</v>
          </cell>
          <cell r="AH188">
            <v>-261764680</v>
          </cell>
          <cell r="AI188">
            <v>-261764680</v>
          </cell>
          <cell r="AJ188">
            <v>-261764680</v>
          </cell>
          <cell r="AK188">
            <v>-261764680</v>
          </cell>
          <cell r="AL188">
            <v>-261764680</v>
          </cell>
          <cell r="AM188">
            <v>-261764680</v>
          </cell>
          <cell r="AN188">
            <v>-261764680</v>
          </cell>
          <cell r="AO188">
            <v>-261764680</v>
          </cell>
          <cell r="AP188">
            <v>-261764680</v>
          </cell>
          <cell r="AQ188">
            <v>-261764680</v>
          </cell>
          <cell r="AR188">
            <v>-261764680</v>
          </cell>
          <cell r="AS188">
            <v>-211764680</v>
          </cell>
          <cell r="AT188">
            <v>-211764680</v>
          </cell>
          <cell r="AU188">
            <v>-211764680</v>
          </cell>
          <cell r="AV188">
            <v>-211764680</v>
          </cell>
          <cell r="AW188">
            <v>-211764680</v>
          </cell>
          <cell r="AX188">
            <v>-211764680</v>
          </cell>
          <cell r="AY188">
            <v>-211764680</v>
          </cell>
          <cell r="AZ188">
            <v>-211764680</v>
          </cell>
          <cell r="BA188">
            <v>-211764680</v>
          </cell>
          <cell r="BB188">
            <v>-211764680</v>
          </cell>
          <cell r="BC188">
            <v>-211764680</v>
          </cell>
          <cell r="BD188">
            <v>-211764680</v>
          </cell>
          <cell r="BE188">
            <v>-211764680</v>
          </cell>
          <cell r="BF188">
            <v>-286764680</v>
          </cell>
          <cell r="BG188">
            <v>-286764680</v>
          </cell>
          <cell r="BH188">
            <v>-286764680</v>
          </cell>
          <cell r="BI188">
            <v>-286764680</v>
          </cell>
          <cell r="BJ188">
            <v>-311764680</v>
          </cell>
          <cell r="BK188">
            <v>-311764680</v>
          </cell>
          <cell r="BL188">
            <v>-311764680</v>
          </cell>
          <cell r="BM188">
            <v>-311764680</v>
          </cell>
          <cell r="BN188">
            <v>-311764680</v>
          </cell>
          <cell r="BO188">
            <v>-311764680</v>
          </cell>
          <cell r="BP188">
            <v>-311764680</v>
          </cell>
          <cell r="BQ188">
            <v>-311764680</v>
          </cell>
          <cell r="BR188">
            <v>-311764680</v>
          </cell>
          <cell r="BS188">
            <v>-336764680</v>
          </cell>
          <cell r="BT188">
            <v>-336764680</v>
          </cell>
          <cell r="BU188">
            <v>-336764680</v>
          </cell>
          <cell r="BV188">
            <v>-336764680</v>
          </cell>
          <cell r="BW188">
            <v>-336764680</v>
          </cell>
          <cell r="BX188">
            <v>-336764680</v>
          </cell>
          <cell r="BY188">
            <v>-336764680</v>
          </cell>
          <cell r="BZ188">
            <v>-336764680</v>
          </cell>
          <cell r="CA188">
            <v>-336764680</v>
          </cell>
          <cell r="CB188">
            <v>-336764680</v>
          </cell>
          <cell r="CC188">
            <v>-290000000</v>
          </cell>
          <cell r="CD188">
            <v>-290000000</v>
          </cell>
          <cell r="CE188">
            <v>-290000000</v>
          </cell>
          <cell r="CF188">
            <v>-290000000</v>
          </cell>
          <cell r="CG188">
            <v>-290000000</v>
          </cell>
          <cell r="CH188">
            <v>-290000000</v>
          </cell>
          <cell r="CI188">
            <v>-290000000</v>
          </cell>
          <cell r="CJ188">
            <v>-290000000</v>
          </cell>
          <cell r="CK188">
            <v>-290000000</v>
          </cell>
          <cell r="CL188">
            <v>-290000000</v>
          </cell>
          <cell r="CM188">
            <v>-520000000</v>
          </cell>
          <cell r="CN188">
            <v>-520000000</v>
          </cell>
          <cell r="CO188">
            <v>-520000000</v>
          </cell>
          <cell r="CP188">
            <v>-520000000</v>
          </cell>
          <cell r="CQ188">
            <v>-520000000</v>
          </cell>
          <cell r="CR188">
            <v>-520000000</v>
          </cell>
          <cell r="CS188">
            <v>-495000000</v>
          </cell>
          <cell r="CT188">
            <v>-495000000</v>
          </cell>
          <cell r="CU188">
            <v>-495000000</v>
          </cell>
          <cell r="CV188">
            <v>-495000000</v>
          </cell>
          <cell r="CW188">
            <v>-495000000</v>
          </cell>
          <cell r="CX188">
            <v>-495000000</v>
          </cell>
          <cell r="CY188">
            <v>-495000000</v>
          </cell>
          <cell r="CZ188">
            <v>-495000000</v>
          </cell>
          <cell r="DA188">
            <v>-495000000</v>
          </cell>
          <cell r="DB188">
            <v>-495000000</v>
          </cell>
          <cell r="DC188">
            <v>-570000000</v>
          </cell>
          <cell r="DD188">
            <v>-570000000</v>
          </cell>
          <cell r="DE188">
            <v>-570000000</v>
          </cell>
          <cell r="DF188">
            <v>-570000000</v>
          </cell>
          <cell r="DG188">
            <v>-570000000</v>
          </cell>
          <cell r="DH188">
            <v>-570000000</v>
          </cell>
        </row>
        <row r="189">
          <cell r="C189" t="str">
            <v>UA Disc LTD Recourse</v>
          </cell>
          <cell r="D189">
            <v>422760.18</v>
          </cell>
          <cell r="E189">
            <v>421177.68</v>
          </cell>
          <cell r="F189">
            <v>419595.18</v>
          </cell>
          <cell r="G189">
            <v>418012.68</v>
          </cell>
          <cell r="H189">
            <v>416430.18</v>
          </cell>
          <cell r="I189">
            <v>419937.26</v>
          </cell>
          <cell r="J189">
            <v>421547.68</v>
          </cell>
          <cell r="K189">
            <v>418336.15</v>
          </cell>
          <cell r="L189">
            <v>416735.04</v>
          </cell>
          <cell r="M189">
            <v>415133.93</v>
          </cell>
          <cell r="N189">
            <v>413532.82</v>
          </cell>
          <cell r="O189">
            <v>411931.71</v>
          </cell>
          <cell r="P189">
            <v>410330.6</v>
          </cell>
          <cell r="Q189">
            <v>408729.49</v>
          </cell>
          <cell r="R189">
            <v>407128.38</v>
          </cell>
          <cell r="S189">
            <v>405527.27</v>
          </cell>
          <cell r="T189">
            <v>403926.16</v>
          </cell>
          <cell r="U189">
            <v>439525.05</v>
          </cell>
          <cell r="V189">
            <v>437819.41</v>
          </cell>
          <cell r="W189">
            <v>436114.97</v>
          </cell>
          <cell r="X189">
            <v>434410.53</v>
          </cell>
          <cell r="Y189">
            <v>432706.09</v>
          </cell>
          <cell r="Z189">
            <v>431001.65</v>
          </cell>
          <cell r="AA189">
            <v>427592.77</v>
          </cell>
          <cell r="AB189">
            <v>429297.21</v>
          </cell>
          <cell r="AC189">
            <v>425888.33</v>
          </cell>
          <cell r="AD189">
            <v>424183.89</v>
          </cell>
          <cell r="AE189">
            <v>422479.45</v>
          </cell>
          <cell r="AF189">
            <v>420775.01</v>
          </cell>
          <cell r="AG189">
            <v>419070.57</v>
          </cell>
          <cell r="AH189">
            <v>417366.13</v>
          </cell>
          <cell r="AI189">
            <v>415661.69</v>
          </cell>
          <cell r="AJ189">
            <v>413957.25</v>
          </cell>
          <cell r="AK189">
            <v>412252.81</v>
          </cell>
          <cell r="AL189">
            <v>410548.37</v>
          </cell>
          <cell r="AM189">
            <v>408843.93</v>
          </cell>
          <cell r="AN189">
            <v>407139.49</v>
          </cell>
          <cell r="AO189">
            <v>405435.05</v>
          </cell>
          <cell r="AP189">
            <v>403730.61</v>
          </cell>
          <cell r="AQ189">
            <v>402026.17</v>
          </cell>
          <cell r="AR189">
            <v>400321.73</v>
          </cell>
          <cell r="AS189">
            <v>398617.29</v>
          </cell>
          <cell r="AT189">
            <v>396912.85</v>
          </cell>
          <cell r="AU189">
            <v>395208.41</v>
          </cell>
          <cell r="AV189">
            <v>393503.97</v>
          </cell>
          <cell r="AW189">
            <v>391799.53</v>
          </cell>
          <cell r="AX189">
            <v>390095.09</v>
          </cell>
          <cell r="AY189">
            <v>388390.65</v>
          </cell>
          <cell r="AZ189">
            <v>386686.21</v>
          </cell>
          <cell r="BA189">
            <v>384981.77</v>
          </cell>
          <cell r="BB189">
            <v>383277.33</v>
          </cell>
          <cell r="BC189">
            <v>381572.89</v>
          </cell>
          <cell r="BD189">
            <v>379868.45</v>
          </cell>
          <cell r="BE189">
            <v>378164.01</v>
          </cell>
          <cell r="BF189">
            <v>571302.51</v>
          </cell>
          <cell r="BG189">
            <v>774522.99</v>
          </cell>
          <cell r="BH189">
            <v>771701.88</v>
          </cell>
          <cell r="BI189">
            <v>768880.77</v>
          </cell>
          <cell r="BJ189">
            <v>893463.71</v>
          </cell>
          <cell r="BK189">
            <v>890295.45</v>
          </cell>
          <cell r="BL189">
            <v>887127.19</v>
          </cell>
          <cell r="BM189">
            <v>883958.93</v>
          </cell>
          <cell r="BN189">
            <v>880790.67</v>
          </cell>
          <cell r="BO189">
            <v>877622.41</v>
          </cell>
          <cell r="BP189">
            <v>874454.15</v>
          </cell>
          <cell r="BQ189">
            <v>871285.89</v>
          </cell>
          <cell r="BR189">
            <v>868117.63</v>
          </cell>
          <cell r="BS189">
            <v>1171449.3700000001</v>
          </cell>
          <cell r="BT189">
            <v>1167456.6100000001</v>
          </cell>
          <cell r="BU189">
            <v>1163462.2</v>
          </cell>
          <cell r="BV189">
            <v>1159467.79</v>
          </cell>
          <cell r="BW189">
            <v>1155473.3799999999</v>
          </cell>
          <cell r="BX189">
            <v>1151478.97</v>
          </cell>
          <cell r="BY189">
            <v>1147484.56</v>
          </cell>
          <cell r="BZ189">
            <v>1143490.1499999999</v>
          </cell>
          <cell r="CA189">
            <v>1139495.74</v>
          </cell>
          <cell r="CB189">
            <v>1135501.33</v>
          </cell>
          <cell r="CC189">
            <v>1131506.92</v>
          </cell>
          <cell r="CD189">
            <v>1127512.51</v>
          </cell>
          <cell r="CE189">
            <v>1123518.1000000001</v>
          </cell>
          <cell r="CF189">
            <v>1119523.69</v>
          </cell>
          <cell r="CG189">
            <v>1115529.28</v>
          </cell>
          <cell r="CH189">
            <v>1111534.8700000001</v>
          </cell>
          <cell r="CI189">
            <v>1107540.46</v>
          </cell>
          <cell r="CJ189">
            <v>1103546.05</v>
          </cell>
          <cell r="CK189">
            <v>1099551.6399999999</v>
          </cell>
          <cell r="CL189">
            <v>1095557.23</v>
          </cell>
          <cell r="CM189">
            <v>1719076.29</v>
          </cell>
          <cell r="CN189">
            <v>1711423.85</v>
          </cell>
          <cell r="CO189">
            <v>1703592.91</v>
          </cell>
          <cell r="CP189">
            <v>1695761.97</v>
          </cell>
          <cell r="CQ189">
            <v>1687931.03</v>
          </cell>
          <cell r="CR189">
            <v>1680100.09</v>
          </cell>
          <cell r="CS189">
            <v>1672269.15</v>
          </cell>
          <cell r="CT189">
            <v>1664438.21</v>
          </cell>
          <cell r="CU189">
            <v>1656607.27</v>
          </cell>
          <cell r="CV189">
            <v>1648776.33</v>
          </cell>
          <cell r="CW189">
            <v>1640945.39</v>
          </cell>
          <cell r="CX189">
            <v>1633114.45</v>
          </cell>
          <cell r="CY189">
            <v>1625283.51</v>
          </cell>
          <cell r="CZ189">
            <v>1617452.57</v>
          </cell>
          <cell r="DA189">
            <v>1609621.63</v>
          </cell>
          <cell r="DB189">
            <v>1601790.69</v>
          </cell>
          <cell r="DC189">
            <v>1654047.7</v>
          </cell>
          <cell r="DD189">
            <v>1645491.83</v>
          </cell>
          <cell r="DE189">
            <v>1636935.96</v>
          </cell>
          <cell r="DF189">
            <v>1628634.26</v>
          </cell>
          <cell r="DG189">
            <v>1620332.56</v>
          </cell>
          <cell r="DH189">
            <v>1612030.86</v>
          </cell>
        </row>
        <row r="190">
          <cell r="C190" t="str">
            <v>Storm Reserv-Distrib</v>
          </cell>
          <cell r="D190">
            <v>-263541.84999999998</v>
          </cell>
          <cell r="E190">
            <v>-268333.52</v>
          </cell>
          <cell r="F190">
            <v>-273125.19</v>
          </cell>
          <cell r="G190">
            <v>-277916.86</v>
          </cell>
          <cell r="H190">
            <v>-282708.53000000003</v>
          </cell>
          <cell r="I190">
            <v>-292291.87</v>
          </cell>
          <cell r="J190">
            <v>-287500.2</v>
          </cell>
          <cell r="K190">
            <v>-297083.53999999998</v>
          </cell>
          <cell r="L190">
            <v>-301875.21000000002</v>
          </cell>
          <cell r="M190">
            <v>-306666.88</v>
          </cell>
          <cell r="N190">
            <v>-311458.55</v>
          </cell>
          <cell r="O190">
            <v>-316250.21999999997</v>
          </cell>
          <cell r="P190">
            <v>-321041.89</v>
          </cell>
          <cell r="Q190">
            <v>-325833.56</v>
          </cell>
          <cell r="R190">
            <v>-330625.23</v>
          </cell>
          <cell r="S190">
            <v>-335416.90000000002</v>
          </cell>
          <cell r="T190">
            <v>-340208.57</v>
          </cell>
          <cell r="U190">
            <v>-345000.24</v>
          </cell>
          <cell r="V190">
            <v>-349791.91</v>
          </cell>
          <cell r="W190">
            <v>-354583.58</v>
          </cell>
          <cell r="X190">
            <v>-359375.25</v>
          </cell>
          <cell r="Y190">
            <v>-364166.92</v>
          </cell>
          <cell r="Z190">
            <v>-368958.59</v>
          </cell>
          <cell r="AA190">
            <v>-378541.93</v>
          </cell>
          <cell r="AB190">
            <v>-373750.26</v>
          </cell>
          <cell r="AC190">
            <v>-383333.6</v>
          </cell>
          <cell r="AD190">
            <v>-388125.27</v>
          </cell>
          <cell r="AE190">
            <v>-392916.94</v>
          </cell>
          <cell r="AF190">
            <v>-397708.61</v>
          </cell>
          <cell r="AG190">
            <v>-402500.28</v>
          </cell>
          <cell r="AH190">
            <v>-407291.95</v>
          </cell>
          <cell r="AI190">
            <v>-412083.62</v>
          </cell>
          <cell r="AJ190">
            <v>-416875.29</v>
          </cell>
          <cell r="AK190">
            <v>-421666.96</v>
          </cell>
          <cell r="AL190">
            <v>-426458.63</v>
          </cell>
          <cell r="AM190">
            <v>-431250.3</v>
          </cell>
          <cell r="AN190">
            <v>-333019</v>
          </cell>
          <cell r="AO190">
            <v>-337810.67</v>
          </cell>
          <cell r="AP190">
            <v>-342602.34</v>
          </cell>
          <cell r="AQ190">
            <v>-347394.01</v>
          </cell>
          <cell r="AR190">
            <v>-352185.68</v>
          </cell>
          <cell r="AS190">
            <v>-356977.35</v>
          </cell>
          <cell r="AT190">
            <v>-361769.02</v>
          </cell>
          <cell r="AU190">
            <v>-366560.69</v>
          </cell>
          <cell r="AV190">
            <v>-371352.36</v>
          </cell>
          <cell r="AW190">
            <v>-79066.149999999994</v>
          </cell>
          <cell r="AX190">
            <v>-22974.18</v>
          </cell>
          <cell r="AY190">
            <v>24467.759999999998</v>
          </cell>
          <cell r="AZ190">
            <v>-35999.49</v>
          </cell>
          <cell r="BA190">
            <v>-40791.160000000003</v>
          </cell>
          <cell r="BB190">
            <v>-45582.83</v>
          </cell>
          <cell r="BC190">
            <v>-50374.5</v>
          </cell>
          <cell r="BD190">
            <v>-55166.17</v>
          </cell>
          <cell r="BE190">
            <v>-59957.84</v>
          </cell>
          <cell r="BF190">
            <v>-64749.51</v>
          </cell>
          <cell r="BG190">
            <v>-69541.179999999993</v>
          </cell>
          <cell r="BH190">
            <v>-74332.850000000006</v>
          </cell>
          <cell r="BI190">
            <v>-79124.52</v>
          </cell>
          <cell r="BJ190">
            <v>-83916.19</v>
          </cell>
          <cell r="BK190">
            <v>-88707.86</v>
          </cell>
          <cell r="BL190">
            <v>0</v>
          </cell>
          <cell r="BM190">
            <v>0</v>
          </cell>
          <cell r="BN190">
            <v>-0.49</v>
          </cell>
          <cell r="BO190">
            <v>-4792.16</v>
          </cell>
          <cell r="BP190">
            <v>-9583.83</v>
          </cell>
          <cell r="BQ190">
            <v>-14375.5</v>
          </cell>
          <cell r="BR190">
            <v>-19167.169999999998</v>
          </cell>
          <cell r="BS190">
            <v>-23958.84</v>
          </cell>
          <cell r="BT190">
            <v>-28750.51</v>
          </cell>
          <cell r="BU190">
            <v>-33542.18</v>
          </cell>
          <cell r="BV190">
            <v>-38333.85</v>
          </cell>
          <cell r="BW190">
            <v>-43125.52</v>
          </cell>
          <cell r="BX190">
            <v>-84356.22</v>
          </cell>
          <cell r="BY190">
            <v>-89147.89</v>
          </cell>
          <cell r="BZ190">
            <v>-93939.56</v>
          </cell>
          <cell r="CA190">
            <v>-214598.23</v>
          </cell>
          <cell r="CB190">
            <v>-103522.9</v>
          </cell>
          <cell r="CC190">
            <v>-108314.57</v>
          </cell>
          <cell r="CD190">
            <v>-113106.24000000001</v>
          </cell>
          <cell r="CE190">
            <v>-117897.91</v>
          </cell>
          <cell r="CF190">
            <v>-122689.58</v>
          </cell>
          <cell r="CG190">
            <v>-127481.25</v>
          </cell>
          <cell r="CH190">
            <v>-132272.92000000001</v>
          </cell>
          <cell r="CI190">
            <v>-137064.59</v>
          </cell>
          <cell r="CJ190">
            <v>-141856.26</v>
          </cell>
          <cell r="CK190">
            <v>-173522.93</v>
          </cell>
          <cell r="CL190">
            <v>-205189.6</v>
          </cell>
          <cell r="CM190">
            <v>-236856.27</v>
          </cell>
          <cell r="CN190">
            <v>-268522.94</v>
          </cell>
          <cell r="CO190">
            <v>-300189.61</v>
          </cell>
          <cell r="CP190">
            <v>-331856.28000000003</v>
          </cell>
          <cell r="CQ190">
            <v>-363522.95</v>
          </cell>
          <cell r="CR190">
            <v>-395189.62</v>
          </cell>
          <cell r="CS190">
            <v>-426856.29</v>
          </cell>
          <cell r="CT190">
            <v>-458522.96</v>
          </cell>
          <cell r="CU190">
            <v>-490189.63</v>
          </cell>
          <cell r="CV190">
            <v>-521856.3</v>
          </cell>
          <cell r="CW190">
            <v>-553522.97</v>
          </cell>
          <cell r="CX190">
            <v>-585189.64</v>
          </cell>
          <cell r="CY190">
            <v>-616856.31000000006</v>
          </cell>
          <cell r="CZ190">
            <v>-648522.98</v>
          </cell>
          <cell r="DA190">
            <v>-680189.65</v>
          </cell>
          <cell r="DB190">
            <v>-711856.32</v>
          </cell>
          <cell r="DC190">
            <v>-743522.99</v>
          </cell>
          <cell r="DD190">
            <v>-775189.66</v>
          </cell>
          <cell r="DE190">
            <v>-455977.33</v>
          </cell>
          <cell r="DF190">
            <v>0</v>
          </cell>
          <cell r="DG190">
            <v>0</v>
          </cell>
          <cell r="DH190">
            <v>0</v>
          </cell>
        </row>
        <row r="191">
          <cell r="C191" t="str">
            <v>Prov Prop Ins Db C</v>
          </cell>
          <cell r="D191"/>
          <cell r="E191"/>
          <cell r="F191"/>
          <cell r="G191"/>
          <cell r="H191"/>
          <cell r="I191"/>
          <cell r="J191"/>
          <cell r="K191"/>
          <cell r="L191"/>
          <cell r="M191"/>
          <cell r="N191"/>
          <cell r="O191"/>
          <cell r="P191"/>
          <cell r="Q191"/>
          <cell r="R191"/>
          <cell r="S191"/>
          <cell r="T191"/>
          <cell r="U191"/>
          <cell r="V191"/>
          <cell r="W191"/>
          <cell r="X191"/>
          <cell r="Y191"/>
          <cell r="Z191"/>
          <cell r="AA191"/>
          <cell r="AB191"/>
          <cell r="AC191"/>
          <cell r="AD191"/>
          <cell r="AE191"/>
          <cell r="AF191"/>
          <cell r="AG191"/>
          <cell r="AH191"/>
          <cell r="AI191"/>
          <cell r="AJ191"/>
          <cell r="AK191"/>
          <cell r="AL191"/>
          <cell r="AM191"/>
          <cell r="AN191"/>
          <cell r="AO191"/>
          <cell r="AP191"/>
          <cell r="AQ191"/>
          <cell r="AR191"/>
          <cell r="AS191"/>
          <cell r="AT191"/>
          <cell r="AU191"/>
          <cell r="AV191"/>
          <cell r="AW191"/>
          <cell r="AX191"/>
          <cell r="AY191"/>
          <cell r="AZ191"/>
          <cell r="BA191"/>
          <cell r="BB191"/>
          <cell r="BC191"/>
          <cell r="BD191"/>
          <cell r="BE191"/>
          <cell r="BF191"/>
          <cell r="BG191"/>
          <cell r="BH191"/>
          <cell r="BI191"/>
          <cell r="BJ191">
            <v>0</v>
          </cell>
          <cell r="BK191">
            <v>0</v>
          </cell>
          <cell r="BL191">
            <v>3038523.24</v>
          </cell>
          <cell r="BM191">
            <v>3059430.59</v>
          </cell>
          <cell r="BN191">
            <v>3181714.13</v>
          </cell>
          <cell r="BO191">
            <v>3181714.13</v>
          </cell>
          <cell r="BP191">
            <v>3181714.13</v>
          </cell>
          <cell r="BQ191">
            <v>3181714.13</v>
          </cell>
          <cell r="BR191">
            <v>3181714.13</v>
          </cell>
          <cell r="BS191">
            <v>3181714.13</v>
          </cell>
          <cell r="BT191">
            <v>2606793.09</v>
          </cell>
          <cell r="BU191">
            <v>2000824.87</v>
          </cell>
          <cell r="BV191">
            <v>1396771.82</v>
          </cell>
          <cell r="BW191">
            <v>712832.44</v>
          </cell>
          <cell r="BX191">
            <v>0</v>
          </cell>
          <cell r="BY191">
            <v>0</v>
          </cell>
          <cell r="BZ191">
            <v>0</v>
          </cell>
          <cell r="CA191">
            <v>53720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688616.24</v>
          </cell>
          <cell r="DG191">
            <v>837442.4</v>
          </cell>
          <cell r="DH191">
            <v>0</v>
          </cell>
        </row>
        <row r="192">
          <cell r="C192" t="str">
            <v>I&amp;D Gen Liab Resrv C</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-607500</v>
          </cell>
          <cell r="BV192">
            <v>-607500</v>
          </cell>
          <cell r="BW192">
            <v>-742500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-1800000</v>
          </cell>
          <cell r="CW192">
            <v>-1800000</v>
          </cell>
          <cell r="CX192">
            <v>-1800000</v>
          </cell>
          <cell r="CY192">
            <v>0</v>
          </cell>
          <cell r="CZ192">
            <v>0</v>
          </cell>
          <cell r="DA192">
            <v>0</v>
          </cell>
          <cell r="DB192">
            <v>0</v>
          </cell>
          <cell r="DC192">
            <v>0</v>
          </cell>
          <cell r="DD192">
            <v>0</v>
          </cell>
          <cell r="DE192">
            <v>0</v>
          </cell>
          <cell r="DF192">
            <v>0</v>
          </cell>
          <cell r="DG192">
            <v>0</v>
          </cell>
          <cell r="DH192">
            <v>0</v>
          </cell>
        </row>
        <row r="193">
          <cell r="C193" t="str">
            <v>I&amp;D Gen Liab Resrv</v>
          </cell>
          <cell r="D193">
            <v>-2977012</v>
          </cell>
          <cell r="E193">
            <v>-3127012</v>
          </cell>
          <cell r="F193">
            <v>-3277012</v>
          </cell>
          <cell r="G193">
            <v>-3284830</v>
          </cell>
          <cell r="H193">
            <v>-3434830</v>
          </cell>
          <cell r="I193">
            <v>-4252841</v>
          </cell>
          <cell r="J193">
            <v>-3584830</v>
          </cell>
          <cell r="K193">
            <v>-4402841</v>
          </cell>
          <cell r="L193">
            <v>-4552841</v>
          </cell>
          <cell r="M193">
            <v>-4374096</v>
          </cell>
          <cell r="N193">
            <v>-4524096</v>
          </cell>
          <cell r="O193">
            <v>-4674096</v>
          </cell>
          <cell r="P193">
            <v>-4913010</v>
          </cell>
          <cell r="Q193">
            <v>-4913010</v>
          </cell>
          <cell r="R193">
            <v>-4913010</v>
          </cell>
          <cell r="S193">
            <v>-4428902</v>
          </cell>
          <cell r="T193">
            <v>-4426359</v>
          </cell>
          <cell r="U193">
            <v>-4426359</v>
          </cell>
          <cell r="V193">
            <v>-4045175</v>
          </cell>
          <cell r="W193">
            <v>-4045175</v>
          </cell>
          <cell r="X193">
            <v>-4045175</v>
          </cell>
          <cell r="Y193">
            <v>-3557213</v>
          </cell>
          <cell r="Z193">
            <v>-3557213</v>
          </cell>
          <cell r="AA193">
            <v>-3936382</v>
          </cell>
          <cell r="AB193">
            <v>-3557213</v>
          </cell>
          <cell r="AC193">
            <v>-3936382</v>
          </cell>
          <cell r="AD193">
            <v>-3936382</v>
          </cell>
          <cell r="AE193">
            <v>-3338502</v>
          </cell>
          <cell r="AF193">
            <v>-3338502</v>
          </cell>
          <cell r="AG193">
            <v>-3338502</v>
          </cell>
          <cell r="AH193">
            <v>-3583536</v>
          </cell>
          <cell r="AI193">
            <v>-3583536</v>
          </cell>
          <cell r="AJ193">
            <v>-3583536</v>
          </cell>
          <cell r="AK193">
            <v>-3284669</v>
          </cell>
          <cell r="AL193">
            <v>-3284669</v>
          </cell>
          <cell r="AM193">
            <v>-3284669</v>
          </cell>
          <cell r="AN193">
            <v>-3317709</v>
          </cell>
          <cell r="AO193">
            <v>-3317709</v>
          </cell>
          <cell r="AP193">
            <v>-3317709</v>
          </cell>
          <cell r="AQ193">
            <v>-2645511</v>
          </cell>
          <cell r="AR193">
            <v>-2645511</v>
          </cell>
          <cell r="AS193">
            <v>-2645511</v>
          </cell>
          <cell r="AT193">
            <v>-5916760</v>
          </cell>
          <cell r="AU193">
            <v>-5916760</v>
          </cell>
          <cell r="AV193">
            <v>-5894260</v>
          </cell>
          <cell r="AW193">
            <v>-2661674</v>
          </cell>
          <cell r="AX193">
            <v>-2661674</v>
          </cell>
          <cell r="AY193">
            <v>-2661674</v>
          </cell>
          <cell r="AZ193">
            <v>-2777927</v>
          </cell>
          <cell r="BA193">
            <v>-2777927</v>
          </cell>
          <cell r="BB193">
            <v>-2777927</v>
          </cell>
          <cell r="BC193">
            <v>-2753888</v>
          </cell>
          <cell r="BD193">
            <v>-2753888</v>
          </cell>
          <cell r="BE193">
            <v>-2753888</v>
          </cell>
          <cell r="BF193">
            <v>-2741302</v>
          </cell>
          <cell r="BG193">
            <v>-2741302</v>
          </cell>
          <cell r="BH193">
            <v>-2741302</v>
          </cell>
          <cell r="BI193">
            <v>-2700808</v>
          </cell>
          <cell r="BJ193">
            <v>-2700808</v>
          </cell>
          <cell r="BK193">
            <v>-2700808</v>
          </cell>
          <cell r="BL193">
            <v>-2833204</v>
          </cell>
          <cell r="BM193">
            <v>-2833204</v>
          </cell>
          <cell r="BN193">
            <v>-2833204</v>
          </cell>
          <cell r="BO193">
            <v>-2833204</v>
          </cell>
          <cell r="BP193">
            <v>-3627465</v>
          </cell>
          <cell r="BQ193">
            <v>-3627465</v>
          </cell>
          <cell r="BR193">
            <v>-3840485</v>
          </cell>
          <cell r="BS193">
            <v>-4840485</v>
          </cell>
          <cell r="BT193">
            <v>-4840485</v>
          </cell>
          <cell r="BU193">
            <v>-3453036</v>
          </cell>
          <cell r="BV193">
            <v>-3453036</v>
          </cell>
          <cell r="BW193">
            <v>-3453036</v>
          </cell>
          <cell r="BX193">
            <v>-4267723</v>
          </cell>
          <cell r="BY193">
            <v>-4267723</v>
          </cell>
          <cell r="BZ193">
            <v>-4267723</v>
          </cell>
          <cell r="CA193">
            <v>-3911280</v>
          </cell>
          <cell r="CB193">
            <v>-3910890</v>
          </cell>
          <cell r="CC193">
            <v>-3910890</v>
          </cell>
          <cell r="CD193">
            <v>-4199570</v>
          </cell>
          <cell r="CE193">
            <v>-4199570</v>
          </cell>
          <cell r="CF193">
            <v>-4199570</v>
          </cell>
          <cell r="CG193">
            <v>-7812307</v>
          </cell>
          <cell r="CH193">
            <v>-7812307</v>
          </cell>
          <cell r="CI193">
            <v>-7812307</v>
          </cell>
          <cell r="CJ193">
            <v>-8586727</v>
          </cell>
          <cell r="CK193">
            <v>-8586727</v>
          </cell>
          <cell r="CL193">
            <v>-8586727</v>
          </cell>
          <cell r="CM193">
            <v>-8517781</v>
          </cell>
          <cell r="CN193">
            <v>-8517302.0099999998</v>
          </cell>
          <cell r="CO193">
            <v>-8517302.0099999998</v>
          </cell>
          <cell r="CP193">
            <v>-10573742</v>
          </cell>
          <cell r="CQ193">
            <v>-10573742</v>
          </cell>
          <cell r="CR193">
            <v>-10573742</v>
          </cell>
          <cell r="CS193">
            <v>-17542979</v>
          </cell>
          <cell r="CT193">
            <v>-13048511</v>
          </cell>
          <cell r="CU193">
            <v>-15625446.68</v>
          </cell>
          <cell r="CV193">
            <v>-25972093</v>
          </cell>
          <cell r="CW193">
            <v>-24472093</v>
          </cell>
          <cell r="CX193">
            <v>-25972093</v>
          </cell>
          <cell r="CY193">
            <v>-23083613</v>
          </cell>
          <cell r="CZ193">
            <v>-22395613</v>
          </cell>
          <cell r="DA193">
            <v>-22117976</v>
          </cell>
          <cell r="DB193">
            <v>-22983340</v>
          </cell>
          <cell r="DC193">
            <v>-21683340</v>
          </cell>
          <cell r="DD193">
            <v>-19853983.199999999</v>
          </cell>
          <cell r="DE193">
            <v>-17775923</v>
          </cell>
          <cell r="DF193">
            <v>-17775923</v>
          </cell>
          <cell r="DG193">
            <v>-17775923</v>
          </cell>
          <cell r="DH193">
            <v>-15167624</v>
          </cell>
        </row>
        <row r="194">
          <cell r="C194" t="str">
            <v>I&amp;D Wrk Comp Resrv</v>
          </cell>
          <cell r="D194"/>
          <cell r="E194"/>
          <cell r="F194"/>
          <cell r="G194"/>
          <cell r="H194"/>
          <cell r="I194"/>
          <cell r="J194"/>
          <cell r="K194"/>
          <cell r="L194"/>
          <cell r="M194"/>
          <cell r="N194"/>
          <cell r="O194"/>
          <cell r="P194"/>
          <cell r="Q194"/>
          <cell r="R194"/>
          <cell r="S194"/>
          <cell r="T194"/>
          <cell r="U194"/>
          <cell r="V194"/>
          <cell r="W194"/>
          <cell r="X194"/>
          <cell r="Y194"/>
          <cell r="Z194"/>
          <cell r="AA194">
            <v>35</v>
          </cell>
          <cell r="AB194">
            <v>35</v>
          </cell>
          <cell r="AC194">
            <v>35</v>
          </cell>
          <cell r="AD194">
            <v>35</v>
          </cell>
          <cell r="AE194">
            <v>35</v>
          </cell>
          <cell r="AF194">
            <v>35</v>
          </cell>
          <cell r="AG194">
            <v>35</v>
          </cell>
          <cell r="AH194">
            <v>35</v>
          </cell>
          <cell r="AI194">
            <v>35</v>
          </cell>
          <cell r="AJ194">
            <v>35</v>
          </cell>
          <cell r="AK194">
            <v>120</v>
          </cell>
          <cell r="AL194">
            <v>154</v>
          </cell>
          <cell r="AM194">
            <v>1140.5</v>
          </cell>
          <cell r="AN194">
            <v>4888.6000000000004</v>
          </cell>
          <cell r="AO194">
            <v>6979.4</v>
          </cell>
          <cell r="AP194">
            <v>8118.5</v>
          </cell>
          <cell r="AQ194">
            <v>-442495</v>
          </cell>
          <cell r="AR194">
            <v>-442495</v>
          </cell>
          <cell r="AS194">
            <v>-440950.3</v>
          </cell>
          <cell r="AT194">
            <v>-475505</v>
          </cell>
          <cell r="AU194">
            <v>-475505</v>
          </cell>
          <cell r="AV194">
            <v>-471295.58</v>
          </cell>
          <cell r="AW194">
            <v>-448380</v>
          </cell>
          <cell r="AX194">
            <v>-442501.12</v>
          </cell>
          <cell r="AY194">
            <v>-442501.12</v>
          </cell>
          <cell r="AZ194">
            <v>-528120</v>
          </cell>
          <cell r="BA194">
            <v>-528120</v>
          </cell>
          <cell r="BB194">
            <v>-527071.31999999995</v>
          </cell>
          <cell r="BC194">
            <v>-415922</v>
          </cell>
          <cell r="BD194">
            <v>-415675.3</v>
          </cell>
          <cell r="BE194">
            <v>-415675.3</v>
          </cell>
          <cell r="BF194">
            <v>-470941.7</v>
          </cell>
          <cell r="BG194">
            <v>-470767.5</v>
          </cell>
          <cell r="BH194">
            <v>-470695</v>
          </cell>
          <cell r="BI194">
            <v>-530687</v>
          </cell>
          <cell r="BJ194">
            <v>-530599</v>
          </cell>
          <cell r="BK194">
            <v>-530599</v>
          </cell>
          <cell r="BL194">
            <v>-287151</v>
          </cell>
          <cell r="BM194">
            <v>-287151</v>
          </cell>
          <cell r="BN194">
            <v>-287151</v>
          </cell>
          <cell r="BO194">
            <v>-303615</v>
          </cell>
          <cell r="BP194">
            <v>-303615</v>
          </cell>
          <cell r="BQ194">
            <v>-303615</v>
          </cell>
          <cell r="BR194">
            <v>-303447</v>
          </cell>
          <cell r="BS194">
            <v>-303447</v>
          </cell>
          <cell r="BT194">
            <v>-303447</v>
          </cell>
          <cell r="BU194">
            <v>-189856</v>
          </cell>
          <cell r="BV194">
            <v>-189856</v>
          </cell>
          <cell r="BW194">
            <v>-189856</v>
          </cell>
          <cell r="BX194">
            <v>-222241</v>
          </cell>
          <cell r="BY194">
            <v>-221961</v>
          </cell>
          <cell r="BZ194">
            <v>-221961</v>
          </cell>
          <cell r="CA194">
            <v>-242751</v>
          </cell>
          <cell r="CB194">
            <v>-242751</v>
          </cell>
          <cell r="CC194">
            <v>-242751</v>
          </cell>
          <cell r="CD194">
            <v>-260472</v>
          </cell>
          <cell r="CE194">
            <v>-260472</v>
          </cell>
          <cell r="CF194">
            <v>-260472</v>
          </cell>
          <cell r="CG194">
            <v>-259282</v>
          </cell>
          <cell r="CH194">
            <v>-259282</v>
          </cell>
          <cell r="CI194">
            <v>-259282</v>
          </cell>
          <cell r="CJ194">
            <v>-173606</v>
          </cell>
          <cell r="CK194">
            <v>-173606</v>
          </cell>
          <cell r="CL194">
            <v>-173606</v>
          </cell>
          <cell r="CM194">
            <v>-184879</v>
          </cell>
          <cell r="CN194">
            <v>-184879</v>
          </cell>
          <cell r="CO194">
            <v>-184879</v>
          </cell>
          <cell r="CP194">
            <v>-245056</v>
          </cell>
          <cell r="CQ194">
            <v>-243602.4</v>
          </cell>
          <cell r="CR194">
            <v>-243602.4</v>
          </cell>
          <cell r="CS194">
            <v>-211795</v>
          </cell>
          <cell r="CT194">
            <v>-211795</v>
          </cell>
          <cell r="CU194">
            <v>-211795</v>
          </cell>
          <cell r="CV194">
            <v>-202973</v>
          </cell>
          <cell r="CW194">
            <v>-202973</v>
          </cell>
          <cell r="CX194">
            <v>-202973</v>
          </cell>
          <cell r="CY194">
            <v>-220715</v>
          </cell>
          <cell r="CZ194">
            <v>-220715</v>
          </cell>
          <cell r="DA194">
            <v>-220715</v>
          </cell>
          <cell r="DB194">
            <v>-232080</v>
          </cell>
          <cell r="DC194">
            <v>-232080</v>
          </cell>
          <cell r="DD194">
            <v>-232080</v>
          </cell>
          <cell r="DE194">
            <v>-268637</v>
          </cell>
          <cell r="DF194">
            <v>-268637</v>
          </cell>
          <cell r="DG194">
            <v>-268637</v>
          </cell>
          <cell r="DH194">
            <v>-276223</v>
          </cell>
        </row>
        <row r="195">
          <cell r="C195" t="str">
            <v>I&amp;D Recoveries GL C</v>
          </cell>
          <cell r="D195"/>
          <cell r="E195">
            <v>0</v>
          </cell>
          <cell r="F195">
            <v>0</v>
          </cell>
          <cell r="G195">
            <v>0</v>
          </cell>
          <cell r="H195">
            <v>0</v>
          </cell>
          <cell r="I195">
            <v>965548</v>
          </cell>
          <cell r="J195">
            <v>0</v>
          </cell>
          <cell r="K195">
            <v>965548</v>
          </cell>
          <cell r="L195">
            <v>965548</v>
          </cell>
          <cell r="M195">
            <v>884065</v>
          </cell>
          <cell r="N195">
            <v>884065</v>
          </cell>
          <cell r="O195">
            <v>884065</v>
          </cell>
          <cell r="P195">
            <v>1561309</v>
          </cell>
          <cell r="Q195">
            <v>1561309</v>
          </cell>
          <cell r="R195">
            <v>1561309</v>
          </cell>
          <cell r="S195">
            <v>1505526</v>
          </cell>
          <cell r="T195">
            <v>1505526</v>
          </cell>
          <cell r="U195">
            <v>1505526</v>
          </cell>
          <cell r="V195">
            <v>1400612</v>
          </cell>
          <cell r="W195">
            <v>1400612</v>
          </cell>
          <cell r="X195">
            <v>1400612</v>
          </cell>
          <cell r="Y195">
            <v>1146619</v>
          </cell>
          <cell r="Z195">
            <v>1146619</v>
          </cell>
          <cell r="AA195">
            <v>1139255</v>
          </cell>
          <cell r="AB195">
            <v>1146619</v>
          </cell>
          <cell r="AC195">
            <v>1139255</v>
          </cell>
          <cell r="AD195">
            <v>1139255</v>
          </cell>
          <cell r="AE195">
            <v>965765</v>
          </cell>
          <cell r="AF195">
            <v>965765</v>
          </cell>
          <cell r="AG195">
            <v>965765</v>
          </cell>
          <cell r="AH195">
            <v>816969</v>
          </cell>
          <cell r="AI195">
            <v>816969</v>
          </cell>
          <cell r="AJ195">
            <v>816969</v>
          </cell>
          <cell r="AK195">
            <v>619034</v>
          </cell>
          <cell r="AL195">
            <v>619034</v>
          </cell>
          <cell r="AM195">
            <v>619034</v>
          </cell>
          <cell r="AN195">
            <v>395451</v>
          </cell>
          <cell r="AO195">
            <v>395451</v>
          </cell>
          <cell r="AP195">
            <v>395451</v>
          </cell>
          <cell r="AQ195">
            <v>170265</v>
          </cell>
          <cell r="AR195">
            <v>170265</v>
          </cell>
          <cell r="AS195">
            <v>170265</v>
          </cell>
          <cell r="AT195">
            <v>3635693</v>
          </cell>
          <cell r="AU195">
            <v>3635693</v>
          </cell>
          <cell r="AV195">
            <v>3635693</v>
          </cell>
          <cell r="AW195">
            <v>0</v>
          </cell>
          <cell r="AX195">
            <v>0</v>
          </cell>
          <cell r="AY195">
            <v>0</v>
          </cell>
          <cell r="AZ195">
            <v>621882</v>
          </cell>
          <cell r="BA195">
            <v>621882</v>
          </cell>
          <cell r="BB195">
            <v>621882</v>
          </cell>
          <cell r="BC195">
            <v>608697</v>
          </cell>
          <cell r="BD195">
            <v>608697</v>
          </cell>
          <cell r="BE195">
            <v>608697</v>
          </cell>
          <cell r="BF195">
            <v>562064</v>
          </cell>
          <cell r="BG195">
            <v>562064</v>
          </cell>
          <cell r="BH195">
            <v>562064</v>
          </cell>
          <cell r="BI195">
            <v>547823</v>
          </cell>
          <cell r="BJ195">
            <v>547823</v>
          </cell>
          <cell r="BK195">
            <v>547823</v>
          </cell>
          <cell r="BL195">
            <v>498949</v>
          </cell>
          <cell r="BM195">
            <v>498949</v>
          </cell>
          <cell r="BN195">
            <v>498949</v>
          </cell>
          <cell r="BO195">
            <v>-295312</v>
          </cell>
          <cell r="BP195">
            <v>498949</v>
          </cell>
          <cell r="BQ195">
            <v>498949</v>
          </cell>
          <cell r="BR195">
            <v>498949</v>
          </cell>
          <cell r="BS195">
            <v>498949</v>
          </cell>
          <cell r="BT195">
            <v>498949</v>
          </cell>
          <cell r="BU195">
            <v>160000</v>
          </cell>
          <cell r="BV195">
            <v>160000</v>
          </cell>
          <cell r="BW195">
            <v>160000</v>
          </cell>
          <cell r="BX195">
            <v>160000</v>
          </cell>
          <cell r="BY195">
            <v>160000</v>
          </cell>
          <cell r="BZ195">
            <v>160000</v>
          </cell>
          <cell r="CA195">
            <v>160000</v>
          </cell>
          <cell r="CB195">
            <v>160000</v>
          </cell>
          <cell r="CC195">
            <v>160000</v>
          </cell>
          <cell r="CD195">
            <v>160000</v>
          </cell>
          <cell r="CE195">
            <v>160000</v>
          </cell>
          <cell r="CF195">
            <v>160000</v>
          </cell>
          <cell r="CG195">
            <v>3862000</v>
          </cell>
          <cell r="CH195">
            <v>3862000</v>
          </cell>
          <cell r="CI195">
            <v>3862000</v>
          </cell>
          <cell r="CJ195">
            <v>3904599</v>
          </cell>
          <cell r="CK195">
            <v>3904599</v>
          </cell>
          <cell r="CL195">
            <v>3904599</v>
          </cell>
          <cell r="CM195">
            <v>3703243</v>
          </cell>
          <cell r="CN195">
            <v>3703243</v>
          </cell>
          <cell r="CO195">
            <v>3703243</v>
          </cell>
          <cell r="CP195">
            <v>5917066</v>
          </cell>
          <cell r="CQ195">
            <v>5917066</v>
          </cell>
          <cell r="CR195">
            <v>5917066</v>
          </cell>
          <cell r="CS195">
            <v>12542012</v>
          </cell>
          <cell r="CT195">
            <v>12542012</v>
          </cell>
          <cell r="CU195">
            <v>12542012</v>
          </cell>
          <cell r="CV195">
            <v>1000000</v>
          </cell>
          <cell r="CW195">
            <v>1000000</v>
          </cell>
          <cell r="CX195">
            <v>1000000</v>
          </cell>
          <cell r="CY195">
            <v>0</v>
          </cell>
          <cell r="CZ195">
            <v>0</v>
          </cell>
          <cell r="DA195">
            <v>0</v>
          </cell>
          <cell r="DB195">
            <v>0</v>
          </cell>
          <cell r="DC195">
            <v>0</v>
          </cell>
          <cell r="DD195">
            <v>0</v>
          </cell>
          <cell r="DE195">
            <v>0</v>
          </cell>
          <cell r="DF195">
            <v>0</v>
          </cell>
          <cell r="DG195">
            <v>0</v>
          </cell>
          <cell r="DH195">
            <v>0</v>
          </cell>
        </row>
        <row r="196">
          <cell r="C196" t="str">
            <v>I&amp;D Recoveries GL NC</v>
          </cell>
          <cell r="D196"/>
          <cell r="E196"/>
          <cell r="F196"/>
          <cell r="G196"/>
          <cell r="H196"/>
          <cell r="I196"/>
          <cell r="J196"/>
          <cell r="K196"/>
          <cell r="L196"/>
          <cell r="M196"/>
          <cell r="N196"/>
          <cell r="O196"/>
          <cell r="P196"/>
          <cell r="Q196"/>
          <cell r="R196"/>
          <cell r="S196"/>
          <cell r="T196"/>
          <cell r="U196"/>
          <cell r="V196"/>
          <cell r="W196"/>
          <cell r="X196"/>
          <cell r="Y196"/>
          <cell r="Z196"/>
          <cell r="AA196"/>
          <cell r="AB196"/>
          <cell r="AC196"/>
          <cell r="AD196"/>
          <cell r="AE196"/>
          <cell r="AF196"/>
          <cell r="AG196"/>
          <cell r="AH196"/>
          <cell r="AI196"/>
          <cell r="AJ196"/>
          <cell r="AK196"/>
          <cell r="AL196"/>
          <cell r="AM196"/>
          <cell r="AN196"/>
          <cell r="AO196"/>
          <cell r="AP196"/>
          <cell r="AQ196"/>
          <cell r="AR196"/>
          <cell r="AS196"/>
          <cell r="AT196"/>
          <cell r="AU196"/>
          <cell r="AV196"/>
          <cell r="AW196"/>
          <cell r="AX196"/>
          <cell r="AY196"/>
          <cell r="AZ196"/>
          <cell r="BA196"/>
          <cell r="BB196"/>
          <cell r="BC196"/>
          <cell r="BD196"/>
          <cell r="BE196"/>
          <cell r="BF196"/>
          <cell r="BG196"/>
          <cell r="BH196"/>
          <cell r="BI196"/>
          <cell r="BJ196"/>
          <cell r="BK196"/>
          <cell r="BL196"/>
          <cell r="BM196"/>
          <cell r="BN196"/>
          <cell r="BO196"/>
          <cell r="BP196"/>
          <cell r="BQ196"/>
          <cell r="BR196"/>
          <cell r="BS196"/>
          <cell r="BT196"/>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20670478</v>
          </cell>
          <cell r="CW196">
            <v>20670478</v>
          </cell>
          <cell r="CX196">
            <v>20670478</v>
          </cell>
          <cell r="CY196">
            <v>17520008</v>
          </cell>
          <cell r="CZ196">
            <v>17520008</v>
          </cell>
          <cell r="DA196">
            <v>17520008</v>
          </cell>
          <cell r="DB196">
            <v>17458982</v>
          </cell>
          <cell r="DC196">
            <v>17458982</v>
          </cell>
          <cell r="DD196">
            <v>17458982</v>
          </cell>
          <cell r="DE196">
            <v>13448848</v>
          </cell>
          <cell r="DF196">
            <v>13448848</v>
          </cell>
          <cell r="DG196">
            <v>13448848</v>
          </cell>
          <cell r="DH196">
            <v>11720200</v>
          </cell>
        </row>
        <row r="197">
          <cell r="C197" t="str">
            <v>Pension Liab NC</v>
          </cell>
          <cell r="D197">
            <v>10238592.390000001</v>
          </cell>
          <cell r="E197">
            <v>11113342.390000001</v>
          </cell>
          <cell r="F197">
            <v>10965092.390000001</v>
          </cell>
          <cell r="G197">
            <v>11595162.390000001</v>
          </cell>
          <cell r="H197">
            <v>12636298.390000001</v>
          </cell>
          <cell r="I197">
            <v>12342292.390000001</v>
          </cell>
          <cell r="J197">
            <v>12489295.390000001</v>
          </cell>
          <cell r="K197">
            <v>13319289.390000001</v>
          </cell>
          <cell r="L197">
            <v>13172286.390000001</v>
          </cell>
          <cell r="M197">
            <v>14161868.390000001</v>
          </cell>
          <cell r="N197">
            <v>14027450.390000001</v>
          </cell>
          <cell r="O197">
            <v>13893032.390000001</v>
          </cell>
          <cell r="P197">
            <v>13758614.390000001</v>
          </cell>
          <cell r="Q197">
            <v>14821655.390000001</v>
          </cell>
          <cell r="R197">
            <v>14678803.390000001</v>
          </cell>
          <cell r="S197">
            <v>14855837.390000001</v>
          </cell>
          <cell r="T197">
            <v>15381871.390000001</v>
          </cell>
          <cell r="U197">
            <v>15125175.390000001</v>
          </cell>
          <cell r="V197">
            <v>14978663.390000001</v>
          </cell>
          <cell r="W197">
            <v>15588151.390000001</v>
          </cell>
          <cell r="X197">
            <v>15197481.390000001</v>
          </cell>
          <cell r="Y197">
            <v>16696969.390000001</v>
          </cell>
          <cell r="Z197">
            <v>16550457.390000001</v>
          </cell>
          <cell r="AA197">
            <v>16257433.390000001</v>
          </cell>
          <cell r="AB197">
            <v>16403945.390000001</v>
          </cell>
          <cell r="AC197">
            <v>16126312.390000001</v>
          </cell>
          <cell r="AD197">
            <v>15995191.390000001</v>
          </cell>
          <cell r="AE197">
            <v>16288070.390000001</v>
          </cell>
          <cell r="AF197">
            <v>17112497.390000001</v>
          </cell>
          <cell r="AG197">
            <v>16975263.390000001</v>
          </cell>
          <cell r="AH197">
            <v>16838029.390000001</v>
          </cell>
          <cell r="AI197">
            <v>17680795.390000001</v>
          </cell>
          <cell r="AJ197">
            <v>17543561.390000001</v>
          </cell>
          <cell r="AK197">
            <v>18356205.390000001</v>
          </cell>
          <cell r="AL197">
            <v>18215624.390000001</v>
          </cell>
          <cell r="AM197">
            <v>18075043.390000001</v>
          </cell>
          <cell r="AN197">
            <v>17934462.390000001</v>
          </cell>
          <cell r="AO197">
            <v>18777571.390000001</v>
          </cell>
          <cell r="AP197">
            <v>18650259.390000001</v>
          </cell>
          <cell r="AQ197">
            <v>18977832.390000001</v>
          </cell>
          <cell r="AR197">
            <v>19918520.390000001</v>
          </cell>
          <cell r="AS197">
            <v>19791208.390000001</v>
          </cell>
          <cell r="AT197">
            <v>19590161.390000001</v>
          </cell>
          <cell r="AU197">
            <v>20518125.390000001</v>
          </cell>
          <cell r="AV197">
            <v>20378524.390000001</v>
          </cell>
          <cell r="AW197">
            <v>21306487.390000001</v>
          </cell>
          <cell r="AX197">
            <v>21166886.390000001</v>
          </cell>
          <cell r="AY197">
            <v>21027285.390000001</v>
          </cell>
          <cell r="AZ197">
            <v>20887684.390000001</v>
          </cell>
          <cell r="BA197">
            <v>21678143.390000001</v>
          </cell>
          <cell r="BB197">
            <v>21548754.390000001</v>
          </cell>
          <cell r="BC197">
            <v>21419365.390000001</v>
          </cell>
          <cell r="BD197">
            <v>21289976.390000001</v>
          </cell>
          <cell r="BE197">
            <v>21030394.390000001</v>
          </cell>
          <cell r="BF197">
            <v>20874966.390000001</v>
          </cell>
          <cell r="BG197">
            <v>20719538.390000001</v>
          </cell>
          <cell r="BH197">
            <v>20564110.390000001</v>
          </cell>
          <cell r="BI197">
            <v>20408682.390000001</v>
          </cell>
          <cell r="BJ197">
            <v>20253254.390000001</v>
          </cell>
          <cell r="BK197">
            <v>20097826.390000001</v>
          </cell>
          <cell r="BL197">
            <v>19942398.390000001</v>
          </cell>
          <cell r="BM197">
            <v>19808286.390000001</v>
          </cell>
          <cell r="BN197">
            <v>19674174.390000001</v>
          </cell>
          <cell r="BO197">
            <v>19540062.390000001</v>
          </cell>
          <cell r="BP197">
            <v>20244950.390000001</v>
          </cell>
          <cell r="BQ197">
            <v>20110838.390000001</v>
          </cell>
          <cell r="BR197">
            <v>20051012.390000001</v>
          </cell>
          <cell r="BS197">
            <v>20768280.390000001</v>
          </cell>
          <cell r="BT197">
            <v>20646548.390000001</v>
          </cell>
          <cell r="BU197">
            <v>21363816.390000001</v>
          </cell>
          <cell r="BV197">
            <v>21242084.390000001</v>
          </cell>
          <cell r="BW197">
            <v>21096376.390000001</v>
          </cell>
          <cell r="BX197">
            <v>20912147.390000001</v>
          </cell>
          <cell r="BY197">
            <v>21424731.390000001</v>
          </cell>
          <cell r="BZ197">
            <v>21277315.390000001</v>
          </cell>
          <cell r="CA197">
            <v>21129899.390000001</v>
          </cell>
          <cell r="CB197">
            <v>21642483.390000001</v>
          </cell>
          <cell r="CC197">
            <v>21495067.390000001</v>
          </cell>
          <cell r="CD197">
            <v>21276473.390000001</v>
          </cell>
          <cell r="CE197">
            <v>21777193.390000001</v>
          </cell>
          <cell r="CF197">
            <v>21617913.390000001</v>
          </cell>
          <cell r="CG197">
            <v>22118633.390000001</v>
          </cell>
          <cell r="CH197">
            <v>21959353.390000001</v>
          </cell>
          <cell r="CI197">
            <v>21800073.390000001</v>
          </cell>
          <cell r="CJ197">
            <v>21640793.390000001</v>
          </cell>
          <cell r="CK197">
            <v>22289760.390000001</v>
          </cell>
          <cell r="CL197">
            <v>22137727.390000001</v>
          </cell>
          <cell r="CM197">
            <v>21985550.390000001</v>
          </cell>
          <cell r="CN197">
            <v>22634517.390000001</v>
          </cell>
          <cell r="CO197">
            <v>22482484.390000001</v>
          </cell>
          <cell r="CP197">
            <v>22330451.390000001</v>
          </cell>
          <cell r="CQ197">
            <v>22795460.390000001</v>
          </cell>
          <cell r="CR197">
            <v>22617148.390000001</v>
          </cell>
          <cell r="CS197">
            <v>23239836.390000001</v>
          </cell>
          <cell r="CT197">
            <v>23061524.390000001</v>
          </cell>
          <cell r="CU197">
            <v>22883212.390000001</v>
          </cell>
          <cell r="CV197">
            <v>22704900.390000001</v>
          </cell>
          <cell r="CW197">
            <v>-2208277.61</v>
          </cell>
          <cell r="CX197">
            <v>0</v>
          </cell>
          <cell r="CY197">
            <v>0</v>
          </cell>
          <cell r="CZ197">
            <v>0</v>
          </cell>
          <cell r="DA197">
            <v>0</v>
          </cell>
          <cell r="DB197">
            <v>0</v>
          </cell>
          <cell r="DC197">
            <v>0</v>
          </cell>
          <cell r="DD197">
            <v>0</v>
          </cell>
          <cell r="DE197">
            <v>0</v>
          </cell>
          <cell r="DF197">
            <v>0</v>
          </cell>
          <cell r="DG197">
            <v>0</v>
          </cell>
          <cell r="DH197">
            <v>27332089</v>
          </cell>
        </row>
        <row r="198">
          <cell r="C198" t="str">
            <v>Pension FAS158 NC</v>
          </cell>
          <cell r="D198">
            <v>-15209123</v>
          </cell>
          <cell r="E198">
            <v>-15209123</v>
          </cell>
          <cell r="F198">
            <v>-15209123</v>
          </cell>
          <cell r="G198">
            <v>-14877501</v>
          </cell>
          <cell r="H198">
            <v>-14877501</v>
          </cell>
          <cell r="I198">
            <v>-14551549</v>
          </cell>
          <cell r="J198">
            <v>-14877501</v>
          </cell>
          <cell r="K198">
            <v>-14551549</v>
          </cell>
          <cell r="L198">
            <v>-14551549</v>
          </cell>
          <cell r="M198">
            <v>-14402706</v>
          </cell>
          <cell r="N198">
            <v>-14402706</v>
          </cell>
          <cell r="O198">
            <v>-14402706</v>
          </cell>
          <cell r="P198">
            <v>-17295637</v>
          </cell>
          <cell r="Q198">
            <v>-17295637</v>
          </cell>
          <cell r="R198">
            <v>-17295637</v>
          </cell>
          <cell r="S198">
            <v>-17631988</v>
          </cell>
          <cell r="T198">
            <v>-17631988</v>
          </cell>
          <cell r="U198">
            <v>-17631988</v>
          </cell>
          <cell r="V198">
            <v>-16532273</v>
          </cell>
          <cell r="W198">
            <v>-16532273</v>
          </cell>
          <cell r="X198">
            <v>-16231131</v>
          </cell>
          <cell r="Y198">
            <v>-15849449</v>
          </cell>
          <cell r="Z198">
            <v>-15849449</v>
          </cell>
          <cell r="AA198">
            <v>-24128551</v>
          </cell>
          <cell r="AB198">
            <v>-15849449</v>
          </cell>
          <cell r="AC198">
            <v>-24128551</v>
          </cell>
          <cell r="AD198">
            <v>-24128551</v>
          </cell>
          <cell r="AE198">
            <v>-23800263</v>
          </cell>
          <cell r="AF198">
            <v>-23800263</v>
          </cell>
          <cell r="AG198">
            <v>-23800263</v>
          </cell>
          <cell r="AH198">
            <v>-23362148</v>
          </cell>
          <cell r="AI198">
            <v>-23362148</v>
          </cell>
          <cell r="AJ198">
            <v>-23362148</v>
          </cell>
          <cell r="AK198">
            <v>-30003693</v>
          </cell>
          <cell r="AL198">
            <v>-30003693</v>
          </cell>
          <cell r="AM198">
            <v>-30003693</v>
          </cell>
          <cell r="AN198">
            <v>-27730283</v>
          </cell>
          <cell r="AO198">
            <v>-27730283</v>
          </cell>
          <cell r="AP198">
            <v>-27730283</v>
          </cell>
          <cell r="AQ198">
            <v>-27367286</v>
          </cell>
          <cell r="AR198">
            <v>-27367286</v>
          </cell>
          <cell r="AS198">
            <v>-27367286</v>
          </cell>
          <cell r="AT198">
            <v>-27134155</v>
          </cell>
          <cell r="AU198">
            <v>-27134155</v>
          </cell>
          <cell r="AV198">
            <v>-27134155</v>
          </cell>
          <cell r="AW198">
            <v>-26763244</v>
          </cell>
          <cell r="AX198">
            <v>-26763244</v>
          </cell>
          <cell r="AY198">
            <v>-26763244</v>
          </cell>
          <cell r="AZ198">
            <v>-24001040</v>
          </cell>
          <cell r="BA198">
            <v>-24001040</v>
          </cell>
          <cell r="BB198">
            <v>-24001040</v>
          </cell>
          <cell r="BC198">
            <v>-23590858</v>
          </cell>
          <cell r="BD198">
            <v>-23590858</v>
          </cell>
          <cell r="BE198">
            <v>-23590858</v>
          </cell>
          <cell r="BF198">
            <v>-23181591</v>
          </cell>
          <cell r="BG198">
            <v>-23181591</v>
          </cell>
          <cell r="BH198">
            <v>-23181591</v>
          </cell>
          <cell r="BI198">
            <v>-22771866</v>
          </cell>
          <cell r="BJ198">
            <v>-22771866</v>
          </cell>
          <cell r="BK198">
            <v>-22771866</v>
          </cell>
          <cell r="BL198">
            <v>-29661162</v>
          </cell>
          <cell r="BM198">
            <v>-29661162</v>
          </cell>
          <cell r="BN198">
            <v>-29661162</v>
          </cell>
          <cell r="BO198">
            <v>-29317732</v>
          </cell>
          <cell r="BP198">
            <v>-29317732</v>
          </cell>
          <cell r="BQ198">
            <v>-29317732</v>
          </cell>
          <cell r="BR198">
            <v>-28959087</v>
          </cell>
          <cell r="BS198">
            <v>-28959087</v>
          </cell>
          <cell r="BT198">
            <v>-28959087</v>
          </cell>
          <cell r="BU198">
            <v>-28608049</v>
          </cell>
          <cell r="BV198">
            <v>-28608049</v>
          </cell>
          <cell r="BW198">
            <v>-28608049</v>
          </cell>
          <cell r="BX198">
            <v>-26318985</v>
          </cell>
          <cell r="BY198">
            <v>-26318985</v>
          </cell>
          <cell r="BZ198">
            <v>-26318985</v>
          </cell>
          <cell r="CA198">
            <v>-25845254</v>
          </cell>
          <cell r="CB198">
            <v>-25845254</v>
          </cell>
          <cell r="CC198">
            <v>-25845254</v>
          </cell>
          <cell r="CD198">
            <v>-25377809</v>
          </cell>
          <cell r="CE198">
            <v>-25377809</v>
          </cell>
          <cell r="CF198">
            <v>-25377809</v>
          </cell>
          <cell r="CG198">
            <v>-24907221</v>
          </cell>
          <cell r="CH198">
            <v>-24907221</v>
          </cell>
          <cell r="CI198">
            <v>-24907221</v>
          </cell>
          <cell r="CJ198">
            <v>-23895817</v>
          </cell>
          <cell r="CK198">
            <v>-23895817</v>
          </cell>
          <cell r="CL198">
            <v>-23895817</v>
          </cell>
          <cell r="CM198">
            <v>-23351930</v>
          </cell>
          <cell r="CN198">
            <v>-23351930</v>
          </cell>
          <cell r="CO198">
            <v>-23351930</v>
          </cell>
          <cell r="CP198">
            <v>-22808043</v>
          </cell>
          <cell r="CQ198">
            <v>-22808043</v>
          </cell>
          <cell r="CR198">
            <v>-22808043</v>
          </cell>
          <cell r="CS198">
            <v>-21990611</v>
          </cell>
          <cell r="CT198">
            <v>-21990611</v>
          </cell>
          <cell r="CU198">
            <v>-21990611</v>
          </cell>
          <cell r="CV198">
            <v>-16179024</v>
          </cell>
          <cell r="CW198">
            <v>0</v>
          </cell>
          <cell r="CX198">
            <v>0</v>
          </cell>
          <cell r="CY198">
            <v>0</v>
          </cell>
          <cell r="CZ198">
            <v>0</v>
          </cell>
          <cell r="DA198">
            <v>0</v>
          </cell>
          <cell r="DB198">
            <v>0</v>
          </cell>
          <cell r="DC198">
            <v>0</v>
          </cell>
          <cell r="DD198">
            <v>0</v>
          </cell>
          <cell r="DE198">
            <v>0</v>
          </cell>
          <cell r="DF198">
            <v>0</v>
          </cell>
          <cell r="DG198">
            <v>0</v>
          </cell>
          <cell r="DH198">
            <v>-28878544</v>
          </cell>
        </row>
        <row r="199">
          <cell r="C199" t="str">
            <v>Pension Asset NC</v>
          </cell>
          <cell r="D199">
            <v>-15209123</v>
          </cell>
          <cell r="E199">
            <v>-15209123</v>
          </cell>
          <cell r="F199">
            <v>-15209123</v>
          </cell>
          <cell r="G199">
            <v>-14877501</v>
          </cell>
          <cell r="H199">
            <v>-14877501</v>
          </cell>
          <cell r="I199">
            <v>-14551549</v>
          </cell>
          <cell r="J199">
            <v>-14877501</v>
          </cell>
          <cell r="K199">
            <v>-14551549</v>
          </cell>
          <cell r="L199">
            <v>-14551549</v>
          </cell>
          <cell r="M199">
            <v>-14402706</v>
          </cell>
          <cell r="N199">
            <v>-14402706</v>
          </cell>
          <cell r="O199">
            <v>-14402706</v>
          </cell>
          <cell r="P199">
            <v>-17295637</v>
          </cell>
          <cell r="Q199">
            <v>-17295637</v>
          </cell>
          <cell r="R199">
            <v>-17295637</v>
          </cell>
          <cell r="S199">
            <v>-17631988</v>
          </cell>
          <cell r="T199">
            <v>-17631988</v>
          </cell>
          <cell r="U199">
            <v>-17631988</v>
          </cell>
          <cell r="V199">
            <v>-16532273</v>
          </cell>
          <cell r="W199">
            <v>-16532273</v>
          </cell>
          <cell r="X199">
            <v>-16231131</v>
          </cell>
          <cell r="Y199">
            <v>-15849449</v>
          </cell>
          <cell r="Z199">
            <v>-15849449</v>
          </cell>
          <cell r="AA199">
            <v>-24128551</v>
          </cell>
          <cell r="AB199">
            <v>-15849449</v>
          </cell>
          <cell r="AC199">
            <v>-24128551</v>
          </cell>
          <cell r="AD199">
            <v>-24128551</v>
          </cell>
          <cell r="AE199">
            <v>-23800263</v>
          </cell>
          <cell r="AF199">
            <v>-23800263</v>
          </cell>
          <cell r="AG199">
            <v>-23800263</v>
          </cell>
          <cell r="AH199">
            <v>-23362148</v>
          </cell>
          <cell r="AI199">
            <v>-23362148</v>
          </cell>
          <cell r="AJ199">
            <v>-23362148</v>
          </cell>
          <cell r="AK199">
            <v>-30003693</v>
          </cell>
          <cell r="AL199">
            <v>-30003693</v>
          </cell>
          <cell r="AM199">
            <v>-30003693</v>
          </cell>
          <cell r="AN199">
            <v>-27730283</v>
          </cell>
          <cell r="AO199">
            <v>-27730283</v>
          </cell>
          <cell r="AP199">
            <v>-27730283</v>
          </cell>
          <cell r="AQ199">
            <v>-27367286</v>
          </cell>
          <cell r="AR199">
            <v>-27367286</v>
          </cell>
          <cell r="AS199">
            <v>-27367286</v>
          </cell>
          <cell r="AT199">
            <v>-27134155</v>
          </cell>
          <cell r="AU199">
            <v>-27134155</v>
          </cell>
          <cell r="AV199">
            <v>-27134155</v>
          </cell>
          <cell r="AW199">
            <v>-26763244</v>
          </cell>
          <cell r="AX199">
            <v>-26763244</v>
          </cell>
          <cell r="AY199">
            <v>-26763244</v>
          </cell>
          <cell r="AZ199">
            <v>-24001040</v>
          </cell>
          <cell r="BA199">
            <v>-24001040</v>
          </cell>
          <cell r="BB199">
            <v>-24001040</v>
          </cell>
          <cell r="BC199">
            <v>-23590858</v>
          </cell>
          <cell r="BD199">
            <v>-23590858</v>
          </cell>
          <cell r="BE199">
            <v>-23590858</v>
          </cell>
          <cell r="BF199">
            <v>-23181591</v>
          </cell>
          <cell r="BG199">
            <v>-23181591</v>
          </cell>
          <cell r="BH199">
            <v>-23181591</v>
          </cell>
          <cell r="BI199">
            <v>-22771866</v>
          </cell>
          <cell r="BJ199">
            <v>-22771866</v>
          </cell>
          <cell r="BK199">
            <v>-22771866</v>
          </cell>
          <cell r="BL199">
            <v>-29661162</v>
          </cell>
          <cell r="BM199">
            <v>-29661162</v>
          </cell>
          <cell r="BN199">
            <v>-29661162</v>
          </cell>
          <cell r="BO199">
            <v>-29317732</v>
          </cell>
          <cell r="BP199">
            <v>-29317732</v>
          </cell>
          <cell r="BQ199">
            <v>-29317732</v>
          </cell>
          <cell r="BR199">
            <v>-28959087</v>
          </cell>
          <cell r="BS199">
            <v>-28959087</v>
          </cell>
          <cell r="BT199">
            <v>-28959087</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25566831</v>
          </cell>
          <cell r="CX199">
            <v>23248206.390000001</v>
          </cell>
          <cell r="CY199">
            <v>23137859.390000001</v>
          </cell>
          <cell r="CZ199">
            <v>23791512.390000001</v>
          </cell>
          <cell r="DA199">
            <v>23681165.390000001</v>
          </cell>
          <cell r="DB199">
            <v>23504541.390000001</v>
          </cell>
          <cell r="DC199">
            <v>24146607.390000001</v>
          </cell>
          <cell r="DD199">
            <v>24024673.390000001</v>
          </cell>
          <cell r="DE199">
            <v>24666739.390000001</v>
          </cell>
          <cell r="DF199">
            <v>24546965.390000001</v>
          </cell>
          <cell r="DG199">
            <v>24425571.390000001</v>
          </cell>
          <cell r="DH199">
            <v>-3027911.61</v>
          </cell>
        </row>
        <row r="200">
          <cell r="C200" t="str">
            <v>Pension A FAS158 NC</v>
          </cell>
          <cell r="D200">
            <v>-15209123</v>
          </cell>
          <cell r="E200">
            <v>-15209123</v>
          </cell>
          <cell r="F200">
            <v>-15209123</v>
          </cell>
          <cell r="G200">
            <v>-14877501</v>
          </cell>
          <cell r="H200">
            <v>-14877501</v>
          </cell>
          <cell r="I200">
            <v>-14551549</v>
          </cell>
          <cell r="J200">
            <v>-14877501</v>
          </cell>
          <cell r="K200">
            <v>-14551549</v>
          </cell>
          <cell r="L200">
            <v>-14551549</v>
          </cell>
          <cell r="M200">
            <v>-14402706</v>
          </cell>
          <cell r="N200">
            <v>-14402706</v>
          </cell>
          <cell r="O200">
            <v>-14402706</v>
          </cell>
          <cell r="P200">
            <v>-17295637</v>
          </cell>
          <cell r="Q200">
            <v>-17295637</v>
          </cell>
          <cell r="R200">
            <v>-17295637</v>
          </cell>
          <cell r="S200">
            <v>-17631988</v>
          </cell>
          <cell r="T200">
            <v>-17631988</v>
          </cell>
          <cell r="U200">
            <v>-17631988</v>
          </cell>
          <cell r="V200">
            <v>-16532273</v>
          </cell>
          <cell r="W200">
            <v>-16532273</v>
          </cell>
          <cell r="X200">
            <v>-16231131</v>
          </cell>
          <cell r="Y200">
            <v>-15849449</v>
          </cell>
          <cell r="Z200">
            <v>-15849449</v>
          </cell>
          <cell r="AA200">
            <v>-24128551</v>
          </cell>
          <cell r="AB200">
            <v>-15849449</v>
          </cell>
          <cell r="AC200">
            <v>-24128551</v>
          </cell>
          <cell r="AD200">
            <v>-24128551</v>
          </cell>
          <cell r="AE200">
            <v>-23800263</v>
          </cell>
          <cell r="AF200">
            <v>-23800263</v>
          </cell>
          <cell r="AG200">
            <v>-23800263</v>
          </cell>
          <cell r="AH200">
            <v>-23362148</v>
          </cell>
          <cell r="AI200">
            <v>-23362148</v>
          </cell>
          <cell r="AJ200">
            <v>-23362148</v>
          </cell>
          <cell r="AK200">
            <v>-30003693</v>
          </cell>
          <cell r="AL200">
            <v>-30003693</v>
          </cell>
          <cell r="AM200">
            <v>-30003693</v>
          </cell>
          <cell r="AN200">
            <v>-27730283</v>
          </cell>
          <cell r="AO200">
            <v>-27730283</v>
          </cell>
          <cell r="AP200">
            <v>-27730283</v>
          </cell>
          <cell r="AQ200">
            <v>-27367286</v>
          </cell>
          <cell r="AR200">
            <v>-27367286</v>
          </cell>
          <cell r="AS200">
            <v>-27367286</v>
          </cell>
          <cell r="AT200">
            <v>-27134155</v>
          </cell>
          <cell r="AU200">
            <v>-27134155</v>
          </cell>
          <cell r="AV200">
            <v>-27134155</v>
          </cell>
          <cell r="AW200">
            <v>-26763244</v>
          </cell>
          <cell r="AX200">
            <v>-26763244</v>
          </cell>
          <cell r="AY200">
            <v>-26763244</v>
          </cell>
          <cell r="AZ200">
            <v>-24001040</v>
          </cell>
          <cell r="BA200">
            <v>-24001040</v>
          </cell>
          <cell r="BB200">
            <v>-24001040</v>
          </cell>
          <cell r="BC200">
            <v>-23590858</v>
          </cell>
          <cell r="BD200">
            <v>-23590858</v>
          </cell>
          <cell r="BE200">
            <v>-23590858</v>
          </cell>
          <cell r="BF200">
            <v>-23181591</v>
          </cell>
          <cell r="BG200">
            <v>-23181591</v>
          </cell>
          <cell r="BH200">
            <v>-23181591</v>
          </cell>
          <cell r="BI200">
            <v>-22771866</v>
          </cell>
          <cell r="BJ200">
            <v>-22771866</v>
          </cell>
          <cell r="BK200">
            <v>-22771866</v>
          </cell>
          <cell r="BL200">
            <v>-29661162</v>
          </cell>
          <cell r="BM200">
            <v>-29661162</v>
          </cell>
          <cell r="BN200">
            <v>-29661162</v>
          </cell>
          <cell r="BO200">
            <v>-29317732</v>
          </cell>
          <cell r="BP200">
            <v>-29317732</v>
          </cell>
          <cell r="BQ200">
            <v>-29317732</v>
          </cell>
          <cell r="BR200">
            <v>-28959087</v>
          </cell>
          <cell r="BS200">
            <v>-28959087</v>
          </cell>
          <cell r="BT200">
            <v>-28959087</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-16179024</v>
          </cell>
          <cell r="CX200">
            <v>-16179024</v>
          </cell>
          <cell r="CY200">
            <v>-15755447</v>
          </cell>
          <cell r="CZ200">
            <v>-15755447</v>
          </cell>
          <cell r="DA200">
            <v>-15755447</v>
          </cell>
          <cell r="DB200">
            <v>-15298969</v>
          </cell>
          <cell r="DC200">
            <v>-15298969</v>
          </cell>
          <cell r="DD200">
            <v>-15298969</v>
          </cell>
          <cell r="DE200">
            <v>-14858942</v>
          </cell>
          <cell r="DF200">
            <v>-14858942</v>
          </cell>
          <cell r="DG200">
            <v>-14858942</v>
          </cell>
          <cell r="DH200">
            <v>0</v>
          </cell>
        </row>
        <row r="201">
          <cell r="C201" t="str">
            <v>SERP Liab NC</v>
          </cell>
          <cell r="D201">
            <v>-1160296.98</v>
          </cell>
          <cell r="E201">
            <v>-1133441.3400000001</v>
          </cell>
          <cell r="F201">
            <v>-652840.81999999995</v>
          </cell>
          <cell r="G201">
            <v>-450838</v>
          </cell>
          <cell r="H201">
            <v>-478347.18</v>
          </cell>
          <cell r="I201">
            <v>-522247.54</v>
          </cell>
          <cell r="J201">
            <v>-500297.36</v>
          </cell>
          <cell r="K201">
            <v>-544197.72</v>
          </cell>
          <cell r="L201">
            <v>-206354.2</v>
          </cell>
          <cell r="M201">
            <v>-234652.48</v>
          </cell>
          <cell r="N201">
            <v>-262950.76</v>
          </cell>
          <cell r="O201">
            <v>-291249.03999999998</v>
          </cell>
          <cell r="P201">
            <v>-319547.32</v>
          </cell>
          <cell r="Q201">
            <v>-350097.84</v>
          </cell>
          <cell r="R201">
            <v>-359835.36</v>
          </cell>
          <cell r="S201">
            <v>-336310.88</v>
          </cell>
          <cell r="T201">
            <v>-356457.4</v>
          </cell>
          <cell r="U201">
            <v>-388456.92</v>
          </cell>
          <cell r="V201">
            <v>-410974.44</v>
          </cell>
          <cell r="W201">
            <v>-433491.96</v>
          </cell>
          <cell r="X201">
            <v>-456009.48</v>
          </cell>
          <cell r="Y201">
            <v>-478527</v>
          </cell>
          <cell r="Z201">
            <v>-501044.52</v>
          </cell>
          <cell r="AA201">
            <v>-546079.56000000006</v>
          </cell>
          <cell r="AB201">
            <v>-523562.04</v>
          </cell>
          <cell r="AC201">
            <v>-566461.07999999996</v>
          </cell>
          <cell r="AD201">
            <v>-586842.6</v>
          </cell>
          <cell r="AE201">
            <v>-607224.12</v>
          </cell>
          <cell r="AF201">
            <v>-631075.64</v>
          </cell>
          <cell r="AG201">
            <v>-652324.16</v>
          </cell>
          <cell r="AH201">
            <v>-673572.68</v>
          </cell>
          <cell r="AI201">
            <v>-694821.2</v>
          </cell>
          <cell r="AJ201">
            <v>-716069.72</v>
          </cell>
          <cell r="AK201">
            <v>-667829.24</v>
          </cell>
          <cell r="AL201">
            <v>-698518.76</v>
          </cell>
          <cell r="AM201">
            <v>-729208.28</v>
          </cell>
          <cell r="AN201">
            <v>-759897.8</v>
          </cell>
          <cell r="AO201">
            <v>-1371147.32</v>
          </cell>
          <cell r="AP201">
            <v>-813824.84</v>
          </cell>
          <cell r="AQ201">
            <v>-840788.36</v>
          </cell>
          <cell r="AR201">
            <v>-867751.88</v>
          </cell>
          <cell r="AS201">
            <v>-894715.4</v>
          </cell>
          <cell r="AT201">
            <v>-961897.92</v>
          </cell>
          <cell r="AU201">
            <v>-995564.44</v>
          </cell>
          <cell r="AV201">
            <v>-1032263.44</v>
          </cell>
          <cell r="AW201">
            <v>-1062897.48</v>
          </cell>
          <cell r="AX201">
            <v>-1096564</v>
          </cell>
          <cell r="AY201">
            <v>-1130230.52</v>
          </cell>
          <cell r="AZ201">
            <v>-1163897.04</v>
          </cell>
          <cell r="BA201">
            <v>-1470566.56</v>
          </cell>
          <cell r="BB201">
            <v>-1210632.08</v>
          </cell>
          <cell r="BC201">
            <v>-1233999.6000000001</v>
          </cell>
          <cell r="BD201">
            <v>-1257367.1200000001</v>
          </cell>
          <cell r="BE201">
            <v>-1214115.6399999999</v>
          </cell>
          <cell r="BF201">
            <v>-1261059.1599999999</v>
          </cell>
          <cell r="BG201">
            <v>-1285507.68</v>
          </cell>
          <cell r="BH201">
            <v>-1309613.8400000001</v>
          </cell>
          <cell r="BI201">
            <v>-1334062.3600000001</v>
          </cell>
          <cell r="BJ201">
            <v>-1358510.88</v>
          </cell>
          <cell r="BK201">
            <v>-1383301.76</v>
          </cell>
          <cell r="BL201">
            <v>-1407750.28</v>
          </cell>
          <cell r="BM201">
            <v>-1430350.28</v>
          </cell>
          <cell r="BN201">
            <v>-1452950.28</v>
          </cell>
          <cell r="BO201">
            <v>-1475550.28</v>
          </cell>
          <cell r="BP201">
            <v>-1498150.28</v>
          </cell>
          <cell r="BQ201">
            <v>-1520750.28</v>
          </cell>
          <cell r="BR201">
            <v>-1564731.28</v>
          </cell>
          <cell r="BS201">
            <v>-1590894.28</v>
          </cell>
          <cell r="BT201">
            <v>-1617057.28</v>
          </cell>
          <cell r="BU201">
            <v>-1643220.28</v>
          </cell>
          <cell r="BV201">
            <v>-1669383.28</v>
          </cell>
          <cell r="BW201">
            <v>-1695546.28</v>
          </cell>
          <cell r="BX201">
            <v>-1721709.28</v>
          </cell>
          <cell r="BY201">
            <v>-1732455.28</v>
          </cell>
          <cell r="BZ201">
            <v>-1743201.28</v>
          </cell>
          <cell r="CA201">
            <v>-1753947.28</v>
          </cell>
          <cell r="CB201">
            <v>-1764693.28</v>
          </cell>
          <cell r="CC201">
            <v>-1775439.28</v>
          </cell>
          <cell r="CD201">
            <v>-1791996.28</v>
          </cell>
          <cell r="CE201">
            <v>-1803711.28</v>
          </cell>
          <cell r="CF201">
            <v>-1815426.28</v>
          </cell>
          <cell r="CG201">
            <v>-1827141.28</v>
          </cell>
          <cell r="CH201">
            <v>-1838856.28</v>
          </cell>
          <cell r="CI201">
            <v>-1850571.28</v>
          </cell>
          <cell r="CJ201">
            <v>-1862286.28</v>
          </cell>
          <cell r="CK201">
            <v>-1873443.28</v>
          </cell>
          <cell r="CL201">
            <v>-1884600.28</v>
          </cell>
          <cell r="CM201">
            <v>-760796.28</v>
          </cell>
          <cell r="CN201">
            <v>-771953.28</v>
          </cell>
          <cell r="CO201">
            <v>-783110.28</v>
          </cell>
          <cell r="CP201">
            <v>-794267.28</v>
          </cell>
          <cell r="CQ201">
            <v>-814077.28</v>
          </cell>
          <cell r="CR201">
            <v>-826471.28</v>
          </cell>
          <cell r="CS201">
            <v>-838865.28</v>
          </cell>
          <cell r="CT201">
            <v>-851259.28</v>
          </cell>
          <cell r="CU201">
            <v>-863653.28</v>
          </cell>
          <cell r="CV201">
            <v>-876047.28</v>
          </cell>
          <cell r="CW201">
            <v>-887956.28</v>
          </cell>
          <cell r="CX201">
            <v>-899865.28</v>
          </cell>
          <cell r="CY201">
            <v>-911774.28</v>
          </cell>
          <cell r="CZ201">
            <v>-923683.28</v>
          </cell>
          <cell r="DA201">
            <v>-935592.28</v>
          </cell>
          <cell r="DB201">
            <v>-943940.28</v>
          </cell>
          <cell r="DC201">
            <v>-955256.28</v>
          </cell>
          <cell r="DD201">
            <v>-966572.28</v>
          </cell>
          <cell r="DE201">
            <v>-977888.28</v>
          </cell>
          <cell r="DF201">
            <v>-989204.28</v>
          </cell>
          <cell r="DG201">
            <v>-1000520.28</v>
          </cell>
          <cell r="DH201">
            <v>-1012965.28</v>
          </cell>
        </row>
        <row r="202">
          <cell r="C202" t="str">
            <v>SERP FAS158 NC</v>
          </cell>
          <cell r="D202">
            <v>-2750624</v>
          </cell>
          <cell r="E202">
            <v>-2750624</v>
          </cell>
          <cell r="F202">
            <v>-2750624</v>
          </cell>
          <cell r="G202">
            <v>-2701597</v>
          </cell>
          <cell r="H202">
            <v>-2701597</v>
          </cell>
          <cell r="I202">
            <v>-2640592</v>
          </cell>
          <cell r="J202">
            <v>-2701597</v>
          </cell>
          <cell r="K202">
            <v>-2640592</v>
          </cell>
          <cell r="L202">
            <v>-2640592</v>
          </cell>
          <cell r="M202">
            <v>-2585576</v>
          </cell>
          <cell r="N202">
            <v>-2585576</v>
          </cell>
          <cell r="O202">
            <v>-2585576</v>
          </cell>
          <cell r="P202">
            <v>-2779984</v>
          </cell>
          <cell r="Q202">
            <v>-2779984</v>
          </cell>
          <cell r="R202">
            <v>-2779984</v>
          </cell>
          <cell r="S202">
            <v>-2813932</v>
          </cell>
          <cell r="T202">
            <v>-2813932</v>
          </cell>
          <cell r="U202">
            <v>-2813932</v>
          </cell>
          <cell r="V202">
            <v>-2699889</v>
          </cell>
          <cell r="W202">
            <v>-2699889</v>
          </cell>
          <cell r="X202">
            <v>-2699889</v>
          </cell>
          <cell r="Y202">
            <v>-2659841</v>
          </cell>
          <cell r="Z202">
            <v>-2659841</v>
          </cell>
          <cell r="AA202">
            <v>-2360028</v>
          </cell>
          <cell r="AB202">
            <v>-2659841</v>
          </cell>
          <cell r="AC202">
            <v>-2360028</v>
          </cell>
          <cell r="AD202">
            <v>-2360028</v>
          </cell>
          <cell r="AE202">
            <v>-2326845</v>
          </cell>
          <cell r="AF202">
            <v>-2326845</v>
          </cell>
          <cell r="AG202">
            <v>-2326845</v>
          </cell>
          <cell r="AH202">
            <v>-2285965</v>
          </cell>
          <cell r="AI202">
            <v>-2285965</v>
          </cell>
          <cell r="AJ202">
            <v>-2285965</v>
          </cell>
          <cell r="AK202">
            <v>-2491380</v>
          </cell>
          <cell r="AL202">
            <v>-2491380</v>
          </cell>
          <cell r="AM202">
            <v>-2491380</v>
          </cell>
          <cell r="AN202">
            <v>-1703277</v>
          </cell>
          <cell r="AO202">
            <v>-1703277</v>
          </cell>
          <cell r="AP202">
            <v>-1703277</v>
          </cell>
          <cell r="AQ202">
            <v>-1635333</v>
          </cell>
          <cell r="AR202">
            <v>-1635333</v>
          </cell>
          <cell r="AS202">
            <v>-1635333</v>
          </cell>
          <cell r="AT202">
            <v>-1681611</v>
          </cell>
          <cell r="AU202">
            <v>-1681611</v>
          </cell>
          <cell r="AV202">
            <v>-1681611</v>
          </cell>
          <cell r="AW202">
            <v>-1590499</v>
          </cell>
          <cell r="AX202">
            <v>-1590499</v>
          </cell>
          <cell r="AY202">
            <v>-1590499</v>
          </cell>
          <cell r="AZ202">
            <v>-912301</v>
          </cell>
          <cell r="BA202">
            <v>-912301</v>
          </cell>
          <cell r="BB202">
            <v>-912301</v>
          </cell>
          <cell r="BC202">
            <v>-845129</v>
          </cell>
          <cell r="BD202">
            <v>-845129</v>
          </cell>
          <cell r="BE202">
            <v>-845129</v>
          </cell>
          <cell r="BF202">
            <v>-760943</v>
          </cell>
          <cell r="BG202">
            <v>-760943</v>
          </cell>
          <cell r="BH202">
            <v>-760943</v>
          </cell>
          <cell r="BI202">
            <v>-698906</v>
          </cell>
          <cell r="BJ202">
            <v>-698906</v>
          </cell>
          <cell r="BK202">
            <v>-698906</v>
          </cell>
          <cell r="BL202">
            <v>-458297</v>
          </cell>
          <cell r="BM202">
            <v>-458297</v>
          </cell>
          <cell r="BN202">
            <v>-458297</v>
          </cell>
          <cell r="BO202">
            <v>-410557</v>
          </cell>
          <cell r="BP202">
            <v>-410557</v>
          </cell>
          <cell r="BQ202">
            <v>-410557</v>
          </cell>
          <cell r="BR202">
            <v>-340694</v>
          </cell>
          <cell r="BS202">
            <v>-340694</v>
          </cell>
          <cell r="BT202">
            <v>-340694</v>
          </cell>
          <cell r="BU202">
            <v>-281893</v>
          </cell>
          <cell r="BV202">
            <v>-281893</v>
          </cell>
          <cell r="BW202">
            <v>-281893</v>
          </cell>
          <cell r="BX202">
            <v>-27318</v>
          </cell>
          <cell r="BY202">
            <v>-27318</v>
          </cell>
          <cell r="BZ202">
            <v>-27318</v>
          </cell>
          <cell r="CA202">
            <v>-8104</v>
          </cell>
          <cell r="CB202">
            <v>-8104</v>
          </cell>
          <cell r="CC202">
            <v>-8104</v>
          </cell>
          <cell r="CD202">
            <v>16204</v>
          </cell>
          <cell r="CE202">
            <v>16204</v>
          </cell>
          <cell r="CF202">
            <v>16204</v>
          </cell>
          <cell r="CG202">
            <v>37965</v>
          </cell>
          <cell r="CH202">
            <v>37965</v>
          </cell>
          <cell r="CI202">
            <v>37965</v>
          </cell>
          <cell r="CJ202">
            <v>-969808</v>
          </cell>
          <cell r="CK202">
            <v>-969808</v>
          </cell>
          <cell r="CL202">
            <v>-969808</v>
          </cell>
          <cell r="CM202">
            <v>-944717</v>
          </cell>
          <cell r="CN202">
            <v>-944717</v>
          </cell>
          <cell r="CO202">
            <v>-944717</v>
          </cell>
          <cell r="CP202">
            <v>-919626</v>
          </cell>
          <cell r="CQ202">
            <v>-919626</v>
          </cell>
          <cell r="CR202">
            <v>-919626</v>
          </cell>
          <cell r="CS202">
            <v>-885061</v>
          </cell>
          <cell r="CT202">
            <v>-885061</v>
          </cell>
          <cell r="CU202">
            <v>-885061</v>
          </cell>
          <cell r="CV202">
            <v>-966416</v>
          </cell>
          <cell r="CW202">
            <v>-966416</v>
          </cell>
          <cell r="CX202">
            <v>-966416</v>
          </cell>
          <cell r="CY202">
            <v>-940680</v>
          </cell>
          <cell r="CZ202">
            <v>-940680</v>
          </cell>
          <cell r="DA202">
            <v>-940680</v>
          </cell>
          <cell r="DB202">
            <v>-918687</v>
          </cell>
          <cell r="DC202">
            <v>-918687</v>
          </cell>
          <cell r="DD202">
            <v>-918687</v>
          </cell>
          <cell r="DE202">
            <v>-894822</v>
          </cell>
          <cell r="DF202">
            <v>-894822</v>
          </cell>
          <cell r="DG202">
            <v>-894822</v>
          </cell>
          <cell r="DH202">
            <v>-660363</v>
          </cell>
        </row>
        <row r="203">
          <cell r="C203" t="str">
            <v>Restoration Liab NC</v>
          </cell>
          <cell r="D203"/>
          <cell r="E203"/>
          <cell r="F203"/>
          <cell r="G203"/>
          <cell r="H203"/>
          <cell r="I203"/>
          <cell r="J203"/>
          <cell r="K203"/>
          <cell r="L203"/>
          <cell r="M203"/>
          <cell r="N203"/>
          <cell r="O203"/>
          <cell r="P203"/>
          <cell r="Q203"/>
          <cell r="R203"/>
          <cell r="S203"/>
          <cell r="T203"/>
          <cell r="U203"/>
          <cell r="V203"/>
          <cell r="W203"/>
          <cell r="X203"/>
          <cell r="Y203"/>
          <cell r="Z203"/>
          <cell r="AA203"/>
          <cell r="AB203"/>
          <cell r="AC203"/>
          <cell r="AD203"/>
          <cell r="AE203"/>
          <cell r="AF203">
            <v>0</v>
          </cell>
          <cell r="AG203">
            <v>-828.75</v>
          </cell>
          <cell r="AH203">
            <v>-994.5</v>
          </cell>
          <cell r="AI203">
            <v>-1160.25</v>
          </cell>
          <cell r="AJ203">
            <v>-1326</v>
          </cell>
          <cell r="AK203">
            <v>-1498</v>
          </cell>
          <cell r="AL203">
            <v>-1666</v>
          </cell>
          <cell r="AM203">
            <v>-1834</v>
          </cell>
          <cell r="AN203">
            <v>-2002</v>
          </cell>
          <cell r="AO203">
            <v>-2176</v>
          </cell>
          <cell r="AP203">
            <v>-2350</v>
          </cell>
          <cell r="AQ203">
            <v>-2524</v>
          </cell>
          <cell r="AR203">
            <v>-2698</v>
          </cell>
          <cell r="AS203">
            <v>-2872</v>
          </cell>
          <cell r="AT203">
            <v>-21798</v>
          </cell>
          <cell r="AU203">
            <v>-25097</v>
          </cell>
          <cell r="AV203">
            <v>-28396</v>
          </cell>
          <cell r="AW203">
            <v>-31695</v>
          </cell>
          <cell r="AX203">
            <v>-34994</v>
          </cell>
          <cell r="AY203">
            <v>-38293</v>
          </cell>
          <cell r="AZ203">
            <v>-41592</v>
          </cell>
          <cell r="BA203">
            <v>-45174</v>
          </cell>
          <cell r="BB203">
            <v>-48856</v>
          </cell>
          <cell r="BC203">
            <v>-52488</v>
          </cell>
          <cell r="BD203">
            <v>-56120</v>
          </cell>
          <cell r="BE203">
            <v>-73826.75</v>
          </cell>
          <cell r="BF203">
            <v>-84457.75</v>
          </cell>
          <cell r="BG203">
            <v>-95088.75</v>
          </cell>
          <cell r="BH203">
            <v>-105428.75</v>
          </cell>
          <cell r="BI203">
            <v>-115768.75</v>
          </cell>
          <cell r="BJ203">
            <v>-126108.75</v>
          </cell>
          <cell r="BK203">
            <v>-136448.75</v>
          </cell>
          <cell r="BL203">
            <v>-146788.75</v>
          </cell>
          <cell r="BM203">
            <v>-156101.75</v>
          </cell>
          <cell r="BN203">
            <v>-165414.75</v>
          </cell>
          <cell r="BO203">
            <v>-174727.75</v>
          </cell>
          <cell r="BP203">
            <v>-184040.75</v>
          </cell>
          <cell r="BQ203">
            <v>-193353.75</v>
          </cell>
          <cell r="BR203">
            <v>-199557.75</v>
          </cell>
          <cell r="BS203">
            <v>-208351.75</v>
          </cell>
          <cell r="BT203">
            <v>-217145.75</v>
          </cell>
          <cell r="BU203">
            <v>-225939.75</v>
          </cell>
          <cell r="BV203">
            <v>-234733.75</v>
          </cell>
          <cell r="BW203">
            <v>-243527.75</v>
          </cell>
          <cell r="BX203">
            <v>-252321.75</v>
          </cell>
          <cell r="BY203">
            <v>-263762.75</v>
          </cell>
          <cell r="BZ203">
            <v>-275203.75</v>
          </cell>
          <cell r="CA203">
            <v>-286644.75</v>
          </cell>
          <cell r="CB203">
            <v>-298085.75</v>
          </cell>
          <cell r="CC203">
            <v>-309526.75</v>
          </cell>
          <cell r="CD203">
            <v>-362811.75</v>
          </cell>
          <cell r="CE203">
            <v>-381226.75</v>
          </cell>
          <cell r="CF203">
            <v>-399641.75</v>
          </cell>
          <cell r="CG203">
            <v>-418056.75</v>
          </cell>
          <cell r="CH203">
            <v>-436471.75</v>
          </cell>
          <cell r="CI203">
            <v>-454886.75</v>
          </cell>
          <cell r="CJ203">
            <v>-473301.75</v>
          </cell>
          <cell r="CK203">
            <v>-493208.75</v>
          </cell>
          <cell r="CL203">
            <v>-513115.75</v>
          </cell>
          <cell r="CM203">
            <v>-532732.75</v>
          </cell>
          <cell r="CN203">
            <v>-552639.75</v>
          </cell>
          <cell r="CO203">
            <v>-572546.75</v>
          </cell>
          <cell r="CP203">
            <v>-592453.75</v>
          </cell>
          <cell r="CQ203">
            <v>-635709.75</v>
          </cell>
          <cell r="CR203">
            <v>-658951.75</v>
          </cell>
          <cell r="CS203">
            <v>-682193.75</v>
          </cell>
          <cell r="CT203">
            <v>-705435.75</v>
          </cell>
          <cell r="CU203">
            <v>-728677.75</v>
          </cell>
          <cell r="CV203">
            <v>-751919.75</v>
          </cell>
          <cell r="CW203">
            <v>-761845.75</v>
          </cell>
          <cell r="CX203">
            <v>-771771.75</v>
          </cell>
          <cell r="CY203">
            <v>-781697.75</v>
          </cell>
          <cell r="CZ203">
            <v>-791623.75</v>
          </cell>
          <cell r="DA203">
            <v>-801549.75</v>
          </cell>
          <cell r="DB203">
            <v>29011.71</v>
          </cell>
          <cell r="DC203">
            <v>15837.71</v>
          </cell>
          <cell r="DD203">
            <v>2663.71</v>
          </cell>
          <cell r="DE203">
            <v>-10510.29</v>
          </cell>
          <cell r="DF203">
            <v>-23684.29</v>
          </cell>
          <cell r="DG203">
            <v>-36858.29</v>
          </cell>
          <cell r="DH203">
            <v>-50032.29</v>
          </cell>
        </row>
        <row r="204">
          <cell r="C204" t="str">
            <v>Restor FAS158 NC</v>
          </cell>
          <cell r="D204"/>
          <cell r="E204"/>
          <cell r="F204"/>
          <cell r="G204"/>
          <cell r="H204"/>
          <cell r="I204"/>
          <cell r="J204"/>
          <cell r="K204"/>
          <cell r="L204"/>
          <cell r="M204"/>
          <cell r="N204"/>
          <cell r="O204"/>
          <cell r="P204"/>
          <cell r="Q204"/>
          <cell r="R204"/>
          <cell r="S204"/>
          <cell r="T204"/>
          <cell r="U204"/>
          <cell r="V204"/>
          <cell r="W204"/>
          <cell r="X204"/>
          <cell r="Y204"/>
          <cell r="Z204"/>
          <cell r="AA204"/>
          <cell r="AB204"/>
          <cell r="AC204"/>
          <cell r="AD204"/>
          <cell r="AE204"/>
          <cell r="AF204">
            <v>0</v>
          </cell>
          <cell r="AG204">
            <v>-9275</v>
          </cell>
          <cell r="AH204">
            <v>-8775</v>
          </cell>
          <cell r="AI204">
            <v>-8775</v>
          </cell>
          <cell r="AJ204">
            <v>-8775</v>
          </cell>
          <cell r="AK204">
            <v>-9440</v>
          </cell>
          <cell r="AL204">
            <v>-9440</v>
          </cell>
          <cell r="AM204">
            <v>-9440</v>
          </cell>
          <cell r="AN204">
            <v>-9102</v>
          </cell>
          <cell r="AO204">
            <v>-9102</v>
          </cell>
          <cell r="AP204">
            <v>-9102</v>
          </cell>
          <cell r="AQ204">
            <v>-8843</v>
          </cell>
          <cell r="AR204">
            <v>-8843</v>
          </cell>
          <cell r="AS204">
            <v>-8843</v>
          </cell>
          <cell r="AT204">
            <v>-255836</v>
          </cell>
          <cell r="AU204">
            <v>-255836</v>
          </cell>
          <cell r="AV204">
            <v>-255836</v>
          </cell>
          <cell r="AW204">
            <v>-250396</v>
          </cell>
          <cell r="AX204">
            <v>-250396</v>
          </cell>
          <cell r="AY204">
            <v>-250396</v>
          </cell>
          <cell r="AZ204">
            <v>-277585</v>
          </cell>
          <cell r="BA204">
            <v>-277585</v>
          </cell>
          <cell r="BB204">
            <v>-277585</v>
          </cell>
          <cell r="BC204">
            <v>-271647</v>
          </cell>
          <cell r="BD204">
            <v>-271647</v>
          </cell>
          <cell r="BE204">
            <v>-271647</v>
          </cell>
          <cell r="BF204">
            <v>-253149</v>
          </cell>
          <cell r="BG204">
            <v>-253149</v>
          </cell>
          <cell r="BH204">
            <v>-253149</v>
          </cell>
          <cell r="BI204">
            <v>-235997</v>
          </cell>
          <cell r="BJ204">
            <v>-235997</v>
          </cell>
          <cell r="BK204">
            <v>-235997</v>
          </cell>
          <cell r="BL204">
            <v>-679574</v>
          </cell>
          <cell r="BM204">
            <v>-679574</v>
          </cell>
          <cell r="BN204">
            <v>-679574</v>
          </cell>
          <cell r="BO204">
            <v>-666028</v>
          </cell>
          <cell r="BP204">
            <v>-666028</v>
          </cell>
          <cell r="BQ204">
            <v>-666028</v>
          </cell>
          <cell r="BR204">
            <v>-653080</v>
          </cell>
          <cell r="BS204">
            <v>-653080</v>
          </cell>
          <cell r="BT204">
            <v>-653080</v>
          </cell>
          <cell r="BU204">
            <v>-639833</v>
          </cell>
          <cell r="BV204">
            <v>-639833</v>
          </cell>
          <cell r="BW204">
            <v>-639833</v>
          </cell>
          <cell r="BX204">
            <v>-889665</v>
          </cell>
          <cell r="BY204">
            <v>-889665</v>
          </cell>
          <cell r="BZ204">
            <v>-889665</v>
          </cell>
          <cell r="CA204">
            <v>-870905</v>
          </cell>
          <cell r="CB204">
            <v>-870905</v>
          </cell>
          <cell r="CC204">
            <v>-870905</v>
          </cell>
          <cell r="CD204">
            <v>-826136</v>
          </cell>
          <cell r="CE204">
            <v>-826136</v>
          </cell>
          <cell r="CF204">
            <v>-826136</v>
          </cell>
          <cell r="CG204">
            <v>-794371</v>
          </cell>
          <cell r="CH204">
            <v>-794371</v>
          </cell>
          <cell r="CI204">
            <v>-794371</v>
          </cell>
          <cell r="CJ204">
            <v>-1540996</v>
          </cell>
          <cell r="CK204">
            <v>-1540996</v>
          </cell>
          <cell r="CL204">
            <v>-1540996</v>
          </cell>
          <cell r="CM204">
            <v>-1503634</v>
          </cell>
          <cell r="CN204">
            <v>-1503634</v>
          </cell>
          <cell r="CO204">
            <v>-1503634</v>
          </cell>
          <cell r="CP204">
            <v>-1466272</v>
          </cell>
          <cell r="CQ204">
            <v>-1466272</v>
          </cell>
          <cell r="CR204">
            <v>-1466272</v>
          </cell>
          <cell r="CS204">
            <v>-1400188</v>
          </cell>
          <cell r="CT204">
            <v>-1400188</v>
          </cell>
          <cell r="CU204">
            <v>-1400188</v>
          </cell>
          <cell r="CV204">
            <v>549582</v>
          </cell>
          <cell r="CW204">
            <v>549582</v>
          </cell>
          <cell r="CX204">
            <v>549582</v>
          </cell>
          <cell r="CY204">
            <v>571471</v>
          </cell>
          <cell r="CZ204">
            <v>571471</v>
          </cell>
          <cell r="DA204">
            <v>571471</v>
          </cell>
          <cell r="DB204">
            <v>604816</v>
          </cell>
          <cell r="DC204">
            <v>604816</v>
          </cell>
          <cell r="DD204">
            <v>604816</v>
          </cell>
          <cell r="DE204">
            <v>632433</v>
          </cell>
          <cell r="DF204">
            <v>632433</v>
          </cell>
          <cell r="DG204">
            <v>632433</v>
          </cell>
          <cell r="DH204">
            <v>-336617</v>
          </cell>
        </row>
        <row r="205">
          <cell r="C205" t="str">
            <v>FAS106 FAS158 NC</v>
          </cell>
          <cell r="D205">
            <v>2064535</v>
          </cell>
          <cell r="E205">
            <v>2064535</v>
          </cell>
          <cell r="F205">
            <v>2064535</v>
          </cell>
          <cell r="G205">
            <v>2063978</v>
          </cell>
          <cell r="H205">
            <v>2063978</v>
          </cell>
          <cell r="I205">
            <v>2068231</v>
          </cell>
          <cell r="J205">
            <v>2063978</v>
          </cell>
          <cell r="K205">
            <v>2068231</v>
          </cell>
          <cell r="L205">
            <v>2068231</v>
          </cell>
          <cell r="M205">
            <v>2070561</v>
          </cell>
          <cell r="N205">
            <v>2070561</v>
          </cell>
          <cell r="O205">
            <v>2070561</v>
          </cell>
          <cell r="P205">
            <v>1854438</v>
          </cell>
          <cell r="Q205">
            <v>1854438</v>
          </cell>
          <cell r="R205">
            <v>1854438</v>
          </cell>
          <cell r="S205">
            <v>1862091</v>
          </cell>
          <cell r="T205">
            <v>1862091</v>
          </cell>
          <cell r="U205">
            <v>1862091</v>
          </cell>
          <cell r="V205">
            <v>1839131</v>
          </cell>
          <cell r="W205">
            <v>1839131</v>
          </cell>
          <cell r="X205">
            <v>1844512</v>
          </cell>
          <cell r="Y205">
            <v>1836859</v>
          </cell>
          <cell r="Z205">
            <v>1836859</v>
          </cell>
          <cell r="AA205">
            <v>2513106</v>
          </cell>
          <cell r="AB205">
            <v>1836859</v>
          </cell>
          <cell r="AC205">
            <v>2513106</v>
          </cell>
          <cell r="AD205">
            <v>2513106</v>
          </cell>
          <cell r="AE205">
            <v>2505453</v>
          </cell>
          <cell r="AF205">
            <v>2505453</v>
          </cell>
          <cell r="AG205">
            <v>2505453</v>
          </cell>
          <cell r="AH205">
            <v>2497800</v>
          </cell>
          <cell r="AI205">
            <v>2497800</v>
          </cell>
          <cell r="AJ205">
            <v>2497800</v>
          </cell>
          <cell r="AK205">
            <v>924977</v>
          </cell>
          <cell r="AL205">
            <v>924977</v>
          </cell>
          <cell r="AM205">
            <v>924977</v>
          </cell>
          <cell r="AN205">
            <v>2236870</v>
          </cell>
          <cell r="AO205">
            <v>2236870</v>
          </cell>
          <cell r="AP205">
            <v>2236870</v>
          </cell>
          <cell r="AQ205">
            <v>2229217</v>
          </cell>
          <cell r="AR205">
            <v>2229217</v>
          </cell>
          <cell r="AS205">
            <v>2229217</v>
          </cell>
          <cell r="AT205">
            <v>1524045</v>
          </cell>
          <cell r="AU205">
            <v>1524045</v>
          </cell>
          <cell r="AV205">
            <v>1524045</v>
          </cell>
          <cell r="AW205">
            <v>1516109</v>
          </cell>
          <cell r="AX205">
            <v>1516109</v>
          </cell>
          <cell r="AY205">
            <v>1516109</v>
          </cell>
          <cell r="AZ205">
            <v>123630</v>
          </cell>
          <cell r="BA205">
            <v>123630</v>
          </cell>
          <cell r="BB205">
            <v>123630</v>
          </cell>
          <cell r="BC205">
            <v>123497</v>
          </cell>
          <cell r="BD205">
            <v>123497</v>
          </cell>
          <cell r="BE205">
            <v>123497</v>
          </cell>
          <cell r="BF205">
            <v>126969</v>
          </cell>
          <cell r="BG205">
            <v>126969</v>
          </cell>
          <cell r="BH205">
            <v>126969</v>
          </cell>
          <cell r="BI205">
            <v>125299</v>
          </cell>
          <cell r="BJ205">
            <v>125299</v>
          </cell>
          <cell r="BK205">
            <v>125299</v>
          </cell>
          <cell r="BL205">
            <v>1193888</v>
          </cell>
          <cell r="BM205">
            <v>1193888</v>
          </cell>
          <cell r="BN205">
            <v>1193888</v>
          </cell>
          <cell r="BO205">
            <v>1185763</v>
          </cell>
          <cell r="BP205">
            <v>1185763</v>
          </cell>
          <cell r="BQ205">
            <v>1185763</v>
          </cell>
          <cell r="BR205">
            <v>1179237</v>
          </cell>
          <cell r="BS205">
            <v>1179237</v>
          </cell>
          <cell r="BT205">
            <v>1179237</v>
          </cell>
          <cell r="BU205">
            <v>1171912</v>
          </cell>
          <cell r="BV205">
            <v>1171912</v>
          </cell>
          <cell r="BW205">
            <v>1171912</v>
          </cell>
          <cell r="BX205">
            <v>-1302058</v>
          </cell>
          <cell r="BY205">
            <v>-1302058</v>
          </cell>
          <cell r="BZ205">
            <v>-1302058</v>
          </cell>
          <cell r="CA205">
            <v>-1293831</v>
          </cell>
          <cell r="CB205">
            <v>-1293831</v>
          </cell>
          <cell r="CC205">
            <v>-1293831</v>
          </cell>
          <cell r="CD205">
            <v>-1281538</v>
          </cell>
          <cell r="CE205">
            <v>-1281538</v>
          </cell>
          <cell r="CF205">
            <v>-1281538</v>
          </cell>
          <cell r="CG205">
            <v>-1271278</v>
          </cell>
          <cell r="CH205">
            <v>-1271278</v>
          </cell>
          <cell r="CI205">
            <v>-1271278</v>
          </cell>
          <cell r="CJ205">
            <v>-6585426</v>
          </cell>
          <cell r="CK205">
            <v>-6585426</v>
          </cell>
          <cell r="CL205">
            <v>-6585426</v>
          </cell>
          <cell r="CM205">
            <v>-6495855</v>
          </cell>
          <cell r="CN205">
            <v>-6495855</v>
          </cell>
          <cell r="CO205">
            <v>-6495855</v>
          </cell>
          <cell r="CP205">
            <v>-6406284</v>
          </cell>
          <cell r="CQ205">
            <v>-6406284</v>
          </cell>
          <cell r="CR205">
            <v>-6406284</v>
          </cell>
          <cell r="CS205">
            <v>-6244641</v>
          </cell>
          <cell r="CT205">
            <v>-6244641</v>
          </cell>
          <cell r="CU205">
            <v>-6244641</v>
          </cell>
          <cell r="CV205">
            <v>-5453261</v>
          </cell>
          <cell r="CW205">
            <v>-5453261</v>
          </cell>
          <cell r="CX205">
            <v>-5453261</v>
          </cell>
          <cell r="CY205">
            <v>-5370139</v>
          </cell>
          <cell r="CZ205">
            <v>-5370139</v>
          </cell>
          <cell r="DA205">
            <v>-5370139</v>
          </cell>
          <cell r="DB205">
            <v>-5317438</v>
          </cell>
          <cell r="DC205">
            <v>-5317438</v>
          </cell>
          <cell r="DD205">
            <v>-5317438</v>
          </cell>
          <cell r="DE205">
            <v>-5249527</v>
          </cell>
          <cell r="DF205">
            <v>-5249527</v>
          </cell>
          <cell r="DG205">
            <v>-5249527</v>
          </cell>
          <cell r="DH205">
            <v>1237339</v>
          </cell>
        </row>
        <row r="206">
          <cell r="C206" t="str">
            <v>FAS106 Retired NC</v>
          </cell>
          <cell r="D206">
            <v>-15170213.300000001</v>
          </cell>
          <cell r="E206">
            <v>-15183137.619999999</v>
          </cell>
          <cell r="F206">
            <v>-15194410.949999999</v>
          </cell>
          <cell r="G206">
            <v>-15241500.85</v>
          </cell>
          <cell r="H206">
            <v>-15323744.880000001</v>
          </cell>
          <cell r="I206">
            <v>-15391404.35</v>
          </cell>
          <cell r="J206">
            <v>-15355021.68</v>
          </cell>
          <cell r="K206">
            <v>-15464298.24</v>
          </cell>
          <cell r="L206">
            <v>-15500379.84</v>
          </cell>
          <cell r="M206">
            <v>-15526075.48</v>
          </cell>
          <cell r="N206">
            <v>-15528609.84</v>
          </cell>
          <cell r="O206">
            <v>-15558116.15</v>
          </cell>
          <cell r="P206">
            <v>-15497365.67</v>
          </cell>
          <cell r="Q206">
            <v>-15563018.060000001</v>
          </cell>
          <cell r="R206">
            <v>-15628782.699999999</v>
          </cell>
          <cell r="S206">
            <v>-15636661.18</v>
          </cell>
          <cell r="T206">
            <v>-15706868.1</v>
          </cell>
          <cell r="U206">
            <v>-15640297.67</v>
          </cell>
          <cell r="V206">
            <v>-15642145.800000001</v>
          </cell>
          <cell r="W206">
            <v>-15717409.75</v>
          </cell>
          <cell r="X206">
            <v>-15499508.380000001</v>
          </cell>
          <cell r="Y206">
            <v>-15489476.01</v>
          </cell>
          <cell r="Z206">
            <v>-15478728.460000001</v>
          </cell>
          <cell r="AA206">
            <v>-15447557.300000001</v>
          </cell>
          <cell r="AB206">
            <v>-15479003.9</v>
          </cell>
          <cell r="AC206">
            <v>-15498743.369999999</v>
          </cell>
          <cell r="AD206">
            <v>-15530307.41</v>
          </cell>
          <cell r="AE206">
            <v>-15517497.34</v>
          </cell>
          <cell r="AF206">
            <v>-15559797.23</v>
          </cell>
          <cell r="AG206">
            <v>-15559596.76</v>
          </cell>
          <cell r="AH206">
            <v>-15621272.140000001</v>
          </cell>
          <cell r="AI206">
            <v>-15567372.9</v>
          </cell>
          <cell r="AJ206">
            <v>-15543289.23</v>
          </cell>
          <cell r="AK206">
            <v>-15588779.77</v>
          </cell>
          <cell r="AL206">
            <v>-15546389.720000001</v>
          </cell>
          <cell r="AM206">
            <v>-15591349.189999999</v>
          </cell>
          <cell r="AN206">
            <v>-15627612.24</v>
          </cell>
          <cell r="AO206">
            <v>-15626889.26</v>
          </cell>
          <cell r="AP206">
            <v>-15637765.630000001</v>
          </cell>
          <cell r="AQ206">
            <v>-15567386.630000001</v>
          </cell>
          <cell r="AR206">
            <v>-15677793.029999999</v>
          </cell>
          <cell r="AS206">
            <v>-15728806.73</v>
          </cell>
          <cell r="AT206">
            <v>-15738643.09</v>
          </cell>
          <cell r="AU206">
            <v>-15704282.92</v>
          </cell>
          <cell r="AV206">
            <v>-15732410.92</v>
          </cell>
          <cell r="AW206">
            <v>-15743292.369999999</v>
          </cell>
          <cell r="AX206">
            <v>-15762731.439999999</v>
          </cell>
          <cell r="AY206">
            <v>-15733742.84</v>
          </cell>
          <cell r="AZ206">
            <v>-15742627.17</v>
          </cell>
          <cell r="BA206">
            <v>-15693895.439999999</v>
          </cell>
          <cell r="BB206">
            <v>-15655559.220000001</v>
          </cell>
          <cell r="BC206">
            <v>-15779550.91</v>
          </cell>
          <cell r="BD206">
            <v>-15723964.25</v>
          </cell>
          <cell r="BE206">
            <v>-15695077.34</v>
          </cell>
          <cell r="BF206">
            <v>-15643596.52</v>
          </cell>
          <cell r="BG206">
            <v>-15692099.58</v>
          </cell>
          <cell r="BH206">
            <v>-15602195.42</v>
          </cell>
          <cell r="BI206">
            <v>-15612731.550000001</v>
          </cell>
          <cell r="BJ206">
            <v>-15552058.17</v>
          </cell>
          <cell r="BK206">
            <v>-15516335.85</v>
          </cell>
          <cell r="BL206">
            <v>-15538048.33</v>
          </cell>
          <cell r="BM206">
            <v>-15543057.970000001</v>
          </cell>
          <cell r="BN206">
            <v>-15534551.91</v>
          </cell>
          <cell r="BO206">
            <v>-15545771.24</v>
          </cell>
          <cell r="BP206">
            <v>-15595514.189999999</v>
          </cell>
          <cell r="BQ206">
            <v>-15676214.17</v>
          </cell>
          <cell r="BR206">
            <v>-15703605.369999999</v>
          </cell>
          <cell r="BS206">
            <v>-15723629.92</v>
          </cell>
          <cell r="BT206">
            <v>-15696295.560000001</v>
          </cell>
          <cell r="BU206">
            <v>-15728448.380000001</v>
          </cell>
          <cell r="BV206">
            <v>-15741201.74</v>
          </cell>
          <cell r="BW206">
            <v>-15759136.34</v>
          </cell>
          <cell r="BX206">
            <v>-15705884.439999999</v>
          </cell>
          <cell r="BY206">
            <v>-15732190.939999999</v>
          </cell>
          <cell r="BZ206">
            <v>-15732391.199999999</v>
          </cell>
          <cell r="CA206">
            <v>-15634568.77</v>
          </cell>
          <cell r="CB206">
            <v>-15541239.460000001</v>
          </cell>
          <cell r="CC206">
            <v>-15549537.529999999</v>
          </cell>
          <cell r="CD206">
            <v>-15543316.01</v>
          </cell>
          <cell r="CE206">
            <v>-15536461.9</v>
          </cell>
          <cell r="CF206">
            <v>-15501143.4</v>
          </cell>
          <cell r="CG206">
            <v>-15554230.92</v>
          </cell>
          <cell r="CH206">
            <v>-15529433.17</v>
          </cell>
          <cell r="CI206">
            <v>-15452402.029999999</v>
          </cell>
          <cell r="CJ206">
            <v>-15429582.390000001</v>
          </cell>
          <cell r="CK206">
            <v>-15505354.699999999</v>
          </cell>
          <cell r="CL206">
            <v>-15541129.02</v>
          </cell>
          <cell r="CM206">
            <v>-15571237.41</v>
          </cell>
          <cell r="CN206">
            <v>-15644315</v>
          </cell>
          <cell r="CO206">
            <v>-15652513.550000001</v>
          </cell>
          <cell r="CP206">
            <v>-15658947.109999999</v>
          </cell>
          <cell r="CQ206">
            <v>-15696750.15</v>
          </cell>
          <cell r="CR206">
            <v>-15478682.779999999</v>
          </cell>
          <cell r="CS206">
            <v>-15519952.51</v>
          </cell>
          <cell r="CT206">
            <v>-15612010.1</v>
          </cell>
          <cell r="CU206">
            <v>-15554453.92</v>
          </cell>
          <cell r="CV206">
            <v>-15636487.9</v>
          </cell>
          <cell r="CW206">
            <v>-15744164.07</v>
          </cell>
          <cell r="CX206">
            <v>-15779198.359999999</v>
          </cell>
          <cell r="CY206">
            <v>-15724591.41</v>
          </cell>
          <cell r="CZ206">
            <v>-15775176.4</v>
          </cell>
          <cell r="DA206">
            <v>-15836315.039999999</v>
          </cell>
          <cell r="DB206">
            <v>-15719993.140000001</v>
          </cell>
          <cell r="DC206">
            <v>-15581009.93</v>
          </cell>
          <cell r="DD206">
            <v>-15588217.08</v>
          </cell>
          <cell r="DE206">
            <v>-15516743.710000001</v>
          </cell>
          <cell r="DF206">
            <v>-15473891.51</v>
          </cell>
          <cell r="DG206">
            <v>-15298994.640000001</v>
          </cell>
          <cell r="DH206">
            <v>-15380047.59</v>
          </cell>
        </row>
        <row r="207">
          <cell r="C207" t="str">
            <v>FAS112 LTDisab NC</v>
          </cell>
          <cell r="D207">
            <v>-1338121</v>
          </cell>
          <cell r="E207">
            <v>-1342047.96</v>
          </cell>
          <cell r="F207">
            <v>-1353779.74</v>
          </cell>
          <cell r="G207">
            <v>-1343537.84</v>
          </cell>
          <cell r="H207">
            <v>-1318969.94</v>
          </cell>
          <cell r="I207">
            <v>-1339111.1399999999</v>
          </cell>
          <cell r="J207">
            <v>-1334934.1499999999</v>
          </cell>
          <cell r="K207">
            <v>-1343816.81</v>
          </cell>
          <cell r="L207">
            <v>-1604647.16</v>
          </cell>
          <cell r="M207">
            <v>-1574592.06</v>
          </cell>
          <cell r="N207">
            <v>-1575247.96</v>
          </cell>
          <cell r="O207">
            <v>-1571355.25</v>
          </cell>
          <cell r="P207">
            <v>-1911757</v>
          </cell>
          <cell r="Q207">
            <v>-1912262.67</v>
          </cell>
          <cell r="R207">
            <v>-1752357.55</v>
          </cell>
          <cell r="S207">
            <v>-1761196.77</v>
          </cell>
          <cell r="T207">
            <v>-1784892.37</v>
          </cell>
          <cell r="U207">
            <v>-1775223.39</v>
          </cell>
          <cell r="V207">
            <v>-1795685.76</v>
          </cell>
          <cell r="W207">
            <v>-1887459.46</v>
          </cell>
          <cell r="X207">
            <v>-1900807.76</v>
          </cell>
          <cell r="Y207">
            <v>-2235756.48</v>
          </cell>
          <cell r="Z207">
            <v>-2236968.9500000002</v>
          </cell>
          <cell r="AA207">
            <v>-1967200</v>
          </cell>
          <cell r="AB207">
            <v>-2249140.7999999998</v>
          </cell>
          <cell r="AC207">
            <v>-2019059.19</v>
          </cell>
          <cell r="AD207">
            <v>-2021944.97</v>
          </cell>
          <cell r="AE207">
            <v>-2031316.75</v>
          </cell>
          <cell r="AF207">
            <v>-2047242.39</v>
          </cell>
          <cell r="AG207">
            <v>-2035948.63</v>
          </cell>
          <cell r="AH207">
            <v>-2027731.35</v>
          </cell>
          <cell r="AI207">
            <v>-2020046.32</v>
          </cell>
          <cell r="AJ207">
            <v>-1984507.35</v>
          </cell>
          <cell r="AK207">
            <v>-2483978.2000000002</v>
          </cell>
          <cell r="AL207">
            <v>-2521539.06</v>
          </cell>
          <cell r="AM207">
            <v>-2564991.33</v>
          </cell>
          <cell r="AN207">
            <v>-2443017</v>
          </cell>
          <cell r="AO207">
            <v>-2491644.75</v>
          </cell>
          <cell r="AP207">
            <v>-2526428.9300000002</v>
          </cell>
          <cell r="AQ207">
            <v>-2559312.2400000002</v>
          </cell>
          <cell r="AR207">
            <v>-2608376.88</v>
          </cell>
          <cell r="AS207">
            <v>-2651148.9900000002</v>
          </cell>
          <cell r="AT207">
            <v>-2611342.3199999998</v>
          </cell>
          <cell r="AU207">
            <v>-2648060.27</v>
          </cell>
          <cell r="AV207">
            <v>-2660358.5299999998</v>
          </cell>
          <cell r="AW207">
            <v>-3231275.47</v>
          </cell>
          <cell r="AX207">
            <v>-3323599.17</v>
          </cell>
          <cell r="AY207">
            <v>-3382118.23</v>
          </cell>
          <cell r="AZ207">
            <v>-3049962</v>
          </cell>
          <cell r="BA207">
            <v>-3034124.41</v>
          </cell>
          <cell r="BB207">
            <v>-3072298.79</v>
          </cell>
          <cell r="BC207">
            <v>-3115771.87</v>
          </cell>
          <cell r="BD207">
            <v>-3135950.88</v>
          </cell>
          <cell r="BE207">
            <v>-3124484.7</v>
          </cell>
          <cell r="BF207">
            <v>-3133368.11</v>
          </cell>
          <cell r="BG207">
            <v>-3178562.16</v>
          </cell>
          <cell r="BH207">
            <v>-3189388.08</v>
          </cell>
          <cell r="BI207">
            <v>-2832231.31</v>
          </cell>
          <cell r="BJ207">
            <v>-2840557.24</v>
          </cell>
          <cell r="BK207">
            <v>-2839091.82</v>
          </cell>
          <cell r="BL207">
            <v>-2098347.48</v>
          </cell>
          <cell r="BM207">
            <v>-2156196.23</v>
          </cell>
          <cell r="BN207">
            <v>-2295418.42</v>
          </cell>
          <cell r="BO207">
            <v>-2304061.61</v>
          </cell>
          <cell r="BP207">
            <v>-2366828.69</v>
          </cell>
          <cell r="BQ207">
            <v>-2388681.67</v>
          </cell>
          <cell r="BR207">
            <v>-2413436.4700000002</v>
          </cell>
          <cell r="BS207">
            <v>-2477931.9</v>
          </cell>
          <cell r="BT207">
            <v>-2526636.39</v>
          </cell>
          <cell r="BU207">
            <v>-2504244.7000000002</v>
          </cell>
          <cell r="BV207">
            <v>-2558136.44</v>
          </cell>
          <cell r="BW207">
            <v>-2612221.9500000002</v>
          </cell>
          <cell r="BX207">
            <v>-2679850</v>
          </cell>
          <cell r="BY207">
            <v>-2766667.74</v>
          </cell>
          <cell r="BZ207">
            <v>-2834115.54</v>
          </cell>
          <cell r="CA207">
            <v>-2882191.85</v>
          </cell>
          <cell r="CB207">
            <v>-2922972.75</v>
          </cell>
          <cell r="CC207">
            <v>-3017035.97</v>
          </cell>
          <cell r="CD207">
            <v>-2998797.04</v>
          </cell>
          <cell r="CE207">
            <v>-3074388.5</v>
          </cell>
          <cell r="CF207">
            <v>-3054840.8</v>
          </cell>
          <cell r="CG207">
            <v>-3102481.75</v>
          </cell>
          <cell r="CH207">
            <v>-3163325.57</v>
          </cell>
          <cell r="CI207">
            <v>-3277403.02</v>
          </cell>
          <cell r="CJ207">
            <v>-3694346</v>
          </cell>
          <cell r="CK207">
            <v>-3849097.19</v>
          </cell>
          <cell r="CL207">
            <v>-3911248.43</v>
          </cell>
          <cell r="CM207">
            <v>-4066973.23</v>
          </cell>
          <cell r="CN207">
            <v>-4113457.24</v>
          </cell>
          <cell r="CO207">
            <v>-4159027.64</v>
          </cell>
          <cell r="CP207">
            <v>-4222723.63</v>
          </cell>
          <cell r="CQ207">
            <v>-4456788</v>
          </cell>
          <cell r="CR207">
            <v>-4470146.67</v>
          </cell>
          <cell r="CS207">
            <v>-5155989.0999999996</v>
          </cell>
          <cell r="CT207">
            <v>-5327284.99</v>
          </cell>
          <cell r="CU207">
            <v>-5415986.3300000001</v>
          </cell>
          <cell r="CV207">
            <v>-3047263.04</v>
          </cell>
          <cell r="CW207">
            <v>-3136258.33</v>
          </cell>
          <cell r="CX207">
            <v>-3175516.49</v>
          </cell>
          <cell r="CY207">
            <v>-3423080.19</v>
          </cell>
          <cell r="CZ207">
            <v>-3479570.18</v>
          </cell>
          <cell r="DA207">
            <v>-3322606.19</v>
          </cell>
          <cell r="DB207">
            <v>-3341333.44</v>
          </cell>
          <cell r="DC207">
            <v>-3660010.39</v>
          </cell>
          <cell r="DD207">
            <v>-3121737.58</v>
          </cell>
          <cell r="DE207">
            <v>-3167313.21</v>
          </cell>
          <cell r="DF207">
            <v>-3208330.1</v>
          </cell>
          <cell r="DG207">
            <v>-3253337.88</v>
          </cell>
          <cell r="DH207">
            <v>-2784737.22</v>
          </cell>
        </row>
        <row r="208">
          <cell r="C208" t="str">
            <v>Oth Litigation Resrv</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-43288.91</v>
          </cell>
          <cell r="AB208">
            <v>0</v>
          </cell>
          <cell r="AC208">
            <v>-43288.91</v>
          </cell>
          <cell r="AD208">
            <v>-43288.91</v>
          </cell>
          <cell r="AE208">
            <v>-27900.82</v>
          </cell>
          <cell r="AF208">
            <v>-27900.82</v>
          </cell>
          <cell r="AG208">
            <v>-27900.82</v>
          </cell>
          <cell r="AH208">
            <v>-69825.119999999995</v>
          </cell>
          <cell r="AI208">
            <v>-69825.119999999995</v>
          </cell>
          <cell r="AJ208">
            <v>-69825.119999999995</v>
          </cell>
          <cell r="AK208">
            <v>-56043.47</v>
          </cell>
          <cell r="AL208">
            <v>-56043.47</v>
          </cell>
          <cell r="AM208">
            <v>-56043.47</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row>
        <row r="209">
          <cell r="C209" t="str">
            <v>Contractor Dmg Resrv</v>
          </cell>
          <cell r="D209">
            <v>-115338.93</v>
          </cell>
          <cell r="E209">
            <v>-115338.93</v>
          </cell>
          <cell r="F209">
            <v>-106141.35</v>
          </cell>
          <cell r="G209">
            <v>-89064.28</v>
          </cell>
          <cell r="H209">
            <v>-100380.07</v>
          </cell>
          <cell r="I209">
            <v>-104594.18</v>
          </cell>
          <cell r="J209">
            <v>-123276.81</v>
          </cell>
          <cell r="K209">
            <v>-130704.09</v>
          </cell>
          <cell r="L209">
            <v>-129411.8</v>
          </cell>
          <cell r="M209">
            <v>-129411.8</v>
          </cell>
          <cell r="N209">
            <v>-129411.8</v>
          </cell>
          <cell r="O209">
            <v>-129411.8</v>
          </cell>
          <cell r="P209">
            <v>-155253.72</v>
          </cell>
          <cell r="Q209">
            <v>-155253.72</v>
          </cell>
          <cell r="R209">
            <v>-193312.6</v>
          </cell>
          <cell r="S209">
            <v>-161338.35</v>
          </cell>
          <cell r="T209">
            <v>-161338.35</v>
          </cell>
          <cell r="U209">
            <v>-161338.35</v>
          </cell>
          <cell r="V209">
            <v>-152857.57999999999</v>
          </cell>
          <cell r="W209">
            <v>-152857.57999999999</v>
          </cell>
          <cell r="X209">
            <v>-152857.57999999999</v>
          </cell>
          <cell r="Y209">
            <v>-140258.88</v>
          </cell>
          <cell r="Z209">
            <v>-140258.88</v>
          </cell>
          <cell r="AA209">
            <v>-73349.679999999993</v>
          </cell>
          <cell r="AB209">
            <v>-140258.88</v>
          </cell>
          <cell r="AC209">
            <v>-73349.679999999993</v>
          </cell>
          <cell r="AD209">
            <v>-73349.679999999993</v>
          </cell>
          <cell r="AE209">
            <v>-81893.59</v>
          </cell>
          <cell r="AF209">
            <v>-81893.59</v>
          </cell>
          <cell r="AG209">
            <v>-81893.59</v>
          </cell>
          <cell r="AH209">
            <v>-81893.59</v>
          </cell>
          <cell r="AI209">
            <v>-81893.59</v>
          </cell>
          <cell r="AJ209">
            <v>-81893.59</v>
          </cell>
          <cell r="AK209">
            <v>-81893.59</v>
          </cell>
          <cell r="AL209">
            <v>-47680.06</v>
          </cell>
          <cell r="AM209">
            <v>-47680.06</v>
          </cell>
          <cell r="AN209">
            <v>-47680.06</v>
          </cell>
          <cell r="AO209">
            <v>-47680.06</v>
          </cell>
          <cell r="AP209">
            <v>-47680.06</v>
          </cell>
          <cell r="AQ209">
            <v>-47680.06</v>
          </cell>
          <cell r="AR209">
            <v>-47680.06</v>
          </cell>
          <cell r="AS209">
            <v>-47680.06</v>
          </cell>
          <cell r="AT209">
            <v>-47680.06</v>
          </cell>
          <cell r="AU209">
            <v>-47680.06</v>
          </cell>
          <cell r="AV209">
            <v>-47680.06</v>
          </cell>
          <cell r="AW209">
            <v>-47680.06</v>
          </cell>
          <cell r="AX209">
            <v>-47680.06</v>
          </cell>
          <cell r="AY209">
            <v>-47680.06</v>
          </cell>
          <cell r="AZ209">
            <v>-47680.06</v>
          </cell>
          <cell r="BA209">
            <v>-47680.06</v>
          </cell>
          <cell r="BB209">
            <v>-47680.06</v>
          </cell>
          <cell r="BC209">
            <v>-47680.06</v>
          </cell>
          <cell r="BD209">
            <v>-103220.62</v>
          </cell>
          <cell r="BE209">
            <v>-91699.86</v>
          </cell>
          <cell r="BF209">
            <v>-107404.3</v>
          </cell>
          <cell r="BG209">
            <v>-107404.3</v>
          </cell>
          <cell r="BH209">
            <v>-216452.99</v>
          </cell>
          <cell r="BI209">
            <v>-207913.4</v>
          </cell>
          <cell r="BJ209">
            <v>-205400.7</v>
          </cell>
          <cell r="BK209">
            <v>-131114.10999999999</v>
          </cell>
          <cell r="BL209">
            <v>-64341.54</v>
          </cell>
          <cell r="BM209">
            <v>-86007.99</v>
          </cell>
          <cell r="BN209">
            <v>-73442.399999999994</v>
          </cell>
          <cell r="BO209">
            <v>-98801.95</v>
          </cell>
          <cell r="BP209">
            <v>-76479.8</v>
          </cell>
          <cell r="BQ209">
            <v>-86168.3</v>
          </cell>
          <cell r="BR209">
            <v>-99853.82</v>
          </cell>
          <cell r="BS209">
            <v>-99853.82</v>
          </cell>
          <cell r="BT209">
            <v>-111834.4</v>
          </cell>
          <cell r="BU209">
            <v>-109235.92</v>
          </cell>
          <cell r="BV209">
            <v>-94434.37</v>
          </cell>
          <cell r="BW209">
            <v>-124983.74</v>
          </cell>
          <cell r="BX209">
            <v>-88500.800000000003</v>
          </cell>
          <cell r="BY209">
            <v>-111748.17</v>
          </cell>
          <cell r="BZ209">
            <v>-141017.21</v>
          </cell>
          <cell r="CA209">
            <v>-166204.94</v>
          </cell>
          <cell r="CB209">
            <v>-266476.05</v>
          </cell>
          <cell r="CC209">
            <v>-378020.19</v>
          </cell>
          <cell r="CD209">
            <v>-446300.59</v>
          </cell>
          <cell r="CE209">
            <v>-514943.01</v>
          </cell>
          <cell r="CF209">
            <v>-412036.57</v>
          </cell>
          <cell r="CG209">
            <v>-379469.83</v>
          </cell>
          <cell r="CH209">
            <v>-184210.75</v>
          </cell>
          <cell r="CI209">
            <v>-221360.07</v>
          </cell>
          <cell r="CJ209">
            <v>-152994.60999999999</v>
          </cell>
          <cell r="CK209">
            <v>-93391.51</v>
          </cell>
          <cell r="CL209">
            <v>-146412.39000000001</v>
          </cell>
          <cell r="CM209">
            <v>-114930.05</v>
          </cell>
          <cell r="CN209">
            <v>-173807.9</v>
          </cell>
          <cell r="CO209">
            <v>-136640.75</v>
          </cell>
          <cell r="CP209">
            <v>-165841.16</v>
          </cell>
          <cell r="CQ209">
            <v>-207208.9</v>
          </cell>
          <cell r="CR209">
            <v>-252220.57</v>
          </cell>
          <cell r="CS209">
            <v>-284539.48</v>
          </cell>
          <cell r="CT209">
            <v>-209201.05</v>
          </cell>
          <cell r="CU209">
            <v>-163198.39999999999</v>
          </cell>
          <cell r="CV209">
            <v>-124971.54</v>
          </cell>
          <cell r="CW209">
            <v>-139769.93</v>
          </cell>
          <cell r="CX209">
            <v>-169758.28</v>
          </cell>
          <cell r="CY209">
            <v>-239641.27</v>
          </cell>
          <cell r="CZ209">
            <v>-210070.87</v>
          </cell>
          <cell r="DA209">
            <v>-206511.54</v>
          </cell>
          <cell r="DB209">
            <v>-202469.29</v>
          </cell>
          <cell r="DC209">
            <v>-234614.18</v>
          </cell>
          <cell r="DD209">
            <v>-271758.46000000002</v>
          </cell>
          <cell r="DE209">
            <v>-306326.07</v>
          </cell>
          <cell r="DF209">
            <v>-244594.81</v>
          </cell>
          <cell r="DG209">
            <v>-229330.54</v>
          </cell>
          <cell r="DH209">
            <v>-201166.61</v>
          </cell>
        </row>
        <row r="210">
          <cell r="C210" t="str">
            <v>Notes Pay &lt;1yr Dur</v>
          </cell>
          <cell r="D210">
            <v>-15600000</v>
          </cell>
          <cell r="E210">
            <v>-16500000</v>
          </cell>
          <cell r="F210">
            <v>-12200000</v>
          </cell>
          <cell r="G210">
            <v>0</v>
          </cell>
          <cell r="H210">
            <v>0</v>
          </cell>
          <cell r="I210">
            <v>0</v>
          </cell>
          <cell r="J210">
            <v>0</v>
          </cell>
          <cell r="K210">
            <v>0</v>
          </cell>
          <cell r="L210">
            <v>0</v>
          </cell>
          <cell r="M210">
            <v>0</v>
          </cell>
          <cell r="N210">
            <v>0</v>
          </cell>
          <cell r="O210">
            <v>0</v>
          </cell>
          <cell r="P210">
            <v>-12900000</v>
          </cell>
          <cell r="Q210">
            <v>-8350000</v>
          </cell>
          <cell r="R210">
            <v>-5800000</v>
          </cell>
          <cell r="S210">
            <v>0</v>
          </cell>
          <cell r="T210">
            <v>0</v>
          </cell>
          <cell r="U210">
            <v>0</v>
          </cell>
          <cell r="V210">
            <v>0</v>
          </cell>
          <cell r="W210">
            <v>0</v>
          </cell>
          <cell r="X210">
            <v>0</v>
          </cell>
          <cell r="Y210">
            <v>0</v>
          </cell>
          <cell r="Z210">
            <v>0</v>
          </cell>
          <cell r="AA210">
            <v>0</v>
          </cell>
          <cell r="AB210">
            <v>0</v>
          </cell>
          <cell r="AC210">
            <v>0</v>
          </cell>
          <cell r="AD210">
            <v>-2300000</v>
          </cell>
          <cell r="AE210">
            <v>0</v>
          </cell>
          <cell r="AF210">
            <v>0</v>
          </cell>
          <cell r="AG210">
            <v>0</v>
          </cell>
          <cell r="AH210">
            <v>0</v>
          </cell>
          <cell r="AI210">
            <v>-1800000</v>
          </cell>
          <cell r="AJ210">
            <v>-3150000</v>
          </cell>
          <cell r="AK210">
            <v>-700000</v>
          </cell>
          <cell r="AL210">
            <v>0</v>
          </cell>
          <cell r="AM210">
            <v>-9750000</v>
          </cell>
          <cell r="AN210">
            <v>-30050000</v>
          </cell>
          <cell r="AO210">
            <v>-41225800</v>
          </cell>
          <cell r="AP210">
            <v>-40506800</v>
          </cell>
          <cell r="AQ210">
            <v>-41810800</v>
          </cell>
          <cell r="AR210">
            <v>-37148300</v>
          </cell>
          <cell r="AS210">
            <v>-30142100</v>
          </cell>
          <cell r="AT210">
            <v>-36126700</v>
          </cell>
          <cell r="AU210">
            <v>-33325400</v>
          </cell>
          <cell r="AV210">
            <v>-46233900</v>
          </cell>
          <cell r="AW210">
            <v>-48013800</v>
          </cell>
          <cell r="AX210">
            <v>-43884100</v>
          </cell>
          <cell r="AY210">
            <v>0</v>
          </cell>
          <cell r="AZ210">
            <v>-5000000</v>
          </cell>
          <cell r="BA210">
            <v>-5000000</v>
          </cell>
          <cell r="BB210">
            <v>-58203643.530000001</v>
          </cell>
          <cell r="BC210">
            <v>-53438296.759999998</v>
          </cell>
          <cell r="BD210">
            <v>-53973759.039999999</v>
          </cell>
          <cell r="BE210">
            <v>-86871593.75</v>
          </cell>
          <cell r="BF210">
            <v>-32647326.449999999</v>
          </cell>
          <cell r="BG210">
            <v>-32403666.739999998</v>
          </cell>
          <cell r="BH210">
            <v>-36635669.780000001</v>
          </cell>
          <cell r="BI210">
            <v>-44924345.579999998</v>
          </cell>
          <cell r="BJ210">
            <v>0</v>
          </cell>
          <cell r="BK210">
            <v>-35033765.530000001</v>
          </cell>
          <cell r="BL210">
            <v>-53651642.840000004</v>
          </cell>
          <cell r="BM210">
            <v>-70274100.799999997</v>
          </cell>
          <cell r="BN210">
            <v>-51017831.979999997</v>
          </cell>
          <cell r="BO210">
            <v>-43526147.640000001</v>
          </cell>
          <cell r="BP210">
            <v>-47854030.259999998</v>
          </cell>
          <cell r="BQ210">
            <v>-32302624.949999999</v>
          </cell>
          <cell r="BR210">
            <v>-43946027.359999999</v>
          </cell>
          <cell r="BS210">
            <v>-30168533.420000002</v>
          </cell>
          <cell r="BT210">
            <v>-48717414.859999999</v>
          </cell>
          <cell r="BU210">
            <v>-44435200.189999998</v>
          </cell>
          <cell r="BV210">
            <v>-47028283.420000002</v>
          </cell>
          <cell r="BW210">
            <v>-77517735.260000005</v>
          </cell>
          <cell r="BX210">
            <v>-91138979.060000002</v>
          </cell>
          <cell r="BY210">
            <v>-104160102.78</v>
          </cell>
          <cell r="BZ210">
            <v>-90190820</v>
          </cell>
          <cell r="CA210">
            <v>-91778966.859999999</v>
          </cell>
          <cell r="CB210">
            <v>-99145211.670000002</v>
          </cell>
          <cell r="CC210">
            <v>-104893603</v>
          </cell>
          <cell r="CD210">
            <v>-127591365</v>
          </cell>
          <cell r="CE210">
            <v>-145194423.19</v>
          </cell>
          <cell r="CF210">
            <v>-133998437.38</v>
          </cell>
          <cell r="CG210">
            <v>-144415739.19999999</v>
          </cell>
          <cell r="CH210">
            <v>-162258206.69999999</v>
          </cell>
          <cell r="CI210">
            <v>-179528111.31999999</v>
          </cell>
          <cell r="CJ210">
            <v>-214352134.94</v>
          </cell>
          <cell r="CK210">
            <v>-236511398.25999999</v>
          </cell>
          <cell r="CL210">
            <v>-221147725.66</v>
          </cell>
          <cell r="CM210">
            <v>-10000000</v>
          </cell>
          <cell r="CN210">
            <v>-17122357</v>
          </cell>
          <cell r="CO210">
            <v>-87741525.890000001</v>
          </cell>
          <cell r="CP210">
            <v>-99244299.810000002</v>
          </cell>
          <cell r="CQ210">
            <v>-111939289</v>
          </cell>
          <cell r="CR210">
            <v>-101333505</v>
          </cell>
          <cell r="CS210">
            <v>-115219002</v>
          </cell>
          <cell r="CT210">
            <v>-136200897</v>
          </cell>
          <cell r="CU210">
            <v>-144763516</v>
          </cell>
          <cell r="CV210">
            <v>-189522084</v>
          </cell>
          <cell r="CW210">
            <v>-210398800</v>
          </cell>
          <cell r="CX210">
            <v>-158200102.47999999</v>
          </cell>
          <cell r="CY210">
            <v>-166329492.08000001</v>
          </cell>
          <cell r="CZ210">
            <v>-174483977.78</v>
          </cell>
          <cell r="DA210">
            <v>-177717844.08000001</v>
          </cell>
          <cell r="DB210">
            <v>-198344903.18000001</v>
          </cell>
          <cell r="DC210">
            <v>-100000000</v>
          </cell>
          <cell r="DD210">
            <v>-100000000</v>
          </cell>
          <cell r="DE210">
            <v>-156383680.47999999</v>
          </cell>
          <cell r="DF210">
            <v>-159112874.97999999</v>
          </cell>
          <cell r="DG210">
            <v>-161937357.08000001</v>
          </cell>
          <cell r="DH210">
            <v>-166097150.09999999</v>
          </cell>
        </row>
        <row r="211">
          <cell r="C211" t="str">
            <v>AP Vouchers (RECON)</v>
          </cell>
          <cell r="D211">
            <v>-3184397.72</v>
          </cell>
          <cell r="E211">
            <v>-740849.1</v>
          </cell>
          <cell r="F211">
            <v>-1497949.02</v>
          </cell>
          <cell r="G211">
            <v>-1000926.22</v>
          </cell>
          <cell r="H211">
            <v>-1308814.8</v>
          </cell>
          <cell r="I211">
            <v>-1911021.26</v>
          </cell>
          <cell r="J211">
            <v>-836891.07</v>
          </cell>
          <cell r="K211">
            <v>-2044211.58</v>
          </cell>
          <cell r="L211">
            <v>-1220048.04</v>
          </cell>
          <cell r="M211">
            <v>-1432517</v>
          </cell>
          <cell r="N211">
            <v>-977075.08</v>
          </cell>
          <cell r="O211">
            <v>-409756.51</v>
          </cell>
          <cell r="P211">
            <v>-1722820.56</v>
          </cell>
          <cell r="Q211">
            <v>-1060830.73</v>
          </cell>
          <cell r="R211">
            <v>-574520.71</v>
          </cell>
          <cell r="S211">
            <v>-1276694.08</v>
          </cell>
          <cell r="T211">
            <v>-1229136.94</v>
          </cell>
          <cell r="U211">
            <v>-1416357.64</v>
          </cell>
          <cell r="V211">
            <v>-2849186.9</v>
          </cell>
          <cell r="W211">
            <v>-1486442.65</v>
          </cell>
          <cell r="X211">
            <v>-2084990.99</v>
          </cell>
          <cell r="Y211">
            <v>-1406290.84</v>
          </cell>
          <cell r="Z211">
            <v>-1179775.95</v>
          </cell>
          <cell r="AA211">
            <v>-1310185.71</v>
          </cell>
          <cell r="AB211">
            <v>-1501843.93</v>
          </cell>
          <cell r="AC211">
            <v>-892053.01</v>
          </cell>
          <cell r="AD211">
            <v>-2428530.02</v>
          </cell>
          <cell r="AE211">
            <v>-2441225.33</v>
          </cell>
          <cell r="AF211">
            <v>-1518030.5</v>
          </cell>
          <cell r="AG211">
            <v>-1390650.19</v>
          </cell>
          <cell r="AH211">
            <v>-2371173.4</v>
          </cell>
          <cell r="AI211">
            <v>-1175030.1399999999</v>
          </cell>
          <cell r="AJ211">
            <v>-1655078.38</v>
          </cell>
          <cell r="AK211">
            <v>-1798185.64</v>
          </cell>
          <cell r="AL211">
            <v>-2831476.58</v>
          </cell>
          <cell r="AM211">
            <v>-1426032.02</v>
          </cell>
          <cell r="AN211">
            <v>-2700314.35</v>
          </cell>
          <cell r="AO211">
            <v>-852478.8</v>
          </cell>
          <cell r="AP211">
            <v>-2009418.18</v>
          </cell>
          <cell r="AQ211">
            <v>-1533682.42</v>
          </cell>
          <cell r="AR211">
            <v>-1124234.94</v>
          </cell>
          <cell r="AS211">
            <v>-2487243.08</v>
          </cell>
          <cell r="AT211">
            <v>-1307447.8500000001</v>
          </cell>
          <cell r="AU211">
            <v>-1770144.56</v>
          </cell>
          <cell r="AV211">
            <v>-3092338</v>
          </cell>
          <cell r="AW211">
            <v>-1601378.58</v>
          </cell>
          <cell r="AX211">
            <v>-2118362.2999999998</v>
          </cell>
          <cell r="AY211">
            <v>-1562049.97</v>
          </cell>
          <cell r="AZ211">
            <v>-4842419.4000000004</v>
          </cell>
          <cell r="BA211">
            <v>-1598781.54</v>
          </cell>
          <cell r="BB211">
            <v>-1379947.66</v>
          </cell>
          <cell r="BC211">
            <v>-2407141.14</v>
          </cell>
          <cell r="BD211">
            <v>-2451014.39</v>
          </cell>
          <cell r="BE211">
            <v>-2938867.7</v>
          </cell>
          <cell r="BF211">
            <v>-2642953.38</v>
          </cell>
          <cell r="BG211">
            <v>-2871589.07</v>
          </cell>
          <cell r="BH211">
            <v>-3896340.93</v>
          </cell>
          <cell r="BI211">
            <v>-2962818.52</v>
          </cell>
          <cell r="BJ211">
            <v>-4566334.28</v>
          </cell>
          <cell r="BK211">
            <v>-2059321.92</v>
          </cell>
          <cell r="BL211">
            <v>-8451893.4199999999</v>
          </cell>
          <cell r="BM211">
            <v>-2527412.5299999998</v>
          </cell>
          <cell r="BN211">
            <v>-4887135.2300000004</v>
          </cell>
          <cell r="BO211">
            <v>-3633207.11</v>
          </cell>
          <cell r="BP211">
            <v>-4305534.9400000004</v>
          </cell>
          <cell r="BQ211">
            <v>-2697708.21</v>
          </cell>
          <cell r="BR211">
            <v>-2193080.15</v>
          </cell>
          <cell r="BS211">
            <v>-2392763.04</v>
          </cell>
          <cell r="BT211">
            <v>-3192070.45</v>
          </cell>
          <cell r="BU211">
            <v>-3924777.21</v>
          </cell>
          <cell r="BV211">
            <v>-5316389.84</v>
          </cell>
          <cell r="BW211">
            <v>-4128527.38</v>
          </cell>
          <cell r="BX211">
            <v>-9614501.4100000001</v>
          </cell>
          <cell r="BY211">
            <v>-2698142.37</v>
          </cell>
          <cell r="BZ211">
            <v>-5636327.5999999996</v>
          </cell>
          <cell r="CA211">
            <v>-5562861.2800000003</v>
          </cell>
          <cell r="CB211">
            <v>-8209555.5499999998</v>
          </cell>
          <cell r="CC211">
            <v>-4981080.79</v>
          </cell>
          <cell r="CD211">
            <v>-4009397.01</v>
          </cell>
          <cell r="CE211">
            <v>-3496423.66</v>
          </cell>
          <cell r="CF211">
            <v>-3408221.18</v>
          </cell>
          <cell r="CG211">
            <v>-4916209.79</v>
          </cell>
          <cell r="CH211">
            <v>-3570287.07</v>
          </cell>
          <cell r="CI211">
            <v>-3612930.79</v>
          </cell>
          <cell r="CJ211">
            <v>-3202415.83</v>
          </cell>
          <cell r="CK211">
            <v>-8159079.9500000002</v>
          </cell>
          <cell r="CL211">
            <v>-6720217.7800000003</v>
          </cell>
          <cell r="CM211">
            <v>-3944590.89</v>
          </cell>
          <cell r="CN211">
            <v>-7815532.8899999997</v>
          </cell>
          <cell r="CO211">
            <v>-6982893.3899999997</v>
          </cell>
          <cell r="CP211">
            <v>-6290207.3200000003</v>
          </cell>
          <cell r="CQ211">
            <v>-8313331.1299999999</v>
          </cell>
          <cell r="CR211">
            <v>-5473028.3099999996</v>
          </cell>
          <cell r="CS211">
            <v>-4163505.2</v>
          </cell>
          <cell r="CT211">
            <v>-6640519.7699999996</v>
          </cell>
          <cell r="CU211">
            <v>-5221517.03</v>
          </cell>
          <cell r="CV211">
            <v>-15323568.119999999</v>
          </cell>
          <cell r="CW211">
            <v>-7971984.5700000003</v>
          </cell>
          <cell r="CX211">
            <v>-10334435.16</v>
          </cell>
          <cell r="CY211">
            <v>-9155467.4100000001</v>
          </cell>
          <cell r="CZ211">
            <v>-8994049.4600000009</v>
          </cell>
          <cell r="DA211">
            <v>-8599966.3000000007</v>
          </cell>
          <cell r="DB211">
            <v>-8480826.0800000001</v>
          </cell>
          <cell r="DC211">
            <v>-9630762.4299999997</v>
          </cell>
          <cell r="DD211">
            <v>-15177466.17</v>
          </cell>
          <cell r="DE211">
            <v>-10281087.99</v>
          </cell>
          <cell r="DF211">
            <v>-9671525.9399999995</v>
          </cell>
          <cell r="DG211">
            <v>-9131398.3000000007</v>
          </cell>
          <cell r="DH211">
            <v>-8070802.5800000001</v>
          </cell>
        </row>
        <row r="212">
          <cell r="C212" t="str">
            <v>AP Manual Accruals</v>
          </cell>
          <cell r="D212">
            <v>-3453451.31</v>
          </cell>
          <cell r="E212">
            <v>-2819439.69</v>
          </cell>
          <cell r="F212">
            <v>-3930007.09</v>
          </cell>
          <cell r="G212">
            <v>-3814215.33</v>
          </cell>
          <cell r="H212">
            <v>-1528903.06</v>
          </cell>
          <cell r="I212">
            <v>-1260754.52</v>
          </cell>
          <cell r="J212">
            <v>-701052.49</v>
          </cell>
          <cell r="K212">
            <v>-741509.76</v>
          </cell>
          <cell r="L212">
            <v>-5054576.4800000004</v>
          </cell>
          <cell r="M212">
            <v>-2462144.14</v>
          </cell>
          <cell r="N212">
            <v>-116162.61</v>
          </cell>
          <cell r="O212">
            <v>-5356339.6900000004</v>
          </cell>
          <cell r="P212">
            <v>-4942991.16</v>
          </cell>
          <cell r="Q212">
            <v>-3987683.77</v>
          </cell>
          <cell r="R212">
            <v>-3632853.47</v>
          </cell>
          <cell r="S212">
            <v>-3814560.02</v>
          </cell>
          <cell r="T212">
            <v>-3180504.78</v>
          </cell>
          <cell r="U212">
            <v>-623474.99</v>
          </cell>
          <cell r="V212">
            <v>-694808.48</v>
          </cell>
          <cell r="W212">
            <v>-1861614.33</v>
          </cell>
          <cell r="X212">
            <v>-904402.84</v>
          </cell>
          <cell r="Y212">
            <v>-731212.58</v>
          </cell>
          <cell r="Z212">
            <v>-822378.33</v>
          </cell>
          <cell r="AA212">
            <v>-5208767.45</v>
          </cell>
          <cell r="AB212">
            <v>-4558947.1500000004</v>
          </cell>
          <cell r="AC212">
            <v>-4225830.3099999996</v>
          </cell>
          <cell r="AD212">
            <v>-3539957.93</v>
          </cell>
          <cell r="AE212">
            <v>-731090.65</v>
          </cell>
          <cell r="AF212">
            <v>-4455622.01</v>
          </cell>
          <cell r="AG212">
            <v>-3939960.35</v>
          </cell>
          <cell r="AH212">
            <v>-6884671.4500000002</v>
          </cell>
          <cell r="AI212">
            <v>-6692520.3099999996</v>
          </cell>
          <cell r="AJ212">
            <v>-3346956.1</v>
          </cell>
          <cell r="AK212">
            <v>-4555547.12</v>
          </cell>
          <cell r="AL212">
            <v>-3659633.33</v>
          </cell>
          <cell r="AM212">
            <v>-12688578.65</v>
          </cell>
          <cell r="AN212">
            <v>-6900685.4500000002</v>
          </cell>
          <cell r="AO212">
            <v>-4373303.43</v>
          </cell>
          <cell r="AP212">
            <v>-4702395.62</v>
          </cell>
          <cell r="AQ212">
            <v>-2943224.93</v>
          </cell>
          <cell r="AR212">
            <v>-3980366.25</v>
          </cell>
          <cell r="AS212">
            <v>-3848053.51</v>
          </cell>
          <cell r="AT212">
            <v>-3268809.6</v>
          </cell>
          <cell r="AU212">
            <v>-4378193.01</v>
          </cell>
          <cell r="AV212">
            <v>-5036232.18</v>
          </cell>
          <cell r="AW212">
            <v>-2881148.28</v>
          </cell>
          <cell r="AX212">
            <v>-3676158.34</v>
          </cell>
          <cell r="AY212">
            <v>-12570547.470000001</v>
          </cell>
          <cell r="AZ212">
            <v>-6951546.7199999997</v>
          </cell>
          <cell r="BA212">
            <v>-5762580.0300000003</v>
          </cell>
          <cell r="BB212">
            <v>-8678822.25</v>
          </cell>
          <cell r="BC212">
            <v>-4437380.91</v>
          </cell>
          <cell r="BD212">
            <v>-6430479.7400000002</v>
          </cell>
          <cell r="BE212">
            <v>-6113605.3300000001</v>
          </cell>
          <cell r="BF212">
            <v>-7736263.2999999998</v>
          </cell>
          <cell r="BG212">
            <v>-8365029.8300000001</v>
          </cell>
          <cell r="BH212">
            <v>-9268914.8200000003</v>
          </cell>
          <cell r="BI212">
            <v>-9460726.5</v>
          </cell>
          <cell r="BJ212">
            <v>-9455322.1500000004</v>
          </cell>
          <cell r="BK212">
            <v>-24748264.780000001</v>
          </cell>
          <cell r="BL212">
            <v>-8820386.4900000002</v>
          </cell>
          <cell r="BM212">
            <v>-13036248.85</v>
          </cell>
          <cell r="BN212">
            <v>-10020984.43</v>
          </cell>
          <cell r="BO212">
            <v>-15229265.93</v>
          </cell>
          <cell r="BP212">
            <v>-11202396.869999999</v>
          </cell>
          <cell r="BQ212">
            <v>-11554410.75</v>
          </cell>
          <cell r="BR212">
            <v>-13234833.880000001</v>
          </cell>
          <cell r="BS212">
            <v>-11519252.289999999</v>
          </cell>
          <cell r="BT212">
            <v>-14608673.09</v>
          </cell>
          <cell r="BU212">
            <v>-11099185.119999999</v>
          </cell>
          <cell r="BV212">
            <v>-10661296.039999999</v>
          </cell>
          <cell r="BW212">
            <v>-16929852.219999999</v>
          </cell>
          <cell r="BX212">
            <v>-18218410.109999999</v>
          </cell>
          <cell r="BY212">
            <v>-23950973.390000001</v>
          </cell>
          <cell r="BZ212">
            <v>-23025163.100000001</v>
          </cell>
          <cell r="CA212">
            <v>-17891765.07</v>
          </cell>
          <cell r="CB212">
            <v>-24084554.809999999</v>
          </cell>
          <cell r="CC212">
            <v>-22047623.010000002</v>
          </cell>
          <cell r="CD212">
            <v>-13307261.869999999</v>
          </cell>
          <cell r="CE212">
            <v>-15536345.49</v>
          </cell>
          <cell r="CF212">
            <v>-20910382.91</v>
          </cell>
          <cell r="CG212">
            <v>-20130593.370000001</v>
          </cell>
          <cell r="CH212">
            <v>-26406269.690000001</v>
          </cell>
          <cell r="CI212">
            <v>-31320550.359999999</v>
          </cell>
          <cell r="CJ212">
            <v>-22360196.82</v>
          </cell>
          <cell r="CK212">
            <v>-22856131.789999999</v>
          </cell>
          <cell r="CL212">
            <v>-25626003.949999999</v>
          </cell>
          <cell r="CM212">
            <v>-24058776.890000001</v>
          </cell>
          <cell r="CN212">
            <v>-18948183.300000001</v>
          </cell>
          <cell r="CO212">
            <v>-13855295.08</v>
          </cell>
          <cell r="CP212">
            <v>-14799978.59</v>
          </cell>
          <cell r="CQ212">
            <v>-18260978.640000001</v>
          </cell>
          <cell r="CR212">
            <v>-17736604.18</v>
          </cell>
          <cell r="CS212">
            <v>-17900411.149999999</v>
          </cell>
          <cell r="CT212">
            <v>-22772647.559999999</v>
          </cell>
          <cell r="CU212">
            <v>-35115082.060000002</v>
          </cell>
          <cell r="CV212">
            <v>-13929648.75</v>
          </cell>
          <cell r="CW212">
            <v>-19621005.41</v>
          </cell>
          <cell r="CX212">
            <v>-14984731.27</v>
          </cell>
          <cell r="CY212">
            <v>-14427055.970000001</v>
          </cell>
          <cell r="CZ212">
            <v>-13714855.02</v>
          </cell>
          <cell r="DA212">
            <v>-17711385.699999999</v>
          </cell>
          <cell r="DB212">
            <v>-16474450.529999999</v>
          </cell>
          <cell r="DC212">
            <v>-13510604.060000001</v>
          </cell>
          <cell r="DD212">
            <v>-10398224.77</v>
          </cell>
          <cell r="DE212">
            <v>-10449315.84</v>
          </cell>
          <cell r="DF212">
            <v>-8765228.9900000002</v>
          </cell>
          <cell r="DG212">
            <v>-27558984.329999998</v>
          </cell>
          <cell r="DH212">
            <v>-22452424.489999998</v>
          </cell>
        </row>
        <row r="213">
          <cell r="C213" t="str">
            <v>AP GR/IR Clearing</v>
          </cell>
          <cell r="D213">
            <v>-3301131.96</v>
          </cell>
          <cell r="E213">
            <v>-1917989.26</v>
          </cell>
          <cell r="F213">
            <v>-2141320.5699999998</v>
          </cell>
          <cell r="G213">
            <v>-2791632.59</v>
          </cell>
          <cell r="H213">
            <v>-3452582</v>
          </cell>
          <cell r="I213">
            <v>-2436107.31</v>
          </cell>
          <cell r="J213">
            <v>-1657415.22</v>
          </cell>
          <cell r="K213">
            <v>-2215640.83</v>
          </cell>
          <cell r="L213">
            <v>-2187923.41</v>
          </cell>
          <cell r="M213">
            <v>-2632156.04</v>
          </cell>
          <cell r="N213">
            <v>-2527220.7400000002</v>
          </cell>
          <cell r="O213">
            <v>-3177372.86</v>
          </cell>
          <cell r="P213">
            <v>-1693450.82</v>
          </cell>
          <cell r="Q213">
            <v>-1917790.1</v>
          </cell>
          <cell r="R213">
            <v>-1555172.27</v>
          </cell>
          <cell r="S213">
            <v>-1719355.23</v>
          </cell>
          <cell r="T213">
            <v>-2092143.57</v>
          </cell>
          <cell r="U213">
            <v>-2354632.25</v>
          </cell>
          <cell r="V213">
            <v>-1293879.01</v>
          </cell>
          <cell r="W213">
            <v>-2550152.09</v>
          </cell>
          <cell r="X213">
            <v>-2356300.39</v>
          </cell>
          <cell r="Y213">
            <v>-2266581.38</v>
          </cell>
          <cell r="Z213">
            <v>-3132244.53</v>
          </cell>
          <cell r="AA213">
            <v>-3165327.1</v>
          </cell>
          <cell r="AB213">
            <v>-2554939.9900000002</v>
          </cell>
          <cell r="AC213">
            <v>-2362960</v>
          </cell>
          <cell r="AD213">
            <v>-2043161.22</v>
          </cell>
          <cell r="AE213">
            <v>-2099831.06</v>
          </cell>
          <cell r="AF213">
            <v>-3371604.43</v>
          </cell>
          <cell r="AG213">
            <v>-2299297.27</v>
          </cell>
          <cell r="AH213">
            <v>-4200123.4400000004</v>
          </cell>
          <cell r="AI213">
            <v>-3575150.1</v>
          </cell>
          <cell r="AJ213">
            <v>-3629903.98</v>
          </cell>
          <cell r="AK213">
            <v>-2633979.02</v>
          </cell>
          <cell r="AL213">
            <v>-4148161.56</v>
          </cell>
          <cell r="AM213">
            <v>-4344244.95</v>
          </cell>
          <cell r="AN213">
            <v>-3930108.29</v>
          </cell>
          <cell r="AO213">
            <v>-2377833.86</v>
          </cell>
          <cell r="AP213">
            <v>-2340302.2999999998</v>
          </cell>
          <cell r="AQ213">
            <v>-2691321.37</v>
          </cell>
          <cell r="AR213">
            <v>-2386332.52</v>
          </cell>
          <cell r="AS213">
            <v>-2175827.21</v>
          </cell>
          <cell r="AT213">
            <v>-3129363.6</v>
          </cell>
          <cell r="AU213">
            <v>-3378353.67</v>
          </cell>
          <cell r="AV213">
            <v>-3580233.82</v>
          </cell>
          <cell r="AW213">
            <v>-3128538.41</v>
          </cell>
          <cell r="AX213">
            <v>-3213928.87</v>
          </cell>
          <cell r="AY213">
            <v>-3527473.85</v>
          </cell>
          <cell r="AZ213">
            <v>-3633050.89</v>
          </cell>
          <cell r="BA213">
            <v>-5387990.9900000002</v>
          </cell>
          <cell r="BB213">
            <v>-3793515.92</v>
          </cell>
          <cell r="BC213">
            <v>-5276612.16</v>
          </cell>
          <cell r="BD213">
            <v>-3844373.01</v>
          </cell>
          <cell r="BE213">
            <v>-6678611.5</v>
          </cell>
          <cell r="BF213">
            <v>-3849373.86</v>
          </cell>
          <cell r="BG213">
            <v>-4802570.75</v>
          </cell>
          <cell r="BH213">
            <v>-4058366.83</v>
          </cell>
          <cell r="BI213">
            <v>-6513091.0199999996</v>
          </cell>
          <cell r="BJ213">
            <v>-4906871.1100000003</v>
          </cell>
          <cell r="BK213">
            <v>-5104624.6900000004</v>
          </cell>
          <cell r="BL213">
            <v>-4417950.99</v>
          </cell>
          <cell r="BM213">
            <v>-4871466.04</v>
          </cell>
          <cell r="BN213">
            <v>-4513984.25</v>
          </cell>
          <cell r="BO213">
            <v>-4393445.84</v>
          </cell>
          <cell r="BP213">
            <v>-4761087.9800000004</v>
          </cell>
          <cell r="BQ213">
            <v>-8518311.2200000007</v>
          </cell>
          <cell r="BR213">
            <v>-7280614.3799999999</v>
          </cell>
          <cell r="BS213">
            <v>-6055981.21</v>
          </cell>
          <cell r="BT213">
            <v>-5639959.3099999996</v>
          </cell>
          <cell r="BU213">
            <v>-4079611.67</v>
          </cell>
          <cell r="BV213">
            <v>-6914829.0999999996</v>
          </cell>
          <cell r="BW213">
            <v>-7139324.3099999996</v>
          </cell>
          <cell r="BX213">
            <v>-9643715.8499999996</v>
          </cell>
          <cell r="BY213">
            <v>-11945900.07</v>
          </cell>
          <cell r="BZ213">
            <v>-8902251.6600000001</v>
          </cell>
          <cell r="CA213">
            <v>-12733679.6</v>
          </cell>
          <cell r="CB213">
            <v>-11008884.43</v>
          </cell>
          <cell r="CC213">
            <v>-12806753.779999999</v>
          </cell>
          <cell r="CD213">
            <v>-14488846.130000001</v>
          </cell>
          <cell r="CE213">
            <v>-14620200.23</v>
          </cell>
          <cell r="CF213">
            <v>-15897090.24</v>
          </cell>
          <cell r="CG213">
            <v>-19564867.399999999</v>
          </cell>
          <cell r="CH213">
            <v>-20799338.16</v>
          </cell>
          <cell r="CI213">
            <v>-24740284.739999998</v>
          </cell>
          <cell r="CJ213">
            <v>-31219966.530000001</v>
          </cell>
          <cell r="CK213">
            <v>-18815989.390000001</v>
          </cell>
          <cell r="CL213">
            <v>-16215563.1</v>
          </cell>
          <cell r="CM213">
            <v>-21933750.079999998</v>
          </cell>
          <cell r="CN213">
            <v>-18048300.399999999</v>
          </cell>
          <cell r="CO213">
            <v>-14153545.09</v>
          </cell>
          <cell r="CP213">
            <v>-13290470.810000001</v>
          </cell>
          <cell r="CQ213">
            <v>-14121136.98</v>
          </cell>
          <cell r="CR213">
            <v>-21672715.5</v>
          </cell>
          <cell r="CS213">
            <v>-25240111.579999998</v>
          </cell>
          <cell r="CT213">
            <v>-20606567.23</v>
          </cell>
          <cell r="CU213">
            <v>-17109285.359999999</v>
          </cell>
          <cell r="CV213">
            <v>-17682048.309999999</v>
          </cell>
          <cell r="CW213">
            <v>-12299793.060000001</v>
          </cell>
          <cell r="CX213">
            <v>-11404201.26</v>
          </cell>
          <cell r="CY213">
            <v>-8693325.0399999991</v>
          </cell>
          <cell r="CZ213">
            <v>-7679241.0800000001</v>
          </cell>
          <cell r="DA213">
            <v>-7758918.9400000004</v>
          </cell>
          <cell r="DB213">
            <v>-8977280.4000000004</v>
          </cell>
          <cell r="DC213">
            <v>-8580768.8699999992</v>
          </cell>
          <cell r="DD213">
            <v>-9155647.4399999995</v>
          </cell>
          <cell r="DE213">
            <v>-7410483.0099999998</v>
          </cell>
          <cell r="DF213">
            <v>-11608029.4</v>
          </cell>
          <cell r="DG213">
            <v>-9538416.3900000006</v>
          </cell>
          <cell r="DH213">
            <v>-8835893.6999999993</v>
          </cell>
        </row>
        <row r="214">
          <cell r="C214" t="str">
            <v>AP P-Card Clearing</v>
          </cell>
          <cell r="D214">
            <v>-116243.16</v>
          </cell>
          <cell r="E214">
            <v>0</v>
          </cell>
          <cell r="F214">
            <v>0</v>
          </cell>
          <cell r="G214">
            <v>0</v>
          </cell>
          <cell r="H214">
            <v>0</v>
          </cell>
          <cell r="I214">
            <v>0</v>
          </cell>
          <cell r="J214">
            <v>0</v>
          </cell>
          <cell r="K214">
            <v>15</v>
          </cell>
          <cell r="L214">
            <v>15</v>
          </cell>
          <cell r="M214">
            <v>15</v>
          </cell>
          <cell r="N214">
            <v>-411.93</v>
          </cell>
          <cell r="O214">
            <v>15</v>
          </cell>
          <cell r="P214">
            <v>-74229.91</v>
          </cell>
          <cell r="Q214">
            <v>220.38</v>
          </cell>
          <cell r="R214">
            <v>0</v>
          </cell>
          <cell r="S214">
            <v>0</v>
          </cell>
          <cell r="T214">
            <v>1.02</v>
          </cell>
          <cell r="U214">
            <v>1.02</v>
          </cell>
          <cell r="V214">
            <v>1.02</v>
          </cell>
          <cell r="W214">
            <v>1.02</v>
          </cell>
          <cell r="X214">
            <v>1.02</v>
          </cell>
          <cell r="Y214">
            <v>1.02</v>
          </cell>
          <cell r="Z214">
            <v>898.99</v>
          </cell>
          <cell r="AA214">
            <v>-108254.28</v>
          </cell>
          <cell r="AB214">
            <v>898.99</v>
          </cell>
          <cell r="AC214">
            <v>898.99</v>
          </cell>
          <cell r="AD214">
            <v>898.99</v>
          </cell>
          <cell r="AE214">
            <v>898.99</v>
          </cell>
          <cell r="AF214">
            <v>898.99</v>
          </cell>
          <cell r="AG214">
            <v>898.99</v>
          </cell>
          <cell r="AH214">
            <v>898.99</v>
          </cell>
          <cell r="AI214">
            <v>898.99</v>
          </cell>
          <cell r="AJ214">
            <v>898.99</v>
          </cell>
          <cell r="AK214">
            <v>886.89</v>
          </cell>
          <cell r="AL214">
            <v>874.63</v>
          </cell>
          <cell r="AM214">
            <v>874.63</v>
          </cell>
          <cell r="AN214">
            <v>-147343.85999999999</v>
          </cell>
          <cell r="AO214">
            <v>874.63</v>
          </cell>
          <cell r="AP214">
            <v>874.63</v>
          </cell>
          <cell r="AQ214">
            <v>874.63</v>
          </cell>
          <cell r="AR214">
            <v>2250.3000000000002</v>
          </cell>
          <cell r="AS214">
            <v>2250.3000000000002</v>
          </cell>
          <cell r="AT214">
            <v>2250.3000000000002</v>
          </cell>
          <cell r="AU214">
            <v>2250.3000000000002</v>
          </cell>
          <cell r="AV214">
            <v>2250.3000000000002</v>
          </cell>
          <cell r="AW214">
            <v>2250.3000000000002</v>
          </cell>
          <cell r="AX214">
            <v>2250.3000000000002</v>
          </cell>
          <cell r="AY214">
            <v>2250.3000000000002</v>
          </cell>
          <cell r="AZ214">
            <v>-142692.73000000001</v>
          </cell>
          <cell r="BA214">
            <v>2250.3000000000002</v>
          </cell>
          <cell r="BB214">
            <v>2250.3000000000002</v>
          </cell>
          <cell r="BC214">
            <v>2250.3000000000002</v>
          </cell>
          <cell r="BD214">
            <v>2250.3000000000002</v>
          </cell>
          <cell r="BE214">
            <v>2250.3000000000002</v>
          </cell>
          <cell r="BF214">
            <v>2250.3000000000002</v>
          </cell>
          <cell r="BG214">
            <v>2250.3000000000002</v>
          </cell>
          <cell r="BH214">
            <v>2250.3000000000002</v>
          </cell>
          <cell r="BI214">
            <v>2204.84</v>
          </cell>
          <cell r="BJ214">
            <v>2253.44</v>
          </cell>
          <cell r="BK214">
            <v>2256.58</v>
          </cell>
          <cell r="BL214">
            <v>-155958.54999999999</v>
          </cell>
          <cell r="BM214">
            <v>6.28</v>
          </cell>
          <cell r="BN214">
            <v>-4.6399999999999997</v>
          </cell>
          <cell r="BO214">
            <v>0</v>
          </cell>
          <cell r="BP214">
            <v>0</v>
          </cell>
          <cell r="BQ214">
            <v>-10.7</v>
          </cell>
          <cell r="BR214">
            <v>-10.7</v>
          </cell>
          <cell r="BS214">
            <v>0</v>
          </cell>
          <cell r="BT214">
            <v>-48.05</v>
          </cell>
          <cell r="BU214">
            <v>0</v>
          </cell>
          <cell r="BV214">
            <v>0</v>
          </cell>
          <cell r="BW214">
            <v>0</v>
          </cell>
          <cell r="BX214">
            <v>-176744.79</v>
          </cell>
          <cell r="BY214">
            <v>0</v>
          </cell>
          <cell r="BZ214">
            <v>0</v>
          </cell>
          <cell r="CA214">
            <v>0</v>
          </cell>
          <cell r="CB214">
            <v>-37.31</v>
          </cell>
          <cell r="CC214">
            <v>-36.78</v>
          </cell>
          <cell r="CD214">
            <v>-36.78</v>
          </cell>
          <cell r="CE214">
            <v>-8968.7199999999993</v>
          </cell>
          <cell r="CF214">
            <v>-80875.839999999997</v>
          </cell>
          <cell r="CG214">
            <v>-53706.16</v>
          </cell>
          <cell r="CH214">
            <v>-41311.769999999997</v>
          </cell>
          <cell r="CI214">
            <v>-48944.639999999999</v>
          </cell>
          <cell r="CJ214">
            <v>-101934.11</v>
          </cell>
          <cell r="CK214">
            <v>-31816.77</v>
          </cell>
          <cell r="CL214">
            <v>-19959.759999999998</v>
          </cell>
          <cell r="CM214">
            <v>-29094.91</v>
          </cell>
          <cell r="CN214">
            <v>-38452.58</v>
          </cell>
          <cell r="CO214">
            <v>-42801.95</v>
          </cell>
          <cell r="CP214">
            <v>-38260.32</v>
          </cell>
          <cell r="CQ214">
            <v>-29891.48</v>
          </cell>
          <cell r="CR214">
            <v>-57539.71</v>
          </cell>
          <cell r="CS214">
            <v>-8747.2999999999993</v>
          </cell>
          <cell r="CT214">
            <v>-5525.62</v>
          </cell>
          <cell r="CU214">
            <v>37628.29</v>
          </cell>
          <cell r="CV214">
            <v>-105578.99</v>
          </cell>
          <cell r="CW214">
            <v>-36836.800000000003</v>
          </cell>
          <cell r="CX214">
            <v>-35070.04</v>
          </cell>
          <cell r="CY214">
            <v>-272430.73</v>
          </cell>
          <cell r="CZ214">
            <v>-14383.26</v>
          </cell>
          <cell r="DA214">
            <v>11092.13</v>
          </cell>
          <cell r="DB214">
            <v>79999.53</v>
          </cell>
          <cell r="DC214">
            <v>174492.23</v>
          </cell>
          <cell r="DD214">
            <v>20875.07</v>
          </cell>
          <cell r="DE214">
            <v>59672.22</v>
          </cell>
          <cell r="DF214">
            <v>76663.89</v>
          </cell>
          <cell r="DG214">
            <v>82761.58</v>
          </cell>
          <cell r="DH214">
            <v>20394.439999999999</v>
          </cell>
        </row>
        <row r="215">
          <cell r="C215" t="str">
            <v>AP Employee Expenses</v>
          </cell>
          <cell r="D215">
            <v>-822.41</v>
          </cell>
          <cell r="E215">
            <v>0</v>
          </cell>
          <cell r="F215">
            <v>-6169.87</v>
          </cell>
          <cell r="G215">
            <v>-116.48</v>
          </cell>
          <cell r="H215">
            <v>-1187.2</v>
          </cell>
          <cell r="I215">
            <v>-380.64</v>
          </cell>
          <cell r="J215">
            <v>-106.71</v>
          </cell>
          <cell r="K215">
            <v>-117.4</v>
          </cell>
          <cell r="L215">
            <v>0</v>
          </cell>
          <cell r="M215">
            <v>-3364.25</v>
          </cell>
          <cell r="N215">
            <v>-30</v>
          </cell>
          <cell r="O215">
            <v>-30</v>
          </cell>
          <cell r="P215">
            <v>-167.24</v>
          </cell>
          <cell r="Q215">
            <v>0</v>
          </cell>
          <cell r="R215">
            <v>-157.75</v>
          </cell>
          <cell r="S215">
            <v>-30.1</v>
          </cell>
          <cell r="T215">
            <v>-1102.93</v>
          </cell>
          <cell r="U215">
            <v>-3146.69</v>
          </cell>
          <cell r="V215">
            <v>-4736.12</v>
          </cell>
          <cell r="W215">
            <v>0</v>
          </cell>
          <cell r="X215">
            <v>0</v>
          </cell>
          <cell r="Y215">
            <v>-5776.65</v>
          </cell>
          <cell r="Z215">
            <v>-3430.93</v>
          </cell>
          <cell r="AA215">
            <v>0</v>
          </cell>
          <cell r="AB215">
            <v>-718.29</v>
          </cell>
          <cell r="AC215">
            <v>-1209.8</v>
          </cell>
          <cell r="AD215">
            <v>0</v>
          </cell>
          <cell r="AE215">
            <v>0</v>
          </cell>
          <cell r="AF215">
            <v>-58.18</v>
          </cell>
          <cell r="AG215">
            <v>0</v>
          </cell>
          <cell r="AH215">
            <v>-23565.85</v>
          </cell>
          <cell r="AI215">
            <v>-7706.12</v>
          </cell>
          <cell r="AJ215">
            <v>-17287.689999999999</v>
          </cell>
          <cell r="AK215">
            <v>-6755.63</v>
          </cell>
          <cell r="AL215">
            <v>-9920.91</v>
          </cell>
          <cell r="AM215">
            <v>-3918.07</v>
          </cell>
          <cell r="AN215">
            <v>-7251.83</v>
          </cell>
          <cell r="AO215">
            <v>-9342.25</v>
          </cell>
          <cell r="AP215">
            <v>-6333.74</v>
          </cell>
          <cell r="AQ215">
            <v>-7678.57</v>
          </cell>
          <cell r="AR215">
            <v>-9836.8700000000008</v>
          </cell>
          <cell r="AS215">
            <v>-7325.15</v>
          </cell>
          <cell r="AT215">
            <v>-3307.45</v>
          </cell>
          <cell r="AU215">
            <v>-12706.1</v>
          </cell>
          <cell r="AV215">
            <v>-8866.59</v>
          </cell>
          <cell r="AW215">
            <v>-1529.55</v>
          </cell>
          <cell r="AX215">
            <v>-3263.44</v>
          </cell>
          <cell r="AY215">
            <v>-3636.75</v>
          </cell>
          <cell r="AZ215">
            <v>-1200.51</v>
          </cell>
          <cell r="BA215">
            <v>-14266.91</v>
          </cell>
          <cell r="BB215">
            <v>-12260.46</v>
          </cell>
          <cell r="BC215">
            <v>-5727.5</v>
          </cell>
          <cell r="BD215">
            <v>-3476.55</v>
          </cell>
          <cell r="BE215">
            <v>-5870.9</v>
          </cell>
          <cell r="BF215">
            <v>-15603.25</v>
          </cell>
          <cell r="BG215">
            <v>-6749.29</v>
          </cell>
          <cell r="BH215">
            <v>-8857.2000000000007</v>
          </cell>
          <cell r="BI215">
            <v>-10741.27</v>
          </cell>
          <cell r="BJ215">
            <v>-6020.77</v>
          </cell>
          <cell r="BK215">
            <v>-12019.45</v>
          </cell>
          <cell r="BL215">
            <v>-5773.25</v>
          </cell>
          <cell r="BM215">
            <v>-11040.5</v>
          </cell>
          <cell r="BN215">
            <v>-4721.29</v>
          </cell>
          <cell r="BO215">
            <v>-6686.13</v>
          </cell>
          <cell r="BP215">
            <v>-3886.5</v>
          </cell>
          <cell r="BQ215">
            <v>-7282.56</v>
          </cell>
          <cell r="BR215">
            <v>-9613.7000000000007</v>
          </cell>
          <cell r="BS215">
            <v>-11178.19</v>
          </cell>
          <cell r="BT215">
            <v>-35713.449999999997</v>
          </cell>
          <cell r="BU215">
            <v>-8447.23</v>
          </cell>
          <cell r="BV215">
            <v>-5548.91</v>
          </cell>
          <cell r="BW215">
            <v>-9750.2999999999993</v>
          </cell>
          <cell r="BX215">
            <v>-10323.98</v>
          </cell>
          <cell r="BY215">
            <v>-11898.88</v>
          </cell>
          <cell r="BZ215">
            <v>-9570.7000000000007</v>
          </cell>
          <cell r="CA215">
            <v>-3862</v>
          </cell>
          <cell r="CB215">
            <v>-2260.36</v>
          </cell>
          <cell r="CC215">
            <v>-1104.58</v>
          </cell>
          <cell r="CD215">
            <v>-372.31</v>
          </cell>
          <cell r="CE215">
            <v>-2998.79</v>
          </cell>
          <cell r="CF215">
            <v>-7510.58</v>
          </cell>
          <cell r="CG215">
            <v>-1915.67</v>
          </cell>
          <cell r="CH215">
            <v>-7588.2</v>
          </cell>
          <cell r="CI215">
            <v>-2998.44</v>
          </cell>
          <cell r="CJ215">
            <v>-2114.4499999999998</v>
          </cell>
          <cell r="CK215">
            <v>-3229.03</v>
          </cell>
          <cell r="CL215">
            <v>-10962.34</v>
          </cell>
          <cell r="CM215">
            <v>-3667.46</v>
          </cell>
          <cell r="CN215">
            <v>-3543.1</v>
          </cell>
          <cell r="CO215">
            <v>-2834.41</v>
          </cell>
          <cell r="CP215">
            <v>-6302.87</v>
          </cell>
          <cell r="CQ215">
            <v>-4107.09</v>
          </cell>
          <cell r="CR215">
            <v>-3449.78</v>
          </cell>
          <cell r="CS215">
            <v>-5092.8599999999997</v>
          </cell>
          <cell r="CT215">
            <v>-5942.71</v>
          </cell>
          <cell r="CU215">
            <v>-14437.79</v>
          </cell>
          <cell r="CV215">
            <v>-17696.18</v>
          </cell>
          <cell r="CW215">
            <v>-5119.28</v>
          </cell>
          <cell r="CX215">
            <v>-7334.3</v>
          </cell>
          <cell r="CY215">
            <v>-6808.1</v>
          </cell>
          <cell r="CZ215">
            <v>-12879.84</v>
          </cell>
          <cell r="DA215">
            <v>-10980.25</v>
          </cell>
          <cell r="DB215">
            <v>-9420.09</v>
          </cell>
          <cell r="DC215">
            <v>-2465.7199999999998</v>
          </cell>
          <cell r="DD215">
            <v>-4234.34</v>
          </cell>
          <cell r="DE215">
            <v>-5642.24</v>
          </cell>
          <cell r="DF215">
            <v>-9408.18</v>
          </cell>
          <cell r="DG215">
            <v>-9083.24</v>
          </cell>
          <cell r="DH215">
            <v>-8290.09</v>
          </cell>
        </row>
        <row r="216">
          <cell r="C216" t="str">
            <v>AP Enrgy ConsrvAllow</v>
          </cell>
          <cell r="D216">
            <v>-350</v>
          </cell>
          <cell r="E216">
            <v>-9700</v>
          </cell>
          <cell r="F216">
            <v>-33670.720000000001</v>
          </cell>
          <cell r="G216">
            <v>-47530</v>
          </cell>
          <cell r="H216">
            <v>-106422.94</v>
          </cell>
          <cell r="I216">
            <v>-24683.78</v>
          </cell>
          <cell r="J216">
            <v>-5243.58</v>
          </cell>
          <cell r="K216">
            <v>-121910</v>
          </cell>
          <cell r="L216">
            <v>-16600</v>
          </cell>
          <cell r="M216">
            <v>-106825</v>
          </cell>
          <cell r="N216">
            <v>0</v>
          </cell>
          <cell r="O216">
            <v>-157875</v>
          </cell>
          <cell r="P216">
            <v>0</v>
          </cell>
          <cell r="Q216">
            <v>-55725</v>
          </cell>
          <cell r="R216">
            <v>-47775</v>
          </cell>
          <cell r="S216">
            <v>-91093.8</v>
          </cell>
          <cell r="T216">
            <v>-8625</v>
          </cell>
          <cell r="U216">
            <v>-133387.34</v>
          </cell>
          <cell r="V216">
            <v>-86390.32</v>
          </cell>
          <cell r="W216">
            <v>-30790.26</v>
          </cell>
          <cell r="X216">
            <v>-30774.5</v>
          </cell>
          <cell r="Y216">
            <v>-39825</v>
          </cell>
          <cell r="Z216">
            <v>-55250</v>
          </cell>
          <cell r="AA216">
            <v>-30250</v>
          </cell>
          <cell r="AB216">
            <v>-140250</v>
          </cell>
          <cell r="AC216">
            <v>-79560.240000000005</v>
          </cell>
          <cell r="AD216">
            <v>-34690</v>
          </cell>
          <cell r="AE216">
            <v>-51192</v>
          </cell>
          <cell r="AF216">
            <v>-450</v>
          </cell>
          <cell r="AG216">
            <v>-177125</v>
          </cell>
          <cell r="AH216">
            <v>-137715</v>
          </cell>
          <cell r="AI216">
            <v>-32025</v>
          </cell>
          <cell r="AJ216">
            <v>-133481.76</v>
          </cell>
          <cell r="AK216">
            <v>-14050</v>
          </cell>
          <cell r="AL216">
            <v>-95503</v>
          </cell>
          <cell r="AM216">
            <v>-19750</v>
          </cell>
          <cell r="AN216">
            <v>0</v>
          </cell>
          <cell r="AO216">
            <v>-608.67999999999995</v>
          </cell>
          <cell r="AP216">
            <v>-1049.75</v>
          </cell>
          <cell r="AQ216">
            <v>-1235.3599999999999</v>
          </cell>
          <cell r="AR216">
            <v>-516.42999999999995</v>
          </cell>
          <cell r="AS216">
            <v>-844.6</v>
          </cell>
          <cell r="AT216">
            <v>-307.47000000000003</v>
          </cell>
          <cell r="AU216">
            <v>-94.96</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-50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row>
        <row r="217">
          <cell r="C217" t="str">
            <v>AP Payroll</v>
          </cell>
          <cell r="D217">
            <v>-832646.19</v>
          </cell>
          <cell r="E217">
            <v>-1173355.49</v>
          </cell>
          <cell r="F217">
            <v>-1153015.58</v>
          </cell>
          <cell r="G217">
            <v>-1377601.36</v>
          </cell>
          <cell r="H217">
            <v>-1602049.68</v>
          </cell>
          <cell r="I217">
            <v>-751011.74</v>
          </cell>
          <cell r="J217">
            <v>-598362.04</v>
          </cell>
          <cell r="K217">
            <v>-1064662.26</v>
          </cell>
          <cell r="L217">
            <v>-1293795.01</v>
          </cell>
          <cell r="M217">
            <v>-1510796.8</v>
          </cell>
          <cell r="N217">
            <v>-539250.44999999995</v>
          </cell>
          <cell r="O217">
            <v>-658720.46</v>
          </cell>
          <cell r="P217">
            <v>-964594.12</v>
          </cell>
          <cell r="Q217">
            <v>-1252522.69</v>
          </cell>
          <cell r="R217">
            <v>-1244701.52</v>
          </cell>
          <cell r="S217">
            <v>-1507232.15</v>
          </cell>
          <cell r="T217">
            <v>-465162.49</v>
          </cell>
          <cell r="U217">
            <v>-675496.58</v>
          </cell>
          <cell r="V217">
            <v>-882340.63</v>
          </cell>
          <cell r="W217">
            <v>-1189384.58</v>
          </cell>
          <cell r="X217">
            <v>-1404243.46</v>
          </cell>
          <cell r="Y217">
            <v>-1635624.92</v>
          </cell>
          <cell r="Z217">
            <v>-644096.93000000005</v>
          </cell>
          <cell r="AA217">
            <v>-1165462.3999999999</v>
          </cell>
          <cell r="AB217">
            <v>-813448.55</v>
          </cell>
          <cell r="AC217">
            <v>-1503734.33</v>
          </cell>
          <cell r="AD217">
            <v>-1522508.18</v>
          </cell>
          <cell r="AE217">
            <v>-487938.44</v>
          </cell>
          <cell r="AF217">
            <v>-660089.55000000005</v>
          </cell>
          <cell r="AG217">
            <v>-945591.92</v>
          </cell>
          <cell r="AH217">
            <v>-1182544.1399999999</v>
          </cell>
          <cell r="AI217">
            <v>-1415122.22</v>
          </cell>
          <cell r="AJ217">
            <v>-1775525.9</v>
          </cell>
          <cell r="AK217">
            <v>-642832.84</v>
          </cell>
          <cell r="AL217">
            <v>-845521.8</v>
          </cell>
          <cell r="AM217">
            <v>-1102025.22</v>
          </cell>
          <cell r="AN217">
            <v>-1400138.51</v>
          </cell>
          <cell r="AO217">
            <v>-1770255.26</v>
          </cell>
          <cell r="AP217">
            <v>-1720422.24</v>
          </cell>
          <cell r="AQ217">
            <v>-632974.62</v>
          </cell>
          <cell r="AR217">
            <v>-712914.87</v>
          </cell>
          <cell r="AS217">
            <v>-1073200.2</v>
          </cell>
          <cell r="AT217">
            <v>-1316773.3600000001</v>
          </cell>
          <cell r="AU217">
            <v>-1531483.6</v>
          </cell>
          <cell r="AV217">
            <v>-508859.11</v>
          </cell>
          <cell r="AW217">
            <v>-731823.52</v>
          </cell>
          <cell r="AX217">
            <v>-985282.79</v>
          </cell>
          <cell r="AY217">
            <v>-1273409.31</v>
          </cell>
          <cell r="AZ217">
            <v>-1494217.91</v>
          </cell>
          <cell r="BA217">
            <v>-1957714.55</v>
          </cell>
          <cell r="BB217">
            <v>-1907503.82</v>
          </cell>
          <cell r="BC217">
            <v>-705381.16</v>
          </cell>
          <cell r="BD217">
            <v>-886587.34</v>
          </cell>
          <cell r="BE217">
            <v>-1293518.97</v>
          </cell>
          <cell r="BF217">
            <v>-1489445.54</v>
          </cell>
          <cell r="BG217">
            <v>-1778435.59</v>
          </cell>
          <cell r="BH217">
            <v>-694065.89</v>
          </cell>
          <cell r="BI217">
            <v>-788273.59</v>
          </cell>
          <cell r="BJ217">
            <v>-1477882.9</v>
          </cell>
          <cell r="BK217">
            <v>-1542808.49</v>
          </cell>
          <cell r="BL217">
            <v>-1776482.85</v>
          </cell>
          <cell r="BM217">
            <v>-587056.71</v>
          </cell>
          <cell r="BN217">
            <v>-588142.55000000005</v>
          </cell>
          <cell r="BO217">
            <v>-817319.55</v>
          </cell>
          <cell r="BP217">
            <v>-1106067.49</v>
          </cell>
          <cell r="BQ217">
            <v>-1564116.43</v>
          </cell>
          <cell r="BR217">
            <v>-1638946.29</v>
          </cell>
          <cell r="BS217">
            <v>-2115300.5699999998</v>
          </cell>
          <cell r="BT217">
            <v>-818799.74</v>
          </cell>
          <cell r="BU217">
            <v>-1011142.63</v>
          </cell>
          <cell r="BV217">
            <v>-1497233.57</v>
          </cell>
          <cell r="BW217">
            <v>-1703812.2</v>
          </cell>
          <cell r="BX217">
            <v>-2084839.57</v>
          </cell>
          <cell r="BY217">
            <v>-825320.39</v>
          </cell>
          <cell r="BZ217">
            <v>-842725.08</v>
          </cell>
          <cell r="CA217">
            <v>-1232648.2</v>
          </cell>
          <cell r="CB217">
            <v>-1513381.11</v>
          </cell>
          <cell r="CC217">
            <v>-1752525.59</v>
          </cell>
          <cell r="CD217">
            <v>-2091433.96</v>
          </cell>
          <cell r="CE217">
            <v>-851866.6</v>
          </cell>
          <cell r="CF217">
            <v>-1082781.69</v>
          </cell>
          <cell r="CG217">
            <v>-1439562.16</v>
          </cell>
          <cell r="CH217">
            <v>-1822236.99</v>
          </cell>
          <cell r="CI217">
            <v>-2019610.95</v>
          </cell>
          <cell r="CJ217">
            <v>-711453.5</v>
          </cell>
          <cell r="CK217">
            <v>-952988.75</v>
          </cell>
          <cell r="CL217">
            <v>-940885.43</v>
          </cell>
          <cell r="CM217">
            <v>-1708962.39</v>
          </cell>
          <cell r="CN217">
            <v>-1862467.4</v>
          </cell>
          <cell r="CO217">
            <v>-2051243.7</v>
          </cell>
          <cell r="CP217">
            <v>-2409935.7200000002</v>
          </cell>
          <cell r="CQ217">
            <v>-952731.76</v>
          </cell>
          <cell r="CR217">
            <v>-1315623.19</v>
          </cell>
          <cell r="CS217">
            <v>-1726164.74</v>
          </cell>
          <cell r="CT217">
            <v>-1923555.81</v>
          </cell>
          <cell r="CU217">
            <v>-2351602.5</v>
          </cell>
          <cell r="CV217">
            <v>-953795.11</v>
          </cell>
          <cell r="CW217">
            <v>-1219203.08</v>
          </cell>
          <cell r="CX217">
            <v>-1209944.8</v>
          </cell>
          <cell r="CY217">
            <v>-1806145.56</v>
          </cell>
          <cell r="CZ217">
            <v>-2031082.32</v>
          </cell>
          <cell r="DA217">
            <v>-2482749.73</v>
          </cell>
          <cell r="DB217">
            <v>-873985.01</v>
          </cell>
          <cell r="DC217">
            <v>-1108622.95</v>
          </cell>
          <cell r="DD217">
            <v>-1754540.85</v>
          </cell>
          <cell r="DE217">
            <v>-2237280.6</v>
          </cell>
          <cell r="DF217">
            <v>-2599981.6800000002</v>
          </cell>
          <cell r="DG217">
            <v>-2979655.57</v>
          </cell>
          <cell r="DH217">
            <v>-1166848.97</v>
          </cell>
        </row>
        <row r="218">
          <cell r="C218" t="str">
            <v>AP 401K Fixed Match</v>
          </cell>
          <cell r="D218">
            <v>720.56</v>
          </cell>
          <cell r="E218">
            <v>720.56</v>
          </cell>
          <cell r="F218">
            <v>705.15</v>
          </cell>
          <cell r="G218">
            <v>720.56</v>
          </cell>
          <cell r="H218">
            <v>720.56</v>
          </cell>
          <cell r="I218">
            <v>720.56</v>
          </cell>
          <cell r="J218">
            <v>720.56</v>
          </cell>
          <cell r="K218">
            <v>720.56</v>
          </cell>
          <cell r="L218">
            <v>623.05999999999995</v>
          </cell>
          <cell r="M218">
            <v>720.56</v>
          </cell>
          <cell r="N218">
            <v>720.56</v>
          </cell>
          <cell r="O218">
            <v>720.56</v>
          </cell>
          <cell r="P218">
            <v>-30656.02</v>
          </cell>
          <cell r="Q218">
            <v>-30656.02</v>
          </cell>
          <cell r="R218">
            <v>123.61</v>
          </cell>
          <cell r="S218">
            <v>720.56</v>
          </cell>
          <cell r="T218">
            <v>720.56</v>
          </cell>
          <cell r="U218">
            <v>720.56</v>
          </cell>
          <cell r="V218">
            <v>720.56</v>
          </cell>
          <cell r="W218">
            <v>707.29</v>
          </cell>
          <cell r="X218">
            <v>614.01</v>
          </cell>
          <cell r="Y218">
            <v>-1232.9000000000001</v>
          </cell>
          <cell r="Z218">
            <v>659.56</v>
          </cell>
          <cell r="AA218">
            <v>710.4</v>
          </cell>
          <cell r="AB218">
            <v>720.56</v>
          </cell>
          <cell r="AC218">
            <v>644.03</v>
          </cell>
          <cell r="AD218">
            <v>628.16</v>
          </cell>
          <cell r="AE218">
            <v>720.56</v>
          </cell>
          <cell r="AF218">
            <v>720.56</v>
          </cell>
          <cell r="AG218">
            <v>720.56</v>
          </cell>
          <cell r="AH218">
            <v>720.56</v>
          </cell>
          <cell r="AI218">
            <v>720.56</v>
          </cell>
          <cell r="AJ218">
            <v>720.56</v>
          </cell>
          <cell r="AK218">
            <v>720.56</v>
          </cell>
          <cell r="AL218">
            <v>720.56</v>
          </cell>
          <cell r="AM218">
            <v>720.56</v>
          </cell>
          <cell r="AN218">
            <v>720.56</v>
          </cell>
          <cell r="AO218">
            <v>-124.78</v>
          </cell>
          <cell r="AP218">
            <v>720.56</v>
          </cell>
          <cell r="AQ218">
            <v>720.56</v>
          </cell>
          <cell r="AR218">
            <v>720.56</v>
          </cell>
          <cell r="AS218">
            <v>720.56</v>
          </cell>
          <cell r="AT218">
            <v>720.56</v>
          </cell>
          <cell r="AU218">
            <v>720.56</v>
          </cell>
          <cell r="AV218">
            <v>720.56</v>
          </cell>
          <cell r="AW218">
            <v>720.56</v>
          </cell>
          <cell r="AX218">
            <v>720.56</v>
          </cell>
          <cell r="AY218">
            <v>0</v>
          </cell>
          <cell r="AZ218">
            <v>0</v>
          </cell>
          <cell r="BA218">
            <v>0</v>
          </cell>
          <cell r="BB218">
            <v>0</v>
          </cell>
          <cell r="BC218">
            <v>256.41000000000003</v>
          </cell>
          <cell r="BD218">
            <v>-584.85</v>
          </cell>
          <cell r="BE218">
            <v>0</v>
          </cell>
          <cell r="BF218">
            <v>0</v>
          </cell>
          <cell r="BG218">
            <v>0</v>
          </cell>
          <cell r="BH218">
            <v>0</v>
          </cell>
          <cell r="BI218">
            <v>0</v>
          </cell>
          <cell r="BJ218">
            <v>0</v>
          </cell>
          <cell r="BK218">
            <v>0</v>
          </cell>
          <cell r="BL218">
            <v>0</v>
          </cell>
          <cell r="BM218">
            <v>0</v>
          </cell>
          <cell r="BN218">
            <v>-14.4</v>
          </cell>
          <cell r="BO218">
            <v>-14.4</v>
          </cell>
          <cell r="BP218">
            <v>-14.4</v>
          </cell>
          <cell r="BQ218">
            <v>-14.4</v>
          </cell>
          <cell r="BR218">
            <v>-14.4</v>
          </cell>
          <cell r="BS218">
            <v>-14.4</v>
          </cell>
          <cell r="BT218">
            <v>-14.4</v>
          </cell>
          <cell r="BU218">
            <v>0</v>
          </cell>
          <cell r="BV218">
            <v>0</v>
          </cell>
          <cell r="BW218">
            <v>0</v>
          </cell>
          <cell r="BX218">
            <v>-147166</v>
          </cell>
          <cell r="BY218">
            <v>-147208.85</v>
          </cell>
          <cell r="BZ218">
            <v>0</v>
          </cell>
          <cell r="CA218">
            <v>0</v>
          </cell>
          <cell r="CB218">
            <v>0</v>
          </cell>
          <cell r="CC218">
            <v>-125.81</v>
          </cell>
          <cell r="CD218">
            <v>-83.72</v>
          </cell>
          <cell r="CE218">
            <v>0</v>
          </cell>
          <cell r="CF218">
            <v>0</v>
          </cell>
          <cell r="CG218">
            <v>0</v>
          </cell>
          <cell r="CH218">
            <v>0</v>
          </cell>
          <cell r="CI218">
            <v>0</v>
          </cell>
          <cell r="CJ218">
            <v>0</v>
          </cell>
          <cell r="CK218">
            <v>-78.08</v>
          </cell>
          <cell r="CL218">
            <v>-78.08</v>
          </cell>
          <cell r="CM218">
            <v>-9278.35</v>
          </cell>
          <cell r="CN218">
            <v>-9278.35</v>
          </cell>
          <cell r="CO218">
            <v>-9319.44</v>
          </cell>
          <cell r="CP218">
            <v>-9278.35</v>
          </cell>
          <cell r="CQ218">
            <v>-9278.35</v>
          </cell>
          <cell r="CR218">
            <v>-9513.91</v>
          </cell>
          <cell r="CS218">
            <v>-147.1</v>
          </cell>
          <cell r="CT218">
            <v>-124382.92</v>
          </cell>
          <cell r="CU218">
            <v>-136794.53</v>
          </cell>
          <cell r="CV218">
            <v>-195415.35</v>
          </cell>
          <cell r="CW218">
            <v>-255911.9</v>
          </cell>
          <cell r="CX218">
            <v>-316277.34999999998</v>
          </cell>
          <cell r="CY218">
            <v>-121382.3</v>
          </cell>
          <cell r="CZ218">
            <v>-121453.3</v>
          </cell>
          <cell r="DA218">
            <v>-121416.22</v>
          </cell>
          <cell r="DB218">
            <v>-121638.99</v>
          </cell>
          <cell r="DC218">
            <v>-121633.63</v>
          </cell>
          <cell r="DD218">
            <v>-121726.55</v>
          </cell>
          <cell r="DE218">
            <v>-121633.63</v>
          </cell>
          <cell r="DF218">
            <v>-131732.35</v>
          </cell>
          <cell r="DG218">
            <v>-141691.09</v>
          </cell>
          <cell r="DH218">
            <v>-152703.07</v>
          </cell>
        </row>
        <row r="219">
          <cell r="C219" t="str">
            <v>AP 401K Perf Match</v>
          </cell>
          <cell r="D219">
            <v>-280000</v>
          </cell>
          <cell r="E219">
            <v>-280000</v>
          </cell>
          <cell r="F219">
            <v>0</v>
          </cell>
          <cell r="G219">
            <v>0</v>
          </cell>
          <cell r="H219">
            <v>0</v>
          </cell>
          <cell r="I219">
            <v>0</v>
          </cell>
          <cell r="J219">
            <v>0</v>
          </cell>
          <cell r="K219">
            <v>0</v>
          </cell>
          <cell r="L219">
            <v>0</v>
          </cell>
          <cell r="M219">
            <v>-152000</v>
          </cell>
          <cell r="N219">
            <v>-152000</v>
          </cell>
          <cell r="O219">
            <v>-152000</v>
          </cell>
          <cell r="P219">
            <v>-322000</v>
          </cell>
          <cell r="Q219">
            <v>-322000</v>
          </cell>
          <cell r="R219">
            <v>0</v>
          </cell>
          <cell r="S219">
            <v>-170996.87</v>
          </cell>
          <cell r="T219">
            <v>-213000</v>
          </cell>
          <cell r="U219">
            <v>-184000</v>
          </cell>
          <cell r="V219">
            <v>-214000</v>
          </cell>
          <cell r="W219">
            <v>-190000</v>
          </cell>
          <cell r="X219">
            <v>-194000</v>
          </cell>
          <cell r="Y219">
            <v>-142000</v>
          </cell>
          <cell r="Z219">
            <v>-135000</v>
          </cell>
          <cell r="AA219">
            <v>-58125</v>
          </cell>
          <cell r="AB219">
            <v>-219000</v>
          </cell>
          <cell r="AC219">
            <v>-58125</v>
          </cell>
          <cell r="AD219">
            <v>0</v>
          </cell>
          <cell r="AE219">
            <v>0</v>
          </cell>
          <cell r="AF219">
            <v>0</v>
          </cell>
          <cell r="AG219">
            <v>0</v>
          </cell>
          <cell r="AH219">
            <v>0</v>
          </cell>
          <cell r="AI219">
            <v>0</v>
          </cell>
          <cell r="AJ219">
            <v>0</v>
          </cell>
          <cell r="AK219">
            <v>-252000</v>
          </cell>
          <cell r="AL219">
            <v>-248000</v>
          </cell>
          <cell r="AM219">
            <v>-108000</v>
          </cell>
          <cell r="AN219">
            <v>-52000</v>
          </cell>
          <cell r="AO219">
            <v>-52000</v>
          </cell>
          <cell r="AP219">
            <v>19432.189999999999</v>
          </cell>
          <cell r="AQ219">
            <v>1904.09</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-783.24</v>
          </cell>
          <cell r="BF219">
            <v>-45</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-256702.48</v>
          </cell>
          <cell r="BY219">
            <v>-256702.48</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-5240.9399999999996</v>
          </cell>
          <cell r="CN219">
            <v>-3030.9</v>
          </cell>
          <cell r="CO219">
            <v>-3030.9</v>
          </cell>
          <cell r="CP219">
            <v>-3030.9</v>
          </cell>
          <cell r="CQ219">
            <v>-3030.9</v>
          </cell>
          <cell r="CR219">
            <v>-3030.9</v>
          </cell>
          <cell r="CS219">
            <v>0</v>
          </cell>
          <cell r="CT219">
            <v>-366666.67</v>
          </cell>
          <cell r="CU219">
            <v>-403333.34</v>
          </cell>
          <cell r="CV219">
            <v>-733333.01</v>
          </cell>
          <cell r="CW219">
            <v>-733333.01</v>
          </cell>
          <cell r="CX219">
            <v>-733333.01</v>
          </cell>
          <cell r="CY219">
            <v>-1440.82</v>
          </cell>
          <cell r="CZ219">
            <v>-1440.82</v>
          </cell>
          <cell r="DA219">
            <v>-1440.82</v>
          </cell>
          <cell r="DB219">
            <v>-1440.82</v>
          </cell>
          <cell r="DC219">
            <v>-1440.82</v>
          </cell>
          <cell r="DD219">
            <v>-1440.82</v>
          </cell>
          <cell r="DE219">
            <v>-1440.82</v>
          </cell>
          <cell r="DF219">
            <v>-1440.82</v>
          </cell>
          <cell r="DG219">
            <v>-1440.82</v>
          </cell>
          <cell r="DH219">
            <v>-200955.82</v>
          </cell>
        </row>
        <row r="220">
          <cell r="C220" t="str">
            <v>AP 401K Emp Contrib</v>
          </cell>
          <cell r="D220">
            <v>224.02</v>
          </cell>
          <cell r="E220">
            <v>224.02</v>
          </cell>
          <cell r="F220">
            <v>200.31</v>
          </cell>
          <cell r="G220">
            <v>224.02</v>
          </cell>
          <cell r="H220">
            <v>224.02</v>
          </cell>
          <cell r="I220">
            <v>224.02</v>
          </cell>
          <cell r="J220">
            <v>224.02</v>
          </cell>
          <cell r="K220">
            <v>224.02</v>
          </cell>
          <cell r="L220">
            <v>74.02</v>
          </cell>
          <cell r="M220">
            <v>224.02</v>
          </cell>
          <cell r="N220">
            <v>224.02</v>
          </cell>
          <cell r="O220">
            <v>224.02</v>
          </cell>
          <cell r="P220">
            <v>224.02</v>
          </cell>
          <cell r="Q220">
            <v>224.02</v>
          </cell>
          <cell r="R220">
            <v>-985.65</v>
          </cell>
          <cell r="S220">
            <v>224.02</v>
          </cell>
          <cell r="T220">
            <v>224.02</v>
          </cell>
          <cell r="U220">
            <v>224.02</v>
          </cell>
          <cell r="V220">
            <v>224.02</v>
          </cell>
          <cell r="W220">
            <v>205.07</v>
          </cell>
          <cell r="X220">
            <v>71.8</v>
          </cell>
          <cell r="Y220">
            <v>-2906.03</v>
          </cell>
          <cell r="Z220">
            <v>136.87</v>
          </cell>
          <cell r="AA220">
            <v>199.82</v>
          </cell>
          <cell r="AB220">
            <v>224.02</v>
          </cell>
          <cell r="AC220">
            <v>114.69</v>
          </cell>
          <cell r="AD220">
            <v>-105.98</v>
          </cell>
          <cell r="AE220">
            <v>224.02</v>
          </cell>
          <cell r="AF220">
            <v>224.02</v>
          </cell>
          <cell r="AG220">
            <v>224.02</v>
          </cell>
          <cell r="AH220">
            <v>224.02</v>
          </cell>
          <cell r="AI220">
            <v>224.02</v>
          </cell>
          <cell r="AJ220">
            <v>224.02</v>
          </cell>
          <cell r="AK220">
            <v>224.02</v>
          </cell>
          <cell r="AL220">
            <v>224.02</v>
          </cell>
          <cell r="AM220">
            <v>224.02</v>
          </cell>
          <cell r="AN220">
            <v>224.02</v>
          </cell>
          <cell r="AO220">
            <v>-1422.12</v>
          </cell>
          <cell r="AP220">
            <v>224.02</v>
          </cell>
          <cell r="AQ220">
            <v>224.02</v>
          </cell>
          <cell r="AR220">
            <v>224.02</v>
          </cell>
          <cell r="AS220">
            <v>224.02</v>
          </cell>
          <cell r="AT220">
            <v>224.02</v>
          </cell>
          <cell r="AU220">
            <v>224.02</v>
          </cell>
          <cell r="AV220">
            <v>224.02</v>
          </cell>
          <cell r="AW220">
            <v>224.02</v>
          </cell>
          <cell r="AX220">
            <v>224.02</v>
          </cell>
          <cell r="AY220">
            <v>224.02</v>
          </cell>
          <cell r="AZ220">
            <v>224.02</v>
          </cell>
          <cell r="BA220">
            <v>224.02</v>
          </cell>
          <cell r="BB220">
            <v>224.02</v>
          </cell>
          <cell r="BC220">
            <v>1363.64</v>
          </cell>
          <cell r="BD220">
            <v>-1583</v>
          </cell>
          <cell r="BE220">
            <v>224.02</v>
          </cell>
          <cell r="BF220">
            <v>224.02</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-57.13</v>
          </cell>
          <cell r="BZ220">
            <v>0</v>
          </cell>
          <cell r="CA220">
            <v>0</v>
          </cell>
          <cell r="CB220">
            <v>0</v>
          </cell>
          <cell r="CC220">
            <v>-167.74</v>
          </cell>
          <cell r="CD220">
            <v>-176.31</v>
          </cell>
          <cell r="CE220">
            <v>0</v>
          </cell>
          <cell r="CF220">
            <v>0</v>
          </cell>
          <cell r="CG220">
            <v>0</v>
          </cell>
          <cell r="CH220">
            <v>0</v>
          </cell>
          <cell r="CI220">
            <v>0</v>
          </cell>
          <cell r="CJ220">
            <v>0</v>
          </cell>
          <cell r="CK220">
            <v>104.9</v>
          </cell>
          <cell r="CL220">
            <v>104.9</v>
          </cell>
          <cell r="CM220">
            <v>-20399.55</v>
          </cell>
          <cell r="CN220">
            <v>-20399.55</v>
          </cell>
          <cell r="CO220">
            <v>-20454.34</v>
          </cell>
          <cell r="CP220">
            <v>-20399.55</v>
          </cell>
          <cell r="CQ220">
            <v>-20399.55</v>
          </cell>
          <cell r="CR220">
            <v>-20766.310000000001</v>
          </cell>
          <cell r="CS220">
            <v>-40.090000000000003</v>
          </cell>
          <cell r="CT220">
            <v>0</v>
          </cell>
          <cell r="CU220">
            <v>23.3</v>
          </cell>
          <cell r="CV220">
            <v>-423.38</v>
          </cell>
          <cell r="CW220">
            <v>-510.78</v>
          </cell>
          <cell r="CX220">
            <v>-423.38</v>
          </cell>
          <cell r="CY220">
            <v>-517.9</v>
          </cell>
          <cell r="CZ220">
            <v>-702.32</v>
          </cell>
          <cell r="DA220">
            <v>-542.82000000000005</v>
          </cell>
          <cell r="DB220">
            <v>-753.68</v>
          </cell>
          <cell r="DC220">
            <v>-741.76</v>
          </cell>
          <cell r="DD220">
            <v>-865.65</v>
          </cell>
          <cell r="DE220">
            <v>-741.76</v>
          </cell>
          <cell r="DF220">
            <v>-905.53</v>
          </cell>
          <cell r="DG220">
            <v>-850.51</v>
          </cell>
          <cell r="DH220">
            <v>3695.51</v>
          </cell>
        </row>
        <row r="221">
          <cell r="C221" t="str">
            <v>AP DRIP</v>
          </cell>
          <cell r="D221">
            <v>2427</v>
          </cell>
          <cell r="E221">
            <v>20</v>
          </cell>
          <cell r="F221">
            <v>20</v>
          </cell>
          <cell r="G221">
            <v>20</v>
          </cell>
          <cell r="H221">
            <v>20</v>
          </cell>
          <cell r="I221">
            <v>170</v>
          </cell>
          <cell r="J221">
            <v>7.5</v>
          </cell>
          <cell r="K221">
            <v>170</v>
          </cell>
          <cell r="L221">
            <v>170</v>
          </cell>
          <cell r="M221">
            <v>170</v>
          </cell>
          <cell r="N221">
            <v>170</v>
          </cell>
          <cell r="O221">
            <v>170</v>
          </cell>
          <cell r="P221">
            <v>195</v>
          </cell>
          <cell r="Q221">
            <v>100</v>
          </cell>
          <cell r="R221">
            <v>10</v>
          </cell>
          <cell r="S221">
            <v>10</v>
          </cell>
          <cell r="T221">
            <v>10</v>
          </cell>
          <cell r="U221">
            <v>10</v>
          </cell>
          <cell r="V221">
            <v>10</v>
          </cell>
          <cell r="W221">
            <v>22.5</v>
          </cell>
          <cell r="X221">
            <v>25</v>
          </cell>
          <cell r="Y221">
            <v>50</v>
          </cell>
          <cell r="Z221">
            <v>112.5</v>
          </cell>
          <cell r="AA221">
            <v>165</v>
          </cell>
          <cell r="AB221">
            <v>145</v>
          </cell>
          <cell r="AC221">
            <v>145</v>
          </cell>
          <cell r="AD221">
            <v>45</v>
          </cell>
          <cell r="AE221">
            <v>695</v>
          </cell>
          <cell r="AF221">
            <v>680</v>
          </cell>
          <cell r="AG221">
            <v>2427</v>
          </cell>
          <cell r="AH221">
            <v>2427</v>
          </cell>
          <cell r="AI221">
            <v>2427</v>
          </cell>
          <cell r="AJ221">
            <v>2427</v>
          </cell>
          <cell r="AK221">
            <v>2427</v>
          </cell>
          <cell r="AL221">
            <v>2427</v>
          </cell>
          <cell r="AM221">
            <v>2427</v>
          </cell>
          <cell r="AN221">
            <v>2427</v>
          </cell>
          <cell r="AO221">
            <v>2427</v>
          </cell>
          <cell r="AP221">
            <v>2427</v>
          </cell>
          <cell r="AQ221">
            <v>2427</v>
          </cell>
          <cell r="AR221">
            <v>2427</v>
          </cell>
          <cell r="AS221">
            <v>2427</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35360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12.5</v>
          </cell>
          <cell r="DC221">
            <v>12.5</v>
          </cell>
          <cell r="DD221">
            <v>706.95</v>
          </cell>
          <cell r="DE221">
            <v>706.95</v>
          </cell>
          <cell r="DF221">
            <v>706.95</v>
          </cell>
          <cell r="DG221">
            <v>706.95</v>
          </cell>
          <cell r="DH221">
            <v>706.95</v>
          </cell>
        </row>
        <row r="222">
          <cell r="C222" t="str">
            <v>AP PSP / Incentive</v>
          </cell>
          <cell r="D222">
            <v>-3168464</v>
          </cell>
          <cell r="E222">
            <v>-208317.12</v>
          </cell>
          <cell r="F222">
            <v>-341892</v>
          </cell>
          <cell r="G222">
            <v>-512838</v>
          </cell>
          <cell r="H222">
            <v>-683784</v>
          </cell>
          <cell r="I222">
            <v>-1025676</v>
          </cell>
          <cell r="J222">
            <v>-854730</v>
          </cell>
          <cell r="K222">
            <v>-1196622</v>
          </cell>
          <cell r="L222">
            <v>-1367568</v>
          </cell>
          <cell r="M222">
            <v>-2309514</v>
          </cell>
          <cell r="N222">
            <v>-2480460</v>
          </cell>
          <cell r="O222">
            <v>-2651406</v>
          </cell>
          <cell r="P222">
            <v>-3076048.44</v>
          </cell>
          <cell r="Q222">
            <v>-3248375.59</v>
          </cell>
          <cell r="R222">
            <v>-344654.3</v>
          </cell>
          <cell r="S222">
            <v>-1269981.45</v>
          </cell>
          <cell r="T222">
            <v>-1627308.6</v>
          </cell>
          <cell r="U222">
            <v>-1673635.75</v>
          </cell>
          <cell r="V222">
            <v>-1978962.9</v>
          </cell>
          <cell r="W222">
            <v>-2042290.05</v>
          </cell>
          <cell r="X222">
            <v>-2235617.2000000002</v>
          </cell>
          <cell r="Y222">
            <v>-2196603.5</v>
          </cell>
          <cell r="Z222">
            <v>-2335930.65</v>
          </cell>
          <cell r="AA222">
            <v>-2099616</v>
          </cell>
          <cell r="AB222">
            <v>-2884257.8</v>
          </cell>
          <cell r="AC222">
            <v>-2268782.67</v>
          </cell>
          <cell r="AD222">
            <v>-338333.34</v>
          </cell>
          <cell r="AE222">
            <v>-507500.01</v>
          </cell>
          <cell r="AF222">
            <v>-676666.68</v>
          </cell>
          <cell r="AG222">
            <v>-845833.35</v>
          </cell>
          <cell r="AH222">
            <v>-1015000.02</v>
          </cell>
          <cell r="AI222">
            <v>-1444166.69</v>
          </cell>
          <cell r="AJ222">
            <v>-2437333.36</v>
          </cell>
          <cell r="AK222">
            <v>-2645500.0299999998</v>
          </cell>
          <cell r="AL222">
            <v>-2794666.7</v>
          </cell>
          <cell r="AM222">
            <v>-2341833.37</v>
          </cell>
          <cell r="AN222">
            <v>-2518000.04</v>
          </cell>
          <cell r="AO222">
            <v>-2703416.71</v>
          </cell>
          <cell r="AP222">
            <v>-266307.89</v>
          </cell>
          <cell r="AQ222">
            <v>-556250.01</v>
          </cell>
          <cell r="AR222">
            <v>-741666.68</v>
          </cell>
          <cell r="AS222">
            <v>-927083.35</v>
          </cell>
          <cell r="AT222">
            <v>-1187500.02</v>
          </cell>
          <cell r="AU222">
            <v>-1385416.69</v>
          </cell>
          <cell r="AV222">
            <v>-1583333.36</v>
          </cell>
          <cell r="AW222">
            <v>-1781250.03</v>
          </cell>
          <cell r="AX222">
            <v>-1722069.03</v>
          </cell>
          <cell r="AY222">
            <v>-1894276.03</v>
          </cell>
          <cell r="AZ222">
            <v>-2291483.0299999998</v>
          </cell>
          <cell r="BA222">
            <v>-2526310.3999999999</v>
          </cell>
          <cell r="BB222">
            <v>-469654.74</v>
          </cell>
          <cell r="BC222">
            <v>-704482.11</v>
          </cell>
          <cell r="BD222">
            <v>-939309.48</v>
          </cell>
          <cell r="BE222">
            <v>-1168438.77</v>
          </cell>
          <cell r="BF222">
            <v>-1408964.22</v>
          </cell>
          <cell r="BG222">
            <v>-1766319.38</v>
          </cell>
          <cell r="BH222">
            <v>-2418650.7200000002</v>
          </cell>
          <cell r="BI222">
            <v>-2776068.76</v>
          </cell>
          <cell r="BJ222">
            <v>-3084520.86</v>
          </cell>
          <cell r="BK222">
            <v>-3392972.96</v>
          </cell>
          <cell r="BL222">
            <v>-3779472</v>
          </cell>
          <cell r="BM222">
            <v>-4103473.25</v>
          </cell>
          <cell r="BN222">
            <v>-648002.5</v>
          </cell>
          <cell r="BO222">
            <v>-972033.75</v>
          </cell>
          <cell r="BP222">
            <v>-1296035</v>
          </cell>
          <cell r="BQ222">
            <v>-1620036.25</v>
          </cell>
          <cell r="BR222">
            <v>-1944037.5</v>
          </cell>
          <cell r="BS222">
            <v>-2268038.75</v>
          </cell>
          <cell r="BT222">
            <v>-2592040</v>
          </cell>
          <cell r="BU222">
            <v>-3043991.25</v>
          </cell>
          <cell r="BV222">
            <v>-3382209.17</v>
          </cell>
          <cell r="BW222">
            <v>-4470427.09</v>
          </cell>
          <cell r="BX222">
            <v>-4897075.1900000004</v>
          </cell>
          <cell r="BY222">
            <v>-5275251.1900000004</v>
          </cell>
          <cell r="BZ222">
            <v>-743427.8</v>
          </cell>
          <cell r="CA222">
            <v>-1096157.06</v>
          </cell>
          <cell r="CB222">
            <v>-1455789.01</v>
          </cell>
          <cell r="CC222">
            <v>-1815420.96</v>
          </cell>
          <cell r="CD222">
            <v>-2022869.17</v>
          </cell>
          <cell r="CE222">
            <v>-2357137.17</v>
          </cell>
          <cell r="CF222">
            <v>-2691405.17</v>
          </cell>
          <cell r="CG222">
            <v>-3319307.5</v>
          </cell>
          <cell r="CH222">
            <v>-3686201.5</v>
          </cell>
          <cell r="CI222">
            <v>-4053095.5</v>
          </cell>
          <cell r="CJ222">
            <v>-4620834.5</v>
          </cell>
          <cell r="CK222">
            <v>-4995672.5</v>
          </cell>
          <cell r="CL222">
            <v>-5370510.5</v>
          </cell>
          <cell r="CM222">
            <v>-1124514</v>
          </cell>
          <cell r="CN222">
            <v>-1361880</v>
          </cell>
          <cell r="CO222">
            <v>-1702350.17</v>
          </cell>
          <cell r="CP222">
            <v>-2042820.34</v>
          </cell>
          <cell r="CQ222">
            <v>-2383290.5099999998</v>
          </cell>
          <cell r="CR222">
            <v>-2723760.68</v>
          </cell>
          <cell r="CS222">
            <v>-3064230.85</v>
          </cell>
          <cell r="CT222">
            <v>-4142196.37</v>
          </cell>
          <cell r="CU222">
            <v>-4556416.01</v>
          </cell>
          <cell r="CV222">
            <v>-6213252.9299999997</v>
          </cell>
          <cell r="CW222">
            <v>-6709669.5999999996</v>
          </cell>
          <cell r="CX222">
            <v>-7206086.2699999996</v>
          </cell>
          <cell r="CY222">
            <v>-1489250.01</v>
          </cell>
          <cell r="CZ222">
            <v>-1985666.68</v>
          </cell>
          <cell r="DA222">
            <v>-2482083.35</v>
          </cell>
          <cell r="DB222">
            <v>-2976708.29</v>
          </cell>
          <cell r="DC222">
            <v>-3473124.96</v>
          </cell>
          <cell r="DD222">
            <v>-4012041.63</v>
          </cell>
          <cell r="DE222">
            <v>-4529708.3</v>
          </cell>
          <cell r="DF222">
            <v>-5047374.97</v>
          </cell>
          <cell r="DG222">
            <v>-6217062.9699999997</v>
          </cell>
          <cell r="DH222">
            <v>-7203447.9699999997</v>
          </cell>
        </row>
        <row r="223">
          <cell r="C223" t="str">
            <v>AP TEEBA</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-63</v>
          </cell>
          <cell r="BT223">
            <v>0</v>
          </cell>
          <cell r="BU223">
            <v>0</v>
          </cell>
          <cell r="BV223">
            <v>0</v>
          </cell>
          <cell r="BW223">
            <v>-63</v>
          </cell>
          <cell r="BX223">
            <v>0</v>
          </cell>
          <cell r="BY223">
            <v>0</v>
          </cell>
          <cell r="BZ223">
            <v>0</v>
          </cell>
          <cell r="CA223">
            <v>0</v>
          </cell>
          <cell r="CB223">
            <v>0</v>
          </cell>
          <cell r="CC223">
            <v>-31.5</v>
          </cell>
          <cell r="CD223">
            <v>-31.5</v>
          </cell>
          <cell r="CE223">
            <v>-31.5</v>
          </cell>
          <cell r="CF223">
            <v>-31.5</v>
          </cell>
          <cell r="CG223">
            <v>-31.5</v>
          </cell>
          <cell r="CH223">
            <v>-31.5</v>
          </cell>
          <cell r="CI223">
            <v>-31.5</v>
          </cell>
          <cell r="CJ223">
            <v>-31.5</v>
          </cell>
          <cell r="CK223">
            <v>-31.5</v>
          </cell>
          <cell r="CL223">
            <v>-31.5</v>
          </cell>
          <cell r="CM223">
            <v>0</v>
          </cell>
          <cell r="CN223">
            <v>-31.5</v>
          </cell>
          <cell r="CO223">
            <v>-31.5</v>
          </cell>
          <cell r="CP223">
            <v>0</v>
          </cell>
          <cell r="CQ223">
            <v>-31.5</v>
          </cell>
          <cell r="CR223">
            <v>-31.5</v>
          </cell>
          <cell r="CS223">
            <v>-31.5</v>
          </cell>
          <cell r="CT223">
            <v>-31.5</v>
          </cell>
          <cell r="CU223">
            <v>0</v>
          </cell>
          <cell r="CV223">
            <v>-31.5</v>
          </cell>
          <cell r="CW223">
            <v>-31.5</v>
          </cell>
          <cell r="CX223">
            <v>-31.5</v>
          </cell>
          <cell r="CY223">
            <v>-31.5</v>
          </cell>
          <cell r="CZ223">
            <v>-31.5</v>
          </cell>
          <cell r="DA223">
            <v>-31.5</v>
          </cell>
          <cell r="DB223">
            <v>-39.369999999999997</v>
          </cell>
          <cell r="DC223">
            <v>-47.25</v>
          </cell>
          <cell r="DD223">
            <v>0</v>
          </cell>
          <cell r="DE223">
            <v>0</v>
          </cell>
          <cell r="DF223">
            <v>-47.25</v>
          </cell>
          <cell r="DG223">
            <v>-37.5</v>
          </cell>
          <cell r="DH223">
            <v>-27.75</v>
          </cell>
        </row>
        <row r="224">
          <cell r="C224" t="str">
            <v>AP Garnishments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-386.49</v>
          </cell>
          <cell r="X224">
            <v>0</v>
          </cell>
          <cell r="Y224">
            <v>0</v>
          </cell>
          <cell r="Z224">
            <v>0</v>
          </cell>
          <cell r="AA224">
            <v>0</v>
          </cell>
          <cell r="AB224">
            <v>0</v>
          </cell>
          <cell r="AC224">
            <v>0</v>
          </cell>
          <cell r="AD224">
            <v>-210.35</v>
          </cell>
          <cell r="AE224">
            <v>-210.35</v>
          </cell>
          <cell r="AF224">
            <v>-210.35</v>
          </cell>
          <cell r="AG224">
            <v>-210.35</v>
          </cell>
          <cell r="AH224">
            <v>-210.35</v>
          </cell>
          <cell r="AI224">
            <v>-210.35</v>
          </cell>
          <cell r="AJ224">
            <v>1354.89</v>
          </cell>
          <cell r="AK224">
            <v>-210.35</v>
          </cell>
          <cell r="AL224">
            <v>-210.35</v>
          </cell>
          <cell r="AM224">
            <v>-210.35</v>
          </cell>
          <cell r="AN224">
            <v>-210.35</v>
          </cell>
          <cell r="AO224">
            <v>-210.35</v>
          </cell>
          <cell r="AP224">
            <v>-210.35</v>
          </cell>
          <cell r="AQ224">
            <v>-210.35</v>
          </cell>
          <cell r="AR224">
            <v>-210.35</v>
          </cell>
          <cell r="AS224">
            <v>-210.35</v>
          </cell>
          <cell r="AT224">
            <v>-210.35</v>
          </cell>
          <cell r="AU224">
            <v>0</v>
          </cell>
          <cell r="AV224">
            <v>0</v>
          </cell>
          <cell r="AW224">
            <v>0</v>
          </cell>
          <cell r="AX224">
            <v>0</v>
          </cell>
          <cell r="AY224">
            <v>0</v>
          </cell>
          <cell r="AZ224">
            <v>0</v>
          </cell>
          <cell r="BA224">
            <v>0</v>
          </cell>
          <cell r="BB224">
            <v>0</v>
          </cell>
          <cell r="BC224">
            <v>-342.66</v>
          </cell>
          <cell r="BD224">
            <v>-1033.71</v>
          </cell>
          <cell r="BE224">
            <v>-2115.61</v>
          </cell>
          <cell r="BF224">
            <v>-1173.6500000000001</v>
          </cell>
          <cell r="BG224">
            <v>0</v>
          </cell>
          <cell r="BH224">
            <v>0</v>
          </cell>
          <cell r="BI224">
            <v>0</v>
          </cell>
          <cell r="BJ224">
            <v>0</v>
          </cell>
          <cell r="BK224">
            <v>0</v>
          </cell>
          <cell r="BL224">
            <v>0</v>
          </cell>
          <cell r="BM224">
            <v>0</v>
          </cell>
          <cell r="BN224">
            <v>0</v>
          </cell>
          <cell r="BO224">
            <v>0</v>
          </cell>
          <cell r="BP224">
            <v>-1106.4100000000001</v>
          </cell>
          <cell r="BQ224">
            <v>-2062.5500000000002</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-735.23</v>
          </cell>
          <cell r="DD224">
            <v>0</v>
          </cell>
          <cell r="DE224">
            <v>0</v>
          </cell>
          <cell r="DF224">
            <v>0</v>
          </cell>
          <cell r="DG224">
            <v>0</v>
          </cell>
          <cell r="DH224">
            <v>0</v>
          </cell>
        </row>
        <row r="225">
          <cell r="C225" t="str">
            <v>AP Group Life Insur</v>
          </cell>
          <cell r="D225">
            <v>28.58</v>
          </cell>
          <cell r="E225">
            <v>17.68</v>
          </cell>
          <cell r="F225">
            <v>6.77</v>
          </cell>
          <cell r="G225">
            <v>-6.35</v>
          </cell>
          <cell r="H225">
            <v>-3.31</v>
          </cell>
          <cell r="I225">
            <v>-19.670000000000002</v>
          </cell>
          <cell r="J225">
            <v>-14.24</v>
          </cell>
          <cell r="K225">
            <v>-24.64</v>
          </cell>
          <cell r="L225">
            <v>-43.3</v>
          </cell>
          <cell r="M225">
            <v>-59.88</v>
          </cell>
          <cell r="N225">
            <v>152.77000000000001</v>
          </cell>
          <cell r="O225">
            <v>16.96</v>
          </cell>
          <cell r="P225">
            <v>0</v>
          </cell>
          <cell r="Q225">
            <v>-20.010000000000002</v>
          </cell>
          <cell r="R225">
            <v>-56.53</v>
          </cell>
          <cell r="S225">
            <v>-93.06</v>
          </cell>
          <cell r="T225">
            <v>-135.6</v>
          </cell>
          <cell r="U225">
            <v>-197.95</v>
          </cell>
          <cell r="V225">
            <v>-237.24</v>
          </cell>
          <cell r="W225">
            <v>-259.58</v>
          </cell>
          <cell r="X225">
            <v>-375.56</v>
          </cell>
          <cell r="Y225">
            <v>-622.33000000000004</v>
          </cell>
          <cell r="Z225">
            <v>-14073.63</v>
          </cell>
          <cell r="AA225">
            <v>-806.03</v>
          </cell>
          <cell r="AB225">
            <v>-760.3</v>
          </cell>
          <cell r="AC225">
            <v>-849.81</v>
          </cell>
          <cell r="AD225">
            <v>-854.22</v>
          </cell>
          <cell r="AE225">
            <v>-915.33</v>
          </cell>
          <cell r="AF225">
            <v>-1007.9</v>
          </cell>
          <cell r="AG225">
            <v>-973.87</v>
          </cell>
          <cell r="AH225">
            <v>-1045.4100000000001</v>
          </cell>
          <cell r="AI225">
            <v>-1083.99</v>
          </cell>
          <cell r="AJ225">
            <v>-1122.57</v>
          </cell>
          <cell r="AK225">
            <v>-1155.25</v>
          </cell>
          <cell r="AL225">
            <v>-1216.6199999999999</v>
          </cell>
          <cell r="AM225">
            <v>-1339.04</v>
          </cell>
          <cell r="AN225">
            <v>-1377.59</v>
          </cell>
          <cell r="AO225">
            <v>-1417.8</v>
          </cell>
          <cell r="AP225">
            <v>-1462.9</v>
          </cell>
          <cell r="AQ225">
            <v>-1525.95</v>
          </cell>
          <cell r="AR225">
            <v>-1551.41</v>
          </cell>
          <cell r="AS225">
            <v>-1601.13</v>
          </cell>
          <cell r="AT225">
            <v>-1660.5</v>
          </cell>
          <cell r="AU225">
            <v>-1721.09</v>
          </cell>
          <cell r="AV225">
            <v>-1701.82</v>
          </cell>
          <cell r="AW225">
            <v>-1745.87</v>
          </cell>
          <cell r="AX225">
            <v>-1791.02</v>
          </cell>
          <cell r="AY225">
            <v>-1835.06</v>
          </cell>
          <cell r="AZ225">
            <v>-1874.06</v>
          </cell>
          <cell r="BA225">
            <v>-1935.24</v>
          </cell>
          <cell r="BB225">
            <v>-1997.66</v>
          </cell>
          <cell r="BC225">
            <v>-2115.19</v>
          </cell>
          <cell r="BD225">
            <v>-2132.1799999999998</v>
          </cell>
          <cell r="BE225">
            <v>-2180.4499999999998</v>
          </cell>
          <cell r="BF225">
            <v>-2095.5500000000002</v>
          </cell>
          <cell r="BG225">
            <v>-2227.87</v>
          </cell>
          <cell r="BH225">
            <v>-2350.52</v>
          </cell>
          <cell r="BI225">
            <v>-2478.9699999999998</v>
          </cell>
          <cell r="BJ225">
            <v>-2509.46</v>
          </cell>
          <cell r="BK225">
            <v>-2482.2399999999998</v>
          </cell>
          <cell r="BL225">
            <v>-65.25</v>
          </cell>
          <cell r="BM225">
            <v>-15357.31</v>
          </cell>
          <cell r="BN225">
            <v>-15424.89</v>
          </cell>
          <cell r="BO225">
            <v>-14891.34</v>
          </cell>
          <cell r="BP225">
            <v>-14943.49</v>
          </cell>
          <cell r="BQ225">
            <v>-14927.12</v>
          </cell>
          <cell r="BR225">
            <v>-14972.53</v>
          </cell>
          <cell r="BS225">
            <v>-14768.6</v>
          </cell>
          <cell r="BT225">
            <v>-14820.78</v>
          </cell>
          <cell r="BU225">
            <v>-14844.12</v>
          </cell>
          <cell r="BV225">
            <v>-29292.59</v>
          </cell>
          <cell r="BW225">
            <v>-14964.21</v>
          </cell>
          <cell r="BX225">
            <v>478.45</v>
          </cell>
          <cell r="BY225">
            <v>-14776.58</v>
          </cell>
          <cell r="BZ225">
            <v>329.9</v>
          </cell>
          <cell r="CA225">
            <v>0</v>
          </cell>
          <cell r="CB225">
            <v>-15426.59</v>
          </cell>
          <cell r="CC225">
            <v>-73</v>
          </cell>
          <cell r="CD225">
            <v>0</v>
          </cell>
          <cell r="CE225">
            <v>-69.16</v>
          </cell>
          <cell r="CF225">
            <v>-124.77</v>
          </cell>
          <cell r="CG225">
            <v>0</v>
          </cell>
          <cell r="CH225">
            <v>-40.46</v>
          </cell>
          <cell r="CI225">
            <v>-106.81</v>
          </cell>
          <cell r="CJ225">
            <v>0</v>
          </cell>
          <cell r="CK225">
            <v>-6.18</v>
          </cell>
          <cell r="CL225">
            <v>-41.48</v>
          </cell>
          <cell r="CM225">
            <v>0</v>
          </cell>
          <cell r="CN225">
            <v>26.68</v>
          </cell>
          <cell r="CO225">
            <v>51.16</v>
          </cell>
          <cell r="CP225">
            <v>71.23</v>
          </cell>
          <cell r="CQ225">
            <v>97.9</v>
          </cell>
          <cell r="CR225">
            <v>170.8</v>
          </cell>
          <cell r="CS225">
            <v>65.03</v>
          </cell>
          <cell r="CT225">
            <v>-14389.96</v>
          </cell>
          <cell r="CU225">
            <v>-14269.9</v>
          </cell>
          <cell r="CV225">
            <v>434.73</v>
          </cell>
          <cell r="CW225">
            <v>-17565.66</v>
          </cell>
          <cell r="CX225">
            <v>-34995.379999999997</v>
          </cell>
          <cell r="CY225">
            <v>-52774.8</v>
          </cell>
          <cell r="CZ225">
            <v>-70382.92</v>
          </cell>
          <cell r="DA225">
            <v>-17364.259999999998</v>
          </cell>
          <cell r="DB225">
            <v>-17333.740000000002</v>
          </cell>
          <cell r="DC225">
            <v>477.52</v>
          </cell>
          <cell r="DD225">
            <v>627.21</v>
          </cell>
          <cell r="DE225">
            <v>-17226.11</v>
          </cell>
          <cell r="DF225">
            <v>-35185.01</v>
          </cell>
          <cell r="DG225">
            <v>-17279.62</v>
          </cell>
          <cell r="DH225">
            <v>-17234.8</v>
          </cell>
        </row>
        <row r="226">
          <cell r="C226" t="str">
            <v>AP LT Care Insurance</v>
          </cell>
          <cell r="D226">
            <v>13.2</v>
          </cell>
          <cell r="E226">
            <v>26.4</v>
          </cell>
          <cell r="F226">
            <v>39.6</v>
          </cell>
          <cell r="G226">
            <v>39.6</v>
          </cell>
          <cell r="H226">
            <v>39.6</v>
          </cell>
          <cell r="I226">
            <v>39.6</v>
          </cell>
          <cell r="J226">
            <v>-586</v>
          </cell>
          <cell r="K226">
            <v>39.6</v>
          </cell>
          <cell r="L226">
            <v>39.6</v>
          </cell>
          <cell r="M226">
            <v>39.6</v>
          </cell>
          <cell r="N226">
            <v>39.6</v>
          </cell>
          <cell r="O226">
            <v>-586</v>
          </cell>
          <cell r="P226">
            <v>0</v>
          </cell>
          <cell r="Q226">
            <v>36.4</v>
          </cell>
          <cell r="R226">
            <v>112.4</v>
          </cell>
          <cell r="S226">
            <v>112.4</v>
          </cell>
          <cell r="T226">
            <v>112.4</v>
          </cell>
          <cell r="U226">
            <v>124.4</v>
          </cell>
          <cell r="V226">
            <v>136.4</v>
          </cell>
          <cell r="W226">
            <v>-385.4</v>
          </cell>
          <cell r="X226">
            <v>112.4</v>
          </cell>
          <cell r="Y226">
            <v>128</v>
          </cell>
          <cell r="Z226">
            <v>128</v>
          </cell>
          <cell r="AA226">
            <v>96.8</v>
          </cell>
          <cell r="AB226">
            <v>-409.4</v>
          </cell>
          <cell r="AC226">
            <v>-425</v>
          </cell>
          <cell r="AD226">
            <v>46.8</v>
          </cell>
          <cell r="AE226">
            <v>99.7</v>
          </cell>
          <cell r="AF226">
            <v>99.7</v>
          </cell>
          <cell r="AG226">
            <v>99.7</v>
          </cell>
          <cell r="AH226">
            <v>99.7</v>
          </cell>
          <cell r="AI226">
            <v>99.7</v>
          </cell>
          <cell r="AJ226">
            <v>142.69999999999999</v>
          </cell>
          <cell r="AK226">
            <v>185.7</v>
          </cell>
          <cell r="AL226">
            <v>-343.1</v>
          </cell>
          <cell r="AM226">
            <v>-413.3</v>
          </cell>
          <cell r="AN226">
            <v>-372.4</v>
          </cell>
          <cell r="AO226">
            <v>-372.4</v>
          </cell>
          <cell r="AP226">
            <v>-367.6</v>
          </cell>
          <cell r="AQ226">
            <v>-372.4</v>
          </cell>
          <cell r="AR226">
            <v>-351.1</v>
          </cell>
          <cell r="AS226">
            <v>-372.4</v>
          </cell>
          <cell r="AT226">
            <v>-372.4</v>
          </cell>
          <cell r="AU226">
            <v>-803.1</v>
          </cell>
          <cell r="AV226">
            <v>-772</v>
          </cell>
          <cell r="AW226">
            <v>-1202.7</v>
          </cell>
          <cell r="AX226">
            <v>-1218.4000000000001</v>
          </cell>
          <cell r="AY226">
            <v>-341.3</v>
          </cell>
          <cell r="AZ226">
            <v>-314.5</v>
          </cell>
          <cell r="BA226">
            <v>-283.2</v>
          </cell>
          <cell r="BB226">
            <v>-283.2</v>
          </cell>
          <cell r="BC226">
            <v>-283.2</v>
          </cell>
          <cell r="BD226">
            <v>-283.2</v>
          </cell>
          <cell r="BE226">
            <v>-283.2</v>
          </cell>
          <cell r="BF226">
            <v>-283.2</v>
          </cell>
          <cell r="BG226">
            <v>-309.14999999999998</v>
          </cell>
          <cell r="BH226">
            <v>-361.05</v>
          </cell>
          <cell r="BI226">
            <v>-331.45</v>
          </cell>
          <cell r="BJ226">
            <v>-331.45</v>
          </cell>
          <cell r="BK226">
            <v>-331.45</v>
          </cell>
          <cell r="BL226">
            <v>0</v>
          </cell>
          <cell r="BM226">
            <v>0</v>
          </cell>
          <cell r="BN226">
            <v>0</v>
          </cell>
          <cell r="BO226">
            <v>0</v>
          </cell>
          <cell r="BP226">
            <v>0</v>
          </cell>
          <cell r="BQ226">
            <v>0</v>
          </cell>
          <cell r="BR226">
            <v>-489.3</v>
          </cell>
          <cell r="BS226">
            <v>0</v>
          </cell>
          <cell r="BT226">
            <v>0</v>
          </cell>
          <cell r="BU226">
            <v>-64.7</v>
          </cell>
          <cell r="BV226">
            <v>-27.2</v>
          </cell>
          <cell r="BW226">
            <v>-27.2</v>
          </cell>
          <cell r="BX226">
            <v>0</v>
          </cell>
          <cell r="BY226">
            <v>0</v>
          </cell>
          <cell r="BZ226">
            <v>0</v>
          </cell>
          <cell r="CA226">
            <v>-647.5</v>
          </cell>
          <cell r="CB226">
            <v>-647.5</v>
          </cell>
          <cell r="CC226">
            <v>-591.6</v>
          </cell>
          <cell r="CD226">
            <v>-591.6</v>
          </cell>
          <cell r="CE226">
            <v>-591.6</v>
          </cell>
          <cell r="CF226">
            <v>-591.6</v>
          </cell>
          <cell r="CG226">
            <v>-591.6</v>
          </cell>
          <cell r="CH226">
            <v>-1291.9000000000001</v>
          </cell>
          <cell r="CI226">
            <v>-1275.7</v>
          </cell>
          <cell r="CJ226">
            <v>-606.5</v>
          </cell>
          <cell r="CK226">
            <v>-1290.5999999999999</v>
          </cell>
          <cell r="CL226">
            <v>-1238.4000000000001</v>
          </cell>
          <cell r="CM226">
            <v>-585.9</v>
          </cell>
          <cell r="CN226">
            <v>-1244.0999999999999</v>
          </cell>
          <cell r="CO226">
            <v>-1244.0999999999999</v>
          </cell>
          <cell r="CP226">
            <v>-1244.0999999999999</v>
          </cell>
          <cell r="CQ226">
            <v>-596.6</v>
          </cell>
          <cell r="CR226">
            <v>-1254.8</v>
          </cell>
          <cell r="CS226">
            <v>-1254.8</v>
          </cell>
          <cell r="CT226">
            <v>-1254.8</v>
          </cell>
          <cell r="CU226">
            <v>-1913</v>
          </cell>
          <cell r="CV226">
            <v>-1171.5</v>
          </cell>
          <cell r="CW226">
            <v>-1088.2</v>
          </cell>
          <cell r="CX226">
            <v>-1004.9</v>
          </cell>
          <cell r="CY226">
            <v>4182.6000000000004</v>
          </cell>
          <cell r="CZ226">
            <v>4182.6000000000004</v>
          </cell>
          <cell r="DA226">
            <v>4182.6000000000004</v>
          </cell>
          <cell r="DB226">
            <v>5907.3</v>
          </cell>
          <cell r="DC226">
            <v>5332.4</v>
          </cell>
          <cell r="DD226">
            <v>4757.5</v>
          </cell>
          <cell r="DE226">
            <v>4182.6000000000004</v>
          </cell>
          <cell r="DF226">
            <v>3607.7</v>
          </cell>
          <cell r="DG226">
            <v>4182.6000000000004</v>
          </cell>
          <cell r="DH226">
            <v>4182.6000000000004</v>
          </cell>
        </row>
        <row r="227">
          <cell r="C227" t="str">
            <v>AP United Fund</v>
          </cell>
          <cell r="D227">
            <v>0</v>
          </cell>
          <cell r="E227">
            <v>-2053.34</v>
          </cell>
          <cell r="F227">
            <v>-3581.68</v>
          </cell>
          <cell r="G227">
            <v>0</v>
          </cell>
          <cell r="H227">
            <v>-1514.2</v>
          </cell>
          <cell r="I227">
            <v>0</v>
          </cell>
          <cell r="J227">
            <v>-3030.9</v>
          </cell>
          <cell r="K227">
            <v>-1493.7</v>
          </cell>
          <cell r="L227">
            <v>-2979.4</v>
          </cell>
          <cell r="M227">
            <v>0</v>
          </cell>
          <cell r="N227">
            <v>-1478.7</v>
          </cell>
          <cell r="O227">
            <v>-2946.99</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row>
        <row r="228">
          <cell r="C228" t="str">
            <v>AP TEPAC</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-219.87</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-723.76</v>
          </cell>
          <cell r="CA228">
            <v>0</v>
          </cell>
          <cell r="CB228">
            <v>0</v>
          </cell>
          <cell r="CC228">
            <v>0</v>
          </cell>
          <cell r="CD228">
            <v>0</v>
          </cell>
          <cell r="CE228">
            <v>0</v>
          </cell>
          <cell r="CF228">
            <v>0</v>
          </cell>
          <cell r="CG228">
            <v>0</v>
          </cell>
          <cell r="CH228">
            <v>0</v>
          </cell>
          <cell r="CI228">
            <v>0</v>
          </cell>
          <cell r="CJ228">
            <v>0</v>
          </cell>
          <cell r="CK228">
            <v>-355.28</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-202.54</v>
          </cell>
          <cell r="CZ228">
            <v>0</v>
          </cell>
          <cell r="DA228">
            <v>0</v>
          </cell>
          <cell r="DB228">
            <v>0</v>
          </cell>
          <cell r="DC228">
            <v>0</v>
          </cell>
          <cell r="DD228">
            <v>0</v>
          </cell>
          <cell r="DE228">
            <v>0</v>
          </cell>
          <cell r="DF228">
            <v>0</v>
          </cell>
          <cell r="DG228">
            <v>0</v>
          </cell>
          <cell r="DH228">
            <v>0</v>
          </cell>
        </row>
        <row r="229">
          <cell r="C229" t="str">
            <v>AP Fitness Center</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-5</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row>
        <row r="230">
          <cell r="C230" t="str">
            <v>AP HSA Emplyee Cntrb</v>
          </cell>
          <cell r="D230">
            <v>376.08</v>
          </cell>
          <cell r="E230">
            <v>376.08</v>
          </cell>
          <cell r="F230">
            <v>376.08</v>
          </cell>
          <cell r="G230">
            <v>376.08</v>
          </cell>
          <cell r="H230">
            <v>9199.58</v>
          </cell>
          <cell r="I230">
            <v>376.08</v>
          </cell>
          <cell r="J230">
            <v>376.08</v>
          </cell>
          <cell r="K230">
            <v>376.08</v>
          </cell>
          <cell r="L230">
            <v>409.41</v>
          </cell>
          <cell r="M230">
            <v>376.08</v>
          </cell>
          <cell r="N230">
            <v>376.08</v>
          </cell>
          <cell r="O230">
            <v>376.08</v>
          </cell>
          <cell r="P230">
            <v>376.08</v>
          </cell>
          <cell r="Q230">
            <v>376.08</v>
          </cell>
          <cell r="R230">
            <v>376.08</v>
          </cell>
          <cell r="S230">
            <v>376.08</v>
          </cell>
          <cell r="T230">
            <v>376.08</v>
          </cell>
          <cell r="U230">
            <v>376.08</v>
          </cell>
          <cell r="V230">
            <v>376.08</v>
          </cell>
          <cell r="W230">
            <v>376.08</v>
          </cell>
          <cell r="X230">
            <v>376.08</v>
          </cell>
          <cell r="Y230">
            <v>9368.15</v>
          </cell>
          <cell r="Z230">
            <v>376.08</v>
          </cell>
          <cell r="AA230">
            <v>376.08</v>
          </cell>
          <cell r="AB230">
            <v>376.08</v>
          </cell>
          <cell r="AC230">
            <v>376.08</v>
          </cell>
          <cell r="AD230">
            <v>376.08</v>
          </cell>
          <cell r="AE230">
            <v>376.08</v>
          </cell>
          <cell r="AF230">
            <v>376.08</v>
          </cell>
          <cell r="AG230">
            <v>376.08</v>
          </cell>
          <cell r="AH230">
            <v>376.08</v>
          </cell>
          <cell r="AI230">
            <v>376.08</v>
          </cell>
          <cell r="AJ230">
            <v>9786.98</v>
          </cell>
          <cell r="AK230">
            <v>376.08</v>
          </cell>
          <cell r="AL230">
            <v>376.08</v>
          </cell>
          <cell r="AM230">
            <v>376.08</v>
          </cell>
          <cell r="AN230">
            <v>376.08</v>
          </cell>
          <cell r="AO230">
            <v>376.08</v>
          </cell>
          <cell r="AP230">
            <v>376.08</v>
          </cell>
          <cell r="AQ230">
            <v>376.08</v>
          </cell>
          <cell r="AR230">
            <v>376.08</v>
          </cell>
          <cell r="AS230">
            <v>376.08</v>
          </cell>
          <cell r="AT230">
            <v>376.08</v>
          </cell>
          <cell r="AU230">
            <v>376.08</v>
          </cell>
          <cell r="AV230">
            <v>376.08</v>
          </cell>
          <cell r="AW230">
            <v>376.08</v>
          </cell>
          <cell r="AX230">
            <v>376.08</v>
          </cell>
          <cell r="AY230">
            <v>376.08</v>
          </cell>
          <cell r="AZ230">
            <v>376.08</v>
          </cell>
          <cell r="BA230">
            <v>11021.73</v>
          </cell>
          <cell r="BB230">
            <v>10901.74</v>
          </cell>
          <cell r="BC230">
            <v>326.08</v>
          </cell>
          <cell r="BD230">
            <v>326.08</v>
          </cell>
          <cell r="BE230">
            <v>326.08</v>
          </cell>
          <cell r="BF230">
            <v>326.08</v>
          </cell>
          <cell r="BG230">
            <v>326.08</v>
          </cell>
          <cell r="BH230">
            <v>-50</v>
          </cell>
          <cell r="BI230">
            <v>-50</v>
          </cell>
          <cell r="BJ230">
            <v>-50</v>
          </cell>
          <cell r="BK230">
            <v>-50</v>
          </cell>
          <cell r="BL230">
            <v>0</v>
          </cell>
          <cell r="BM230">
            <v>0</v>
          </cell>
          <cell r="BN230">
            <v>11768</v>
          </cell>
          <cell r="BO230">
            <v>0</v>
          </cell>
          <cell r="BP230">
            <v>23681.46</v>
          </cell>
          <cell r="BQ230">
            <v>0</v>
          </cell>
          <cell r="BR230">
            <v>9.4</v>
          </cell>
          <cell r="BS230">
            <v>-188.52</v>
          </cell>
          <cell r="BT230">
            <v>-971.85</v>
          </cell>
          <cell r="BU230">
            <v>102.5</v>
          </cell>
          <cell r="BV230">
            <v>-13231.9</v>
          </cell>
          <cell r="BW230">
            <v>185.83</v>
          </cell>
          <cell r="BX230">
            <v>185.83</v>
          </cell>
          <cell r="BY230">
            <v>-13901.1</v>
          </cell>
          <cell r="BZ230">
            <v>-27991.29</v>
          </cell>
          <cell r="CA230">
            <v>-13920.99</v>
          </cell>
          <cell r="CB230">
            <v>-13920.99</v>
          </cell>
          <cell r="CC230">
            <v>-13920.99</v>
          </cell>
          <cell r="CD230">
            <v>-27940.76</v>
          </cell>
          <cell r="CE230">
            <v>-14087.65</v>
          </cell>
          <cell r="CF230">
            <v>-28477.99</v>
          </cell>
          <cell r="CG230">
            <v>-57431.99</v>
          </cell>
          <cell r="CH230">
            <v>-28525.07</v>
          </cell>
          <cell r="CI230">
            <v>-13945.99</v>
          </cell>
          <cell r="CJ230">
            <v>-13945.99</v>
          </cell>
          <cell r="CK230">
            <v>-28709.17</v>
          </cell>
          <cell r="CL230">
            <v>-13945.99</v>
          </cell>
          <cell r="CM230">
            <v>-15156.01</v>
          </cell>
          <cell r="CN230">
            <v>-29758.3</v>
          </cell>
          <cell r="CO230">
            <v>-15073.68</v>
          </cell>
          <cell r="CP230">
            <v>-15073.68</v>
          </cell>
          <cell r="CQ230">
            <v>-15073.68</v>
          </cell>
          <cell r="CR230">
            <v>-15207.01</v>
          </cell>
          <cell r="CS230">
            <v>-16384.099999999999</v>
          </cell>
          <cell r="CT230">
            <v>-32957.18</v>
          </cell>
          <cell r="CU230">
            <v>-64770</v>
          </cell>
          <cell r="CV230">
            <v>-15384.1</v>
          </cell>
          <cell r="CW230">
            <v>-15384.1</v>
          </cell>
          <cell r="CX230">
            <v>-15384.1</v>
          </cell>
          <cell r="CY230">
            <v>-31689.21</v>
          </cell>
          <cell r="CZ230">
            <v>-49035.44</v>
          </cell>
          <cell r="DA230">
            <v>-16091.29</v>
          </cell>
          <cell r="DB230">
            <v>-16428.150000000001</v>
          </cell>
          <cell r="DC230">
            <v>-53110.89</v>
          </cell>
          <cell r="DD230">
            <v>-15317.46</v>
          </cell>
          <cell r="DE230">
            <v>-32660.14</v>
          </cell>
          <cell r="DF230">
            <v>-14375.79</v>
          </cell>
          <cell r="DG230">
            <v>-14692.46</v>
          </cell>
          <cell r="DH230">
            <v>-14616.97</v>
          </cell>
        </row>
        <row r="231">
          <cell r="C231" t="str">
            <v>AP HSA Emplyer Cntrb</v>
          </cell>
          <cell r="D231">
            <v>0</v>
          </cell>
          <cell r="E231">
            <v>500</v>
          </cell>
          <cell r="F231">
            <v>-0.09</v>
          </cell>
          <cell r="G231">
            <v>-0.09</v>
          </cell>
          <cell r="H231">
            <v>4341.0600000000004</v>
          </cell>
          <cell r="I231">
            <v>-0.09</v>
          </cell>
          <cell r="J231">
            <v>-0.09</v>
          </cell>
          <cell r="K231">
            <v>-0.09</v>
          </cell>
          <cell r="L231">
            <v>33.24</v>
          </cell>
          <cell r="M231">
            <v>-0.09</v>
          </cell>
          <cell r="N231">
            <v>-0.09</v>
          </cell>
          <cell r="O231">
            <v>-0.09</v>
          </cell>
          <cell r="P231">
            <v>-0.09</v>
          </cell>
          <cell r="Q231">
            <v>-0.09</v>
          </cell>
          <cell r="R231">
            <v>-0.09</v>
          </cell>
          <cell r="S231">
            <v>-0.09</v>
          </cell>
          <cell r="T231">
            <v>-0.09</v>
          </cell>
          <cell r="U231">
            <v>-0.09</v>
          </cell>
          <cell r="V231">
            <v>-0.09</v>
          </cell>
          <cell r="W231">
            <v>-0.09</v>
          </cell>
          <cell r="X231">
            <v>-0.09</v>
          </cell>
          <cell r="Y231">
            <v>4170.3100000000004</v>
          </cell>
          <cell r="Z231">
            <v>-0.09</v>
          </cell>
          <cell r="AA231">
            <v>-0.09</v>
          </cell>
          <cell r="AB231">
            <v>-0.09</v>
          </cell>
          <cell r="AC231">
            <v>-0.09</v>
          </cell>
          <cell r="AD231">
            <v>-0.09</v>
          </cell>
          <cell r="AE231">
            <v>-0.09</v>
          </cell>
          <cell r="AF231">
            <v>-0.09</v>
          </cell>
          <cell r="AG231">
            <v>-0.09</v>
          </cell>
          <cell r="AH231">
            <v>-0.09</v>
          </cell>
          <cell r="AI231">
            <v>-0.09</v>
          </cell>
          <cell r="AJ231">
            <v>5596.44</v>
          </cell>
          <cell r="AK231">
            <v>-0.09</v>
          </cell>
          <cell r="AL231">
            <v>-0.09</v>
          </cell>
          <cell r="AM231">
            <v>-0.09</v>
          </cell>
          <cell r="AN231">
            <v>-0.09</v>
          </cell>
          <cell r="AO231">
            <v>1199.9100000000001</v>
          </cell>
          <cell r="AP231">
            <v>1199.9100000000001</v>
          </cell>
          <cell r="AQ231">
            <v>1199.9100000000001</v>
          </cell>
          <cell r="AR231">
            <v>1199.9100000000001</v>
          </cell>
          <cell r="AS231">
            <v>-0.09</v>
          </cell>
          <cell r="AT231">
            <v>-0.09</v>
          </cell>
          <cell r="AU231">
            <v>-0.09</v>
          </cell>
          <cell r="AV231">
            <v>-0.09</v>
          </cell>
          <cell r="AW231">
            <v>-0.09</v>
          </cell>
          <cell r="AX231">
            <v>-0.09</v>
          </cell>
          <cell r="AY231">
            <v>-0.09</v>
          </cell>
          <cell r="AZ231">
            <v>-0.09</v>
          </cell>
          <cell r="BA231">
            <v>4262.09</v>
          </cell>
          <cell r="BB231">
            <v>4487.92</v>
          </cell>
          <cell r="BC231">
            <v>-33.43</v>
          </cell>
          <cell r="BD231">
            <v>-33.43</v>
          </cell>
          <cell r="BE231">
            <v>-33.43</v>
          </cell>
          <cell r="BF231">
            <v>-33.43</v>
          </cell>
          <cell r="BG231">
            <v>-33.43</v>
          </cell>
          <cell r="BH231">
            <v>0</v>
          </cell>
          <cell r="BI231">
            <v>0</v>
          </cell>
          <cell r="BJ231">
            <v>0</v>
          </cell>
          <cell r="BK231">
            <v>0</v>
          </cell>
          <cell r="BL231">
            <v>33.340000000000003</v>
          </cell>
          <cell r="BM231">
            <v>33.340000000000003</v>
          </cell>
          <cell r="BN231">
            <v>474.27</v>
          </cell>
          <cell r="BO231">
            <v>-4566.66</v>
          </cell>
          <cell r="BP231">
            <v>5748.53</v>
          </cell>
          <cell r="BQ231">
            <v>-4566.66</v>
          </cell>
          <cell r="BR231">
            <v>-2871.66</v>
          </cell>
          <cell r="BS231">
            <v>5407.51</v>
          </cell>
          <cell r="BT231">
            <v>5109.6000000000004</v>
          </cell>
          <cell r="BU231">
            <v>-7865.4</v>
          </cell>
          <cell r="BV231">
            <v>-12444.75</v>
          </cell>
          <cell r="BW231">
            <v>-7852.9</v>
          </cell>
          <cell r="BX231">
            <v>-7927.9</v>
          </cell>
          <cell r="BY231">
            <v>-14563.92</v>
          </cell>
          <cell r="BZ231">
            <v>-19231.29</v>
          </cell>
          <cell r="CA231">
            <v>-14526.42</v>
          </cell>
          <cell r="CB231">
            <v>-13626.42</v>
          </cell>
          <cell r="CC231">
            <v>-13626.42</v>
          </cell>
          <cell r="CD231">
            <v>-19018.41</v>
          </cell>
          <cell r="CE231">
            <v>-13751.42</v>
          </cell>
          <cell r="CF231">
            <v>-18726.740000000002</v>
          </cell>
          <cell r="CG231">
            <v>-28982.39</v>
          </cell>
          <cell r="CH231">
            <v>-18764.240000000002</v>
          </cell>
          <cell r="CI231">
            <v>-13251.42</v>
          </cell>
          <cell r="CJ231">
            <v>-13251.42</v>
          </cell>
          <cell r="CK231">
            <v>-19786.240000000002</v>
          </cell>
          <cell r="CL231">
            <v>-14084.76</v>
          </cell>
          <cell r="CM231">
            <v>-15113.93</v>
          </cell>
          <cell r="CN231">
            <v>-19924.57</v>
          </cell>
          <cell r="CO231">
            <v>-15022.27</v>
          </cell>
          <cell r="CP231">
            <v>-15288.93</v>
          </cell>
          <cell r="CQ231">
            <v>-15288.93</v>
          </cell>
          <cell r="CR231">
            <v>-15347.27</v>
          </cell>
          <cell r="CS231">
            <v>-15699.34</v>
          </cell>
          <cell r="CT231">
            <v>-20662.240000000002</v>
          </cell>
          <cell r="CU231">
            <v>-30571.38</v>
          </cell>
          <cell r="CV231">
            <v>-14936.85</v>
          </cell>
          <cell r="CW231">
            <v>-14536.85</v>
          </cell>
          <cell r="CX231">
            <v>-14536.85</v>
          </cell>
          <cell r="CY231">
            <v>-20365.87</v>
          </cell>
          <cell r="CZ231">
            <v>-26925.75</v>
          </cell>
          <cell r="DA231">
            <v>-16557.68</v>
          </cell>
          <cell r="DB231">
            <v>-16966.009999999998</v>
          </cell>
          <cell r="DC231">
            <v>-30795.09</v>
          </cell>
          <cell r="DD231">
            <v>-16576.86</v>
          </cell>
          <cell r="DE231">
            <v>-28185.42</v>
          </cell>
          <cell r="DF231">
            <v>-22547.8</v>
          </cell>
          <cell r="DG231">
            <v>-22018.63</v>
          </cell>
          <cell r="DH231">
            <v>-22235.29</v>
          </cell>
        </row>
        <row r="232">
          <cell r="C232" t="str">
            <v>AP Med Ins Reserve</v>
          </cell>
          <cell r="D232">
            <v>-550000</v>
          </cell>
          <cell r="E232">
            <v>-584104.32999999996</v>
          </cell>
          <cell r="F232">
            <v>-499999.93</v>
          </cell>
          <cell r="G232">
            <v>-500000.02</v>
          </cell>
          <cell r="H232">
            <v>-499999.59</v>
          </cell>
          <cell r="I232">
            <v>-499999.73</v>
          </cell>
          <cell r="J232">
            <v>-500000.1</v>
          </cell>
          <cell r="K232">
            <v>-499999.7</v>
          </cell>
          <cell r="L232">
            <v>-480000.17</v>
          </cell>
          <cell r="M232">
            <v>-499999.59</v>
          </cell>
          <cell r="N232">
            <v>-499999.66</v>
          </cell>
          <cell r="O232">
            <v>-500000.39</v>
          </cell>
          <cell r="P232">
            <v>-699999.83</v>
          </cell>
          <cell r="Q232">
            <v>-600000.39</v>
          </cell>
          <cell r="R232">
            <v>-599999.97</v>
          </cell>
          <cell r="S232">
            <v>-599999.66</v>
          </cell>
          <cell r="T232">
            <v>-599999.57999999996</v>
          </cell>
          <cell r="U232">
            <v>-599999.96</v>
          </cell>
          <cell r="V232">
            <v>-599999.6</v>
          </cell>
          <cell r="W232">
            <v>-599999.5</v>
          </cell>
          <cell r="X232">
            <v>-599999.67000000004</v>
          </cell>
          <cell r="Y232">
            <v>-599999.51</v>
          </cell>
          <cell r="Z232">
            <v>-613214.12</v>
          </cell>
          <cell r="AA232">
            <v>-749999.86</v>
          </cell>
          <cell r="AB232">
            <v>-600000.01</v>
          </cell>
          <cell r="AC232">
            <v>-699999.91</v>
          </cell>
          <cell r="AD232">
            <v>-700000.19</v>
          </cell>
          <cell r="AE232">
            <v>-700000.11</v>
          </cell>
          <cell r="AF232">
            <v>-699999.88</v>
          </cell>
          <cell r="AG232">
            <v>-699999.65</v>
          </cell>
          <cell r="AH232">
            <v>-699999.84</v>
          </cell>
          <cell r="AI232">
            <v>-699999.67</v>
          </cell>
          <cell r="AJ232">
            <v>-700000.41</v>
          </cell>
          <cell r="AK232">
            <v>-699999.92</v>
          </cell>
          <cell r="AL232">
            <v>-699999.83</v>
          </cell>
          <cell r="AM232">
            <v>-699999.52</v>
          </cell>
          <cell r="AN232">
            <v>-800000.34</v>
          </cell>
          <cell r="AO232">
            <v>-700000.43</v>
          </cell>
          <cell r="AP232">
            <v>-799999.61</v>
          </cell>
          <cell r="AQ232">
            <v>-700000.08</v>
          </cell>
          <cell r="AR232">
            <v>-800000.15</v>
          </cell>
          <cell r="AS232">
            <v>-799999.66</v>
          </cell>
          <cell r="AT232">
            <v>-700673.37</v>
          </cell>
          <cell r="AU232">
            <v>-700000.2</v>
          </cell>
          <cell r="AV232">
            <v>-700000.44</v>
          </cell>
          <cell r="AW232">
            <v>-700000.3</v>
          </cell>
          <cell r="AX232">
            <v>-699999.58</v>
          </cell>
          <cell r="AY232">
            <v>-700000.31</v>
          </cell>
          <cell r="AZ232">
            <v>-600000.31000000006</v>
          </cell>
          <cell r="BA232">
            <v>-500000.49</v>
          </cell>
          <cell r="BB232">
            <v>-500000.35</v>
          </cell>
          <cell r="BC232">
            <v>-500000.29</v>
          </cell>
          <cell r="BD232">
            <v>-500000.25</v>
          </cell>
          <cell r="BE232">
            <v>-499999.86</v>
          </cell>
          <cell r="BF232">
            <v>-500000.08</v>
          </cell>
          <cell r="BG232">
            <v>-500000.07</v>
          </cell>
          <cell r="BH232">
            <v>-500000.44</v>
          </cell>
          <cell r="BI232">
            <v>-500000.46</v>
          </cell>
          <cell r="BJ232">
            <v>-499999.99</v>
          </cell>
          <cell r="BK232">
            <v>-499999.74</v>
          </cell>
          <cell r="BL232">
            <v>-1200000.08</v>
          </cell>
          <cell r="BM232">
            <v>-1100000.27</v>
          </cell>
          <cell r="BN232">
            <v>-1285517.6000000001</v>
          </cell>
          <cell r="BO232">
            <v>-1100000.5</v>
          </cell>
          <cell r="BP232">
            <v>-1101717.17</v>
          </cell>
          <cell r="BQ232">
            <v>-1100000.08</v>
          </cell>
          <cell r="BR232">
            <v>-1100000.1399999999</v>
          </cell>
          <cell r="BS232">
            <v>-1250000.2</v>
          </cell>
          <cell r="BT232">
            <v>-1099999.6399999999</v>
          </cell>
          <cell r="BU232">
            <v>-1099999.6599999999</v>
          </cell>
          <cell r="BV232">
            <v>-1099999.52</v>
          </cell>
          <cell r="BW232">
            <v>-1099999.52</v>
          </cell>
          <cell r="BX232">
            <v>-999999.87</v>
          </cell>
          <cell r="BY232">
            <v>-949999.63</v>
          </cell>
          <cell r="BZ232">
            <v>-950000.47</v>
          </cell>
          <cell r="CA232">
            <v>-949999.85</v>
          </cell>
          <cell r="CB232">
            <v>-949999.99</v>
          </cell>
          <cell r="CC232">
            <v>-950000.05</v>
          </cell>
          <cell r="CD232">
            <v>-949999.54</v>
          </cell>
          <cell r="CE232">
            <v>-949999.97</v>
          </cell>
          <cell r="CF232">
            <v>-950000.46</v>
          </cell>
          <cell r="CG232">
            <v>-949999.78</v>
          </cell>
          <cell r="CH232">
            <v>-949999.59</v>
          </cell>
          <cell r="CI232">
            <v>-950000.15</v>
          </cell>
          <cell r="CJ232">
            <v>-949999.86</v>
          </cell>
          <cell r="CK232">
            <v>-799999.79</v>
          </cell>
          <cell r="CL232">
            <v>-800000.38</v>
          </cell>
          <cell r="CM232">
            <v>-800000.3</v>
          </cell>
          <cell r="CN232">
            <v>-800000.16</v>
          </cell>
          <cell r="CO232">
            <v>-800000.43</v>
          </cell>
          <cell r="CP232">
            <v>-999999.56</v>
          </cell>
          <cell r="CQ232">
            <v>-800000.08</v>
          </cell>
          <cell r="CR232">
            <v>-800000.36</v>
          </cell>
          <cell r="CS232">
            <v>-800000</v>
          </cell>
          <cell r="CT232">
            <v>-800000.4</v>
          </cell>
          <cell r="CU232">
            <v>-800000.1</v>
          </cell>
          <cell r="CV232">
            <v>-1300000.45</v>
          </cell>
          <cell r="CW232">
            <v>-1199999.6100000001</v>
          </cell>
          <cell r="CX232">
            <v>-1199999.82</v>
          </cell>
          <cell r="CY232">
            <v>-1199999.6100000001</v>
          </cell>
          <cell r="CZ232">
            <v>-1199999.99</v>
          </cell>
          <cell r="DA232">
            <v>-1299999.98</v>
          </cell>
          <cell r="DB232">
            <v>-1199999.75</v>
          </cell>
          <cell r="DC232">
            <v>-1200000.18</v>
          </cell>
          <cell r="DD232">
            <v>-1199999.76</v>
          </cell>
          <cell r="DE232">
            <v>-1199999.53</v>
          </cell>
          <cell r="DF232">
            <v>-1200000.33</v>
          </cell>
          <cell r="DG232">
            <v>-972818.79</v>
          </cell>
          <cell r="DH232">
            <v>-1200000.02</v>
          </cell>
        </row>
        <row r="233">
          <cell r="C233" t="str">
            <v>AP IBEW Union Dues</v>
          </cell>
          <cell r="D233">
            <v>0</v>
          </cell>
          <cell r="E233">
            <v>0</v>
          </cell>
          <cell r="F233">
            <v>0</v>
          </cell>
          <cell r="G233">
            <v>0</v>
          </cell>
          <cell r="H233">
            <v>-450</v>
          </cell>
          <cell r="I233">
            <v>0</v>
          </cell>
          <cell r="J233">
            <v>0</v>
          </cell>
          <cell r="K233">
            <v>-420</v>
          </cell>
          <cell r="L233">
            <v>0</v>
          </cell>
          <cell r="M233">
            <v>0</v>
          </cell>
          <cell r="N233">
            <v>84</v>
          </cell>
          <cell r="O233">
            <v>0</v>
          </cell>
          <cell r="P233">
            <v>1040</v>
          </cell>
          <cell r="Q233">
            <v>660</v>
          </cell>
          <cell r="R233">
            <v>660</v>
          </cell>
          <cell r="S233">
            <v>1040</v>
          </cell>
          <cell r="T233">
            <v>1040</v>
          </cell>
          <cell r="U233">
            <v>640</v>
          </cell>
          <cell r="V233">
            <v>1040</v>
          </cell>
          <cell r="W233">
            <v>1040</v>
          </cell>
          <cell r="X233">
            <v>1040</v>
          </cell>
          <cell r="Y233">
            <v>640</v>
          </cell>
          <cell r="Z233">
            <v>1040</v>
          </cell>
          <cell r="AA233">
            <v>1040</v>
          </cell>
          <cell r="AB233">
            <v>1040</v>
          </cell>
          <cell r="AC233">
            <v>640</v>
          </cell>
          <cell r="AD233">
            <v>640</v>
          </cell>
          <cell r="AE233">
            <v>640</v>
          </cell>
          <cell r="AF233">
            <v>1040</v>
          </cell>
          <cell r="AG233">
            <v>1040</v>
          </cell>
          <cell r="AH233">
            <v>1040</v>
          </cell>
          <cell r="AI233">
            <v>1040</v>
          </cell>
          <cell r="AJ233">
            <v>1040</v>
          </cell>
          <cell r="AK233">
            <v>1040</v>
          </cell>
          <cell r="AL233">
            <v>1040</v>
          </cell>
          <cell r="AM233">
            <v>1040</v>
          </cell>
          <cell r="AN233">
            <v>1040</v>
          </cell>
          <cell r="AO233">
            <v>1040</v>
          </cell>
          <cell r="AP233">
            <v>1040</v>
          </cell>
          <cell r="AQ233">
            <v>1040</v>
          </cell>
          <cell r="AR233">
            <v>1040</v>
          </cell>
          <cell r="AS233">
            <v>-148.22</v>
          </cell>
          <cell r="AT233">
            <v>1040</v>
          </cell>
          <cell r="AU233">
            <v>1040</v>
          </cell>
          <cell r="AV233">
            <v>1040</v>
          </cell>
          <cell r="AW233">
            <v>1040</v>
          </cell>
          <cell r="AX233">
            <v>1040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-1119.46</v>
          </cell>
          <cell r="BT233">
            <v>0</v>
          </cell>
          <cell r="BU233">
            <v>0</v>
          </cell>
          <cell r="BV233">
            <v>0</v>
          </cell>
          <cell r="BW233">
            <v>-1148.48</v>
          </cell>
          <cell r="BX233">
            <v>-888.48</v>
          </cell>
          <cell r="BY233">
            <v>0</v>
          </cell>
          <cell r="BZ233">
            <v>0</v>
          </cell>
          <cell r="CA233">
            <v>0</v>
          </cell>
          <cell r="CB233">
            <v>0</v>
          </cell>
          <cell r="CC233">
            <v>-1045.08</v>
          </cell>
          <cell r="CD233">
            <v>-1059.3800000000001</v>
          </cell>
          <cell r="CE233">
            <v>-1059.3800000000001</v>
          </cell>
          <cell r="CF233">
            <v>-1059.3800000000001</v>
          </cell>
          <cell r="CG233">
            <v>-1064.48</v>
          </cell>
          <cell r="CH233">
            <v>-914.62</v>
          </cell>
          <cell r="CI233">
            <v>-687.22</v>
          </cell>
          <cell r="CJ233">
            <v>-601.72</v>
          </cell>
          <cell r="CK233">
            <v>-601.72</v>
          </cell>
          <cell r="CL233">
            <v>-607.54</v>
          </cell>
          <cell r="CM233">
            <v>0</v>
          </cell>
          <cell r="CN233">
            <v>-804.22</v>
          </cell>
          <cell r="CO233">
            <v>-804.22</v>
          </cell>
          <cell r="CP233">
            <v>-260</v>
          </cell>
          <cell r="CQ233">
            <v>-830.98</v>
          </cell>
          <cell r="CR233">
            <v>-831.6</v>
          </cell>
          <cell r="CS233">
            <v>-832.22</v>
          </cell>
          <cell r="CT233">
            <v>-736.91</v>
          </cell>
          <cell r="CU233">
            <v>-260</v>
          </cell>
          <cell r="CV233">
            <v>-812.22</v>
          </cell>
          <cell r="CW233">
            <v>-792.22</v>
          </cell>
          <cell r="CX233">
            <v>-792.22</v>
          </cell>
          <cell r="CY233">
            <v>-803.63</v>
          </cell>
          <cell r="CZ233">
            <v>-812.22</v>
          </cell>
          <cell r="DA233">
            <v>-802.22</v>
          </cell>
          <cell r="DB233">
            <v>-850.16</v>
          </cell>
          <cell r="DC233">
            <v>-793.5</v>
          </cell>
          <cell r="DD233">
            <v>-265</v>
          </cell>
          <cell r="DE233">
            <v>-379.74</v>
          </cell>
          <cell r="DF233">
            <v>-905.48</v>
          </cell>
          <cell r="DG233">
            <v>-907.92</v>
          </cell>
          <cell r="DH233">
            <v>-934.92</v>
          </cell>
        </row>
        <row r="234">
          <cell r="C234" t="str">
            <v>AP OPEIU Union Dues</v>
          </cell>
          <cell r="D234">
            <v>0</v>
          </cell>
          <cell r="E234">
            <v>0</v>
          </cell>
          <cell r="F234">
            <v>0</v>
          </cell>
          <cell r="G234">
            <v>0</v>
          </cell>
          <cell r="H234">
            <v>-432</v>
          </cell>
          <cell r="I234">
            <v>0</v>
          </cell>
          <cell r="J234">
            <v>0</v>
          </cell>
          <cell r="K234">
            <v>-408</v>
          </cell>
          <cell r="L234">
            <v>0</v>
          </cell>
          <cell r="M234">
            <v>0</v>
          </cell>
          <cell r="N234">
            <v>-84</v>
          </cell>
          <cell r="O234">
            <v>0</v>
          </cell>
          <cell r="P234">
            <v>0</v>
          </cell>
          <cell r="Q234">
            <v>-528</v>
          </cell>
          <cell r="R234">
            <v>-504</v>
          </cell>
          <cell r="S234">
            <v>0</v>
          </cell>
          <cell r="T234">
            <v>0</v>
          </cell>
          <cell r="U234">
            <v>-504</v>
          </cell>
          <cell r="V234">
            <v>0</v>
          </cell>
          <cell r="W234">
            <v>0</v>
          </cell>
          <cell r="X234">
            <v>0</v>
          </cell>
          <cell r="Y234">
            <v>-480</v>
          </cell>
          <cell r="Z234">
            <v>0</v>
          </cell>
          <cell r="AA234">
            <v>0</v>
          </cell>
          <cell r="AB234">
            <v>0</v>
          </cell>
          <cell r="AC234">
            <v>-408</v>
          </cell>
          <cell r="AD234">
            <v>-456</v>
          </cell>
          <cell r="AE234">
            <v>-492</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-372</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-192</v>
          </cell>
          <cell r="BT234">
            <v>0</v>
          </cell>
          <cell r="BU234">
            <v>0</v>
          </cell>
          <cell r="BV234">
            <v>0</v>
          </cell>
          <cell r="BW234">
            <v>-204</v>
          </cell>
          <cell r="BX234">
            <v>0</v>
          </cell>
          <cell r="BY234">
            <v>0</v>
          </cell>
          <cell r="BZ234">
            <v>0</v>
          </cell>
          <cell r="CA234">
            <v>0</v>
          </cell>
          <cell r="CB234">
            <v>0</v>
          </cell>
          <cell r="CC234">
            <v>-180</v>
          </cell>
          <cell r="CD234">
            <v>-216</v>
          </cell>
          <cell r="CE234">
            <v>-216</v>
          </cell>
          <cell r="CF234">
            <v>-240</v>
          </cell>
          <cell r="CG234">
            <v>-240</v>
          </cell>
          <cell r="CH234">
            <v>-240</v>
          </cell>
          <cell r="CI234">
            <v>-240</v>
          </cell>
          <cell r="CJ234">
            <v>-240</v>
          </cell>
          <cell r="CK234">
            <v>-240</v>
          </cell>
          <cell r="CL234">
            <v>-240</v>
          </cell>
          <cell r="CM234">
            <v>0</v>
          </cell>
          <cell r="CN234">
            <v>-240</v>
          </cell>
          <cell r="CO234">
            <v>-240</v>
          </cell>
          <cell r="CP234">
            <v>0</v>
          </cell>
          <cell r="CQ234">
            <v>-264</v>
          </cell>
          <cell r="CR234">
            <v>-204</v>
          </cell>
          <cell r="CS234">
            <v>-228</v>
          </cell>
          <cell r="CT234">
            <v>-228</v>
          </cell>
          <cell r="CU234">
            <v>0</v>
          </cell>
          <cell r="CV234">
            <v>-288</v>
          </cell>
          <cell r="CW234">
            <v>-240</v>
          </cell>
          <cell r="CX234">
            <v>-240</v>
          </cell>
          <cell r="CY234">
            <v>-240</v>
          </cell>
          <cell r="CZ234">
            <v>-240</v>
          </cell>
          <cell r="DA234">
            <v>-240</v>
          </cell>
          <cell r="DB234">
            <v>-240</v>
          </cell>
          <cell r="DC234">
            <v>-240</v>
          </cell>
          <cell r="DD234">
            <v>0</v>
          </cell>
          <cell r="DE234">
            <v>0</v>
          </cell>
          <cell r="DF234">
            <v>-240</v>
          </cell>
          <cell r="DG234">
            <v>-228</v>
          </cell>
          <cell r="DH234">
            <v>-216</v>
          </cell>
        </row>
        <row r="235">
          <cell r="C235" t="str">
            <v>AP IAM/AU Union Dues</v>
          </cell>
          <cell r="D235">
            <v>0</v>
          </cell>
          <cell r="E235">
            <v>0</v>
          </cell>
          <cell r="F235">
            <v>0</v>
          </cell>
          <cell r="G235">
            <v>0</v>
          </cell>
          <cell r="H235">
            <v>-763.88</v>
          </cell>
          <cell r="I235">
            <v>0</v>
          </cell>
          <cell r="J235">
            <v>0</v>
          </cell>
          <cell r="K235">
            <v>-763.88</v>
          </cell>
          <cell r="L235">
            <v>0</v>
          </cell>
          <cell r="M235">
            <v>0</v>
          </cell>
          <cell r="N235">
            <v>0</v>
          </cell>
          <cell r="O235">
            <v>0</v>
          </cell>
          <cell r="P235">
            <v>0</v>
          </cell>
          <cell r="Q235">
            <v>-705.12</v>
          </cell>
          <cell r="R235">
            <v>-705.12</v>
          </cell>
          <cell r="S235">
            <v>0</v>
          </cell>
          <cell r="T235">
            <v>0</v>
          </cell>
          <cell r="U235">
            <v>-646.36</v>
          </cell>
          <cell r="V235">
            <v>0</v>
          </cell>
          <cell r="W235">
            <v>0</v>
          </cell>
          <cell r="X235">
            <v>0</v>
          </cell>
          <cell r="Y235">
            <v>-470.08</v>
          </cell>
          <cell r="Z235">
            <v>0</v>
          </cell>
          <cell r="AA235">
            <v>0</v>
          </cell>
          <cell r="AB235">
            <v>0</v>
          </cell>
          <cell r="AC235">
            <v>-470.08</v>
          </cell>
          <cell r="AD235">
            <v>-440.7</v>
          </cell>
          <cell r="AE235">
            <v>-411.32</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-352.56</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-293.8</v>
          </cell>
          <cell r="BT235">
            <v>0</v>
          </cell>
          <cell r="BU235">
            <v>0</v>
          </cell>
          <cell r="BV235">
            <v>0</v>
          </cell>
          <cell r="BW235">
            <v>-646.36</v>
          </cell>
          <cell r="BX235">
            <v>0</v>
          </cell>
          <cell r="BY235">
            <v>0</v>
          </cell>
          <cell r="BZ235">
            <v>0</v>
          </cell>
          <cell r="CA235">
            <v>0</v>
          </cell>
          <cell r="CB235">
            <v>0</v>
          </cell>
          <cell r="CC235">
            <v>-881.4</v>
          </cell>
          <cell r="CD235">
            <v>-998.92</v>
          </cell>
          <cell r="CE235">
            <v>-1204.58</v>
          </cell>
          <cell r="CF235">
            <v>-998.92</v>
          </cell>
          <cell r="CG235">
            <v>-998.92</v>
          </cell>
          <cell r="CH235">
            <v>-734.5</v>
          </cell>
          <cell r="CI235">
            <v>-58.76</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row>
        <row r="236">
          <cell r="C236" t="str">
            <v>AP UFCW Union Dues</v>
          </cell>
          <cell r="D236">
            <v>0</v>
          </cell>
          <cell r="E236">
            <v>0</v>
          </cell>
          <cell r="F236">
            <v>0</v>
          </cell>
          <cell r="G236">
            <v>0</v>
          </cell>
          <cell r="H236">
            <v>-924</v>
          </cell>
          <cell r="I236">
            <v>0</v>
          </cell>
          <cell r="J236">
            <v>0</v>
          </cell>
          <cell r="K236">
            <v>-924</v>
          </cell>
          <cell r="L236">
            <v>0</v>
          </cell>
          <cell r="M236">
            <v>0</v>
          </cell>
          <cell r="N236">
            <v>0</v>
          </cell>
          <cell r="O236">
            <v>0</v>
          </cell>
          <cell r="P236">
            <v>0</v>
          </cell>
          <cell r="Q236">
            <v>-924</v>
          </cell>
          <cell r="R236">
            <v>-907.5</v>
          </cell>
          <cell r="S236">
            <v>0</v>
          </cell>
          <cell r="T236">
            <v>0</v>
          </cell>
          <cell r="U236">
            <v>-891</v>
          </cell>
          <cell r="V236">
            <v>0</v>
          </cell>
          <cell r="W236">
            <v>0</v>
          </cell>
          <cell r="X236">
            <v>0</v>
          </cell>
          <cell r="Y236">
            <v>-858</v>
          </cell>
          <cell r="Z236">
            <v>0</v>
          </cell>
          <cell r="AA236">
            <v>0</v>
          </cell>
          <cell r="AB236">
            <v>0</v>
          </cell>
          <cell r="AC236">
            <v>-924</v>
          </cell>
          <cell r="AD236">
            <v>-924</v>
          </cell>
          <cell r="AE236">
            <v>-825</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-792</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-805</v>
          </cell>
          <cell r="BT236">
            <v>0</v>
          </cell>
          <cell r="BU236">
            <v>0</v>
          </cell>
          <cell r="BV236">
            <v>0</v>
          </cell>
          <cell r="BW236">
            <v>-945</v>
          </cell>
          <cell r="BX236">
            <v>0</v>
          </cell>
          <cell r="BY236">
            <v>0</v>
          </cell>
          <cell r="BZ236">
            <v>0</v>
          </cell>
          <cell r="CA236">
            <v>0</v>
          </cell>
          <cell r="CB236">
            <v>0</v>
          </cell>
          <cell r="CC236">
            <v>-1015</v>
          </cell>
          <cell r="CD236">
            <v>-1015</v>
          </cell>
          <cell r="CE236">
            <v>-1015</v>
          </cell>
          <cell r="CF236">
            <v>-1015</v>
          </cell>
          <cell r="CG236">
            <v>-1015</v>
          </cell>
          <cell r="CH236">
            <v>-1015</v>
          </cell>
          <cell r="CI236">
            <v>-1015</v>
          </cell>
          <cell r="CJ236">
            <v>-1015</v>
          </cell>
          <cell r="CK236">
            <v>-1015</v>
          </cell>
          <cell r="CL236">
            <v>-1015</v>
          </cell>
          <cell r="CM236">
            <v>0</v>
          </cell>
          <cell r="CN236">
            <v>-1015</v>
          </cell>
          <cell r="CO236">
            <v>-1015</v>
          </cell>
          <cell r="CP236">
            <v>0</v>
          </cell>
          <cell r="CQ236">
            <v>-1015</v>
          </cell>
          <cell r="CR236">
            <v>-997.5</v>
          </cell>
          <cell r="CS236">
            <v>-1015</v>
          </cell>
          <cell r="CT236">
            <v>-1015</v>
          </cell>
          <cell r="CU236">
            <v>0</v>
          </cell>
          <cell r="CV236">
            <v>-1015</v>
          </cell>
          <cell r="CW236">
            <v>-945</v>
          </cell>
          <cell r="CX236">
            <v>-945</v>
          </cell>
          <cell r="CY236">
            <v>-945</v>
          </cell>
          <cell r="CZ236">
            <v>-945</v>
          </cell>
          <cell r="DA236">
            <v>-980</v>
          </cell>
          <cell r="DB236">
            <v>-1050</v>
          </cell>
          <cell r="DC236">
            <v>-1015</v>
          </cell>
          <cell r="DD236">
            <v>0</v>
          </cell>
          <cell r="DE236">
            <v>-315</v>
          </cell>
          <cell r="DF236">
            <v>-1260</v>
          </cell>
          <cell r="DG236">
            <v>-1260</v>
          </cell>
          <cell r="DH236">
            <v>-1277.5</v>
          </cell>
        </row>
        <row r="237">
          <cell r="C237" t="str">
            <v>AP FSA Medical</v>
          </cell>
          <cell r="D237">
            <v>-18013.8</v>
          </cell>
          <cell r="E237">
            <v>-8093.46</v>
          </cell>
          <cell r="F237">
            <v>-8482.2099999999991</v>
          </cell>
          <cell r="G237">
            <v>-5937.19</v>
          </cell>
          <cell r="H237">
            <v>-5578.55</v>
          </cell>
          <cell r="I237">
            <v>-7200.46</v>
          </cell>
          <cell r="J237">
            <v>-3741.06</v>
          </cell>
          <cell r="K237">
            <v>-8123.58</v>
          </cell>
          <cell r="L237">
            <v>-13638.74</v>
          </cell>
          <cell r="M237">
            <v>-16829.73</v>
          </cell>
          <cell r="N237">
            <v>-20356.46</v>
          </cell>
          <cell r="O237">
            <v>-24436.560000000001</v>
          </cell>
          <cell r="P237">
            <v>-25861.45</v>
          </cell>
          <cell r="Q237">
            <v>-17915.650000000001</v>
          </cell>
          <cell r="R237">
            <v>-17682.23</v>
          </cell>
          <cell r="S237">
            <v>-17467.060000000001</v>
          </cell>
          <cell r="T237">
            <v>-13615.04</v>
          </cell>
          <cell r="U237">
            <v>-13303.2</v>
          </cell>
          <cell r="V237">
            <v>-13073.58</v>
          </cell>
          <cell r="W237">
            <v>-16132.62</v>
          </cell>
          <cell r="X237">
            <v>-20154.259999999998</v>
          </cell>
          <cell r="Y237">
            <v>-21200.61</v>
          </cell>
          <cell r="Z237">
            <v>-24166.62</v>
          </cell>
          <cell r="AA237">
            <v>-30117.86</v>
          </cell>
          <cell r="AB237">
            <v>-27091.47</v>
          </cell>
          <cell r="AC237">
            <v>-21448.7</v>
          </cell>
          <cell r="AD237">
            <v>-21808.959999999999</v>
          </cell>
          <cell r="AE237">
            <v>-20128.87</v>
          </cell>
          <cell r="AF237">
            <v>-21791.34</v>
          </cell>
          <cell r="AG237">
            <v>-22023.03</v>
          </cell>
          <cell r="AH237">
            <v>-24593.27</v>
          </cell>
          <cell r="AI237">
            <v>-26037.34</v>
          </cell>
          <cell r="AJ237">
            <v>-28239.91</v>
          </cell>
          <cell r="AK237">
            <v>-32764.58</v>
          </cell>
          <cell r="AL237">
            <v>-34276.639999999999</v>
          </cell>
          <cell r="AM237">
            <v>-36692.019999999997</v>
          </cell>
          <cell r="AN237">
            <v>-39837.26</v>
          </cell>
          <cell r="AO237">
            <v>-33833.43</v>
          </cell>
          <cell r="AP237">
            <v>-35240.589999999997</v>
          </cell>
          <cell r="AQ237">
            <v>-38343.25</v>
          </cell>
          <cell r="AR237">
            <v>-38546.160000000003</v>
          </cell>
          <cell r="AS237">
            <v>-40169.72</v>
          </cell>
          <cell r="AT237">
            <v>-40631.19</v>
          </cell>
          <cell r="AU237">
            <v>-45870.61</v>
          </cell>
          <cell r="AV237">
            <v>-48796.49</v>
          </cell>
          <cell r="AW237">
            <v>-50354.68</v>
          </cell>
          <cell r="AX237">
            <v>-51055.61</v>
          </cell>
          <cell r="AY237">
            <v>-54294.57</v>
          </cell>
          <cell r="AZ237">
            <v>-54393.35</v>
          </cell>
          <cell r="BA237">
            <v>-51173.84</v>
          </cell>
          <cell r="BB237">
            <v>-52553.79</v>
          </cell>
          <cell r="BC237">
            <v>-54366.61</v>
          </cell>
          <cell r="BD237">
            <v>-52745.54</v>
          </cell>
          <cell r="BE237">
            <v>-52968.68</v>
          </cell>
          <cell r="BF237">
            <v>-54425.11</v>
          </cell>
          <cell r="BG237">
            <v>-57139.45</v>
          </cell>
          <cell r="BH237">
            <v>-58317.14</v>
          </cell>
          <cell r="BI237">
            <v>-60741.78</v>
          </cell>
          <cell r="BJ237">
            <v>-68281.66</v>
          </cell>
          <cell r="BK237">
            <v>-65972.69</v>
          </cell>
          <cell r="BL237">
            <v>-63362.28</v>
          </cell>
          <cell r="BM237">
            <v>-60758.37</v>
          </cell>
          <cell r="BN237">
            <v>-57777.66</v>
          </cell>
          <cell r="BO237">
            <v>-55822.69</v>
          </cell>
          <cell r="BP237">
            <v>-53146.21</v>
          </cell>
          <cell r="BQ237">
            <v>-56981.53</v>
          </cell>
          <cell r="BR237">
            <v>-51471.93</v>
          </cell>
          <cell r="BS237">
            <v>-52120.78</v>
          </cell>
          <cell r="BT237">
            <v>-59325.440000000002</v>
          </cell>
          <cell r="BU237">
            <v>-64930.23</v>
          </cell>
          <cell r="BV237">
            <v>-71798.5</v>
          </cell>
          <cell r="BW237">
            <v>-76390.789999999994</v>
          </cell>
          <cell r="BX237">
            <v>-23556.03</v>
          </cell>
          <cell r="BY237">
            <v>-18884.54</v>
          </cell>
          <cell r="BZ237">
            <v>-23058.79</v>
          </cell>
          <cell r="CA237">
            <v>-15563.9</v>
          </cell>
          <cell r="CB237">
            <v>-17392.03</v>
          </cell>
          <cell r="CC237">
            <v>-18340.78</v>
          </cell>
          <cell r="CD237">
            <v>-23571.66</v>
          </cell>
          <cell r="CE237">
            <v>-20122.240000000002</v>
          </cell>
          <cell r="CF237">
            <v>-24367.69</v>
          </cell>
          <cell r="CG237">
            <v>-30654.959999999999</v>
          </cell>
          <cell r="CH237">
            <v>-30153.5</v>
          </cell>
          <cell r="CI237">
            <v>-33541.5</v>
          </cell>
          <cell r="CJ237">
            <v>-32303.53</v>
          </cell>
          <cell r="CK237">
            <v>-27280.19</v>
          </cell>
          <cell r="CL237">
            <v>-27535.77</v>
          </cell>
          <cell r="CM237">
            <v>-24927.9</v>
          </cell>
          <cell r="CN237">
            <v>-20918.04</v>
          </cell>
          <cell r="CO237">
            <v>-20892.36</v>
          </cell>
          <cell r="CP237">
            <v>-21093.14</v>
          </cell>
          <cell r="CQ237">
            <v>-23306.560000000001</v>
          </cell>
          <cell r="CR237">
            <v>-22544.99</v>
          </cell>
          <cell r="CS237">
            <v>-30170.77</v>
          </cell>
          <cell r="CT237">
            <v>-35287.620000000003</v>
          </cell>
          <cell r="CU237">
            <v>-36023.49</v>
          </cell>
          <cell r="CV237">
            <v>-37370.06</v>
          </cell>
          <cell r="CW237">
            <v>-36522.58</v>
          </cell>
          <cell r="CX237">
            <v>-39847.43</v>
          </cell>
          <cell r="CY237">
            <v>-39621.050000000003</v>
          </cell>
          <cell r="CZ237">
            <v>-35757.61</v>
          </cell>
          <cell r="DA237">
            <v>-36939.629999999997</v>
          </cell>
          <cell r="DB237">
            <v>-41910.019999999997</v>
          </cell>
          <cell r="DC237">
            <v>-38108.81</v>
          </cell>
          <cell r="DD237">
            <v>-42735.83</v>
          </cell>
          <cell r="DE237">
            <v>-46797.46</v>
          </cell>
          <cell r="DF237">
            <v>-44258.36</v>
          </cell>
          <cell r="DG237">
            <v>-45881.87</v>
          </cell>
          <cell r="DH237">
            <v>-48920.27</v>
          </cell>
        </row>
        <row r="238">
          <cell r="C238" t="str">
            <v>AP FSA Dep Care</v>
          </cell>
          <cell r="D238">
            <v>1384.96</v>
          </cell>
          <cell r="E238">
            <v>824.94</v>
          </cell>
          <cell r="F238">
            <v>1308.3</v>
          </cell>
          <cell r="G238">
            <v>649.99</v>
          </cell>
          <cell r="H238">
            <v>1590.08</v>
          </cell>
          <cell r="I238">
            <v>2008.36</v>
          </cell>
          <cell r="J238">
            <v>1833.38</v>
          </cell>
          <cell r="K238">
            <v>1766.67</v>
          </cell>
          <cell r="L238">
            <v>1524.98</v>
          </cell>
          <cell r="M238">
            <v>1283.29</v>
          </cell>
          <cell r="N238">
            <v>1041.5999999999999</v>
          </cell>
          <cell r="O238">
            <v>799.95</v>
          </cell>
          <cell r="P238">
            <v>558.29999999999995</v>
          </cell>
          <cell r="Q238">
            <v>191.62</v>
          </cell>
          <cell r="R238">
            <v>2224.94</v>
          </cell>
          <cell r="S238">
            <v>2358.2600000000002</v>
          </cell>
          <cell r="T238">
            <v>1991.58</v>
          </cell>
          <cell r="U238">
            <v>1624.9</v>
          </cell>
          <cell r="V238">
            <v>1258.22</v>
          </cell>
          <cell r="W238">
            <v>891.54</v>
          </cell>
          <cell r="X238">
            <v>524.86</v>
          </cell>
          <cell r="Y238">
            <v>158.18</v>
          </cell>
          <cell r="Z238">
            <v>-208.5</v>
          </cell>
          <cell r="AA238">
            <v>-941.7</v>
          </cell>
          <cell r="AB238">
            <v>-575.1</v>
          </cell>
          <cell r="AC238">
            <v>-1324.96</v>
          </cell>
          <cell r="AD238">
            <v>491.74</v>
          </cell>
          <cell r="AE238">
            <v>308.39999999999998</v>
          </cell>
          <cell r="AF238">
            <v>925.02</v>
          </cell>
          <cell r="AG238">
            <v>541.67999999999995</v>
          </cell>
          <cell r="AH238">
            <v>-555.94000000000005</v>
          </cell>
          <cell r="AI238">
            <v>-1653.56</v>
          </cell>
          <cell r="AJ238">
            <v>-2751.18</v>
          </cell>
          <cell r="AK238">
            <v>-3175.46</v>
          </cell>
          <cell r="AL238">
            <v>-3205.83</v>
          </cell>
          <cell r="AM238">
            <v>-3705.17</v>
          </cell>
          <cell r="AN238">
            <v>-2479.5</v>
          </cell>
          <cell r="AO238">
            <v>-1732.96</v>
          </cell>
          <cell r="AP238">
            <v>-3362.91</v>
          </cell>
          <cell r="AQ238">
            <v>-3743.35</v>
          </cell>
          <cell r="AR238">
            <v>-3763.29</v>
          </cell>
          <cell r="AS238">
            <v>-4539.1099999999997</v>
          </cell>
          <cell r="AT238">
            <v>-4039.05</v>
          </cell>
          <cell r="AU238">
            <v>-4979.84</v>
          </cell>
          <cell r="AV238">
            <v>-2948.11</v>
          </cell>
          <cell r="AW238">
            <v>-4423.16</v>
          </cell>
          <cell r="AX238">
            <v>-4823.21</v>
          </cell>
          <cell r="AY238">
            <v>-4646.55</v>
          </cell>
          <cell r="AZ238">
            <v>-5563.38</v>
          </cell>
          <cell r="BA238">
            <v>-7274.26</v>
          </cell>
          <cell r="BB238">
            <v>-5211.8</v>
          </cell>
          <cell r="BC238">
            <v>-4432.58</v>
          </cell>
          <cell r="BD238">
            <v>-4928.43</v>
          </cell>
          <cell r="BE238">
            <v>-6039.23</v>
          </cell>
          <cell r="BF238">
            <v>-6430.02</v>
          </cell>
          <cell r="BG238">
            <v>-7086.66</v>
          </cell>
          <cell r="BH238">
            <v>-6263.3</v>
          </cell>
          <cell r="BI238">
            <v>-6872.53</v>
          </cell>
          <cell r="BJ238">
            <v>-8352.57</v>
          </cell>
          <cell r="BK238">
            <v>-7305.9</v>
          </cell>
          <cell r="BL238">
            <v>-7495.11</v>
          </cell>
          <cell r="BM238">
            <v>-9045.09</v>
          </cell>
          <cell r="BN238">
            <v>-10145.07</v>
          </cell>
          <cell r="BO238">
            <v>-9265.5400000000009</v>
          </cell>
          <cell r="BP238">
            <v>-8705.7800000000007</v>
          </cell>
          <cell r="BQ238">
            <v>-10446.51</v>
          </cell>
          <cell r="BR238">
            <v>-11724.41</v>
          </cell>
          <cell r="BS238">
            <v>-7188.39</v>
          </cell>
          <cell r="BT238">
            <v>-8573.42</v>
          </cell>
          <cell r="BU238">
            <v>-8301.9599999999991</v>
          </cell>
          <cell r="BV238">
            <v>-9918.66</v>
          </cell>
          <cell r="BW238">
            <v>-10006</v>
          </cell>
          <cell r="BX238">
            <v>-5504.27</v>
          </cell>
          <cell r="BY238">
            <v>1688.57</v>
          </cell>
          <cell r="BZ238">
            <v>192.37</v>
          </cell>
          <cell r="CA238">
            <v>-199.99</v>
          </cell>
          <cell r="CB238">
            <v>1313.56</v>
          </cell>
          <cell r="CC238">
            <v>83.61</v>
          </cell>
          <cell r="CD238">
            <v>-1177.0899999999999</v>
          </cell>
          <cell r="CE238">
            <v>-1772.79</v>
          </cell>
          <cell r="CF238">
            <v>236.59</v>
          </cell>
          <cell r="CG238">
            <v>-280.08999999999997</v>
          </cell>
          <cell r="CH238">
            <v>2106.0500000000002</v>
          </cell>
          <cell r="CI238">
            <v>2039.37</v>
          </cell>
          <cell r="CJ238">
            <v>2722.71</v>
          </cell>
          <cell r="CK238">
            <v>3956.09</v>
          </cell>
          <cell r="CL238">
            <v>3106.09</v>
          </cell>
          <cell r="CM238">
            <v>2894.61</v>
          </cell>
          <cell r="CN238">
            <v>2287.1999999999998</v>
          </cell>
          <cell r="CO238">
            <v>1303.8900000000001</v>
          </cell>
          <cell r="CP238">
            <v>417.59</v>
          </cell>
          <cell r="CQ238">
            <v>978.47</v>
          </cell>
          <cell r="CR238">
            <v>-84.21</v>
          </cell>
          <cell r="CS238">
            <v>-1045.93</v>
          </cell>
          <cell r="CT238">
            <v>-1969.81</v>
          </cell>
          <cell r="CU238">
            <v>3893.65</v>
          </cell>
          <cell r="CV238">
            <v>3284.63</v>
          </cell>
          <cell r="CW238">
            <v>6171.32</v>
          </cell>
          <cell r="CX238">
            <v>4279.67</v>
          </cell>
          <cell r="CY238">
            <v>3572.51</v>
          </cell>
          <cell r="CZ238">
            <v>2640.41</v>
          </cell>
          <cell r="DA238">
            <v>1548.97</v>
          </cell>
          <cell r="DB238">
            <v>107.93</v>
          </cell>
          <cell r="DC238">
            <v>455.29</v>
          </cell>
          <cell r="DD238">
            <v>-1700.37</v>
          </cell>
          <cell r="DE238">
            <v>-4298.99</v>
          </cell>
          <cell r="DF238">
            <v>-3436.67</v>
          </cell>
          <cell r="DG238">
            <v>3942.69</v>
          </cell>
          <cell r="DH238">
            <v>2257.38</v>
          </cell>
        </row>
        <row r="239">
          <cell r="C239" t="str">
            <v>AP FSA Parking</v>
          </cell>
          <cell r="D239">
            <v>-2494.3000000000002</v>
          </cell>
          <cell r="E239">
            <v>-987.5</v>
          </cell>
          <cell r="F239">
            <v>-954.7</v>
          </cell>
          <cell r="G239">
            <v>-954.7</v>
          </cell>
          <cell r="H239">
            <v>-954.7</v>
          </cell>
          <cell r="I239">
            <v>-954.7</v>
          </cell>
          <cell r="J239">
            <v>-954.7</v>
          </cell>
          <cell r="K239">
            <v>-954.7</v>
          </cell>
          <cell r="L239">
            <v>-954.7</v>
          </cell>
          <cell r="M239">
            <v>-954.7</v>
          </cell>
          <cell r="N239">
            <v>-954.7</v>
          </cell>
          <cell r="O239">
            <v>-954.7</v>
          </cell>
          <cell r="P239">
            <v>-954.7</v>
          </cell>
          <cell r="Q239">
            <v>-743.5</v>
          </cell>
          <cell r="R239">
            <v>-743.5</v>
          </cell>
          <cell r="S239">
            <v>-626.5</v>
          </cell>
          <cell r="T239">
            <v>-445.3</v>
          </cell>
          <cell r="U239">
            <v>-328.3</v>
          </cell>
          <cell r="V239">
            <v>-211.3</v>
          </cell>
          <cell r="W239">
            <v>-94.3</v>
          </cell>
          <cell r="X239">
            <v>22.7</v>
          </cell>
          <cell r="Y239">
            <v>22.7</v>
          </cell>
          <cell r="Z239">
            <v>22.7</v>
          </cell>
          <cell r="AA239">
            <v>22.7</v>
          </cell>
          <cell r="AB239">
            <v>22.7</v>
          </cell>
          <cell r="AC239">
            <v>22.7</v>
          </cell>
          <cell r="AD239">
            <v>22.7</v>
          </cell>
          <cell r="AE239">
            <v>22.7</v>
          </cell>
          <cell r="AF239">
            <v>22.7</v>
          </cell>
          <cell r="AG239">
            <v>22.7</v>
          </cell>
          <cell r="AH239">
            <v>22.7</v>
          </cell>
          <cell r="AI239">
            <v>22.7</v>
          </cell>
          <cell r="AJ239">
            <v>-14.8</v>
          </cell>
          <cell r="AK239">
            <v>-52.3</v>
          </cell>
          <cell r="AL239">
            <v>-127.3</v>
          </cell>
          <cell r="AM239">
            <v>-127.3</v>
          </cell>
          <cell r="AN239">
            <v>-127.3</v>
          </cell>
          <cell r="AO239">
            <v>-127.3</v>
          </cell>
          <cell r="AP239">
            <v>-127.3</v>
          </cell>
          <cell r="AQ239">
            <v>-52.3</v>
          </cell>
          <cell r="AR239">
            <v>-52.3</v>
          </cell>
          <cell r="AS239">
            <v>-52.3</v>
          </cell>
          <cell r="AT239">
            <v>-124.3</v>
          </cell>
          <cell r="AU239">
            <v>99.9</v>
          </cell>
          <cell r="AV239">
            <v>174.9</v>
          </cell>
          <cell r="AW239">
            <v>174.9</v>
          </cell>
          <cell r="AX239">
            <v>-1271.02</v>
          </cell>
          <cell r="AY239">
            <v>33.85</v>
          </cell>
          <cell r="AZ239">
            <v>1479.77</v>
          </cell>
          <cell r="BA239">
            <v>33.85</v>
          </cell>
          <cell r="BB239">
            <v>33.85</v>
          </cell>
          <cell r="BC239">
            <v>-41.15</v>
          </cell>
          <cell r="BD239">
            <v>-41.15</v>
          </cell>
          <cell r="BE239">
            <v>-79.150000000000006</v>
          </cell>
          <cell r="BF239">
            <v>-79.150000000000006</v>
          </cell>
          <cell r="BG239">
            <v>-1378.07</v>
          </cell>
          <cell r="BH239">
            <v>-417.15</v>
          </cell>
          <cell r="BI239">
            <v>-518.85</v>
          </cell>
          <cell r="BJ239">
            <v>-2031.97</v>
          </cell>
          <cell r="BK239">
            <v>-593.85</v>
          </cell>
          <cell r="BL239">
            <v>-593.85</v>
          </cell>
          <cell r="BM239">
            <v>-1842.87</v>
          </cell>
          <cell r="BN239">
            <v>-2700.87</v>
          </cell>
          <cell r="BO239">
            <v>-3468.03</v>
          </cell>
          <cell r="BP239">
            <v>-3798.37</v>
          </cell>
          <cell r="BQ239">
            <v>-4310.34</v>
          </cell>
          <cell r="BR239">
            <v>-4110.0200000000004</v>
          </cell>
          <cell r="BS239">
            <v>-4109.8900000000003</v>
          </cell>
          <cell r="BT239">
            <v>-2951.3</v>
          </cell>
          <cell r="BU239">
            <v>-3280.89</v>
          </cell>
          <cell r="BV239">
            <v>-3604.92</v>
          </cell>
          <cell r="BW239">
            <v>-3129.28</v>
          </cell>
          <cell r="BX239">
            <v>-3188.8</v>
          </cell>
          <cell r="BY239">
            <v>-1953.54</v>
          </cell>
          <cell r="BZ239">
            <v>-2881.23</v>
          </cell>
          <cell r="CA239">
            <v>-3043.11</v>
          </cell>
          <cell r="CB239">
            <v>-2837.74</v>
          </cell>
          <cell r="CC239">
            <v>-2770.65</v>
          </cell>
          <cell r="CD239">
            <v>-3272.27</v>
          </cell>
          <cell r="CE239">
            <v>-2319.48</v>
          </cell>
          <cell r="CF239">
            <v>-2380.3000000000002</v>
          </cell>
          <cell r="CG239">
            <v>-3194.58</v>
          </cell>
          <cell r="CH239">
            <v>-2812.78</v>
          </cell>
          <cell r="CI239">
            <v>-2985.56</v>
          </cell>
          <cell r="CJ239">
            <v>-2627.68</v>
          </cell>
          <cell r="CK239">
            <v>-2558</v>
          </cell>
          <cell r="CL239">
            <v>-2909.85</v>
          </cell>
          <cell r="CM239">
            <v>-282.58</v>
          </cell>
          <cell r="CN239">
            <v>-2983.13</v>
          </cell>
          <cell r="CO239">
            <v>-3591.99</v>
          </cell>
          <cell r="CP239">
            <v>-4081.69</v>
          </cell>
          <cell r="CQ239">
            <v>-2861.35</v>
          </cell>
          <cell r="CR239">
            <v>-3358.99</v>
          </cell>
          <cell r="CS239">
            <v>-4099.63</v>
          </cell>
          <cell r="CT239">
            <v>-3990.67</v>
          </cell>
          <cell r="CU239">
            <v>-3634.8</v>
          </cell>
          <cell r="CV239">
            <v>-3286.02</v>
          </cell>
          <cell r="CW239">
            <v>-4167.26</v>
          </cell>
          <cell r="CX239">
            <v>-5339.19</v>
          </cell>
          <cell r="CY239">
            <v>-5589.59</v>
          </cell>
          <cell r="CZ239">
            <v>-5080.37</v>
          </cell>
          <cell r="DA239">
            <v>-5205.34</v>
          </cell>
          <cell r="DB239">
            <v>-5725.33</v>
          </cell>
          <cell r="DC239">
            <v>-5081.3999999999996</v>
          </cell>
          <cell r="DD239">
            <v>-5314.57</v>
          </cell>
          <cell r="DE239">
            <v>-6099.71</v>
          </cell>
          <cell r="DF239">
            <v>-5891.25</v>
          </cell>
          <cell r="DG239">
            <v>-6386.12</v>
          </cell>
          <cell r="DH239">
            <v>-5664.04</v>
          </cell>
        </row>
        <row r="240">
          <cell r="C240" t="str">
            <v>AP Amer GasIndx Fund</v>
          </cell>
          <cell r="D240">
            <v>0</v>
          </cell>
          <cell r="E240">
            <v>0</v>
          </cell>
          <cell r="F240">
            <v>0</v>
          </cell>
          <cell r="G240">
            <v>0</v>
          </cell>
          <cell r="H240">
            <v>-180</v>
          </cell>
          <cell r="I240">
            <v>0</v>
          </cell>
          <cell r="J240">
            <v>0</v>
          </cell>
          <cell r="K240">
            <v>-80</v>
          </cell>
          <cell r="L240">
            <v>0</v>
          </cell>
          <cell r="M240">
            <v>0</v>
          </cell>
          <cell r="N240">
            <v>0</v>
          </cell>
          <cell r="O240">
            <v>0</v>
          </cell>
          <cell r="P240">
            <v>0</v>
          </cell>
          <cell r="Q240">
            <v>-80</v>
          </cell>
          <cell r="R240">
            <v>-80</v>
          </cell>
          <cell r="S240">
            <v>0</v>
          </cell>
          <cell r="T240">
            <v>0</v>
          </cell>
          <cell r="U240">
            <v>-80</v>
          </cell>
          <cell r="V240">
            <v>0</v>
          </cell>
          <cell r="W240">
            <v>0</v>
          </cell>
          <cell r="X240">
            <v>0</v>
          </cell>
          <cell r="Y240">
            <v>-50</v>
          </cell>
          <cell r="Z240">
            <v>0</v>
          </cell>
          <cell r="AA240">
            <v>0</v>
          </cell>
          <cell r="AB240">
            <v>0</v>
          </cell>
          <cell r="AC240">
            <v>-50</v>
          </cell>
          <cell r="AD240">
            <v>-50</v>
          </cell>
          <cell r="AE240">
            <v>-50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-50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-50</v>
          </cell>
          <cell r="BT240">
            <v>0</v>
          </cell>
          <cell r="BU240">
            <v>0</v>
          </cell>
          <cell r="BV240">
            <v>0</v>
          </cell>
          <cell r="BW240">
            <v>-20</v>
          </cell>
          <cell r="BX240">
            <v>888.48</v>
          </cell>
          <cell r="BY240">
            <v>0</v>
          </cell>
          <cell r="BZ240">
            <v>0</v>
          </cell>
          <cell r="CA240">
            <v>0</v>
          </cell>
          <cell r="CB240">
            <v>0</v>
          </cell>
          <cell r="CC240">
            <v>-20</v>
          </cell>
          <cell r="CD240">
            <v>-20</v>
          </cell>
          <cell r="CE240">
            <v>-20</v>
          </cell>
          <cell r="CF240">
            <v>-20</v>
          </cell>
          <cell r="CG240">
            <v>-20</v>
          </cell>
          <cell r="CH240">
            <v>-20</v>
          </cell>
          <cell r="CI240">
            <v>-20</v>
          </cell>
          <cell r="CJ240">
            <v>-20</v>
          </cell>
          <cell r="CK240">
            <v>-20</v>
          </cell>
          <cell r="CL240">
            <v>-20</v>
          </cell>
          <cell r="CM240">
            <v>0</v>
          </cell>
          <cell r="CN240">
            <v>-20</v>
          </cell>
          <cell r="CO240">
            <v>-20</v>
          </cell>
          <cell r="CP240">
            <v>0</v>
          </cell>
          <cell r="CQ240">
            <v>-20</v>
          </cell>
          <cell r="CR240">
            <v>-20</v>
          </cell>
          <cell r="CS240">
            <v>-20</v>
          </cell>
          <cell r="CT240">
            <v>-20</v>
          </cell>
          <cell r="CU240">
            <v>0</v>
          </cell>
          <cell r="CV240">
            <v>-20</v>
          </cell>
          <cell r="CW240">
            <v>-20</v>
          </cell>
          <cell r="CX240">
            <v>-20</v>
          </cell>
          <cell r="CY240">
            <v>-20</v>
          </cell>
          <cell r="CZ240">
            <v>-20</v>
          </cell>
          <cell r="DA240">
            <v>-20</v>
          </cell>
          <cell r="DB240">
            <v>-20</v>
          </cell>
          <cell r="DC240">
            <v>-20</v>
          </cell>
          <cell r="DD240">
            <v>0</v>
          </cell>
          <cell r="DE240">
            <v>0</v>
          </cell>
          <cell r="DF240">
            <v>-20</v>
          </cell>
          <cell r="DG240">
            <v>-20</v>
          </cell>
          <cell r="DH240">
            <v>-20</v>
          </cell>
        </row>
        <row r="241">
          <cell r="C241" t="str">
            <v>AP Fuel Accrual</v>
          </cell>
          <cell r="D241">
            <v>-10299259.01</v>
          </cell>
          <cell r="E241">
            <v>-18120673.210000001</v>
          </cell>
          <cell r="F241">
            <v>-12008336.699999999</v>
          </cell>
          <cell r="G241">
            <v>-12588810.98</v>
          </cell>
          <cell r="H241">
            <v>-12205787.210000001</v>
          </cell>
          <cell r="I241">
            <v>-5691557</v>
          </cell>
          <cell r="J241">
            <v>-9095221.5399999991</v>
          </cell>
          <cell r="K241">
            <v>-7021194.8399999999</v>
          </cell>
          <cell r="L241">
            <v>-8849412.1099999994</v>
          </cell>
          <cell r="M241">
            <v>-6576475.2199999997</v>
          </cell>
          <cell r="N241">
            <v>-10153348.359999999</v>
          </cell>
          <cell r="O241">
            <v>-14812731.52</v>
          </cell>
          <cell r="P241">
            <v>-13311425.119999999</v>
          </cell>
          <cell r="Q241">
            <v>-13968134.609999999</v>
          </cell>
          <cell r="R241">
            <v>-13946595.470000001</v>
          </cell>
          <cell r="S241">
            <v>-10634221.83</v>
          </cell>
          <cell r="T241">
            <v>-12478793.33</v>
          </cell>
          <cell r="U241">
            <v>-7516979.6200000001</v>
          </cell>
          <cell r="V241">
            <v>-7673808.2400000002</v>
          </cell>
          <cell r="W241">
            <v>-6937659.8700000001</v>
          </cell>
          <cell r="X241">
            <v>-10398307.91</v>
          </cell>
          <cell r="Y241">
            <v>-9009122.5700000003</v>
          </cell>
          <cell r="Z241">
            <v>-12160172.43</v>
          </cell>
          <cell r="AA241">
            <v>-9516607.5600000005</v>
          </cell>
          <cell r="AB241">
            <v>-14761688.99</v>
          </cell>
          <cell r="AC241">
            <v>-14513866.48</v>
          </cell>
          <cell r="AD241">
            <v>-12287346.91</v>
          </cell>
          <cell r="AE241">
            <v>-11134718.73</v>
          </cell>
          <cell r="AF241">
            <v>-12469329.619999999</v>
          </cell>
          <cell r="AG241">
            <v>-8070094.7300000004</v>
          </cell>
          <cell r="AH241">
            <v>-8045701.3099999996</v>
          </cell>
          <cell r="AI241">
            <v>-12186605.6</v>
          </cell>
          <cell r="AJ241">
            <v>-12088507.65</v>
          </cell>
          <cell r="AK241">
            <v>-11507462.720000001</v>
          </cell>
          <cell r="AL241">
            <v>-15541368.18</v>
          </cell>
          <cell r="AM241">
            <v>-11270859.01</v>
          </cell>
          <cell r="AN241">
            <v>-12029381.470000001</v>
          </cell>
          <cell r="AO241">
            <v>-13529246.25</v>
          </cell>
          <cell r="AP241">
            <v>-9138589.4399999995</v>
          </cell>
          <cell r="AQ241">
            <v>-11182819.800000001</v>
          </cell>
          <cell r="AR241">
            <v>-13256574.01</v>
          </cell>
          <cell r="AS241">
            <v>-10596982.289999999</v>
          </cell>
          <cell r="AT241">
            <v>-9018465.9299999997</v>
          </cell>
          <cell r="AU241">
            <v>-11128576.289999999</v>
          </cell>
          <cell r="AV241">
            <v>-15996147.65</v>
          </cell>
          <cell r="AW241">
            <v>-14274879.720000001</v>
          </cell>
          <cell r="AX241">
            <v>-12657737.880000001</v>
          </cell>
          <cell r="AY241">
            <v>-12859263.51</v>
          </cell>
          <cell r="AZ241">
            <v>-15311363.380000001</v>
          </cell>
          <cell r="BA241">
            <v>-21963382.93</v>
          </cell>
          <cell r="BB241">
            <v>-9098061.4399999995</v>
          </cell>
          <cell r="BC241">
            <v>-10449599.630000001</v>
          </cell>
          <cell r="BD241">
            <v>-9088051.7400000002</v>
          </cell>
          <cell r="BE241">
            <v>-10095044.1</v>
          </cell>
          <cell r="BF241">
            <v>-11914581.42</v>
          </cell>
          <cell r="BG241">
            <v>-12191564.51</v>
          </cell>
          <cell r="BH241">
            <v>-9526288.3499999996</v>
          </cell>
          <cell r="BI241">
            <v>-10562727.51</v>
          </cell>
          <cell r="BJ241">
            <v>-17341511.120000001</v>
          </cell>
          <cell r="BK241">
            <v>-19216454.280000001</v>
          </cell>
          <cell r="BL241">
            <v>-19057481.73</v>
          </cell>
          <cell r="BM241">
            <v>-15322862.73</v>
          </cell>
          <cell r="BN241">
            <v>-9550740.4000000004</v>
          </cell>
          <cell r="BO241">
            <v>-12500576.08</v>
          </cell>
          <cell r="BP241">
            <v>-10689473.26</v>
          </cell>
          <cell r="BQ241">
            <v>-10765323.09</v>
          </cell>
          <cell r="BR241">
            <v>-6914615.3899999997</v>
          </cell>
          <cell r="BS241">
            <v>-8099316.6900000004</v>
          </cell>
          <cell r="BT241">
            <v>-9528941.0800000001</v>
          </cell>
          <cell r="BU241">
            <v>-11819406.4</v>
          </cell>
          <cell r="BV241">
            <v>-13081301.380000001</v>
          </cell>
          <cell r="BW241">
            <v>-13543392.970000001</v>
          </cell>
          <cell r="BX241">
            <v>-13595616.57</v>
          </cell>
          <cell r="BY241">
            <v>-13204175.65</v>
          </cell>
          <cell r="BZ241">
            <v>-10502683.15</v>
          </cell>
          <cell r="CA241">
            <v>-10148194.470000001</v>
          </cell>
          <cell r="CB241">
            <v>-6823930.6399999997</v>
          </cell>
          <cell r="CC241">
            <v>-7437657.6200000001</v>
          </cell>
          <cell r="CD241">
            <v>-8400238.2100000009</v>
          </cell>
          <cell r="CE241">
            <v>-8551543.1300000008</v>
          </cell>
          <cell r="CF241">
            <v>-8062293.8399999999</v>
          </cell>
          <cell r="CG241">
            <v>-8597906.0800000001</v>
          </cell>
          <cell r="CH241">
            <v>-10128411.1</v>
          </cell>
          <cell r="CI241">
            <v>-12370628.800000001</v>
          </cell>
          <cell r="CJ241">
            <v>-14934161.970000001</v>
          </cell>
          <cell r="CK241">
            <v>-12835097.720000001</v>
          </cell>
          <cell r="CL241">
            <v>-12966846.779999999</v>
          </cell>
          <cell r="CM241">
            <v>-10858803.529999999</v>
          </cell>
          <cell r="CN241">
            <v>-8567530.4499999993</v>
          </cell>
          <cell r="CO241">
            <v>-6807669.3399999999</v>
          </cell>
          <cell r="CP241">
            <v>-7766302.8899999997</v>
          </cell>
          <cell r="CQ241">
            <v>-9223554.6099999994</v>
          </cell>
          <cell r="CR241">
            <v>-9107415.1799999997</v>
          </cell>
          <cell r="CS241">
            <v>-7775918.3499999996</v>
          </cell>
          <cell r="CT241">
            <v>-15039112.32</v>
          </cell>
          <cell r="CU241">
            <v>-17715847.559999999</v>
          </cell>
          <cell r="CV241">
            <v>-14188892.109999999</v>
          </cell>
          <cell r="CW241">
            <v>-20294813.640000001</v>
          </cell>
          <cell r="CX241">
            <v>-15901185.630000001</v>
          </cell>
          <cell r="CY241">
            <v>-15507287.67</v>
          </cell>
          <cell r="CZ241">
            <v>-15561386.310000001</v>
          </cell>
          <cell r="DA241">
            <v>-21332300.960000001</v>
          </cell>
          <cell r="DB241">
            <v>-18775727.34</v>
          </cell>
          <cell r="DC241">
            <v>-19377629.609999999</v>
          </cell>
          <cell r="DD241">
            <v>-18573384.140000001</v>
          </cell>
          <cell r="DE241">
            <v>-21927929.199999999</v>
          </cell>
          <cell r="DF241">
            <v>-21428221.91</v>
          </cell>
          <cell r="DG241">
            <v>-21738994.91</v>
          </cell>
          <cell r="DH241">
            <v>-20518673.5</v>
          </cell>
        </row>
        <row r="242">
          <cell r="C242" t="str">
            <v>AP Interchange</v>
          </cell>
          <cell r="D242">
            <v>0</v>
          </cell>
          <cell r="E242">
            <v>0</v>
          </cell>
          <cell r="F242">
            <v>0</v>
          </cell>
          <cell r="G242">
            <v>0</v>
          </cell>
          <cell r="H242">
            <v>0.6</v>
          </cell>
          <cell r="I242">
            <v>0.6</v>
          </cell>
          <cell r="J242">
            <v>0.6</v>
          </cell>
          <cell r="K242">
            <v>15904.66</v>
          </cell>
          <cell r="L242">
            <v>0.6</v>
          </cell>
          <cell r="M242">
            <v>0.6</v>
          </cell>
          <cell r="N242">
            <v>0.6</v>
          </cell>
          <cell r="O242">
            <v>0.6</v>
          </cell>
          <cell r="P242">
            <v>0.6</v>
          </cell>
          <cell r="Q242">
            <v>0.6</v>
          </cell>
          <cell r="R242">
            <v>0.6</v>
          </cell>
          <cell r="S242">
            <v>0.6</v>
          </cell>
          <cell r="T242">
            <v>0.6</v>
          </cell>
          <cell r="U242">
            <v>0.6</v>
          </cell>
          <cell r="V242">
            <v>0.6</v>
          </cell>
          <cell r="W242">
            <v>0.6</v>
          </cell>
          <cell r="X242">
            <v>0.6</v>
          </cell>
          <cell r="Y242">
            <v>0.6</v>
          </cell>
          <cell r="Z242">
            <v>0.6</v>
          </cell>
          <cell r="AA242">
            <v>0.6</v>
          </cell>
          <cell r="AB242">
            <v>0.6</v>
          </cell>
          <cell r="AC242">
            <v>0.6</v>
          </cell>
          <cell r="AD242">
            <v>0.6</v>
          </cell>
          <cell r="AE242">
            <v>0.6</v>
          </cell>
          <cell r="AF242">
            <v>0.6</v>
          </cell>
          <cell r="AG242">
            <v>0.6</v>
          </cell>
          <cell r="AH242">
            <v>0.6</v>
          </cell>
          <cell r="AI242">
            <v>0.6</v>
          </cell>
          <cell r="AJ242">
            <v>0.6</v>
          </cell>
          <cell r="AK242">
            <v>0.6</v>
          </cell>
          <cell r="AL242">
            <v>0.6</v>
          </cell>
          <cell r="AM242">
            <v>0.6</v>
          </cell>
          <cell r="AN242">
            <v>0.6</v>
          </cell>
          <cell r="AO242">
            <v>0.6</v>
          </cell>
          <cell r="AP242">
            <v>0.6</v>
          </cell>
          <cell r="AQ242">
            <v>0.6</v>
          </cell>
          <cell r="AR242">
            <v>0.6</v>
          </cell>
          <cell r="AS242">
            <v>0.6</v>
          </cell>
          <cell r="AT242">
            <v>0.6</v>
          </cell>
          <cell r="AU242">
            <v>0.6</v>
          </cell>
          <cell r="AV242">
            <v>0.6</v>
          </cell>
          <cell r="AW242">
            <v>0.6</v>
          </cell>
          <cell r="AX242">
            <v>0.6</v>
          </cell>
          <cell r="AY242">
            <v>0.6</v>
          </cell>
          <cell r="AZ242">
            <v>0.6</v>
          </cell>
          <cell r="BA242">
            <v>0.6</v>
          </cell>
          <cell r="BB242">
            <v>0.6</v>
          </cell>
          <cell r="BC242">
            <v>0.6</v>
          </cell>
          <cell r="BD242">
            <v>0.6</v>
          </cell>
          <cell r="BE242">
            <v>0.6</v>
          </cell>
          <cell r="BF242">
            <v>0.6</v>
          </cell>
          <cell r="BG242">
            <v>0.6</v>
          </cell>
          <cell r="BH242">
            <v>0.6</v>
          </cell>
          <cell r="BI242">
            <v>0.6</v>
          </cell>
          <cell r="BJ242">
            <v>0.6</v>
          </cell>
          <cell r="BK242">
            <v>0.6</v>
          </cell>
          <cell r="BL242">
            <v>0.6</v>
          </cell>
          <cell r="BM242">
            <v>0.6</v>
          </cell>
          <cell r="BN242">
            <v>0.6</v>
          </cell>
          <cell r="BO242">
            <v>0.6</v>
          </cell>
          <cell r="BP242">
            <v>0.6</v>
          </cell>
          <cell r="BQ242">
            <v>0.6</v>
          </cell>
          <cell r="BR242">
            <v>0.6</v>
          </cell>
          <cell r="BS242">
            <v>0.6</v>
          </cell>
          <cell r="BT242">
            <v>0.6</v>
          </cell>
          <cell r="BU242">
            <v>0.6</v>
          </cell>
          <cell r="BV242">
            <v>0.6</v>
          </cell>
          <cell r="BW242">
            <v>0.6</v>
          </cell>
          <cell r="BX242">
            <v>0.6</v>
          </cell>
          <cell r="BY242">
            <v>0.6</v>
          </cell>
          <cell r="BZ242">
            <v>0.6</v>
          </cell>
          <cell r="CA242">
            <v>0.6</v>
          </cell>
          <cell r="CB242">
            <v>0.6</v>
          </cell>
          <cell r="CC242">
            <v>0.6</v>
          </cell>
          <cell r="CD242">
            <v>0.6</v>
          </cell>
          <cell r="CE242">
            <v>0.6</v>
          </cell>
          <cell r="CF242">
            <v>0.6</v>
          </cell>
          <cell r="CG242">
            <v>0.6</v>
          </cell>
          <cell r="CH242">
            <v>0.6</v>
          </cell>
          <cell r="CI242">
            <v>0.6</v>
          </cell>
          <cell r="CJ242">
            <v>0.6</v>
          </cell>
          <cell r="CK242">
            <v>0.6</v>
          </cell>
          <cell r="CL242">
            <v>0.6</v>
          </cell>
          <cell r="CM242">
            <v>0.6</v>
          </cell>
          <cell r="CN242">
            <v>0.6</v>
          </cell>
          <cell r="CO242">
            <v>0.6</v>
          </cell>
          <cell r="CP242">
            <v>0.6</v>
          </cell>
          <cell r="CQ242">
            <v>0.6</v>
          </cell>
          <cell r="CR242">
            <v>0.6</v>
          </cell>
          <cell r="CS242">
            <v>0.6</v>
          </cell>
          <cell r="CT242">
            <v>0.6</v>
          </cell>
          <cell r="CU242">
            <v>0.6</v>
          </cell>
          <cell r="CV242">
            <v>0.6</v>
          </cell>
          <cell r="CW242">
            <v>0.6</v>
          </cell>
          <cell r="CX242">
            <v>0.6</v>
          </cell>
          <cell r="CY242">
            <v>0.6</v>
          </cell>
          <cell r="CZ242">
            <v>0.6</v>
          </cell>
          <cell r="DA242">
            <v>0.6</v>
          </cell>
          <cell r="DB242">
            <v>0.6</v>
          </cell>
          <cell r="DC242">
            <v>0.6</v>
          </cell>
          <cell r="DD242">
            <v>0.6</v>
          </cell>
          <cell r="DE242">
            <v>0.6</v>
          </cell>
          <cell r="DF242">
            <v>0.6</v>
          </cell>
          <cell r="DG242">
            <v>0.6</v>
          </cell>
          <cell r="DH242">
            <v>0.6</v>
          </cell>
        </row>
        <row r="243">
          <cell r="C243" t="str">
            <v>AP Share Program</v>
          </cell>
          <cell r="D243">
            <v>-82</v>
          </cell>
          <cell r="E243">
            <v>-206</v>
          </cell>
          <cell r="F243">
            <v>-61</v>
          </cell>
          <cell r="G243">
            <v>-61</v>
          </cell>
          <cell r="H243">
            <v>-132</v>
          </cell>
          <cell r="I243">
            <v>-132</v>
          </cell>
          <cell r="J243">
            <v>-132</v>
          </cell>
          <cell r="K243">
            <v>-132</v>
          </cell>
          <cell r="L243">
            <v>-131</v>
          </cell>
          <cell r="M243">
            <v>-59</v>
          </cell>
          <cell r="N243">
            <v>-59</v>
          </cell>
          <cell r="O243">
            <v>-59</v>
          </cell>
          <cell r="P243">
            <v>-659</v>
          </cell>
          <cell r="Q243">
            <v>-59</v>
          </cell>
          <cell r="R243">
            <v>-38</v>
          </cell>
          <cell r="S243">
            <v>-36</v>
          </cell>
          <cell r="T243">
            <v>-341</v>
          </cell>
          <cell r="U243">
            <v>-36</v>
          </cell>
          <cell r="V243">
            <v>-36</v>
          </cell>
          <cell r="W243">
            <v>-36</v>
          </cell>
          <cell r="X243">
            <v>-36</v>
          </cell>
          <cell r="Y243">
            <v>-34</v>
          </cell>
          <cell r="Z243">
            <v>-34</v>
          </cell>
          <cell r="AA243">
            <v>-486</v>
          </cell>
          <cell r="AB243">
            <v>-384</v>
          </cell>
          <cell r="AC243">
            <v>-541</v>
          </cell>
          <cell r="AD243">
            <v>-546</v>
          </cell>
          <cell r="AE243">
            <v>-546</v>
          </cell>
          <cell r="AF243">
            <v>-554</v>
          </cell>
          <cell r="AG243">
            <v>-570</v>
          </cell>
          <cell r="AH243">
            <v>-571</v>
          </cell>
          <cell r="AI243">
            <v>-571</v>
          </cell>
          <cell r="AJ243">
            <v>-576</v>
          </cell>
          <cell r="AK243">
            <v>-581</v>
          </cell>
          <cell r="AL243">
            <v>-581</v>
          </cell>
          <cell r="AM243">
            <v>-581</v>
          </cell>
          <cell r="AN243">
            <v>-521</v>
          </cell>
          <cell r="AO243">
            <v>-521</v>
          </cell>
          <cell r="AP243">
            <v>-521</v>
          </cell>
          <cell r="AQ243">
            <v>-518.5</v>
          </cell>
          <cell r="AR243">
            <v>-551</v>
          </cell>
          <cell r="AS243">
            <v>-593.5</v>
          </cell>
          <cell r="AT243">
            <v>-596</v>
          </cell>
          <cell r="AU243">
            <v>-596</v>
          </cell>
          <cell r="AV243">
            <v>-596</v>
          </cell>
          <cell r="AW243">
            <v>-596</v>
          </cell>
          <cell r="AX243">
            <v>-596</v>
          </cell>
          <cell r="AY243">
            <v>-596</v>
          </cell>
          <cell r="AZ243">
            <v>-571</v>
          </cell>
          <cell r="BA243">
            <v>-576</v>
          </cell>
          <cell r="BB243">
            <v>-574.5</v>
          </cell>
          <cell r="BC243">
            <v>-560.29999999999995</v>
          </cell>
          <cell r="BD243">
            <v>-562.6</v>
          </cell>
          <cell r="BE243">
            <v>-591.4</v>
          </cell>
          <cell r="BF243">
            <v>-132.80000000000001</v>
          </cell>
          <cell r="BG243">
            <v>-135.80000000000001</v>
          </cell>
          <cell r="BH243">
            <v>-156.80000000000001</v>
          </cell>
          <cell r="BI243">
            <v>-142.30000000000001</v>
          </cell>
          <cell r="BJ243">
            <v>-143.80000000000001</v>
          </cell>
          <cell r="BK243">
            <v>-342.8</v>
          </cell>
          <cell r="BL243">
            <v>73.2</v>
          </cell>
          <cell r="BM243">
            <v>-12.8</v>
          </cell>
          <cell r="BN243">
            <v>-434.6</v>
          </cell>
          <cell r="BO243">
            <v>-835.85</v>
          </cell>
          <cell r="BP243">
            <v>-1193.7</v>
          </cell>
          <cell r="BQ243">
            <v>-706</v>
          </cell>
          <cell r="BR243">
            <v>-717</v>
          </cell>
          <cell r="BS243">
            <v>-1113.3</v>
          </cell>
          <cell r="BT243">
            <v>-1453.6</v>
          </cell>
          <cell r="BU243">
            <v>-1055.8</v>
          </cell>
          <cell r="BV243">
            <v>-1437.1</v>
          </cell>
          <cell r="BW243">
            <v>-1072.3</v>
          </cell>
          <cell r="BX243">
            <v>-775.5</v>
          </cell>
          <cell r="BY243">
            <v>-1367.8</v>
          </cell>
          <cell r="BZ243">
            <v>-1232.3</v>
          </cell>
          <cell r="CA243">
            <v>-2017.21</v>
          </cell>
          <cell r="CB243">
            <v>-2774.9</v>
          </cell>
          <cell r="CC243">
            <v>-1714.5</v>
          </cell>
          <cell r="CD243">
            <v>-2723</v>
          </cell>
          <cell r="CE243">
            <v>-4755</v>
          </cell>
          <cell r="CF243">
            <v>-1239</v>
          </cell>
          <cell r="CG243">
            <v>-2445.4</v>
          </cell>
          <cell r="CH243">
            <v>-2586.9</v>
          </cell>
          <cell r="CI243">
            <v>-2833.5</v>
          </cell>
          <cell r="CJ243">
            <v>-2560</v>
          </cell>
          <cell r="CK243">
            <v>-1696.99</v>
          </cell>
          <cell r="CL243">
            <v>-3535.66</v>
          </cell>
          <cell r="CM243">
            <v>-3684.8</v>
          </cell>
          <cell r="CN243">
            <v>-1713.14</v>
          </cell>
          <cell r="CO243">
            <v>-4978.2299999999996</v>
          </cell>
          <cell r="CP243">
            <v>-6772.33</v>
          </cell>
          <cell r="CQ243">
            <v>-8614.26</v>
          </cell>
          <cell r="CR243">
            <v>-1914.3</v>
          </cell>
          <cell r="CS243">
            <v>-3801.37</v>
          </cell>
          <cell r="CT243">
            <v>-5775.97</v>
          </cell>
          <cell r="CU243">
            <v>-2024.1</v>
          </cell>
          <cell r="CV243">
            <v>-9968.5499999999993</v>
          </cell>
          <cell r="CW243">
            <v>-11994.84</v>
          </cell>
          <cell r="CX243">
            <v>-14232.74</v>
          </cell>
          <cell r="CY243">
            <v>-16758.13</v>
          </cell>
          <cell r="CZ243">
            <v>-18908.830000000002</v>
          </cell>
          <cell r="DA243">
            <v>-21071.55</v>
          </cell>
          <cell r="DB243">
            <v>-2132.14</v>
          </cell>
          <cell r="DC243">
            <v>-4275.3900000000003</v>
          </cell>
          <cell r="DD243">
            <v>-6511.2</v>
          </cell>
          <cell r="DE243">
            <v>-8761.6299999999992</v>
          </cell>
          <cell r="DF243">
            <v>-44554.64</v>
          </cell>
          <cell r="DG243">
            <v>32825.07</v>
          </cell>
          <cell r="DH243">
            <v>32463.87</v>
          </cell>
        </row>
        <row r="244">
          <cell r="C244" t="str">
            <v>AP Vision Ben Plan</v>
          </cell>
          <cell r="D244">
            <v>21.44</v>
          </cell>
          <cell r="E244">
            <v>37.450000000000003</v>
          </cell>
          <cell r="F244">
            <v>144.71</v>
          </cell>
          <cell r="G244">
            <v>78.290000000000006</v>
          </cell>
          <cell r="H244">
            <v>103.99</v>
          </cell>
          <cell r="I244">
            <v>263.51</v>
          </cell>
          <cell r="J244">
            <v>138.13999999999999</v>
          </cell>
          <cell r="K244">
            <v>134.94</v>
          </cell>
          <cell r="L244">
            <v>145.32</v>
          </cell>
          <cell r="M244">
            <v>143.97999999999999</v>
          </cell>
          <cell r="N244">
            <v>143.13999999999999</v>
          </cell>
          <cell r="O244">
            <v>274.02999999999997</v>
          </cell>
          <cell r="P244">
            <v>182.17</v>
          </cell>
          <cell r="Q244">
            <v>258.05</v>
          </cell>
          <cell r="R244">
            <v>192.45</v>
          </cell>
          <cell r="S244">
            <v>259.02</v>
          </cell>
          <cell r="T244">
            <v>292.67</v>
          </cell>
          <cell r="U244">
            <v>384.47</v>
          </cell>
          <cell r="V244">
            <v>428.86</v>
          </cell>
          <cell r="W244">
            <v>470.72</v>
          </cell>
          <cell r="X244">
            <v>498.44</v>
          </cell>
          <cell r="Y244">
            <v>722.48</v>
          </cell>
          <cell r="Z244">
            <v>-1468.39</v>
          </cell>
          <cell r="AA244">
            <v>999</v>
          </cell>
          <cell r="AB244">
            <v>891.89</v>
          </cell>
          <cell r="AC244">
            <v>889.25</v>
          </cell>
          <cell r="AD244">
            <v>960.66</v>
          </cell>
          <cell r="AE244">
            <v>1244.46</v>
          </cell>
          <cell r="AF244">
            <v>1348.3</v>
          </cell>
          <cell r="AG244">
            <v>1640.03</v>
          </cell>
          <cell r="AH244">
            <v>1126.67</v>
          </cell>
          <cell r="AI244">
            <v>-1687.4</v>
          </cell>
          <cell r="AJ244">
            <v>1201.18</v>
          </cell>
          <cell r="AK244">
            <v>1236.42</v>
          </cell>
          <cell r="AL244">
            <v>1435.21</v>
          </cell>
          <cell r="AM244">
            <v>-1619.15</v>
          </cell>
          <cell r="AN244">
            <v>1413.2</v>
          </cell>
          <cell r="AO244">
            <v>-1651.59</v>
          </cell>
          <cell r="AP244">
            <v>-1759.14</v>
          </cell>
          <cell r="AQ244">
            <v>1514</v>
          </cell>
          <cell r="AR244">
            <v>1608.65</v>
          </cell>
          <cell r="AS244">
            <v>-1621.39</v>
          </cell>
          <cell r="AT244">
            <v>-1249.1400000000001</v>
          </cell>
          <cell r="AU244">
            <v>2387.17</v>
          </cell>
          <cell r="AV244">
            <v>-1439.28</v>
          </cell>
          <cell r="AW244">
            <v>-1436.91</v>
          </cell>
          <cell r="AX244">
            <v>-1365.51</v>
          </cell>
          <cell r="AY244">
            <v>2146.4299999999998</v>
          </cell>
          <cell r="AZ244">
            <v>-1301.3900000000001</v>
          </cell>
          <cell r="BA244">
            <v>-1318.23</v>
          </cell>
          <cell r="BB244">
            <v>-4958.38</v>
          </cell>
          <cell r="BC244">
            <v>-1560.21</v>
          </cell>
          <cell r="BD244">
            <v>1962.89</v>
          </cell>
          <cell r="BE244">
            <v>-1683.38</v>
          </cell>
          <cell r="BF244">
            <v>1972.55</v>
          </cell>
          <cell r="BG244">
            <v>1985.15</v>
          </cell>
          <cell r="BH244">
            <v>1958.94</v>
          </cell>
          <cell r="BI244">
            <v>1988.97</v>
          </cell>
          <cell r="BJ244">
            <v>1947.74</v>
          </cell>
          <cell r="BK244">
            <v>1977.7</v>
          </cell>
          <cell r="BL244">
            <v>393.48</v>
          </cell>
          <cell r="BM244">
            <v>478.82</v>
          </cell>
          <cell r="BN244">
            <v>543.9</v>
          </cell>
          <cell r="BO244">
            <v>-343.52</v>
          </cell>
          <cell r="BP244">
            <v>-334.83</v>
          </cell>
          <cell r="BQ244">
            <v>-148.46</v>
          </cell>
          <cell r="BR244">
            <v>-302.83</v>
          </cell>
          <cell r="BS244">
            <v>92.25</v>
          </cell>
          <cell r="BT244">
            <v>156.80000000000001</v>
          </cell>
          <cell r="BU244">
            <v>269.73</v>
          </cell>
          <cell r="BV244">
            <v>371.4</v>
          </cell>
          <cell r="BW244">
            <v>419</v>
          </cell>
          <cell r="BX244">
            <v>-106.45</v>
          </cell>
          <cell r="BY244">
            <v>357.63</v>
          </cell>
          <cell r="BZ244">
            <v>328.93</v>
          </cell>
          <cell r="CA244">
            <v>0</v>
          </cell>
          <cell r="CB244">
            <v>181.18</v>
          </cell>
          <cell r="CC244">
            <v>424.53</v>
          </cell>
          <cell r="CD244">
            <v>0</v>
          </cell>
          <cell r="CE244">
            <v>160.85</v>
          </cell>
          <cell r="CF244">
            <v>467.26</v>
          </cell>
          <cell r="CG244">
            <v>-401.3</v>
          </cell>
          <cell r="CH244">
            <v>-162.52000000000001</v>
          </cell>
          <cell r="CI244">
            <v>-6.46</v>
          </cell>
          <cell r="CJ244">
            <v>0</v>
          </cell>
          <cell r="CK244">
            <v>316.16000000000003</v>
          </cell>
          <cell r="CL244">
            <v>-4359.63</v>
          </cell>
          <cell r="CM244">
            <v>552.19000000000005</v>
          </cell>
          <cell r="CN244">
            <v>537.94000000000005</v>
          </cell>
          <cell r="CO244">
            <v>649.29</v>
          </cell>
          <cell r="CP244">
            <v>979.81</v>
          </cell>
          <cell r="CQ244">
            <v>1016.18</v>
          </cell>
          <cell r="CR244">
            <v>1378.33</v>
          </cell>
          <cell r="CS244">
            <v>1481.16</v>
          </cell>
          <cell r="CT244">
            <v>-3267.96</v>
          </cell>
          <cell r="CU244">
            <v>-3121.04</v>
          </cell>
          <cell r="CV244">
            <v>-9478.01</v>
          </cell>
          <cell r="CW244">
            <v>-9592.7999999999993</v>
          </cell>
          <cell r="CX244">
            <v>-9715.9500000000007</v>
          </cell>
          <cell r="CY244">
            <v>877.52</v>
          </cell>
          <cell r="CZ244">
            <v>1160.6500000000001</v>
          </cell>
          <cell r="DA244">
            <v>-6389.76</v>
          </cell>
          <cell r="DB244">
            <v>-630.41999999999996</v>
          </cell>
          <cell r="DC244">
            <v>-596.28</v>
          </cell>
          <cell r="DD244">
            <v>-369.08</v>
          </cell>
          <cell r="DE244">
            <v>120.04</v>
          </cell>
          <cell r="DF244">
            <v>896.56</v>
          </cell>
          <cell r="DG244">
            <v>1261.24</v>
          </cell>
          <cell r="DH244">
            <v>600.14</v>
          </cell>
        </row>
        <row r="245">
          <cell r="C245" t="str">
            <v>AP Misc Donations</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-1435</v>
          </cell>
          <cell r="BW245">
            <v>-1435</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row>
        <row r="246">
          <cell r="C246" t="str">
            <v>AP PY Dividend Clrg</v>
          </cell>
          <cell r="D246">
            <v>0</v>
          </cell>
          <cell r="E246">
            <v>0</v>
          </cell>
          <cell r="F246">
            <v>0</v>
          </cell>
          <cell r="G246">
            <v>0</v>
          </cell>
          <cell r="H246">
            <v>0</v>
          </cell>
          <cell r="I246">
            <v>0</v>
          </cell>
          <cell r="J246">
            <v>-7497.6</v>
          </cell>
          <cell r="K246">
            <v>0</v>
          </cell>
          <cell r="L246">
            <v>0</v>
          </cell>
          <cell r="M246">
            <v>0</v>
          </cell>
          <cell r="N246">
            <v>0</v>
          </cell>
          <cell r="O246">
            <v>-7382.1</v>
          </cell>
          <cell r="P246">
            <v>0</v>
          </cell>
          <cell r="Q246">
            <v>0</v>
          </cell>
          <cell r="R246">
            <v>0</v>
          </cell>
          <cell r="S246">
            <v>0</v>
          </cell>
          <cell r="T246">
            <v>0</v>
          </cell>
          <cell r="U246">
            <v>-6775.97</v>
          </cell>
          <cell r="V246">
            <v>0</v>
          </cell>
          <cell r="W246">
            <v>0</v>
          </cell>
          <cell r="X246">
            <v>0</v>
          </cell>
          <cell r="Y246">
            <v>0</v>
          </cell>
          <cell r="Z246">
            <v>0</v>
          </cell>
          <cell r="AA246">
            <v>0</v>
          </cell>
          <cell r="AB246">
            <v>-6775.97</v>
          </cell>
          <cell r="AC246">
            <v>0</v>
          </cell>
          <cell r="AD246">
            <v>-7444.64</v>
          </cell>
          <cell r="AE246">
            <v>0</v>
          </cell>
          <cell r="AF246">
            <v>0</v>
          </cell>
          <cell r="AG246">
            <v>-7739.04</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row>
        <row r="247">
          <cell r="C247" t="str">
            <v>AP Legacy M&amp;S RNB</v>
          </cell>
          <cell r="D247">
            <v>1000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row>
        <row r="248">
          <cell r="C248" t="str">
            <v>NP IC Current Postng</v>
          </cell>
          <cell r="D248">
            <v>0</v>
          </cell>
          <cell r="E248">
            <v>0</v>
          </cell>
          <cell r="F248">
            <v>0</v>
          </cell>
          <cell r="G248">
            <v>0</v>
          </cell>
          <cell r="H248">
            <v>0</v>
          </cell>
          <cell r="I248">
            <v>0</v>
          </cell>
          <cell r="J248">
            <v>0</v>
          </cell>
          <cell r="K248">
            <v>0</v>
          </cell>
          <cell r="L248">
            <v>-800000</v>
          </cell>
          <cell r="M248">
            <v>-4700000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-600000</v>
          </cell>
          <cell r="AI248">
            <v>0</v>
          </cell>
          <cell r="AJ248">
            <v>0</v>
          </cell>
          <cell r="AK248">
            <v>0</v>
          </cell>
          <cell r="AL248">
            <v>0</v>
          </cell>
          <cell r="AM248">
            <v>0</v>
          </cell>
          <cell r="AN248">
            <v>0</v>
          </cell>
          <cell r="AO248">
            <v>0</v>
          </cell>
          <cell r="AP248">
            <v>0</v>
          </cell>
          <cell r="AQ248">
            <v>0</v>
          </cell>
          <cell r="AR248">
            <v>0</v>
          </cell>
          <cell r="AS248">
            <v>-1700000</v>
          </cell>
          <cell r="AT248">
            <v>0</v>
          </cell>
          <cell r="AU248">
            <v>0</v>
          </cell>
          <cell r="AV248">
            <v>0</v>
          </cell>
          <cell r="AW248">
            <v>0</v>
          </cell>
          <cell r="AX248">
            <v>0</v>
          </cell>
          <cell r="AY248">
            <v>-46059900</v>
          </cell>
          <cell r="AZ248">
            <v>-52684300</v>
          </cell>
          <cell r="BA248">
            <v>-50045713</v>
          </cell>
          <cell r="BB248">
            <v>0</v>
          </cell>
          <cell r="BC248">
            <v>0</v>
          </cell>
          <cell r="BD248">
            <v>0</v>
          </cell>
          <cell r="BE248">
            <v>0</v>
          </cell>
          <cell r="BF248">
            <v>0</v>
          </cell>
          <cell r="BG248">
            <v>0</v>
          </cell>
          <cell r="BH248">
            <v>0</v>
          </cell>
          <cell r="BI248">
            <v>0</v>
          </cell>
          <cell r="BJ248">
            <v>-26601973.98</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-4181104</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-36571246.979999997</v>
          </cell>
          <cell r="DD248">
            <v>-24775692.280000001</v>
          </cell>
          <cell r="DE248">
            <v>0</v>
          </cell>
          <cell r="DF248">
            <v>0</v>
          </cell>
          <cell r="DG248">
            <v>0</v>
          </cell>
          <cell r="DH248">
            <v>0</v>
          </cell>
        </row>
        <row r="249">
          <cell r="C249" t="str">
            <v>AP Interco Recon</v>
          </cell>
          <cell r="D249">
            <v>-7103154.0499999998</v>
          </cell>
          <cell r="E249">
            <v>-5604995.96</v>
          </cell>
          <cell r="F249">
            <v>-5479917.0099999998</v>
          </cell>
          <cell r="G249">
            <v>-5898273.3899999997</v>
          </cell>
          <cell r="H249">
            <v>-5243408.34</v>
          </cell>
          <cell r="I249">
            <v>-13833685.859999999</v>
          </cell>
          <cell r="J249">
            <v>-19900860.989999998</v>
          </cell>
          <cell r="K249">
            <v>-6033196.0800000001</v>
          </cell>
          <cell r="L249">
            <v>-5013447.95</v>
          </cell>
          <cell r="M249">
            <v>-4738593.17</v>
          </cell>
          <cell r="N249">
            <v>-4804396.34</v>
          </cell>
          <cell r="O249">
            <v>-9784161.2300000004</v>
          </cell>
          <cell r="P249">
            <v>-6931672.9800000004</v>
          </cell>
          <cell r="Q249">
            <v>-5711194.25</v>
          </cell>
          <cell r="R249">
            <v>-5494204.2199999997</v>
          </cell>
          <cell r="S249">
            <v>-6137465.1399999997</v>
          </cell>
          <cell r="T249">
            <v>-5622748.2699999996</v>
          </cell>
          <cell r="U249">
            <v>-10296933.26</v>
          </cell>
          <cell r="V249">
            <v>-6000829.9500000002</v>
          </cell>
          <cell r="W249">
            <v>-6669087.5800000001</v>
          </cell>
          <cell r="X249">
            <v>-4907465.74</v>
          </cell>
          <cell r="Y249">
            <v>-5103197.88</v>
          </cell>
          <cell r="Z249">
            <v>-4953393.7699999996</v>
          </cell>
          <cell r="AA249">
            <v>-8393816.5500000007</v>
          </cell>
          <cell r="AB249">
            <v>-10525641.5</v>
          </cell>
          <cell r="AC249">
            <v>-5297140.6500000004</v>
          </cell>
          <cell r="AD249">
            <v>-5589103.21</v>
          </cell>
          <cell r="AE249">
            <v>-6044815.5899999999</v>
          </cell>
          <cell r="AF249">
            <v>-4567689.16</v>
          </cell>
          <cell r="AG249">
            <v>-9361769.2899999991</v>
          </cell>
          <cell r="AH249">
            <v>-5117350.29</v>
          </cell>
          <cell r="AI249">
            <v>-4764048.22</v>
          </cell>
          <cell r="AJ249">
            <v>-3187576.26</v>
          </cell>
          <cell r="AK249">
            <v>-3093852.96</v>
          </cell>
          <cell r="AL249">
            <v>-4295831.5599999996</v>
          </cell>
          <cell r="AM249">
            <v>-9412223.0999999996</v>
          </cell>
          <cell r="AN249">
            <v>-8085514.1500000004</v>
          </cell>
          <cell r="AO249">
            <v>-2298090.23</v>
          </cell>
          <cell r="AP249">
            <v>-11562903.4</v>
          </cell>
          <cell r="AQ249">
            <v>-4042467.65</v>
          </cell>
          <cell r="AR249">
            <v>-8503302.1999999993</v>
          </cell>
          <cell r="AS249">
            <v>-13894925.84</v>
          </cell>
          <cell r="AT249">
            <v>-2588192.88</v>
          </cell>
          <cell r="AU249">
            <v>-7532643.4100000001</v>
          </cell>
          <cell r="AV249">
            <v>-4414155.74</v>
          </cell>
          <cell r="AW249">
            <v>-2905724.76</v>
          </cell>
          <cell r="AX249">
            <v>-4440501.88</v>
          </cell>
          <cell r="AY249">
            <v>-10404007.43</v>
          </cell>
          <cell r="AZ249">
            <v>-7206810.2999999998</v>
          </cell>
          <cell r="BA249">
            <v>-6048238.4199999999</v>
          </cell>
          <cell r="BB249">
            <v>-5644473.3600000003</v>
          </cell>
          <cell r="BC249">
            <v>-5668505.0199999996</v>
          </cell>
          <cell r="BD249">
            <v>-5457301.5700000003</v>
          </cell>
          <cell r="BE249">
            <v>-9529554.0299999993</v>
          </cell>
          <cell r="BF249">
            <v>-6979020.6299999999</v>
          </cell>
          <cell r="BG249">
            <v>-5291143.84</v>
          </cell>
          <cell r="BH249">
            <v>-5033056.0599999996</v>
          </cell>
          <cell r="BI249">
            <v>-5727561.8899999997</v>
          </cell>
          <cell r="BJ249">
            <v>-5646545.2999999998</v>
          </cell>
          <cell r="BK249">
            <v>-9579371.3100000005</v>
          </cell>
          <cell r="BL249">
            <v>-8435558.2799999993</v>
          </cell>
          <cell r="BM249">
            <v>-8636890.2899999991</v>
          </cell>
          <cell r="BN249">
            <v>-6141273.0700000003</v>
          </cell>
          <cell r="BO249">
            <v>-7078437.5999999996</v>
          </cell>
          <cell r="BP249">
            <v>-6085406.8200000003</v>
          </cell>
          <cell r="BQ249">
            <v>-9503784.0199999996</v>
          </cell>
          <cell r="BR249">
            <v>-8494586.6400000006</v>
          </cell>
          <cell r="BS249">
            <v>-5529162.5700000003</v>
          </cell>
          <cell r="BT249">
            <v>-6425165.2400000002</v>
          </cell>
          <cell r="BU249">
            <v>-5751130.2999999998</v>
          </cell>
          <cell r="BV249">
            <v>-5515770.4000000004</v>
          </cell>
          <cell r="BW249">
            <v>-9126695.6600000001</v>
          </cell>
          <cell r="BX249">
            <v>-11209888.17</v>
          </cell>
          <cell r="BY249">
            <v>-7691394.9199999999</v>
          </cell>
          <cell r="BZ249">
            <v>-6292690.2400000002</v>
          </cell>
          <cell r="CA249">
            <v>-7963300.1399999997</v>
          </cell>
          <cell r="CB249">
            <v>-6146892.54</v>
          </cell>
          <cell r="CC249">
            <v>-9408201.0199999996</v>
          </cell>
          <cell r="CD249">
            <v>-9734098.5</v>
          </cell>
          <cell r="CE249">
            <v>-5820691.1299999999</v>
          </cell>
          <cell r="CF249">
            <v>-4923531.18</v>
          </cell>
          <cell r="CG249">
            <v>-6633104.0599999996</v>
          </cell>
          <cell r="CH249">
            <v>-5434855.0300000003</v>
          </cell>
          <cell r="CI249">
            <v>-11091173.619999999</v>
          </cell>
          <cell r="CJ249">
            <v>-11845058.42</v>
          </cell>
          <cell r="CK249">
            <v>-9292908.1099999994</v>
          </cell>
          <cell r="CL249">
            <v>-6367035.1100000003</v>
          </cell>
          <cell r="CM249">
            <v>-2369470.5499999998</v>
          </cell>
          <cell r="CN249">
            <v>-12581789.619999999</v>
          </cell>
          <cell r="CO249">
            <v>-9202224.3499999996</v>
          </cell>
          <cell r="CP249">
            <v>-11098348.199999999</v>
          </cell>
          <cell r="CQ249">
            <v>-9581118.0899999999</v>
          </cell>
          <cell r="CR249">
            <v>-6585590.4699999997</v>
          </cell>
          <cell r="CS249">
            <v>-10511772.720000001</v>
          </cell>
          <cell r="CT249">
            <v>-5356707.7699999996</v>
          </cell>
          <cell r="CU249">
            <v>-9150661.0399999991</v>
          </cell>
          <cell r="CV249">
            <v>-13901643.470000001</v>
          </cell>
          <cell r="CW249">
            <v>-9381979.6600000001</v>
          </cell>
          <cell r="CX249">
            <v>-6659943.1699999999</v>
          </cell>
          <cell r="CY249">
            <v>-10790045.119999999</v>
          </cell>
          <cell r="CZ249">
            <v>-8073673.0599999996</v>
          </cell>
          <cell r="DA249">
            <v>-9220343.5700000003</v>
          </cell>
          <cell r="DB249">
            <v>-11894601.300000001</v>
          </cell>
          <cell r="DC249">
            <v>-11454438.380000001</v>
          </cell>
          <cell r="DD249">
            <v>-7452340.54</v>
          </cell>
          <cell r="DE249">
            <v>-10219796.390000001</v>
          </cell>
          <cell r="DF249">
            <v>-7865530.5999999996</v>
          </cell>
          <cell r="DG249">
            <v>-10510908.35</v>
          </cell>
          <cell r="DH249">
            <v>-18235391.120000001</v>
          </cell>
        </row>
        <row r="250">
          <cell r="C250" t="str">
            <v>AP Interco Posting</v>
          </cell>
          <cell r="D250">
            <v>-13028.11</v>
          </cell>
          <cell r="E250">
            <v>-179391.48</v>
          </cell>
          <cell r="F250">
            <v>-34753.65</v>
          </cell>
          <cell r="G250">
            <v>-20977.7</v>
          </cell>
          <cell r="H250">
            <v>-133630.1</v>
          </cell>
          <cell r="I250">
            <v>-11338.02</v>
          </cell>
          <cell r="J250">
            <v>-808060.31</v>
          </cell>
          <cell r="K250">
            <v>-90071.69</v>
          </cell>
          <cell r="L250">
            <v>-116783.88</v>
          </cell>
          <cell r="M250">
            <v>-157861.01999999999</v>
          </cell>
          <cell r="N250">
            <v>-117705.89</v>
          </cell>
          <cell r="O250">
            <v>-1098860.79</v>
          </cell>
          <cell r="P250">
            <v>-42654.79</v>
          </cell>
          <cell r="Q250">
            <v>-54877.81</v>
          </cell>
          <cell r="R250">
            <v>-30927.11</v>
          </cell>
          <cell r="S250">
            <v>-34644.82</v>
          </cell>
          <cell r="T250">
            <v>-52359.54</v>
          </cell>
          <cell r="U250">
            <v>-54161.87</v>
          </cell>
          <cell r="V250">
            <v>-17729.830000000002</v>
          </cell>
          <cell r="W250">
            <v>-9388.7999999999993</v>
          </cell>
          <cell r="X250">
            <v>-10996.12</v>
          </cell>
          <cell r="Y250">
            <v>-23482.2</v>
          </cell>
          <cell r="Z250">
            <v>-9457.65</v>
          </cell>
          <cell r="AA250">
            <v>-9388.7999999999993</v>
          </cell>
          <cell r="AB250">
            <v>-204687.39</v>
          </cell>
          <cell r="AC250">
            <v>-26650.799999999999</v>
          </cell>
          <cell r="AD250">
            <v>-11220.74</v>
          </cell>
          <cell r="AE250">
            <v>-10517.2</v>
          </cell>
          <cell r="AF250">
            <v>-9388.7999999999993</v>
          </cell>
          <cell r="AG250">
            <v>-16772.11</v>
          </cell>
          <cell r="AH250">
            <v>-28069.119999999999</v>
          </cell>
          <cell r="AI250">
            <v>-30871.13</v>
          </cell>
          <cell r="AJ250">
            <v>-10521.98</v>
          </cell>
          <cell r="AK250">
            <v>-260682</v>
          </cell>
          <cell r="AL250">
            <v>-175695.6</v>
          </cell>
          <cell r="AM250">
            <v>-16360.9</v>
          </cell>
          <cell r="AN250">
            <v>-61151.08</v>
          </cell>
          <cell r="AO250">
            <v>-17192.03</v>
          </cell>
          <cell r="AP250">
            <v>-10520.04</v>
          </cell>
          <cell r="AQ250">
            <v>-16276.38</v>
          </cell>
          <cell r="AR250">
            <v>-58652.32</v>
          </cell>
          <cell r="AS250">
            <v>-77731.55</v>
          </cell>
          <cell r="AT250">
            <v>-46920.87</v>
          </cell>
          <cell r="AU250">
            <v>-57646.48</v>
          </cell>
          <cell r="AV250">
            <v>-61323.02</v>
          </cell>
          <cell r="AW250">
            <v>-54337.75</v>
          </cell>
          <cell r="AX250">
            <v>-46268.55</v>
          </cell>
          <cell r="AY250">
            <v>-41308.800000000003</v>
          </cell>
          <cell r="AZ250">
            <v>-43389.87</v>
          </cell>
          <cell r="BA250">
            <v>-396496.93</v>
          </cell>
          <cell r="BB250">
            <v>-54037.62</v>
          </cell>
          <cell r="BC250">
            <v>-61553.16</v>
          </cell>
          <cell r="BD250">
            <v>-45637.120000000003</v>
          </cell>
          <cell r="BE250">
            <v>-59954.42</v>
          </cell>
          <cell r="BF250">
            <v>-52424.47</v>
          </cell>
          <cell r="BG250">
            <v>-42372.800000000003</v>
          </cell>
          <cell r="BH250">
            <v>-46893.4</v>
          </cell>
          <cell r="BI250">
            <v>-55528.09</v>
          </cell>
          <cell r="BJ250">
            <v>-50130.23</v>
          </cell>
          <cell r="BK250">
            <v>-70887.899999999994</v>
          </cell>
          <cell r="BL250">
            <v>-68181.87</v>
          </cell>
          <cell r="BM250">
            <v>-65381.98</v>
          </cell>
          <cell r="BN250">
            <v>-40165.4</v>
          </cell>
          <cell r="BO250">
            <v>-85476.54</v>
          </cell>
          <cell r="BP250">
            <v>-41308.800000000003</v>
          </cell>
          <cell r="BQ250">
            <v>-50424.87</v>
          </cell>
          <cell r="BR250">
            <v>-60395.1</v>
          </cell>
          <cell r="BS250">
            <v>-51921.72</v>
          </cell>
          <cell r="BT250">
            <v>-53410.98</v>
          </cell>
          <cell r="BU250">
            <v>-44432.97</v>
          </cell>
          <cell r="BV250">
            <v>-42372.800000000003</v>
          </cell>
          <cell r="BW250">
            <v>-62424.959999999999</v>
          </cell>
          <cell r="BX250">
            <v>-157781.60999999999</v>
          </cell>
          <cell r="BY250">
            <v>-142078.18</v>
          </cell>
          <cell r="BZ250">
            <v>-55196.51</v>
          </cell>
          <cell r="CA250">
            <v>-64300.18</v>
          </cell>
          <cell r="CB250">
            <v>-65047.42</v>
          </cell>
          <cell r="CC250">
            <v>-46550.239999999998</v>
          </cell>
          <cell r="CD250">
            <v>6871.49</v>
          </cell>
          <cell r="CE250">
            <v>-55842.29</v>
          </cell>
          <cell r="CF250">
            <v>-42372.800000000003</v>
          </cell>
          <cell r="CG250">
            <v>-57604.35</v>
          </cell>
          <cell r="CH250">
            <v>-315776.14</v>
          </cell>
          <cell r="CI250">
            <v>-528771.06000000006</v>
          </cell>
          <cell r="CJ250">
            <v>-556783.73</v>
          </cell>
          <cell r="CK250">
            <v>-548242.52</v>
          </cell>
          <cell r="CL250">
            <v>-633298.03</v>
          </cell>
          <cell r="CM250">
            <v>-684276.78</v>
          </cell>
          <cell r="CN250">
            <v>-537348.25</v>
          </cell>
          <cell r="CO250">
            <v>-545600.64</v>
          </cell>
          <cell r="CP250">
            <v>-528303.48</v>
          </cell>
          <cell r="CQ250">
            <v>-545600.64</v>
          </cell>
          <cell r="CR250">
            <v>-559196.87</v>
          </cell>
          <cell r="CS250">
            <v>-586758.59</v>
          </cell>
          <cell r="CT250">
            <v>-643840.38</v>
          </cell>
          <cell r="CU250">
            <v>-528303.48</v>
          </cell>
          <cell r="CV250">
            <v>-545600.64</v>
          </cell>
          <cell r="CW250">
            <v>-568480.88</v>
          </cell>
          <cell r="CX250">
            <v>-493709.17</v>
          </cell>
          <cell r="CY250">
            <v>-545600.64</v>
          </cell>
          <cell r="CZ250">
            <v>-534081.28000000003</v>
          </cell>
          <cell r="DA250">
            <v>-621581.64</v>
          </cell>
          <cell r="DB250">
            <v>-601833.48</v>
          </cell>
          <cell r="DC250">
            <v>-621581.64</v>
          </cell>
          <cell r="DD250">
            <v>-662684.72</v>
          </cell>
          <cell r="DE250">
            <v>-601833.48</v>
          </cell>
          <cell r="DF250">
            <v>-621581.64</v>
          </cell>
          <cell r="DG250">
            <v>-640960.31000000006</v>
          </cell>
          <cell r="DH250">
            <v>-621581.64</v>
          </cell>
        </row>
        <row r="251">
          <cell r="C251" t="str">
            <v>AP Emera IC Recon</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-2882304.94</v>
          </cell>
          <cell r="CY251">
            <v>0</v>
          </cell>
          <cell r="CZ251">
            <v>0</v>
          </cell>
          <cell r="DA251">
            <v>0</v>
          </cell>
          <cell r="DB251">
            <v>0</v>
          </cell>
          <cell r="DC251">
            <v>0</v>
          </cell>
          <cell r="DD251">
            <v>0</v>
          </cell>
          <cell r="DE251">
            <v>0</v>
          </cell>
          <cell r="DF251">
            <v>0</v>
          </cell>
          <cell r="DG251">
            <v>0</v>
          </cell>
          <cell r="DH251">
            <v>0</v>
          </cell>
        </row>
        <row r="252">
          <cell r="C252" t="str">
            <v>AP Emera IC Posting</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v>0</v>
          </cell>
          <cell r="AM252">
            <v>0</v>
          </cell>
          <cell r="AN252">
            <v>-20663.62</v>
          </cell>
          <cell r="AO252">
            <v>-19729.59</v>
          </cell>
          <cell r="AP252">
            <v>2598.0300000000002</v>
          </cell>
          <cell r="AQ252">
            <v>-27074.3</v>
          </cell>
          <cell r="AR252">
            <v>-17699.900000000001</v>
          </cell>
          <cell r="AS252">
            <v>-24195.49</v>
          </cell>
          <cell r="AT252">
            <v>-17180.82</v>
          </cell>
          <cell r="AU252">
            <v>-357489.58</v>
          </cell>
          <cell r="AV252">
            <v>0</v>
          </cell>
          <cell r="AW252">
            <v>-40987.5</v>
          </cell>
          <cell r="AX252">
            <v>-65331.13</v>
          </cell>
          <cell r="AY252">
            <v>-661015.12</v>
          </cell>
          <cell r="AZ252">
            <v>-751223.67</v>
          </cell>
          <cell r="BA252">
            <v>-756196.77</v>
          </cell>
          <cell r="BB252">
            <v>-929803.77</v>
          </cell>
          <cell r="BC252">
            <v>-711946.43</v>
          </cell>
          <cell r="BD252">
            <v>-1307813.8</v>
          </cell>
          <cell r="BE252">
            <v>-794302.72</v>
          </cell>
          <cell r="BF252">
            <v>-1038433.89</v>
          </cell>
          <cell r="BG252">
            <v>-1994349.66</v>
          </cell>
          <cell r="BH252">
            <v>-1431642.73</v>
          </cell>
          <cell r="BI252">
            <v>-1493365.17</v>
          </cell>
          <cell r="BJ252">
            <v>-1518953.46</v>
          </cell>
          <cell r="BK252">
            <v>-702090.01</v>
          </cell>
          <cell r="BL252">
            <v>-1065214.05</v>
          </cell>
          <cell r="BM252">
            <v>-914038.77</v>
          </cell>
          <cell r="BN252">
            <v>-695255.61</v>
          </cell>
          <cell r="BO252">
            <v>-757044.59</v>
          </cell>
          <cell r="BP252">
            <v>-21921.18</v>
          </cell>
          <cell r="BQ252">
            <v>151188.9</v>
          </cell>
          <cell r="BR252">
            <v>-151572.94</v>
          </cell>
          <cell r="BS252">
            <v>-180406.97</v>
          </cell>
          <cell r="BT252">
            <v>-226531.85</v>
          </cell>
          <cell r="BU252">
            <v>-545141.98</v>
          </cell>
          <cell r="BV252">
            <v>-250907.99</v>
          </cell>
          <cell r="BW252">
            <v>-246640.42</v>
          </cell>
          <cell r="BX252">
            <v>-97630.01</v>
          </cell>
          <cell r="BY252">
            <v>-171783.29</v>
          </cell>
          <cell r="BZ252">
            <v>-191660</v>
          </cell>
          <cell r="CA252">
            <v>-299028.01</v>
          </cell>
          <cell r="CB252">
            <v>-183280.94</v>
          </cell>
          <cell r="CC252">
            <v>-309551.5</v>
          </cell>
          <cell r="CD252">
            <v>-272170.23999999999</v>
          </cell>
          <cell r="CE252">
            <v>-139363.41</v>
          </cell>
          <cell r="CF252">
            <v>-229977.39</v>
          </cell>
          <cell r="CG252">
            <v>-310523.58</v>
          </cell>
          <cell r="CH252">
            <v>-260999.04000000001</v>
          </cell>
          <cell r="CI252">
            <v>-1123433.94</v>
          </cell>
          <cell r="CJ252">
            <v>-1724594.24</v>
          </cell>
          <cell r="CK252">
            <v>-2891004.44</v>
          </cell>
          <cell r="CL252">
            <v>-5170370.75</v>
          </cell>
          <cell r="CM252">
            <v>-2451262.67</v>
          </cell>
          <cell r="CN252">
            <v>-1937354.33</v>
          </cell>
          <cell r="CO252">
            <v>-1872445.48</v>
          </cell>
          <cell r="CP252">
            <v>-1961544.37</v>
          </cell>
          <cell r="CQ252">
            <v>-2163381.9500000002</v>
          </cell>
          <cell r="CR252">
            <v>-3038890.19</v>
          </cell>
          <cell r="CS252">
            <v>-3776477.26</v>
          </cell>
          <cell r="CT252">
            <v>-5253186.83</v>
          </cell>
          <cell r="CU252">
            <v>-4052901.27</v>
          </cell>
          <cell r="CV252">
            <v>-1580283.66</v>
          </cell>
          <cell r="CW252">
            <v>-3827145.96</v>
          </cell>
          <cell r="CX252">
            <v>-3224690.94</v>
          </cell>
          <cell r="CY252">
            <v>-3825613.36</v>
          </cell>
          <cell r="CZ252">
            <v>-2266699.64</v>
          </cell>
          <cell r="DA252">
            <v>-3318360.92</v>
          </cell>
          <cell r="DB252">
            <v>-3231061.88</v>
          </cell>
          <cell r="DC252">
            <v>-3035381.81</v>
          </cell>
          <cell r="DD252">
            <v>-3579154.11</v>
          </cell>
          <cell r="DE252">
            <v>-1039096.93</v>
          </cell>
          <cell r="DF252">
            <v>-713371.46</v>
          </cell>
          <cell r="DG252">
            <v>-3182971.55</v>
          </cell>
          <cell r="DH252">
            <v>-9219323.0800000001</v>
          </cell>
        </row>
        <row r="253">
          <cell r="C253" t="str">
            <v>AP IC EmeraSAP Recon</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-4800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row>
        <row r="254">
          <cell r="C254" t="str">
            <v>AP IC CRM-OneBill</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row>
        <row r="255">
          <cell r="C255" t="str">
            <v>AP IC CRM-TEC</v>
          </cell>
          <cell r="D255"/>
          <cell r="E255"/>
          <cell r="F255"/>
          <cell r="G255"/>
          <cell r="H255"/>
          <cell r="I255"/>
          <cell r="J255"/>
          <cell r="K255"/>
          <cell r="L255"/>
          <cell r="M255"/>
          <cell r="N255"/>
          <cell r="O255"/>
          <cell r="P255"/>
          <cell r="Q255"/>
          <cell r="R255"/>
          <cell r="S255"/>
          <cell r="T255"/>
          <cell r="U255"/>
          <cell r="V255"/>
          <cell r="W255"/>
          <cell r="X255"/>
          <cell r="Y255"/>
          <cell r="Z255"/>
          <cell r="AA255"/>
          <cell r="AB255"/>
          <cell r="AC255"/>
          <cell r="AD255"/>
          <cell r="AE255"/>
          <cell r="AF255"/>
          <cell r="AG255"/>
          <cell r="AH255"/>
          <cell r="AI255"/>
          <cell r="AJ255"/>
          <cell r="AK255"/>
          <cell r="AL255"/>
          <cell r="AM255"/>
          <cell r="AN255"/>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row>
        <row r="256">
          <cell r="C256" t="str">
            <v>AP IC CRM-TPI</v>
          </cell>
          <cell r="D256"/>
          <cell r="E256"/>
          <cell r="F256"/>
          <cell r="G256"/>
          <cell r="H256"/>
          <cell r="I256"/>
          <cell r="J256"/>
          <cell r="K256"/>
          <cell r="L256"/>
          <cell r="M256"/>
          <cell r="N256"/>
          <cell r="O256"/>
          <cell r="P256"/>
          <cell r="Q256"/>
          <cell r="R256"/>
          <cell r="S256"/>
          <cell r="T256"/>
          <cell r="U256"/>
          <cell r="V256"/>
          <cell r="W256"/>
          <cell r="X256"/>
          <cell r="Y256"/>
          <cell r="Z256"/>
          <cell r="AA256"/>
          <cell r="AB256"/>
          <cell r="AC256"/>
          <cell r="AD256"/>
          <cell r="AE256"/>
          <cell r="AF256"/>
          <cell r="AG256"/>
          <cell r="AH256"/>
          <cell r="AI256"/>
          <cell r="AJ256"/>
          <cell r="AK256"/>
          <cell r="AL256"/>
          <cell r="AM256"/>
          <cell r="AN256"/>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row>
        <row r="257">
          <cell r="C257" t="str">
            <v>Trade Payable-Emera Interco Accruals/Reversals</v>
          </cell>
          <cell r="D257"/>
          <cell r="E257"/>
          <cell r="F257"/>
          <cell r="G257"/>
          <cell r="H257"/>
          <cell r="I257"/>
          <cell r="J257"/>
          <cell r="K257"/>
          <cell r="L257"/>
          <cell r="M257"/>
          <cell r="N257"/>
          <cell r="O257"/>
          <cell r="P257"/>
          <cell r="Q257"/>
          <cell r="R257"/>
          <cell r="S257"/>
          <cell r="T257"/>
          <cell r="U257"/>
          <cell r="V257"/>
          <cell r="W257"/>
          <cell r="X257"/>
          <cell r="Y257"/>
          <cell r="Z257"/>
          <cell r="AA257"/>
          <cell r="AB257"/>
          <cell r="AC257"/>
          <cell r="AD257"/>
          <cell r="AE257"/>
          <cell r="AF257"/>
          <cell r="AG257"/>
          <cell r="AH257"/>
          <cell r="AI257"/>
          <cell r="AJ257"/>
          <cell r="AK257"/>
          <cell r="AL257"/>
          <cell r="AM257"/>
          <cell r="AN257"/>
          <cell r="AO257"/>
          <cell r="AP257"/>
          <cell r="AQ257"/>
          <cell r="AR257"/>
          <cell r="AS257"/>
          <cell r="AT257"/>
          <cell r="AU257"/>
          <cell r="AV257"/>
          <cell r="AW257"/>
          <cell r="AX257"/>
          <cell r="AY257"/>
          <cell r="AZ257"/>
          <cell r="BA257"/>
          <cell r="BB257"/>
          <cell r="BC257"/>
          <cell r="BD257"/>
          <cell r="BE257"/>
          <cell r="BF257"/>
          <cell r="BG257"/>
          <cell r="BH257"/>
          <cell r="BI257"/>
          <cell r="BJ257"/>
          <cell r="BK257"/>
          <cell r="BL257"/>
          <cell r="BM257"/>
          <cell r="BN257"/>
          <cell r="BO257"/>
          <cell r="BP257"/>
          <cell r="BQ257"/>
          <cell r="BR257"/>
          <cell r="BS257"/>
          <cell r="BT257"/>
          <cell r="BU257"/>
          <cell r="BV257"/>
          <cell r="BW257"/>
          <cell r="BX257"/>
          <cell r="BY257">
            <v>0</v>
          </cell>
          <cell r="BZ257">
            <v>-43661.49</v>
          </cell>
          <cell r="CA257">
            <v>-40996.379999999997</v>
          </cell>
          <cell r="CB257">
            <v>-41722.78</v>
          </cell>
          <cell r="CC257">
            <v>-41928.639999999999</v>
          </cell>
          <cell r="CD257">
            <v>-42872.92</v>
          </cell>
          <cell r="CE257">
            <v>-43742.91</v>
          </cell>
          <cell r="CF257">
            <v>-57924.6</v>
          </cell>
          <cell r="CG257">
            <v>-57201.279999999999</v>
          </cell>
          <cell r="CH257">
            <v>-57441.81</v>
          </cell>
          <cell r="CI257">
            <v>-59005.8</v>
          </cell>
          <cell r="CJ257">
            <v>-59967.87</v>
          </cell>
          <cell r="CK257">
            <v>-42348.21</v>
          </cell>
          <cell r="CL257">
            <v>-42665.34</v>
          </cell>
          <cell r="CM257">
            <v>-45992.86</v>
          </cell>
          <cell r="CN257">
            <v>-47078.55</v>
          </cell>
          <cell r="CO257">
            <v>-47909.19</v>
          </cell>
          <cell r="CP257">
            <v>-46664.51</v>
          </cell>
          <cell r="CQ257">
            <v>-46409.89</v>
          </cell>
          <cell r="CR257">
            <v>-44891.02</v>
          </cell>
          <cell r="CS257">
            <v>-44454.11</v>
          </cell>
          <cell r="CT257">
            <v>-45735.61</v>
          </cell>
          <cell r="CU257">
            <v>-44276.88</v>
          </cell>
          <cell r="CV257">
            <v>-44675.02</v>
          </cell>
          <cell r="CW257">
            <v>-57045.36</v>
          </cell>
          <cell r="CX257">
            <v>-68553.3</v>
          </cell>
          <cell r="CY257">
            <v>-69661.5</v>
          </cell>
          <cell r="CZ257">
            <v>-68049.56</v>
          </cell>
          <cell r="DA257">
            <v>-68824.320000000007</v>
          </cell>
          <cell r="DB257">
            <v>-67553.149999999994</v>
          </cell>
          <cell r="DC257">
            <v>-67879.759999999995</v>
          </cell>
          <cell r="DD257">
            <v>-66393.87</v>
          </cell>
          <cell r="DE257">
            <v>-59513.38</v>
          </cell>
          <cell r="DF257">
            <v>-59766.27</v>
          </cell>
          <cell r="DG257">
            <v>-60390.13</v>
          </cell>
          <cell r="DH257">
            <v>-60229.62</v>
          </cell>
        </row>
        <row r="258">
          <cell r="A258">
            <v>2350100</v>
          </cell>
          <cell r="B258">
            <v>2350100</v>
          </cell>
          <cell r="C258" t="str">
            <v>CIS Cust Deposit ST</v>
          </cell>
          <cell r="D258">
            <v>-38252497.020000003</v>
          </cell>
          <cell r="E258">
            <v>-38402663.640000001</v>
          </cell>
          <cell r="F258">
            <v>-38619213.899999999</v>
          </cell>
          <cell r="G258">
            <v>-38751511.399999999</v>
          </cell>
          <cell r="H258">
            <v>-38848172.740000002</v>
          </cell>
          <cell r="I258">
            <v>-39301948.060000002</v>
          </cell>
          <cell r="J258">
            <v>-39086891.649999999</v>
          </cell>
          <cell r="K258">
            <v>-39528824.149999999</v>
          </cell>
          <cell r="L258">
            <v>-39623433.270000003</v>
          </cell>
          <cell r="M258">
            <v>-39834100.380000003</v>
          </cell>
          <cell r="N258">
            <v>-40259363.75</v>
          </cell>
          <cell r="O258">
            <v>-40002890.090000004</v>
          </cell>
          <cell r="P258">
            <v>-39967880.380000003</v>
          </cell>
          <cell r="Q258">
            <v>-40117931.630000003</v>
          </cell>
          <cell r="R258">
            <v>-40137186.770000003</v>
          </cell>
          <cell r="S258">
            <v>-40205466.490000002</v>
          </cell>
          <cell r="T258">
            <v>-40406562.909999996</v>
          </cell>
          <cell r="U258">
            <v>-40629411.25</v>
          </cell>
          <cell r="V258">
            <v>-40700715.420000002</v>
          </cell>
          <cell r="W258">
            <v>-40727665.799999997</v>
          </cell>
          <cell r="X258">
            <v>-40710578.390000001</v>
          </cell>
          <cell r="Y258">
            <v>-40767228.880000003</v>
          </cell>
          <cell r="Z258">
            <v>-40905057.280000001</v>
          </cell>
          <cell r="AA258">
            <v>-41282380.640000001</v>
          </cell>
          <cell r="AB258">
            <v>-41160520.020000003</v>
          </cell>
          <cell r="AC258">
            <v>-39982275.799999997</v>
          </cell>
          <cell r="AD258">
            <v>-38927734.600000001</v>
          </cell>
          <cell r="AE258">
            <v>-38021392.659999996</v>
          </cell>
          <cell r="AF258">
            <v>-37019487.399999999</v>
          </cell>
          <cell r="AG258">
            <v>-35950756.5</v>
          </cell>
          <cell r="AH258">
            <v>-35134623.130000003</v>
          </cell>
          <cell r="AI258">
            <v>-34025425.530000001</v>
          </cell>
          <cell r="AJ258">
            <v>-32991141.539999999</v>
          </cell>
          <cell r="AK258">
            <v>-32106805.510000002</v>
          </cell>
          <cell r="AL258">
            <v>-30795202.239999998</v>
          </cell>
          <cell r="AM258">
            <v>-29695670.870000001</v>
          </cell>
          <cell r="AN258">
            <v>-28077717.68</v>
          </cell>
          <cell r="AO258">
            <v>-27370166.109999999</v>
          </cell>
          <cell r="AP258">
            <v>-26799247.010000002</v>
          </cell>
          <cell r="AQ258">
            <v>-26553223.07</v>
          </cell>
          <cell r="AR258">
            <v>-26544196.93</v>
          </cell>
          <cell r="AS258">
            <v>-26380476.620000001</v>
          </cell>
          <cell r="AT258">
            <v>-26257939.870000001</v>
          </cell>
          <cell r="AU258">
            <v>-26069005.5</v>
          </cell>
          <cell r="AV258">
            <v>-26037874.789999999</v>
          </cell>
          <cell r="AW258">
            <v>-25950195.57</v>
          </cell>
          <cell r="AX258">
            <v>-25955165.579999998</v>
          </cell>
          <cell r="AY258">
            <v>-25789167.710000001</v>
          </cell>
          <cell r="AZ258">
            <v>-25688398.550000001</v>
          </cell>
          <cell r="BA258">
            <v>-25537703.129999999</v>
          </cell>
          <cell r="BB258">
            <v>-25569380.91</v>
          </cell>
          <cell r="BC258">
            <v>-25629339.93</v>
          </cell>
          <cell r="BD258">
            <v>-25705333.899999999</v>
          </cell>
          <cell r="BE258">
            <v>-25790760.98</v>
          </cell>
          <cell r="BF258">
            <v>-25830275.280000001</v>
          </cell>
          <cell r="BG258">
            <v>-25852232.690000001</v>
          </cell>
          <cell r="BH258">
            <v>-25925983.190000001</v>
          </cell>
          <cell r="BI258">
            <v>-25893012.34</v>
          </cell>
          <cell r="BJ258">
            <v>-25992257.5</v>
          </cell>
          <cell r="BK258">
            <v>-25966855.82</v>
          </cell>
          <cell r="BL258">
            <v>-25903685.43</v>
          </cell>
          <cell r="BM258">
            <v>-25867705.32</v>
          </cell>
          <cell r="BN258">
            <v>-25898455.109999999</v>
          </cell>
          <cell r="BO258">
            <v>-25925131.82</v>
          </cell>
          <cell r="BP258">
            <v>-25847349.969999999</v>
          </cell>
          <cell r="BQ258">
            <v>-25870817.390000001</v>
          </cell>
          <cell r="BR258">
            <v>-25868020.23</v>
          </cell>
          <cell r="BS258">
            <v>-25768615.09</v>
          </cell>
          <cell r="BT258">
            <v>-25686969.59</v>
          </cell>
          <cell r="BU258">
            <v>-25634262.850000001</v>
          </cell>
          <cell r="BV258">
            <v>-25695380.539999999</v>
          </cell>
          <cell r="BW258">
            <v>-25691903.879999999</v>
          </cell>
          <cell r="BX258">
            <v>-25704516</v>
          </cell>
          <cell r="BY258">
            <v>-25665571.920000002</v>
          </cell>
          <cell r="BZ258">
            <v>-25728441.66</v>
          </cell>
          <cell r="CA258">
            <v>-25721300.809999999</v>
          </cell>
          <cell r="CB258">
            <v>-25668756</v>
          </cell>
          <cell r="CC258">
            <v>-25569201.969999999</v>
          </cell>
          <cell r="CD258">
            <v>-25464047.059999999</v>
          </cell>
          <cell r="CE258">
            <v>-25456799.27</v>
          </cell>
          <cell r="CF258">
            <v>-25416773.23</v>
          </cell>
          <cell r="CG258">
            <v>-25432972.77</v>
          </cell>
          <cell r="CH258">
            <v>-25393550.68</v>
          </cell>
          <cell r="CI258">
            <v>-25333305.43</v>
          </cell>
          <cell r="CJ258">
            <v>-25075278.079999998</v>
          </cell>
          <cell r="CK258">
            <v>-25241811.829999998</v>
          </cell>
          <cell r="CL258">
            <v>-25273973.25</v>
          </cell>
          <cell r="CM258">
            <v>-25387420.379999999</v>
          </cell>
          <cell r="CN258">
            <v>-25318474.699999999</v>
          </cell>
          <cell r="CO258">
            <v>-25407263.77</v>
          </cell>
          <cell r="CP258">
            <v>-25529439.879999999</v>
          </cell>
          <cell r="CQ258">
            <v>-25706203.600000001</v>
          </cell>
          <cell r="CR258">
            <v>-25782528.359999999</v>
          </cell>
          <cell r="CS258">
            <v>-25962796.670000002</v>
          </cell>
          <cell r="CT258">
            <v>-26074226.34</v>
          </cell>
          <cell r="CU258">
            <v>-26300461.460000001</v>
          </cell>
          <cell r="CV258">
            <v>-26450409.190000001</v>
          </cell>
          <cell r="CW258">
            <v>-26724605.280000001</v>
          </cell>
          <cell r="CX258">
            <v>-26837940.440000001</v>
          </cell>
          <cell r="CY258">
            <v>-27025575.949999999</v>
          </cell>
          <cell r="CZ258">
            <v>-27142982.91</v>
          </cell>
          <cell r="DA258">
            <v>-27369426.920000002</v>
          </cell>
          <cell r="DB258">
            <v>-27734424.100000001</v>
          </cell>
          <cell r="DC258">
            <v>-27952511.77</v>
          </cell>
          <cell r="DD258">
            <v>-28170521.449999999</v>
          </cell>
          <cell r="DE258">
            <v>-28457241.420000002</v>
          </cell>
          <cell r="DF258">
            <v>-28627534.52</v>
          </cell>
          <cell r="DG258">
            <v>-28840164.27</v>
          </cell>
          <cell r="DH258">
            <v>-29144419.059999999</v>
          </cell>
        </row>
        <row r="259">
          <cell r="A259">
            <v>2350110</v>
          </cell>
          <cell r="B259">
            <v>2350110</v>
          </cell>
          <cell r="C259" t="str">
            <v>Non-CIS Cust Dep ST</v>
          </cell>
          <cell r="D259">
            <v>-709932</v>
          </cell>
          <cell r="E259">
            <v>-709932</v>
          </cell>
          <cell r="F259">
            <v>-709932</v>
          </cell>
          <cell r="G259">
            <v>-709932</v>
          </cell>
          <cell r="H259">
            <v>-734932</v>
          </cell>
          <cell r="I259">
            <v>-734932</v>
          </cell>
          <cell r="J259">
            <v>-734932</v>
          </cell>
          <cell r="K259">
            <v>-734932</v>
          </cell>
          <cell r="L259">
            <v>-709932</v>
          </cell>
          <cell r="M259">
            <v>-709932</v>
          </cell>
          <cell r="N259">
            <v>-709932</v>
          </cell>
          <cell r="O259">
            <v>-709932</v>
          </cell>
          <cell r="P259">
            <v>-709932</v>
          </cell>
          <cell r="Q259">
            <v>-709932</v>
          </cell>
          <cell r="R259">
            <v>-682932</v>
          </cell>
          <cell r="S259">
            <v>-682932</v>
          </cell>
          <cell r="T259">
            <v>-682932</v>
          </cell>
          <cell r="U259">
            <v>-682932</v>
          </cell>
          <cell r="V259">
            <v>-682932</v>
          </cell>
          <cell r="W259">
            <v>-682932</v>
          </cell>
          <cell r="X259">
            <v>-682932</v>
          </cell>
          <cell r="Y259">
            <v>-682932</v>
          </cell>
          <cell r="Z259">
            <v>-682932</v>
          </cell>
          <cell r="AA259">
            <v>-682932</v>
          </cell>
          <cell r="AB259">
            <v>-682932</v>
          </cell>
          <cell r="AC259">
            <v>-682932</v>
          </cell>
          <cell r="AD259">
            <v>-682932</v>
          </cell>
          <cell r="AE259">
            <v>-857932</v>
          </cell>
          <cell r="AF259">
            <v>-826000</v>
          </cell>
          <cell r="AG259">
            <v>-826000</v>
          </cell>
          <cell r="AH259">
            <v>-826000</v>
          </cell>
          <cell r="AI259">
            <v>-826000</v>
          </cell>
          <cell r="AJ259">
            <v>-826000</v>
          </cell>
          <cell r="AK259">
            <v>-826000</v>
          </cell>
          <cell r="AL259">
            <v>-826000</v>
          </cell>
          <cell r="AM259">
            <v>-826000</v>
          </cell>
          <cell r="AN259">
            <v>-826000</v>
          </cell>
          <cell r="AO259">
            <v>-826000</v>
          </cell>
          <cell r="AP259">
            <v>-826000</v>
          </cell>
          <cell r="AQ259">
            <v>-826000</v>
          </cell>
          <cell r="AR259">
            <v>-826000</v>
          </cell>
          <cell r="AS259">
            <v>-826000</v>
          </cell>
          <cell r="AT259">
            <v>-826000</v>
          </cell>
          <cell r="AU259">
            <v>-826000</v>
          </cell>
          <cell r="AV259">
            <v>-826000</v>
          </cell>
          <cell r="AW259">
            <v>-826000</v>
          </cell>
          <cell r="AX259">
            <v>-826000</v>
          </cell>
          <cell r="AY259">
            <v>-826000</v>
          </cell>
          <cell r="AZ259">
            <v>-826000</v>
          </cell>
          <cell r="BA259">
            <v>-826000</v>
          </cell>
          <cell r="BB259">
            <v>-826000</v>
          </cell>
          <cell r="BC259">
            <v>-826000</v>
          </cell>
          <cell r="BD259">
            <v>-826000</v>
          </cell>
          <cell r="BE259">
            <v>-826000</v>
          </cell>
          <cell r="BF259">
            <v>-836000</v>
          </cell>
          <cell r="BG259">
            <v>-836000</v>
          </cell>
          <cell r="BH259">
            <v>-661000</v>
          </cell>
          <cell r="BI259">
            <v>-661000</v>
          </cell>
          <cell r="BJ259">
            <v>-511000</v>
          </cell>
          <cell r="BK259">
            <v>-511000</v>
          </cell>
          <cell r="BL259">
            <v>-511000</v>
          </cell>
          <cell r="BM259">
            <v>-511000</v>
          </cell>
          <cell r="BN259">
            <v>-511000</v>
          </cell>
          <cell r="BO259">
            <v>-511000</v>
          </cell>
          <cell r="BP259">
            <v>-521000</v>
          </cell>
          <cell r="BQ259">
            <v>-521000</v>
          </cell>
          <cell r="BR259">
            <v>-521000</v>
          </cell>
          <cell r="BS259">
            <v>-605000</v>
          </cell>
          <cell r="BT259">
            <v>-595000</v>
          </cell>
          <cell r="BU259">
            <v>-569000</v>
          </cell>
          <cell r="BV259">
            <v>-569000</v>
          </cell>
          <cell r="BW259">
            <v>-569000</v>
          </cell>
          <cell r="BX259">
            <v>-569000</v>
          </cell>
          <cell r="BY259">
            <v>-569000</v>
          </cell>
          <cell r="BZ259">
            <v>-594000</v>
          </cell>
          <cell r="CA259">
            <v>-594000</v>
          </cell>
          <cell r="CB259">
            <v>-594000</v>
          </cell>
          <cell r="CC259">
            <v>-594000</v>
          </cell>
          <cell r="CD259">
            <v>-594000</v>
          </cell>
          <cell r="CE259">
            <v>-594000</v>
          </cell>
          <cell r="CF259">
            <v>-594000</v>
          </cell>
          <cell r="CG259">
            <v>-594000</v>
          </cell>
          <cell r="CH259">
            <v>-594000</v>
          </cell>
          <cell r="CI259">
            <v>-594000</v>
          </cell>
          <cell r="CJ259">
            <v>-594000</v>
          </cell>
          <cell r="CK259">
            <v>-594000</v>
          </cell>
          <cell r="CL259">
            <v>-589000</v>
          </cell>
          <cell r="CM259">
            <v>-589000</v>
          </cell>
          <cell r="CN259">
            <v>-589000</v>
          </cell>
          <cell r="CO259">
            <v>-589000</v>
          </cell>
          <cell r="CP259">
            <v>-589000</v>
          </cell>
          <cell r="CQ259">
            <v>-579000</v>
          </cell>
          <cell r="CR259">
            <v>-579000</v>
          </cell>
          <cell r="CS259">
            <v>-579000</v>
          </cell>
          <cell r="CT259">
            <v>-604000</v>
          </cell>
          <cell r="CU259">
            <v>-604000</v>
          </cell>
          <cell r="CV259">
            <v>-604000</v>
          </cell>
          <cell r="CW259">
            <v>-604000</v>
          </cell>
          <cell r="CX259">
            <v>-604000</v>
          </cell>
          <cell r="CY259">
            <v>-604000</v>
          </cell>
          <cell r="CZ259">
            <v>-604000</v>
          </cell>
          <cell r="DA259">
            <v>-614000</v>
          </cell>
          <cell r="DB259">
            <v>-614000</v>
          </cell>
          <cell r="DC259">
            <v>-614000</v>
          </cell>
          <cell r="DD259">
            <v>-614000</v>
          </cell>
          <cell r="DE259">
            <v>-614000</v>
          </cell>
          <cell r="DF259">
            <v>-614000</v>
          </cell>
          <cell r="DG259">
            <v>-614000</v>
          </cell>
          <cell r="DH259">
            <v>-715000</v>
          </cell>
        </row>
        <row r="260">
          <cell r="A260">
            <v>2360310</v>
          </cell>
          <cell r="B260">
            <v>2360310</v>
          </cell>
          <cell r="C260" t="str">
            <v>FIT Pay Current Year</v>
          </cell>
          <cell r="D260">
            <v>0</v>
          </cell>
          <cell r="E260">
            <v>-1110183.55</v>
          </cell>
          <cell r="F260">
            <v>-3706913.86</v>
          </cell>
          <cell r="G260">
            <v>-7388510.1200000001</v>
          </cell>
          <cell r="H260">
            <v>-1479412.37</v>
          </cell>
          <cell r="I260">
            <v>3645817.99</v>
          </cell>
          <cell r="J260">
            <v>-2772719.08</v>
          </cell>
          <cell r="K260">
            <v>3086268.68</v>
          </cell>
          <cell r="L260">
            <v>2750860.55</v>
          </cell>
          <cell r="M260">
            <v>6100180.6799999997</v>
          </cell>
          <cell r="N260">
            <v>1846062.79</v>
          </cell>
          <cell r="O260">
            <v>2837202.01</v>
          </cell>
          <cell r="P260">
            <v>0</v>
          </cell>
          <cell r="Q260">
            <v>6614599.8899999997</v>
          </cell>
          <cell r="R260">
            <v>5261753.8899999997</v>
          </cell>
          <cell r="S260">
            <v>-6877231.6100000003</v>
          </cell>
          <cell r="T260">
            <v>-1049179.23</v>
          </cell>
          <cell r="U260">
            <v>-1968867.86</v>
          </cell>
          <cell r="V260">
            <v>3525612.03</v>
          </cell>
          <cell r="W260">
            <v>2499473.4500000002</v>
          </cell>
          <cell r="X260">
            <v>1457670.24</v>
          </cell>
          <cell r="Y260">
            <v>3433829.26</v>
          </cell>
          <cell r="Z260">
            <v>3882410.39</v>
          </cell>
          <cell r="AA260">
            <v>0</v>
          </cell>
          <cell r="AB260">
            <v>4023952.89</v>
          </cell>
          <cell r="AC260">
            <v>11617731.970000001</v>
          </cell>
          <cell r="AD260">
            <v>9112301.5800000001</v>
          </cell>
          <cell r="AE260">
            <v>-5307226.3899999997</v>
          </cell>
          <cell r="AF260">
            <v>-464969.98</v>
          </cell>
          <cell r="AG260">
            <v>-620742.56999999995</v>
          </cell>
          <cell r="AH260">
            <v>4724907.4000000004</v>
          </cell>
          <cell r="AI260">
            <v>4443250.5199999996</v>
          </cell>
          <cell r="AJ260">
            <v>5106456.78</v>
          </cell>
          <cell r="AK260">
            <v>-947492.86</v>
          </cell>
          <cell r="AL260">
            <v>887842.89</v>
          </cell>
          <cell r="AM260">
            <v>1050067.68</v>
          </cell>
          <cell r="AN260">
            <v>0</v>
          </cell>
          <cell r="AO260">
            <v>-878357.64</v>
          </cell>
          <cell r="AP260">
            <v>-403265.16</v>
          </cell>
          <cell r="AQ260">
            <v>-371936.58</v>
          </cell>
          <cell r="AR260">
            <v>-1353085.71</v>
          </cell>
          <cell r="AS260">
            <v>-708337.96</v>
          </cell>
          <cell r="AT260">
            <v>-264959.49</v>
          </cell>
          <cell r="AU260">
            <v>550006.63</v>
          </cell>
          <cell r="AV260">
            <v>1403560.08</v>
          </cell>
          <cell r="AW260">
            <v>-144712.87</v>
          </cell>
          <cell r="AX260">
            <v>1552954.08</v>
          </cell>
          <cell r="AY260">
            <v>2400276.9500000002</v>
          </cell>
          <cell r="AZ260">
            <v>-5619344.96</v>
          </cell>
          <cell r="BA260">
            <v>-8233065.7999999998</v>
          </cell>
          <cell r="BB260">
            <v>-8631714.4600000009</v>
          </cell>
          <cell r="BC260">
            <v>-9374716.8599999994</v>
          </cell>
          <cell r="BD260">
            <v>-3285299.34</v>
          </cell>
          <cell r="BE260">
            <v>-3572138.62</v>
          </cell>
          <cell r="BF260">
            <v>-2103898.56</v>
          </cell>
          <cell r="BG260">
            <v>-2364270.87</v>
          </cell>
          <cell r="BH260">
            <v>-1486668.81</v>
          </cell>
          <cell r="BI260">
            <v>-895643.03</v>
          </cell>
          <cell r="BJ260">
            <v>-698418.17</v>
          </cell>
          <cell r="BK260">
            <v>2564355.4700000002</v>
          </cell>
          <cell r="BL260">
            <v>-2694511.42</v>
          </cell>
          <cell r="BM260">
            <v>-4340058.5</v>
          </cell>
          <cell r="BN260">
            <v>-4410157.84</v>
          </cell>
          <cell r="BO260">
            <v>-5406410.0199999996</v>
          </cell>
          <cell r="BP260">
            <v>-2393103.0299999998</v>
          </cell>
          <cell r="BQ260">
            <v>-2759917.3</v>
          </cell>
          <cell r="BR260">
            <v>-1890385.42</v>
          </cell>
          <cell r="BS260">
            <v>-2033453.12</v>
          </cell>
          <cell r="BT260">
            <v>-2184379.35</v>
          </cell>
          <cell r="BU260">
            <v>-647212.17000000004</v>
          </cell>
          <cell r="BV260">
            <v>-887011.51</v>
          </cell>
          <cell r="BW260">
            <v>-1425569.49</v>
          </cell>
          <cell r="BX260">
            <v>0.02</v>
          </cell>
          <cell r="BY260">
            <v>-2636855.1800000002</v>
          </cell>
          <cell r="BZ260">
            <v>-1074950.6299999999</v>
          </cell>
          <cell r="CA260">
            <v>-1462030.64</v>
          </cell>
          <cell r="CB260">
            <v>-1896973.05</v>
          </cell>
          <cell r="CC260">
            <v>-1722510.25</v>
          </cell>
          <cell r="CD260">
            <v>-2040092.88</v>
          </cell>
          <cell r="CE260">
            <v>-1777498.83</v>
          </cell>
          <cell r="CF260">
            <v>-1779840.27</v>
          </cell>
          <cell r="CG260">
            <v>-1909281.73</v>
          </cell>
          <cell r="CH260">
            <v>-662957.1</v>
          </cell>
          <cell r="CI260">
            <v>-1678529.58</v>
          </cell>
          <cell r="CJ260">
            <v>-1378790.59</v>
          </cell>
          <cell r="CK260">
            <v>-3775020.35</v>
          </cell>
          <cell r="CL260">
            <v>-4785526.5199999996</v>
          </cell>
          <cell r="CM260">
            <v>-4369963.25</v>
          </cell>
          <cell r="CN260">
            <v>-2589963.37</v>
          </cell>
          <cell r="CO260">
            <v>-2168497.0299999998</v>
          </cell>
          <cell r="CP260">
            <v>-2181282.89</v>
          </cell>
          <cell r="CQ260">
            <v>-1987306.55</v>
          </cell>
          <cell r="CR260">
            <v>-2581529.0699999998</v>
          </cell>
          <cell r="CS260">
            <v>198105.56</v>
          </cell>
          <cell r="CT260">
            <v>1522712.26</v>
          </cell>
          <cell r="CU260">
            <v>2860455.51</v>
          </cell>
          <cell r="CV260">
            <v>0</v>
          </cell>
          <cell r="CW260">
            <v>889667</v>
          </cell>
          <cell r="CX260">
            <v>-1862733.14</v>
          </cell>
          <cell r="CY260">
            <v>-2061155.97</v>
          </cell>
          <cell r="CZ260">
            <v>-4475493.72</v>
          </cell>
          <cell r="DA260">
            <v>-4885737.03</v>
          </cell>
          <cell r="DB260">
            <v>-3478036.29</v>
          </cell>
          <cell r="DC260">
            <v>-3370717.37</v>
          </cell>
          <cell r="DD260">
            <v>-728840.5</v>
          </cell>
          <cell r="DE260">
            <v>-1271630.27</v>
          </cell>
          <cell r="DF260">
            <v>-851335.46</v>
          </cell>
          <cell r="DG260">
            <v>-912854.82</v>
          </cell>
          <cell r="DH260">
            <v>-271946.99</v>
          </cell>
        </row>
        <row r="261">
          <cell r="A261">
            <v>2360320</v>
          </cell>
          <cell r="B261">
            <v>2360320</v>
          </cell>
          <cell r="C261" t="str">
            <v>FIT Pay Prior Year</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row>
        <row r="262">
          <cell r="A262">
            <v>2360410</v>
          </cell>
          <cell r="B262">
            <v>2360410</v>
          </cell>
          <cell r="C262" t="str">
            <v>SIT Pay Curent Year</v>
          </cell>
          <cell r="D262">
            <v>0</v>
          </cell>
          <cell r="E262">
            <v>-192098.44</v>
          </cell>
          <cell r="F262">
            <v>-527557.49</v>
          </cell>
          <cell r="G262">
            <v>-883061.66</v>
          </cell>
          <cell r="H262">
            <v>-712009.79</v>
          </cell>
          <cell r="I262">
            <v>-430684.47</v>
          </cell>
          <cell r="J262">
            <v>-830724.18</v>
          </cell>
          <cell r="K262">
            <v>-427383.26</v>
          </cell>
          <cell r="L262">
            <v>-386809.91</v>
          </cell>
          <cell r="M262">
            <v>38331.29</v>
          </cell>
          <cell r="N262">
            <v>-176641.52</v>
          </cell>
          <cell r="O262">
            <v>225892.94</v>
          </cell>
          <cell r="P262">
            <v>0</v>
          </cell>
          <cell r="Q262">
            <v>-105519.42</v>
          </cell>
          <cell r="R262">
            <v>-235495.25</v>
          </cell>
          <cell r="S262">
            <v>-544030.99</v>
          </cell>
          <cell r="T262">
            <v>-642040.01</v>
          </cell>
          <cell r="U262">
            <v>-699986.64</v>
          </cell>
          <cell r="V262">
            <v>-568332.17000000004</v>
          </cell>
          <cell r="W262">
            <v>-643980.23</v>
          </cell>
          <cell r="X262">
            <v>-722233.13</v>
          </cell>
          <cell r="Y262">
            <v>-339899.3</v>
          </cell>
          <cell r="Z262">
            <v>-9647.0300000000007</v>
          </cell>
          <cell r="AA262">
            <v>0</v>
          </cell>
          <cell r="AB262">
            <v>107228.18</v>
          </cell>
          <cell r="AC262">
            <v>-119035.83</v>
          </cell>
          <cell r="AD262">
            <v>-556440.64</v>
          </cell>
          <cell r="AE262">
            <v>-728948.08</v>
          </cell>
          <cell r="AF262">
            <v>-684939.06</v>
          </cell>
          <cell r="AG262">
            <v>-731622.24</v>
          </cell>
          <cell r="AH262">
            <v>-612275.47</v>
          </cell>
          <cell r="AI262">
            <v>-679891.79</v>
          </cell>
          <cell r="AJ262">
            <v>-570536.6</v>
          </cell>
          <cell r="AK262">
            <v>53531.31</v>
          </cell>
          <cell r="AL262">
            <v>170215.89</v>
          </cell>
          <cell r="AM262">
            <v>196263.5</v>
          </cell>
          <cell r="AN262">
            <v>-33203.11</v>
          </cell>
          <cell r="AO262">
            <v>-339962.02</v>
          </cell>
          <cell r="AP262">
            <v>-261355.56</v>
          </cell>
          <cell r="AQ262">
            <v>-404529.3</v>
          </cell>
          <cell r="AR262">
            <v>-274727.09000000003</v>
          </cell>
          <cell r="AS262">
            <v>-146893.91</v>
          </cell>
          <cell r="AT262">
            <v>-218483.43</v>
          </cell>
          <cell r="AU262">
            <v>-118620.09</v>
          </cell>
          <cell r="AV262">
            <v>-12340.13</v>
          </cell>
          <cell r="AW262">
            <v>-39183.08</v>
          </cell>
          <cell r="AX262">
            <v>207463.46</v>
          </cell>
          <cell r="AY262">
            <v>312707.36</v>
          </cell>
          <cell r="AZ262">
            <v>-298546.95</v>
          </cell>
          <cell r="BA262">
            <v>-904711.08</v>
          </cell>
          <cell r="BB262">
            <v>-896972.61</v>
          </cell>
          <cell r="BC262">
            <v>-976451.08</v>
          </cell>
          <cell r="BD262">
            <v>-789549.85</v>
          </cell>
          <cell r="BE262">
            <v>-748083.65</v>
          </cell>
          <cell r="BF262">
            <v>-583090.03</v>
          </cell>
          <cell r="BG262">
            <v>-534288.56000000006</v>
          </cell>
          <cell r="BH262">
            <v>-573746.12</v>
          </cell>
          <cell r="BI262">
            <v>-248224.8</v>
          </cell>
          <cell r="BJ262">
            <v>-123057.03</v>
          </cell>
          <cell r="BK262">
            <v>-34960.53</v>
          </cell>
          <cell r="BL262">
            <v>0</v>
          </cell>
          <cell r="BM262">
            <v>-15731.67</v>
          </cell>
          <cell r="BN262">
            <v>98644.35</v>
          </cell>
          <cell r="BO262">
            <v>-29203.08</v>
          </cell>
          <cell r="BP262">
            <v>-514979.27</v>
          </cell>
          <cell r="BQ262">
            <v>-468379.32</v>
          </cell>
          <cell r="BR262">
            <v>-523914.07</v>
          </cell>
          <cell r="BS262">
            <v>-415303.23</v>
          </cell>
          <cell r="BT262">
            <v>-308870.39</v>
          </cell>
          <cell r="BU262">
            <v>-50182.54</v>
          </cell>
          <cell r="BV262">
            <v>15398.47</v>
          </cell>
          <cell r="BW262">
            <v>14598.01</v>
          </cell>
          <cell r="BX262">
            <v>-0.01</v>
          </cell>
          <cell r="BY262">
            <v>-487659.85</v>
          </cell>
          <cell r="BZ262">
            <v>-42376.3</v>
          </cell>
          <cell r="CA262">
            <v>-30158.05</v>
          </cell>
          <cell r="CB262">
            <v>-323251.46999999997</v>
          </cell>
          <cell r="CC262">
            <v>-186263.46</v>
          </cell>
          <cell r="CD262">
            <v>-453280.63</v>
          </cell>
          <cell r="CE262">
            <v>-296710.65999999997</v>
          </cell>
          <cell r="CF262">
            <v>-264914.92</v>
          </cell>
          <cell r="CG262">
            <v>-430994.61</v>
          </cell>
          <cell r="CH262">
            <v>-43811.5</v>
          </cell>
          <cell r="CI262">
            <v>-175164.58</v>
          </cell>
          <cell r="CJ262">
            <v>-158390.94</v>
          </cell>
          <cell r="CK262">
            <v>-609320.35</v>
          </cell>
          <cell r="CL262">
            <v>-752354.46</v>
          </cell>
          <cell r="CM262">
            <v>-578528.80000000005</v>
          </cell>
          <cell r="CN262">
            <v>-478463.51</v>
          </cell>
          <cell r="CO262">
            <v>-318838.24</v>
          </cell>
          <cell r="CP262">
            <v>-484661.62</v>
          </cell>
          <cell r="CQ262">
            <v>-360070.57</v>
          </cell>
          <cell r="CR262">
            <v>-410610.2</v>
          </cell>
          <cell r="CS262">
            <v>224118.31</v>
          </cell>
          <cell r="CT262">
            <v>519265.53</v>
          </cell>
          <cell r="CU262">
            <v>816705.09</v>
          </cell>
          <cell r="CV262">
            <v>0</v>
          </cell>
          <cell r="CW262">
            <v>226096.86</v>
          </cell>
          <cell r="CX262">
            <v>-472143.76</v>
          </cell>
          <cell r="CY262">
            <v>-462554.88</v>
          </cell>
          <cell r="CZ262">
            <v>-1175792.95</v>
          </cell>
          <cell r="DA262">
            <v>-1224909.73</v>
          </cell>
          <cell r="DB262">
            <v>-963931.06</v>
          </cell>
          <cell r="DC262">
            <v>-869606.55</v>
          </cell>
          <cell r="DD262">
            <v>-85662.35</v>
          </cell>
          <cell r="DE262">
            <v>-353352.48</v>
          </cell>
          <cell r="DF262">
            <v>-174576.73</v>
          </cell>
          <cell r="DG262">
            <v>-129475.67</v>
          </cell>
          <cell r="DH262">
            <v>-67269.84</v>
          </cell>
        </row>
        <row r="263">
          <cell r="A263">
            <v>2360420</v>
          </cell>
          <cell r="B263">
            <v>2360420</v>
          </cell>
          <cell r="C263" t="str">
            <v>SIT Pay Prior Year</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row>
        <row r="264">
          <cell r="A264">
            <v>2360600</v>
          </cell>
          <cell r="B264">
            <v>2360600</v>
          </cell>
          <cell r="C264" t="str">
            <v>TaxPay Unemploy Fed</v>
          </cell>
          <cell r="D264">
            <v>16641.47</v>
          </cell>
          <cell r="E264">
            <v>-5057.97</v>
          </cell>
          <cell r="F264">
            <v>-6062.13</v>
          </cell>
          <cell r="G264">
            <v>-6237.03</v>
          </cell>
          <cell r="H264">
            <v>17045.919999999998</v>
          </cell>
          <cell r="I264">
            <v>16887.900000000001</v>
          </cell>
          <cell r="J264">
            <v>16949.18</v>
          </cell>
          <cell r="K264">
            <v>17042.64</v>
          </cell>
          <cell r="L264">
            <v>16841.689999999999</v>
          </cell>
          <cell r="M264">
            <v>16618.310000000001</v>
          </cell>
          <cell r="N264">
            <v>16906.18</v>
          </cell>
          <cell r="O264">
            <v>16780.73</v>
          </cell>
          <cell r="P264">
            <v>16730.759999999998</v>
          </cell>
          <cell r="Q264">
            <v>3510.81</v>
          </cell>
          <cell r="R264">
            <v>-5160.33</v>
          </cell>
          <cell r="S264">
            <v>-5412.59</v>
          </cell>
          <cell r="T264">
            <v>16955.919999999998</v>
          </cell>
          <cell r="U264">
            <v>16821.22</v>
          </cell>
          <cell r="V264">
            <v>16754.259999999998</v>
          </cell>
          <cell r="W264">
            <v>17123.080000000002</v>
          </cell>
          <cell r="X264">
            <v>16999.439999999999</v>
          </cell>
          <cell r="Y264">
            <v>16908.740000000002</v>
          </cell>
          <cell r="Z264">
            <v>16842.22</v>
          </cell>
          <cell r="AA264">
            <v>16035.62</v>
          </cell>
          <cell r="AB264">
            <v>16455.46</v>
          </cell>
          <cell r="AC264">
            <v>2392.11</v>
          </cell>
          <cell r="AD264">
            <v>-5230.0600000000004</v>
          </cell>
          <cell r="AE264">
            <v>-5532.06</v>
          </cell>
          <cell r="AF264">
            <v>17053.7</v>
          </cell>
          <cell r="AG264">
            <v>16932.72</v>
          </cell>
          <cell r="AH264">
            <v>16836.14</v>
          </cell>
          <cell r="AI264">
            <v>16957.97</v>
          </cell>
          <cell r="AJ264">
            <v>16653.88</v>
          </cell>
          <cell r="AK264">
            <v>16311.75</v>
          </cell>
          <cell r="AL264">
            <v>16986.86</v>
          </cell>
          <cell r="AM264">
            <v>16861.439999999999</v>
          </cell>
          <cell r="AN264">
            <v>16758.52</v>
          </cell>
          <cell r="AO264">
            <v>920.31</v>
          </cell>
          <cell r="AP264">
            <v>-5706.87</v>
          </cell>
          <cell r="AQ264">
            <v>-6005.97</v>
          </cell>
          <cell r="AR264">
            <v>17093.86</v>
          </cell>
          <cell r="AS264">
            <v>16941.27</v>
          </cell>
          <cell r="AT264">
            <v>16693.849999999999</v>
          </cell>
          <cell r="AU264">
            <v>16890.43</v>
          </cell>
          <cell r="AV264">
            <v>16436.689999999999</v>
          </cell>
          <cell r="AW264">
            <v>16273.77</v>
          </cell>
          <cell r="AX264">
            <v>17052.29</v>
          </cell>
          <cell r="AY264">
            <v>16993.3</v>
          </cell>
          <cell r="AZ264">
            <v>16894.46</v>
          </cell>
          <cell r="BA264">
            <v>735.18</v>
          </cell>
          <cell r="BB264">
            <v>-6042.23</v>
          </cell>
          <cell r="BC264">
            <v>-6475.35</v>
          </cell>
          <cell r="BD264">
            <v>16828.47</v>
          </cell>
          <cell r="BE264">
            <v>16527.060000000001</v>
          </cell>
          <cell r="BF264">
            <v>16330.18</v>
          </cell>
          <cell r="BG264">
            <v>17013.53</v>
          </cell>
          <cell r="BH264">
            <v>16529.32</v>
          </cell>
          <cell r="BI264">
            <v>16261.51</v>
          </cell>
          <cell r="BJ264">
            <v>17006.419999999998</v>
          </cell>
          <cell r="BK264">
            <v>16787.439999999999</v>
          </cell>
          <cell r="BL264">
            <v>-586.20000000000005</v>
          </cell>
          <cell r="BM264">
            <v>-22306.36</v>
          </cell>
          <cell r="BN264">
            <v>-24316.57</v>
          </cell>
          <cell r="BO264">
            <v>-24437.66</v>
          </cell>
          <cell r="BP264">
            <v>-61.4</v>
          </cell>
          <cell r="BQ264">
            <v>-250.56</v>
          </cell>
          <cell r="BR264">
            <v>-522.13</v>
          </cell>
          <cell r="BS264">
            <v>-308.14</v>
          </cell>
          <cell r="BT264">
            <v>-647.05999999999995</v>
          </cell>
          <cell r="BU264">
            <v>-1021.75</v>
          </cell>
          <cell r="BV264">
            <v>-323.35000000000002</v>
          </cell>
          <cell r="BW264">
            <v>-553.41999999999996</v>
          </cell>
          <cell r="BX264">
            <v>-700.88</v>
          </cell>
          <cell r="BY264">
            <v>-23527.27</v>
          </cell>
          <cell r="BZ264">
            <v>-25934.49</v>
          </cell>
          <cell r="CA264">
            <v>-26093.65</v>
          </cell>
          <cell r="CB264">
            <v>-205.27</v>
          </cell>
          <cell r="CC264">
            <v>-427.94</v>
          </cell>
          <cell r="CD264">
            <v>-619.95000000000005</v>
          </cell>
          <cell r="CE264">
            <v>-179.27</v>
          </cell>
          <cell r="CF264">
            <v>-326.45</v>
          </cell>
          <cell r="CG264">
            <v>-396.8</v>
          </cell>
          <cell r="CH264">
            <v>-125.17</v>
          </cell>
          <cell r="CI264">
            <v>-268.24</v>
          </cell>
          <cell r="CJ264">
            <v>-412.74</v>
          </cell>
          <cell r="CK264">
            <v>-20037.98</v>
          </cell>
          <cell r="CL264">
            <v>-25788.73</v>
          </cell>
          <cell r="CM264">
            <v>-26543.21</v>
          </cell>
          <cell r="CN264">
            <v>-264.89</v>
          </cell>
          <cell r="CO264">
            <v>-451.18</v>
          </cell>
          <cell r="CP264">
            <v>-629.63</v>
          </cell>
          <cell r="CQ264">
            <v>-542.23</v>
          </cell>
          <cell r="CR264">
            <v>-917.41</v>
          </cell>
          <cell r="CS264">
            <v>-1265.73</v>
          </cell>
          <cell r="CT264">
            <v>-80.849999999999994</v>
          </cell>
          <cell r="CU264">
            <v>-301.12</v>
          </cell>
          <cell r="CV264">
            <v>-812.13</v>
          </cell>
          <cell r="CW264">
            <v>-20809.099999999999</v>
          </cell>
          <cell r="CX264">
            <v>-26308.34</v>
          </cell>
          <cell r="CY264">
            <v>-27455.75</v>
          </cell>
          <cell r="CZ264">
            <v>-27906.68</v>
          </cell>
          <cell r="DA264">
            <v>-1068.3499999999999</v>
          </cell>
          <cell r="DB264">
            <v>-2383.37</v>
          </cell>
          <cell r="DC264">
            <v>-3063.99</v>
          </cell>
          <cell r="DD264">
            <v>-1009.7</v>
          </cell>
          <cell r="DE264">
            <v>-1334.76</v>
          </cell>
          <cell r="DF264">
            <v>-1531.98</v>
          </cell>
          <cell r="DG264">
            <v>-1889.6</v>
          </cell>
          <cell r="DH264">
            <v>-2573.42</v>
          </cell>
        </row>
        <row r="265">
          <cell r="A265">
            <v>2360601</v>
          </cell>
          <cell r="B265">
            <v>2360601</v>
          </cell>
          <cell r="C265" t="str">
            <v>TaxPay Unemploy Stat</v>
          </cell>
          <cell r="D265">
            <v>21861.62</v>
          </cell>
          <cell r="E265">
            <v>-41166.449999999997</v>
          </cell>
          <cell r="F265">
            <v>-46524.1</v>
          </cell>
          <cell r="G265">
            <v>-47451.37</v>
          </cell>
          <cell r="H265">
            <v>25061.54</v>
          </cell>
          <cell r="I265">
            <v>24532.51</v>
          </cell>
          <cell r="J265">
            <v>24728.66</v>
          </cell>
          <cell r="K265">
            <v>25075.96</v>
          </cell>
          <cell r="L265">
            <v>24489.59</v>
          </cell>
          <cell r="M265">
            <v>23825.78</v>
          </cell>
          <cell r="N265">
            <v>24636.19</v>
          </cell>
          <cell r="O265">
            <v>24156.97</v>
          </cell>
          <cell r="P265">
            <v>23976.21</v>
          </cell>
          <cell r="Q265">
            <v>5626.35</v>
          </cell>
          <cell r="R265">
            <v>-6946.65</v>
          </cell>
          <cell r="S265">
            <v>-7312.4</v>
          </cell>
          <cell r="T265">
            <v>25121.88</v>
          </cell>
          <cell r="U265">
            <v>24926.560000000001</v>
          </cell>
          <cell r="V265">
            <v>24829.48</v>
          </cell>
          <cell r="W265">
            <v>25364.31</v>
          </cell>
          <cell r="X265">
            <v>25185.02</v>
          </cell>
          <cell r="Y265">
            <v>25053.51</v>
          </cell>
          <cell r="Z265">
            <v>24957.01</v>
          </cell>
          <cell r="AA265">
            <v>23787.51</v>
          </cell>
          <cell r="AB265">
            <v>24396.31</v>
          </cell>
          <cell r="AC265">
            <v>13104.3</v>
          </cell>
          <cell r="AD265">
            <v>6752.56</v>
          </cell>
          <cell r="AE265">
            <v>6500.85</v>
          </cell>
          <cell r="AF265">
            <v>25322.37</v>
          </cell>
          <cell r="AG265">
            <v>25186.53</v>
          </cell>
          <cell r="AH265">
            <v>25106.03</v>
          </cell>
          <cell r="AI265">
            <v>25209.360000000001</v>
          </cell>
          <cell r="AJ265">
            <v>24933.5</v>
          </cell>
          <cell r="AK265">
            <v>24599.07</v>
          </cell>
          <cell r="AL265">
            <v>25266.67</v>
          </cell>
          <cell r="AM265">
            <v>25162.15</v>
          </cell>
          <cell r="AN265">
            <v>25076.400000000001</v>
          </cell>
          <cell r="AO265">
            <v>16205.6</v>
          </cell>
          <cell r="AP265">
            <v>12450.07</v>
          </cell>
          <cell r="AQ265">
            <v>12280.6</v>
          </cell>
          <cell r="AR265">
            <v>25370.58</v>
          </cell>
          <cell r="AS265">
            <v>25284.1</v>
          </cell>
          <cell r="AT265">
            <v>25143.88</v>
          </cell>
          <cell r="AU265">
            <v>25255.31</v>
          </cell>
          <cell r="AV265">
            <v>24998.17</v>
          </cell>
          <cell r="AW265">
            <v>24905.9</v>
          </cell>
          <cell r="AX265">
            <v>25347.03</v>
          </cell>
          <cell r="AY265">
            <v>25313.59</v>
          </cell>
          <cell r="AZ265">
            <v>25257.59</v>
          </cell>
          <cell r="BA265">
            <v>20497.830000000002</v>
          </cell>
          <cell r="BB265">
            <v>18238.740000000002</v>
          </cell>
          <cell r="BC265">
            <v>18080.39</v>
          </cell>
          <cell r="BD265">
            <v>25862.28</v>
          </cell>
          <cell r="BE265">
            <v>25748.28</v>
          </cell>
          <cell r="BF265">
            <v>25682.2</v>
          </cell>
          <cell r="BG265">
            <v>25923.99</v>
          </cell>
          <cell r="BH265">
            <v>25758.28</v>
          </cell>
          <cell r="BI265">
            <v>25661.45</v>
          </cell>
          <cell r="BJ265">
            <v>25919.49</v>
          </cell>
          <cell r="BK265">
            <v>25846.49</v>
          </cell>
          <cell r="BL265">
            <v>-197.54</v>
          </cell>
          <cell r="BM265">
            <v>-3647.46</v>
          </cell>
          <cell r="BN265">
            <v>-3982.53</v>
          </cell>
          <cell r="BO265">
            <v>-4002.71</v>
          </cell>
          <cell r="BP265">
            <v>-4013.01</v>
          </cell>
          <cell r="BQ265">
            <v>-41.82</v>
          </cell>
          <cell r="BR265">
            <v>-94.11</v>
          </cell>
          <cell r="BS265">
            <v>-51.42</v>
          </cell>
          <cell r="BT265">
            <v>-107.94</v>
          </cell>
          <cell r="BU265">
            <v>-177.36</v>
          </cell>
          <cell r="BV265">
            <v>-53.95</v>
          </cell>
          <cell r="BW265">
            <v>-97.92</v>
          </cell>
          <cell r="BX265">
            <v>-123.88</v>
          </cell>
          <cell r="BY265">
            <v>-3921.36</v>
          </cell>
          <cell r="BZ265">
            <v>-4322.4799999999996</v>
          </cell>
          <cell r="CA265">
            <v>-4349</v>
          </cell>
          <cell r="CB265">
            <v>-34.28</v>
          </cell>
          <cell r="CC265">
            <v>-71.400000000000006</v>
          </cell>
          <cell r="CD265">
            <v>-103.39</v>
          </cell>
          <cell r="CE265">
            <v>-31.18</v>
          </cell>
          <cell r="CF265">
            <v>-55.7</v>
          </cell>
          <cell r="CG265">
            <v>-67.42</v>
          </cell>
          <cell r="CH265">
            <v>-19.670000000000002</v>
          </cell>
          <cell r="CI265">
            <v>-43.51</v>
          </cell>
          <cell r="CJ265">
            <v>-67.599999999999994</v>
          </cell>
          <cell r="CK265">
            <v>-3407.32</v>
          </cell>
          <cell r="CL265">
            <v>-4365.8100000000004</v>
          </cell>
          <cell r="CM265">
            <v>-4491.5200000000004</v>
          </cell>
          <cell r="CN265">
            <v>18911.02</v>
          </cell>
          <cell r="CO265">
            <v>18881.84</v>
          </cell>
          <cell r="CP265">
            <v>18917.830000000002</v>
          </cell>
          <cell r="CQ265">
            <v>18932.41</v>
          </cell>
          <cell r="CR265">
            <v>18869.89</v>
          </cell>
          <cell r="CS265">
            <v>18809.39</v>
          </cell>
          <cell r="CT265">
            <v>19004.79</v>
          </cell>
          <cell r="CU265">
            <v>18968.080000000002</v>
          </cell>
          <cell r="CV265">
            <v>18889.91</v>
          </cell>
          <cell r="CW265">
            <v>15556.6</v>
          </cell>
          <cell r="CX265">
            <v>14639.29</v>
          </cell>
          <cell r="CY265">
            <v>-4574.78</v>
          </cell>
          <cell r="CZ265">
            <v>-4966.9399999999996</v>
          </cell>
          <cell r="DA265">
            <v>-496.86</v>
          </cell>
          <cell r="DB265">
            <v>-947.83</v>
          </cell>
          <cell r="DC265">
            <v>-1238.96</v>
          </cell>
          <cell r="DD265">
            <v>-1401.14</v>
          </cell>
          <cell r="DE265">
            <v>-1455.35</v>
          </cell>
          <cell r="DF265">
            <v>-1488.26</v>
          </cell>
          <cell r="DG265">
            <v>-1547.85</v>
          </cell>
          <cell r="DH265">
            <v>-1580.82</v>
          </cell>
        </row>
        <row r="266">
          <cell r="A266">
            <v>2360602</v>
          </cell>
          <cell r="B266">
            <v>2360602</v>
          </cell>
          <cell r="C266" t="str">
            <v>Tax Pay Reg Ases Fee</v>
          </cell>
          <cell r="D266">
            <v>-721648.5</v>
          </cell>
          <cell r="E266">
            <v>-187387.4</v>
          </cell>
          <cell r="F266">
            <v>-385662.47</v>
          </cell>
          <cell r="G266">
            <v>-555124.03</v>
          </cell>
          <cell r="H266">
            <v>-707354.26</v>
          </cell>
          <cell r="I266">
            <v>-972919.57</v>
          </cell>
          <cell r="J266">
            <v>-845345.35</v>
          </cell>
          <cell r="K266">
            <v>-122237.82</v>
          </cell>
          <cell r="L266">
            <v>-238036.81</v>
          </cell>
          <cell r="M266">
            <v>-388238.66</v>
          </cell>
          <cell r="N266">
            <v>-479349.61</v>
          </cell>
          <cell r="O266">
            <v>-610817.92000000004</v>
          </cell>
          <cell r="P266">
            <v>-818114.5</v>
          </cell>
          <cell r="Q266">
            <v>-190817.65</v>
          </cell>
          <cell r="R266">
            <v>-383840.8</v>
          </cell>
          <cell r="S266">
            <v>-568952.53</v>
          </cell>
          <cell r="T266">
            <v>-713426.91</v>
          </cell>
          <cell r="U266">
            <v>-862750.49</v>
          </cell>
          <cell r="V266">
            <v>-998742.47</v>
          </cell>
          <cell r="W266">
            <v>-134146.22</v>
          </cell>
          <cell r="X266">
            <v>-260195.99</v>
          </cell>
          <cell r="Y266">
            <v>-398822.53</v>
          </cell>
          <cell r="Z266">
            <v>-535135.18999999994</v>
          </cell>
          <cell r="AA266">
            <v>-849060.78</v>
          </cell>
          <cell r="AB266">
            <v>-677768.49</v>
          </cell>
          <cell r="AC266">
            <v>-185432.72</v>
          </cell>
          <cell r="AD266">
            <v>-390046.19</v>
          </cell>
          <cell r="AE266">
            <v>-569381.18000000005</v>
          </cell>
          <cell r="AF266">
            <v>-729248.16</v>
          </cell>
          <cell r="AG266">
            <v>-877010.23</v>
          </cell>
          <cell r="AH266">
            <v>-1036712.79</v>
          </cell>
          <cell r="AI266">
            <v>-151671.82999999999</v>
          </cell>
          <cell r="AJ266">
            <v>-309806.67</v>
          </cell>
          <cell r="AK266">
            <v>-463372.67</v>
          </cell>
          <cell r="AL266">
            <v>-615389.24</v>
          </cell>
          <cell r="AM266">
            <v>-768129.53</v>
          </cell>
          <cell r="AN266">
            <v>-923034.72</v>
          </cell>
          <cell r="AO266">
            <v>-172262.79</v>
          </cell>
          <cell r="AP266">
            <v>-342440.01</v>
          </cell>
          <cell r="AQ266">
            <v>-502231.51</v>
          </cell>
          <cell r="AR266">
            <v>-659248.22</v>
          </cell>
          <cell r="AS266">
            <v>-810397.09</v>
          </cell>
          <cell r="AT266">
            <v>-952731.69</v>
          </cell>
          <cell r="AU266">
            <v>-129607.17</v>
          </cell>
          <cell r="AV266">
            <v>-264773.65000000002</v>
          </cell>
          <cell r="AW266">
            <v>-407317.69</v>
          </cell>
          <cell r="AX266">
            <v>-542452.24</v>
          </cell>
          <cell r="AY266">
            <v>-695300.68</v>
          </cell>
          <cell r="AZ266">
            <v>-874491.67</v>
          </cell>
          <cell r="BA266">
            <v>-233756.65</v>
          </cell>
          <cell r="BB266">
            <v>-452145.4</v>
          </cell>
          <cell r="BC266">
            <v>-628485.1</v>
          </cell>
          <cell r="BD266">
            <v>-809597.92</v>
          </cell>
          <cell r="BE266">
            <v>-967336.34</v>
          </cell>
          <cell r="BF266">
            <v>-1121957.03</v>
          </cell>
          <cell r="BG266">
            <v>-144741.45000000001</v>
          </cell>
          <cell r="BH266">
            <v>-299375.05</v>
          </cell>
          <cell r="BI266">
            <v>-454471.69</v>
          </cell>
          <cell r="BJ266">
            <v>-598924.02</v>
          </cell>
          <cell r="BK266">
            <v>-754972.7</v>
          </cell>
          <cell r="BL266">
            <v>-941893.71</v>
          </cell>
          <cell r="BM266">
            <v>-202820.11</v>
          </cell>
          <cell r="BN266">
            <v>-405955.14</v>
          </cell>
          <cell r="BO266">
            <v>-587737.07999999996</v>
          </cell>
          <cell r="BP266">
            <v>-762154.47</v>
          </cell>
          <cell r="BQ266">
            <v>-925528.91</v>
          </cell>
          <cell r="BR266">
            <v>-1076585.99</v>
          </cell>
          <cell r="BS266">
            <v>-159909.14000000001</v>
          </cell>
          <cell r="BT266">
            <v>-298051.46999999997</v>
          </cell>
          <cell r="BU266">
            <v>-440754.38</v>
          </cell>
          <cell r="BV266">
            <v>-588309.66</v>
          </cell>
          <cell r="BW266">
            <v>-736629.84</v>
          </cell>
          <cell r="BX266">
            <v>-922462.83</v>
          </cell>
          <cell r="BY266">
            <v>-187881.22</v>
          </cell>
          <cell r="BZ266">
            <v>-386420.07</v>
          </cell>
          <cell r="CA266">
            <v>-573793.69999999995</v>
          </cell>
          <cell r="CB266">
            <v>-730001.98</v>
          </cell>
          <cell r="CC266">
            <v>-877345.32</v>
          </cell>
          <cell r="CD266">
            <v>-1021172.59</v>
          </cell>
          <cell r="CE266">
            <v>-140173.04</v>
          </cell>
          <cell r="CF266">
            <v>-279855.51</v>
          </cell>
          <cell r="CG266">
            <v>-412594.88</v>
          </cell>
          <cell r="CH266">
            <v>-554218.4</v>
          </cell>
          <cell r="CI266">
            <v>-709842.64</v>
          </cell>
          <cell r="CJ266">
            <v>-897798.37</v>
          </cell>
          <cell r="CK266">
            <v>-258757.94</v>
          </cell>
          <cell r="CL266">
            <v>-502664.4</v>
          </cell>
          <cell r="CM266">
            <v>-721609.9</v>
          </cell>
          <cell r="CN266">
            <v>-943489.57</v>
          </cell>
          <cell r="CO266">
            <v>-1137727.82</v>
          </cell>
          <cell r="CP266">
            <v>-1325083.23</v>
          </cell>
          <cell r="CQ266">
            <v>-172029.04</v>
          </cell>
          <cell r="CR266">
            <v>-340414.19</v>
          </cell>
          <cell r="CS266">
            <v>-516921.02</v>
          </cell>
          <cell r="CT266">
            <v>-692317.57</v>
          </cell>
          <cell r="CU266">
            <v>-905306.75</v>
          </cell>
          <cell r="CV266">
            <v>-1139096.8</v>
          </cell>
          <cell r="CW266">
            <v>-268956.3</v>
          </cell>
          <cell r="CX266">
            <v>-570187.15</v>
          </cell>
          <cell r="CY266">
            <v>-837681.83</v>
          </cell>
          <cell r="CZ266">
            <v>-1089797.6200000001</v>
          </cell>
          <cell r="DA266">
            <v>-1329453.47</v>
          </cell>
          <cell r="DB266">
            <v>-1565277.64</v>
          </cell>
          <cell r="DC266">
            <v>-215736.59</v>
          </cell>
          <cell r="DD266">
            <v>-465286.6</v>
          </cell>
          <cell r="DE266">
            <v>-710533.04</v>
          </cell>
          <cell r="DF266">
            <v>-961241.48</v>
          </cell>
          <cell r="DG266">
            <v>-1180682.94</v>
          </cell>
          <cell r="DH266">
            <v>-1427394.46</v>
          </cell>
        </row>
        <row r="267">
          <cell r="A267">
            <v>2360603</v>
          </cell>
          <cell r="B267">
            <v>2360603</v>
          </cell>
          <cell r="C267" t="str">
            <v>Tax Pay GRT</v>
          </cell>
          <cell r="D267">
            <v>-1117813.5900000001</v>
          </cell>
          <cell r="E267">
            <v>-1458285.71</v>
          </cell>
          <cell r="F267">
            <v>-1414425.21</v>
          </cell>
          <cell r="G267">
            <v>-1280176.4099999999</v>
          </cell>
          <cell r="H267">
            <v>-1136727.3</v>
          </cell>
          <cell r="I267">
            <v>-872884.06</v>
          </cell>
          <cell r="J267">
            <v>-968603.23</v>
          </cell>
          <cell r="K267">
            <v>-806695.85</v>
          </cell>
          <cell r="L267">
            <v>-819459.45</v>
          </cell>
          <cell r="M267">
            <v>-873094.94</v>
          </cell>
          <cell r="N267">
            <v>-901268.02</v>
          </cell>
          <cell r="O267">
            <v>-1015256.38</v>
          </cell>
          <cell r="P267">
            <v>-1290296.31</v>
          </cell>
          <cell r="Q267">
            <v>-1434957.27</v>
          </cell>
          <cell r="R267">
            <v>-1478817.46</v>
          </cell>
          <cell r="S267">
            <v>-1448485.15</v>
          </cell>
          <cell r="T267">
            <v>-1141927.06</v>
          </cell>
          <cell r="U267">
            <v>-933099.24</v>
          </cell>
          <cell r="V267">
            <v>-948532.98</v>
          </cell>
          <cell r="W267">
            <v>-924040.72</v>
          </cell>
          <cell r="X267">
            <v>-947995.45</v>
          </cell>
          <cell r="Y267">
            <v>-904825.98</v>
          </cell>
          <cell r="Z267">
            <v>-945821.14</v>
          </cell>
          <cell r="AA267">
            <v>-1200091.6599999999</v>
          </cell>
          <cell r="AB267">
            <v>-1029383.21</v>
          </cell>
          <cell r="AC267">
            <v>-1491372.24</v>
          </cell>
          <cell r="AD267">
            <v>-1608653.05</v>
          </cell>
          <cell r="AE267">
            <v>-1422325.79</v>
          </cell>
          <cell r="AF267">
            <v>-1121634.52</v>
          </cell>
          <cell r="AG267">
            <v>-1106026.03</v>
          </cell>
          <cell r="AH267">
            <v>-962399.51</v>
          </cell>
          <cell r="AI267">
            <v>-927160.99</v>
          </cell>
          <cell r="AJ267">
            <v>-816814.25</v>
          </cell>
          <cell r="AK267">
            <v>-910367.11</v>
          </cell>
          <cell r="AL267">
            <v>-892185.01</v>
          </cell>
          <cell r="AM267">
            <v>-1051513.43</v>
          </cell>
          <cell r="AN267">
            <v>-1247836.74</v>
          </cell>
          <cell r="AO267">
            <v>-1421653.55</v>
          </cell>
          <cell r="AP267">
            <v>-1324602.05</v>
          </cell>
          <cell r="AQ267">
            <v>-1298064.1200000001</v>
          </cell>
          <cell r="AR267">
            <v>-1249194.8400000001</v>
          </cell>
          <cell r="AS267">
            <v>-1077161.9099999999</v>
          </cell>
          <cell r="AT267">
            <v>-949099.08</v>
          </cell>
          <cell r="AU267">
            <v>-776245.84</v>
          </cell>
          <cell r="AV267">
            <v>-875004.59</v>
          </cell>
          <cell r="AW267">
            <v>-875395.73</v>
          </cell>
          <cell r="AX267">
            <v>-936251.45</v>
          </cell>
          <cell r="AY267">
            <v>-1049937.8400000001</v>
          </cell>
          <cell r="AZ267">
            <v>-1278413.8400000001</v>
          </cell>
          <cell r="BA267">
            <v>-1748087.86</v>
          </cell>
          <cell r="BB267">
            <v>-1508987.86</v>
          </cell>
          <cell r="BC267">
            <v>-1277608.48</v>
          </cell>
          <cell r="BD267">
            <v>-1337389.19</v>
          </cell>
          <cell r="BE267">
            <v>-1076048.68</v>
          </cell>
          <cell r="BF267">
            <v>-1033662.19</v>
          </cell>
          <cell r="BG267">
            <v>-894234.75</v>
          </cell>
          <cell r="BH267">
            <v>-837829.54</v>
          </cell>
          <cell r="BI267">
            <v>-986490.61</v>
          </cell>
          <cell r="BJ267">
            <v>-891540.29</v>
          </cell>
          <cell r="BK267">
            <v>-1009116.81</v>
          </cell>
          <cell r="BL267">
            <v>-1392204.59</v>
          </cell>
          <cell r="BM267">
            <v>-1655787.55</v>
          </cell>
          <cell r="BN267">
            <v>-1640421.41</v>
          </cell>
          <cell r="BO267">
            <v>-1424624.07</v>
          </cell>
          <cell r="BP267">
            <v>-1125549.97</v>
          </cell>
          <cell r="BQ267">
            <v>-1177922.3799999999</v>
          </cell>
          <cell r="BR267">
            <v>-1016378.54</v>
          </cell>
          <cell r="BS267">
            <v>-984361.68</v>
          </cell>
          <cell r="BT267">
            <v>-932359.53</v>
          </cell>
          <cell r="BU267">
            <v>-949375.97</v>
          </cell>
          <cell r="BV267">
            <v>-936155.2</v>
          </cell>
          <cell r="BW267">
            <v>-1112587.07</v>
          </cell>
          <cell r="BX267">
            <v>-1504303.85</v>
          </cell>
          <cell r="BY267">
            <v>-1618178.97</v>
          </cell>
          <cell r="BZ267">
            <v>-1572436.88</v>
          </cell>
          <cell r="CA267">
            <v>-1352878.21</v>
          </cell>
          <cell r="CB267">
            <v>-1062025.6200000001</v>
          </cell>
          <cell r="CC267">
            <v>-953525.89</v>
          </cell>
          <cell r="CD267">
            <v>-967309.63</v>
          </cell>
          <cell r="CE267">
            <v>-851851.75</v>
          </cell>
          <cell r="CF267">
            <v>-911904.78</v>
          </cell>
          <cell r="CG267">
            <v>-870947.67</v>
          </cell>
          <cell r="CH267">
            <v>-954992.39</v>
          </cell>
          <cell r="CI267">
            <v>-1095394.1499999999</v>
          </cell>
          <cell r="CJ267">
            <v>-1396326.38</v>
          </cell>
          <cell r="CK267">
            <v>-1837558.54</v>
          </cell>
          <cell r="CL267">
            <v>-1655338.08</v>
          </cell>
          <cell r="CM267">
            <v>-1457150.65</v>
          </cell>
          <cell r="CN267">
            <v>-1426996.58</v>
          </cell>
          <cell r="CO267">
            <v>-1201056.29</v>
          </cell>
          <cell r="CP267">
            <v>-1108542.6499999999</v>
          </cell>
          <cell r="CQ267">
            <v>-1134501.22</v>
          </cell>
          <cell r="CR267">
            <v>-1011208.09</v>
          </cell>
          <cell r="CS267">
            <v>-1071922.69</v>
          </cell>
          <cell r="CT267">
            <v>-1072270.76</v>
          </cell>
          <cell r="CU267">
            <v>-1236232.4099999999</v>
          </cell>
          <cell r="CV267">
            <v>-1610219.3</v>
          </cell>
          <cell r="CW267">
            <v>-1747412.92</v>
          </cell>
          <cell r="CX267">
            <v>-1727920.15</v>
          </cell>
          <cell r="CY267">
            <v>-1638802.23</v>
          </cell>
          <cell r="CZ267">
            <v>-1466977.23</v>
          </cell>
          <cell r="DA267">
            <v>-1329404.5900000001</v>
          </cell>
          <cell r="DB267">
            <v>-1171609.3500000001</v>
          </cell>
          <cell r="DC267">
            <v>-1070368.31</v>
          </cell>
          <cell r="DD267">
            <v>-1017536.8</v>
          </cell>
          <cell r="DE267">
            <v>-1080019.73</v>
          </cell>
          <cell r="DF267">
            <v>-1183729.3700000001</v>
          </cell>
          <cell r="DG267">
            <v>-1255346.49</v>
          </cell>
          <cell r="DH267">
            <v>-1563688.22</v>
          </cell>
        </row>
        <row r="268">
          <cell r="A268">
            <v>2360604</v>
          </cell>
          <cell r="B268">
            <v>2360604</v>
          </cell>
          <cell r="C268" t="str">
            <v>Tax Pay Property</v>
          </cell>
          <cell r="D268">
            <v>0</v>
          </cell>
          <cell r="E268">
            <v>-809000</v>
          </cell>
          <cell r="F268">
            <v>-1618000</v>
          </cell>
          <cell r="G268">
            <v>-2427000</v>
          </cell>
          <cell r="H268">
            <v>-3236000</v>
          </cell>
          <cell r="I268">
            <v>-4854000</v>
          </cell>
          <cell r="J268">
            <v>-4045000</v>
          </cell>
          <cell r="K268">
            <v>-5663000</v>
          </cell>
          <cell r="L268">
            <v>-6134000</v>
          </cell>
          <cell r="M268">
            <v>-6900977</v>
          </cell>
          <cell r="N268">
            <v>-7667954</v>
          </cell>
          <cell r="O268">
            <v>798830.29</v>
          </cell>
          <cell r="P268">
            <v>0</v>
          </cell>
          <cell r="Q268">
            <v>-814808.95</v>
          </cell>
          <cell r="R268">
            <v>-1633808.95</v>
          </cell>
          <cell r="S268">
            <v>-2452808.9500000002</v>
          </cell>
          <cell r="T268">
            <v>-3271808.95</v>
          </cell>
          <cell r="U268">
            <v>-4090808.95</v>
          </cell>
          <cell r="V268">
            <v>-4909808.95</v>
          </cell>
          <cell r="W268">
            <v>-5728808.9500000002</v>
          </cell>
          <cell r="X268">
            <v>-6195809.2999999998</v>
          </cell>
          <cell r="Y268">
            <v>-6970809.2999999998</v>
          </cell>
          <cell r="Z268">
            <v>-7745809.2999999998</v>
          </cell>
          <cell r="AA268">
            <v>0</v>
          </cell>
          <cell r="AB268">
            <v>718761.98</v>
          </cell>
          <cell r="AC268">
            <v>-809000</v>
          </cell>
          <cell r="AD268">
            <v>-1618000</v>
          </cell>
          <cell r="AE268">
            <v>-2427000</v>
          </cell>
          <cell r="AF268">
            <v>-3236000</v>
          </cell>
          <cell r="AG268">
            <v>-4045000</v>
          </cell>
          <cell r="AH268">
            <v>-4854000</v>
          </cell>
          <cell r="AI268">
            <v>-5663000</v>
          </cell>
          <cell r="AJ268">
            <v>-6472000</v>
          </cell>
          <cell r="AK268">
            <v>-7281000</v>
          </cell>
          <cell r="AL268">
            <v>-8090000</v>
          </cell>
          <cell r="AM268">
            <v>771779.1</v>
          </cell>
          <cell r="AN268">
            <v>0</v>
          </cell>
          <cell r="AO268">
            <v>0</v>
          </cell>
          <cell r="AP268">
            <v>-1752000</v>
          </cell>
          <cell r="AQ268">
            <v>-2628000</v>
          </cell>
          <cell r="AR268">
            <v>-3502911.53</v>
          </cell>
          <cell r="AS268">
            <v>-4128911.53</v>
          </cell>
          <cell r="AT268">
            <v>-4954911.53</v>
          </cell>
          <cell r="AU268">
            <v>-5780911.5300000003</v>
          </cell>
          <cell r="AV268">
            <v>-6465577.9299999997</v>
          </cell>
          <cell r="AW268">
            <v>-7273911.2300000004</v>
          </cell>
          <cell r="AX268">
            <v>-8082244.5300000003</v>
          </cell>
          <cell r="AY268">
            <v>781613.01</v>
          </cell>
          <cell r="AZ268">
            <v>0</v>
          </cell>
          <cell r="BA268">
            <v>-943820</v>
          </cell>
          <cell r="BB268">
            <v>-1887640</v>
          </cell>
          <cell r="BC268">
            <v>-2831460</v>
          </cell>
          <cell r="BD268">
            <v>-3775280</v>
          </cell>
          <cell r="BE268">
            <v>-4719100</v>
          </cell>
          <cell r="BF268">
            <v>-5662920</v>
          </cell>
          <cell r="BG268">
            <v>-6606740</v>
          </cell>
          <cell r="BH268">
            <v>-7550560</v>
          </cell>
          <cell r="BI268">
            <v>-8494380</v>
          </cell>
          <cell r="BJ268">
            <v>-9438200</v>
          </cell>
          <cell r="BK268">
            <v>896399.7</v>
          </cell>
          <cell r="BL268">
            <v>0</v>
          </cell>
          <cell r="BM268">
            <v>-1063964</v>
          </cell>
          <cell r="BN268">
            <v>-2127928</v>
          </cell>
          <cell r="BO268">
            <v>-3191892</v>
          </cell>
          <cell r="BP268">
            <v>-4255856</v>
          </cell>
          <cell r="BQ268">
            <v>-5319691.38</v>
          </cell>
          <cell r="BR268">
            <v>-6383655.3799999999</v>
          </cell>
          <cell r="BS268">
            <v>-7447619.3799999999</v>
          </cell>
          <cell r="BT268">
            <v>-7999871.3799999999</v>
          </cell>
          <cell r="BU268">
            <v>-8999871.3800000008</v>
          </cell>
          <cell r="BV268">
            <v>-9999871.3800000008</v>
          </cell>
          <cell r="BW268">
            <v>908137.66</v>
          </cell>
          <cell r="BX268">
            <v>0</v>
          </cell>
          <cell r="BY268">
            <v>-1159498</v>
          </cell>
          <cell r="BZ268">
            <v>-2318996</v>
          </cell>
          <cell r="CA268">
            <v>-3478494</v>
          </cell>
          <cell r="CB268">
            <v>-4637992</v>
          </cell>
          <cell r="CC268">
            <v>-5797490</v>
          </cell>
          <cell r="CD268">
            <v>-6956988</v>
          </cell>
          <cell r="CE268">
            <v>-8116486</v>
          </cell>
          <cell r="CF268">
            <v>-9275984</v>
          </cell>
          <cell r="CG268">
            <v>-10435482</v>
          </cell>
          <cell r="CH268">
            <v>-11594980</v>
          </cell>
          <cell r="CI268">
            <v>662910.98</v>
          </cell>
          <cell r="CJ268">
            <v>0</v>
          </cell>
          <cell r="CK268">
            <v>-1232571.23</v>
          </cell>
          <cell r="CL268">
            <v>-2465142.46</v>
          </cell>
          <cell r="CM268">
            <v>-3697713.69</v>
          </cell>
          <cell r="CN268">
            <v>-4930284.92</v>
          </cell>
          <cell r="CO268">
            <v>-6162856.1500000004</v>
          </cell>
          <cell r="CP268">
            <v>-7395427.3799999999</v>
          </cell>
          <cell r="CQ268">
            <v>-8627998.6099999994</v>
          </cell>
          <cell r="CR268">
            <v>-9860569.8399999999</v>
          </cell>
          <cell r="CS268">
            <v>-10425000.57</v>
          </cell>
          <cell r="CT268">
            <v>-11583333.970000001</v>
          </cell>
          <cell r="CU268">
            <v>1029673.84</v>
          </cell>
          <cell r="CV268">
            <v>0</v>
          </cell>
          <cell r="CW268">
            <v>-1468499.19</v>
          </cell>
          <cell r="CX268">
            <v>-2936998.38</v>
          </cell>
          <cell r="CY268">
            <v>-4405497.57</v>
          </cell>
          <cell r="CZ268">
            <v>-5989598.5599999996</v>
          </cell>
          <cell r="DA268">
            <v>-7515898.6500000004</v>
          </cell>
          <cell r="DB268">
            <v>-9042198.7400000002</v>
          </cell>
          <cell r="DC268">
            <v>-10568498.83</v>
          </cell>
          <cell r="DD268">
            <v>-12094798.92</v>
          </cell>
          <cell r="DE268">
            <v>-12937500</v>
          </cell>
          <cell r="DF268">
            <v>-14375000</v>
          </cell>
          <cell r="DG268">
            <v>1405402.11</v>
          </cell>
          <cell r="DH268">
            <v>0</v>
          </cell>
        </row>
        <row r="269">
          <cell r="A269">
            <v>2360605</v>
          </cell>
          <cell r="B269">
            <v>2360605</v>
          </cell>
          <cell r="C269" t="str">
            <v>Tax Pay Franchise</v>
          </cell>
          <cell r="D269">
            <v>-863405.82</v>
          </cell>
          <cell r="E269">
            <v>-1141232.71</v>
          </cell>
          <cell r="F269">
            <v>-1119000.81</v>
          </cell>
          <cell r="G269">
            <v>-953106.13</v>
          </cell>
          <cell r="H269">
            <v>-847748.59</v>
          </cell>
          <cell r="I269">
            <v>-790706.12</v>
          </cell>
          <cell r="J269">
            <v>-688160.65</v>
          </cell>
          <cell r="K269">
            <v>-790589.82</v>
          </cell>
          <cell r="L269">
            <v>-754426.47</v>
          </cell>
          <cell r="M269">
            <v>-823177.74</v>
          </cell>
          <cell r="N269">
            <v>-847822.07</v>
          </cell>
          <cell r="O269">
            <v>-891960.35</v>
          </cell>
          <cell r="P269">
            <v>-971099.37</v>
          </cell>
          <cell r="Q269">
            <v>-1116242.81</v>
          </cell>
          <cell r="R269">
            <v>-1072360.3600000001</v>
          </cell>
          <cell r="S269">
            <v>-1054711.94</v>
          </cell>
          <cell r="T269">
            <v>-917726.06</v>
          </cell>
          <cell r="U269">
            <v>-815328.8</v>
          </cell>
          <cell r="V269">
            <v>-865597.62</v>
          </cell>
          <cell r="W269">
            <v>-798484.94</v>
          </cell>
          <cell r="X269">
            <v>-854282.69</v>
          </cell>
          <cell r="Y269">
            <v>-861806.45</v>
          </cell>
          <cell r="Z269">
            <v>-884223.84</v>
          </cell>
          <cell r="AA269">
            <v>-917625.04</v>
          </cell>
          <cell r="AB269">
            <v>-933510.2</v>
          </cell>
          <cell r="AC269">
            <v>-1107651.19</v>
          </cell>
          <cell r="AD269">
            <v>-1204912.68</v>
          </cell>
          <cell r="AE269">
            <v>-1119239.07</v>
          </cell>
          <cell r="AF269">
            <v>-1059898.01</v>
          </cell>
          <cell r="AG269">
            <v>-915365.05</v>
          </cell>
          <cell r="AH269">
            <v>-885400.56</v>
          </cell>
          <cell r="AI269">
            <v>-828806.12</v>
          </cell>
          <cell r="AJ269">
            <v>-822895.42</v>
          </cell>
          <cell r="AK269">
            <v>-844050.2</v>
          </cell>
          <cell r="AL269">
            <v>-861399.19</v>
          </cell>
          <cell r="AM269">
            <v>-922255.26</v>
          </cell>
          <cell r="AN269">
            <v>-924161.82</v>
          </cell>
          <cell r="AO269">
            <v>-1036502.86</v>
          </cell>
          <cell r="AP269">
            <v>-952681.4</v>
          </cell>
          <cell r="AQ269">
            <v>-951581.44</v>
          </cell>
          <cell r="AR269">
            <v>-956601.61</v>
          </cell>
          <cell r="AS269">
            <v>-883002.34</v>
          </cell>
          <cell r="AT269">
            <v>-865519.15</v>
          </cell>
          <cell r="AU269">
            <v>-812479.46</v>
          </cell>
          <cell r="AV269">
            <v>-813680.17</v>
          </cell>
          <cell r="AW269">
            <v>-846312.01</v>
          </cell>
          <cell r="AX269">
            <v>-899052.15</v>
          </cell>
          <cell r="AY269">
            <v>-966037.82</v>
          </cell>
          <cell r="AZ269">
            <v>-990699.91</v>
          </cell>
          <cell r="BA269">
            <v>-1322406.3400000001</v>
          </cell>
          <cell r="BB269">
            <v>-1171013.03</v>
          </cell>
          <cell r="BC269">
            <v>-1074085.18</v>
          </cell>
          <cell r="BD269">
            <v>-1094952.79</v>
          </cell>
          <cell r="BE269">
            <v>-1007736.16</v>
          </cell>
          <cell r="BF269">
            <v>-998171.22</v>
          </cell>
          <cell r="BG269">
            <v>-916004.53</v>
          </cell>
          <cell r="BH269">
            <v>-890431.4</v>
          </cell>
          <cell r="BI269">
            <v>-956837.97</v>
          </cell>
          <cell r="BJ269">
            <v>-920585.16</v>
          </cell>
          <cell r="BK269">
            <v>-972171.06</v>
          </cell>
          <cell r="BL269">
            <v>-1037067.09</v>
          </cell>
          <cell r="BM269">
            <v>-1193393.58</v>
          </cell>
          <cell r="BN269">
            <v>-1123088.26</v>
          </cell>
          <cell r="BO269">
            <v>-1080449.74</v>
          </cell>
          <cell r="BP269">
            <v>-1074333.8999999999</v>
          </cell>
          <cell r="BQ269">
            <v>-948753.76</v>
          </cell>
          <cell r="BR269">
            <v>-927669.83</v>
          </cell>
          <cell r="BS269">
            <v>-916050.83</v>
          </cell>
          <cell r="BT269">
            <v>-882173.48</v>
          </cell>
          <cell r="BU269">
            <v>-921605.63</v>
          </cell>
          <cell r="BV269">
            <v>-926152.96</v>
          </cell>
          <cell r="BW269">
            <v>-1006879.55</v>
          </cell>
          <cell r="BX269">
            <v>-1089358.7</v>
          </cell>
          <cell r="BY269">
            <v>-1221253.49</v>
          </cell>
          <cell r="BZ269">
            <v>-1135675.0900000001</v>
          </cell>
          <cell r="CA269">
            <v>-1103364.95</v>
          </cell>
          <cell r="CB269">
            <v>-991510.67</v>
          </cell>
          <cell r="CC269">
            <v>-885486.25</v>
          </cell>
          <cell r="CD269">
            <v>-827303.46</v>
          </cell>
          <cell r="CE269">
            <v>-866479.17</v>
          </cell>
          <cell r="CF269">
            <v>-859378.53</v>
          </cell>
          <cell r="CG269">
            <v>-864737.51</v>
          </cell>
          <cell r="CH269">
            <v>-913805.81</v>
          </cell>
          <cell r="CI269">
            <v>-1017784.1</v>
          </cell>
          <cell r="CJ269">
            <v>-1061936.3899999999</v>
          </cell>
          <cell r="CK269">
            <v>-1456853.71</v>
          </cell>
          <cell r="CL269">
            <v>-1338719.8999999999</v>
          </cell>
          <cell r="CM269">
            <v>-1291178.05</v>
          </cell>
          <cell r="CN269">
            <v>-1328748.96</v>
          </cell>
          <cell r="CO269">
            <v>-1201455.51</v>
          </cell>
          <cell r="CP269">
            <v>-1169257.92</v>
          </cell>
          <cell r="CQ269">
            <v>-1157377.58</v>
          </cell>
          <cell r="CR269">
            <v>-1084493.3500000001</v>
          </cell>
          <cell r="CS269">
            <v>-1163226.6599999999</v>
          </cell>
          <cell r="CT269">
            <v>-1140305.6299999999</v>
          </cell>
          <cell r="CU269">
            <v>-1259102.8799999999</v>
          </cell>
          <cell r="CV269">
            <v>-1373429.83</v>
          </cell>
          <cell r="CW269">
            <v>-1579419.25</v>
          </cell>
          <cell r="CX269">
            <v>-1611358.57</v>
          </cell>
          <cell r="CY269">
            <v>-1495664.07</v>
          </cell>
          <cell r="CZ269">
            <v>-1419531.95</v>
          </cell>
          <cell r="DA269">
            <v>-1347793.71</v>
          </cell>
          <cell r="DB269">
            <v>-1278925.32</v>
          </cell>
          <cell r="DC269">
            <v>-1152918.8</v>
          </cell>
          <cell r="DD269">
            <v>-1295705.42</v>
          </cell>
          <cell r="DE269">
            <v>-1361739.02</v>
          </cell>
          <cell r="DF269">
            <v>-1454842.18</v>
          </cell>
          <cell r="DG269">
            <v>-1199953.95</v>
          </cell>
          <cell r="DH269">
            <v>-1346776.29</v>
          </cell>
        </row>
        <row r="270">
          <cell r="A270">
            <v>2360606</v>
          </cell>
          <cell r="B270">
            <v>2360606</v>
          </cell>
          <cell r="C270" t="str">
            <v>Tax Pay Excise Tax</v>
          </cell>
          <cell r="D270">
            <v>2555.48</v>
          </cell>
          <cell r="E270">
            <v>3293.89</v>
          </cell>
          <cell r="F270">
            <v>3094.48</v>
          </cell>
          <cell r="G270">
            <v>2956.22</v>
          </cell>
          <cell r="H270">
            <v>3110.33</v>
          </cell>
          <cell r="I270">
            <v>1485.64</v>
          </cell>
          <cell r="J270">
            <v>2458.3200000000002</v>
          </cell>
          <cell r="K270">
            <v>3485</v>
          </cell>
          <cell r="L270">
            <v>3415.33</v>
          </cell>
          <cell r="M270">
            <v>3351.07</v>
          </cell>
          <cell r="N270">
            <v>3459.08</v>
          </cell>
          <cell r="O270">
            <v>3401.84</v>
          </cell>
          <cell r="P270">
            <v>3345.67</v>
          </cell>
          <cell r="Q270">
            <v>3496.74</v>
          </cell>
          <cell r="R270">
            <v>3458.26</v>
          </cell>
          <cell r="S270">
            <v>3381.1</v>
          </cell>
          <cell r="T270">
            <v>3503.6</v>
          </cell>
          <cell r="U270">
            <v>3420.5</v>
          </cell>
          <cell r="V270">
            <v>3331.7</v>
          </cell>
          <cell r="W270">
            <v>3458.93</v>
          </cell>
          <cell r="X270">
            <v>3395.57</v>
          </cell>
          <cell r="Y270">
            <v>3311.34</v>
          </cell>
          <cell r="Z270">
            <v>3467.66</v>
          </cell>
          <cell r="AA270">
            <v>3271.45</v>
          </cell>
          <cell r="AB270">
            <v>3358.92</v>
          </cell>
          <cell r="AC270">
            <v>3394.16</v>
          </cell>
          <cell r="AD270">
            <v>3194.34</v>
          </cell>
          <cell r="AE270">
            <v>3096.19</v>
          </cell>
          <cell r="AF270">
            <v>3395.64</v>
          </cell>
          <cell r="AG270">
            <v>3291.34</v>
          </cell>
          <cell r="AH270">
            <v>3201.18</v>
          </cell>
          <cell r="AI270">
            <v>3403.14</v>
          </cell>
          <cell r="AJ270">
            <v>3265.73</v>
          </cell>
          <cell r="AK270">
            <v>3149.92</v>
          </cell>
          <cell r="AL270">
            <v>3423.75</v>
          </cell>
          <cell r="AM270">
            <v>3339.95</v>
          </cell>
          <cell r="AN270">
            <v>3232.29</v>
          </cell>
          <cell r="AO270">
            <v>3437.19</v>
          </cell>
          <cell r="AP270">
            <v>3312.25</v>
          </cell>
          <cell r="AQ270">
            <v>3236.75</v>
          </cell>
          <cell r="AR270">
            <v>3456.7</v>
          </cell>
          <cell r="AS270">
            <v>3380.38</v>
          </cell>
          <cell r="AT270">
            <v>3325.61</v>
          </cell>
          <cell r="AU270">
            <v>3541.79</v>
          </cell>
          <cell r="AV270">
            <v>3468.27</v>
          </cell>
          <cell r="AW270">
            <v>3381.78</v>
          </cell>
          <cell r="AX270">
            <v>3356.23</v>
          </cell>
          <cell r="AY270">
            <v>3308.86</v>
          </cell>
          <cell r="AZ270">
            <v>3249.31</v>
          </cell>
          <cell r="BA270">
            <v>3478.87</v>
          </cell>
          <cell r="BB270">
            <v>3410.01</v>
          </cell>
          <cell r="BC270">
            <v>3364.9</v>
          </cell>
          <cell r="BD270">
            <v>3495.75</v>
          </cell>
          <cell r="BE270">
            <v>3433.11</v>
          </cell>
          <cell r="BF270">
            <v>3378.37</v>
          </cell>
          <cell r="BG270">
            <v>3481.27</v>
          </cell>
          <cell r="BH270">
            <v>3440.57</v>
          </cell>
          <cell r="BI270">
            <v>3381.08</v>
          </cell>
          <cell r="BJ270">
            <v>3526.05</v>
          </cell>
          <cell r="BK270">
            <v>3490.88</v>
          </cell>
          <cell r="BL270">
            <v>3434.88</v>
          </cell>
          <cell r="BM270">
            <v>3518.63</v>
          </cell>
          <cell r="BN270">
            <v>3493.13</v>
          </cell>
          <cell r="BO270">
            <v>3459.43</v>
          </cell>
          <cell r="BP270">
            <v>3529.38</v>
          </cell>
          <cell r="BQ270">
            <v>3516.78</v>
          </cell>
          <cell r="BR270">
            <v>3510.51</v>
          </cell>
          <cell r="BS270">
            <v>3528.3</v>
          </cell>
          <cell r="BT270">
            <v>3511.38</v>
          </cell>
          <cell r="BU270">
            <v>3509.9</v>
          </cell>
          <cell r="BV270">
            <v>3521.06</v>
          </cell>
          <cell r="BW270">
            <v>3512.48</v>
          </cell>
          <cell r="BX270">
            <v>3492.77</v>
          </cell>
          <cell r="BY270">
            <v>3525.62</v>
          </cell>
          <cell r="BZ270">
            <v>3513.77</v>
          </cell>
          <cell r="CA270">
            <v>3503.4</v>
          </cell>
          <cell r="CB270">
            <v>3518.09</v>
          </cell>
          <cell r="CC270">
            <v>3514.83</v>
          </cell>
          <cell r="CD270">
            <v>3464.48</v>
          </cell>
          <cell r="CE270">
            <v>3506.25</v>
          </cell>
          <cell r="CF270">
            <v>3504.1</v>
          </cell>
          <cell r="CG270">
            <v>3502.62</v>
          </cell>
          <cell r="CH270">
            <v>3538.5</v>
          </cell>
          <cell r="CI270">
            <v>3538.5</v>
          </cell>
          <cell r="CJ270">
            <v>3511.29</v>
          </cell>
          <cell r="CK270">
            <v>3528.46</v>
          </cell>
          <cell r="CL270">
            <v>3526.82</v>
          </cell>
          <cell r="CM270">
            <v>3519.42</v>
          </cell>
          <cell r="CN270">
            <v>3542.96</v>
          </cell>
          <cell r="CO270">
            <v>3534.07</v>
          </cell>
          <cell r="CP270">
            <v>3527.29</v>
          </cell>
          <cell r="CQ270">
            <v>3535.87</v>
          </cell>
          <cell r="CR270">
            <v>3523.21</v>
          </cell>
          <cell r="CS270">
            <v>3517.9</v>
          </cell>
          <cell r="CT270">
            <v>3539.44</v>
          </cell>
          <cell r="CU270">
            <v>4275.97</v>
          </cell>
          <cell r="CV270">
            <v>4275.97</v>
          </cell>
          <cell r="CW270">
            <v>4267.51</v>
          </cell>
          <cell r="CX270">
            <v>4263.97</v>
          </cell>
          <cell r="CY270">
            <v>4259.53</v>
          </cell>
          <cell r="CZ270">
            <v>4281.72</v>
          </cell>
          <cell r="DA270">
            <v>4281.72</v>
          </cell>
          <cell r="DB270">
            <v>4277.28</v>
          </cell>
          <cell r="DC270">
            <v>4286.46</v>
          </cell>
          <cell r="DD270">
            <v>4284.9799999999996</v>
          </cell>
          <cell r="DE270">
            <v>4261.8100000000004</v>
          </cell>
          <cell r="DF270">
            <v>4286.46</v>
          </cell>
          <cell r="DG270">
            <v>4275.22</v>
          </cell>
          <cell r="DH270">
            <v>4267.54</v>
          </cell>
        </row>
        <row r="271">
          <cell r="A271">
            <v>2360620</v>
          </cell>
          <cell r="B271">
            <v>2360620</v>
          </cell>
          <cell r="C271" t="str">
            <v>Tax Pay FICA Employr</v>
          </cell>
          <cell r="D271">
            <v>0</v>
          </cell>
          <cell r="E271">
            <v>-239642.44</v>
          </cell>
          <cell r="F271">
            <v>0</v>
          </cell>
          <cell r="G271">
            <v>0</v>
          </cell>
          <cell r="H271">
            <v>0</v>
          </cell>
          <cell r="I271">
            <v>0</v>
          </cell>
          <cell r="J271">
            <v>0</v>
          </cell>
          <cell r="K271">
            <v>0</v>
          </cell>
          <cell r="L271">
            <v>0</v>
          </cell>
          <cell r="M271">
            <v>0</v>
          </cell>
          <cell r="N271">
            <v>0</v>
          </cell>
          <cell r="O271">
            <v>0</v>
          </cell>
          <cell r="P271">
            <v>-90000</v>
          </cell>
          <cell r="Q271">
            <v>-90000</v>
          </cell>
          <cell r="R271">
            <v>0</v>
          </cell>
          <cell r="S271">
            <v>-53000</v>
          </cell>
          <cell r="T271">
            <v>-161748.47</v>
          </cell>
          <cell r="U271">
            <v>-147341.09</v>
          </cell>
          <cell r="V271">
            <v>-66000</v>
          </cell>
          <cell r="W271">
            <v>-58000</v>
          </cell>
          <cell r="X271">
            <v>-60000</v>
          </cell>
          <cell r="Y271">
            <v>-44000</v>
          </cell>
          <cell r="Z271">
            <v>-42000</v>
          </cell>
          <cell r="AA271">
            <v>-146973</v>
          </cell>
          <cell r="AB271">
            <v>-68000</v>
          </cell>
          <cell r="AC271">
            <v>-158815</v>
          </cell>
          <cell r="AD271">
            <v>-23684</v>
          </cell>
          <cell r="AE271">
            <v>-35526</v>
          </cell>
          <cell r="AF271">
            <v>-47368</v>
          </cell>
          <cell r="AG271">
            <v>-59210</v>
          </cell>
          <cell r="AH271">
            <v>-71052</v>
          </cell>
          <cell r="AI271">
            <v>-97894</v>
          </cell>
          <cell r="AJ271">
            <v>-156736</v>
          </cell>
          <cell r="AK271">
            <v>-185578</v>
          </cell>
          <cell r="AL271">
            <v>-195420</v>
          </cell>
          <cell r="AM271">
            <v>-164265.44</v>
          </cell>
          <cell r="AN271">
            <v>-190234</v>
          </cell>
          <cell r="AO271">
            <v>-203213.17</v>
          </cell>
          <cell r="AP271">
            <v>-25958.34</v>
          </cell>
          <cell r="AQ271">
            <v>-46872.51</v>
          </cell>
          <cell r="AR271">
            <v>-59851.68</v>
          </cell>
          <cell r="AS271">
            <v>-64895.85</v>
          </cell>
          <cell r="AT271">
            <v>-83125.02</v>
          </cell>
          <cell r="AU271">
            <v>-96979.19</v>
          </cell>
          <cell r="AV271">
            <v>-220529.76</v>
          </cell>
          <cell r="AW271">
            <v>-124687.53</v>
          </cell>
          <cell r="AX271">
            <v>-120544.86</v>
          </cell>
          <cell r="AY271">
            <v>-132599.35</v>
          </cell>
          <cell r="AZ271">
            <v>-160403.84</v>
          </cell>
          <cell r="BA271">
            <v>-176841.76</v>
          </cell>
          <cell r="BB271">
            <v>-32875.839999999997</v>
          </cell>
          <cell r="BC271">
            <v>-48787.86</v>
          </cell>
          <cell r="BD271">
            <v>-65225.78</v>
          </cell>
          <cell r="BE271">
            <v>-82099.600000000006</v>
          </cell>
          <cell r="BF271">
            <v>-98537.52</v>
          </cell>
          <cell r="BG271">
            <v>-123552.39</v>
          </cell>
          <cell r="BH271">
            <v>-171815.58</v>
          </cell>
          <cell r="BI271">
            <v>-194234.84</v>
          </cell>
          <cell r="BJ271">
            <v>-215826.49</v>
          </cell>
          <cell r="BK271">
            <v>-237418.14</v>
          </cell>
          <cell r="BL271">
            <v>-353473.07</v>
          </cell>
          <cell r="BM271">
            <v>-413011.53</v>
          </cell>
          <cell r="BN271">
            <v>-163830.94</v>
          </cell>
          <cell r="BO271">
            <v>-68040.27</v>
          </cell>
          <cell r="BP271">
            <v>-90720.36</v>
          </cell>
          <cell r="BQ271">
            <v>-113400.45</v>
          </cell>
          <cell r="BR271">
            <v>-136080.54</v>
          </cell>
          <cell r="BS271">
            <v>-158760.63</v>
          </cell>
          <cell r="BT271">
            <v>-181440.72</v>
          </cell>
          <cell r="BU271">
            <v>-213077.3</v>
          </cell>
          <cell r="BV271">
            <v>-236752.55</v>
          </cell>
          <cell r="BW271">
            <v>-312927.8</v>
          </cell>
          <cell r="BX271">
            <v>-452793.17</v>
          </cell>
          <cell r="BY271">
            <v>-369352.88</v>
          </cell>
          <cell r="BZ271">
            <v>-44084.3</v>
          </cell>
          <cell r="CA271">
            <v>-59022.239999999998</v>
          </cell>
          <cell r="CB271">
            <v>-84196.479999999996</v>
          </cell>
          <cell r="CC271">
            <v>-311658.09000000003</v>
          </cell>
          <cell r="CD271">
            <v>-525235.67000000004</v>
          </cell>
          <cell r="CE271">
            <v>-844932.7</v>
          </cell>
          <cell r="CF271">
            <v>-1063171.25</v>
          </cell>
          <cell r="CG271">
            <v>-1128352.6599999999</v>
          </cell>
          <cell r="CH271">
            <v>-1344463.25</v>
          </cell>
          <cell r="CI271">
            <v>-1567155.92</v>
          </cell>
          <cell r="CJ271">
            <v>-1868718.24</v>
          </cell>
          <cell r="CK271">
            <v>-1867428.58</v>
          </cell>
          <cell r="CL271">
            <v>-1893667.24</v>
          </cell>
          <cell r="CM271">
            <v>-1518152.98</v>
          </cell>
          <cell r="CN271">
            <v>-1534768.6</v>
          </cell>
          <cell r="CO271">
            <v>-1559246.14</v>
          </cell>
          <cell r="CP271">
            <v>-1598044.07</v>
          </cell>
          <cell r="CQ271">
            <v>-1621876.98</v>
          </cell>
          <cell r="CR271">
            <v>-1646162.58</v>
          </cell>
          <cell r="CS271">
            <v>-1641037.85</v>
          </cell>
          <cell r="CT271">
            <v>-1812463.43</v>
          </cell>
          <cell r="CU271">
            <v>-1920153.8</v>
          </cell>
          <cell r="CV271">
            <v>-1335022.32</v>
          </cell>
          <cell r="CW271">
            <v>-1370218.37</v>
          </cell>
          <cell r="CX271">
            <v>-1404520.66</v>
          </cell>
          <cell r="CY271">
            <v>-1004342.15</v>
          </cell>
          <cell r="CZ271">
            <v>-1042092.5</v>
          </cell>
          <cell r="DA271">
            <v>-1073921.8600000001</v>
          </cell>
          <cell r="DB271">
            <v>-1271829.51</v>
          </cell>
          <cell r="DC271">
            <v>-1299079.74</v>
          </cell>
          <cell r="DD271">
            <v>-1179894.9099999999</v>
          </cell>
          <cell r="DE271">
            <v>-1215983.1499999999</v>
          </cell>
          <cell r="DF271">
            <v>-1252496.96</v>
          </cell>
          <cell r="DG271">
            <v>-1334303.6000000001</v>
          </cell>
          <cell r="DH271">
            <v>-480347.74</v>
          </cell>
        </row>
        <row r="272">
          <cell r="A272">
            <v>2360800</v>
          </cell>
          <cell r="B272">
            <v>2360800</v>
          </cell>
          <cell r="C272" t="str">
            <v>Tax Pay Other</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-50000</v>
          </cell>
          <cell r="AB272">
            <v>0</v>
          </cell>
          <cell r="AC272">
            <v>-50000</v>
          </cell>
          <cell r="AD272">
            <v>-50000</v>
          </cell>
          <cell r="AE272">
            <v>-50000</v>
          </cell>
          <cell r="AF272">
            <v>-50000</v>
          </cell>
          <cell r="AG272">
            <v>-50000</v>
          </cell>
          <cell r="AH272">
            <v>-50000</v>
          </cell>
          <cell r="AI272">
            <v>-50000</v>
          </cell>
          <cell r="AJ272">
            <v>-50000</v>
          </cell>
          <cell r="AK272">
            <v>-50000</v>
          </cell>
          <cell r="AL272">
            <v>-50000</v>
          </cell>
          <cell r="AM272">
            <v>-50000</v>
          </cell>
          <cell r="AN272">
            <v>-50000</v>
          </cell>
          <cell r="AO272">
            <v>-50000</v>
          </cell>
          <cell r="AP272">
            <v>-50000</v>
          </cell>
          <cell r="AQ272">
            <v>-50000</v>
          </cell>
          <cell r="AR272">
            <v>-50000</v>
          </cell>
          <cell r="AS272">
            <v>-50000</v>
          </cell>
          <cell r="AT272">
            <v>-50000</v>
          </cell>
          <cell r="AU272">
            <v>-50000</v>
          </cell>
          <cell r="AV272">
            <v>-35606.15</v>
          </cell>
          <cell r="AW272">
            <v>-35606.15</v>
          </cell>
          <cell r="AX272">
            <v>-34622.79</v>
          </cell>
          <cell r="AY272">
            <v>-34622.79</v>
          </cell>
          <cell r="AZ272">
            <v>-34622.79</v>
          </cell>
          <cell r="BA272">
            <v>-34622.79</v>
          </cell>
          <cell r="BB272">
            <v>-34622.79</v>
          </cell>
          <cell r="BC272">
            <v>-34622.79</v>
          </cell>
          <cell r="BD272">
            <v>-34622.79</v>
          </cell>
          <cell r="BE272">
            <v>-34622.79</v>
          </cell>
          <cell r="BF272">
            <v>-34622.79</v>
          </cell>
          <cell r="BG272">
            <v>-34622.79</v>
          </cell>
          <cell r="BH272">
            <v>-34622.79</v>
          </cell>
          <cell r="BI272">
            <v>-34622.79</v>
          </cell>
          <cell r="BJ272">
            <v>-34622.79</v>
          </cell>
          <cell r="BK272">
            <v>-34622.79</v>
          </cell>
          <cell r="BL272">
            <v>-34622.79</v>
          </cell>
          <cell r="BM272">
            <v>-34622.79</v>
          </cell>
          <cell r="BN272">
            <v>-34622.79</v>
          </cell>
          <cell r="BO272">
            <v>-34622.79</v>
          </cell>
          <cell r="BP272">
            <v>-34622.79</v>
          </cell>
          <cell r="BQ272">
            <v>-34622.79</v>
          </cell>
          <cell r="BR272">
            <v>-34622.79</v>
          </cell>
          <cell r="BS272">
            <v>-34622.79</v>
          </cell>
          <cell r="BT272">
            <v>-34622.79</v>
          </cell>
          <cell r="BU272">
            <v>-34622.79</v>
          </cell>
          <cell r="BV272">
            <v>-34622.79</v>
          </cell>
          <cell r="BW272">
            <v>-34622.79</v>
          </cell>
          <cell r="BX272">
            <v>-34622.79</v>
          </cell>
          <cell r="BY272">
            <v>-34622.79</v>
          </cell>
          <cell r="BZ272">
            <v>-34622.79</v>
          </cell>
          <cell r="CA272">
            <v>-34622.79</v>
          </cell>
          <cell r="CB272">
            <v>-34622.79</v>
          </cell>
          <cell r="CC272">
            <v>-34622.79</v>
          </cell>
          <cell r="CD272">
            <v>-34622.79</v>
          </cell>
          <cell r="CE272">
            <v>-34622.79</v>
          </cell>
          <cell r="CF272">
            <v>-34622.79</v>
          </cell>
          <cell r="CG272">
            <v>-34622.79</v>
          </cell>
          <cell r="CH272">
            <v>-34622.79</v>
          </cell>
          <cell r="CI272">
            <v>-34622.79</v>
          </cell>
          <cell r="CJ272">
            <v>-34622.79</v>
          </cell>
          <cell r="CK272">
            <v>-34622.79</v>
          </cell>
          <cell r="CL272">
            <v>-34622.79</v>
          </cell>
          <cell r="CM272">
            <v>-34622.79</v>
          </cell>
          <cell r="CN272">
            <v>-34622.79</v>
          </cell>
          <cell r="CO272">
            <v>-34622.79</v>
          </cell>
          <cell r="CP272">
            <v>-34622.79</v>
          </cell>
          <cell r="CQ272">
            <v>-34622.79</v>
          </cell>
          <cell r="CR272">
            <v>-34622.79</v>
          </cell>
          <cell r="CS272">
            <v>-34622.79</v>
          </cell>
          <cell r="CT272">
            <v>-34622.79</v>
          </cell>
          <cell r="CU272">
            <v>-34622.79</v>
          </cell>
          <cell r="CV272">
            <v>-34622.79</v>
          </cell>
          <cell r="CW272">
            <v>-34622.79</v>
          </cell>
          <cell r="CX272">
            <v>-34622.79</v>
          </cell>
          <cell r="CY272">
            <v>-34622.79</v>
          </cell>
          <cell r="CZ272">
            <v>-34622.79</v>
          </cell>
          <cell r="DA272">
            <v>-34622.79</v>
          </cell>
          <cell r="DB272">
            <v>-34622.79</v>
          </cell>
          <cell r="DC272">
            <v>-34622.79</v>
          </cell>
          <cell r="DD272">
            <v>-34622.79</v>
          </cell>
          <cell r="DE272">
            <v>-34622.79</v>
          </cell>
          <cell r="DF272">
            <v>-34622.79</v>
          </cell>
          <cell r="DG272">
            <v>-34622.79</v>
          </cell>
          <cell r="DH272">
            <v>-34622.79</v>
          </cell>
        </row>
        <row r="273">
          <cell r="A273">
            <v>2370300</v>
          </cell>
          <cell r="B273">
            <v>2370300</v>
          </cell>
          <cell r="C273" t="str">
            <v>Int Acc Cust Deposit</v>
          </cell>
          <cell r="D273">
            <v>-334348.08</v>
          </cell>
          <cell r="E273">
            <v>-411340.6</v>
          </cell>
          <cell r="F273">
            <v>-487071.77</v>
          </cell>
          <cell r="G273">
            <v>-562383.55000000005</v>
          </cell>
          <cell r="H273">
            <v>-637033.81000000006</v>
          </cell>
          <cell r="I273">
            <v>-784411.25</v>
          </cell>
          <cell r="J273">
            <v>-711566.98</v>
          </cell>
          <cell r="K273">
            <v>-857137.98</v>
          </cell>
          <cell r="L273">
            <v>-21472.09</v>
          </cell>
          <cell r="M273">
            <v>-104464.38</v>
          </cell>
          <cell r="N273">
            <v>-186469.6</v>
          </cell>
          <cell r="O273">
            <v>-266252.03000000003</v>
          </cell>
          <cell r="P273">
            <v>-347114.93</v>
          </cell>
          <cell r="Q273">
            <v>-425609.97</v>
          </cell>
          <cell r="R273">
            <v>-503790.12</v>
          </cell>
          <cell r="S273">
            <v>-580662.56000000006</v>
          </cell>
          <cell r="T273">
            <v>-658559.87</v>
          </cell>
          <cell r="U273">
            <v>-733378.24</v>
          </cell>
          <cell r="V273">
            <v>-807866.24</v>
          </cell>
          <cell r="W273">
            <v>-882946.25</v>
          </cell>
          <cell r="X273">
            <v>-22274.44</v>
          </cell>
          <cell r="Y273">
            <v>-107640.57</v>
          </cell>
          <cell r="Z273">
            <v>-192369.15</v>
          </cell>
          <cell r="AA273">
            <v>-24118.19</v>
          </cell>
          <cell r="AB273">
            <v>-276129.98</v>
          </cell>
          <cell r="AC273">
            <v>-110559.84</v>
          </cell>
          <cell r="AD273">
            <v>-192686.22</v>
          </cell>
          <cell r="AE273">
            <v>-271046.09000000003</v>
          </cell>
          <cell r="AF273">
            <v>-346083.14</v>
          </cell>
          <cell r="AG273">
            <v>-417694.18</v>
          </cell>
          <cell r="AH273">
            <v>-486750.79</v>
          </cell>
          <cell r="AI273">
            <v>-551111.54</v>
          </cell>
          <cell r="AJ273">
            <v>-19946.64</v>
          </cell>
          <cell r="AK273">
            <v>-87146.04</v>
          </cell>
          <cell r="AL273">
            <v>-151548.82999999999</v>
          </cell>
          <cell r="AM273">
            <v>-210919.21</v>
          </cell>
          <cell r="AN273">
            <v>-17812.34</v>
          </cell>
          <cell r="AO273">
            <v>-74317.34</v>
          </cell>
          <cell r="AP273">
            <v>-127218.62</v>
          </cell>
          <cell r="AQ273">
            <v>-179071.35</v>
          </cell>
          <cell r="AR273">
            <v>-229088.99</v>
          </cell>
          <cell r="AS273">
            <v>-277626.40999999997</v>
          </cell>
          <cell r="AT273">
            <v>-325812.15000000002</v>
          </cell>
          <cell r="AU273">
            <v>-368186.97</v>
          </cell>
          <cell r="AV273">
            <v>-412452.75</v>
          </cell>
          <cell r="AW273">
            <v>-457250.23</v>
          </cell>
          <cell r="AX273">
            <v>-500190.34</v>
          </cell>
          <cell r="AY273">
            <v>-538918.24</v>
          </cell>
          <cell r="AZ273">
            <v>-17573.16</v>
          </cell>
          <cell r="BA273">
            <v>-71614.66</v>
          </cell>
          <cell r="BB273">
            <v>-124917.84</v>
          </cell>
          <cell r="BC273">
            <v>-176236.65</v>
          </cell>
          <cell r="BD273">
            <v>-227517.09</v>
          </cell>
          <cell r="BE273">
            <v>-278274.19</v>
          </cell>
          <cell r="BF273">
            <v>-325740.88</v>
          </cell>
          <cell r="BG273">
            <v>-374524.72</v>
          </cell>
          <cell r="BH273">
            <v>-422657.59</v>
          </cell>
          <cell r="BI273">
            <v>-469895.84</v>
          </cell>
          <cell r="BJ273">
            <v>-515436.15</v>
          </cell>
          <cell r="BK273">
            <v>-561353.64</v>
          </cell>
          <cell r="BL273">
            <v>-16610.23</v>
          </cell>
          <cell r="BM273">
            <v>-71059.53</v>
          </cell>
          <cell r="BN273">
            <v>-124663.16</v>
          </cell>
          <cell r="BO273">
            <v>-176598.15</v>
          </cell>
          <cell r="BP273">
            <v>-228850.78</v>
          </cell>
          <cell r="BQ273">
            <v>-279286.71000000002</v>
          </cell>
          <cell r="BR273">
            <v>-327851.01</v>
          </cell>
          <cell r="BS273">
            <v>-374147.63</v>
          </cell>
          <cell r="BT273">
            <v>-420120.22</v>
          </cell>
          <cell r="BU273">
            <v>-466624.03</v>
          </cell>
          <cell r="BV273">
            <v>-512355.05</v>
          </cell>
          <cell r="BW273">
            <v>-556104.1</v>
          </cell>
          <cell r="BX273">
            <v>-16026.57</v>
          </cell>
          <cell r="BY273">
            <v>-69889.67</v>
          </cell>
          <cell r="BZ273">
            <v>-123609.04</v>
          </cell>
          <cell r="CA273">
            <v>-175690.36</v>
          </cell>
          <cell r="CB273">
            <v>-226799.48</v>
          </cell>
          <cell r="CC273">
            <v>-276679.34000000003</v>
          </cell>
          <cell r="CD273">
            <v>-325451.73</v>
          </cell>
          <cell r="CE273">
            <v>-372508.97</v>
          </cell>
          <cell r="CF273">
            <v>-418641.97</v>
          </cell>
          <cell r="CG273">
            <v>-463529.51</v>
          </cell>
          <cell r="CH273">
            <v>-506720.36</v>
          </cell>
          <cell r="CI273">
            <v>-551103.75</v>
          </cell>
          <cell r="CJ273">
            <v>-14685.01</v>
          </cell>
          <cell r="CK273">
            <v>-67914.42</v>
          </cell>
          <cell r="CL273">
            <v>-120735.97</v>
          </cell>
          <cell r="CM273">
            <v>-172978.19</v>
          </cell>
          <cell r="CN273">
            <v>-223902.89</v>
          </cell>
          <cell r="CO273">
            <v>-273871.86</v>
          </cell>
          <cell r="CP273">
            <v>-323372.13</v>
          </cell>
          <cell r="CQ273">
            <v>-373908.47999999998</v>
          </cell>
          <cell r="CR273">
            <v>-423453.8</v>
          </cell>
          <cell r="CS273">
            <v>-472903.4</v>
          </cell>
          <cell r="CT273">
            <v>-519885.46</v>
          </cell>
          <cell r="CU273">
            <v>-568781.9</v>
          </cell>
          <cell r="CV273">
            <v>-15558.56</v>
          </cell>
          <cell r="CW273">
            <v>-71969.850000000006</v>
          </cell>
          <cell r="CX273">
            <v>-128230.92</v>
          </cell>
          <cell r="CY273">
            <v>-184530.74</v>
          </cell>
          <cell r="CZ273">
            <v>-240009.49</v>
          </cell>
          <cell r="DA273">
            <v>-294844.59999999998</v>
          </cell>
          <cell r="DB273">
            <v>-348758.74</v>
          </cell>
          <cell r="DC273">
            <v>-402594.21</v>
          </cell>
          <cell r="DD273">
            <v>-456025.03</v>
          </cell>
          <cell r="DE273">
            <v>-510539.26</v>
          </cell>
          <cell r="DF273">
            <v>-563130.14</v>
          </cell>
          <cell r="DG273">
            <v>-617070.25</v>
          </cell>
          <cell r="DH273">
            <v>-19063.52</v>
          </cell>
        </row>
        <row r="274">
          <cell r="A274">
            <v>2370400</v>
          </cell>
          <cell r="B274">
            <v>2370400</v>
          </cell>
          <cell r="C274" t="str">
            <v>Int Accr LTD</v>
          </cell>
          <cell r="D274">
            <v>-1443411.66</v>
          </cell>
          <cell r="E274">
            <v>-2440519.38</v>
          </cell>
          <cell r="F274">
            <v>-3437627.1</v>
          </cell>
          <cell r="G274">
            <v>-4109734.82</v>
          </cell>
          <cell r="H274">
            <v>-5106842.54</v>
          </cell>
          <cell r="I274">
            <v>-1497786.62</v>
          </cell>
          <cell r="J274">
            <v>-1489428.9</v>
          </cell>
          <cell r="K274">
            <v>-2531144.34</v>
          </cell>
          <cell r="L274">
            <v>-3564502.06</v>
          </cell>
          <cell r="M274">
            <v>-4272859.78</v>
          </cell>
          <cell r="N274">
            <v>-5306217.5</v>
          </cell>
          <cell r="O274">
            <v>-1489428.86</v>
          </cell>
          <cell r="P274">
            <v>-1497786.58</v>
          </cell>
          <cell r="Q274">
            <v>-2531144.2999999998</v>
          </cell>
          <cell r="R274">
            <v>-3564502.03</v>
          </cell>
          <cell r="S274">
            <v>-4272859.76</v>
          </cell>
          <cell r="T274">
            <v>-5306217.49</v>
          </cell>
          <cell r="U274">
            <v>-1522095.53</v>
          </cell>
          <cell r="V274">
            <v>-1600453.26</v>
          </cell>
          <cell r="W274">
            <v>-2703810.99</v>
          </cell>
          <cell r="X274">
            <v>-3807168.72</v>
          </cell>
          <cell r="Y274">
            <v>-4585526.45</v>
          </cell>
          <cell r="Z274">
            <v>-5688884.1799999997</v>
          </cell>
          <cell r="AA274">
            <v>-1602786.62</v>
          </cell>
          <cell r="AB274">
            <v>-1524428.89</v>
          </cell>
          <cell r="AC274">
            <v>-2706144.35</v>
          </cell>
          <cell r="AD274">
            <v>-3809502.08</v>
          </cell>
          <cell r="AE274">
            <v>-4587859.8099999996</v>
          </cell>
          <cell r="AF274">
            <v>-5691217.54</v>
          </cell>
          <cell r="AG274">
            <v>-1524428.91</v>
          </cell>
          <cell r="AH274">
            <v>-1602786.64</v>
          </cell>
          <cell r="AI274">
            <v>-2706144.37</v>
          </cell>
          <cell r="AJ274">
            <v>-3799252.1</v>
          </cell>
          <cell r="AK274">
            <v>-4577609.83</v>
          </cell>
          <cell r="AL274">
            <v>-5680967.5599999996</v>
          </cell>
          <cell r="AM274">
            <v>-1514178.93</v>
          </cell>
          <cell r="AN274">
            <v>-1592536.66</v>
          </cell>
          <cell r="AO274">
            <v>-2695894.39</v>
          </cell>
          <cell r="AP274">
            <v>-3799252.12</v>
          </cell>
          <cell r="AQ274">
            <v>-4577609.8499999996</v>
          </cell>
          <cell r="AR274">
            <v>-5680967.5800000001</v>
          </cell>
          <cell r="AS274">
            <v>-1514178.95</v>
          </cell>
          <cell r="AT274">
            <v>-1592536.68</v>
          </cell>
          <cell r="AU274">
            <v>-2695894.41</v>
          </cell>
          <cell r="AV274">
            <v>-3799252.14</v>
          </cell>
          <cell r="AW274">
            <v>-4577609.87</v>
          </cell>
          <cell r="AX274">
            <v>-5680967.5999999996</v>
          </cell>
          <cell r="AY274">
            <v>-1514178.97</v>
          </cell>
          <cell r="AZ274">
            <v>-1592536.7</v>
          </cell>
          <cell r="BA274">
            <v>-2695894.43</v>
          </cell>
          <cell r="BB274">
            <v>-3799252.16</v>
          </cell>
          <cell r="BC274">
            <v>-4577609.8899999997</v>
          </cell>
          <cell r="BD274">
            <v>-5680967.6200000001</v>
          </cell>
          <cell r="BE274">
            <v>-1387095.26</v>
          </cell>
          <cell r="BF274">
            <v>-1211286.32</v>
          </cell>
          <cell r="BG274">
            <v>-2535268.9700000002</v>
          </cell>
          <cell r="BH274">
            <v>-3653210.03</v>
          </cell>
          <cell r="BI274">
            <v>-4446151.09</v>
          </cell>
          <cell r="BJ274">
            <v>-5644439.4100000001</v>
          </cell>
          <cell r="BK274">
            <v>-3109942.44</v>
          </cell>
          <cell r="BL274">
            <v>-1611425.16</v>
          </cell>
          <cell r="BM274">
            <v>-2822074.55</v>
          </cell>
          <cell r="BN274">
            <v>-4032723.94</v>
          </cell>
          <cell r="BO274">
            <v>-4918373.33</v>
          </cell>
          <cell r="BP274">
            <v>-6129022.7199999997</v>
          </cell>
          <cell r="BQ274">
            <v>-3594525.75</v>
          </cell>
          <cell r="BR274">
            <v>-1392015.42</v>
          </cell>
          <cell r="BS274">
            <v>-2622803.7000000002</v>
          </cell>
          <cell r="BT274">
            <v>-3908973.92</v>
          </cell>
          <cell r="BU274">
            <v>-4870144.1399999997</v>
          </cell>
          <cell r="BV274">
            <v>-6156314.3600000003</v>
          </cell>
          <cell r="BW274">
            <v>-3697338.22</v>
          </cell>
          <cell r="BX274">
            <v>-1434810.52</v>
          </cell>
          <cell r="BY274">
            <v>-2720980.74</v>
          </cell>
          <cell r="BZ274">
            <v>-4007150.96</v>
          </cell>
          <cell r="CA274">
            <v>-4963286.47</v>
          </cell>
          <cell r="CB274">
            <v>-6249456.6900000004</v>
          </cell>
          <cell r="CC274">
            <v>-3790480.55</v>
          </cell>
          <cell r="CD274">
            <v>-1429775.77</v>
          </cell>
          <cell r="CE274">
            <v>-2715945.99</v>
          </cell>
          <cell r="CF274">
            <v>-4002116.21</v>
          </cell>
          <cell r="CG274">
            <v>-4963286.43</v>
          </cell>
          <cell r="CH274">
            <v>-6249456.6500000004</v>
          </cell>
          <cell r="CI274">
            <v>-3790480.51</v>
          </cell>
          <cell r="CJ274">
            <v>-1429775.73</v>
          </cell>
          <cell r="CK274">
            <v>-2715945.95</v>
          </cell>
          <cell r="CL274">
            <v>-4002116.17</v>
          </cell>
          <cell r="CM274">
            <v>-5280973.8899999997</v>
          </cell>
          <cell r="CN274">
            <v>-7127769.1100000003</v>
          </cell>
          <cell r="CO274">
            <v>-5018976.91</v>
          </cell>
          <cell r="CP274">
            <v>-3113676.6</v>
          </cell>
          <cell r="CQ274">
            <v>-4750030.76</v>
          </cell>
          <cell r="CR274">
            <v>-6386384.9199999999</v>
          </cell>
          <cell r="CS274">
            <v>-4296614.08</v>
          </cell>
          <cell r="CT274">
            <v>-5932968.2400000002</v>
          </cell>
          <cell r="CU274">
            <v>-5086822.4000000004</v>
          </cell>
          <cell r="CV274">
            <v>-3076301.56</v>
          </cell>
          <cell r="CW274">
            <v>-4712655.72</v>
          </cell>
          <cell r="CX274">
            <v>-6349009.8799999999</v>
          </cell>
          <cell r="CY274">
            <v>-4296614.04</v>
          </cell>
          <cell r="CZ274">
            <v>-5932968.2000000002</v>
          </cell>
          <cell r="DA274">
            <v>-5086822.3600000003</v>
          </cell>
          <cell r="DB274">
            <v>-3076301.52</v>
          </cell>
          <cell r="DC274">
            <v>-4879061.93</v>
          </cell>
          <cell r="DD274">
            <v>-6792759.8399999999</v>
          </cell>
          <cell r="DE274">
            <v>-4990624.29</v>
          </cell>
          <cell r="DF274">
            <v>-6850155.5300000003</v>
          </cell>
          <cell r="DG274">
            <v>-6227186.7699999996</v>
          </cell>
          <cell r="DH274">
            <v>-4439843.01</v>
          </cell>
        </row>
        <row r="275">
          <cell r="A275">
            <v>2380720</v>
          </cell>
          <cell r="B275">
            <v>2380720</v>
          </cell>
          <cell r="C275" t="str">
            <v>Divid Pay IC Recon</v>
          </cell>
          <cell r="D275">
            <v>0</v>
          </cell>
          <cell r="E275">
            <v>-7357286.6799999997</v>
          </cell>
          <cell r="F275">
            <v>0</v>
          </cell>
          <cell r="G275">
            <v>0</v>
          </cell>
          <cell r="H275">
            <v>-11948603.68</v>
          </cell>
          <cell r="I275">
            <v>0</v>
          </cell>
          <cell r="J275">
            <v>0</v>
          </cell>
          <cell r="K275">
            <v>-9971893.4700000007</v>
          </cell>
          <cell r="L275">
            <v>0</v>
          </cell>
          <cell r="M275">
            <v>0</v>
          </cell>
          <cell r="N275">
            <v>-5874136.4699999997</v>
          </cell>
          <cell r="O275">
            <v>0</v>
          </cell>
          <cell r="P275">
            <v>0</v>
          </cell>
          <cell r="Q275">
            <v>0</v>
          </cell>
          <cell r="R275">
            <v>-6579361.9699999997</v>
          </cell>
          <cell r="S275">
            <v>0</v>
          </cell>
          <cell r="T275">
            <v>-14236193.27</v>
          </cell>
          <cell r="U275">
            <v>0</v>
          </cell>
          <cell r="V275">
            <v>0</v>
          </cell>
          <cell r="W275">
            <v>-8836348.5500000007</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-15456143.34</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-27095926</v>
          </cell>
          <cell r="CO275">
            <v>0</v>
          </cell>
          <cell r="CP275">
            <v>0</v>
          </cell>
          <cell r="CQ275">
            <v>0</v>
          </cell>
          <cell r="CR275">
            <v>0</v>
          </cell>
          <cell r="CS275">
            <v>0</v>
          </cell>
          <cell r="CT275">
            <v>0</v>
          </cell>
          <cell r="CU275">
            <v>0</v>
          </cell>
          <cell r="CV275">
            <v>0</v>
          </cell>
          <cell r="CW275">
            <v>0</v>
          </cell>
          <cell r="CX275">
            <v>0</v>
          </cell>
          <cell r="CY275">
            <v>0</v>
          </cell>
          <cell r="CZ275">
            <v>-29543003</v>
          </cell>
          <cell r="DA275">
            <v>0</v>
          </cell>
          <cell r="DB275">
            <v>0</v>
          </cell>
          <cell r="DC275">
            <v>0</v>
          </cell>
          <cell r="DD275">
            <v>0</v>
          </cell>
          <cell r="DE275">
            <v>0</v>
          </cell>
          <cell r="DF275">
            <v>-16227366</v>
          </cell>
          <cell r="DG275">
            <v>0</v>
          </cell>
          <cell r="DH275">
            <v>0</v>
          </cell>
        </row>
        <row r="276">
          <cell r="A276">
            <v>2410000</v>
          </cell>
          <cell r="B276">
            <v>2410000</v>
          </cell>
          <cell r="C276" t="str">
            <v>Sales Use Pay CIS</v>
          </cell>
          <cell r="D276"/>
          <cell r="E276"/>
          <cell r="F276"/>
          <cell r="G276"/>
          <cell r="H276"/>
          <cell r="I276"/>
          <cell r="J276"/>
          <cell r="K276"/>
          <cell r="L276"/>
          <cell r="M276"/>
          <cell r="N276"/>
          <cell r="O276"/>
          <cell r="P276"/>
          <cell r="Q276"/>
          <cell r="R276"/>
          <cell r="S276"/>
          <cell r="T276"/>
          <cell r="U276"/>
          <cell r="V276"/>
          <cell r="W276"/>
          <cell r="X276"/>
          <cell r="Y276"/>
          <cell r="Z276"/>
          <cell r="AA276"/>
          <cell r="AB276"/>
          <cell r="AC276"/>
          <cell r="AD276"/>
          <cell r="AE276"/>
          <cell r="AF276"/>
          <cell r="AG276"/>
          <cell r="AH276"/>
          <cell r="AI276"/>
          <cell r="AJ276"/>
          <cell r="AK276"/>
          <cell r="AL276"/>
          <cell r="AM276"/>
          <cell r="AN276"/>
          <cell r="AO276">
            <v>-168314.57</v>
          </cell>
          <cell r="AP276">
            <v>-171951.76</v>
          </cell>
          <cell r="AQ276">
            <v>-163248.23000000001</v>
          </cell>
          <cell r="AR276">
            <v>-165616.57</v>
          </cell>
          <cell r="AS276">
            <v>-147292.25</v>
          </cell>
          <cell r="AT276">
            <v>-142846.66</v>
          </cell>
          <cell r="AU276">
            <v>-132652.81</v>
          </cell>
          <cell r="AV276">
            <v>-132880.37</v>
          </cell>
          <cell r="AW276">
            <v>-147507.72</v>
          </cell>
          <cell r="AX276">
            <v>-148372.32999999999</v>
          </cell>
          <cell r="AY276">
            <v>-176301.59</v>
          </cell>
          <cell r="AZ276">
            <v>-206709.26</v>
          </cell>
          <cell r="BA276">
            <v>-260773.49</v>
          </cell>
          <cell r="BB276">
            <v>-226971.34</v>
          </cell>
          <cell r="BC276">
            <v>-193726.94</v>
          </cell>
          <cell r="BD276">
            <v>-203810.62</v>
          </cell>
          <cell r="BE276">
            <v>-170174.79</v>
          </cell>
          <cell r="BF276">
            <v>-183684.78</v>
          </cell>
          <cell r="BG276">
            <v>-163278.59</v>
          </cell>
          <cell r="BH276">
            <v>-154735.54999999999</v>
          </cell>
          <cell r="BI276">
            <v>-163726.74</v>
          </cell>
          <cell r="BJ276">
            <v>-145895.70000000001</v>
          </cell>
          <cell r="BK276">
            <v>-164517.29999999999</v>
          </cell>
          <cell r="BL276">
            <v>-182878.03</v>
          </cell>
          <cell r="BM276">
            <v>-253618.02</v>
          </cell>
          <cell r="BN276">
            <v>-223317.9</v>
          </cell>
          <cell r="BO276">
            <v>-224227.29</v>
          </cell>
          <cell r="BP276">
            <v>-217468.6</v>
          </cell>
          <cell r="BQ276">
            <v>-179957.41</v>
          </cell>
          <cell r="BR276">
            <v>-182662.09</v>
          </cell>
          <cell r="BS276">
            <v>-165086.78</v>
          </cell>
          <cell r="BT276">
            <v>-139667.26</v>
          </cell>
          <cell r="BU276">
            <v>-160107.17000000001</v>
          </cell>
          <cell r="BV276">
            <v>-128709.69</v>
          </cell>
          <cell r="BW276">
            <v>-177017.73</v>
          </cell>
          <cell r="BX276">
            <v>-217572.58</v>
          </cell>
          <cell r="BY276">
            <v>-244523.54</v>
          </cell>
          <cell r="BZ276">
            <v>-239660.14</v>
          </cell>
          <cell r="CA276">
            <v>-226159.21</v>
          </cell>
          <cell r="CB276">
            <v>-201399.64</v>
          </cell>
          <cell r="CC276">
            <v>-180304.79</v>
          </cell>
          <cell r="CD276">
            <v>-97020.479999999996</v>
          </cell>
          <cell r="CE276">
            <v>-154364.32</v>
          </cell>
          <cell r="CF276">
            <v>-138434.73000000001</v>
          </cell>
          <cell r="CG276">
            <v>-122016.18</v>
          </cell>
          <cell r="CH276">
            <v>-154882.34</v>
          </cell>
          <cell r="CI276">
            <v>-187704.98</v>
          </cell>
          <cell r="CJ276">
            <v>-195262.16</v>
          </cell>
          <cell r="CK276">
            <v>-307483.71000000002</v>
          </cell>
          <cell r="CL276">
            <v>-283327.83</v>
          </cell>
          <cell r="CM276">
            <v>-287392</v>
          </cell>
          <cell r="CN276">
            <v>-296618.06</v>
          </cell>
          <cell r="CO276">
            <v>-233549.36</v>
          </cell>
          <cell r="CP276">
            <v>-236915.85</v>
          </cell>
          <cell r="CQ276">
            <v>-244282.81</v>
          </cell>
          <cell r="CR276">
            <v>-226126.66</v>
          </cell>
          <cell r="CS276">
            <v>-275230.69</v>
          </cell>
          <cell r="CT276">
            <v>-218769.31</v>
          </cell>
          <cell r="CU276">
            <v>-252449.51</v>
          </cell>
          <cell r="CV276">
            <v>-304771.88</v>
          </cell>
          <cell r="CW276">
            <v>-359011.41</v>
          </cell>
          <cell r="CX276">
            <v>-374624.55</v>
          </cell>
          <cell r="CY276">
            <v>-352580.33</v>
          </cell>
          <cell r="CZ276">
            <v>-322237.13</v>
          </cell>
          <cell r="DA276">
            <v>-304323.78999999998</v>
          </cell>
          <cell r="DB276">
            <v>-333781.69</v>
          </cell>
          <cell r="DC276">
            <v>-226707.73</v>
          </cell>
          <cell r="DD276">
            <v>-334409.34999999998</v>
          </cell>
          <cell r="DE276">
            <v>-356359.87</v>
          </cell>
          <cell r="DF276">
            <v>-366766.09</v>
          </cell>
          <cell r="DG276">
            <v>-273165.13</v>
          </cell>
          <cell r="DH276">
            <v>-289899.77</v>
          </cell>
        </row>
        <row r="277">
          <cell r="A277">
            <v>2410005</v>
          </cell>
          <cell r="B277">
            <v>2410005</v>
          </cell>
          <cell r="C277" t="str">
            <v>Sales Surtax Pay CIS</v>
          </cell>
          <cell r="D277"/>
          <cell r="E277"/>
          <cell r="F277"/>
          <cell r="G277"/>
          <cell r="H277"/>
          <cell r="I277"/>
          <cell r="J277"/>
          <cell r="K277"/>
          <cell r="L277"/>
          <cell r="M277"/>
          <cell r="N277"/>
          <cell r="O277"/>
          <cell r="P277"/>
          <cell r="Q277"/>
          <cell r="R277"/>
          <cell r="S277"/>
          <cell r="T277"/>
          <cell r="U277"/>
          <cell r="V277"/>
          <cell r="W277"/>
          <cell r="X277"/>
          <cell r="Y277"/>
          <cell r="Z277"/>
          <cell r="AA277"/>
          <cell r="AB277"/>
          <cell r="AC277"/>
          <cell r="AD277"/>
          <cell r="AE277"/>
          <cell r="AF277"/>
          <cell r="AG277"/>
          <cell r="AH277"/>
          <cell r="AI277"/>
          <cell r="AJ277"/>
          <cell r="AK277"/>
          <cell r="AL277"/>
          <cell r="AM277"/>
          <cell r="AN277"/>
          <cell r="AO277">
            <v>-19844.009999999998</v>
          </cell>
          <cell r="AP277">
            <v>-20029.97</v>
          </cell>
          <cell r="AQ277">
            <v>-19443.93</v>
          </cell>
          <cell r="AR277">
            <v>-19125.689999999999</v>
          </cell>
          <cell r="AS277">
            <v>-18313.5</v>
          </cell>
          <cell r="AT277">
            <v>-16942.849999999999</v>
          </cell>
          <cell r="AU277">
            <v>-15653.96</v>
          </cell>
          <cell r="AV277">
            <v>-15111.77</v>
          </cell>
          <cell r="AW277">
            <v>-17277.03</v>
          </cell>
          <cell r="AX277">
            <v>-17290.93</v>
          </cell>
          <cell r="AY277">
            <v>-18709.61</v>
          </cell>
          <cell r="AZ277">
            <v>-25030.93</v>
          </cell>
          <cell r="BA277">
            <v>-28965.759999999998</v>
          </cell>
          <cell r="BB277">
            <v>-27202.69</v>
          </cell>
          <cell r="BC277">
            <v>-22671.68</v>
          </cell>
          <cell r="BD277">
            <v>-23589.77</v>
          </cell>
          <cell r="BE277">
            <v>-20792.96</v>
          </cell>
          <cell r="BF277">
            <v>-20307.59</v>
          </cell>
          <cell r="BG277">
            <v>-18996.009999999998</v>
          </cell>
          <cell r="BH277">
            <v>-18267.73</v>
          </cell>
          <cell r="BI277">
            <v>-19755.48</v>
          </cell>
          <cell r="BJ277">
            <v>-17389.3</v>
          </cell>
          <cell r="BK277">
            <v>-18633.79</v>
          </cell>
          <cell r="BL277">
            <v>-21912.99</v>
          </cell>
          <cell r="BM277">
            <v>-32961.339999999997</v>
          </cell>
          <cell r="BN277">
            <v>-36675.64</v>
          </cell>
          <cell r="BO277">
            <v>-35101.14</v>
          </cell>
          <cell r="BP277">
            <v>-36430.230000000003</v>
          </cell>
          <cell r="BQ277">
            <v>-33594.33</v>
          </cell>
          <cell r="BR277">
            <v>-31748.3</v>
          </cell>
          <cell r="BS277">
            <v>-28405.040000000001</v>
          </cell>
          <cell r="BT277">
            <v>-26495.040000000001</v>
          </cell>
          <cell r="BU277">
            <v>-29105.89</v>
          </cell>
          <cell r="BV277">
            <v>-27767.98</v>
          </cell>
          <cell r="BW277">
            <v>-31057.54</v>
          </cell>
          <cell r="BX277">
            <v>-37295.379999999997</v>
          </cell>
          <cell r="BY277">
            <v>-39390.39</v>
          </cell>
          <cell r="BZ277">
            <v>-37526.46</v>
          </cell>
          <cell r="CA277">
            <v>-34791.42</v>
          </cell>
          <cell r="CB277">
            <v>-25007.32</v>
          </cell>
          <cell r="CC277">
            <v>-21738.98</v>
          </cell>
          <cell r="CD277">
            <v>-25592.09</v>
          </cell>
          <cell r="CE277">
            <v>-25564.05</v>
          </cell>
          <cell r="CF277">
            <v>-26416.23</v>
          </cell>
          <cell r="CG277">
            <v>-26151.85</v>
          </cell>
          <cell r="CH277">
            <v>-27892.04</v>
          </cell>
          <cell r="CI277">
            <v>-33275.96</v>
          </cell>
          <cell r="CJ277">
            <v>-36909.29</v>
          </cell>
          <cell r="CK277">
            <v>-50530.31</v>
          </cell>
          <cell r="CL277">
            <v>-48241.22</v>
          </cell>
          <cell r="CM277">
            <v>-47258.95</v>
          </cell>
          <cell r="CN277">
            <v>-44107.13</v>
          </cell>
          <cell r="CO277">
            <v>-40231.919999999998</v>
          </cell>
          <cell r="CP277">
            <v>-37392.339999999997</v>
          </cell>
          <cell r="CQ277">
            <v>-39802.69</v>
          </cell>
          <cell r="CR277">
            <v>-37509.160000000003</v>
          </cell>
          <cell r="CS277">
            <v>-38830.21</v>
          </cell>
          <cell r="CT277">
            <v>-36818.86</v>
          </cell>
          <cell r="CU277">
            <v>-39728.519999999997</v>
          </cell>
          <cell r="CV277">
            <v>-46833.32</v>
          </cell>
          <cell r="CW277">
            <v>-54454.080000000002</v>
          </cell>
          <cell r="CX277">
            <v>-56014.39</v>
          </cell>
          <cell r="CY277">
            <v>-52720.9</v>
          </cell>
          <cell r="CZ277">
            <v>-50027.94</v>
          </cell>
          <cell r="DA277">
            <v>-48356.43</v>
          </cell>
          <cell r="DB277">
            <v>-45248.95</v>
          </cell>
          <cell r="DC277">
            <v>-41048.15</v>
          </cell>
          <cell r="DD277">
            <v>-52889.34</v>
          </cell>
          <cell r="DE277">
            <v>-55338.96</v>
          </cell>
          <cell r="DF277">
            <v>-54038.11</v>
          </cell>
          <cell r="DG277">
            <v>-41947.92</v>
          </cell>
          <cell r="DH277">
            <v>-46338.32</v>
          </cell>
        </row>
        <row r="278">
          <cell r="A278">
            <v>2410300</v>
          </cell>
          <cell r="B278">
            <v>2410300</v>
          </cell>
          <cell r="C278" t="str">
            <v>Sales Use Pay AP</v>
          </cell>
          <cell r="D278">
            <v>-69907.19</v>
          </cell>
          <cell r="E278">
            <v>-156548.42000000001</v>
          </cell>
          <cell r="F278">
            <v>-150854.56</v>
          </cell>
          <cell r="G278">
            <v>-114202.8</v>
          </cell>
          <cell r="H278">
            <v>-74791.25</v>
          </cell>
          <cell r="I278">
            <v>-78038.179999999993</v>
          </cell>
          <cell r="J278">
            <v>-79891.820000000007</v>
          </cell>
          <cell r="K278">
            <v>-97653.46</v>
          </cell>
          <cell r="L278">
            <v>-62799.38</v>
          </cell>
          <cell r="M278">
            <v>-71085.62</v>
          </cell>
          <cell r="N278">
            <v>-89830.31</v>
          </cell>
          <cell r="O278">
            <v>-68679.039999999994</v>
          </cell>
          <cell r="P278">
            <v>-96949.88</v>
          </cell>
          <cell r="Q278">
            <v>-156303.9</v>
          </cell>
          <cell r="R278">
            <v>-129811.69</v>
          </cell>
          <cell r="S278">
            <v>-119378.06</v>
          </cell>
          <cell r="T278">
            <v>-76758.02</v>
          </cell>
          <cell r="U278">
            <v>-57473.67</v>
          </cell>
          <cell r="V278">
            <v>-91045.61</v>
          </cell>
          <cell r="W278">
            <v>-69265.789999999994</v>
          </cell>
          <cell r="X278">
            <v>-65242.49</v>
          </cell>
          <cell r="Y278">
            <v>-49779.03</v>
          </cell>
          <cell r="Z278">
            <v>-46604.5</v>
          </cell>
          <cell r="AA278">
            <v>-133482.54</v>
          </cell>
          <cell r="AB278">
            <v>-58486.25</v>
          </cell>
          <cell r="AC278">
            <v>-121541.71</v>
          </cell>
          <cell r="AD278">
            <v>-126079.29</v>
          </cell>
          <cell r="AE278">
            <v>-112713.57</v>
          </cell>
          <cell r="AF278">
            <v>-118897.95</v>
          </cell>
          <cell r="AG278">
            <v>-70837.72</v>
          </cell>
          <cell r="AH278">
            <v>-51725.64</v>
          </cell>
          <cell r="AI278">
            <v>-53249.04</v>
          </cell>
          <cell r="AJ278">
            <v>-44253.51</v>
          </cell>
          <cell r="AK278">
            <v>-44467.360000000001</v>
          </cell>
          <cell r="AL278">
            <v>-54250.16</v>
          </cell>
          <cell r="AM278">
            <v>-57650.68</v>
          </cell>
          <cell r="AN278">
            <v>-92656.08</v>
          </cell>
          <cell r="AO278">
            <v>96196.49</v>
          </cell>
          <cell r="AP278">
            <v>89470.8</v>
          </cell>
          <cell r="AQ278">
            <v>93405.08</v>
          </cell>
          <cell r="AR278">
            <v>89557.14</v>
          </cell>
          <cell r="AS278">
            <v>86139.5</v>
          </cell>
          <cell r="AT278">
            <v>95076.03</v>
          </cell>
          <cell r="AU278">
            <v>96267.65</v>
          </cell>
          <cell r="AV278">
            <v>87177.43</v>
          </cell>
          <cell r="AW278">
            <v>92491.199999999997</v>
          </cell>
          <cell r="AX278">
            <v>81418.8</v>
          </cell>
          <cell r="AY278">
            <v>85182.69</v>
          </cell>
          <cell r="AZ278">
            <v>92433.67</v>
          </cell>
          <cell r="BA278">
            <v>94052.75</v>
          </cell>
          <cell r="BB278">
            <v>85958.14</v>
          </cell>
          <cell r="BC278">
            <v>37810.93</v>
          </cell>
          <cell r="BD278">
            <v>98073.21</v>
          </cell>
          <cell r="BE278">
            <v>91420.11</v>
          </cell>
          <cell r="BF278">
            <v>65386.52</v>
          </cell>
          <cell r="BG278">
            <v>97470.9</v>
          </cell>
          <cell r="BH278">
            <v>66591.66</v>
          </cell>
          <cell r="BI278">
            <v>130587.97</v>
          </cell>
          <cell r="BJ278">
            <v>97343.72</v>
          </cell>
          <cell r="BK278">
            <v>98487.43</v>
          </cell>
          <cell r="BL278">
            <v>81339.539999999994</v>
          </cell>
          <cell r="BM278">
            <v>106153.02</v>
          </cell>
          <cell r="BN278">
            <v>100386.3</v>
          </cell>
          <cell r="BO278">
            <v>111300.77</v>
          </cell>
          <cell r="BP278">
            <v>115828.87</v>
          </cell>
          <cell r="BQ278">
            <v>110736.96000000001</v>
          </cell>
          <cell r="BR278">
            <v>92758.8</v>
          </cell>
          <cell r="BS278">
            <v>97976.78</v>
          </cell>
          <cell r="BT278">
            <v>106357.28</v>
          </cell>
          <cell r="BU278">
            <v>113235.44</v>
          </cell>
          <cell r="BV278">
            <v>102450.15</v>
          </cell>
          <cell r="BW278">
            <v>119725.72</v>
          </cell>
          <cell r="BX278">
            <v>107837.63</v>
          </cell>
          <cell r="BY278">
            <v>116928.46</v>
          </cell>
          <cell r="BZ278">
            <v>116913.24</v>
          </cell>
          <cell r="CA278">
            <v>114302.61</v>
          </cell>
          <cell r="CB278">
            <v>119017.74</v>
          </cell>
          <cell r="CC278">
            <v>111763.21</v>
          </cell>
          <cell r="CD278">
            <v>116028.57</v>
          </cell>
          <cell r="CE278">
            <v>118333.16</v>
          </cell>
          <cell r="CF278">
            <v>118425.74</v>
          </cell>
          <cell r="CG278">
            <v>117826.02</v>
          </cell>
          <cell r="CH278">
            <v>117096.31</v>
          </cell>
          <cell r="CI278">
            <v>119213.88</v>
          </cell>
          <cell r="CJ278">
            <v>118208.71</v>
          </cell>
          <cell r="CK278">
            <v>104766.53</v>
          </cell>
          <cell r="CL278">
            <v>103422.08</v>
          </cell>
          <cell r="CM278">
            <v>109351.06</v>
          </cell>
          <cell r="CN278">
            <v>107445.77</v>
          </cell>
          <cell r="CO278">
            <v>100384.1</v>
          </cell>
          <cell r="CP278">
            <v>106951.61</v>
          </cell>
          <cell r="CQ278">
            <v>108243.06</v>
          </cell>
          <cell r="CR278">
            <v>107194.5</v>
          </cell>
          <cell r="CS278">
            <v>104944.11</v>
          </cell>
          <cell r="CT278">
            <v>109406.43</v>
          </cell>
          <cell r="CU278">
            <v>109275.24</v>
          </cell>
          <cell r="CV278">
            <v>110528.94</v>
          </cell>
          <cell r="CW278">
            <v>156738.12</v>
          </cell>
          <cell r="CX278">
            <v>158887.78</v>
          </cell>
          <cell r="CY278">
            <v>160323.44</v>
          </cell>
          <cell r="CZ278">
            <v>160418.29</v>
          </cell>
          <cell r="DA278">
            <v>152162.62</v>
          </cell>
          <cell r="DB278">
            <v>150702.63</v>
          </cell>
          <cell r="DC278">
            <v>160183.23000000001</v>
          </cell>
          <cell r="DD278">
            <v>159354.13</v>
          </cell>
          <cell r="DE278">
            <v>160268.32999999999</v>
          </cell>
          <cell r="DF278">
            <v>159472.07</v>
          </cell>
          <cell r="DG278">
            <v>160419.47</v>
          </cell>
          <cell r="DH278">
            <v>160367.88</v>
          </cell>
        </row>
        <row r="279">
          <cell r="A279">
            <v>2410305</v>
          </cell>
          <cell r="B279">
            <v>2410305</v>
          </cell>
          <cell r="C279" t="str">
            <v>Sales Surtax Pay AP</v>
          </cell>
          <cell r="D279">
            <v>-777.26</v>
          </cell>
          <cell r="E279">
            <v>-625.29999999999995</v>
          </cell>
          <cell r="F279">
            <v>-1004.13</v>
          </cell>
          <cell r="G279">
            <v>-840.44</v>
          </cell>
          <cell r="H279">
            <v>-768.4</v>
          </cell>
          <cell r="I279">
            <v>-554.46</v>
          </cell>
          <cell r="J279">
            <v>-1033.68</v>
          </cell>
          <cell r="K279">
            <v>-1419.25</v>
          </cell>
          <cell r="L279">
            <v>-769.73</v>
          </cell>
          <cell r="M279">
            <v>-761.53</v>
          </cell>
          <cell r="N279">
            <v>-1274</v>
          </cell>
          <cell r="O279">
            <v>-490.22</v>
          </cell>
          <cell r="P279">
            <v>-1117.07</v>
          </cell>
          <cell r="Q279">
            <v>-833.52</v>
          </cell>
          <cell r="R279">
            <v>-618.49</v>
          </cell>
          <cell r="S279">
            <v>-1029.05</v>
          </cell>
          <cell r="T279">
            <v>-832.95</v>
          </cell>
          <cell r="U279">
            <v>-593.79</v>
          </cell>
          <cell r="V279">
            <v>-789.58</v>
          </cell>
          <cell r="W279">
            <v>-1151.5899999999999</v>
          </cell>
          <cell r="X279">
            <v>-452.7</v>
          </cell>
          <cell r="Y279">
            <v>-940.21</v>
          </cell>
          <cell r="Z279">
            <v>-976.8</v>
          </cell>
          <cell r="AA279">
            <v>-2072.61</v>
          </cell>
          <cell r="AB279">
            <v>-885.75</v>
          </cell>
          <cell r="AC279">
            <v>-913.75</v>
          </cell>
          <cell r="AD279">
            <v>-685.75</v>
          </cell>
          <cell r="AE279">
            <v>-1576.18</v>
          </cell>
          <cell r="AF279">
            <v>-1820.99</v>
          </cell>
          <cell r="AG279">
            <v>-667.48</v>
          </cell>
          <cell r="AH279">
            <v>-1555.43</v>
          </cell>
          <cell r="AI279">
            <v>-773.77</v>
          </cell>
          <cell r="AJ279">
            <v>-1080.1500000000001</v>
          </cell>
          <cell r="AK279">
            <v>-1583.04</v>
          </cell>
          <cell r="AL279">
            <v>-2612.29</v>
          </cell>
          <cell r="AM279">
            <v>-1972.28</v>
          </cell>
          <cell r="AN279">
            <v>-3015.72</v>
          </cell>
          <cell r="AO279">
            <v>-637.22</v>
          </cell>
          <cell r="AP279">
            <v>-1893.27</v>
          </cell>
          <cell r="AQ279">
            <v>-1203.74</v>
          </cell>
          <cell r="AR279">
            <v>-1257.3399999999999</v>
          </cell>
          <cell r="AS279">
            <v>-2418.12</v>
          </cell>
          <cell r="AT279">
            <v>-1041.5999999999999</v>
          </cell>
          <cell r="AU279">
            <v>-908.12</v>
          </cell>
          <cell r="AV279">
            <v>-1109.1099999999999</v>
          </cell>
          <cell r="AW279">
            <v>-1228.4100000000001</v>
          </cell>
          <cell r="AX279">
            <v>-1612.83</v>
          </cell>
          <cell r="AY279">
            <v>-1028.56</v>
          </cell>
          <cell r="AZ279">
            <v>-1321.9</v>
          </cell>
          <cell r="BA279">
            <v>-915.21</v>
          </cell>
          <cell r="BB279">
            <v>-739.03</v>
          </cell>
          <cell r="BC279">
            <v>-1065.3599999999999</v>
          </cell>
          <cell r="BD279">
            <v>-493.35</v>
          </cell>
          <cell r="BE279">
            <v>-1441</v>
          </cell>
          <cell r="BF279">
            <v>-1408.6</v>
          </cell>
          <cell r="BG279">
            <v>-618.16</v>
          </cell>
          <cell r="BH279">
            <v>-849.03</v>
          </cell>
          <cell r="BI279">
            <v>-501.88</v>
          </cell>
          <cell r="BJ279">
            <v>-303.74</v>
          </cell>
          <cell r="BK279">
            <v>-507.97</v>
          </cell>
          <cell r="BL279">
            <v>-1744.34</v>
          </cell>
          <cell r="BM279">
            <v>-1507.29</v>
          </cell>
          <cell r="BN279">
            <v>-1827.45</v>
          </cell>
          <cell r="BO279">
            <v>-1133.6500000000001</v>
          </cell>
          <cell r="BP279">
            <v>-720.05</v>
          </cell>
          <cell r="BQ279">
            <v>-1555.92</v>
          </cell>
          <cell r="BR279">
            <v>-2024.93</v>
          </cell>
          <cell r="BS279">
            <v>-1589.92</v>
          </cell>
          <cell r="BT279">
            <v>-2756.45</v>
          </cell>
          <cell r="BU279">
            <v>-1181.1300000000001</v>
          </cell>
          <cell r="BV279">
            <v>-2836.98</v>
          </cell>
          <cell r="BW279">
            <v>-942.23</v>
          </cell>
          <cell r="BX279">
            <v>-2045.61</v>
          </cell>
          <cell r="BY279">
            <v>-672.7</v>
          </cell>
          <cell r="BZ279">
            <v>-1041.8</v>
          </cell>
          <cell r="CA279">
            <v>-1909.29</v>
          </cell>
          <cell r="CB279">
            <v>-281.52999999999997</v>
          </cell>
          <cell r="CC279">
            <v>-1442.17</v>
          </cell>
          <cell r="CD279">
            <v>-871.98</v>
          </cell>
          <cell r="CE279">
            <v>-509.92</v>
          </cell>
          <cell r="CF279">
            <v>-400.69</v>
          </cell>
          <cell r="CG279">
            <v>-611.38</v>
          </cell>
          <cell r="CH279">
            <v>-484.04</v>
          </cell>
          <cell r="CI279">
            <v>-103.4</v>
          </cell>
          <cell r="CJ279">
            <v>-476.48</v>
          </cell>
          <cell r="CK279">
            <v>-1223.51</v>
          </cell>
          <cell r="CL279">
            <v>-1298.33</v>
          </cell>
          <cell r="CM279">
            <v>-94.17</v>
          </cell>
          <cell r="CN279">
            <v>-567.76</v>
          </cell>
          <cell r="CO279">
            <v>-1713.04</v>
          </cell>
          <cell r="CP279">
            <v>-340.73</v>
          </cell>
          <cell r="CQ279">
            <v>-332.99</v>
          </cell>
          <cell r="CR279">
            <v>-535.25</v>
          </cell>
          <cell r="CS279">
            <v>-1028.44</v>
          </cell>
          <cell r="CT279">
            <v>-190.28</v>
          </cell>
          <cell r="CU279">
            <v>-236.66</v>
          </cell>
          <cell r="CV279">
            <v>-52.54</v>
          </cell>
          <cell r="CW279">
            <v>-201.16</v>
          </cell>
          <cell r="CX279">
            <v>-401.67</v>
          </cell>
          <cell r="CY279">
            <v>-119.19</v>
          </cell>
          <cell r="CZ279">
            <v>-103.42</v>
          </cell>
          <cell r="DA279">
            <v>-1492.62</v>
          </cell>
          <cell r="DB279">
            <v>-2401.35</v>
          </cell>
          <cell r="DC279">
            <v>-136.94</v>
          </cell>
          <cell r="DD279">
            <v>-180.65</v>
          </cell>
          <cell r="DE279">
            <v>-116.55</v>
          </cell>
          <cell r="DF279">
            <v>-321.04000000000002</v>
          </cell>
          <cell r="DG279">
            <v>-96.09</v>
          </cell>
          <cell r="DH279">
            <v>-117.66</v>
          </cell>
        </row>
        <row r="280">
          <cell r="A280">
            <v>2410310</v>
          </cell>
          <cell r="B280">
            <v>2410310</v>
          </cell>
          <cell r="C280" t="str">
            <v>Utility Tax Pay</v>
          </cell>
          <cell r="D280">
            <v>-542392.98</v>
          </cell>
          <cell r="E280">
            <v>-678199.9</v>
          </cell>
          <cell r="F280">
            <v>-704640.93</v>
          </cell>
          <cell r="G280">
            <v>-606297.94999999995</v>
          </cell>
          <cell r="H280">
            <v>-567480.93000000005</v>
          </cell>
          <cell r="I280">
            <v>-491443.08</v>
          </cell>
          <cell r="J280">
            <v>-507300.9</v>
          </cell>
          <cell r="K280">
            <v>-474832.81</v>
          </cell>
          <cell r="L280">
            <v>-456317.76</v>
          </cell>
          <cell r="M280">
            <v>-469837.61</v>
          </cell>
          <cell r="N280">
            <v>-473737.69</v>
          </cell>
          <cell r="O280">
            <v>-512637.74</v>
          </cell>
          <cell r="P280">
            <v>-605889.87</v>
          </cell>
          <cell r="Q280">
            <v>-663021.87</v>
          </cell>
          <cell r="R280">
            <v>-689491.17</v>
          </cell>
          <cell r="S280">
            <v>-655810.24</v>
          </cell>
          <cell r="T280">
            <v>-547773.07999999996</v>
          </cell>
          <cell r="U280">
            <v>-489320.45</v>
          </cell>
          <cell r="V280">
            <v>-496516.37</v>
          </cell>
          <cell r="W280">
            <v>-474977.78</v>
          </cell>
          <cell r="X280">
            <v>-475418.74</v>
          </cell>
          <cell r="Y280">
            <v>-469884.61</v>
          </cell>
          <cell r="Z280">
            <v>-474953.31</v>
          </cell>
          <cell r="AA280">
            <v>-536871.6</v>
          </cell>
          <cell r="AB280">
            <v>-503945.4</v>
          </cell>
          <cell r="AC280">
            <v>-620992.07999999996</v>
          </cell>
          <cell r="AD280">
            <v>-679960.58</v>
          </cell>
          <cell r="AE280">
            <v>-610971.85</v>
          </cell>
          <cell r="AF280">
            <v>-557247.1</v>
          </cell>
          <cell r="AG280">
            <v>-510814.34</v>
          </cell>
          <cell r="AH280">
            <v>-482258.93</v>
          </cell>
          <cell r="AI280">
            <v>-456056.77</v>
          </cell>
          <cell r="AJ280">
            <v>-452052.07</v>
          </cell>
          <cell r="AK280">
            <v>-458733.97</v>
          </cell>
          <cell r="AL280">
            <v>-457940.38</v>
          </cell>
          <cell r="AM280">
            <v>-492684.15</v>
          </cell>
          <cell r="AN280">
            <v>-553755.96</v>
          </cell>
          <cell r="AO280">
            <v>-609008.6</v>
          </cell>
          <cell r="AP280">
            <v>-599429.57999999996</v>
          </cell>
          <cell r="AQ280">
            <v>-570708.52</v>
          </cell>
          <cell r="AR280">
            <v>-561722.52</v>
          </cell>
          <cell r="AS280">
            <v>-531060.26</v>
          </cell>
          <cell r="AT280">
            <v>-495334.31</v>
          </cell>
          <cell r="AU280">
            <v>-472143.13</v>
          </cell>
          <cell r="AV280">
            <v>-474544.38</v>
          </cell>
          <cell r="AW280">
            <v>-478934.95</v>
          </cell>
          <cell r="AX280">
            <v>-480143.37</v>
          </cell>
          <cell r="AY280">
            <v>-520964.91</v>
          </cell>
          <cell r="AZ280">
            <v>-586685.89</v>
          </cell>
          <cell r="BA280">
            <v>-772605.89</v>
          </cell>
          <cell r="BB280">
            <v>-712404.27</v>
          </cell>
          <cell r="BC280">
            <v>-611026.55000000005</v>
          </cell>
          <cell r="BD280">
            <v>-619917.13</v>
          </cell>
          <cell r="BE280">
            <v>-551982.21</v>
          </cell>
          <cell r="BF280">
            <v>-554212.87</v>
          </cell>
          <cell r="BG280">
            <v>-514523.65</v>
          </cell>
          <cell r="BH280">
            <v>-490971.46</v>
          </cell>
          <cell r="BI280">
            <v>-512414.34</v>
          </cell>
          <cell r="BJ280">
            <v>-497637.84</v>
          </cell>
          <cell r="BK280">
            <v>-515649.91</v>
          </cell>
          <cell r="BL280">
            <v>-636824.75</v>
          </cell>
          <cell r="BM280">
            <v>-700557.82</v>
          </cell>
          <cell r="BN280">
            <v>-706111.81</v>
          </cell>
          <cell r="BO280">
            <v>-618934.13</v>
          </cell>
          <cell r="BP280">
            <v>-663539.47</v>
          </cell>
          <cell r="BQ280">
            <v>-550794.46</v>
          </cell>
          <cell r="BR280">
            <v>-474301.13</v>
          </cell>
          <cell r="BS280">
            <v>-418580.15</v>
          </cell>
          <cell r="BT280">
            <v>-457468.46</v>
          </cell>
          <cell r="BU280">
            <v>-386761.47</v>
          </cell>
          <cell r="BV280">
            <v>-432930.49</v>
          </cell>
          <cell r="BW280">
            <v>-501740.18</v>
          </cell>
          <cell r="BX280">
            <v>-678622.24</v>
          </cell>
          <cell r="BY280">
            <v>-698280.48</v>
          </cell>
          <cell r="BZ280">
            <v>-693121.89</v>
          </cell>
          <cell r="CA280">
            <v>-671310.8</v>
          </cell>
          <cell r="CB280">
            <v>-614010.65</v>
          </cell>
          <cell r="CC280">
            <v>-581147.82999999996</v>
          </cell>
          <cell r="CD280">
            <v>-542762.18000000005</v>
          </cell>
          <cell r="CE280">
            <v>-534973.47</v>
          </cell>
          <cell r="CF280">
            <v>-533139.57999999996</v>
          </cell>
          <cell r="CG280">
            <v>-505920.02</v>
          </cell>
          <cell r="CH280">
            <v>-511080.81</v>
          </cell>
          <cell r="CI280">
            <v>-568805.32999999996</v>
          </cell>
          <cell r="CJ280">
            <v>-650483.44999999995</v>
          </cell>
          <cell r="CK280">
            <v>-894971.47</v>
          </cell>
          <cell r="CL280">
            <v>-938242.02</v>
          </cell>
          <cell r="CM280">
            <v>-781279.02</v>
          </cell>
          <cell r="CN280">
            <v>-779951.15</v>
          </cell>
          <cell r="CO280">
            <v>-703198.35</v>
          </cell>
          <cell r="CP280">
            <v>-670080.13</v>
          </cell>
          <cell r="CQ280">
            <v>-661277.42000000004</v>
          </cell>
          <cell r="CR280">
            <v>-641864.15</v>
          </cell>
          <cell r="CS280">
            <v>-664611.75</v>
          </cell>
          <cell r="CT280">
            <v>-640175.91</v>
          </cell>
          <cell r="CU280">
            <v>-706933.98</v>
          </cell>
          <cell r="CV280">
            <v>-813263.62</v>
          </cell>
          <cell r="CW280">
            <v>-881265.14</v>
          </cell>
          <cell r="CX280">
            <v>-998729.98</v>
          </cell>
          <cell r="CY280">
            <v>-849043.82</v>
          </cell>
          <cell r="CZ280">
            <v>-799040.97</v>
          </cell>
          <cell r="DA280">
            <v>-754376.93</v>
          </cell>
          <cell r="DB280">
            <v>-730575.12</v>
          </cell>
          <cell r="DC280">
            <v>-659670.26</v>
          </cell>
          <cell r="DD280">
            <v>-681686.24</v>
          </cell>
          <cell r="DE280">
            <v>-696897.32</v>
          </cell>
          <cell r="DF280">
            <v>-729615.23</v>
          </cell>
          <cell r="DG280">
            <v>-739959</v>
          </cell>
          <cell r="DH280">
            <v>-819818.6</v>
          </cell>
        </row>
        <row r="281">
          <cell r="A281">
            <v>2410320</v>
          </cell>
          <cell r="B281">
            <v>2410320</v>
          </cell>
          <cell r="C281" t="str">
            <v>FICA Tax Pay Emplyee</v>
          </cell>
          <cell r="D281">
            <v>-89.55</v>
          </cell>
          <cell r="E281">
            <v>-239732.56</v>
          </cell>
          <cell r="F281">
            <v>-89.55</v>
          </cell>
          <cell r="G281">
            <v>-89.55</v>
          </cell>
          <cell r="H281">
            <v>-89.55</v>
          </cell>
          <cell r="I281">
            <v>-89.55</v>
          </cell>
          <cell r="J281">
            <v>-89.55</v>
          </cell>
          <cell r="K281">
            <v>-89.55</v>
          </cell>
          <cell r="L281">
            <v>-89.55</v>
          </cell>
          <cell r="M281">
            <v>-89.55</v>
          </cell>
          <cell r="N281">
            <v>-89.55</v>
          </cell>
          <cell r="O281">
            <v>-89.55</v>
          </cell>
          <cell r="P281">
            <v>-89.55</v>
          </cell>
          <cell r="Q281">
            <v>-89.55</v>
          </cell>
          <cell r="R281">
            <v>-89.55</v>
          </cell>
          <cell r="S281">
            <v>-89.55</v>
          </cell>
          <cell r="T281">
            <v>-95838.02</v>
          </cell>
          <cell r="U281">
            <v>-90430.6</v>
          </cell>
          <cell r="V281">
            <v>-89.55</v>
          </cell>
          <cell r="W281">
            <v>-89.55</v>
          </cell>
          <cell r="X281">
            <v>-89.55</v>
          </cell>
          <cell r="Y281">
            <v>-89.55</v>
          </cell>
          <cell r="Z281">
            <v>-89.55</v>
          </cell>
          <cell r="AA281">
            <v>-89.55</v>
          </cell>
          <cell r="AB281">
            <v>-89.55</v>
          </cell>
          <cell r="AC281">
            <v>-89.55</v>
          </cell>
          <cell r="AD281">
            <v>-89.55</v>
          </cell>
          <cell r="AE281">
            <v>-89.55</v>
          </cell>
          <cell r="AF281">
            <v>-89.55</v>
          </cell>
          <cell r="AG281">
            <v>-89.55</v>
          </cell>
          <cell r="AH281">
            <v>-89.55</v>
          </cell>
          <cell r="AI281">
            <v>-89.55</v>
          </cell>
          <cell r="AJ281">
            <v>-89.55</v>
          </cell>
          <cell r="AK281">
            <v>-89.55</v>
          </cell>
          <cell r="AL281">
            <v>-89.55</v>
          </cell>
          <cell r="AM281">
            <v>-92.99</v>
          </cell>
          <cell r="AN281">
            <v>-89.55</v>
          </cell>
          <cell r="AO281">
            <v>-89.55</v>
          </cell>
          <cell r="AP281">
            <v>-89.55</v>
          </cell>
          <cell r="AQ281">
            <v>-8024.55</v>
          </cell>
          <cell r="AR281">
            <v>-8024.55</v>
          </cell>
          <cell r="AS281">
            <v>-89.55</v>
          </cell>
          <cell r="AT281">
            <v>-10072.799999999999</v>
          </cell>
          <cell r="AU281">
            <v>-10072.799999999999</v>
          </cell>
          <cell r="AV281">
            <v>-119997.35</v>
          </cell>
          <cell r="AW281">
            <v>-10072.799999999999</v>
          </cell>
          <cell r="AX281">
            <v>-10072.799999999999</v>
          </cell>
          <cell r="AY281">
            <v>-9983.25</v>
          </cell>
          <cell r="AZ281">
            <v>-9983.25</v>
          </cell>
          <cell r="BA281">
            <v>0</v>
          </cell>
          <cell r="BB281">
            <v>0</v>
          </cell>
          <cell r="BC281">
            <v>435.9</v>
          </cell>
          <cell r="BD281">
            <v>435.9</v>
          </cell>
          <cell r="BE281">
            <v>0</v>
          </cell>
          <cell r="BF281">
            <v>0</v>
          </cell>
          <cell r="BG281">
            <v>0</v>
          </cell>
          <cell r="BH281">
            <v>0</v>
          </cell>
          <cell r="BI281">
            <v>0</v>
          </cell>
          <cell r="BJ281">
            <v>0</v>
          </cell>
          <cell r="BK281">
            <v>0</v>
          </cell>
          <cell r="BL281">
            <v>0</v>
          </cell>
          <cell r="BM281">
            <v>-125858.37</v>
          </cell>
          <cell r="BN281">
            <v>-118777.73</v>
          </cell>
          <cell r="BO281">
            <v>0</v>
          </cell>
          <cell r="BP281">
            <v>0</v>
          </cell>
          <cell r="BQ281">
            <v>0</v>
          </cell>
          <cell r="BR281">
            <v>0</v>
          </cell>
          <cell r="BS281">
            <v>0</v>
          </cell>
          <cell r="BT281">
            <v>0</v>
          </cell>
          <cell r="BU281">
            <v>0</v>
          </cell>
          <cell r="BV281">
            <v>0</v>
          </cell>
          <cell r="BW281">
            <v>0</v>
          </cell>
          <cell r="BX281">
            <v>0</v>
          </cell>
          <cell r="BY281">
            <v>-87.39</v>
          </cell>
          <cell r="BZ281">
            <v>-10236.299999999999</v>
          </cell>
          <cell r="CA281">
            <v>0</v>
          </cell>
          <cell r="CB281">
            <v>0</v>
          </cell>
          <cell r="CC281">
            <v>-199.1</v>
          </cell>
          <cell r="CD281">
            <v>-188.4</v>
          </cell>
          <cell r="CE281">
            <v>-188.4</v>
          </cell>
          <cell r="CF281">
            <v>-188.4</v>
          </cell>
          <cell r="CG281">
            <v>-188.4</v>
          </cell>
          <cell r="CH281">
            <v>-188.4</v>
          </cell>
          <cell r="CI281">
            <v>-189.36</v>
          </cell>
          <cell r="CJ281">
            <v>-131226.32999999999</v>
          </cell>
          <cell r="CK281">
            <v>-188.4</v>
          </cell>
          <cell r="CL281">
            <v>-188.4</v>
          </cell>
          <cell r="CM281">
            <v>-188.4</v>
          </cell>
          <cell r="CN281">
            <v>-188.4</v>
          </cell>
          <cell r="CO281">
            <v>-833.03</v>
          </cell>
          <cell r="CP281">
            <v>-163.16</v>
          </cell>
          <cell r="CQ281">
            <v>-163.16</v>
          </cell>
          <cell r="CR281">
            <v>-615.85</v>
          </cell>
          <cell r="CS281">
            <v>-362.21</v>
          </cell>
          <cell r="CT281">
            <v>-362.21</v>
          </cell>
          <cell r="CU281">
            <v>-362.21</v>
          </cell>
          <cell r="CV281">
            <v>-362.21</v>
          </cell>
          <cell r="CW281">
            <v>-809.09</v>
          </cell>
          <cell r="CX281">
            <v>-362.21</v>
          </cell>
          <cell r="CY281">
            <v>-362.21</v>
          </cell>
          <cell r="CZ281">
            <v>-3363.59</v>
          </cell>
          <cell r="DA281">
            <v>-443.58</v>
          </cell>
          <cell r="DB281">
            <v>-164073.1</v>
          </cell>
          <cell r="DC281">
            <v>-156612.03</v>
          </cell>
          <cell r="DD281">
            <v>805.39</v>
          </cell>
          <cell r="DE281">
            <v>953.88</v>
          </cell>
          <cell r="DF281">
            <v>666.59</v>
          </cell>
          <cell r="DG281">
            <v>738.11</v>
          </cell>
          <cell r="DH281">
            <v>-9049.93</v>
          </cell>
        </row>
        <row r="282">
          <cell r="A282">
            <v>2410330</v>
          </cell>
          <cell r="B282">
            <v>2410330</v>
          </cell>
          <cell r="C282" t="str">
            <v>FIT Withholding Pay</v>
          </cell>
          <cell r="D282">
            <v>-1337.13</v>
          </cell>
          <cell r="E282">
            <v>-736443.68</v>
          </cell>
          <cell r="F282">
            <v>-1337.13</v>
          </cell>
          <cell r="G282">
            <v>-1337.13</v>
          </cell>
          <cell r="H282">
            <v>-1337.13</v>
          </cell>
          <cell r="I282">
            <v>-1337.13</v>
          </cell>
          <cell r="J282">
            <v>-1337.13</v>
          </cell>
          <cell r="K282">
            <v>-1337.13</v>
          </cell>
          <cell r="L282">
            <v>-1337.13</v>
          </cell>
          <cell r="M282">
            <v>-1337.13</v>
          </cell>
          <cell r="N282">
            <v>-1337.13</v>
          </cell>
          <cell r="O282">
            <v>-1337.13</v>
          </cell>
          <cell r="P282">
            <v>-1337.13</v>
          </cell>
          <cell r="Q282">
            <v>-1337.13</v>
          </cell>
          <cell r="R282">
            <v>-1337.13</v>
          </cell>
          <cell r="S282">
            <v>-1337.13</v>
          </cell>
          <cell r="T282">
            <v>-155626.78</v>
          </cell>
          <cell r="U282">
            <v>-145126.96</v>
          </cell>
          <cell r="V282">
            <v>-1337.13</v>
          </cell>
          <cell r="W282">
            <v>-1337.13</v>
          </cell>
          <cell r="X282">
            <v>-1337.13</v>
          </cell>
          <cell r="Y282">
            <v>-1337.13</v>
          </cell>
          <cell r="Z282">
            <v>-1337.13</v>
          </cell>
          <cell r="AA282">
            <v>-1337.13</v>
          </cell>
          <cell r="AB282">
            <v>-1337.13</v>
          </cell>
          <cell r="AC282">
            <v>-1337.13</v>
          </cell>
          <cell r="AD282">
            <v>-1337.13</v>
          </cell>
          <cell r="AE282">
            <v>-1337.13</v>
          </cell>
          <cell r="AF282">
            <v>-1337.13</v>
          </cell>
          <cell r="AG282">
            <v>-1337.13</v>
          </cell>
          <cell r="AH282">
            <v>-1337.13</v>
          </cell>
          <cell r="AI282">
            <v>-1337.13</v>
          </cell>
          <cell r="AJ282">
            <v>-1337.13</v>
          </cell>
          <cell r="AK282">
            <v>-1337.13</v>
          </cell>
          <cell r="AL282">
            <v>-1337.13</v>
          </cell>
          <cell r="AM282">
            <v>-1337.13</v>
          </cell>
          <cell r="AN282">
            <v>-1337.13</v>
          </cell>
          <cell r="AO282">
            <v>-1337.13</v>
          </cell>
          <cell r="AP282">
            <v>-1337.13</v>
          </cell>
          <cell r="AQ282">
            <v>-25185.41</v>
          </cell>
          <cell r="AR282">
            <v>-25185.41</v>
          </cell>
          <cell r="AS282">
            <v>-25185.41</v>
          </cell>
          <cell r="AT282">
            <v>-25185.41</v>
          </cell>
          <cell r="AU282">
            <v>-1337.13</v>
          </cell>
          <cell r="AV282">
            <v>-195536.44</v>
          </cell>
          <cell r="AW282">
            <v>-1337.13</v>
          </cell>
          <cell r="AX282">
            <v>-1337.13</v>
          </cell>
          <cell r="AY282">
            <v>0</v>
          </cell>
          <cell r="AZ282">
            <v>0</v>
          </cell>
          <cell r="BA282">
            <v>0</v>
          </cell>
          <cell r="BB282">
            <v>0</v>
          </cell>
          <cell r="BC282">
            <v>1002.86</v>
          </cell>
          <cell r="BD282">
            <v>1002.86</v>
          </cell>
          <cell r="BE282">
            <v>0</v>
          </cell>
          <cell r="BF282">
            <v>0</v>
          </cell>
          <cell r="BG282">
            <v>0</v>
          </cell>
          <cell r="BH282">
            <v>0</v>
          </cell>
          <cell r="BI282">
            <v>333.33</v>
          </cell>
          <cell r="BJ282">
            <v>5.49</v>
          </cell>
          <cell r="BK282">
            <v>333.33</v>
          </cell>
          <cell r="BL282">
            <v>333.33</v>
          </cell>
          <cell r="BM282">
            <v>-181558.7</v>
          </cell>
          <cell r="BN282">
            <v>-170753.68</v>
          </cell>
          <cell r="BO282">
            <v>333.33</v>
          </cell>
          <cell r="BP282">
            <v>333.33</v>
          </cell>
          <cell r="BQ282">
            <v>333.33</v>
          </cell>
          <cell r="BR282">
            <v>333.33</v>
          </cell>
          <cell r="BS282">
            <v>333.33</v>
          </cell>
          <cell r="BT282">
            <v>333.33</v>
          </cell>
          <cell r="BU282">
            <v>333.33</v>
          </cell>
          <cell r="BV282">
            <v>333.33</v>
          </cell>
          <cell r="BW282">
            <v>333.33</v>
          </cell>
          <cell r="BX282">
            <v>333.33</v>
          </cell>
          <cell r="BY282">
            <v>207.82</v>
          </cell>
          <cell r="BZ282">
            <v>-29104.43</v>
          </cell>
          <cell r="CA282">
            <v>333.33</v>
          </cell>
          <cell r="CB282">
            <v>333.33</v>
          </cell>
          <cell r="CC282">
            <v>-28.1</v>
          </cell>
          <cell r="CD282">
            <v>333.33</v>
          </cell>
          <cell r="CE282">
            <v>333.33</v>
          </cell>
          <cell r="CF282">
            <v>333.33</v>
          </cell>
          <cell r="CG282">
            <v>333.33</v>
          </cell>
          <cell r="CH282">
            <v>333.33</v>
          </cell>
          <cell r="CI282">
            <v>333.33</v>
          </cell>
          <cell r="CJ282">
            <v>-215923.88</v>
          </cell>
          <cell r="CK282">
            <v>333.33</v>
          </cell>
          <cell r="CL282">
            <v>333.33</v>
          </cell>
          <cell r="CM282">
            <v>333.33</v>
          </cell>
          <cell r="CN282">
            <v>562.76</v>
          </cell>
          <cell r="CO282">
            <v>-1861.49</v>
          </cell>
          <cell r="CP282">
            <v>578.65</v>
          </cell>
          <cell r="CQ282">
            <v>578.65</v>
          </cell>
          <cell r="CR282">
            <v>29.13</v>
          </cell>
          <cell r="CS282">
            <v>273.89</v>
          </cell>
          <cell r="CT282">
            <v>273.89</v>
          </cell>
          <cell r="CU282">
            <v>273.89</v>
          </cell>
          <cell r="CV282">
            <v>273.89</v>
          </cell>
          <cell r="CW282">
            <v>-465.16</v>
          </cell>
          <cell r="CX282">
            <v>273.89</v>
          </cell>
          <cell r="CY282">
            <v>273.89</v>
          </cell>
          <cell r="CZ282">
            <v>-7374.84</v>
          </cell>
          <cell r="DA282">
            <v>132.74</v>
          </cell>
          <cell r="DB282">
            <v>-245713.63</v>
          </cell>
          <cell r="DC282">
            <v>-227833.37</v>
          </cell>
          <cell r="DD282">
            <v>3113.69</v>
          </cell>
          <cell r="DE282">
            <v>3331.65</v>
          </cell>
          <cell r="DF282">
            <v>3106.51</v>
          </cell>
          <cell r="DG282">
            <v>3239.74</v>
          </cell>
          <cell r="DH282">
            <v>-2169.04</v>
          </cell>
        </row>
        <row r="283">
          <cell r="A283">
            <v>2410430</v>
          </cell>
          <cell r="B283">
            <v>2410430</v>
          </cell>
          <cell r="C283" t="str">
            <v>SIT Withholding Pay</v>
          </cell>
          <cell r="D283"/>
          <cell r="E283"/>
          <cell r="F283"/>
          <cell r="G283"/>
          <cell r="H283"/>
          <cell r="I283"/>
          <cell r="J283"/>
          <cell r="K283"/>
          <cell r="L283"/>
          <cell r="M283"/>
          <cell r="N283"/>
          <cell r="O283"/>
          <cell r="P283"/>
          <cell r="Q283"/>
          <cell r="R283"/>
          <cell r="S283"/>
          <cell r="T283"/>
          <cell r="U283"/>
          <cell r="V283"/>
          <cell r="W283"/>
          <cell r="X283"/>
          <cell r="Y283"/>
          <cell r="Z283"/>
          <cell r="AA283">
            <v>0</v>
          </cell>
          <cell r="AB283">
            <v>-500.78</v>
          </cell>
          <cell r="AC283"/>
          <cell r="AD283"/>
          <cell r="AE283"/>
          <cell r="AF283"/>
          <cell r="AG283"/>
          <cell r="AH283"/>
          <cell r="AI283"/>
          <cell r="AJ283"/>
          <cell r="AK283"/>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-154.80000000000001</v>
          </cell>
          <cell r="CK283">
            <v>-463.56</v>
          </cell>
          <cell r="CL283">
            <v>-463.56</v>
          </cell>
          <cell r="CM283">
            <v>-1445.44</v>
          </cell>
          <cell r="CN283">
            <v>-462.98</v>
          </cell>
          <cell r="CO283">
            <v>324.24</v>
          </cell>
          <cell r="CP283">
            <v>324.24</v>
          </cell>
          <cell r="CQ283">
            <v>324.24</v>
          </cell>
          <cell r="CR283">
            <v>324.24</v>
          </cell>
          <cell r="CS283">
            <v>324.24</v>
          </cell>
          <cell r="CT283">
            <v>324.24</v>
          </cell>
          <cell r="CU283">
            <v>324.24</v>
          </cell>
          <cell r="CV283">
            <v>324.24</v>
          </cell>
          <cell r="CW283">
            <v>324.24</v>
          </cell>
          <cell r="CX283">
            <v>324.24</v>
          </cell>
          <cell r="CY283">
            <v>324.24</v>
          </cell>
          <cell r="CZ283">
            <v>-1120.76</v>
          </cell>
          <cell r="DA283">
            <v>-1450.76</v>
          </cell>
          <cell r="DB283">
            <v>-2445.06</v>
          </cell>
          <cell r="DC283">
            <v>-3630</v>
          </cell>
          <cell r="DD283">
            <v>-1674.63</v>
          </cell>
          <cell r="DE283">
            <v>-2512.4699999999998</v>
          </cell>
          <cell r="DF283">
            <v>-894.32</v>
          </cell>
          <cell r="DG283">
            <v>-2072.2399999999998</v>
          </cell>
          <cell r="DH283">
            <v>-4010.59</v>
          </cell>
        </row>
        <row r="284">
          <cell r="A284">
            <v>2420111</v>
          </cell>
          <cell r="B284">
            <v>2420111</v>
          </cell>
          <cell r="C284" t="str">
            <v>SERP FAS158 C</v>
          </cell>
          <cell r="D284">
            <v>-777018</v>
          </cell>
          <cell r="E284">
            <v>-777018</v>
          </cell>
          <cell r="F284">
            <v>-777018</v>
          </cell>
          <cell r="G284">
            <v>-777018</v>
          </cell>
          <cell r="H284">
            <v>-777018</v>
          </cell>
          <cell r="I284">
            <v>-777018</v>
          </cell>
          <cell r="J284">
            <v>-777018</v>
          </cell>
          <cell r="K284">
            <v>-777018</v>
          </cell>
          <cell r="L284">
            <v>-777018</v>
          </cell>
          <cell r="M284">
            <v>-777018</v>
          </cell>
          <cell r="N284">
            <v>-777018</v>
          </cell>
          <cell r="O284">
            <v>-777018</v>
          </cell>
          <cell r="P284">
            <v>-440389</v>
          </cell>
          <cell r="Q284">
            <v>-440389</v>
          </cell>
          <cell r="R284">
            <v>-440389</v>
          </cell>
          <cell r="S284">
            <v>-440389</v>
          </cell>
          <cell r="T284">
            <v>-440389</v>
          </cell>
          <cell r="U284">
            <v>-440389</v>
          </cell>
          <cell r="V284">
            <v>-440389</v>
          </cell>
          <cell r="W284">
            <v>-440389</v>
          </cell>
          <cell r="X284">
            <v>-440389</v>
          </cell>
          <cell r="Y284">
            <v>-440389</v>
          </cell>
          <cell r="Z284">
            <v>-440389</v>
          </cell>
          <cell r="AA284">
            <v>-450241</v>
          </cell>
          <cell r="AB284">
            <v>-440389</v>
          </cell>
          <cell r="AC284">
            <v>-450241</v>
          </cell>
          <cell r="AD284">
            <v>-450241</v>
          </cell>
          <cell r="AE284">
            <v>-450241</v>
          </cell>
          <cell r="AF284">
            <v>-450241</v>
          </cell>
          <cell r="AG284">
            <v>-450241</v>
          </cell>
          <cell r="AH284">
            <v>-450241</v>
          </cell>
          <cell r="AI284">
            <v>-450241</v>
          </cell>
          <cell r="AJ284">
            <v>-450241</v>
          </cell>
          <cell r="AK284">
            <v>-450241</v>
          </cell>
          <cell r="AL284">
            <v>-450241</v>
          </cell>
          <cell r="AM284">
            <v>-450241</v>
          </cell>
          <cell r="AN284">
            <v>-388457</v>
          </cell>
          <cell r="AO284">
            <v>-388457</v>
          </cell>
          <cell r="AP284">
            <v>-388457</v>
          </cell>
          <cell r="AQ284">
            <v>-388457</v>
          </cell>
          <cell r="AR284">
            <v>-388457</v>
          </cell>
          <cell r="AS284">
            <v>-388457</v>
          </cell>
          <cell r="AT284">
            <v>-388457</v>
          </cell>
          <cell r="AU284">
            <v>-388457</v>
          </cell>
          <cell r="AV284">
            <v>-388457</v>
          </cell>
          <cell r="AW284">
            <v>-388457</v>
          </cell>
          <cell r="AX284">
            <v>-388457</v>
          </cell>
          <cell r="AY284">
            <v>-388457</v>
          </cell>
          <cell r="AZ284">
            <v>-388457</v>
          </cell>
          <cell r="BA284">
            <v>-388457</v>
          </cell>
          <cell r="BB284">
            <v>-388457</v>
          </cell>
          <cell r="BC284">
            <v>-388457</v>
          </cell>
          <cell r="BD284">
            <v>-388457</v>
          </cell>
          <cell r="BE284">
            <v>-388457</v>
          </cell>
          <cell r="BF284">
            <v>-365962</v>
          </cell>
          <cell r="BG284">
            <v>-365962</v>
          </cell>
          <cell r="BH284">
            <v>-365962</v>
          </cell>
          <cell r="BI284">
            <v>-365962</v>
          </cell>
          <cell r="BJ284">
            <v>-365962</v>
          </cell>
          <cell r="BK284">
            <v>-365962</v>
          </cell>
          <cell r="BL284">
            <v>-259763</v>
          </cell>
          <cell r="BM284">
            <v>-259763</v>
          </cell>
          <cell r="BN284">
            <v>-259763</v>
          </cell>
          <cell r="BO284">
            <v>-259763</v>
          </cell>
          <cell r="BP284">
            <v>-259763</v>
          </cell>
          <cell r="BQ284">
            <v>-259763</v>
          </cell>
          <cell r="BR284">
            <v>-259763</v>
          </cell>
          <cell r="BS284">
            <v>-259763</v>
          </cell>
          <cell r="BT284">
            <v>-259763</v>
          </cell>
          <cell r="BU284">
            <v>-259763</v>
          </cell>
          <cell r="BV284">
            <v>-259763</v>
          </cell>
          <cell r="BW284">
            <v>-259763</v>
          </cell>
          <cell r="BX284">
            <v>-249912</v>
          </cell>
          <cell r="BY284">
            <v>-249912</v>
          </cell>
          <cell r="BZ284">
            <v>-249912</v>
          </cell>
          <cell r="CA284">
            <v>-249912</v>
          </cell>
          <cell r="CB284">
            <v>-249912</v>
          </cell>
          <cell r="CC284">
            <v>-249912</v>
          </cell>
          <cell r="CD284">
            <v>-249912</v>
          </cell>
          <cell r="CE284">
            <v>-249912</v>
          </cell>
          <cell r="CF284">
            <v>-249912</v>
          </cell>
          <cell r="CG284">
            <v>-249912</v>
          </cell>
          <cell r="CH284">
            <v>-249912</v>
          </cell>
          <cell r="CI284">
            <v>-249912</v>
          </cell>
          <cell r="CJ284">
            <v>-249912</v>
          </cell>
          <cell r="CK284">
            <v>-249912</v>
          </cell>
          <cell r="CL284">
            <v>-249912</v>
          </cell>
          <cell r="CM284">
            <v>-249912</v>
          </cell>
          <cell r="CN284">
            <v>-249912</v>
          </cell>
          <cell r="CO284">
            <v>-249912</v>
          </cell>
          <cell r="CP284">
            <v>-249912</v>
          </cell>
          <cell r="CQ284">
            <v>-249912</v>
          </cell>
          <cell r="CR284">
            <v>-249912</v>
          </cell>
          <cell r="CS284">
            <v>-249912</v>
          </cell>
          <cell r="CT284">
            <v>-249912</v>
          </cell>
          <cell r="CU284">
            <v>-249912</v>
          </cell>
          <cell r="CV284">
            <v>-215694</v>
          </cell>
          <cell r="CW284">
            <v>-215694</v>
          </cell>
          <cell r="CX284">
            <v>-215694</v>
          </cell>
          <cell r="CY284">
            <v>-215694</v>
          </cell>
          <cell r="CZ284">
            <v>-215694</v>
          </cell>
          <cell r="DA284">
            <v>-215694</v>
          </cell>
          <cell r="DB284">
            <v>-215694</v>
          </cell>
          <cell r="DC284">
            <v>-215694</v>
          </cell>
          <cell r="DD284">
            <v>-215694</v>
          </cell>
          <cell r="DE284">
            <v>-215694</v>
          </cell>
          <cell r="DF284">
            <v>-215694</v>
          </cell>
          <cell r="DG284">
            <v>-215694</v>
          </cell>
          <cell r="DH284">
            <v>-301237</v>
          </cell>
        </row>
        <row r="285">
          <cell r="A285">
            <v>2420121</v>
          </cell>
          <cell r="B285">
            <v>2420121</v>
          </cell>
          <cell r="C285" t="str">
            <v>Restoration FAS158 C</v>
          </cell>
          <cell r="D285"/>
          <cell r="E285"/>
          <cell r="F285"/>
          <cell r="G285"/>
          <cell r="H285"/>
          <cell r="I285"/>
          <cell r="J285"/>
          <cell r="K285"/>
          <cell r="L285"/>
          <cell r="M285"/>
          <cell r="N285"/>
          <cell r="O285"/>
          <cell r="P285"/>
          <cell r="Q285"/>
          <cell r="R285"/>
          <cell r="S285"/>
          <cell r="T285"/>
          <cell r="U285"/>
          <cell r="V285"/>
          <cell r="W285"/>
          <cell r="X285"/>
          <cell r="Y285"/>
          <cell r="Z285"/>
          <cell r="AA285"/>
          <cell r="AB285"/>
          <cell r="AC285"/>
          <cell r="AD285"/>
          <cell r="AE285"/>
          <cell r="AF285"/>
          <cell r="AG285"/>
          <cell r="AH285"/>
          <cell r="AI285">
            <v>0</v>
          </cell>
          <cell r="AJ285">
            <v>0</v>
          </cell>
          <cell r="AK285">
            <v>-620</v>
          </cell>
          <cell r="AL285">
            <v>-620</v>
          </cell>
          <cell r="AM285">
            <v>-620</v>
          </cell>
          <cell r="AN285">
            <v>-548</v>
          </cell>
          <cell r="AO285">
            <v>-548</v>
          </cell>
          <cell r="AP285">
            <v>-548</v>
          </cell>
          <cell r="AQ285">
            <v>-548</v>
          </cell>
          <cell r="AR285">
            <v>-548</v>
          </cell>
          <cell r="AS285">
            <v>-548</v>
          </cell>
          <cell r="AT285">
            <v>-548</v>
          </cell>
          <cell r="AU285">
            <v>-548</v>
          </cell>
          <cell r="AV285">
            <v>-548</v>
          </cell>
          <cell r="AW285">
            <v>-548</v>
          </cell>
          <cell r="AX285">
            <v>-548</v>
          </cell>
          <cell r="AY285">
            <v>-548</v>
          </cell>
          <cell r="AZ285">
            <v>-4232</v>
          </cell>
          <cell r="BA285">
            <v>-4232</v>
          </cell>
          <cell r="BB285">
            <v>-4232</v>
          </cell>
          <cell r="BC285">
            <v>-4232</v>
          </cell>
          <cell r="BD285">
            <v>-4232</v>
          </cell>
          <cell r="BE285">
            <v>-4232</v>
          </cell>
          <cell r="BF285">
            <v>-4232</v>
          </cell>
          <cell r="BG285">
            <v>-4232</v>
          </cell>
          <cell r="BH285">
            <v>-4232</v>
          </cell>
          <cell r="BI285">
            <v>-4232</v>
          </cell>
          <cell r="BJ285">
            <v>-4232</v>
          </cell>
          <cell r="BK285">
            <v>-4232</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cell r="CI285"/>
          <cell r="CJ285"/>
          <cell r="CK285"/>
          <cell r="CL285"/>
          <cell r="CM285"/>
          <cell r="CN285"/>
          <cell r="CO285"/>
          <cell r="CP285"/>
          <cell r="CQ285">
            <v>0</v>
          </cell>
          <cell r="CR285">
            <v>0</v>
          </cell>
          <cell r="CS285">
            <v>0</v>
          </cell>
          <cell r="CT285">
            <v>0</v>
          </cell>
          <cell r="CU285">
            <v>0</v>
          </cell>
          <cell r="CV285">
            <v>-2003358</v>
          </cell>
          <cell r="CW285">
            <v>-2003358</v>
          </cell>
          <cell r="CX285">
            <v>-2003358</v>
          </cell>
          <cell r="CY285">
            <v>-2003358</v>
          </cell>
          <cell r="CZ285">
            <v>-2003358</v>
          </cell>
          <cell r="DA285">
            <v>-2003358</v>
          </cell>
          <cell r="DB285">
            <v>-859975</v>
          </cell>
          <cell r="DC285">
            <v>-859975</v>
          </cell>
          <cell r="DD285">
            <v>-859975</v>
          </cell>
          <cell r="DE285">
            <v>-859975</v>
          </cell>
          <cell r="DF285">
            <v>-859975</v>
          </cell>
          <cell r="DG285">
            <v>-859975</v>
          </cell>
          <cell r="DH285">
            <v>-131961</v>
          </cell>
        </row>
        <row r="286">
          <cell r="A286">
            <v>2420131</v>
          </cell>
          <cell r="B286">
            <v>2420131</v>
          </cell>
          <cell r="C286" t="str">
            <v>FAS106 FAS158 C</v>
          </cell>
          <cell r="D286">
            <v>-606935</v>
          </cell>
          <cell r="E286">
            <v>-606935</v>
          </cell>
          <cell r="F286">
            <v>-606935</v>
          </cell>
          <cell r="G286">
            <v>-606935</v>
          </cell>
          <cell r="H286">
            <v>-606935</v>
          </cell>
          <cell r="I286">
            <v>-606935</v>
          </cell>
          <cell r="J286">
            <v>-606935</v>
          </cell>
          <cell r="K286">
            <v>-606935</v>
          </cell>
          <cell r="L286">
            <v>-606935</v>
          </cell>
          <cell r="M286">
            <v>-606935</v>
          </cell>
          <cell r="N286">
            <v>-606935</v>
          </cell>
          <cell r="O286">
            <v>-606935</v>
          </cell>
          <cell r="P286">
            <v>-670526</v>
          </cell>
          <cell r="Q286">
            <v>-670526</v>
          </cell>
          <cell r="R286">
            <v>-670526</v>
          </cell>
          <cell r="S286">
            <v>-670526</v>
          </cell>
          <cell r="T286">
            <v>-670526</v>
          </cell>
          <cell r="U286">
            <v>-670526</v>
          </cell>
          <cell r="V286">
            <v>-670526</v>
          </cell>
          <cell r="W286">
            <v>-670526</v>
          </cell>
          <cell r="X286">
            <v>-670526</v>
          </cell>
          <cell r="Y286">
            <v>-670526</v>
          </cell>
          <cell r="Z286">
            <v>-670526</v>
          </cell>
          <cell r="AA286">
            <v>-684602</v>
          </cell>
          <cell r="AB286">
            <v>-670526</v>
          </cell>
          <cell r="AC286">
            <v>-684602</v>
          </cell>
          <cell r="AD286">
            <v>-684602</v>
          </cell>
          <cell r="AE286">
            <v>-684602</v>
          </cell>
          <cell r="AF286">
            <v>-684602</v>
          </cell>
          <cell r="AG286">
            <v>-684602</v>
          </cell>
          <cell r="AH286">
            <v>-684602</v>
          </cell>
          <cell r="AI286">
            <v>-684602</v>
          </cell>
          <cell r="AJ286">
            <v>-684602</v>
          </cell>
          <cell r="AK286">
            <v>-704381</v>
          </cell>
          <cell r="AL286">
            <v>-704381</v>
          </cell>
          <cell r="AM286">
            <v>-704381</v>
          </cell>
          <cell r="AN286">
            <v>-734975</v>
          </cell>
          <cell r="AO286">
            <v>-734975</v>
          </cell>
          <cell r="AP286">
            <v>-734975</v>
          </cell>
          <cell r="AQ286">
            <v>-734975</v>
          </cell>
          <cell r="AR286">
            <v>-734975</v>
          </cell>
          <cell r="AS286">
            <v>-734975</v>
          </cell>
          <cell r="AT286">
            <v>-734975</v>
          </cell>
          <cell r="AU286">
            <v>-734975</v>
          </cell>
          <cell r="AV286">
            <v>-734975</v>
          </cell>
          <cell r="AW286">
            <v>-734975</v>
          </cell>
          <cell r="AX286">
            <v>-734975</v>
          </cell>
          <cell r="AY286">
            <v>-734975</v>
          </cell>
          <cell r="AZ286">
            <v>-825877</v>
          </cell>
          <cell r="BA286">
            <v>-825877</v>
          </cell>
          <cell r="BB286">
            <v>-825877</v>
          </cell>
          <cell r="BC286">
            <v>-825877</v>
          </cell>
          <cell r="BD286">
            <v>-825877</v>
          </cell>
          <cell r="BE286">
            <v>-825877</v>
          </cell>
          <cell r="BF286">
            <v>-825877</v>
          </cell>
          <cell r="BG286">
            <v>-825877</v>
          </cell>
          <cell r="BH286">
            <v>-825877</v>
          </cell>
          <cell r="BI286">
            <v>-825877</v>
          </cell>
          <cell r="BJ286">
            <v>-825877</v>
          </cell>
          <cell r="BK286">
            <v>-825877</v>
          </cell>
          <cell r="BL286">
            <v>-872517</v>
          </cell>
          <cell r="BM286">
            <v>-872517</v>
          </cell>
          <cell r="BN286">
            <v>-872517</v>
          </cell>
          <cell r="BO286">
            <v>-872517</v>
          </cell>
          <cell r="BP286">
            <v>-872517</v>
          </cell>
          <cell r="BQ286">
            <v>-872517</v>
          </cell>
          <cell r="BR286">
            <v>-872517</v>
          </cell>
          <cell r="BS286">
            <v>-872517</v>
          </cell>
          <cell r="BT286">
            <v>-872517</v>
          </cell>
          <cell r="BU286">
            <v>-872517</v>
          </cell>
          <cell r="BV286">
            <v>-872517</v>
          </cell>
          <cell r="BW286">
            <v>-872517</v>
          </cell>
          <cell r="BX286">
            <v>-917247</v>
          </cell>
          <cell r="BY286">
            <v>-917247</v>
          </cell>
          <cell r="BZ286">
            <v>-917247</v>
          </cell>
          <cell r="CA286">
            <v>-917247</v>
          </cell>
          <cell r="CB286">
            <v>-917247</v>
          </cell>
          <cell r="CC286">
            <v>-917247</v>
          </cell>
          <cell r="CD286">
            <v>-917247</v>
          </cell>
          <cell r="CE286">
            <v>-917247</v>
          </cell>
          <cell r="CF286">
            <v>-917247</v>
          </cell>
          <cell r="CG286">
            <v>-917247</v>
          </cell>
          <cell r="CH286">
            <v>-917247</v>
          </cell>
          <cell r="CI286">
            <v>-917247</v>
          </cell>
          <cell r="CJ286">
            <v>-1089990</v>
          </cell>
          <cell r="CK286">
            <v>-1089990</v>
          </cell>
          <cell r="CL286">
            <v>-1089990</v>
          </cell>
          <cell r="CM286">
            <v>-1089990</v>
          </cell>
          <cell r="CN286">
            <v>-1089990</v>
          </cell>
          <cell r="CO286">
            <v>-1089990</v>
          </cell>
          <cell r="CP286">
            <v>-1089990</v>
          </cell>
          <cell r="CQ286">
            <v>-1089990</v>
          </cell>
          <cell r="CR286">
            <v>-1089990</v>
          </cell>
          <cell r="CS286">
            <v>-1089990</v>
          </cell>
          <cell r="CT286">
            <v>-1089990</v>
          </cell>
          <cell r="CU286">
            <v>-1089990</v>
          </cell>
          <cell r="CV286">
            <v>-1188715</v>
          </cell>
          <cell r="CW286">
            <v>-1188715</v>
          </cell>
          <cell r="CX286">
            <v>-1188715</v>
          </cell>
          <cell r="CY286">
            <v>-1188715</v>
          </cell>
          <cell r="CZ286">
            <v>-1188715</v>
          </cell>
          <cell r="DA286">
            <v>-1188715</v>
          </cell>
          <cell r="DB286">
            <v>-1188715</v>
          </cell>
          <cell r="DC286">
            <v>-1188715</v>
          </cell>
          <cell r="DD286">
            <v>-1188715</v>
          </cell>
          <cell r="DE286">
            <v>-1188715</v>
          </cell>
          <cell r="DF286">
            <v>-1188715</v>
          </cell>
          <cell r="DG286">
            <v>-1188715</v>
          </cell>
          <cell r="DH286">
            <v>-1139947</v>
          </cell>
        </row>
        <row r="287">
          <cell r="A287">
            <v>2420191</v>
          </cell>
          <cell r="B287">
            <v>2420191</v>
          </cell>
          <cell r="C287" t="str">
            <v>LT Incentive C</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-1527721.66</v>
          </cell>
          <cell r="BY287">
            <v>-1527721.66</v>
          </cell>
          <cell r="BZ287">
            <v>-49457.66</v>
          </cell>
          <cell r="CA287">
            <v>-1263689.1299999999</v>
          </cell>
          <cell r="CB287">
            <v>-1263689.1299999999</v>
          </cell>
          <cell r="CC287">
            <v>-1263689.1299999999</v>
          </cell>
          <cell r="CD287">
            <v>-1344801.03</v>
          </cell>
          <cell r="CE287">
            <v>-1344801.03</v>
          </cell>
          <cell r="CF287">
            <v>-1344801.03</v>
          </cell>
          <cell r="CG287">
            <v>-1498920.35</v>
          </cell>
          <cell r="CH287">
            <v>-1498920.35</v>
          </cell>
          <cell r="CI287">
            <v>-1498920.35</v>
          </cell>
          <cell r="CJ287">
            <v>-1958184.7</v>
          </cell>
          <cell r="CK287">
            <v>-1958184.7</v>
          </cell>
          <cell r="CL287">
            <v>-1958184.7</v>
          </cell>
          <cell r="CM287">
            <v>-1176900.3700000001</v>
          </cell>
          <cell r="CN287">
            <v>-1176900.3700000001</v>
          </cell>
          <cell r="CO287">
            <v>-1176900.3700000001</v>
          </cell>
          <cell r="CP287">
            <v>-1439648.01</v>
          </cell>
          <cell r="CQ287">
            <v>-1439648.01</v>
          </cell>
          <cell r="CR287">
            <v>-1439648.01</v>
          </cell>
          <cell r="CS287">
            <v>-1241453.2</v>
          </cell>
          <cell r="CT287">
            <v>-1241453.2</v>
          </cell>
          <cell r="CU287">
            <v>-1241453.2</v>
          </cell>
          <cell r="CV287">
            <v>-1381972.96</v>
          </cell>
          <cell r="CW287">
            <v>-1381972.96</v>
          </cell>
          <cell r="CX287">
            <v>-1337008.21</v>
          </cell>
          <cell r="CY287">
            <v>-1054229.56</v>
          </cell>
          <cell r="CZ287">
            <v>-1054229.56</v>
          </cell>
          <cell r="DA287">
            <v>-1054229.56</v>
          </cell>
          <cell r="DB287">
            <v>-1240693.78</v>
          </cell>
          <cell r="DC287">
            <v>-1240693.78</v>
          </cell>
          <cell r="DD287">
            <v>-1240693.78</v>
          </cell>
          <cell r="DE287">
            <v>-1336245.05</v>
          </cell>
          <cell r="DF287">
            <v>-1336245.05</v>
          </cell>
          <cell r="DG287">
            <v>-1336245.05</v>
          </cell>
          <cell r="DH287">
            <v>-1588586.26</v>
          </cell>
        </row>
        <row r="288">
          <cell r="A288">
            <v>2420192</v>
          </cell>
          <cell r="B288">
            <v>2420192</v>
          </cell>
          <cell r="C288" t="str">
            <v>Deferred Compensation - Current</v>
          </cell>
          <cell r="D288"/>
          <cell r="E288"/>
          <cell r="F288"/>
          <cell r="G288"/>
          <cell r="H288"/>
          <cell r="I288"/>
          <cell r="J288"/>
          <cell r="K288"/>
          <cell r="L288"/>
          <cell r="M288"/>
          <cell r="N288"/>
          <cell r="O288"/>
          <cell r="P288"/>
          <cell r="Q288"/>
          <cell r="R288"/>
          <cell r="S288"/>
          <cell r="T288"/>
          <cell r="U288"/>
          <cell r="V288"/>
          <cell r="W288"/>
          <cell r="X288"/>
          <cell r="Y288"/>
          <cell r="Z288"/>
          <cell r="AA288"/>
          <cell r="AB288"/>
          <cell r="AC288"/>
          <cell r="AD288"/>
          <cell r="AE288"/>
          <cell r="AF288"/>
          <cell r="AG288"/>
          <cell r="AH288"/>
          <cell r="AI288"/>
          <cell r="AJ288"/>
          <cell r="AK288"/>
          <cell r="AL288"/>
          <cell r="AM288"/>
          <cell r="AN288"/>
          <cell r="AO288"/>
          <cell r="AP288"/>
          <cell r="AQ288"/>
          <cell r="AR288"/>
          <cell r="AS288"/>
          <cell r="AT288"/>
          <cell r="AU288"/>
          <cell r="AV288"/>
          <cell r="AW288"/>
          <cell r="AX288"/>
          <cell r="AY288"/>
          <cell r="AZ288"/>
          <cell r="BA288"/>
          <cell r="BB288"/>
          <cell r="BC288"/>
          <cell r="BD288"/>
          <cell r="BE288"/>
          <cell r="BF288"/>
          <cell r="BG288"/>
          <cell r="BH288"/>
          <cell r="BI288"/>
          <cell r="BJ288"/>
          <cell r="BK288"/>
          <cell r="BL288"/>
          <cell r="BM288"/>
          <cell r="BN288"/>
          <cell r="BO288"/>
          <cell r="BP288"/>
          <cell r="BQ288"/>
          <cell r="BR288"/>
          <cell r="BS288"/>
          <cell r="BT288"/>
          <cell r="BU288"/>
          <cell r="BV288"/>
          <cell r="BW288"/>
          <cell r="BX288"/>
          <cell r="BY288">
            <v>0</v>
          </cell>
          <cell r="BZ288">
            <v>-71115</v>
          </cell>
          <cell r="CA288">
            <v>-75473.919999999998</v>
          </cell>
          <cell r="CB288">
            <v>-75473.919999999998</v>
          </cell>
          <cell r="CC288">
            <v>-75473.919999999998</v>
          </cell>
          <cell r="CD288">
            <v>-72256.03</v>
          </cell>
          <cell r="CE288">
            <v>-72256.03</v>
          </cell>
          <cell r="CF288">
            <v>-72256.03</v>
          </cell>
          <cell r="CG288">
            <v>-73127</v>
          </cell>
          <cell r="CH288">
            <v>-73127</v>
          </cell>
          <cell r="CI288">
            <v>-73127</v>
          </cell>
          <cell r="CJ288">
            <v>-74735.28</v>
          </cell>
          <cell r="CK288">
            <v>-74735.28</v>
          </cell>
          <cell r="CL288">
            <v>-74735.28</v>
          </cell>
          <cell r="CM288">
            <v>-241675.42</v>
          </cell>
          <cell r="CN288">
            <v>-241675.42</v>
          </cell>
          <cell r="CO288">
            <v>-241675.42</v>
          </cell>
          <cell r="CP288">
            <v>-269058.03000000003</v>
          </cell>
          <cell r="CQ288">
            <v>-269058.03000000003</v>
          </cell>
          <cell r="CR288">
            <v>-269058.03000000003</v>
          </cell>
          <cell r="CS288">
            <v>-283941.28999999998</v>
          </cell>
          <cell r="CT288">
            <v>-283941.28999999998</v>
          </cell>
          <cell r="CU288">
            <v>-283941.28999999998</v>
          </cell>
          <cell r="CV288">
            <v>-289608.46000000002</v>
          </cell>
          <cell r="CW288">
            <v>-289608.46000000002</v>
          </cell>
          <cell r="CX288">
            <v>-289608.46000000002</v>
          </cell>
          <cell r="CY288">
            <v>-340523.42</v>
          </cell>
          <cell r="CZ288">
            <v>-340523.42</v>
          </cell>
          <cell r="DA288">
            <v>-340523.42</v>
          </cell>
          <cell r="DB288">
            <v>-113651.37</v>
          </cell>
          <cell r="DC288">
            <v>-113651.37</v>
          </cell>
          <cell r="DD288">
            <v>-113651.37</v>
          </cell>
          <cell r="DE288">
            <v>-112082.05</v>
          </cell>
          <cell r="DF288">
            <v>-112082.05</v>
          </cell>
          <cell r="DG288">
            <v>-112082.05</v>
          </cell>
          <cell r="DH288">
            <v>-96081.69</v>
          </cell>
        </row>
        <row r="289">
          <cell r="A289">
            <v>2420199</v>
          </cell>
          <cell r="B289">
            <v>2420199</v>
          </cell>
          <cell r="C289" t="str">
            <v>Cur Misc Liab</v>
          </cell>
          <cell r="D289"/>
          <cell r="E289"/>
          <cell r="F289"/>
          <cell r="G289"/>
          <cell r="H289"/>
          <cell r="I289"/>
          <cell r="J289"/>
          <cell r="K289"/>
          <cell r="L289"/>
          <cell r="M289"/>
          <cell r="N289"/>
          <cell r="O289"/>
          <cell r="P289"/>
          <cell r="Q289"/>
          <cell r="R289"/>
          <cell r="S289"/>
          <cell r="T289"/>
          <cell r="U289"/>
          <cell r="V289"/>
          <cell r="W289"/>
          <cell r="X289"/>
          <cell r="Y289"/>
          <cell r="Z289"/>
          <cell r="AA289"/>
          <cell r="AB289"/>
          <cell r="AC289"/>
          <cell r="AD289"/>
          <cell r="AE289"/>
          <cell r="AF289"/>
          <cell r="AG289"/>
          <cell r="AH289"/>
          <cell r="AI289"/>
          <cell r="AJ289"/>
          <cell r="AK289"/>
          <cell r="AL289"/>
          <cell r="AM289"/>
          <cell r="AN289"/>
          <cell r="AO289"/>
          <cell r="AP289"/>
          <cell r="AQ289"/>
          <cell r="AR289"/>
          <cell r="AS289"/>
          <cell r="AT289"/>
          <cell r="AU289"/>
          <cell r="AV289"/>
          <cell r="AW289"/>
          <cell r="AX289"/>
          <cell r="AY289"/>
          <cell r="AZ289"/>
          <cell r="BA289"/>
          <cell r="BB289"/>
          <cell r="BC289"/>
          <cell r="BD289"/>
          <cell r="BE289"/>
          <cell r="BF289"/>
          <cell r="BG289"/>
          <cell r="BH289"/>
          <cell r="BI289"/>
          <cell r="BJ289">
            <v>0</v>
          </cell>
          <cell r="BK289">
            <v>0</v>
          </cell>
          <cell r="BL289">
            <v>-1205445</v>
          </cell>
          <cell r="BM289">
            <v>0</v>
          </cell>
          <cell r="BN289">
            <v>0</v>
          </cell>
          <cell r="BO289">
            <v>-1014277.62</v>
          </cell>
          <cell r="BP289">
            <v>-1014277.62</v>
          </cell>
          <cell r="BQ289">
            <v>-1014277.62</v>
          </cell>
          <cell r="BR289">
            <v>-1223064.25</v>
          </cell>
          <cell r="BS289">
            <v>-777378.87</v>
          </cell>
          <cell r="BT289">
            <v>-777378.87</v>
          </cell>
          <cell r="BU289">
            <v>-1879798.98</v>
          </cell>
          <cell r="BV289">
            <v>-1879798.98</v>
          </cell>
          <cell r="BW289">
            <v>-1879798.98</v>
          </cell>
          <cell r="BX289">
            <v>0</v>
          </cell>
          <cell r="BY289">
            <v>0</v>
          </cell>
          <cell r="BZ289">
            <v>0</v>
          </cell>
          <cell r="CA289">
            <v>0</v>
          </cell>
          <cell r="CB289">
            <v>0</v>
          </cell>
          <cell r="CC289">
            <v>0</v>
          </cell>
          <cell r="CD289">
            <v>0</v>
          </cell>
          <cell r="CE289">
            <v>0</v>
          </cell>
          <cell r="CF289">
            <v>0</v>
          </cell>
          <cell r="CG289">
            <v>0</v>
          </cell>
          <cell r="CH289"/>
          <cell r="CI289"/>
          <cell r="CJ289"/>
          <cell r="CK289"/>
          <cell r="CL289"/>
          <cell r="CM289"/>
          <cell r="CN289"/>
          <cell r="CO289"/>
          <cell r="CP289"/>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row>
        <row r="290">
          <cell r="A290">
            <v>2420300</v>
          </cell>
          <cell r="B290">
            <v>2420300</v>
          </cell>
          <cell r="C290" t="str">
            <v>Vacation Liab</v>
          </cell>
          <cell r="D290">
            <v>-2622171.31</v>
          </cell>
          <cell r="E290">
            <v>-2627171.31</v>
          </cell>
          <cell r="F290">
            <v>-2632171.31</v>
          </cell>
          <cell r="G290">
            <v>-2637171.31</v>
          </cell>
          <cell r="H290">
            <v>-2642171.31</v>
          </cell>
          <cell r="I290">
            <v>-2652171.31</v>
          </cell>
          <cell r="J290">
            <v>-2647171.31</v>
          </cell>
          <cell r="K290">
            <v>-2657171.31</v>
          </cell>
          <cell r="L290">
            <v>-2662171.31</v>
          </cell>
          <cell r="M290">
            <v>-2667171.31</v>
          </cell>
          <cell r="N290">
            <v>-2672171.31</v>
          </cell>
          <cell r="O290">
            <v>-2677171.31</v>
          </cell>
          <cell r="P290">
            <v>-2682171.31</v>
          </cell>
          <cell r="Q290">
            <v>-2687171.31</v>
          </cell>
          <cell r="R290">
            <v>-2690628.56</v>
          </cell>
          <cell r="S290">
            <v>-2692386.03</v>
          </cell>
          <cell r="T290">
            <v>-2694603.27</v>
          </cell>
          <cell r="U290">
            <v>-2692303.57</v>
          </cell>
          <cell r="V290">
            <v>-2691092.34</v>
          </cell>
          <cell r="W290">
            <v>-2681390.56</v>
          </cell>
          <cell r="X290">
            <v>-2677754.56</v>
          </cell>
          <cell r="Y290">
            <v>-2682754.56</v>
          </cell>
          <cell r="Z290">
            <v>-2687754.56</v>
          </cell>
          <cell r="AA290">
            <v>-2614755.5099999998</v>
          </cell>
          <cell r="AB290">
            <v>-2692754.56</v>
          </cell>
          <cell r="AC290">
            <v>-2600385.21</v>
          </cell>
          <cell r="AD290">
            <v>-2604913.27</v>
          </cell>
          <cell r="AE290">
            <v>-2607664.5499999998</v>
          </cell>
          <cell r="AF290">
            <v>-2611662.5499999998</v>
          </cell>
          <cell r="AG290">
            <v>-2612878.7999999998</v>
          </cell>
          <cell r="AH290">
            <v>-2616529.7999999998</v>
          </cell>
          <cell r="AI290">
            <v>-2636529.7999999998</v>
          </cell>
          <cell r="AJ290">
            <v>-2649140.6800000002</v>
          </cell>
          <cell r="AK290">
            <v>-2669140.6800000002</v>
          </cell>
          <cell r="AL290">
            <v>-2689140.68</v>
          </cell>
          <cell r="AM290">
            <v>-2706151.53</v>
          </cell>
          <cell r="AN290">
            <v>-3066666.17</v>
          </cell>
          <cell r="AO290">
            <v>-3911435.27</v>
          </cell>
          <cell r="AP290">
            <v>-3049357.54</v>
          </cell>
          <cell r="AQ290">
            <v>-3063285.65</v>
          </cell>
          <cell r="AR290">
            <v>-3066860.5</v>
          </cell>
          <cell r="AS290">
            <v>-3074452.97</v>
          </cell>
          <cell r="AT290">
            <v>-3083177.04</v>
          </cell>
          <cell r="AU290">
            <v>-3082664.24</v>
          </cell>
          <cell r="AV290">
            <v>-3097664.24</v>
          </cell>
          <cell r="AW290">
            <v>-3107823.14</v>
          </cell>
          <cell r="AX290">
            <v>-3122823.14</v>
          </cell>
          <cell r="AY290">
            <v>-3132263.17</v>
          </cell>
          <cell r="AZ290">
            <v>-3123156.42</v>
          </cell>
          <cell r="BA290">
            <v>-3119516.17</v>
          </cell>
          <cell r="BB290">
            <v>-3132970.62</v>
          </cell>
          <cell r="BC290">
            <v>-3146701.3</v>
          </cell>
          <cell r="BD290">
            <v>-3159553.54</v>
          </cell>
          <cell r="BE290">
            <v>-3170672.34</v>
          </cell>
          <cell r="BF290">
            <v>-3173874.68</v>
          </cell>
          <cell r="BG290">
            <v>-3188874.68</v>
          </cell>
          <cell r="BH290">
            <v>-3203874.68</v>
          </cell>
          <cell r="BI290">
            <v>-3206628.67</v>
          </cell>
          <cell r="BJ290">
            <v>-3221628.67</v>
          </cell>
          <cell r="BK290">
            <v>-3230963.08</v>
          </cell>
          <cell r="BL290">
            <v>-3300000</v>
          </cell>
          <cell r="BM290">
            <v>-3298283.1</v>
          </cell>
          <cell r="BN290">
            <v>-3312182.6</v>
          </cell>
          <cell r="BO290">
            <v>-3322872.39</v>
          </cell>
          <cell r="BP290">
            <v>-3335262.49</v>
          </cell>
          <cell r="BQ290">
            <v>-3347236.09</v>
          </cell>
          <cell r="BR290">
            <v>-3355245.34</v>
          </cell>
          <cell r="BS290">
            <v>-3351563.75</v>
          </cell>
          <cell r="BT290">
            <v>-3361492.2</v>
          </cell>
          <cell r="BU290">
            <v>-3376498.2</v>
          </cell>
          <cell r="BV290">
            <v>-3383843.05</v>
          </cell>
          <cell r="BW290">
            <v>-3393353.65</v>
          </cell>
          <cell r="BX290">
            <v>-3500000</v>
          </cell>
          <cell r="BY290">
            <v>-3485166.95</v>
          </cell>
          <cell r="BZ290">
            <v>-3497881.85</v>
          </cell>
          <cell r="CA290">
            <v>-3511238.25</v>
          </cell>
          <cell r="CB290">
            <v>-3525666.71</v>
          </cell>
          <cell r="CC290">
            <v>-3536988.19</v>
          </cell>
          <cell r="CD290">
            <v>-3711499.93</v>
          </cell>
          <cell r="CE290">
            <v>-3726505.43</v>
          </cell>
          <cell r="CF290">
            <v>-3741510.93</v>
          </cell>
          <cell r="CG290">
            <v>-3923183.1</v>
          </cell>
          <cell r="CH290">
            <v>-3938188.6</v>
          </cell>
          <cell r="CI290">
            <v>-3922981.56</v>
          </cell>
          <cell r="CJ290">
            <v>-4225242.0599999996</v>
          </cell>
          <cell r="CK290">
            <v>-4213213.62</v>
          </cell>
          <cell r="CL290">
            <v>-4228713.62</v>
          </cell>
          <cell r="CM290">
            <v>-3859634.1</v>
          </cell>
          <cell r="CN290">
            <v>-3867773.84</v>
          </cell>
          <cell r="CO290">
            <v>-3881493.62</v>
          </cell>
          <cell r="CP290">
            <v>-3884586.87</v>
          </cell>
          <cell r="CQ290">
            <v>-3888457.02</v>
          </cell>
          <cell r="CR290">
            <v>-3903957.02</v>
          </cell>
          <cell r="CS290">
            <v>-3912438.63</v>
          </cell>
          <cell r="CT290">
            <v>-3913868.05</v>
          </cell>
          <cell r="CU290">
            <v>-3929368.05</v>
          </cell>
          <cell r="CV290">
            <v>-3906365.73</v>
          </cell>
          <cell r="CW290">
            <v>-3922330.73</v>
          </cell>
          <cell r="CX290">
            <v>-3935766.45</v>
          </cell>
          <cell r="CY290">
            <v>-3951731.45</v>
          </cell>
          <cell r="CZ290">
            <v>-3964480.73</v>
          </cell>
          <cell r="DA290">
            <v>-3980445.73</v>
          </cell>
          <cell r="DB290">
            <v>-3986036.68</v>
          </cell>
          <cell r="DC290">
            <v>-3997125.69</v>
          </cell>
          <cell r="DD290">
            <v>-4007732</v>
          </cell>
          <cell r="DE290">
            <v>-4023697</v>
          </cell>
          <cell r="DF290">
            <v>-4039662</v>
          </cell>
          <cell r="DG290">
            <v>-4055627</v>
          </cell>
          <cell r="DH290">
            <v>-4471395.08</v>
          </cell>
        </row>
        <row r="291">
          <cell r="A291">
            <v>2420310</v>
          </cell>
          <cell r="B291">
            <v>2420310</v>
          </cell>
          <cell r="C291" t="str">
            <v>Cashier Over/Short</v>
          </cell>
          <cell r="D291">
            <v>-12109.11</v>
          </cell>
          <cell r="E291">
            <v>-6369.36</v>
          </cell>
          <cell r="F291">
            <v>-12143.08</v>
          </cell>
          <cell r="G291">
            <v>-12102.58</v>
          </cell>
          <cell r="H291">
            <v>-23596.720000000001</v>
          </cell>
          <cell r="I291">
            <v>-8811.2999999999993</v>
          </cell>
          <cell r="J291">
            <v>-8102.51</v>
          </cell>
          <cell r="K291">
            <v>-10320.77</v>
          </cell>
          <cell r="L291">
            <v>-26472.86</v>
          </cell>
          <cell r="M291">
            <v>-28795.47</v>
          </cell>
          <cell r="N291">
            <v>-26156.45</v>
          </cell>
          <cell r="O291">
            <v>-40882.93</v>
          </cell>
          <cell r="P291">
            <v>-20487.240000000002</v>
          </cell>
          <cell r="Q291">
            <v>-17839.400000000001</v>
          </cell>
          <cell r="R291">
            <v>-27865.32</v>
          </cell>
          <cell r="S291">
            <v>-17927.580000000002</v>
          </cell>
          <cell r="T291">
            <v>-21546.76</v>
          </cell>
          <cell r="U291">
            <v>-24817.95</v>
          </cell>
          <cell r="V291">
            <v>-19249.439999999999</v>
          </cell>
          <cell r="W291">
            <v>-17921.59</v>
          </cell>
          <cell r="X291">
            <v>-32782.47</v>
          </cell>
          <cell r="Y291">
            <v>-23684.87</v>
          </cell>
          <cell r="Z291">
            <v>-24380.75</v>
          </cell>
          <cell r="AA291">
            <v>-30888.34</v>
          </cell>
          <cell r="AB291">
            <v>-33112.18</v>
          </cell>
          <cell r="AC291">
            <v>-30687.87</v>
          </cell>
          <cell r="AD291">
            <v>-25459.14</v>
          </cell>
          <cell r="AE291">
            <v>-29253.93</v>
          </cell>
          <cell r="AF291">
            <v>-22502.85</v>
          </cell>
          <cell r="AG291">
            <v>-7965.89</v>
          </cell>
          <cell r="AH291">
            <v>-18278.759999999998</v>
          </cell>
          <cell r="AI291">
            <v>-29231.39</v>
          </cell>
          <cell r="AJ291">
            <v>-22313.360000000001</v>
          </cell>
          <cell r="AK291">
            <v>-30755</v>
          </cell>
          <cell r="AL291">
            <v>-28160.95</v>
          </cell>
          <cell r="AM291">
            <v>-35867.1</v>
          </cell>
          <cell r="AN291">
            <v>-24690.46</v>
          </cell>
          <cell r="AO291">
            <v>-26356.93</v>
          </cell>
          <cell r="AP291">
            <v>-24552.19</v>
          </cell>
          <cell r="AQ291">
            <v>-24212.49</v>
          </cell>
          <cell r="AR291">
            <v>-26664.85</v>
          </cell>
          <cell r="AS291">
            <v>-47651.66</v>
          </cell>
          <cell r="AT291">
            <v>-29913.58</v>
          </cell>
          <cell r="AU291">
            <v>-25581.22</v>
          </cell>
          <cell r="AV291">
            <v>-19933.689999999999</v>
          </cell>
          <cell r="AW291">
            <v>-19644.93</v>
          </cell>
          <cell r="AX291">
            <v>-21309.85</v>
          </cell>
          <cell r="AY291">
            <v>-54363.02</v>
          </cell>
          <cell r="AZ291">
            <v>-65322.52</v>
          </cell>
          <cell r="BA291">
            <v>-71918.649999999994</v>
          </cell>
          <cell r="BB291">
            <v>-51975.82</v>
          </cell>
          <cell r="BC291">
            <v>-51462.84</v>
          </cell>
          <cell r="BD291">
            <v>-39513.949999999997</v>
          </cell>
          <cell r="BE291">
            <v>-15731.48</v>
          </cell>
          <cell r="BF291">
            <v>22764.32</v>
          </cell>
          <cell r="BG291">
            <v>38260.230000000003</v>
          </cell>
          <cell r="BH291">
            <v>30924.13</v>
          </cell>
          <cell r="BI291">
            <v>31213.22</v>
          </cell>
          <cell r="BJ291">
            <v>31597.72</v>
          </cell>
          <cell r="BK291">
            <v>32133.919999999998</v>
          </cell>
          <cell r="BL291">
            <v>9065.06</v>
          </cell>
          <cell r="BM291">
            <v>9475.2199999999993</v>
          </cell>
          <cell r="BN291">
            <v>13271.21</v>
          </cell>
          <cell r="BO291">
            <v>13096.47</v>
          </cell>
          <cell r="BP291">
            <v>9643</v>
          </cell>
          <cell r="BQ291">
            <v>9376.14</v>
          </cell>
          <cell r="BR291">
            <v>8495.84</v>
          </cell>
          <cell r="BS291">
            <v>7802.24</v>
          </cell>
          <cell r="BT291">
            <v>9164.35</v>
          </cell>
          <cell r="BU291">
            <v>8524.27</v>
          </cell>
          <cell r="BV291">
            <v>8692.27</v>
          </cell>
          <cell r="BW291">
            <v>8541.0400000000009</v>
          </cell>
          <cell r="BX291">
            <v>8754.91</v>
          </cell>
          <cell r="BY291">
            <v>19673.59</v>
          </cell>
          <cell r="BZ291">
            <v>7432.88</v>
          </cell>
          <cell r="CA291">
            <v>5977.53</v>
          </cell>
          <cell r="CB291">
            <v>6092.71</v>
          </cell>
          <cell r="CC291">
            <v>6112.71</v>
          </cell>
          <cell r="CD291">
            <v>6207.85</v>
          </cell>
          <cell r="CE291">
            <v>6223.81</v>
          </cell>
          <cell r="CF291">
            <v>-170866.85</v>
          </cell>
          <cell r="CG291">
            <v>-169333.29</v>
          </cell>
          <cell r="CH291">
            <v>6120.86</v>
          </cell>
          <cell r="CI291">
            <v>7449.96</v>
          </cell>
          <cell r="CJ291">
            <v>7936.82</v>
          </cell>
          <cell r="CK291">
            <v>6881.62</v>
          </cell>
          <cell r="CL291">
            <v>6759.86</v>
          </cell>
          <cell r="CM291">
            <v>6850.68</v>
          </cell>
          <cell r="CN291">
            <v>8416.7099999999991</v>
          </cell>
          <cell r="CO291">
            <v>9147.41</v>
          </cell>
          <cell r="CP291">
            <v>8908.7999999999993</v>
          </cell>
          <cell r="CQ291">
            <v>10458.77</v>
          </cell>
          <cell r="CR291">
            <v>11563.42</v>
          </cell>
          <cell r="CS291">
            <v>11617.43</v>
          </cell>
          <cell r="CT291">
            <v>11444.17</v>
          </cell>
          <cell r="CU291">
            <v>11444.17</v>
          </cell>
          <cell r="CV291">
            <v>13830.45</v>
          </cell>
          <cell r="CW291">
            <v>14754.69</v>
          </cell>
          <cell r="CX291">
            <v>15801.78</v>
          </cell>
          <cell r="CY291">
            <v>16443.13</v>
          </cell>
          <cell r="CZ291">
            <v>15992.47</v>
          </cell>
          <cell r="DA291">
            <v>16934.07</v>
          </cell>
          <cell r="DB291">
            <v>17362.96</v>
          </cell>
          <cell r="DC291">
            <v>16382.08</v>
          </cell>
          <cell r="DD291">
            <v>15874.11</v>
          </cell>
          <cell r="DE291">
            <v>16231.47</v>
          </cell>
          <cell r="DF291">
            <v>14642.02</v>
          </cell>
          <cell r="DG291">
            <v>16543.669999999998</v>
          </cell>
          <cell r="DH291">
            <v>16354.38</v>
          </cell>
        </row>
        <row r="292">
          <cell r="A292">
            <v>2420320</v>
          </cell>
          <cell r="B292">
            <v>2420320</v>
          </cell>
          <cell r="C292" t="str">
            <v>Unclaimed Funds</v>
          </cell>
          <cell r="D292">
            <v>-302569.92</v>
          </cell>
          <cell r="E292">
            <v>-312171.84000000003</v>
          </cell>
          <cell r="F292">
            <v>-331738.90999999997</v>
          </cell>
          <cell r="G292">
            <v>-331508.38</v>
          </cell>
          <cell r="H292">
            <v>-165194.48000000001</v>
          </cell>
          <cell r="I292">
            <v>-247552.17</v>
          </cell>
          <cell r="J292">
            <v>-192986.12</v>
          </cell>
          <cell r="K292">
            <v>-271910.36</v>
          </cell>
          <cell r="L292">
            <v>-329603.55</v>
          </cell>
          <cell r="M292">
            <v>-380326.63</v>
          </cell>
          <cell r="N292">
            <v>-415146.67</v>
          </cell>
          <cell r="O292">
            <v>-448408.34</v>
          </cell>
          <cell r="P292">
            <v>-466800.7</v>
          </cell>
          <cell r="Q292">
            <v>-490503.51</v>
          </cell>
          <cell r="R292">
            <v>-511234.33</v>
          </cell>
          <cell r="S292">
            <v>-388939.91</v>
          </cell>
          <cell r="T292">
            <v>-195786.79</v>
          </cell>
          <cell r="U292">
            <v>-220421.81</v>
          </cell>
          <cell r="V292">
            <v>-236522.82</v>
          </cell>
          <cell r="W292">
            <v>-256680.61</v>
          </cell>
          <cell r="X292">
            <v>-280266.39</v>
          </cell>
          <cell r="Y292">
            <v>-290436.69</v>
          </cell>
          <cell r="Z292">
            <v>-308514.78999999998</v>
          </cell>
          <cell r="AA292">
            <v>-365719.26</v>
          </cell>
          <cell r="AB292">
            <v>-329891.71999999997</v>
          </cell>
          <cell r="AC292">
            <v>-390410.62</v>
          </cell>
          <cell r="AD292">
            <v>-427488.39</v>
          </cell>
          <cell r="AE292">
            <v>-466543.16</v>
          </cell>
          <cell r="AF292">
            <v>-303496.15000000002</v>
          </cell>
          <cell r="AG292">
            <v>-291445.05</v>
          </cell>
          <cell r="AH292">
            <v>-315498.03000000003</v>
          </cell>
          <cell r="AI292">
            <v>-336287.38</v>
          </cell>
          <cell r="AJ292">
            <v>-349958.75</v>
          </cell>
          <cell r="AK292">
            <v>-372545.91</v>
          </cell>
          <cell r="AL292">
            <v>-396229.49</v>
          </cell>
          <cell r="AM292">
            <v>-416775.27</v>
          </cell>
          <cell r="AN292">
            <v>-482361.27</v>
          </cell>
          <cell r="AO292">
            <v>-506090.03</v>
          </cell>
          <cell r="AP292">
            <v>-516851.91</v>
          </cell>
          <cell r="AQ292">
            <v>-551193.87</v>
          </cell>
          <cell r="AR292">
            <v>-337570.55</v>
          </cell>
          <cell r="AS292">
            <v>-364789.51</v>
          </cell>
          <cell r="AT292">
            <v>-425142.54</v>
          </cell>
          <cell r="AU292">
            <v>-424704.19</v>
          </cell>
          <cell r="AV292">
            <v>-472308.27</v>
          </cell>
          <cell r="AW292">
            <v>-470344.99</v>
          </cell>
          <cell r="AX292">
            <v>-467290.38</v>
          </cell>
          <cell r="AY292">
            <v>-467235.2</v>
          </cell>
          <cell r="AZ292">
            <v>-418234.14</v>
          </cell>
          <cell r="BA292">
            <v>-418296.14</v>
          </cell>
          <cell r="BB292">
            <v>-420274.7</v>
          </cell>
          <cell r="BC292">
            <v>-398136.99</v>
          </cell>
          <cell r="BD292">
            <v>-18499.89</v>
          </cell>
          <cell r="BE292">
            <v>-17967.82</v>
          </cell>
          <cell r="BF292">
            <v>-11903.78</v>
          </cell>
          <cell r="BG292">
            <v>-11903.78</v>
          </cell>
          <cell r="BH292">
            <v>-11931.76</v>
          </cell>
          <cell r="BI292">
            <v>-10165.129999999999</v>
          </cell>
          <cell r="BJ292">
            <v>-553.21</v>
          </cell>
          <cell r="BK292">
            <v>-553.21</v>
          </cell>
          <cell r="BL292">
            <v>-553.21</v>
          </cell>
          <cell r="BM292">
            <v>-553.21</v>
          </cell>
          <cell r="BN292">
            <v>-525.23</v>
          </cell>
          <cell r="BO292">
            <v>-525.23</v>
          </cell>
          <cell r="BP292">
            <v>2265.12</v>
          </cell>
          <cell r="BQ292">
            <v>-1221.72</v>
          </cell>
          <cell r="BR292">
            <v>-1444.63</v>
          </cell>
          <cell r="BS292">
            <v>-1444.63</v>
          </cell>
          <cell r="BT292">
            <v>-4159.63</v>
          </cell>
          <cell r="BU292">
            <v>2374.96</v>
          </cell>
          <cell r="BV292">
            <v>-2050.04</v>
          </cell>
          <cell r="BW292">
            <v>-5948.6</v>
          </cell>
          <cell r="BX292">
            <v>-5948.6</v>
          </cell>
          <cell r="BY292">
            <v>-5948.6</v>
          </cell>
          <cell r="BZ292">
            <v>-7548.6</v>
          </cell>
          <cell r="CA292">
            <v>-37371.17</v>
          </cell>
          <cell r="CB292">
            <v>-37371.17</v>
          </cell>
          <cell r="CC292">
            <v>-32093.11</v>
          </cell>
          <cell r="CD292">
            <v>-31462.92</v>
          </cell>
          <cell r="CE292">
            <v>-31204.12</v>
          </cell>
          <cell r="CF292">
            <v>-34579.120000000003</v>
          </cell>
          <cell r="CG292">
            <v>-28951.68</v>
          </cell>
          <cell r="CH292">
            <v>-26570.02</v>
          </cell>
          <cell r="CI292">
            <v>-26570.02</v>
          </cell>
          <cell r="CJ292">
            <v>-26425.13</v>
          </cell>
          <cell r="CK292">
            <v>-35625.129999999997</v>
          </cell>
          <cell r="CL292">
            <v>-49118.73</v>
          </cell>
          <cell r="CM292">
            <v>-48930.61</v>
          </cell>
          <cell r="CN292">
            <v>-48868.66</v>
          </cell>
          <cell r="CO292">
            <v>-46580.42</v>
          </cell>
          <cell r="CP292">
            <v>-47880.42</v>
          </cell>
          <cell r="CQ292">
            <v>-48230.42</v>
          </cell>
          <cell r="CR292">
            <v>-48230.42</v>
          </cell>
          <cell r="CS292">
            <v>-48230.42</v>
          </cell>
          <cell r="CT292">
            <v>-51395.89</v>
          </cell>
          <cell r="CU292">
            <v>-51289.39</v>
          </cell>
          <cell r="CV292">
            <v>-51289.39</v>
          </cell>
          <cell r="CW292">
            <v>-51289.39</v>
          </cell>
          <cell r="CX292">
            <v>-52022.76</v>
          </cell>
          <cell r="CY292">
            <v>-87422.03</v>
          </cell>
          <cell r="CZ292">
            <v>-87422.03</v>
          </cell>
          <cell r="DA292">
            <v>-87422.03</v>
          </cell>
          <cell r="DB292">
            <v>-91297.03</v>
          </cell>
          <cell r="DC292">
            <v>-91297.03</v>
          </cell>
          <cell r="DD292">
            <v>-91297.03</v>
          </cell>
          <cell r="DE292">
            <v>-93897.03</v>
          </cell>
          <cell r="DF292">
            <v>-93727.22</v>
          </cell>
          <cell r="DG292">
            <v>-93246.37</v>
          </cell>
          <cell r="DH292">
            <v>-93246.37</v>
          </cell>
        </row>
        <row r="293">
          <cell r="A293">
            <v>2420321</v>
          </cell>
          <cell r="B293">
            <v>2420321</v>
          </cell>
          <cell r="C293" t="str">
            <v>PGS MGP Enviro Liab</v>
          </cell>
          <cell r="D293">
            <v>-40439944</v>
          </cell>
          <cell r="E293">
            <v>-40439944</v>
          </cell>
          <cell r="F293">
            <v>-40439944</v>
          </cell>
          <cell r="G293">
            <v>-38439944</v>
          </cell>
          <cell r="H293">
            <v>-38439944</v>
          </cell>
          <cell r="I293">
            <v>-35939944</v>
          </cell>
          <cell r="J293">
            <v>-38439944</v>
          </cell>
          <cell r="K293">
            <v>-35939944</v>
          </cell>
          <cell r="L293">
            <v>-35939944</v>
          </cell>
          <cell r="M293">
            <v>-33284401</v>
          </cell>
          <cell r="N293">
            <v>-33284401</v>
          </cell>
          <cell r="O293">
            <v>-33284401</v>
          </cell>
          <cell r="P293">
            <v>-33295565</v>
          </cell>
          <cell r="Q293">
            <v>-33295565</v>
          </cell>
          <cell r="R293">
            <v>-33295565</v>
          </cell>
          <cell r="S293">
            <v>-33295565</v>
          </cell>
          <cell r="T293">
            <v>-33295565</v>
          </cell>
          <cell r="U293">
            <v>-33295565</v>
          </cell>
          <cell r="V293">
            <v>-33295565</v>
          </cell>
          <cell r="W293">
            <v>-33295565</v>
          </cell>
          <cell r="X293">
            <v>-33295565</v>
          </cell>
          <cell r="Y293">
            <v>-33295565</v>
          </cell>
          <cell r="Z293">
            <v>-33295565</v>
          </cell>
          <cell r="AA293">
            <v>-33938077</v>
          </cell>
          <cell r="AB293">
            <v>-33295565</v>
          </cell>
          <cell r="AC293">
            <v>-33938077</v>
          </cell>
          <cell r="AD293">
            <v>-33938077</v>
          </cell>
          <cell r="AE293">
            <v>-33938077</v>
          </cell>
          <cell r="AF293">
            <v>-33938077</v>
          </cell>
          <cell r="AG293">
            <v>-33938077</v>
          </cell>
          <cell r="AH293">
            <v>-33938077</v>
          </cell>
          <cell r="AI293">
            <v>-33938077</v>
          </cell>
          <cell r="AJ293">
            <v>-33938077</v>
          </cell>
          <cell r="AK293">
            <v>-33938077</v>
          </cell>
          <cell r="AL293">
            <v>-33938077</v>
          </cell>
          <cell r="AM293">
            <v>-33938077</v>
          </cell>
          <cell r="AN293">
            <v>-31563329</v>
          </cell>
          <cell r="AO293">
            <v>-31563329</v>
          </cell>
          <cell r="AP293">
            <v>-31563329</v>
          </cell>
          <cell r="AQ293">
            <v>-30390812</v>
          </cell>
          <cell r="AR293">
            <v>-30390812</v>
          </cell>
          <cell r="AS293">
            <v>-30390812</v>
          </cell>
          <cell r="AT293">
            <v>-30390812</v>
          </cell>
          <cell r="AU293">
            <v>-30390812</v>
          </cell>
          <cell r="AV293">
            <v>-30390812</v>
          </cell>
          <cell r="AW293">
            <v>-30390812</v>
          </cell>
          <cell r="AX293">
            <v>-30390812</v>
          </cell>
          <cell r="AY293">
            <v>-30390812</v>
          </cell>
          <cell r="AZ293">
            <v>-30039284</v>
          </cell>
          <cell r="BA293">
            <v>-30039284</v>
          </cell>
          <cell r="BB293">
            <v>-30039284</v>
          </cell>
          <cell r="BC293">
            <v>-27963655</v>
          </cell>
          <cell r="BD293">
            <v>-27963655</v>
          </cell>
          <cell r="BE293">
            <v>-27963655</v>
          </cell>
          <cell r="BF293">
            <v>-27963655</v>
          </cell>
          <cell r="BG293">
            <v>-27963655</v>
          </cell>
          <cell r="BH293">
            <v>-27963655</v>
          </cell>
          <cell r="BI293">
            <v>-27963655</v>
          </cell>
          <cell r="BJ293">
            <v>-27963655</v>
          </cell>
          <cell r="BK293">
            <v>-27963655</v>
          </cell>
          <cell r="BL293">
            <v>-27962095</v>
          </cell>
          <cell r="BM293">
            <v>-27962095</v>
          </cell>
          <cell r="BN293">
            <v>-27962095</v>
          </cell>
          <cell r="BO293">
            <v>-27962095</v>
          </cell>
          <cell r="BP293">
            <v>-27962095</v>
          </cell>
          <cell r="BQ293">
            <v>-27962095</v>
          </cell>
          <cell r="BR293">
            <v>-27962095</v>
          </cell>
          <cell r="BS293">
            <v>-27962095</v>
          </cell>
          <cell r="BT293">
            <v>-27962095</v>
          </cell>
          <cell r="BU293">
            <v>-27962095</v>
          </cell>
          <cell r="BV293">
            <v>-27962095</v>
          </cell>
          <cell r="BW293">
            <v>-27962095</v>
          </cell>
          <cell r="BX293">
            <v>-20805063</v>
          </cell>
          <cell r="BY293">
            <v>-20805063</v>
          </cell>
          <cell r="BZ293">
            <v>-20805063</v>
          </cell>
          <cell r="CA293">
            <v>-20805063</v>
          </cell>
          <cell r="CB293">
            <v>-20805063</v>
          </cell>
          <cell r="CC293">
            <v>-20805063</v>
          </cell>
          <cell r="CD293">
            <v>-20805063</v>
          </cell>
          <cell r="CE293">
            <v>-20805063</v>
          </cell>
          <cell r="CF293">
            <v>-20805063</v>
          </cell>
          <cell r="CG293">
            <v>-20805063</v>
          </cell>
          <cell r="CH293">
            <v>-20805063</v>
          </cell>
          <cell r="CI293">
            <v>-20805063</v>
          </cell>
          <cell r="CJ293">
            <v>-17404076</v>
          </cell>
          <cell r="CK293">
            <v>-17404076</v>
          </cell>
          <cell r="CL293">
            <v>-17404076</v>
          </cell>
          <cell r="CM293">
            <v>-17404076</v>
          </cell>
          <cell r="CN293">
            <v>-17404076</v>
          </cell>
          <cell r="CO293">
            <v>-17404076</v>
          </cell>
          <cell r="CP293">
            <v>-17404076</v>
          </cell>
          <cell r="CQ293">
            <v>-17404076</v>
          </cell>
          <cell r="CR293">
            <v>-17404076</v>
          </cell>
          <cell r="CS293">
            <v>-17404076</v>
          </cell>
          <cell r="CT293">
            <v>-17404076</v>
          </cell>
          <cell r="CU293">
            <v>-17404076</v>
          </cell>
          <cell r="CV293">
            <v>-13903851</v>
          </cell>
          <cell r="CW293">
            <v>-13903851</v>
          </cell>
          <cell r="CX293">
            <v>-13903851</v>
          </cell>
          <cell r="CY293">
            <v>-13903851</v>
          </cell>
          <cell r="CZ293">
            <v>-13903851</v>
          </cell>
          <cell r="DA293">
            <v>-13903851</v>
          </cell>
          <cell r="DB293">
            <v>-13903851</v>
          </cell>
          <cell r="DC293">
            <v>-13903851</v>
          </cell>
          <cell r="DD293">
            <v>-13903851</v>
          </cell>
          <cell r="DE293">
            <v>-13903851</v>
          </cell>
          <cell r="DF293">
            <v>-13903851</v>
          </cell>
          <cell r="DG293">
            <v>-13903851</v>
          </cell>
          <cell r="DH293">
            <v>-12618620</v>
          </cell>
        </row>
        <row r="294">
          <cell r="A294">
            <v>2420800</v>
          </cell>
          <cell r="B294">
            <v>2420800</v>
          </cell>
          <cell r="C294" t="str">
            <v>Accru Liab - Misc</v>
          </cell>
          <cell r="D294">
            <v>-170911</v>
          </cell>
          <cell r="E294">
            <v>-181124.67</v>
          </cell>
          <cell r="F294">
            <v>-181134.83</v>
          </cell>
          <cell r="G294">
            <v>-193663.47</v>
          </cell>
          <cell r="H294">
            <v>-200172.17</v>
          </cell>
          <cell r="I294">
            <v>-42383.88</v>
          </cell>
          <cell r="J294">
            <v>-206680.59</v>
          </cell>
          <cell r="K294">
            <v>-48883.88</v>
          </cell>
          <cell r="L294">
            <v>-89697.94</v>
          </cell>
          <cell r="M294">
            <v>-89697.94</v>
          </cell>
          <cell r="N294">
            <v>-89697.94</v>
          </cell>
          <cell r="O294">
            <v>-89697.94</v>
          </cell>
          <cell r="P294">
            <v>-89697.94</v>
          </cell>
          <cell r="Q294">
            <v>-89697.94</v>
          </cell>
          <cell r="R294">
            <v>-89697.94</v>
          </cell>
          <cell r="S294">
            <v>-91514.22</v>
          </cell>
          <cell r="T294">
            <v>-91514.22</v>
          </cell>
          <cell r="U294">
            <v>-91514.22</v>
          </cell>
          <cell r="V294">
            <v>-91514.22</v>
          </cell>
          <cell r="W294">
            <v>-121914.22</v>
          </cell>
          <cell r="X294">
            <v>-121914.22</v>
          </cell>
          <cell r="Y294">
            <v>-121914.22</v>
          </cell>
          <cell r="Z294">
            <v>-132328.28</v>
          </cell>
          <cell r="AA294">
            <v>-1132328.28</v>
          </cell>
          <cell r="AB294">
            <v>-132328.28</v>
          </cell>
          <cell r="AC294">
            <v>-1132328.28</v>
          </cell>
          <cell r="AD294">
            <v>-1132328.28</v>
          </cell>
          <cell r="AE294">
            <v>-3133549.71</v>
          </cell>
          <cell r="AF294">
            <v>-3133549.71</v>
          </cell>
          <cell r="AG294">
            <v>-2133549.71</v>
          </cell>
          <cell r="AH294">
            <v>-133549.71</v>
          </cell>
          <cell r="AI294">
            <v>-133549.71</v>
          </cell>
          <cell r="AJ294">
            <v>-174363.77</v>
          </cell>
          <cell r="AK294">
            <v>-174363.77</v>
          </cell>
          <cell r="AL294">
            <v>-174363.77</v>
          </cell>
          <cell r="AM294">
            <v>-174363.77</v>
          </cell>
          <cell r="AN294">
            <v>-174363.77</v>
          </cell>
          <cell r="AO294">
            <v>-174363.77</v>
          </cell>
          <cell r="AP294">
            <v>-175930.55</v>
          </cell>
          <cell r="AQ294">
            <v>-175930.55</v>
          </cell>
          <cell r="AR294">
            <v>-175930.55</v>
          </cell>
          <cell r="AS294">
            <v>-175930.55</v>
          </cell>
          <cell r="AT294">
            <v>-175930.55</v>
          </cell>
          <cell r="AU294">
            <v>-175930.55</v>
          </cell>
          <cell r="AV294">
            <v>-175930.55</v>
          </cell>
          <cell r="AW294">
            <v>-175930.55</v>
          </cell>
          <cell r="AX294">
            <v>-228446.58</v>
          </cell>
          <cell r="AY294">
            <v>-228446.58</v>
          </cell>
          <cell r="AZ294">
            <v>-228446.58</v>
          </cell>
          <cell r="BA294">
            <v>-228446.58</v>
          </cell>
          <cell r="BB294">
            <v>-228446.58</v>
          </cell>
          <cell r="BC294">
            <v>-229330.55</v>
          </cell>
          <cell r="BD294">
            <v>-229330.55</v>
          </cell>
          <cell r="BE294">
            <v>-229330.55</v>
          </cell>
          <cell r="BF294">
            <v>-229330.55</v>
          </cell>
          <cell r="BG294">
            <v>-229330.55</v>
          </cell>
          <cell r="BH294">
            <v>-229330.55</v>
          </cell>
          <cell r="BI294">
            <v>-229330.55</v>
          </cell>
          <cell r="BJ294">
            <v>-36160</v>
          </cell>
          <cell r="BK294">
            <v>-36160</v>
          </cell>
          <cell r="BL294">
            <v>-36160</v>
          </cell>
          <cell r="BM294">
            <v>-97777.95</v>
          </cell>
          <cell r="BN294">
            <v>-102139.46</v>
          </cell>
          <cell r="BO294">
            <v>-102139.46</v>
          </cell>
          <cell r="BP294">
            <v>-102139.46</v>
          </cell>
          <cell r="BQ294">
            <v>-102139.46</v>
          </cell>
          <cell r="BR294">
            <v>-102139.46</v>
          </cell>
          <cell r="BS294">
            <v>-102139.46</v>
          </cell>
          <cell r="BT294">
            <v>-102139.46</v>
          </cell>
          <cell r="BU294">
            <v>-102139.46</v>
          </cell>
          <cell r="BV294">
            <v>-102139.46</v>
          </cell>
          <cell r="BW294">
            <v>-102139.46</v>
          </cell>
          <cell r="BX294">
            <v>-102139.46</v>
          </cell>
          <cell r="BY294">
            <v>-102139.46</v>
          </cell>
          <cell r="BZ294">
            <v>-181060.46</v>
          </cell>
          <cell r="CA294">
            <v>-181060.46</v>
          </cell>
          <cell r="CB294">
            <v>-181060.46</v>
          </cell>
          <cell r="CC294">
            <v>-181060.46</v>
          </cell>
          <cell r="CD294">
            <v>-181060.46</v>
          </cell>
          <cell r="CE294">
            <v>-181060.46</v>
          </cell>
          <cell r="CF294">
            <v>-181060.46</v>
          </cell>
          <cell r="CG294">
            <v>-181060.46</v>
          </cell>
          <cell r="CH294">
            <v>-181060.46</v>
          </cell>
          <cell r="CI294">
            <v>-181060.46</v>
          </cell>
          <cell r="CJ294">
            <v>-181060.46</v>
          </cell>
          <cell r="CK294">
            <v>-181060.46</v>
          </cell>
          <cell r="CL294">
            <v>-181060.46</v>
          </cell>
          <cell r="CM294">
            <v>-261025.46</v>
          </cell>
          <cell r="CN294">
            <v>-261025.46</v>
          </cell>
          <cell r="CO294">
            <v>-261025.46</v>
          </cell>
          <cell r="CP294">
            <v>-261025.46</v>
          </cell>
          <cell r="CQ294">
            <v>-261025.46</v>
          </cell>
          <cell r="CR294">
            <v>-261025.46</v>
          </cell>
          <cell r="CS294">
            <v>-261025.46</v>
          </cell>
          <cell r="CT294">
            <v>-261025.46</v>
          </cell>
          <cell r="CU294">
            <v>-261025.46</v>
          </cell>
          <cell r="CV294">
            <v>-261025.46</v>
          </cell>
          <cell r="CW294">
            <v>-261025.46</v>
          </cell>
          <cell r="CX294">
            <v>-336220.52</v>
          </cell>
          <cell r="CY294">
            <v>-343067.52</v>
          </cell>
          <cell r="CZ294">
            <v>-343067.52</v>
          </cell>
          <cell r="DA294">
            <v>-343067.52</v>
          </cell>
          <cell r="DB294">
            <v>-343067.52</v>
          </cell>
          <cell r="DC294">
            <v>-343067.52</v>
          </cell>
          <cell r="DD294">
            <v>-343067.52</v>
          </cell>
          <cell r="DE294">
            <v>-343067.52</v>
          </cell>
          <cell r="DF294">
            <v>-343067.52</v>
          </cell>
          <cell r="DG294">
            <v>-343067.52</v>
          </cell>
          <cell r="DH294">
            <v>-343067.52</v>
          </cell>
        </row>
        <row r="295">
          <cell r="A295">
            <v>2450100</v>
          </cell>
          <cell r="B295">
            <v>2450100</v>
          </cell>
          <cell r="C295" t="str">
            <v>Curr Deriv Liab</v>
          </cell>
          <cell r="D295">
            <v>-7120</v>
          </cell>
          <cell r="E295">
            <v>0</v>
          </cell>
          <cell r="F295">
            <v>0</v>
          </cell>
          <cell r="G295">
            <v>0</v>
          </cell>
          <cell r="H295">
            <v>0</v>
          </cell>
          <cell r="I295">
            <v>-128875</v>
          </cell>
          <cell r="J295">
            <v>-38715</v>
          </cell>
          <cell r="K295">
            <v>-2468590</v>
          </cell>
          <cell r="L295">
            <v>-1173365</v>
          </cell>
          <cell r="M295">
            <v>-1223070</v>
          </cell>
          <cell r="N295">
            <v>-2881650</v>
          </cell>
          <cell r="O295">
            <v>-2014370</v>
          </cell>
          <cell r="P295">
            <v>-7392240</v>
          </cell>
          <cell r="Q295">
            <v>-7790065</v>
          </cell>
          <cell r="R295">
            <v>-6393740</v>
          </cell>
          <cell r="S295">
            <v>-6342450</v>
          </cell>
          <cell r="T295">
            <v>-5637320</v>
          </cell>
          <cell r="U295">
            <v>-5755855</v>
          </cell>
          <cell r="V295">
            <v>-4880205</v>
          </cell>
          <cell r="W295">
            <v>-4858745</v>
          </cell>
          <cell r="X295">
            <v>-5110565</v>
          </cell>
          <cell r="Y295">
            <v>-5737865</v>
          </cell>
          <cell r="Z295">
            <v>-7190665</v>
          </cell>
          <cell r="AA295">
            <v>-5677115</v>
          </cell>
          <cell r="AB295">
            <v>-7185065</v>
          </cell>
          <cell r="AC295">
            <v>-4421245</v>
          </cell>
          <cell r="AD295">
            <v>-5029175</v>
          </cell>
          <cell r="AE295">
            <v>-3317630</v>
          </cell>
          <cell r="AF295">
            <v>-1955540</v>
          </cell>
          <cell r="AG295">
            <v>-1672795</v>
          </cell>
          <cell r="AH295">
            <v>-343605</v>
          </cell>
          <cell r="AI295">
            <v>-334975</v>
          </cell>
          <cell r="AJ295">
            <v>-322945</v>
          </cell>
          <cell r="AK295">
            <v>-385945</v>
          </cell>
          <cell r="AL295">
            <v>-407985</v>
          </cell>
          <cell r="AM295">
            <v>-73985</v>
          </cell>
          <cell r="AN295">
            <v>0</v>
          </cell>
          <cell r="AO295">
            <v>-55450</v>
          </cell>
          <cell r="AP295">
            <v>-358425</v>
          </cell>
          <cell r="AQ295">
            <v>0</v>
          </cell>
          <cell r="AR295">
            <v>0</v>
          </cell>
          <cell r="AS295">
            <v>-3400</v>
          </cell>
          <cell r="AT295">
            <v>-20300</v>
          </cell>
          <cell r="AU295">
            <v>-132075</v>
          </cell>
          <cell r="AV295">
            <v>-4680</v>
          </cell>
          <cell r="AW295">
            <v>-9230</v>
          </cell>
          <cell r="AX295">
            <v>-138225</v>
          </cell>
          <cell r="AY295">
            <v>-60555</v>
          </cell>
          <cell r="AZ295">
            <v>-181065</v>
          </cell>
          <cell r="BA295">
            <v>-1780</v>
          </cell>
          <cell r="BB295">
            <v>-113125</v>
          </cell>
          <cell r="BC295">
            <v>-32645</v>
          </cell>
          <cell r="BD295">
            <v>-25690</v>
          </cell>
          <cell r="BE295">
            <v>0</v>
          </cell>
          <cell r="BF295">
            <v>-280</v>
          </cell>
          <cell r="BG295">
            <v>-11720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row>
        <row r="296">
          <cell r="A296">
            <v>2450200</v>
          </cell>
          <cell r="B296">
            <v>2450200</v>
          </cell>
          <cell r="C296" t="str">
            <v>LT Deriv Liab</v>
          </cell>
          <cell r="D296">
            <v>-28565</v>
          </cell>
          <cell r="E296">
            <v>-16835</v>
          </cell>
          <cell r="F296">
            <v>-11185</v>
          </cell>
          <cell r="G296">
            <v>-18490</v>
          </cell>
          <cell r="H296">
            <v>-800</v>
          </cell>
          <cell r="I296">
            <v>-58765</v>
          </cell>
          <cell r="J296">
            <v>-48975</v>
          </cell>
          <cell r="K296">
            <v>-780035</v>
          </cell>
          <cell r="L296">
            <v>-352435</v>
          </cell>
          <cell r="M296">
            <v>-394780</v>
          </cell>
          <cell r="N296">
            <v>-777250</v>
          </cell>
          <cell r="O296">
            <v>-688750</v>
          </cell>
          <cell r="P296">
            <v>-1593250</v>
          </cell>
          <cell r="Q296">
            <v>-1274880</v>
          </cell>
          <cell r="R296">
            <v>-1033930</v>
          </cell>
          <cell r="S296">
            <v>-879585</v>
          </cell>
          <cell r="T296">
            <v>-655185</v>
          </cell>
          <cell r="U296">
            <v>-552090</v>
          </cell>
          <cell r="V296">
            <v>-314130</v>
          </cell>
          <cell r="W296">
            <v>-359700</v>
          </cell>
          <cell r="X296">
            <v>-439100</v>
          </cell>
          <cell r="Y296">
            <v>-594500</v>
          </cell>
          <cell r="Z296">
            <v>-853370</v>
          </cell>
          <cell r="AA296">
            <v>-668840</v>
          </cell>
          <cell r="AB296">
            <v>-880470</v>
          </cell>
          <cell r="AC296">
            <v>-461890</v>
          </cell>
          <cell r="AD296">
            <v>-401870</v>
          </cell>
          <cell r="AE296">
            <v>-134920</v>
          </cell>
          <cell r="AF296">
            <v>-16250</v>
          </cell>
          <cell r="AG296">
            <v>-15820</v>
          </cell>
          <cell r="AH296">
            <v>0</v>
          </cell>
          <cell r="AI296">
            <v>0</v>
          </cell>
          <cell r="AJ296">
            <v>-480</v>
          </cell>
          <cell r="AK296">
            <v>-18320</v>
          </cell>
          <cell r="AL296">
            <v>-530</v>
          </cell>
          <cell r="AM296">
            <v>-2800</v>
          </cell>
          <cell r="AN296">
            <v>0</v>
          </cell>
          <cell r="AO296">
            <v>-600</v>
          </cell>
          <cell r="AP296">
            <v>-31075</v>
          </cell>
          <cell r="AQ296">
            <v>-4235</v>
          </cell>
          <cell r="AR296">
            <v>0</v>
          </cell>
          <cell r="AS296">
            <v>-520</v>
          </cell>
          <cell r="AT296">
            <v>-1980</v>
          </cell>
          <cell r="AU296">
            <v>-7950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row>
        <row r="297">
          <cell r="A297">
            <v>2520000</v>
          </cell>
          <cell r="B297">
            <v>2520000</v>
          </cell>
          <cell r="C297" t="str">
            <v>Cust Adv Constructin</v>
          </cell>
          <cell r="D297">
            <v>-7564144.2999999998</v>
          </cell>
          <cell r="E297">
            <v>-7714348.2999999998</v>
          </cell>
          <cell r="F297">
            <v>-7764979.2999999998</v>
          </cell>
          <cell r="G297">
            <v>-7827894.2999999998</v>
          </cell>
          <cell r="H297">
            <v>-7873622.2999999998</v>
          </cell>
          <cell r="I297">
            <v>-8035636.5800000001</v>
          </cell>
          <cell r="J297">
            <v>-7945592.2999999998</v>
          </cell>
          <cell r="K297">
            <v>-8825586.5800000001</v>
          </cell>
          <cell r="L297">
            <v>-8912566.5800000001</v>
          </cell>
          <cell r="M297">
            <v>-8955974.0800000001</v>
          </cell>
          <cell r="N297">
            <v>-9024982</v>
          </cell>
          <cell r="O297">
            <v>-9822978</v>
          </cell>
          <cell r="P297">
            <v>-9842365</v>
          </cell>
          <cell r="Q297">
            <v>-9944960.2400000002</v>
          </cell>
          <cell r="R297">
            <v>-10017496.24</v>
          </cell>
          <cell r="S297">
            <v>-10092194.59</v>
          </cell>
          <cell r="T297">
            <v>-10903349.59</v>
          </cell>
          <cell r="U297">
            <v>-11184513.59</v>
          </cell>
          <cell r="V297">
            <v>-11269305.109999999</v>
          </cell>
          <cell r="W297">
            <v>-11293093.109999999</v>
          </cell>
          <cell r="X297">
            <v>-11468225.109999999</v>
          </cell>
          <cell r="Y297">
            <v>-11498118.130000001</v>
          </cell>
          <cell r="Z297">
            <v>-11549763.130000001</v>
          </cell>
          <cell r="AA297">
            <v>-11625385.449999999</v>
          </cell>
          <cell r="AB297">
            <v>-11593557.449999999</v>
          </cell>
          <cell r="AC297">
            <v>-11656524.449999999</v>
          </cell>
          <cell r="AD297">
            <v>-11952660.460000001</v>
          </cell>
          <cell r="AE297">
            <v>-11992238.460000001</v>
          </cell>
          <cell r="AF297">
            <v>-12090722.460000001</v>
          </cell>
          <cell r="AG297">
            <v>-12161249.460000001</v>
          </cell>
          <cell r="AH297">
            <v>-12372744.460000001</v>
          </cell>
          <cell r="AI297">
            <v>-12480523.460000001</v>
          </cell>
          <cell r="AJ297">
            <v>-12590723.460000001</v>
          </cell>
          <cell r="AK297">
            <v>-12662933.039999999</v>
          </cell>
          <cell r="AL297">
            <v>-12745836.039999999</v>
          </cell>
          <cell r="AM297">
            <v>-12438231.640000001</v>
          </cell>
          <cell r="AN297">
            <v>-12639677.640000001</v>
          </cell>
          <cell r="AO297">
            <v>-12165105.75</v>
          </cell>
          <cell r="AP297">
            <v>-12044118.57</v>
          </cell>
          <cell r="AQ297">
            <v>-12174977.210000001</v>
          </cell>
          <cell r="AR297">
            <v>-12309216.210000001</v>
          </cell>
          <cell r="AS297">
            <v>-12446195.210000001</v>
          </cell>
          <cell r="AT297">
            <v>-11296197.34</v>
          </cell>
          <cell r="AU297">
            <v>-9914451.8699999992</v>
          </cell>
          <cell r="AV297">
            <v>-9831064.5199999996</v>
          </cell>
          <cell r="AW297">
            <v>-9936897.5199999996</v>
          </cell>
          <cell r="AX297">
            <v>-10007435.52</v>
          </cell>
          <cell r="AY297">
            <v>-10047282.52</v>
          </cell>
          <cell r="AZ297">
            <v>-9607066.0800000001</v>
          </cell>
          <cell r="BA297">
            <v>-9573848.2899999991</v>
          </cell>
          <cell r="BB297">
            <v>-9728965.2899999991</v>
          </cell>
          <cell r="BC297">
            <v>-9807070.2899999991</v>
          </cell>
          <cell r="BD297">
            <v>-9950721.1799999997</v>
          </cell>
          <cell r="BE297">
            <v>-10073247.18</v>
          </cell>
          <cell r="BF297">
            <v>-10218869.18</v>
          </cell>
          <cell r="BG297">
            <v>-9921752.1600000001</v>
          </cell>
          <cell r="BH297">
            <v>-10073764.16</v>
          </cell>
          <cell r="BI297">
            <v>-10228447.51</v>
          </cell>
          <cell r="BJ297">
            <v>-10362898.27</v>
          </cell>
          <cell r="BK297">
            <v>-10539340.27</v>
          </cell>
          <cell r="BL297">
            <v>-10634955.27</v>
          </cell>
          <cell r="BM297">
            <v>-10826694.27</v>
          </cell>
          <cell r="BN297">
            <v>-11003766.27</v>
          </cell>
          <cell r="BO297">
            <v>-11120203.27</v>
          </cell>
          <cell r="BP297">
            <v>-11325462.27</v>
          </cell>
          <cell r="BQ297">
            <v>-11511792.27</v>
          </cell>
          <cell r="BR297">
            <v>-11785480.27</v>
          </cell>
          <cell r="BS297">
            <v>-11862644.27</v>
          </cell>
          <cell r="BT297">
            <v>-12925400.09</v>
          </cell>
          <cell r="BU297">
            <v>-12405990.039999999</v>
          </cell>
          <cell r="BV297">
            <v>-12710800.039999999</v>
          </cell>
          <cell r="BW297">
            <v>-12794821.32</v>
          </cell>
          <cell r="BX297">
            <v>-12952701.32</v>
          </cell>
          <cell r="BY297">
            <v>-13089078.98</v>
          </cell>
          <cell r="BZ297">
            <v>-13337566.98</v>
          </cell>
          <cell r="CA297">
            <v>-13479083.98</v>
          </cell>
          <cell r="CB297">
            <v>-13776579.98</v>
          </cell>
          <cell r="CC297">
            <v>-13915894.98</v>
          </cell>
          <cell r="CD297">
            <v>-14332008.98</v>
          </cell>
          <cell r="CE297">
            <v>-14545070.98</v>
          </cell>
          <cell r="CF297">
            <v>-14664981.98</v>
          </cell>
          <cell r="CG297">
            <v>-14788227.98</v>
          </cell>
          <cell r="CH297">
            <v>-14958396.98</v>
          </cell>
          <cell r="CI297">
            <v>-15370480.98</v>
          </cell>
          <cell r="CJ297">
            <v>-15681265.48</v>
          </cell>
          <cell r="CK297">
            <v>-15814281.48</v>
          </cell>
          <cell r="CL297">
            <v>-15923750.48</v>
          </cell>
          <cell r="CM297">
            <v>-16390079.48</v>
          </cell>
          <cell r="CN297">
            <v>-16722185.960000001</v>
          </cell>
          <cell r="CO297">
            <v>-16873568.960000001</v>
          </cell>
          <cell r="CP297">
            <v>-17005221.239999998</v>
          </cell>
          <cell r="CQ297">
            <v>-17164304.239999998</v>
          </cell>
          <cell r="CR297">
            <v>-17243754.239999998</v>
          </cell>
          <cell r="CS297">
            <v>-17573631.640000001</v>
          </cell>
          <cell r="CT297">
            <v>-17895821.640000001</v>
          </cell>
          <cell r="CU297">
            <v>-18117211.640000001</v>
          </cell>
          <cell r="CV297">
            <v>-18210107.640000001</v>
          </cell>
          <cell r="CW297">
            <v>-18325299.010000002</v>
          </cell>
          <cell r="CX297">
            <v>-18691975.640000001</v>
          </cell>
          <cell r="CY297">
            <v>-18995225.640000001</v>
          </cell>
          <cell r="CZ297">
            <v>-19514099.91</v>
          </cell>
          <cell r="DA297">
            <v>-19823385.920000002</v>
          </cell>
          <cell r="DB297">
            <v>-20211822.920000002</v>
          </cell>
          <cell r="DC297">
            <v>-20537692.920000002</v>
          </cell>
          <cell r="DD297">
            <v>-21002287.420000002</v>
          </cell>
          <cell r="DE297">
            <v>-21468778.420000002</v>
          </cell>
          <cell r="DF297">
            <v>-21711739.420000002</v>
          </cell>
          <cell r="DG297">
            <v>-21948610.420000002</v>
          </cell>
          <cell r="DH297">
            <v>-22520306.420000002</v>
          </cell>
        </row>
        <row r="298">
          <cell r="A298">
            <v>2530110</v>
          </cell>
          <cell r="B298">
            <v>2530110</v>
          </cell>
          <cell r="C298" t="str">
            <v>DfCr PenaltyFIN48 C</v>
          </cell>
          <cell r="D298"/>
          <cell r="E298"/>
          <cell r="F298"/>
          <cell r="G298"/>
          <cell r="H298"/>
          <cell r="I298"/>
          <cell r="J298"/>
          <cell r="K298"/>
          <cell r="L298"/>
          <cell r="M298"/>
          <cell r="N298"/>
          <cell r="O298"/>
          <cell r="P298"/>
          <cell r="Q298"/>
          <cell r="R298"/>
          <cell r="S298"/>
          <cell r="T298"/>
          <cell r="U298"/>
          <cell r="V298"/>
          <cell r="W298"/>
          <cell r="X298"/>
          <cell r="Y298"/>
          <cell r="Z298"/>
          <cell r="AA298"/>
          <cell r="AB298"/>
          <cell r="AC298"/>
          <cell r="AD298"/>
          <cell r="AE298"/>
          <cell r="AF298"/>
          <cell r="AG298"/>
          <cell r="AH298"/>
          <cell r="AI298"/>
          <cell r="AJ298"/>
          <cell r="AK298"/>
          <cell r="AL298"/>
          <cell r="AM298"/>
          <cell r="AN298"/>
          <cell r="AO298"/>
          <cell r="AP298"/>
          <cell r="AQ298"/>
          <cell r="AR298"/>
          <cell r="AS298"/>
          <cell r="AT298"/>
          <cell r="AU298"/>
          <cell r="AV298"/>
          <cell r="AW298"/>
          <cell r="AX298"/>
          <cell r="AY298"/>
          <cell r="AZ298"/>
          <cell r="BA298"/>
          <cell r="BB298"/>
          <cell r="BC298"/>
          <cell r="BD298">
            <v>0</v>
          </cell>
          <cell r="BE298">
            <v>-10000</v>
          </cell>
          <cell r="BF298">
            <v>-10000</v>
          </cell>
          <cell r="BG298">
            <v>-10000</v>
          </cell>
          <cell r="BH298">
            <v>-10000</v>
          </cell>
          <cell r="BI298">
            <v>-10000</v>
          </cell>
          <cell r="BJ298">
            <v>-10000</v>
          </cell>
          <cell r="BK298">
            <v>-10000</v>
          </cell>
          <cell r="BL298">
            <v>-10000</v>
          </cell>
          <cell r="BM298">
            <v>-10000</v>
          </cell>
          <cell r="BN298">
            <v>-10000</v>
          </cell>
          <cell r="BO298">
            <v>-10000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cell r="CI298"/>
          <cell r="CJ298"/>
          <cell r="CK298"/>
          <cell r="CL298"/>
          <cell r="CM298"/>
          <cell r="CN298"/>
          <cell r="CO298"/>
          <cell r="CP298"/>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row>
        <row r="299">
          <cell r="A299">
            <v>2530130</v>
          </cell>
          <cell r="B299">
            <v>2530130</v>
          </cell>
          <cell r="C299" t="str">
            <v>Contract Retentions - Current (Posting)</v>
          </cell>
          <cell r="D299"/>
          <cell r="E299"/>
          <cell r="F299"/>
          <cell r="G299"/>
          <cell r="H299"/>
          <cell r="I299"/>
          <cell r="J299"/>
          <cell r="K299"/>
          <cell r="L299"/>
          <cell r="M299"/>
          <cell r="N299"/>
          <cell r="O299"/>
          <cell r="P299"/>
          <cell r="Q299"/>
          <cell r="R299"/>
          <cell r="S299"/>
          <cell r="T299"/>
          <cell r="U299"/>
          <cell r="V299"/>
          <cell r="W299"/>
          <cell r="X299"/>
          <cell r="Y299"/>
          <cell r="Z299"/>
          <cell r="AA299"/>
          <cell r="AB299"/>
          <cell r="AC299"/>
          <cell r="AD299"/>
          <cell r="AE299"/>
          <cell r="AF299"/>
          <cell r="AG299"/>
          <cell r="AH299"/>
          <cell r="AI299"/>
          <cell r="AJ299"/>
          <cell r="AK299"/>
          <cell r="AL299"/>
          <cell r="AM299"/>
          <cell r="AN299"/>
          <cell r="AO299"/>
          <cell r="AP299"/>
          <cell r="AQ299"/>
          <cell r="AR299"/>
          <cell r="AS299"/>
          <cell r="AT299"/>
          <cell r="AU299"/>
          <cell r="AV299"/>
          <cell r="AW299"/>
          <cell r="AX299"/>
          <cell r="AY299"/>
          <cell r="AZ299"/>
          <cell r="BA299"/>
          <cell r="BB299"/>
          <cell r="BC299"/>
          <cell r="BD299"/>
          <cell r="BE299"/>
          <cell r="BF299"/>
          <cell r="BG299"/>
          <cell r="BH299"/>
          <cell r="BI299"/>
          <cell r="BJ299"/>
          <cell r="BK299"/>
          <cell r="BL299"/>
          <cell r="BM299"/>
          <cell r="BN299"/>
          <cell r="BO299"/>
          <cell r="BP299"/>
          <cell r="BQ299"/>
          <cell r="BR299"/>
          <cell r="BS299"/>
          <cell r="BT299"/>
          <cell r="BU299"/>
          <cell r="BV299"/>
          <cell r="BW299"/>
          <cell r="BX299"/>
          <cell r="BY299"/>
          <cell r="BZ299"/>
          <cell r="CA299"/>
          <cell r="CB299"/>
          <cell r="CC299"/>
          <cell r="CD299"/>
          <cell r="CE299"/>
          <cell r="CF299"/>
          <cell r="CG299"/>
          <cell r="CH299"/>
          <cell r="CI299"/>
          <cell r="CJ299"/>
          <cell r="CK299"/>
          <cell r="CL299"/>
          <cell r="CM299"/>
          <cell r="CN299"/>
          <cell r="CO299"/>
          <cell r="CP299"/>
          <cell r="CQ299"/>
          <cell r="CR299"/>
          <cell r="CS299"/>
          <cell r="CT299">
            <v>-1590949.62</v>
          </cell>
          <cell r="CU299">
            <v>-1409523.56</v>
          </cell>
          <cell r="CV299">
            <v>-1514945.05</v>
          </cell>
          <cell r="CW299">
            <v>-1516679.06</v>
          </cell>
          <cell r="CX299">
            <v>-1533529.31</v>
          </cell>
          <cell r="CY299">
            <v>-1533622.81</v>
          </cell>
          <cell r="CZ299">
            <v>-1533529.31</v>
          </cell>
          <cell r="DA299">
            <v>-1349645.93</v>
          </cell>
          <cell r="DB299">
            <v>-1347229.15</v>
          </cell>
          <cell r="DC299">
            <v>-1289049.8400000001</v>
          </cell>
          <cell r="DD299">
            <v>-1232380.8500000001</v>
          </cell>
          <cell r="DE299">
            <v>-1350153.43</v>
          </cell>
          <cell r="DF299">
            <v>-1448500.46</v>
          </cell>
          <cell r="DG299">
            <v>-931042.76</v>
          </cell>
          <cell r="DH299">
            <v>-902569.22</v>
          </cell>
        </row>
        <row r="300">
          <cell r="A300">
            <v>2530299</v>
          </cell>
          <cell r="B300">
            <v>2530299</v>
          </cell>
          <cell r="C300" t="str">
            <v>Contract Reten RECON</v>
          </cell>
          <cell r="D300">
            <v>-566504.38</v>
          </cell>
          <cell r="E300">
            <v>-531508.85</v>
          </cell>
          <cell r="F300">
            <v>-605474.18999999994</v>
          </cell>
          <cell r="G300">
            <v>-678091.78</v>
          </cell>
          <cell r="H300">
            <v>-607676.19999999995</v>
          </cell>
          <cell r="I300">
            <v>-636622.56000000006</v>
          </cell>
          <cell r="J300">
            <v>-710262.8</v>
          </cell>
          <cell r="K300">
            <v>-629608.51</v>
          </cell>
          <cell r="L300">
            <v>-723921.05</v>
          </cell>
          <cell r="M300">
            <v>-661942.4</v>
          </cell>
          <cell r="N300">
            <v>-773942.63</v>
          </cell>
          <cell r="O300">
            <v>-764450.2</v>
          </cell>
          <cell r="P300">
            <v>-878830.62</v>
          </cell>
          <cell r="Q300">
            <v>-965539.05</v>
          </cell>
          <cell r="R300">
            <v>-721521.15</v>
          </cell>
          <cell r="S300">
            <v>-683352.77</v>
          </cell>
          <cell r="T300">
            <v>-579249.14</v>
          </cell>
          <cell r="U300">
            <v>-536674.63</v>
          </cell>
          <cell r="V300">
            <v>-490485.7</v>
          </cell>
          <cell r="W300">
            <v>-368982.24</v>
          </cell>
          <cell r="X300">
            <v>-309693.28999999998</v>
          </cell>
          <cell r="Y300">
            <v>-352621.57</v>
          </cell>
          <cell r="Z300">
            <v>-355956.31</v>
          </cell>
          <cell r="AA300">
            <v>-550781.76</v>
          </cell>
          <cell r="AB300">
            <v>-440762.27</v>
          </cell>
          <cell r="AC300">
            <v>-572406.91</v>
          </cell>
          <cell r="AD300">
            <v>-621317.74</v>
          </cell>
          <cell r="AE300">
            <v>-570152.56000000006</v>
          </cell>
          <cell r="AF300">
            <v>-549891.73</v>
          </cell>
          <cell r="AG300">
            <v>-630787.83999999997</v>
          </cell>
          <cell r="AH300">
            <v>-279075.18</v>
          </cell>
          <cell r="AI300">
            <v>-491475.68</v>
          </cell>
          <cell r="AJ300">
            <v>-531213.67000000004</v>
          </cell>
          <cell r="AK300">
            <v>-646068.31000000006</v>
          </cell>
          <cell r="AL300">
            <v>-721704.56</v>
          </cell>
          <cell r="AM300">
            <v>-912506.33</v>
          </cell>
          <cell r="AN300">
            <v>-983590.64</v>
          </cell>
          <cell r="AO300">
            <v>-660001.98</v>
          </cell>
          <cell r="AP300">
            <v>-709601.74</v>
          </cell>
          <cell r="AQ300">
            <v>-540045.82999999996</v>
          </cell>
          <cell r="AR300">
            <v>-596321.55000000005</v>
          </cell>
          <cell r="AS300">
            <v>-605881.39</v>
          </cell>
          <cell r="AT300">
            <v>-638425.19999999995</v>
          </cell>
          <cell r="AU300">
            <v>-655217.18000000005</v>
          </cell>
          <cell r="AV300">
            <v>-829330.28</v>
          </cell>
          <cell r="AW300">
            <v>-911909.67</v>
          </cell>
          <cell r="AX300">
            <v>-1098851.5900000001</v>
          </cell>
          <cell r="AY300">
            <v>-1123652.3999999999</v>
          </cell>
          <cell r="AZ300">
            <v>-951948.11</v>
          </cell>
          <cell r="BA300">
            <v>-813743.18</v>
          </cell>
          <cell r="BB300">
            <v>-954802.42</v>
          </cell>
          <cell r="BC300">
            <v>-1111840.8799999999</v>
          </cell>
          <cell r="BD300">
            <v>-1132525.3400000001</v>
          </cell>
          <cell r="BE300">
            <v>-1258288.58</v>
          </cell>
          <cell r="BF300">
            <v>-1355438.56</v>
          </cell>
          <cell r="BG300">
            <v>-1489591.78</v>
          </cell>
          <cell r="BH300">
            <v>-1684526.11</v>
          </cell>
          <cell r="BI300">
            <v>-1763745.79</v>
          </cell>
          <cell r="BJ300">
            <v>-1991467.62</v>
          </cell>
          <cell r="BK300">
            <v>-2291831.2400000002</v>
          </cell>
          <cell r="BL300">
            <v>-2421306.73</v>
          </cell>
          <cell r="BM300">
            <v>-2234225.41</v>
          </cell>
          <cell r="BN300">
            <v>-2259302.14</v>
          </cell>
          <cell r="BO300">
            <v>-2535685.15</v>
          </cell>
          <cell r="BP300">
            <v>-2642939.81</v>
          </cell>
          <cell r="BQ300">
            <v>-2208946.2400000002</v>
          </cell>
          <cell r="BR300">
            <v>-2655898.4900000002</v>
          </cell>
          <cell r="BS300">
            <v>-3000384.84</v>
          </cell>
          <cell r="BT300">
            <v>-3386955.84</v>
          </cell>
          <cell r="BU300">
            <v>-3647167.5</v>
          </cell>
          <cell r="BV300">
            <v>-3874714.76</v>
          </cell>
          <cell r="BW300">
            <v>-3828292.2</v>
          </cell>
          <cell r="BX300">
            <v>-4133004.11</v>
          </cell>
          <cell r="BY300">
            <v>-4483609.68</v>
          </cell>
          <cell r="BZ300">
            <v>-4189045.62</v>
          </cell>
          <cell r="CA300">
            <v>-4493992.13</v>
          </cell>
          <cell r="CB300">
            <v>-5561285.6399999997</v>
          </cell>
          <cell r="CC300">
            <v>-6435470.4400000004</v>
          </cell>
          <cell r="CD300">
            <v>-6601226.0199999996</v>
          </cell>
          <cell r="CE300">
            <v>-6637965.6600000001</v>
          </cell>
          <cell r="CF300">
            <v>-6410533.4000000004</v>
          </cell>
          <cell r="CG300">
            <v>-6307697</v>
          </cell>
          <cell r="CH300">
            <v>-6187298.9000000004</v>
          </cell>
          <cell r="CI300">
            <v>-6136493.46</v>
          </cell>
          <cell r="CJ300">
            <v>-5957945</v>
          </cell>
          <cell r="CK300">
            <v>-6184140.5</v>
          </cell>
          <cell r="CL300">
            <v>-4482287.63</v>
          </cell>
          <cell r="CM300">
            <v>-1499384.26</v>
          </cell>
          <cell r="CN300">
            <v>-1474945.08</v>
          </cell>
          <cell r="CO300">
            <v>-1357732.57</v>
          </cell>
          <cell r="CP300">
            <v>-1234663.7</v>
          </cell>
          <cell r="CQ300">
            <v>-1447917.51</v>
          </cell>
          <cell r="CR300">
            <v>-1450144.64</v>
          </cell>
          <cell r="CS300">
            <v>-1517093.89</v>
          </cell>
          <cell r="CT300">
            <v>-1590949.62</v>
          </cell>
          <cell r="CU300">
            <v>-1409523.56</v>
          </cell>
          <cell r="CV300">
            <v>-1514945.05</v>
          </cell>
          <cell r="CW300">
            <v>-1516679.06</v>
          </cell>
          <cell r="CX300">
            <v>-1533529.31</v>
          </cell>
          <cell r="CY300">
            <v>-1533622.81</v>
          </cell>
          <cell r="CZ300">
            <v>-1533529.31</v>
          </cell>
          <cell r="DA300">
            <v>-1349645.93</v>
          </cell>
          <cell r="DB300">
            <v>-1347229.15</v>
          </cell>
          <cell r="DC300">
            <v>-1289049.8400000001</v>
          </cell>
          <cell r="DD300">
            <v>-1232380.8500000001</v>
          </cell>
          <cell r="DE300">
            <v>-1350153.43</v>
          </cell>
          <cell r="DF300">
            <v>-1448500.46</v>
          </cell>
          <cell r="DG300">
            <v>-931042.76</v>
          </cell>
          <cell r="DH300">
            <v>-902569.22</v>
          </cell>
        </row>
        <row r="301">
          <cell r="A301">
            <v>2530300</v>
          </cell>
          <cell r="B301">
            <v>2530300</v>
          </cell>
          <cell r="C301" t="str">
            <v>Oth Defd CR-Contract Retentions (Posting)</v>
          </cell>
          <cell r="D301"/>
          <cell r="E301"/>
          <cell r="F301"/>
          <cell r="G301"/>
          <cell r="H301"/>
          <cell r="I301"/>
          <cell r="J301"/>
          <cell r="K301"/>
          <cell r="L301"/>
          <cell r="M301"/>
          <cell r="N301"/>
          <cell r="O301"/>
          <cell r="P301"/>
          <cell r="Q301"/>
          <cell r="R301"/>
          <cell r="S301"/>
          <cell r="T301"/>
          <cell r="U301"/>
          <cell r="V301"/>
          <cell r="W301"/>
          <cell r="X301"/>
          <cell r="Y301"/>
          <cell r="Z301"/>
          <cell r="AA301"/>
          <cell r="AB301"/>
          <cell r="AC301"/>
          <cell r="AD301"/>
          <cell r="AE301"/>
          <cell r="AF301"/>
          <cell r="AG301"/>
          <cell r="AH301"/>
          <cell r="AI301"/>
          <cell r="AJ301"/>
          <cell r="AK301"/>
          <cell r="AL301"/>
          <cell r="AM301"/>
          <cell r="AN301"/>
          <cell r="AO301"/>
          <cell r="AP301"/>
          <cell r="AQ301"/>
          <cell r="AR301"/>
          <cell r="AS301"/>
          <cell r="AT301"/>
          <cell r="AU301"/>
          <cell r="AV301"/>
          <cell r="AW301"/>
          <cell r="AX301"/>
          <cell r="AY301"/>
          <cell r="AZ301"/>
          <cell r="BA301"/>
          <cell r="BB301"/>
          <cell r="BC301"/>
          <cell r="BD301"/>
          <cell r="BE301"/>
          <cell r="BF301"/>
          <cell r="BG301"/>
          <cell r="BH301"/>
          <cell r="BI301"/>
          <cell r="BJ301"/>
          <cell r="BK301"/>
          <cell r="BL301"/>
          <cell r="BM301"/>
          <cell r="BN301"/>
          <cell r="BO301"/>
          <cell r="BP301"/>
          <cell r="BQ301"/>
          <cell r="BR301"/>
          <cell r="BS301"/>
          <cell r="BT301"/>
          <cell r="BU301"/>
          <cell r="BV301"/>
          <cell r="BW301"/>
          <cell r="BX301"/>
          <cell r="BY301"/>
          <cell r="BZ301"/>
          <cell r="CA301"/>
          <cell r="CB301"/>
          <cell r="CC301"/>
          <cell r="CD301"/>
          <cell r="CE301"/>
          <cell r="CF301"/>
          <cell r="CG301"/>
          <cell r="CH301"/>
          <cell r="CI301"/>
          <cell r="CJ301"/>
          <cell r="CK301"/>
          <cell r="CL301"/>
          <cell r="CM301"/>
          <cell r="CN301"/>
          <cell r="CO301"/>
          <cell r="CP301"/>
          <cell r="CQ301"/>
          <cell r="CR301"/>
          <cell r="CS301"/>
          <cell r="CT301">
            <v>1590949.62</v>
          </cell>
          <cell r="CU301">
            <v>1409523.56</v>
          </cell>
          <cell r="CV301">
            <v>1514945.05</v>
          </cell>
          <cell r="CW301">
            <v>1516679.06</v>
          </cell>
          <cell r="CX301">
            <v>1533529.31</v>
          </cell>
          <cell r="CY301">
            <v>1533622.81</v>
          </cell>
          <cell r="CZ301">
            <v>1533529.31</v>
          </cell>
          <cell r="DA301">
            <v>1349645.93</v>
          </cell>
          <cell r="DB301">
            <v>1347229.15</v>
          </cell>
          <cell r="DC301">
            <v>1289049.8400000001</v>
          </cell>
          <cell r="DD301">
            <v>1232380.8500000001</v>
          </cell>
          <cell r="DE301">
            <v>1350153.43</v>
          </cell>
          <cell r="DF301">
            <v>1448500.46</v>
          </cell>
          <cell r="DG301">
            <v>931042.76</v>
          </cell>
          <cell r="DH301">
            <v>902569.22</v>
          </cell>
        </row>
        <row r="302">
          <cell r="A302">
            <v>2530310</v>
          </cell>
          <cell r="B302">
            <v>2530310</v>
          </cell>
          <cell r="C302" t="str">
            <v>DefCr Unclaim Items</v>
          </cell>
          <cell r="D302"/>
          <cell r="E302"/>
          <cell r="F302"/>
          <cell r="G302"/>
          <cell r="H302"/>
          <cell r="I302"/>
          <cell r="J302"/>
          <cell r="K302"/>
          <cell r="L302"/>
          <cell r="M302"/>
          <cell r="N302"/>
          <cell r="O302"/>
          <cell r="P302"/>
          <cell r="Q302"/>
          <cell r="R302"/>
          <cell r="S302"/>
          <cell r="T302"/>
          <cell r="U302"/>
          <cell r="V302"/>
          <cell r="W302"/>
          <cell r="X302"/>
          <cell r="Y302"/>
          <cell r="Z302"/>
          <cell r="AA302"/>
          <cell r="AB302"/>
          <cell r="AC302"/>
          <cell r="AD302"/>
          <cell r="AE302"/>
          <cell r="AF302"/>
          <cell r="AG302"/>
          <cell r="AH302"/>
          <cell r="AI302"/>
          <cell r="AJ302"/>
          <cell r="AK302"/>
          <cell r="AL302"/>
          <cell r="AM302"/>
          <cell r="AN302"/>
          <cell r="AO302"/>
          <cell r="AP302"/>
          <cell r="AQ302"/>
          <cell r="AR302">
            <v>0</v>
          </cell>
          <cell r="AS302">
            <v>560</v>
          </cell>
          <cell r="AT302">
            <v>560</v>
          </cell>
          <cell r="AU302">
            <v>560</v>
          </cell>
          <cell r="AV302">
            <v>560</v>
          </cell>
          <cell r="AW302">
            <v>560</v>
          </cell>
          <cell r="AX302">
            <v>560</v>
          </cell>
          <cell r="AY302">
            <v>560</v>
          </cell>
          <cell r="AZ302">
            <v>794.71</v>
          </cell>
          <cell r="BA302">
            <v>-6.9</v>
          </cell>
          <cell r="BB302">
            <v>-684.22</v>
          </cell>
          <cell r="BC302">
            <v>-1992.55</v>
          </cell>
          <cell r="BD302">
            <v>-2387.06</v>
          </cell>
          <cell r="BE302">
            <v>-2947.83</v>
          </cell>
          <cell r="BF302">
            <v>-2084.63</v>
          </cell>
          <cell r="BG302">
            <v>-2578</v>
          </cell>
          <cell r="BH302">
            <v>-2995.38</v>
          </cell>
          <cell r="BI302">
            <v>-3521.16</v>
          </cell>
          <cell r="BJ302">
            <v>10670.22</v>
          </cell>
          <cell r="BK302">
            <v>9662.39</v>
          </cell>
          <cell r="BL302">
            <v>8926.85</v>
          </cell>
          <cell r="BM302">
            <v>7966.41</v>
          </cell>
          <cell r="BN302">
            <v>7675.51</v>
          </cell>
          <cell r="BO302">
            <v>5668.29</v>
          </cell>
          <cell r="BP302">
            <v>13637.95</v>
          </cell>
          <cell r="BQ302">
            <v>12141.57</v>
          </cell>
          <cell r="BR302">
            <v>11614.51</v>
          </cell>
          <cell r="BS302">
            <v>11420.15</v>
          </cell>
          <cell r="BT302">
            <v>-5697.03</v>
          </cell>
          <cell r="BU302">
            <v>-6372.74</v>
          </cell>
          <cell r="BV302">
            <v>-6549.54</v>
          </cell>
          <cell r="BW302">
            <v>-6612.54</v>
          </cell>
          <cell r="BX302">
            <v>-7134.38</v>
          </cell>
          <cell r="BY302">
            <v>-8593.31</v>
          </cell>
          <cell r="BZ302">
            <v>-9621.27</v>
          </cell>
          <cell r="CA302">
            <v>-10092.73</v>
          </cell>
          <cell r="CB302">
            <v>-10453.32</v>
          </cell>
          <cell r="CC302">
            <v>-10725.63</v>
          </cell>
          <cell r="CD302">
            <v>-10858.95</v>
          </cell>
          <cell r="CE302">
            <v>-11280.85</v>
          </cell>
          <cell r="CF302">
            <v>-11735.65</v>
          </cell>
          <cell r="CG302">
            <v>-12218.78</v>
          </cell>
          <cell r="CH302">
            <v>-12556.22</v>
          </cell>
          <cell r="CI302">
            <v>-12661.37</v>
          </cell>
          <cell r="CJ302">
            <v>-12821.19</v>
          </cell>
          <cell r="CK302">
            <v>-12821.19</v>
          </cell>
          <cell r="CL302">
            <v>-13258.38</v>
          </cell>
          <cell r="CM302">
            <v>-13722.57</v>
          </cell>
          <cell r="CN302">
            <v>-8918.6200000000008</v>
          </cell>
          <cell r="CO302">
            <v>-9148.0499999999993</v>
          </cell>
          <cell r="CP302">
            <v>-9258.23</v>
          </cell>
          <cell r="CQ302">
            <v>-9263.75</v>
          </cell>
          <cell r="CR302">
            <v>-9973.94</v>
          </cell>
          <cell r="CS302">
            <v>-10261.18</v>
          </cell>
          <cell r="CT302">
            <v>-10660.51</v>
          </cell>
          <cell r="CU302">
            <v>-10890.45</v>
          </cell>
          <cell r="CV302">
            <v>-11313.15</v>
          </cell>
          <cell r="CW302">
            <v>-11726.05</v>
          </cell>
          <cell r="CX302">
            <v>-13021</v>
          </cell>
          <cell r="CY302">
            <v>-14245.68</v>
          </cell>
          <cell r="CZ302">
            <v>-11324.77</v>
          </cell>
          <cell r="DA302">
            <v>-13831.17</v>
          </cell>
          <cell r="DB302">
            <v>-16344.31</v>
          </cell>
          <cell r="DC302">
            <v>-16805.5</v>
          </cell>
          <cell r="DD302">
            <v>-19077.95</v>
          </cell>
          <cell r="DE302">
            <v>-19095.43</v>
          </cell>
          <cell r="DF302">
            <v>-19207.400000000001</v>
          </cell>
          <cell r="DG302">
            <v>-19533.05</v>
          </cell>
          <cell r="DH302">
            <v>-17791.07</v>
          </cell>
        </row>
        <row r="303">
          <cell r="A303">
            <v>2530340</v>
          </cell>
          <cell r="B303">
            <v>2530340</v>
          </cell>
          <cell r="C303" t="str">
            <v>DefCr LT Incentive</v>
          </cell>
          <cell r="D303"/>
          <cell r="E303"/>
          <cell r="F303"/>
          <cell r="G303"/>
          <cell r="H303"/>
          <cell r="I303"/>
          <cell r="J303"/>
          <cell r="K303"/>
          <cell r="L303"/>
          <cell r="M303"/>
          <cell r="N303"/>
          <cell r="O303"/>
          <cell r="P303"/>
          <cell r="Q303"/>
          <cell r="R303"/>
          <cell r="S303"/>
          <cell r="T303"/>
          <cell r="U303"/>
          <cell r="V303"/>
          <cell r="W303"/>
          <cell r="X303"/>
          <cell r="Y303"/>
          <cell r="Z303"/>
          <cell r="AA303"/>
          <cell r="AB303"/>
          <cell r="AC303"/>
          <cell r="AD303"/>
          <cell r="AE303"/>
          <cell r="AF303"/>
          <cell r="AG303"/>
          <cell r="AH303"/>
          <cell r="AI303"/>
          <cell r="AJ303"/>
          <cell r="AK303"/>
          <cell r="AL303"/>
          <cell r="AM303"/>
          <cell r="AN303"/>
          <cell r="AO303">
            <v>0</v>
          </cell>
          <cell r="AP303">
            <v>0</v>
          </cell>
          <cell r="AQ303">
            <v>-92170.3</v>
          </cell>
          <cell r="AR303">
            <v>-90931.839999999997</v>
          </cell>
          <cell r="AS303">
            <v>-90931.839999999997</v>
          </cell>
          <cell r="AT303">
            <v>-186527.55</v>
          </cell>
          <cell r="AU303">
            <v>-187661.93</v>
          </cell>
          <cell r="AV303">
            <v>-187661.93</v>
          </cell>
          <cell r="AW303">
            <v>-282432.31</v>
          </cell>
          <cell r="AX303">
            <v>-283672.33</v>
          </cell>
          <cell r="AY303">
            <v>-283672.33</v>
          </cell>
          <cell r="AZ303">
            <v>-381454.88</v>
          </cell>
          <cell r="BA303">
            <v>-381454.88</v>
          </cell>
          <cell r="BB303">
            <v>-381454.88</v>
          </cell>
          <cell r="BC303">
            <v>-497930.43</v>
          </cell>
          <cell r="BD303">
            <v>-497930.43</v>
          </cell>
          <cell r="BE303">
            <v>-497930.43</v>
          </cell>
          <cell r="BF303">
            <v>-705114.91</v>
          </cell>
          <cell r="BG303">
            <v>-705114.91</v>
          </cell>
          <cell r="BH303">
            <v>-705114.91</v>
          </cell>
          <cell r="BI303">
            <v>-849190.94</v>
          </cell>
          <cell r="BJ303">
            <v>-849190.94</v>
          </cell>
          <cell r="BK303">
            <v>-849190.94</v>
          </cell>
          <cell r="BL303">
            <v>-1142930.5</v>
          </cell>
          <cell r="BM303">
            <v>-1142930.5</v>
          </cell>
          <cell r="BN303">
            <v>-1142930.5</v>
          </cell>
          <cell r="BO303">
            <v>-643955.44999999995</v>
          </cell>
          <cell r="BP303">
            <v>-643955.44999999995</v>
          </cell>
          <cell r="BQ303">
            <v>-643955.44999999995</v>
          </cell>
          <cell r="BR303">
            <v>-937288.89</v>
          </cell>
          <cell r="BS303">
            <v>-1382974.27</v>
          </cell>
          <cell r="BT303">
            <v>-1382974.27</v>
          </cell>
          <cell r="BU303">
            <v>-1285811.81</v>
          </cell>
          <cell r="BV303">
            <v>-1285811.81</v>
          </cell>
          <cell r="BW303">
            <v>-1285811.81</v>
          </cell>
          <cell r="BX303">
            <v>-1484104.87</v>
          </cell>
          <cell r="BY303">
            <v>-1484104.87</v>
          </cell>
          <cell r="BZ303">
            <v>-1484104.87</v>
          </cell>
          <cell r="CA303">
            <v>-778623.7</v>
          </cell>
          <cell r="CB303">
            <v>-778623.7</v>
          </cell>
          <cell r="CC303">
            <v>-778623.7</v>
          </cell>
          <cell r="CD303">
            <v>-971140.39</v>
          </cell>
          <cell r="CE303">
            <v>-971140.39</v>
          </cell>
          <cell r="CF303">
            <v>-971140.39</v>
          </cell>
          <cell r="CG303">
            <v>-1217827.74</v>
          </cell>
          <cell r="CH303">
            <v>-1217827.74</v>
          </cell>
          <cell r="CI303">
            <v>-1217827.74</v>
          </cell>
          <cell r="CJ303">
            <v>-1484863.36</v>
          </cell>
          <cell r="CK303">
            <v>-1484863.36</v>
          </cell>
          <cell r="CL303">
            <v>-1484863.36</v>
          </cell>
          <cell r="CM303">
            <v>-540134.69999999995</v>
          </cell>
          <cell r="CN303">
            <v>-540134.69999999995</v>
          </cell>
          <cell r="CO303">
            <v>-540134.69999999995</v>
          </cell>
          <cell r="CP303">
            <v>-805016.86</v>
          </cell>
          <cell r="CQ303">
            <v>-805016.86</v>
          </cell>
          <cell r="CR303">
            <v>-805016.86</v>
          </cell>
          <cell r="CS303">
            <v>-1078545.71</v>
          </cell>
          <cell r="CT303">
            <v>-1078545.71</v>
          </cell>
          <cell r="CU303">
            <v>-1078545.71</v>
          </cell>
          <cell r="CV303">
            <v>-1333899.8899999999</v>
          </cell>
          <cell r="CW303">
            <v>-1333899.8899999999</v>
          </cell>
          <cell r="CX303">
            <v>-1333899.8899999999</v>
          </cell>
          <cell r="CY303">
            <v>-661549.43999999994</v>
          </cell>
          <cell r="CZ303">
            <v>-661549.43999999994</v>
          </cell>
          <cell r="DA303">
            <v>-661549.43999999994</v>
          </cell>
          <cell r="DB303">
            <v>-931601.82</v>
          </cell>
          <cell r="DC303">
            <v>-931601.82</v>
          </cell>
          <cell r="DD303">
            <v>-931601.82</v>
          </cell>
          <cell r="DE303">
            <v>-1093105.81</v>
          </cell>
          <cell r="DF303">
            <v>-1093105.81</v>
          </cell>
          <cell r="DG303">
            <v>-1093105.81</v>
          </cell>
          <cell r="DH303">
            <v>-1122639.6599999999</v>
          </cell>
        </row>
        <row r="304">
          <cell r="A304">
            <v>2530360</v>
          </cell>
          <cell r="B304">
            <v>2530360</v>
          </cell>
          <cell r="C304" t="str">
            <v>DefCr Def Int Rev</v>
          </cell>
          <cell r="D304"/>
          <cell r="E304"/>
          <cell r="F304"/>
          <cell r="G304"/>
          <cell r="H304"/>
          <cell r="I304"/>
          <cell r="J304"/>
          <cell r="K304"/>
          <cell r="L304"/>
          <cell r="M304"/>
          <cell r="N304"/>
          <cell r="O304"/>
          <cell r="P304"/>
          <cell r="Q304"/>
          <cell r="R304"/>
          <cell r="S304"/>
          <cell r="T304"/>
          <cell r="U304"/>
          <cell r="V304"/>
          <cell r="W304"/>
          <cell r="X304"/>
          <cell r="Y304"/>
          <cell r="Z304"/>
          <cell r="AA304"/>
          <cell r="AB304"/>
          <cell r="AC304"/>
          <cell r="AD304"/>
          <cell r="AE304"/>
          <cell r="AF304">
            <v>0</v>
          </cell>
          <cell r="AG304">
            <v>0</v>
          </cell>
          <cell r="AH304">
            <v>-199683</v>
          </cell>
          <cell r="AI304">
            <v>-266805</v>
          </cell>
          <cell r="AJ304">
            <v>-334211</v>
          </cell>
          <cell r="AK304">
            <v>-401904</v>
          </cell>
          <cell r="AL304">
            <v>-469886</v>
          </cell>
          <cell r="AM304">
            <v>-584616</v>
          </cell>
          <cell r="AN304">
            <v>-676558</v>
          </cell>
          <cell r="AO304">
            <v>-768483</v>
          </cell>
          <cell r="AP304">
            <v>-860804</v>
          </cell>
          <cell r="AQ304">
            <v>-953523</v>
          </cell>
          <cell r="AR304">
            <v>-989835</v>
          </cell>
          <cell r="AS304">
            <v>-1026083</v>
          </cell>
          <cell r="AT304">
            <v>-1062266</v>
          </cell>
          <cell r="AU304">
            <v>-1098383</v>
          </cell>
          <cell r="AV304">
            <v>-1134433</v>
          </cell>
          <cell r="AW304">
            <v>-1170416</v>
          </cell>
          <cell r="AX304">
            <v>-1186465</v>
          </cell>
          <cell r="AY304">
            <v>-1202281</v>
          </cell>
          <cell r="AZ304">
            <v>-1217864</v>
          </cell>
          <cell r="BA304">
            <v>-1232548</v>
          </cell>
          <cell r="BB304">
            <v>-1246988</v>
          </cell>
          <cell r="BC304">
            <v>-1261182</v>
          </cell>
          <cell r="BD304">
            <v>-1275129</v>
          </cell>
          <cell r="BE304">
            <v>-1288826</v>
          </cell>
          <cell r="BF304">
            <v>-1302272</v>
          </cell>
          <cell r="BG304">
            <v>-1315464</v>
          </cell>
          <cell r="BH304">
            <v>-1328401</v>
          </cell>
          <cell r="BI304">
            <v>-1341080</v>
          </cell>
          <cell r="BJ304">
            <v>-1353499</v>
          </cell>
          <cell r="BK304">
            <v>-1365656</v>
          </cell>
          <cell r="BL304">
            <v>-1377549</v>
          </cell>
          <cell r="BM304">
            <v>-1388511</v>
          </cell>
          <cell r="BN304">
            <v>-1399199</v>
          </cell>
          <cell r="BO304">
            <v>-1409611</v>
          </cell>
          <cell r="BP304">
            <v>-1419744</v>
          </cell>
          <cell r="BQ304">
            <v>-1429596</v>
          </cell>
          <cell r="BR304">
            <v>-1439164</v>
          </cell>
          <cell r="BS304">
            <v>-1448447</v>
          </cell>
          <cell r="BT304">
            <v>-1457442</v>
          </cell>
          <cell r="BU304">
            <v>-1466146</v>
          </cell>
          <cell r="BV304">
            <v>-1474556</v>
          </cell>
          <cell r="BW304">
            <v>-1482671</v>
          </cell>
          <cell r="BX304">
            <v>-1490489</v>
          </cell>
          <cell r="BY304">
            <v>-1497343</v>
          </cell>
          <cell r="BZ304">
            <v>-1503890</v>
          </cell>
          <cell r="CA304">
            <v>-1510126</v>
          </cell>
          <cell r="CB304">
            <v>-1531726</v>
          </cell>
          <cell r="CC304">
            <v>-1553140</v>
          </cell>
          <cell r="CD304">
            <v>-1574365</v>
          </cell>
          <cell r="CE304">
            <v>-1595402</v>
          </cell>
          <cell r="CF304">
            <v>-1616247</v>
          </cell>
          <cell r="CG304">
            <v>-1636899</v>
          </cell>
          <cell r="CH304">
            <v>-1662840</v>
          </cell>
          <cell r="CI304">
            <v>-1688631</v>
          </cell>
          <cell r="CJ304">
            <v>-1714384</v>
          </cell>
          <cell r="CK304">
            <v>-1739094</v>
          </cell>
          <cell r="CL304">
            <v>-1763758</v>
          </cell>
          <cell r="CM304">
            <v>-1788261</v>
          </cell>
          <cell r="CN304">
            <v>-1812602</v>
          </cell>
          <cell r="CO304">
            <v>-1836779</v>
          </cell>
          <cell r="CP304">
            <v>-1860791</v>
          </cell>
          <cell r="CQ304">
            <v>-1884637</v>
          </cell>
          <cell r="CR304">
            <v>-1908315</v>
          </cell>
          <cell r="CS304">
            <v>-1931824</v>
          </cell>
          <cell r="CT304">
            <v>-1955162</v>
          </cell>
          <cell r="CU304">
            <v>-1978329</v>
          </cell>
          <cell r="CV304">
            <v>-2001321</v>
          </cell>
          <cell r="CW304">
            <v>-2023476</v>
          </cell>
          <cell r="CX304">
            <v>-2045451</v>
          </cell>
          <cell r="CY304">
            <v>-1557179</v>
          </cell>
          <cell r="CZ304">
            <v>-1572913</v>
          </cell>
          <cell r="DA304">
            <v>-1588507</v>
          </cell>
          <cell r="DB304">
            <v>-1603959</v>
          </cell>
          <cell r="DC304">
            <v>0</v>
          </cell>
          <cell r="DD304">
            <v>0</v>
          </cell>
          <cell r="DE304">
            <v>0</v>
          </cell>
          <cell r="DF304">
            <v>0</v>
          </cell>
          <cell r="DG304">
            <v>0</v>
          </cell>
          <cell r="DH304">
            <v>0</v>
          </cell>
        </row>
        <row r="305">
          <cell r="A305">
            <v>2530800</v>
          </cell>
          <cell r="B305">
            <v>2530800</v>
          </cell>
          <cell r="C305" t="str">
            <v>DefCr Miscellaneous</v>
          </cell>
          <cell r="D305">
            <v>-1970998.12</v>
          </cell>
          <cell r="E305">
            <v>-1959598.13</v>
          </cell>
          <cell r="F305">
            <v>-1956588.25</v>
          </cell>
          <cell r="G305">
            <v>-1956588.25</v>
          </cell>
          <cell r="H305">
            <v>-1950393.29</v>
          </cell>
          <cell r="I305">
            <v>-2634393.29</v>
          </cell>
          <cell r="J305">
            <v>-2719893.29</v>
          </cell>
          <cell r="K305">
            <v>-2791523.29</v>
          </cell>
          <cell r="L305">
            <v>-2595023.29</v>
          </cell>
          <cell r="M305">
            <v>-2535189.96</v>
          </cell>
          <cell r="N305">
            <v>-2475356.63</v>
          </cell>
          <cell r="O305">
            <v>-2415523.29</v>
          </cell>
          <cell r="P305">
            <v>-2550374.9500000002</v>
          </cell>
          <cell r="Q305">
            <v>-2490541.61</v>
          </cell>
          <cell r="R305">
            <v>-2430708.27</v>
          </cell>
          <cell r="S305">
            <v>-2370874.9300000002</v>
          </cell>
          <cell r="T305">
            <v>-573717.93999999994</v>
          </cell>
          <cell r="U305">
            <v>-503559.6</v>
          </cell>
          <cell r="V305">
            <v>-443726.26</v>
          </cell>
          <cell r="W305">
            <v>-383892.92</v>
          </cell>
          <cell r="X305">
            <v>-321994.58</v>
          </cell>
          <cell r="Y305">
            <v>-262161.24</v>
          </cell>
          <cell r="Z305">
            <v>-202327.9</v>
          </cell>
          <cell r="AA305">
            <v>-703161.22</v>
          </cell>
          <cell r="AB305">
            <v>-532808.56000000006</v>
          </cell>
          <cell r="AC305">
            <v>-936077.88</v>
          </cell>
          <cell r="AD305">
            <v>-1062649.54</v>
          </cell>
          <cell r="AE305">
            <v>-1045566.2</v>
          </cell>
          <cell r="AF305">
            <v>-1016045.36</v>
          </cell>
          <cell r="AG305">
            <v>-669162.02</v>
          </cell>
          <cell r="AH305">
            <v>-652078.68000000005</v>
          </cell>
          <cell r="AI305">
            <v>-682648.34</v>
          </cell>
          <cell r="AJ305">
            <v>-713218</v>
          </cell>
          <cell r="AK305">
            <v>-743982.66</v>
          </cell>
          <cell r="AL305">
            <v>-774747.32</v>
          </cell>
          <cell r="AM305">
            <v>-805511.98</v>
          </cell>
          <cell r="AN305">
            <v>-1028466.64</v>
          </cell>
          <cell r="AO305">
            <v>-1059231.3</v>
          </cell>
          <cell r="AP305">
            <v>-1130973.96</v>
          </cell>
          <cell r="AQ305">
            <v>-1115888.6200000001</v>
          </cell>
          <cell r="AR305">
            <v>-1144544.28</v>
          </cell>
          <cell r="AS305">
            <v>-1158591.94</v>
          </cell>
          <cell r="AT305">
            <v>-1187106.6000000001</v>
          </cell>
          <cell r="AU305">
            <v>-1198357.26</v>
          </cell>
          <cell r="AV305">
            <v>-795338.72</v>
          </cell>
          <cell r="AW305">
            <v>-823712.38</v>
          </cell>
          <cell r="AX305">
            <v>-852086.04</v>
          </cell>
          <cell r="AY305">
            <v>-880459.7</v>
          </cell>
          <cell r="AZ305">
            <v>-1108595.3600000001</v>
          </cell>
          <cell r="BA305">
            <v>-1114416.02</v>
          </cell>
          <cell r="BB305">
            <v>-1141602.68</v>
          </cell>
          <cell r="BC305">
            <v>-1168789.3400000001</v>
          </cell>
          <cell r="BD305">
            <v>-1195976</v>
          </cell>
          <cell r="BE305">
            <v>-1223162.6599999999</v>
          </cell>
          <cell r="BF305">
            <v>-1250349.32</v>
          </cell>
          <cell r="BG305">
            <v>-1244463.98</v>
          </cell>
          <cell r="BH305">
            <v>-1271746.6399999999</v>
          </cell>
          <cell r="BI305">
            <v>-1244705.8999999999</v>
          </cell>
          <cell r="BJ305">
            <v>-1271092.56</v>
          </cell>
          <cell r="BK305">
            <v>-1297479.22</v>
          </cell>
          <cell r="BL305">
            <v>-265207.92</v>
          </cell>
          <cell r="BM305">
            <v>-401554.9</v>
          </cell>
          <cell r="BN305">
            <v>-231041.24</v>
          </cell>
          <cell r="BO305">
            <v>-213957.9</v>
          </cell>
          <cell r="BP305">
            <v>-196874.56</v>
          </cell>
          <cell r="BQ305">
            <v>-179791.22</v>
          </cell>
          <cell r="BR305">
            <v>-162707.88</v>
          </cell>
          <cell r="BS305">
            <v>-145624.54</v>
          </cell>
          <cell r="BT305">
            <v>-114414.35</v>
          </cell>
          <cell r="BU305">
            <v>-97331.01</v>
          </cell>
          <cell r="BV305">
            <v>-80247.67</v>
          </cell>
          <cell r="BW305">
            <v>-63164.33</v>
          </cell>
          <cell r="BX305">
            <v>-372234.4</v>
          </cell>
          <cell r="BY305">
            <v>-355151.06</v>
          </cell>
          <cell r="BZ305">
            <v>-338067.72</v>
          </cell>
          <cell r="CA305">
            <v>-522053.38</v>
          </cell>
          <cell r="CB305">
            <v>-504970.04</v>
          </cell>
          <cell r="CC305">
            <v>-479413.43</v>
          </cell>
          <cell r="CD305">
            <v>-962330.09</v>
          </cell>
          <cell r="CE305">
            <v>-936770.64</v>
          </cell>
          <cell r="CF305">
            <v>-919687.3</v>
          </cell>
          <cell r="CG305">
            <v>-902603.96</v>
          </cell>
          <cell r="CH305">
            <v>-885520.62</v>
          </cell>
          <cell r="CI305">
            <v>-868437.28</v>
          </cell>
          <cell r="CJ305">
            <v>-806353.94</v>
          </cell>
          <cell r="CK305">
            <v>-789270.6</v>
          </cell>
          <cell r="CL305">
            <v>-752415.15</v>
          </cell>
          <cell r="CM305">
            <v>-735331.81</v>
          </cell>
          <cell r="CN305">
            <v>-718248.47</v>
          </cell>
          <cell r="CO305">
            <v>-701165.13</v>
          </cell>
          <cell r="CP305">
            <v>-184081.79</v>
          </cell>
          <cell r="CQ305">
            <v>-166998.45000000001</v>
          </cell>
          <cell r="CR305">
            <v>-143254.94</v>
          </cell>
          <cell r="CS305">
            <v>-1126171.6000000001</v>
          </cell>
          <cell r="CT305">
            <v>-1109088.26</v>
          </cell>
          <cell r="CU305">
            <v>-1092004.92</v>
          </cell>
          <cell r="CV305">
            <v>-1279921.58</v>
          </cell>
          <cell r="CW305">
            <v>-3262838.24</v>
          </cell>
          <cell r="CX305">
            <v>-3245754.9</v>
          </cell>
          <cell r="CY305">
            <v>-3228671.56</v>
          </cell>
          <cell r="CZ305">
            <v>-1211588.22</v>
          </cell>
          <cell r="DA305">
            <v>-1194504.8799999999</v>
          </cell>
          <cell r="DB305">
            <v>-1177421.54</v>
          </cell>
          <cell r="DC305">
            <v>-1160338.2</v>
          </cell>
          <cell r="DD305">
            <v>-1143254.8600000001</v>
          </cell>
          <cell r="DE305">
            <v>-1126171.52</v>
          </cell>
          <cell r="DF305">
            <v>-1109088.18</v>
          </cell>
          <cell r="DG305">
            <v>-1092004.8400000001</v>
          </cell>
          <cell r="DH305">
            <v>-1279921.5</v>
          </cell>
        </row>
        <row r="306">
          <cell r="A306">
            <v>2540040</v>
          </cell>
          <cell r="B306">
            <v>2540040</v>
          </cell>
          <cell r="C306" t="str">
            <v>Reg Liab-ConservCls</v>
          </cell>
          <cell r="D306">
            <v>0</v>
          </cell>
          <cell r="E306">
            <v>0</v>
          </cell>
          <cell r="F306">
            <v>0</v>
          </cell>
          <cell r="G306">
            <v>-241576</v>
          </cell>
          <cell r="H306">
            <v>-601932</v>
          </cell>
          <cell r="I306">
            <v>-841461</v>
          </cell>
          <cell r="J306">
            <v>-738652</v>
          </cell>
          <cell r="K306">
            <v>-329479</v>
          </cell>
          <cell r="L306">
            <v>-126566</v>
          </cell>
          <cell r="M306">
            <v>0</v>
          </cell>
          <cell r="N306">
            <v>0</v>
          </cell>
          <cell r="O306">
            <v>0</v>
          </cell>
          <cell r="P306">
            <v>-309544</v>
          </cell>
          <cell r="Q306">
            <v>-659480</v>
          </cell>
          <cell r="R306">
            <v>-1475794</v>
          </cell>
          <cell r="S306">
            <v>-2041769</v>
          </cell>
          <cell r="T306">
            <v>-2465779</v>
          </cell>
          <cell r="U306">
            <v>-2375088</v>
          </cell>
          <cell r="V306">
            <v>-2413828</v>
          </cell>
          <cell r="W306">
            <v>-2368427</v>
          </cell>
          <cell r="X306">
            <v>-2133861</v>
          </cell>
          <cell r="Y306">
            <v>-2017772</v>
          </cell>
          <cell r="Z306">
            <v>-1611765</v>
          </cell>
          <cell r="AA306">
            <v>-2136461</v>
          </cell>
          <cell r="AB306">
            <v>-1765382</v>
          </cell>
          <cell r="AC306">
            <v>-2294592</v>
          </cell>
          <cell r="AD306">
            <v>-2703966</v>
          </cell>
          <cell r="AE306">
            <v>-2839127</v>
          </cell>
          <cell r="AF306">
            <v>-2933478</v>
          </cell>
          <cell r="AG306">
            <v>-2612138</v>
          </cell>
          <cell r="AH306">
            <v>-2239911</v>
          </cell>
          <cell r="AI306">
            <v>-1934399</v>
          </cell>
          <cell r="AJ306">
            <v>-1137091</v>
          </cell>
          <cell r="AK306">
            <v>-917669</v>
          </cell>
          <cell r="AL306">
            <v>-312194</v>
          </cell>
          <cell r="AM306">
            <v>-290647</v>
          </cell>
          <cell r="AN306">
            <v>0</v>
          </cell>
          <cell r="AO306">
            <v>-771853</v>
          </cell>
          <cell r="AP306">
            <v>-1322874</v>
          </cell>
          <cell r="AQ306">
            <v>-1614664</v>
          </cell>
          <cell r="AR306">
            <v>-1899218</v>
          </cell>
          <cell r="AS306">
            <v>-1462185</v>
          </cell>
          <cell r="AT306">
            <v>-838539</v>
          </cell>
          <cell r="AU306">
            <v>-182620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-511351</v>
          </cell>
          <cell r="CX306">
            <v>-2149534</v>
          </cell>
          <cell r="CY306">
            <v>-1757017</v>
          </cell>
          <cell r="CZ306">
            <v>-2533930</v>
          </cell>
          <cell r="DA306">
            <v>-3255968</v>
          </cell>
          <cell r="DB306">
            <v>-4198707</v>
          </cell>
          <cell r="DC306">
            <v>-2816051</v>
          </cell>
          <cell r="DD306">
            <v>-2530232</v>
          </cell>
          <cell r="DE306">
            <v>-1877803</v>
          </cell>
          <cell r="DF306">
            <v>-1636684</v>
          </cell>
          <cell r="DG306">
            <v>-1405116</v>
          </cell>
          <cell r="DH306">
            <v>-1548438</v>
          </cell>
        </row>
        <row r="307">
          <cell r="A307">
            <v>2540071</v>
          </cell>
          <cell r="B307">
            <v>2540071</v>
          </cell>
          <cell r="C307" t="str">
            <v>Reg Liab-CI/BSR Ridr</v>
          </cell>
          <cell r="D307">
            <v>-34014</v>
          </cell>
          <cell r="E307">
            <v>-168819</v>
          </cell>
          <cell r="F307">
            <v>-294770</v>
          </cell>
          <cell r="G307">
            <v>-362064</v>
          </cell>
          <cell r="H307">
            <v>-407133</v>
          </cell>
          <cell r="I307">
            <v>-391918</v>
          </cell>
          <cell r="J307">
            <v>-408590</v>
          </cell>
          <cell r="K307">
            <v>-352611</v>
          </cell>
          <cell r="L307">
            <v>-287689</v>
          </cell>
          <cell r="M307">
            <v>-217781</v>
          </cell>
          <cell r="N307">
            <v>-138936</v>
          </cell>
          <cell r="O307">
            <v>-66999</v>
          </cell>
          <cell r="P307">
            <v>-36525</v>
          </cell>
          <cell r="Q307">
            <v>-247652</v>
          </cell>
          <cell r="R307">
            <v>-396516.45</v>
          </cell>
          <cell r="S307">
            <v>-519555.86</v>
          </cell>
          <cell r="T307">
            <v>-533813.54</v>
          </cell>
          <cell r="U307">
            <v>-485261.18</v>
          </cell>
          <cell r="V307">
            <v>-432287.55</v>
          </cell>
          <cell r="W307">
            <v>-347269.86</v>
          </cell>
          <cell r="X307">
            <v>-259001.34</v>
          </cell>
          <cell r="Y307">
            <v>-156849.62</v>
          </cell>
          <cell r="Z307">
            <v>-53799.71</v>
          </cell>
          <cell r="AA307">
            <v>0</v>
          </cell>
          <cell r="AB307">
            <v>0</v>
          </cell>
          <cell r="AC307">
            <v>-26878</v>
          </cell>
          <cell r="AD307">
            <v>-203108</v>
          </cell>
          <cell r="AE307">
            <v>-305204</v>
          </cell>
          <cell r="AF307">
            <v>-337180</v>
          </cell>
          <cell r="AG307">
            <v>-309654</v>
          </cell>
          <cell r="AH307">
            <v>-2235258</v>
          </cell>
          <cell r="AI307">
            <v>-2133680</v>
          </cell>
          <cell r="AJ307">
            <v>-1996856</v>
          </cell>
          <cell r="AK307">
            <v>-1873234</v>
          </cell>
          <cell r="AL307">
            <v>-1697504</v>
          </cell>
          <cell r="AM307">
            <v>-1569649</v>
          </cell>
          <cell r="AN307">
            <v>-1709368</v>
          </cell>
          <cell r="AO307">
            <v>-1651070</v>
          </cell>
          <cell r="AP307">
            <v>-1606776</v>
          </cell>
          <cell r="AQ307">
            <v>-1497895</v>
          </cell>
          <cell r="AR307">
            <v>-1361048</v>
          </cell>
          <cell r="AS307">
            <v>-1147256</v>
          </cell>
          <cell r="AT307">
            <v>-888871</v>
          </cell>
          <cell r="AU307">
            <v>-593554</v>
          </cell>
          <cell r="AV307">
            <v>-277240</v>
          </cell>
          <cell r="AW307">
            <v>0</v>
          </cell>
          <cell r="AX307">
            <v>0</v>
          </cell>
          <cell r="AY307">
            <v>0</v>
          </cell>
          <cell r="AZ307">
            <v>0</v>
          </cell>
          <cell r="BA307">
            <v>0</v>
          </cell>
          <cell r="BB307">
            <v>-48914</v>
          </cell>
          <cell r="BC307">
            <v>-265833</v>
          </cell>
          <cell r="BD307">
            <v>-496094</v>
          </cell>
          <cell r="BE307">
            <v>-872137</v>
          </cell>
          <cell r="BF307">
            <v>-800059</v>
          </cell>
          <cell r="BG307">
            <v>-704927</v>
          </cell>
          <cell r="BH307">
            <v>-566853</v>
          </cell>
          <cell r="BI307">
            <v>-459268</v>
          </cell>
          <cell r="BJ307">
            <v>-240150</v>
          </cell>
          <cell r="BK307">
            <v>-63302</v>
          </cell>
          <cell r="BL307">
            <v>-102065</v>
          </cell>
          <cell r="BM307">
            <v>-349910</v>
          </cell>
          <cell r="BN307">
            <v>-466300</v>
          </cell>
          <cell r="BO307">
            <v>-451730</v>
          </cell>
          <cell r="BP307">
            <v>-335091</v>
          </cell>
          <cell r="BQ307">
            <v>-98514</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cell r="CI307"/>
          <cell r="CJ307"/>
          <cell r="CK307"/>
          <cell r="CL307"/>
          <cell r="CM307"/>
          <cell r="CN307"/>
          <cell r="CO307"/>
          <cell r="CP307"/>
          <cell r="CQ307">
            <v>0</v>
          </cell>
          <cell r="CR307">
            <v>0</v>
          </cell>
          <cell r="CS307">
            <v>0</v>
          </cell>
          <cell r="CT307">
            <v>0</v>
          </cell>
          <cell r="CU307">
            <v>0</v>
          </cell>
          <cell r="CV307">
            <v>0</v>
          </cell>
          <cell r="CW307">
            <v>0</v>
          </cell>
          <cell r="CX307">
            <v>0</v>
          </cell>
          <cell r="CY307">
            <v>0</v>
          </cell>
          <cell r="CZ307">
            <v>-54906</v>
          </cell>
          <cell r="DA307">
            <v>-64228</v>
          </cell>
          <cell r="DB307">
            <v>-303347.89</v>
          </cell>
          <cell r="DC307">
            <v>-203345.89</v>
          </cell>
          <cell r="DD307">
            <v>-79917.89</v>
          </cell>
          <cell r="DE307">
            <v>0</v>
          </cell>
          <cell r="DF307">
            <v>0</v>
          </cell>
          <cell r="DG307">
            <v>0</v>
          </cell>
          <cell r="DH307">
            <v>0</v>
          </cell>
        </row>
        <row r="308">
          <cell r="A308">
            <v>2540105</v>
          </cell>
          <cell r="B308">
            <v>2540105</v>
          </cell>
          <cell r="C308" t="str">
            <v>Curr Dv-Regulatory</v>
          </cell>
          <cell r="D308">
            <v>-1083910</v>
          </cell>
          <cell r="E308">
            <v>-3450680</v>
          </cell>
          <cell r="F308">
            <v>-2417910</v>
          </cell>
          <cell r="G308">
            <v>-1479840</v>
          </cell>
          <cell r="H308">
            <v>-2608310</v>
          </cell>
          <cell r="I308">
            <v>-579510</v>
          </cell>
          <cell r="J308">
            <v>-1045615</v>
          </cell>
          <cell r="K308">
            <v>0</v>
          </cell>
          <cell r="L308">
            <v>-4975</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-2520</v>
          </cell>
          <cell r="AD308">
            <v>0</v>
          </cell>
          <cell r="AE308">
            <v>0</v>
          </cell>
          <cell r="AF308">
            <v>0</v>
          </cell>
          <cell r="AG308">
            <v>-3720</v>
          </cell>
          <cell r="AH308">
            <v>-235290</v>
          </cell>
          <cell r="AI308">
            <v>-215630</v>
          </cell>
          <cell r="AJ308">
            <v>-103720</v>
          </cell>
          <cell r="AK308">
            <v>-63240</v>
          </cell>
          <cell r="AL308">
            <v>-24520</v>
          </cell>
          <cell r="AM308">
            <v>-382970</v>
          </cell>
          <cell r="AN308">
            <v>-1721815</v>
          </cell>
          <cell r="AO308">
            <v>-428585</v>
          </cell>
          <cell r="AP308">
            <v>-31520</v>
          </cell>
          <cell r="AQ308">
            <v>-481000</v>
          </cell>
          <cell r="AR308">
            <v>-504425</v>
          </cell>
          <cell r="AS308">
            <v>-161805</v>
          </cell>
          <cell r="AT308">
            <v>-86755</v>
          </cell>
          <cell r="AU308">
            <v>-8450</v>
          </cell>
          <cell r="AV308">
            <v>-94105</v>
          </cell>
          <cell r="AW308">
            <v>-72175</v>
          </cell>
          <cell r="AX308">
            <v>0</v>
          </cell>
          <cell r="AY308">
            <v>-7230</v>
          </cell>
          <cell r="AZ308">
            <v>0</v>
          </cell>
          <cell r="BA308">
            <v>-77895</v>
          </cell>
          <cell r="BB308">
            <v>0</v>
          </cell>
          <cell r="BC308">
            <v>0</v>
          </cell>
          <cell r="BD308">
            <v>-2040</v>
          </cell>
          <cell r="BE308">
            <v>-20020</v>
          </cell>
          <cell r="BF308">
            <v>-15330</v>
          </cell>
          <cell r="BG308">
            <v>0</v>
          </cell>
          <cell r="BH308">
            <v>-3500</v>
          </cell>
          <cell r="BI308">
            <v>-10040</v>
          </cell>
          <cell r="BJ308">
            <v>-14650</v>
          </cell>
          <cell r="BK308">
            <v>0</v>
          </cell>
          <cell r="BL308">
            <v>0</v>
          </cell>
          <cell r="BM308">
            <v>0</v>
          </cell>
          <cell r="BN308">
            <v>0</v>
          </cell>
          <cell r="BO308">
            <v>0</v>
          </cell>
          <cell r="BP308">
            <v>0</v>
          </cell>
          <cell r="BQ308">
            <v>0</v>
          </cell>
          <cell r="BR308">
            <v>0</v>
          </cell>
          <cell r="BS308">
            <v>0</v>
          </cell>
          <cell r="BT308">
            <v>0</v>
          </cell>
          <cell r="BU308">
            <v>0</v>
          </cell>
          <cell r="BV308"/>
          <cell r="BW308"/>
          <cell r="BX308"/>
          <cell r="BY308"/>
          <cell r="BZ308"/>
          <cell r="CA308"/>
          <cell r="CB308"/>
          <cell r="CC308"/>
          <cell r="CD308"/>
          <cell r="CE308"/>
          <cell r="CF308"/>
          <cell r="CG308"/>
          <cell r="CH308"/>
          <cell r="CI308"/>
          <cell r="CJ308"/>
          <cell r="CK308"/>
          <cell r="CL308"/>
          <cell r="CM308"/>
          <cell r="CN308"/>
          <cell r="CO308"/>
          <cell r="CP308"/>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row>
        <row r="309">
          <cell r="A309">
            <v>2540205</v>
          </cell>
          <cell r="B309">
            <v>2540205</v>
          </cell>
          <cell r="C309" t="str">
            <v>LT Dv-Regulatory</v>
          </cell>
          <cell r="D309">
            <v>-51235</v>
          </cell>
          <cell r="E309">
            <v>-113765</v>
          </cell>
          <cell r="F309">
            <v>-71605</v>
          </cell>
          <cell r="G309">
            <v>-25205</v>
          </cell>
          <cell r="H309">
            <v>-481885</v>
          </cell>
          <cell r="I309">
            <v>-98245</v>
          </cell>
          <cell r="J309">
            <v>-134995</v>
          </cell>
          <cell r="K309">
            <v>0</v>
          </cell>
          <cell r="L309">
            <v>0</v>
          </cell>
          <cell r="M309">
            <v>0</v>
          </cell>
          <cell r="N309">
            <v>0</v>
          </cell>
          <cell r="O309">
            <v>0</v>
          </cell>
          <cell r="P309">
            <v>0</v>
          </cell>
          <cell r="Q309">
            <v>0</v>
          </cell>
          <cell r="R309">
            <v>0</v>
          </cell>
          <cell r="S309">
            <v>0</v>
          </cell>
          <cell r="T309">
            <v>0</v>
          </cell>
          <cell r="U309">
            <v>0</v>
          </cell>
          <cell r="V309">
            <v>-360</v>
          </cell>
          <cell r="W309">
            <v>0</v>
          </cell>
          <cell r="X309">
            <v>0</v>
          </cell>
          <cell r="Y309">
            <v>0</v>
          </cell>
          <cell r="Z309">
            <v>0</v>
          </cell>
          <cell r="AA309">
            <v>0</v>
          </cell>
          <cell r="AB309">
            <v>0</v>
          </cell>
          <cell r="AC309">
            <v>0</v>
          </cell>
          <cell r="AD309">
            <v>0</v>
          </cell>
          <cell r="AE309">
            <v>-2790</v>
          </cell>
          <cell r="AF309">
            <v>-56285</v>
          </cell>
          <cell r="AG309">
            <v>-74965</v>
          </cell>
          <cell r="AH309">
            <v>-123345</v>
          </cell>
          <cell r="AI309">
            <v>-136115</v>
          </cell>
          <cell r="AJ309">
            <v>-97905</v>
          </cell>
          <cell r="AK309">
            <v>-55055</v>
          </cell>
          <cell r="AL309">
            <v>-128885</v>
          </cell>
          <cell r="AM309">
            <v>-149175</v>
          </cell>
          <cell r="AN309">
            <v>-267425</v>
          </cell>
          <cell r="AO309">
            <v>-106815</v>
          </cell>
          <cell r="AP309">
            <v>0</v>
          </cell>
          <cell r="AQ309">
            <v>-1880</v>
          </cell>
          <cell r="AR309">
            <v>-34420</v>
          </cell>
          <cell r="AS309">
            <v>-7720</v>
          </cell>
          <cell r="AT309">
            <v>-1520</v>
          </cell>
          <cell r="AU309">
            <v>0</v>
          </cell>
          <cell r="AV309">
            <v>-7090</v>
          </cell>
          <cell r="AW309">
            <v>-7570</v>
          </cell>
          <cell r="AX309">
            <v>-4800</v>
          </cell>
          <cell r="AY309">
            <v>0</v>
          </cell>
          <cell r="AZ309">
            <v>0</v>
          </cell>
          <cell r="BA309">
            <v>0</v>
          </cell>
          <cell r="BB309">
            <v>0</v>
          </cell>
          <cell r="BC309">
            <v>0</v>
          </cell>
          <cell r="BD309">
            <v>0</v>
          </cell>
          <cell r="BE309">
            <v>0</v>
          </cell>
          <cell r="BF309">
            <v>0</v>
          </cell>
          <cell r="BG309">
            <v>0</v>
          </cell>
          <cell r="BH309">
            <v>0</v>
          </cell>
          <cell r="BI309">
            <v>0</v>
          </cell>
          <cell r="BJ309"/>
          <cell r="BK309"/>
          <cell r="BL309"/>
          <cell r="BM309"/>
          <cell r="BN309"/>
          <cell r="BO309"/>
          <cell r="BP309"/>
          <cell r="BQ309"/>
          <cell r="BR309"/>
          <cell r="BS309"/>
          <cell r="BT309"/>
          <cell r="BU309"/>
          <cell r="BV309"/>
          <cell r="BW309"/>
          <cell r="BX309"/>
          <cell r="BY309"/>
          <cell r="BZ309"/>
          <cell r="CA309"/>
          <cell r="CB309"/>
          <cell r="CC309"/>
          <cell r="CD309"/>
          <cell r="CE309"/>
          <cell r="CF309"/>
          <cell r="CG309"/>
          <cell r="CH309"/>
          <cell r="CI309"/>
          <cell r="CJ309"/>
          <cell r="CK309"/>
          <cell r="CL309"/>
          <cell r="CM309"/>
          <cell r="CN309"/>
          <cell r="CO309"/>
          <cell r="CP309"/>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row>
        <row r="310">
          <cell r="A310">
            <v>2540280</v>
          </cell>
          <cell r="B310">
            <v>2540280</v>
          </cell>
          <cell r="C310" t="str">
            <v>Reg Liab-PrpSal NC</v>
          </cell>
          <cell r="D310"/>
          <cell r="E310"/>
          <cell r="F310"/>
          <cell r="G310"/>
          <cell r="H310"/>
          <cell r="I310"/>
          <cell r="J310"/>
          <cell r="K310"/>
          <cell r="L310"/>
          <cell r="M310"/>
          <cell r="N310"/>
          <cell r="O310"/>
          <cell r="P310"/>
          <cell r="Q310"/>
          <cell r="R310"/>
          <cell r="S310"/>
          <cell r="T310"/>
          <cell r="U310"/>
          <cell r="V310"/>
          <cell r="W310"/>
          <cell r="X310"/>
          <cell r="Y310"/>
          <cell r="Z310"/>
          <cell r="AA310"/>
          <cell r="AB310"/>
          <cell r="AC310"/>
          <cell r="AD310"/>
          <cell r="AE310"/>
          <cell r="AF310">
            <v>0</v>
          </cell>
          <cell r="AG310">
            <v>0</v>
          </cell>
          <cell r="AH310">
            <v>-8562342.1899999995</v>
          </cell>
          <cell r="AI310">
            <v>-8428522.9900000002</v>
          </cell>
          <cell r="AJ310">
            <v>-8205577.9299999997</v>
          </cell>
          <cell r="AK310">
            <v>-8027195.7999999998</v>
          </cell>
          <cell r="AL310">
            <v>-7848813.6699999999</v>
          </cell>
          <cell r="AM310">
            <v>-7670431.54</v>
          </cell>
          <cell r="AN310">
            <v>-7492049.4100000001</v>
          </cell>
          <cell r="AO310">
            <v>-7313667.2800000003</v>
          </cell>
          <cell r="AP310">
            <v>-7135285.1500000004</v>
          </cell>
          <cell r="AQ310">
            <v>-6956903.0199999996</v>
          </cell>
          <cell r="AR310">
            <v>-6778520.8899999997</v>
          </cell>
          <cell r="AS310">
            <v>-6600138.7599999998</v>
          </cell>
          <cell r="AT310">
            <v>-6421756.6299999999</v>
          </cell>
          <cell r="AU310">
            <v>-6243374.5</v>
          </cell>
          <cell r="AV310">
            <v>-6064992.3700000001</v>
          </cell>
          <cell r="AW310">
            <v>-5886610.2400000002</v>
          </cell>
          <cell r="AX310">
            <v>-5708228.1100000003</v>
          </cell>
          <cell r="AY310">
            <v>-5529845.9800000004</v>
          </cell>
          <cell r="AZ310">
            <v>-5351463.8499999996</v>
          </cell>
          <cell r="BA310">
            <v>-5173081.72</v>
          </cell>
          <cell r="BB310">
            <v>-4994699.59</v>
          </cell>
          <cell r="BC310">
            <v>-4816317.46</v>
          </cell>
          <cell r="BD310">
            <v>-4637935.33</v>
          </cell>
          <cell r="BE310">
            <v>-4459553.2</v>
          </cell>
          <cell r="BF310">
            <v>-4281171.07</v>
          </cell>
          <cell r="BG310">
            <v>-4102788.94</v>
          </cell>
          <cell r="BH310">
            <v>-3924406.81</v>
          </cell>
          <cell r="BI310">
            <v>-3746024.68</v>
          </cell>
          <cell r="BJ310">
            <v>-3567642.55</v>
          </cell>
          <cell r="BK310">
            <v>-3389260.42</v>
          </cell>
          <cell r="BL310">
            <v>-3210878.29</v>
          </cell>
          <cell r="BM310">
            <v>-3032496.16</v>
          </cell>
          <cell r="BN310">
            <v>-2854114.03</v>
          </cell>
          <cell r="BO310">
            <v>-2675731.9</v>
          </cell>
          <cell r="BP310">
            <v>-2497349.77</v>
          </cell>
          <cell r="BQ310">
            <v>-2318967.64</v>
          </cell>
          <cell r="BR310">
            <v>-2140585.5099999998</v>
          </cell>
          <cell r="BS310">
            <v>-1962203.38</v>
          </cell>
          <cell r="BT310">
            <v>-1783821.25</v>
          </cell>
          <cell r="BU310">
            <v>-1605439.12</v>
          </cell>
          <cell r="BV310">
            <v>-1427056.99</v>
          </cell>
          <cell r="BW310">
            <v>-1248674.8600000001</v>
          </cell>
          <cell r="BX310">
            <v>-1070292.73</v>
          </cell>
          <cell r="BY310">
            <v>-891910.6</v>
          </cell>
          <cell r="BZ310">
            <v>-713528.47</v>
          </cell>
          <cell r="CA310">
            <v>-535146.34</v>
          </cell>
          <cell r="CB310">
            <v>-356764.21</v>
          </cell>
          <cell r="CC310">
            <v>-177449.58</v>
          </cell>
          <cell r="CD310">
            <v>-21447.55</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-645620.04</v>
          </cell>
          <cell r="CZ310">
            <v>-632169.62</v>
          </cell>
          <cell r="DA310">
            <v>-618719.19999999995</v>
          </cell>
          <cell r="DB310">
            <v>-605268.78</v>
          </cell>
          <cell r="DC310">
            <v>-2173474.94</v>
          </cell>
          <cell r="DD310">
            <v>-2127073.34</v>
          </cell>
          <cell r="DE310">
            <v>-2080671.74</v>
          </cell>
          <cell r="DF310">
            <v>-2034270.14</v>
          </cell>
          <cell r="DG310">
            <v>-1987868.54</v>
          </cell>
          <cell r="DH310">
            <v>-1941466.94</v>
          </cell>
        </row>
        <row r="311">
          <cell r="A311">
            <v>2540281</v>
          </cell>
          <cell r="B311">
            <v>2540281</v>
          </cell>
          <cell r="C311" t="str">
            <v>Reg Liab-PrpSal D NC</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row>
        <row r="312">
          <cell r="A312">
            <v>2540330</v>
          </cell>
          <cell r="B312">
            <v>2540330</v>
          </cell>
          <cell r="C312" t="str">
            <v>Reg Liab-Gas Reserch</v>
          </cell>
          <cell r="D312">
            <v>-676678.04</v>
          </cell>
          <cell r="E312">
            <v>-718344.71</v>
          </cell>
          <cell r="F312">
            <v>-760011.38</v>
          </cell>
          <cell r="G312">
            <v>-662078.05000000005</v>
          </cell>
          <cell r="H312">
            <v>-690244.72</v>
          </cell>
          <cell r="I312">
            <v>-773578.06</v>
          </cell>
          <cell r="J312">
            <v>-731911.39</v>
          </cell>
          <cell r="K312">
            <v>-815244.73</v>
          </cell>
          <cell r="L312">
            <v>-776159.91</v>
          </cell>
          <cell r="M312">
            <v>-817826.58</v>
          </cell>
          <cell r="N312">
            <v>-859493.25</v>
          </cell>
          <cell r="O312">
            <v>-887659.92</v>
          </cell>
          <cell r="P312">
            <v>-929326.59</v>
          </cell>
          <cell r="Q312">
            <v>-764326.59</v>
          </cell>
          <cell r="R312">
            <v>-764326.59</v>
          </cell>
          <cell r="S312">
            <v>-609963.93999999994</v>
          </cell>
          <cell r="T312">
            <v>-565119.14</v>
          </cell>
          <cell r="U312">
            <v>-547299.71</v>
          </cell>
          <cell r="V312">
            <v>-560293.04</v>
          </cell>
          <cell r="W312">
            <v>-546255.09</v>
          </cell>
          <cell r="X312">
            <v>-546255.09</v>
          </cell>
          <cell r="Y312">
            <v>-507492.84</v>
          </cell>
          <cell r="Z312">
            <v>-507492.84</v>
          </cell>
          <cell r="AA312">
            <v>-482492.84</v>
          </cell>
          <cell r="AB312">
            <v>-507492.84</v>
          </cell>
          <cell r="AC312">
            <v>-458983.96</v>
          </cell>
          <cell r="AD312">
            <v>-458983.96</v>
          </cell>
          <cell r="AE312">
            <v>-293983.96000000002</v>
          </cell>
          <cell r="AF312">
            <v>-160383.96</v>
          </cell>
          <cell r="AG312">
            <v>-160383.96</v>
          </cell>
          <cell r="AH312">
            <v>-160383.96</v>
          </cell>
          <cell r="AI312">
            <v>-160383.96</v>
          </cell>
          <cell r="AJ312">
            <v>-157883.96</v>
          </cell>
          <cell r="AK312">
            <v>-157883.96</v>
          </cell>
          <cell r="AL312">
            <v>-157883.96</v>
          </cell>
          <cell r="AM312">
            <v>-157883.96</v>
          </cell>
          <cell r="AN312">
            <v>0</v>
          </cell>
          <cell r="AO312">
            <v>-41666.67</v>
          </cell>
          <cell r="AP312">
            <v>-58333.32</v>
          </cell>
          <cell r="AQ312">
            <v>-77489.259999999995</v>
          </cell>
          <cell r="AR312">
            <v>37495.919999999998</v>
          </cell>
          <cell r="AS312">
            <v>9411.5</v>
          </cell>
          <cell r="AT312">
            <v>-6875.26</v>
          </cell>
          <cell r="AU312">
            <v>-36041.919999999998</v>
          </cell>
          <cell r="AV312">
            <v>-64645.82</v>
          </cell>
          <cell r="AW312">
            <v>-93812.479999999996</v>
          </cell>
          <cell r="AX312">
            <v>-122979.14</v>
          </cell>
          <cell r="AY312">
            <v>-145357.69</v>
          </cell>
          <cell r="AZ312">
            <v>-0.63</v>
          </cell>
          <cell r="BA312">
            <v>-33333.96</v>
          </cell>
          <cell r="BB312">
            <v>-66667.289999999994</v>
          </cell>
          <cell r="BC312">
            <v>-100000.62</v>
          </cell>
          <cell r="BD312">
            <v>-133333.95000000001</v>
          </cell>
          <cell r="BE312">
            <v>-148862.35999999999</v>
          </cell>
          <cell r="BF312">
            <v>304.31</v>
          </cell>
          <cell r="BG312">
            <v>-30483.02</v>
          </cell>
          <cell r="BH312">
            <v>-63816.35</v>
          </cell>
          <cell r="BI312">
            <v>-97149.68</v>
          </cell>
          <cell r="BJ312">
            <v>-109048.24</v>
          </cell>
          <cell r="BK312">
            <v>-142381.57</v>
          </cell>
          <cell r="BL312">
            <v>-10714.9</v>
          </cell>
          <cell r="BM312">
            <v>-52381.57</v>
          </cell>
          <cell r="BN312">
            <v>-94048.24</v>
          </cell>
          <cell r="BO312">
            <v>46785.09</v>
          </cell>
          <cell r="BP312">
            <v>6073.35</v>
          </cell>
          <cell r="BQ312">
            <v>-34592.800000000003</v>
          </cell>
          <cell r="BR312">
            <v>-76259.47</v>
          </cell>
          <cell r="BS312">
            <v>-91582.51</v>
          </cell>
          <cell r="BT312">
            <v>-133249.18</v>
          </cell>
          <cell r="BU312">
            <v>-174915.85</v>
          </cell>
          <cell r="BV312">
            <v>-216582.52</v>
          </cell>
          <cell r="BW312">
            <v>-258249.19</v>
          </cell>
          <cell r="BX312">
            <v>-128515.18</v>
          </cell>
          <cell r="BY312">
            <v>-170181.85</v>
          </cell>
          <cell r="BZ312">
            <v>-211848.52</v>
          </cell>
          <cell r="CA312">
            <v>-53515.19</v>
          </cell>
          <cell r="CB312">
            <v>-95181.86</v>
          </cell>
          <cell r="CC312">
            <v>-111848.53</v>
          </cell>
          <cell r="CD312">
            <v>-153515.20000000001</v>
          </cell>
          <cell r="CE312">
            <v>-195181.87</v>
          </cell>
          <cell r="CF312">
            <v>-172788.87</v>
          </cell>
          <cell r="CG312">
            <v>-172788.87</v>
          </cell>
          <cell r="CH312">
            <v>-172788.87</v>
          </cell>
          <cell r="CI312">
            <v>-172788.87</v>
          </cell>
          <cell r="CJ312">
            <v>-372788.87</v>
          </cell>
          <cell r="CK312">
            <v>-182788.87</v>
          </cell>
          <cell r="CL312">
            <v>-182788.87</v>
          </cell>
          <cell r="CM312">
            <v>17211.13</v>
          </cell>
          <cell r="CN312">
            <v>17211.13</v>
          </cell>
          <cell r="CO312">
            <v>17211.13</v>
          </cell>
          <cell r="CP312">
            <v>0</v>
          </cell>
          <cell r="CQ312">
            <v>0</v>
          </cell>
          <cell r="CR312">
            <v>0</v>
          </cell>
          <cell r="CS312">
            <v>0</v>
          </cell>
          <cell r="CT312">
            <v>0</v>
          </cell>
          <cell r="CU312">
            <v>0</v>
          </cell>
          <cell r="CV312">
            <v>0</v>
          </cell>
          <cell r="CW312">
            <v>0</v>
          </cell>
          <cell r="CX312">
            <v>0</v>
          </cell>
          <cell r="CY312">
            <v>200000</v>
          </cell>
          <cell r="CZ312">
            <v>0</v>
          </cell>
          <cell r="DA312">
            <v>0</v>
          </cell>
          <cell r="DB312">
            <v>0</v>
          </cell>
          <cell r="DC312">
            <v>0</v>
          </cell>
          <cell r="DD312">
            <v>0</v>
          </cell>
          <cell r="DE312">
            <v>0</v>
          </cell>
          <cell r="DF312">
            <v>0</v>
          </cell>
          <cell r="DG312">
            <v>0</v>
          </cell>
          <cell r="DH312">
            <v>0</v>
          </cell>
        </row>
        <row r="313">
          <cell r="A313">
            <v>2540331</v>
          </cell>
          <cell r="B313">
            <v>2540331</v>
          </cell>
          <cell r="C313" t="str">
            <v>Reg Liab-TIMP Accr C</v>
          </cell>
          <cell r="D313"/>
          <cell r="E313"/>
          <cell r="F313"/>
          <cell r="G313"/>
          <cell r="H313"/>
          <cell r="I313"/>
          <cell r="J313"/>
          <cell r="K313"/>
          <cell r="L313"/>
          <cell r="M313"/>
          <cell r="N313"/>
          <cell r="O313"/>
          <cell r="P313"/>
          <cell r="Q313"/>
          <cell r="R313"/>
          <cell r="S313"/>
          <cell r="T313"/>
          <cell r="U313"/>
          <cell r="V313"/>
          <cell r="W313"/>
          <cell r="X313"/>
          <cell r="Y313"/>
          <cell r="Z313"/>
          <cell r="AA313"/>
          <cell r="AB313"/>
          <cell r="AC313"/>
          <cell r="AD313"/>
          <cell r="AE313"/>
          <cell r="AF313"/>
          <cell r="AG313"/>
          <cell r="AH313"/>
          <cell r="AI313"/>
          <cell r="AJ313"/>
          <cell r="AK313"/>
          <cell r="AL313"/>
          <cell r="AM313"/>
          <cell r="AN313"/>
          <cell r="AO313"/>
          <cell r="AP313"/>
          <cell r="AQ313"/>
          <cell r="AR313"/>
          <cell r="AS313"/>
          <cell r="AT313"/>
          <cell r="AU313"/>
          <cell r="AV313"/>
          <cell r="AW313"/>
          <cell r="AX313"/>
          <cell r="AY313"/>
          <cell r="AZ313"/>
          <cell r="BA313"/>
          <cell r="BB313"/>
          <cell r="BC313"/>
          <cell r="BD313"/>
          <cell r="BE313"/>
          <cell r="BF313"/>
          <cell r="BG313"/>
          <cell r="BH313"/>
          <cell r="BI313"/>
          <cell r="BJ313"/>
          <cell r="BK313"/>
          <cell r="BL313"/>
          <cell r="BM313"/>
          <cell r="BN313"/>
          <cell r="BO313"/>
          <cell r="BP313"/>
          <cell r="BQ313"/>
          <cell r="BR313"/>
          <cell r="BS313"/>
          <cell r="BT313"/>
          <cell r="BU313"/>
          <cell r="BV313"/>
          <cell r="BW313"/>
          <cell r="BX313"/>
          <cell r="BY313"/>
          <cell r="BZ313"/>
          <cell r="CA313"/>
          <cell r="CB313"/>
          <cell r="CC313"/>
          <cell r="CD313"/>
          <cell r="CE313"/>
          <cell r="CF313"/>
          <cell r="CG313"/>
          <cell r="CH313"/>
          <cell r="CI313"/>
          <cell r="CJ313"/>
          <cell r="CK313"/>
          <cell r="CL313"/>
          <cell r="CM313"/>
          <cell r="CN313"/>
          <cell r="CO313"/>
          <cell r="CP313"/>
          <cell r="CQ313"/>
          <cell r="CR313"/>
          <cell r="CS313"/>
          <cell r="CT313"/>
          <cell r="CU313"/>
          <cell r="CV313"/>
          <cell r="CW313"/>
          <cell r="CX313"/>
          <cell r="CY313"/>
          <cell r="CZ313"/>
          <cell r="DA313"/>
          <cell r="DB313"/>
          <cell r="DC313">
            <v>0</v>
          </cell>
          <cell r="DD313">
            <v>0</v>
          </cell>
          <cell r="DE313">
            <v>-186245.36</v>
          </cell>
          <cell r="DF313">
            <v>-258812.51</v>
          </cell>
          <cell r="DG313">
            <v>0</v>
          </cell>
          <cell r="DH313">
            <v>0</v>
          </cell>
        </row>
        <row r="314">
          <cell r="A314">
            <v>2540340</v>
          </cell>
          <cell r="B314">
            <v>2540340</v>
          </cell>
          <cell r="C314" t="str">
            <v>Reg Liab-MGP Remed</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row>
        <row r="315">
          <cell r="A315">
            <v>2540610</v>
          </cell>
          <cell r="B315">
            <v>2540610</v>
          </cell>
          <cell r="C315" t="str">
            <v>Reg Liab-FAS 106 Tax</v>
          </cell>
          <cell r="D315"/>
          <cell r="E315"/>
          <cell r="F315"/>
          <cell r="G315"/>
          <cell r="H315"/>
          <cell r="I315"/>
          <cell r="J315"/>
          <cell r="K315"/>
          <cell r="L315"/>
          <cell r="M315"/>
          <cell r="N315"/>
          <cell r="O315"/>
          <cell r="P315"/>
          <cell r="Q315"/>
          <cell r="R315"/>
          <cell r="S315"/>
          <cell r="T315"/>
          <cell r="U315"/>
          <cell r="V315"/>
          <cell r="W315"/>
          <cell r="X315"/>
          <cell r="Y315"/>
          <cell r="Z315"/>
          <cell r="AA315"/>
          <cell r="AB315"/>
          <cell r="AC315"/>
          <cell r="AD315"/>
          <cell r="AE315"/>
          <cell r="AF315"/>
          <cell r="AG315"/>
          <cell r="AH315"/>
          <cell r="AI315"/>
          <cell r="AJ315"/>
          <cell r="AK315"/>
          <cell r="AL315"/>
          <cell r="AM315"/>
          <cell r="AN315"/>
          <cell r="AO315">
            <v>0</v>
          </cell>
          <cell r="AP315">
            <v>0</v>
          </cell>
          <cell r="AQ315">
            <v>0</v>
          </cell>
          <cell r="AR315">
            <v>0</v>
          </cell>
          <cell r="AS315">
            <v>0</v>
          </cell>
          <cell r="AT315">
            <v>0</v>
          </cell>
          <cell r="AU315">
            <v>0</v>
          </cell>
          <cell r="AV315">
            <v>0</v>
          </cell>
          <cell r="AW315">
            <v>0</v>
          </cell>
          <cell r="AX315">
            <v>0</v>
          </cell>
          <cell r="AY315">
            <v>0</v>
          </cell>
          <cell r="AZ315">
            <v>-89215247.840000004</v>
          </cell>
          <cell r="BA315">
            <v>-88993618.829999998</v>
          </cell>
          <cell r="BB315">
            <v>-88772694.959999993</v>
          </cell>
          <cell r="BC315">
            <v>-88827824.640000001</v>
          </cell>
          <cell r="BD315">
            <v>-88698688.569999993</v>
          </cell>
          <cell r="BE315">
            <v>-89028647.75</v>
          </cell>
          <cell r="BF315">
            <v>-88991326.840000004</v>
          </cell>
          <cell r="BG315">
            <v>-88954005.790000007</v>
          </cell>
          <cell r="BH315">
            <v>-88929436.260000005</v>
          </cell>
          <cell r="BI315">
            <v>-88893709.109999999</v>
          </cell>
          <cell r="BJ315">
            <v>-88857982.060000002</v>
          </cell>
          <cell r="BK315">
            <v>-90723707.120000005</v>
          </cell>
          <cell r="BL315">
            <v>-90687980.010000005</v>
          </cell>
          <cell r="BM315">
            <v>-90707229.579999998</v>
          </cell>
          <cell r="BN315">
            <v>-90773562.260000005</v>
          </cell>
          <cell r="BO315">
            <v>-90817020.25</v>
          </cell>
          <cell r="BP315">
            <v>-90859144.519999996</v>
          </cell>
          <cell r="BQ315">
            <v>-90901935.640000001</v>
          </cell>
          <cell r="BR315">
            <v>-90944726.75</v>
          </cell>
          <cell r="BS315">
            <v>-90987517.769999996</v>
          </cell>
          <cell r="BT315">
            <v>-91073669.359999999</v>
          </cell>
          <cell r="BU315">
            <v>-89875621.409999996</v>
          </cell>
          <cell r="BV315">
            <v>-89923023.269999996</v>
          </cell>
          <cell r="BW315">
            <v>-89970425.319999993</v>
          </cell>
          <cell r="BX315">
            <v>-90472776.099999994</v>
          </cell>
          <cell r="BY315">
            <v>-90499955.489999995</v>
          </cell>
          <cell r="BZ315">
            <v>-90518828.609999999</v>
          </cell>
          <cell r="CA315">
            <v>-90372737.219999999</v>
          </cell>
          <cell r="CB315">
            <v>-90395169.049999997</v>
          </cell>
          <cell r="CC315">
            <v>-90417623.329999998</v>
          </cell>
          <cell r="CD315">
            <v>-90530783.329999998</v>
          </cell>
          <cell r="CE315">
            <v>-90553345.189999998</v>
          </cell>
          <cell r="CF315">
            <v>-90531840.560000002</v>
          </cell>
          <cell r="CG315">
            <v>-90637383.310000002</v>
          </cell>
          <cell r="CH315">
            <v>-93142210.879999995</v>
          </cell>
          <cell r="CI315">
            <v>-93187157.530000001</v>
          </cell>
          <cell r="CJ315">
            <v>-93201281.370000005</v>
          </cell>
          <cell r="CK315">
            <v>-93223383.650000006</v>
          </cell>
          <cell r="CL315">
            <v>-93198140.409999996</v>
          </cell>
          <cell r="CM315">
            <v>-93042872.780000001</v>
          </cell>
          <cell r="CN315">
            <v>-93138408.629999995</v>
          </cell>
          <cell r="CO315">
            <v>-93162182.030000001</v>
          </cell>
          <cell r="CP315">
            <v>-92987853.989999995</v>
          </cell>
          <cell r="CQ315">
            <v>-93010829.170000002</v>
          </cell>
          <cell r="CR315">
            <v>-93034141.939999998</v>
          </cell>
          <cell r="CS315">
            <v>-92792742.819999993</v>
          </cell>
          <cell r="CT315">
            <v>-92761579.930000007</v>
          </cell>
          <cell r="CU315">
            <v>-93212284.239999995</v>
          </cell>
          <cell r="CV315">
            <v>-88446090.120000005</v>
          </cell>
          <cell r="CW315">
            <v>-88506456.180000007</v>
          </cell>
          <cell r="CX315">
            <v>-88566338.359999999</v>
          </cell>
          <cell r="CY315">
            <v>-88307192.769999996</v>
          </cell>
          <cell r="CZ315">
            <v>-88362329.349999994</v>
          </cell>
          <cell r="DA315">
            <v>-88416495.030000001</v>
          </cell>
          <cell r="DB315">
            <v>-88290717.590000004</v>
          </cell>
          <cell r="DC315">
            <v>-88341331.810000002</v>
          </cell>
          <cell r="DD315">
            <v>-88539586.890000001</v>
          </cell>
          <cell r="DE315">
            <v>-88612189.200000003</v>
          </cell>
          <cell r="DF315">
            <v>-88681888.730000004</v>
          </cell>
          <cell r="DG315">
            <v>-88752434.620000005</v>
          </cell>
          <cell r="DH315">
            <v>-88659849.129999995</v>
          </cell>
        </row>
        <row r="316">
          <cell r="A316">
            <v>2540612</v>
          </cell>
          <cell r="B316">
            <v>2540612</v>
          </cell>
          <cell r="C316" t="str">
            <v>Reg Liab-TaxReform C</v>
          </cell>
          <cell r="D316"/>
          <cell r="E316"/>
          <cell r="F316"/>
          <cell r="G316"/>
          <cell r="H316"/>
          <cell r="I316"/>
          <cell r="J316"/>
          <cell r="K316"/>
          <cell r="L316"/>
          <cell r="M316"/>
          <cell r="N316"/>
          <cell r="O316"/>
          <cell r="P316"/>
          <cell r="Q316"/>
          <cell r="R316"/>
          <cell r="S316"/>
          <cell r="T316"/>
          <cell r="U316"/>
          <cell r="V316"/>
          <cell r="W316"/>
          <cell r="X316"/>
          <cell r="Y316"/>
          <cell r="Z316"/>
          <cell r="AA316"/>
          <cell r="AB316"/>
          <cell r="AC316"/>
          <cell r="AD316"/>
          <cell r="AE316"/>
          <cell r="AF316"/>
          <cell r="AG316"/>
          <cell r="AH316"/>
          <cell r="AI316"/>
          <cell r="AJ316"/>
          <cell r="AK316"/>
          <cell r="AL316"/>
          <cell r="AM316"/>
          <cell r="AN316"/>
          <cell r="AO316"/>
          <cell r="AP316"/>
          <cell r="AQ316"/>
          <cell r="AR316"/>
          <cell r="AS316"/>
          <cell r="AT316"/>
          <cell r="AU316"/>
          <cell r="AV316"/>
          <cell r="AW316"/>
          <cell r="AX316"/>
          <cell r="AY316"/>
          <cell r="AZ316"/>
          <cell r="BA316">
            <v>0</v>
          </cell>
          <cell r="BB316">
            <v>-1338154</v>
          </cell>
          <cell r="BC316">
            <v>-2469709</v>
          </cell>
          <cell r="BD316">
            <v>-3636944</v>
          </cell>
          <cell r="BE316">
            <v>-3920470</v>
          </cell>
          <cell r="BF316">
            <v>-4641906</v>
          </cell>
          <cell r="BG316">
            <v>-5353653</v>
          </cell>
          <cell r="BH316">
            <v>-6054063</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cell r="BW316"/>
          <cell r="BX316"/>
          <cell r="BY316"/>
          <cell r="BZ316"/>
          <cell r="CA316"/>
          <cell r="CB316"/>
          <cell r="CC316"/>
          <cell r="CD316"/>
          <cell r="CE316"/>
          <cell r="CF316"/>
          <cell r="CG316"/>
          <cell r="CH316"/>
          <cell r="CI316"/>
          <cell r="CJ316"/>
          <cell r="CK316"/>
          <cell r="CL316"/>
          <cell r="CM316"/>
          <cell r="CN316"/>
          <cell r="CO316"/>
          <cell r="CP316"/>
          <cell r="CQ316">
            <v>0</v>
          </cell>
          <cell r="CR316">
            <v>0</v>
          </cell>
          <cell r="CS316">
            <v>-720499.67</v>
          </cell>
          <cell r="CT316">
            <v>-689096.16</v>
          </cell>
          <cell r="CU316">
            <v>-755581.77</v>
          </cell>
          <cell r="CV316">
            <v>-851583.89</v>
          </cell>
          <cell r="CW316">
            <v>-851583.89</v>
          </cell>
          <cell r="CX316">
            <v>-851583.89</v>
          </cell>
          <cell r="CY316">
            <v>-851583.89</v>
          </cell>
          <cell r="CZ316">
            <v>-851583.89</v>
          </cell>
          <cell r="DA316">
            <v>-843750.89</v>
          </cell>
          <cell r="DB316">
            <v>0</v>
          </cell>
          <cell r="DC316">
            <v>0</v>
          </cell>
          <cell r="DD316">
            <v>0</v>
          </cell>
          <cell r="DE316">
            <v>0</v>
          </cell>
          <cell r="DF316">
            <v>0</v>
          </cell>
          <cell r="DG316">
            <v>0</v>
          </cell>
          <cell r="DH316">
            <v>0</v>
          </cell>
        </row>
        <row r="317">
          <cell r="A317">
            <v>2550000</v>
          </cell>
          <cell r="B317">
            <v>2550000</v>
          </cell>
          <cell r="C317" t="str">
            <v>AcDfd Invest Tax Cr</v>
          </cell>
          <cell r="D317"/>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cell r="AM317"/>
          <cell r="AN317"/>
          <cell r="AO317"/>
          <cell r="AP317"/>
          <cell r="AQ317"/>
          <cell r="AR317"/>
          <cell r="AS317"/>
          <cell r="AT317"/>
          <cell r="AU317"/>
          <cell r="AV317"/>
          <cell r="AW317"/>
          <cell r="AX317"/>
          <cell r="AY317"/>
          <cell r="AZ317"/>
          <cell r="BA317"/>
          <cell r="BB317"/>
          <cell r="BC317"/>
          <cell r="BD317"/>
          <cell r="BE317"/>
          <cell r="BF317"/>
          <cell r="BG317"/>
          <cell r="BH317"/>
          <cell r="BI317"/>
          <cell r="BJ317"/>
          <cell r="BK317"/>
          <cell r="BL317"/>
          <cell r="BM317"/>
          <cell r="BN317"/>
          <cell r="BO317"/>
          <cell r="BP317"/>
          <cell r="BQ317"/>
          <cell r="BR317"/>
          <cell r="BS317"/>
          <cell r="BT317"/>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row>
        <row r="318">
          <cell r="A318">
            <v>2560000</v>
          </cell>
          <cell r="B318">
            <v>2560000</v>
          </cell>
          <cell r="C318"/>
          <cell r="D318"/>
          <cell r="E318"/>
          <cell r="F318"/>
          <cell r="G318"/>
          <cell r="H318"/>
          <cell r="I318"/>
          <cell r="J318"/>
          <cell r="K318"/>
          <cell r="L318"/>
          <cell r="M318"/>
          <cell r="N318"/>
          <cell r="O318"/>
          <cell r="P318"/>
          <cell r="Q318"/>
          <cell r="R318"/>
          <cell r="S318"/>
          <cell r="T318"/>
          <cell r="U318"/>
          <cell r="V318"/>
          <cell r="W318"/>
          <cell r="X318"/>
          <cell r="Y318"/>
          <cell r="Z318"/>
          <cell r="AA318"/>
          <cell r="AB318"/>
          <cell r="AC318"/>
          <cell r="AD318"/>
          <cell r="AE318"/>
          <cell r="AF318"/>
          <cell r="AG318"/>
          <cell r="AH318"/>
          <cell r="AI318"/>
          <cell r="AJ318"/>
          <cell r="AK318"/>
          <cell r="AL318"/>
          <cell r="AM318"/>
          <cell r="AN318"/>
          <cell r="AO318"/>
          <cell r="AP318"/>
          <cell r="AQ318"/>
          <cell r="AR318"/>
          <cell r="AS318"/>
          <cell r="AT318"/>
          <cell r="AU318"/>
          <cell r="AV318"/>
          <cell r="AW318"/>
          <cell r="AX318"/>
          <cell r="AY318"/>
          <cell r="AZ318"/>
          <cell r="BA318"/>
          <cell r="BB318"/>
          <cell r="BC318"/>
          <cell r="BD318"/>
          <cell r="BE318"/>
          <cell r="BF318"/>
          <cell r="BG318"/>
          <cell r="BH318"/>
          <cell r="BI318"/>
          <cell r="BJ318"/>
          <cell r="BK318"/>
          <cell r="BL318"/>
          <cell r="BM318"/>
          <cell r="BN318"/>
          <cell r="BO318"/>
          <cell r="BP318"/>
          <cell r="BQ318"/>
          <cell r="BR318"/>
          <cell r="BS318"/>
          <cell r="BT318"/>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row>
        <row r="319">
          <cell r="A319">
            <v>2820300</v>
          </cell>
          <cell r="B319">
            <v>2820300</v>
          </cell>
          <cell r="C319" t="str">
            <v>DIT Oth Prop Fed</v>
          </cell>
          <cell r="D319">
            <v>-122615853.91</v>
          </cell>
          <cell r="E319">
            <v>-123076186.52</v>
          </cell>
          <cell r="F319">
            <v>-123327926.92</v>
          </cell>
          <cell r="G319">
            <v>-123565413.86</v>
          </cell>
          <cell r="H319">
            <v>-123799389.37</v>
          </cell>
          <cell r="I319">
            <v>-124210045.81</v>
          </cell>
          <cell r="J319">
            <v>-124039382.19</v>
          </cell>
          <cell r="K319">
            <v>-124421950.09</v>
          </cell>
          <cell r="L319">
            <v>-124666991.66</v>
          </cell>
          <cell r="M319">
            <v>-126254397.84</v>
          </cell>
          <cell r="N319">
            <v>-126024681.02</v>
          </cell>
          <cell r="O319">
            <v>-125344402.18000001</v>
          </cell>
          <cell r="P319">
            <v>-133327472.54000001</v>
          </cell>
          <cell r="Q319">
            <v>-133675559.31</v>
          </cell>
          <cell r="R319">
            <v>-134052424.42</v>
          </cell>
          <cell r="S319">
            <v>-134448704.25999999</v>
          </cell>
          <cell r="T319">
            <v>-134826672.28999999</v>
          </cell>
          <cell r="U319">
            <v>-135100341.31999999</v>
          </cell>
          <cell r="V319">
            <v>-135486377.36000001</v>
          </cell>
          <cell r="W319">
            <v>-135370609.62</v>
          </cell>
          <cell r="X319">
            <v>-135680190.96000001</v>
          </cell>
          <cell r="Y319">
            <v>-137237134.41</v>
          </cell>
          <cell r="Z319">
            <v>-137816724.06</v>
          </cell>
          <cell r="AA319">
            <v>-147756175.68000001</v>
          </cell>
          <cell r="AB319">
            <v>-138275761.22999999</v>
          </cell>
          <cell r="AC319">
            <v>-149187291</v>
          </cell>
          <cell r="AD319">
            <v>-150392501.62</v>
          </cell>
          <cell r="AE319">
            <v>-151606018.81</v>
          </cell>
          <cell r="AF319">
            <v>-152854706.46000001</v>
          </cell>
          <cell r="AG319">
            <v>-154128594.28999999</v>
          </cell>
          <cell r="AH319">
            <v>-154864776.68000001</v>
          </cell>
          <cell r="AI319">
            <v>-156022321.74000001</v>
          </cell>
          <cell r="AJ319">
            <v>-157598733.38999999</v>
          </cell>
          <cell r="AK319">
            <v>-157639277.90000001</v>
          </cell>
          <cell r="AL319">
            <v>-159096807.59999999</v>
          </cell>
          <cell r="AM319">
            <v>-160685015.93000001</v>
          </cell>
          <cell r="AN319">
            <v>-169921088.58000001</v>
          </cell>
          <cell r="AO319">
            <v>-171565743.47</v>
          </cell>
          <cell r="AP319">
            <v>-173167388.58000001</v>
          </cell>
          <cell r="AQ319">
            <v>-175913638.03999999</v>
          </cell>
          <cell r="AR319">
            <v>-177720347.08000001</v>
          </cell>
          <cell r="AS319">
            <v>-180342713.16999999</v>
          </cell>
          <cell r="AT319">
            <v>-182827155.59</v>
          </cell>
          <cell r="AU319">
            <v>-185170703.41</v>
          </cell>
          <cell r="AV319">
            <v>-187263114.53999999</v>
          </cell>
          <cell r="AW319">
            <v>-189281970.77000001</v>
          </cell>
          <cell r="AX319">
            <v>-191379135.31</v>
          </cell>
          <cell r="AY319">
            <v>-193643590.25</v>
          </cell>
          <cell r="AZ319">
            <v>-188795000.62</v>
          </cell>
          <cell r="BA319">
            <v>-189363634.58000001</v>
          </cell>
          <cell r="BB319">
            <v>-189971729.88</v>
          </cell>
          <cell r="BC319">
            <v>-190805639.31</v>
          </cell>
          <cell r="BD319">
            <v>-191365827.52000001</v>
          </cell>
          <cell r="BE319">
            <v>-192348755.31999999</v>
          </cell>
          <cell r="BF319">
            <v>-192979269.93000001</v>
          </cell>
          <cell r="BG319">
            <v>-193661245.62</v>
          </cell>
          <cell r="BH319">
            <v>-195222890.97999999</v>
          </cell>
          <cell r="BI319">
            <v>-196003401.43000001</v>
          </cell>
          <cell r="BJ319">
            <v>-196840666.52000001</v>
          </cell>
          <cell r="BK319">
            <v>-201608567.28999999</v>
          </cell>
          <cell r="BL319">
            <v>-200049128.27000001</v>
          </cell>
          <cell r="BM319">
            <v>-200665758.78</v>
          </cell>
          <cell r="BN319">
            <v>-201755829.72</v>
          </cell>
          <cell r="BO319">
            <v>-202560232.31999999</v>
          </cell>
          <cell r="BP319">
            <v>-203394896.88999999</v>
          </cell>
          <cell r="BQ319">
            <v>-204230000.27000001</v>
          </cell>
          <cell r="BR319">
            <v>-205101326.43000001</v>
          </cell>
          <cell r="BS319">
            <v>-205950878.00999999</v>
          </cell>
          <cell r="BT319">
            <v>-206814258.53999999</v>
          </cell>
          <cell r="BU319">
            <v>-207613971.40000001</v>
          </cell>
          <cell r="BV319">
            <v>-208303128.11000001</v>
          </cell>
          <cell r="BW319">
            <v>-209137200.27000001</v>
          </cell>
          <cell r="BX319">
            <v>-210576181.94999999</v>
          </cell>
          <cell r="BY319">
            <v>-210367766.71000001</v>
          </cell>
          <cell r="BZ319">
            <v>-212616296.28999999</v>
          </cell>
          <cell r="CA319">
            <v>-213769224.31999999</v>
          </cell>
          <cell r="CB319">
            <v>-214568854.36000001</v>
          </cell>
          <cell r="CC319">
            <v>-215642926.15000001</v>
          </cell>
          <cell r="CD319">
            <v>-216611495.66999999</v>
          </cell>
          <cell r="CE319">
            <v>-217659597.24000001</v>
          </cell>
          <cell r="CF319">
            <v>-218084746.78</v>
          </cell>
          <cell r="CG319">
            <v>-219157462.41999999</v>
          </cell>
          <cell r="CH319">
            <v>-221209750.56</v>
          </cell>
          <cell r="CI319">
            <v>-222049281.22999999</v>
          </cell>
          <cell r="CJ319">
            <v>-223534163.84999999</v>
          </cell>
          <cell r="CK319">
            <v>-224520933.09</v>
          </cell>
          <cell r="CL319">
            <v>-225664292.99000001</v>
          </cell>
          <cell r="CM319">
            <v>-226608890.53</v>
          </cell>
          <cell r="CN319">
            <v>-227992510.74000001</v>
          </cell>
          <cell r="CO319">
            <v>-229401809.71000001</v>
          </cell>
          <cell r="CP319">
            <v>-229390954.59</v>
          </cell>
          <cell r="CQ319">
            <v>-230599723.44999999</v>
          </cell>
          <cell r="CR319">
            <v>-231348744</v>
          </cell>
          <cell r="CS319">
            <v>-232161745.74000001</v>
          </cell>
          <cell r="CT319">
            <v>-233043165.18000001</v>
          </cell>
          <cell r="CU319">
            <v>-235254948.59999999</v>
          </cell>
          <cell r="CV319">
            <v>-233873540.72</v>
          </cell>
          <cell r="CW319">
            <v>-235397720.00999999</v>
          </cell>
          <cell r="CX319">
            <v>-237024656.97</v>
          </cell>
          <cell r="CY319">
            <v>-238021827</v>
          </cell>
          <cell r="CZ319">
            <v>-239624222.66</v>
          </cell>
          <cell r="DA319">
            <v>-241063714.13999999</v>
          </cell>
          <cell r="DB319">
            <v>-242511282.21000001</v>
          </cell>
          <cell r="DC319">
            <v>-243680677.34</v>
          </cell>
          <cell r="DD319">
            <v>-247340790.43000001</v>
          </cell>
          <cell r="DE319">
            <v>-248841725.38999999</v>
          </cell>
          <cell r="DF319">
            <v>-250569746.59</v>
          </cell>
          <cell r="DG319">
            <v>-252352121.37</v>
          </cell>
          <cell r="DH319">
            <v>-253908091.19</v>
          </cell>
        </row>
        <row r="320">
          <cell r="A320">
            <v>2820400</v>
          </cell>
          <cell r="B320">
            <v>2820400</v>
          </cell>
          <cell r="C320" t="str">
            <v>DIT Oth Prop State</v>
          </cell>
          <cell r="D320">
            <v>-13402682.039999999</v>
          </cell>
          <cell r="E320">
            <v>-13575578.130000001</v>
          </cell>
          <cell r="F320">
            <v>-13713787.68</v>
          </cell>
          <cell r="G320">
            <v>-13849627.039999999</v>
          </cell>
          <cell r="H320">
            <v>-13984882.49</v>
          </cell>
          <cell r="I320">
            <v>-14245865.939999999</v>
          </cell>
          <cell r="J320">
            <v>-14121138.550000001</v>
          </cell>
          <cell r="K320">
            <v>-14377451.17</v>
          </cell>
          <cell r="L320">
            <v>-14514546.789999999</v>
          </cell>
          <cell r="M320">
            <v>-14632061.550000001</v>
          </cell>
          <cell r="N320">
            <v>-14831581.42</v>
          </cell>
          <cell r="O320">
            <v>-14956177.869999999</v>
          </cell>
          <cell r="P320">
            <v>-15386861.289999999</v>
          </cell>
          <cell r="Q320">
            <v>-15539731.439999999</v>
          </cell>
          <cell r="R320">
            <v>-15697387.1</v>
          </cell>
          <cell r="S320">
            <v>-15858271.210000001</v>
          </cell>
          <cell r="T320">
            <v>-16016110.27</v>
          </cell>
          <cell r="U320">
            <v>-16156605.59</v>
          </cell>
          <cell r="V320">
            <v>-16315786.279999999</v>
          </cell>
          <cell r="W320">
            <v>-16391522.65</v>
          </cell>
          <cell r="X320">
            <v>-16537989.77</v>
          </cell>
          <cell r="Y320">
            <v>-16704561.199999999</v>
          </cell>
          <cell r="Z320">
            <v>-16894278.73</v>
          </cell>
          <cell r="AA320">
            <v>-17381543.600000001</v>
          </cell>
          <cell r="AB320">
            <v>-17063949.739999998</v>
          </cell>
          <cell r="AC320">
            <v>-17598742.010000002</v>
          </cell>
          <cell r="AD320">
            <v>-17778375.010000002</v>
          </cell>
          <cell r="AE320">
            <v>-17959389.32</v>
          </cell>
          <cell r="AF320">
            <v>-18146252.059999999</v>
          </cell>
          <cell r="AG320">
            <v>-18337305.329999998</v>
          </cell>
          <cell r="AH320">
            <v>-18274447.27</v>
          </cell>
          <cell r="AI320">
            <v>-18446154.030000001</v>
          </cell>
          <cell r="AJ320">
            <v>-18707365</v>
          </cell>
          <cell r="AK320">
            <v>-18897051.82</v>
          </cell>
          <cell r="AL320">
            <v>-19138494.07</v>
          </cell>
          <cell r="AM320">
            <v>-19401666.670000002</v>
          </cell>
          <cell r="AN320">
            <v>-20737319.989999998</v>
          </cell>
          <cell r="AO320">
            <v>-21010411.5</v>
          </cell>
          <cell r="AP320">
            <v>-21276350.949999999</v>
          </cell>
          <cell r="AQ320">
            <v>-21584637.98</v>
          </cell>
          <cell r="AR320">
            <v>-21835348.210000001</v>
          </cell>
          <cell r="AS320">
            <v>-22292037.050000001</v>
          </cell>
          <cell r="AT320">
            <v>-22669515.48</v>
          </cell>
          <cell r="AU320">
            <v>-23023564.719999999</v>
          </cell>
          <cell r="AV320">
            <v>-23335852.789999999</v>
          </cell>
          <cell r="AW320">
            <v>-23635909.5</v>
          </cell>
          <cell r="AX320">
            <v>-23948987.98</v>
          </cell>
          <cell r="AY320">
            <v>-24289884.969999999</v>
          </cell>
          <cell r="AZ320">
            <v>-24319752.199999999</v>
          </cell>
          <cell r="BA320">
            <v>-24641444.02</v>
          </cell>
          <cell r="BB320">
            <v>-24973834.41</v>
          </cell>
          <cell r="BC320">
            <v>-25320046.27</v>
          </cell>
          <cell r="BD320">
            <v>-25622980.530000001</v>
          </cell>
          <cell r="BE320">
            <v>-25948088.809999999</v>
          </cell>
          <cell r="BF320">
            <v>-26251519.59</v>
          </cell>
          <cell r="BG320">
            <v>-26569212.73</v>
          </cell>
          <cell r="BH320">
            <v>-26724419.920000002</v>
          </cell>
          <cell r="BI320">
            <v>-27018636.129999999</v>
          </cell>
          <cell r="BJ320">
            <v>-27328581.84</v>
          </cell>
          <cell r="BK320">
            <v>-27745441.219999999</v>
          </cell>
          <cell r="BL320">
            <v>-28398693.719999999</v>
          </cell>
          <cell r="BM320">
            <v>-28728328.359999999</v>
          </cell>
          <cell r="BN320">
            <v>-29150518.579999998</v>
          </cell>
          <cell r="BO320">
            <v>-29512865.129999999</v>
          </cell>
          <cell r="BP320">
            <v>-29883598.739999998</v>
          </cell>
          <cell r="BQ320">
            <v>-30254453.960000001</v>
          </cell>
          <cell r="BR320">
            <v>-30635348.23</v>
          </cell>
          <cell r="BS320">
            <v>-31010207.739999998</v>
          </cell>
          <cell r="BT320">
            <v>-31379928.420000002</v>
          </cell>
          <cell r="BU320">
            <v>-31077454.34</v>
          </cell>
          <cell r="BV320">
            <v>-31341578.190000001</v>
          </cell>
          <cell r="BW320">
            <v>-31637900.949999999</v>
          </cell>
          <cell r="BX320">
            <v>-32014203.829999998</v>
          </cell>
          <cell r="BY320">
            <v>-32061646.57</v>
          </cell>
          <cell r="BZ320">
            <v>-32656328.550000001</v>
          </cell>
          <cell r="CA320">
            <v>-33006758.989999998</v>
          </cell>
          <cell r="CB320">
            <v>-33279031.73</v>
          </cell>
          <cell r="CC320">
            <v>-33612268.350000001</v>
          </cell>
          <cell r="CD320">
            <v>-33921729.619999997</v>
          </cell>
          <cell r="CE320">
            <v>-34249125.43</v>
          </cell>
          <cell r="CF320">
            <v>-34379553.640000001</v>
          </cell>
          <cell r="CG320">
            <v>-34778994.710000001</v>
          </cell>
          <cell r="CH320">
            <v>-35343431.18</v>
          </cell>
          <cell r="CI320">
            <v>-35620809.350000001</v>
          </cell>
          <cell r="CJ320">
            <v>-36178539.149999999</v>
          </cell>
          <cell r="CK320">
            <v>-36475516.869999997</v>
          </cell>
          <cell r="CL320">
            <v>-36815282.32</v>
          </cell>
          <cell r="CM320">
            <v>-37025139.780000001</v>
          </cell>
          <cell r="CN320">
            <v>-37398334.32</v>
          </cell>
          <cell r="CO320">
            <v>-37788931.399999999</v>
          </cell>
          <cell r="CP320">
            <v>-37781239.310000002</v>
          </cell>
          <cell r="CQ320">
            <v>-38127633.829999998</v>
          </cell>
          <cell r="CR320">
            <v>-38371655.57</v>
          </cell>
          <cell r="CS320">
            <v>-37959760.520000003</v>
          </cell>
          <cell r="CT320">
            <v>-38220423.310000002</v>
          </cell>
          <cell r="CU320">
            <v>-38641248.5</v>
          </cell>
          <cell r="CV320">
            <v>-38597245.740000002</v>
          </cell>
          <cell r="CW320">
            <v>-39071563.479999997</v>
          </cell>
          <cell r="CX320">
            <v>-39574755.359999999</v>
          </cell>
          <cell r="CY320">
            <v>-39906837.039999999</v>
          </cell>
          <cell r="CZ320">
            <v>-40403819.380000003</v>
          </cell>
          <cell r="DA320">
            <v>-40856445.719999999</v>
          </cell>
          <cell r="DB320">
            <v>-41150998.969999999</v>
          </cell>
          <cell r="DC320">
            <v>-41529383.490000002</v>
          </cell>
          <cell r="DD320">
            <v>-42567115.759999998</v>
          </cell>
          <cell r="DE320">
            <v>-43030884.149999999</v>
          </cell>
          <cell r="DF320">
            <v>-43560396.280000001</v>
          </cell>
          <cell r="DG320">
            <v>-44104281.509999998</v>
          </cell>
          <cell r="DH320">
            <v>-44304961.149999999</v>
          </cell>
        </row>
        <row r="321">
          <cell r="A321">
            <v>2820610</v>
          </cell>
          <cell r="B321">
            <v>2820610</v>
          </cell>
          <cell r="C321" t="str">
            <v>DIT Oth Prop FAS109</v>
          </cell>
          <cell r="D321"/>
          <cell r="E321"/>
          <cell r="F321"/>
          <cell r="G321"/>
          <cell r="H321"/>
          <cell r="I321"/>
          <cell r="J321"/>
          <cell r="K321"/>
          <cell r="L321"/>
          <cell r="M321"/>
          <cell r="N321"/>
          <cell r="O321"/>
          <cell r="P321"/>
          <cell r="Q321"/>
          <cell r="R321"/>
          <cell r="S321"/>
          <cell r="T321"/>
          <cell r="U321"/>
          <cell r="V321"/>
          <cell r="W321"/>
          <cell r="X321"/>
          <cell r="Y321"/>
          <cell r="Z321"/>
          <cell r="AA321"/>
          <cell r="AB321"/>
          <cell r="AC321"/>
          <cell r="AD321"/>
          <cell r="AE321"/>
          <cell r="AF321"/>
          <cell r="AG321"/>
          <cell r="AH321"/>
          <cell r="AI321"/>
          <cell r="AJ321"/>
          <cell r="AK321"/>
          <cell r="AL321"/>
          <cell r="AM321"/>
          <cell r="AN321"/>
          <cell r="AO321">
            <v>0</v>
          </cell>
          <cell r="AP321">
            <v>0</v>
          </cell>
          <cell r="AQ321">
            <v>0</v>
          </cell>
          <cell r="AR321">
            <v>0</v>
          </cell>
          <cell r="AS321">
            <v>0</v>
          </cell>
          <cell r="AT321">
            <v>0</v>
          </cell>
          <cell r="AU321">
            <v>0</v>
          </cell>
          <cell r="AV321">
            <v>0</v>
          </cell>
          <cell r="AW321">
            <v>0</v>
          </cell>
          <cell r="AX321">
            <v>0</v>
          </cell>
          <cell r="AY321">
            <v>0</v>
          </cell>
          <cell r="AZ321">
            <v>66603643.789999999</v>
          </cell>
          <cell r="BA321">
            <v>66438207.350000001</v>
          </cell>
          <cell r="BB321">
            <v>66273184.460000001</v>
          </cell>
          <cell r="BC321">
            <v>66314413.969999999</v>
          </cell>
          <cell r="BD321">
            <v>66218004.109999999</v>
          </cell>
          <cell r="BE321">
            <v>66464333.859999999</v>
          </cell>
          <cell r="BF321">
            <v>66436471.899999999</v>
          </cell>
          <cell r="BG321">
            <v>66408609.890000001</v>
          </cell>
          <cell r="BH321">
            <v>66390267.490000002</v>
          </cell>
          <cell r="BI321">
            <v>66363595.409999996</v>
          </cell>
          <cell r="BJ321">
            <v>66336923.359999999</v>
          </cell>
          <cell r="BK321">
            <v>67729780.390000001</v>
          </cell>
          <cell r="BL321">
            <v>67703108.329999998</v>
          </cell>
          <cell r="BM321">
            <v>67717479.090000004</v>
          </cell>
          <cell r="BN321">
            <v>67766999.730000004</v>
          </cell>
          <cell r="BO321">
            <v>67799612.310000002</v>
          </cell>
          <cell r="BP321">
            <v>67830891.189999998</v>
          </cell>
          <cell r="BQ321">
            <v>67862836.870000005</v>
          </cell>
          <cell r="BR321">
            <v>67894782.579999998</v>
          </cell>
          <cell r="BS321">
            <v>67926728.25</v>
          </cell>
          <cell r="BT321">
            <v>67957026.379999995</v>
          </cell>
          <cell r="BU321">
            <v>67030268.359999999</v>
          </cell>
          <cell r="BV321">
            <v>67048168.899999999</v>
          </cell>
          <cell r="BW321">
            <v>67063963.649999999</v>
          </cell>
          <cell r="BX321">
            <v>67414055.829999998</v>
          </cell>
          <cell r="BY321">
            <v>67402787.359999999</v>
          </cell>
          <cell r="BZ321">
            <v>67376760.959999993</v>
          </cell>
          <cell r="CA321">
            <v>67220743.090000004</v>
          </cell>
          <cell r="CB321">
            <v>67184385.180000007</v>
          </cell>
          <cell r="CC321">
            <v>67136565.090000004</v>
          </cell>
          <cell r="CD321">
            <v>67146695.810000002</v>
          </cell>
          <cell r="CE321">
            <v>67083821.729999997</v>
          </cell>
          <cell r="CF321">
            <v>66978922.25</v>
          </cell>
          <cell r="CG321">
            <v>66957690.899999999</v>
          </cell>
          <cell r="CH321">
            <v>68769455.629999995</v>
          </cell>
          <cell r="CI321">
            <v>68745377.370000005</v>
          </cell>
          <cell r="CJ321">
            <v>68688893.790000007</v>
          </cell>
          <cell r="CK321">
            <v>68629664.010000005</v>
          </cell>
          <cell r="CL321">
            <v>68518748.469999999</v>
          </cell>
          <cell r="CM321">
            <v>68304064.670000002</v>
          </cell>
          <cell r="CN321">
            <v>68294490.719999999</v>
          </cell>
          <cell r="CO321">
            <v>68257468.159999996</v>
          </cell>
          <cell r="CP321">
            <v>68069118.400000006</v>
          </cell>
          <cell r="CQ321">
            <v>68024936.659999996</v>
          </cell>
          <cell r="CR321">
            <v>67972978.989999995</v>
          </cell>
          <cell r="CS321">
            <v>67715514.319999993</v>
          </cell>
          <cell r="CT321">
            <v>67610790.930000007</v>
          </cell>
          <cell r="CU321">
            <v>67919529.030000001</v>
          </cell>
          <cell r="CV321">
            <v>64288813.350000001</v>
          </cell>
          <cell r="CW321">
            <v>64289912.810000002</v>
          </cell>
          <cell r="CX321">
            <v>64287004.009999998</v>
          </cell>
          <cell r="CY321">
            <v>64041400.700000003</v>
          </cell>
          <cell r="CZ321">
            <v>64024495.509999998</v>
          </cell>
          <cell r="DA321">
            <v>64001266.109999999</v>
          </cell>
          <cell r="DB321">
            <v>63832631.869999997</v>
          </cell>
          <cell r="DC321">
            <v>63790246.770000003</v>
          </cell>
          <cell r="DD321">
            <v>63850950.5</v>
          </cell>
          <cell r="DE321">
            <v>63812918.649999999</v>
          </cell>
          <cell r="DF321">
            <v>63825000.039999999</v>
          </cell>
          <cell r="DG321">
            <v>63817375.32</v>
          </cell>
          <cell r="DH321">
            <v>63683070.530000001</v>
          </cell>
        </row>
        <row r="322">
          <cell r="A322">
            <v>2830300</v>
          </cell>
          <cell r="B322">
            <v>2830300</v>
          </cell>
          <cell r="C322" t="str">
            <v>DIT Liab-Federal</v>
          </cell>
          <cell r="D322">
            <v>-7598250</v>
          </cell>
          <cell r="E322">
            <v>-7368565.4000000004</v>
          </cell>
          <cell r="F322">
            <v>-6597921.8300000001</v>
          </cell>
          <cell r="G322">
            <v>-6608417.6900000004</v>
          </cell>
          <cell r="H322">
            <v>-6634895.46</v>
          </cell>
          <cell r="I322">
            <v>-6107511.8200000003</v>
          </cell>
          <cell r="J322">
            <v>-6120355.3200000003</v>
          </cell>
          <cell r="K322">
            <v>-6058184.1799999997</v>
          </cell>
          <cell r="L322">
            <v>-6008574.1699999999</v>
          </cell>
          <cell r="M322">
            <v>-7098441.0800000001</v>
          </cell>
          <cell r="N322">
            <v>-7160734.5499999998</v>
          </cell>
          <cell r="O322">
            <v>-8219791.2000000002</v>
          </cell>
          <cell r="P322">
            <v>-8387745.9299999997</v>
          </cell>
          <cell r="Q322">
            <v>-8125154.9000000004</v>
          </cell>
          <cell r="R322">
            <v>-8285972.5999999996</v>
          </cell>
          <cell r="S322">
            <v>-8066823.9800000004</v>
          </cell>
          <cell r="T322">
            <v>-8159385.6200000001</v>
          </cell>
          <cell r="U322">
            <v>-8108756.7400000002</v>
          </cell>
          <cell r="V322">
            <v>-7695572.29</v>
          </cell>
          <cell r="W322">
            <v>-7732556.4699999997</v>
          </cell>
          <cell r="X322">
            <v>-7961328.7000000002</v>
          </cell>
          <cell r="Y322">
            <v>-7693371.71</v>
          </cell>
          <cell r="Z322">
            <v>-8462527.9100000001</v>
          </cell>
          <cell r="AA322">
            <v>-10312232.27</v>
          </cell>
          <cell r="AB322">
            <v>-9175806.3000000007</v>
          </cell>
          <cell r="AC322">
            <v>-9950417.7400000002</v>
          </cell>
          <cell r="AD322">
            <v>-8646949.5999999996</v>
          </cell>
          <cell r="AE322">
            <v>-8617419.4600000009</v>
          </cell>
          <cell r="AF322">
            <v>-8580565.8000000007</v>
          </cell>
          <cell r="AG322">
            <v>-8586991.3100000005</v>
          </cell>
          <cell r="AH322">
            <v>-8292606.9100000001</v>
          </cell>
          <cell r="AI322">
            <v>-8267190.3700000001</v>
          </cell>
          <cell r="AJ322">
            <v>-8253263.8899999997</v>
          </cell>
          <cell r="AK322">
            <v>-8088926.4900000002</v>
          </cell>
          <cell r="AL322">
            <v>-8127587.4699999997</v>
          </cell>
          <cell r="AM322">
            <v>-8107987.4900000002</v>
          </cell>
          <cell r="AN322">
            <v>-8084675.5999999996</v>
          </cell>
          <cell r="AO322">
            <v>-8082692.6299999999</v>
          </cell>
          <cell r="AP322">
            <v>-8042208.0499999998</v>
          </cell>
          <cell r="AQ322">
            <v>-8079996.1200000001</v>
          </cell>
          <cell r="AR322">
            <v>-8079350.8899999997</v>
          </cell>
          <cell r="AS322">
            <v>-8084586.5700000003</v>
          </cell>
          <cell r="AT322">
            <v>-8061125.0099999998</v>
          </cell>
          <cell r="AU322">
            <v>-8059910.1600000001</v>
          </cell>
          <cell r="AV322">
            <v>-8083237.0099999998</v>
          </cell>
          <cell r="AW322">
            <v>-8049029.96</v>
          </cell>
          <cell r="AX322">
            <v>-8872246.0199999996</v>
          </cell>
          <cell r="AY322">
            <v>-9272056.0199999996</v>
          </cell>
          <cell r="AZ322">
            <v>-9866169.7699999996</v>
          </cell>
          <cell r="BA322">
            <v>-9318516.9299999997</v>
          </cell>
          <cell r="BB322">
            <v>-8967194.8000000007</v>
          </cell>
          <cell r="BC322">
            <v>-8729085.1500000004</v>
          </cell>
          <cell r="BD322">
            <v>-8475904.8100000005</v>
          </cell>
          <cell r="BE322">
            <v>-8376431.1299999999</v>
          </cell>
          <cell r="BF322">
            <v>-8209153.2699999996</v>
          </cell>
          <cell r="BG322">
            <v>-8045429.6500000004</v>
          </cell>
          <cell r="BH322">
            <v>-7999460.54</v>
          </cell>
          <cell r="BI322">
            <v>-9189275.7699999996</v>
          </cell>
          <cell r="BJ322">
            <v>-9258815.3599999994</v>
          </cell>
          <cell r="BK322">
            <v>-9092737.8399999999</v>
          </cell>
          <cell r="BL322">
            <v>-9598032.25</v>
          </cell>
          <cell r="BM322">
            <v>-9231843.3200000003</v>
          </cell>
          <cell r="BN322">
            <v>-9012518.6699999999</v>
          </cell>
          <cell r="BO322">
            <v>-9094590.6899999995</v>
          </cell>
          <cell r="BP322">
            <v>-9091064.4100000001</v>
          </cell>
          <cell r="BQ322">
            <v>-9097480.8900000006</v>
          </cell>
          <cell r="BR322">
            <v>-9113215.2400000002</v>
          </cell>
          <cell r="BS322">
            <v>-9122357.5800000001</v>
          </cell>
          <cell r="BT322">
            <v>-9151554.5</v>
          </cell>
          <cell r="BU322">
            <v>-9175849.1400000006</v>
          </cell>
          <cell r="BV322">
            <v>-9240099.9000000004</v>
          </cell>
          <cell r="BW322">
            <v>-9250870.4700000007</v>
          </cell>
          <cell r="BX322">
            <v>-9390729.25</v>
          </cell>
          <cell r="BY322">
            <v>-9424642.9600000009</v>
          </cell>
          <cell r="BZ322">
            <v>-9432042.6400000006</v>
          </cell>
          <cell r="CA322">
            <v>-9243575.3499999996</v>
          </cell>
          <cell r="CB322">
            <v>-9258149.4900000002</v>
          </cell>
          <cell r="CC322">
            <v>-9276982.4399999995</v>
          </cell>
          <cell r="CD322">
            <v>-9336603.25</v>
          </cell>
          <cell r="CE322">
            <v>-9340878.3699999992</v>
          </cell>
          <cell r="CF322">
            <v>-9675292.75</v>
          </cell>
          <cell r="CG322">
            <v>-9781277.0099999998</v>
          </cell>
          <cell r="CH322">
            <v>-9561163.1099999994</v>
          </cell>
          <cell r="CI322">
            <v>-9571528.4299999997</v>
          </cell>
          <cell r="CJ322">
            <v>-9816614.6999999993</v>
          </cell>
          <cell r="CK322">
            <v>-9857527.9199999999</v>
          </cell>
          <cell r="CL322">
            <v>-9896208.6899999995</v>
          </cell>
          <cell r="CM322">
            <v>-9888442.9800000004</v>
          </cell>
          <cell r="CN322">
            <v>-9914566.2100000009</v>
          </cell>
          <cell r="CO322">
            <v>-9954538.7100000009</v>
          </cell>
          <cell r="CP322">
            <v>-9987465.1899999995</v>
          </cell>
          <cell r="CQ322">
            <v>-10130848.93</v>
          </cell>
          <cell r="CR322">
            <v>-10145797.689999999</v>
          </cell>
          <cell r="CS322">
            <v>-9901202.7300000004</v>
          </cell>
          <cell r="CT322">
            <v>-10967088.34</v>
          </cell>
          <cell r="CU322">
            <v>-12545326.9</v>
          </cell>
          <cell r="CV322">
            <v>-12303000.25</v>
          </cell>
          <cell r="CW322">
            <v>-11370304.4</v>
          </cell>
          <cell r="CX322">
            <v>-10247559.82</v>
          </cell>
          <cell r="CY322">
            <v>-10176882.939999999</v>
          </cell>
          <cell r="CZ322">
            <v>-9601724.1899999995</v>
          </cell>
          <cell r="DA322">
            <v>-9520267.3900000006</v>
          </cell>
          <cell r="DB322">
            <v>-9881495.3900000006</v>
          </cell>
          <cell r="DC322">
            <v>-9842980.4600000009</v>
          </cell>
          <cell r="DD322">
            <v>-9814147.4299999997</v>
          </cell>
          <cell r="DE322">
            <v>-9934218.9199999999</v>
          </cell>
          <cell r="DF322">
            <v>-9988541.3399999999</v>
          </cell>
          <cell r="DG322">
            <v>-9958790.5199999996</v>
          </cell>
          <cell r="DH322">
            <v>-10676633.550000001</v>
          </cell>
        </row>
        <row r="323">
          <cell r="A323">
            <v>2830330</v>
          </cell>
          <cell r="B323">
            <v>2830330</v>
          </cell>
          <cell r="C323" t="str">
            <v>DIT FAS158 Fed</v>
          </cell>
          <cell r="D323">
            <v>-5715079.0599999996</v>
          </cell>
          <cell r="E323">
            <v>-5715079.0599999996</v>
          </cell>
          <cell r="F323">
            <v>-5715079.0599999996</v>
          </cell>
          <cell r="G323">
            <v>-5589363.6399999997</v>
          </cell>
          <cell r="H323">
            <v>-5589363.6399999997</v>
          </cell>
          <cell r="I323">
            <v>-5459970.9199999999</v>
          </cell>
          <cell r="J323">
            <v>-5589363.6399999997</v>
          </cell>
          <cell r="K323">
            <v>-5459970.9199999999</v>
          </cell>
          <cell r="L323">
            <v>-5459970.9199999999</v>
          </cell>
          <cell r="M323">
            <v>-5391773.9100000001</v>
          </cell>
          <cell r="N323">
            <v>-5391773.9100000001</v>
          </cell>
          <cell r="O323">
            <v>-5391773.9100000001</v>
          </cell>
          <cell r="P323">
            <v>-6394086.6500000004</v>
          </cell>
          <cell r="Q323">
            <v>-6394086.6500000004</v>
          </cell>
          <cell r="R323">
            <v>-6394086.6500000004</v>
          </cell>
          <cell r="S323">
            <v>-6514031.8099999996</v>
          </cell>
          <cell r="T323">
            <v>-6514031.8099999996</v>
          </cell>
          <cell r="U323">
            <v>-6514031.8099999996</v>
          </cell>
          <cell r="V323">
            <v>-6120175.3700000001</v>
          </cell>
          <cell r="W323">
            <v>-6120175.3700000001</v>
          </cell>
          <cell r="X323">
            <v>-6018792.9000000004</v>
          </cell>
          <cell r="Y323">
            <v>-5881836.9299999997</v>
          </cell>
          <cell r="Z323">
            <v>-5881836.9299999997</v>
          </cell>
          <cell r="AA323">
            <v>-8305232.25</v>
          </cell>
          <cell r="AB323">
            <v>-5881836.9299999997</v>
          </cell>
          <cell r="AC323">
            <v>-8305232.25</v>
          </cell>
          <cell r="AD323">
            <v>-8305232.25</v>
          </cell>
          <cell r="AE323">
            <v>-8188206.9500000002</v>
          </cell>
          <cell r="AF323">
            <v>-8188206.9500000002</v>
          </cell>
          <cell r="AG323">
            <v>-8191274.6600000001</v>
          </cell>
          <cell r="AH323">
            <v>-8035212.9100000001</v>
          </cell>
          <cell r="AI323">
            <v>-8035212.9100000001</v>
          </cell>
          <cell r="AJ323">
            <v>-8035212.9100000001</v>
          </cell>
          <cell r="AK323">
            <v>-10827023.060000001</v>
          </cell>
          <cell r="AL323">
            <v>-10827023.060000001</v>
          </cell>
          <cell r="AM323">
            <v>-10827023.060000001</v>
          </cell>
          <cell r="AN323">
            <v>-9370067.3300000001</v>
          </cell>
          <cell r="AO323">
            <v>-9370067.3300000001</v>
          </cell>
          <cell r="AP323">
            <v>-9370067.3300000001</v>
          </cell>
          <cell r="AQ323">
            <v>-9229979.1500000004</v>
          </cell>
          <cell r="AR323">
            <v>-9229979.1500000004</v>
          </cell>
          <cell r="AS323">
            <v>-9229979.1500000004</v>
          </cell>
          <cell r="AT323">
            <v>-9483106.1099999994</v>
          </cell>
          <cell r="AU323">
            <v>-9483106.1099999994</v>
          </cell>
          <cell r="AV323">
            <v>-9483106.1099999994</v>
          </cell>
          <cell r="AW323">
            <v>-9331117.5399999991</v>
          </cell>
          <cell r="AX323">
            <v>-9331117.5399999991</v>
          </cell>
          <cell r="AY323">
            <v>-9331117.5399999991</v>
          </cell>
          <cell r="AZ323">
            <v>-8964453.3800000008</v>
          </cell>
          <cell r="BA323">
            <v>-8964453.3800000008</v>
          </cell>
          <cell r="BB323">
            <v>-8964453.3800000008</v>
          </cell>
          <cell r="BC323">
            <v>-8868570.4700000007</v>
          </cell>
          <cell r="BD323">
            <v>-8868570.4700000007</v>
          </cell>
          <cell r="BE323">
            <v>-8868570.4700000007</v>
          </cell>
          <cell r="BF323">
            <v>-8761820.6600000001</v>
          </cell>
          <cell r="BG323">
            <v>-8761820.6600000001</v>
          </cell>
          <cell r="BH323">
            <v>-8761820.6600000001</v>
          </cell>
          <cell r="BI323">
            <v>-8665127.0800000001</v>
          </cell>
          <cell r="BJ323">
            <v>-8665127.0800000001</v>
          </cell>
          <cell r="BK323">
            <v>-8665127.0800000001</v>
          </cell>
          <cell r="BL323">
            <v>-9847866.0700000003</v>
          </cell>
          <cell r="BM323">
            <v>-9847866.0700000003</v>
          </cell>
          <cell r="BN323">
            <v>-9847866.0700000003</v>
          </cell>
          <cell r="BO323">
            <v>-9769162.5999999996</v>
          </cell>
          <cell r="BP323">
            <v>-9769162.5999999996</v>
          </cell>
          <cell r="BQ323">
            <v>-9769162.5999999996</v>
          </cell>
          <cell r="BR323">
            <v>-9682850.7300000004</v>
          </cell>
          <cell r="BS323">
            <v>-9682850.7300000004</v>
          </cell>
          <cell r="BT323">
            <v>-9682850.7300000004</v>
          </cell>
          <cell r="BU323">
            <v>-9600342.9700000007</v>
          </cell>
          <cell r="BV323">
            <v>-9600342.9700000007</v>
          </cell>
          <cell r="BW323">
            <v>-9600342.9700000007</v>
          </cell>
          <cell r="BX323">
            <v>-9643018.0399999991</v>
          </cell>
          <cell r="BY323">
            <v>-9643018.0399999991</v>
          </cell>
          <cell r="BZ323">
            <v>-9643018.0399999991</v>
          </cell>
          <cell r="CA323">
            <v>-9539837.5299999993</v>
          </cell>
          <cell r="CB323">
            <v>-9539837.5299999993</v>
          </cell>
          <cell r="CC323">
            <v>-9539837.5299999993</v>
          </cell>
          <cell r="CD323">
            <v>-9430925.1999999993</v>
          </cell>
          <cell r="CE323">
            <v>-9430925.1999999993</v>
          </cell>
          <cell r="CF323">
            <v>-9430925.1999999993</v>
          </cell>
          <cell r="CG323">
            <v>-9324878.6799999997</v>
          </cell>
          <cell r="CH323">
            <v>-9324878.6799999997</v>
          </cell>
          <cell r="CI323">
            <v>-9324878.6799999997</v>
          </cell>
          <cell r="CJ323">
            <v>-10561199.359999999</v>
          </cell>
          <cell r="CK323">
            <v>-10561199.359999999</v>
          </cell>
          <cell r="CL323">
            <v>-10561199.359999999</v>
          </cell>
          <cell r="CM323">
            <v>-10423095.82</v>
          </cell>
          <cell r="CN323">
            <v>-10423095.82</v>
          </cell>
          <cell r="CO323">
            <v>-10423095.82</v>
          </cell>
          <cell r="CP323">
            <v>-10284992.279999999</v>
          </cell>
          <cell r="CQ323">
            <v>-10284992.279999999</v>
          </cell>
          <cell r="CR323">
            <v>-10284992.279999999</v>
          </cell>
          <cell r="CS323">
            <v>-10070721.060000001</v>
          </cell>
          <cell r="CT323">
            <v>-10070721.060000001</v>
          </cell>
          <cell r="CU323">
            <v>-10070721.060000001</v>
          </cell>
          <cell r="CV323">
            <v>-8799943.1199999992</v>
          </cell>
          <cell r="CW323">
            <v>-8799943.1199999992</v>
          </cell>
          <cell r="CX323">
            <v>-8799943.1199999992</v>
          </cell>
          <cell r="CY323">
            <v>-8689937.5199999996</v>
          </cell>
          <cell r="CZ323">
            <v>-8689937.5199999996</v>
          </cell>
          <cell r="DA323">
            <v>-8689937.5199999996</v>
          </cell>
          <cell r="DB323">
            <v>-8351004.7800000003</v>
          </cell>
          <cell r="DC323">
            <v>-8351004.7800000003</v>
          </cell>
          <cell r="DD323">
            <v>-8351004.7800000003</v>
          </cell>
          <cell r="DE323">
            <v>-8239987.8700000001</v>
          </cell>
          <cell r="DF323">
            <v>-8239987.8700000001</v>
          </cell>
          <cell r="DG323">
            <v>-8239987.8700000001</v>
          </cell>
          <cell r="DH323">
            <v>-9743462.5299999993</v>
          </cell>
        </row>
        <row r="324">
          <cell r="A324">
            <v>2830331</v>
          </cell>
          <cell r="B324">
            <v>2830331</v>
          </cell>
          <cell r="C324" t="str">
            <v>DIT FAS158 MedD Fed</v>
          </cell>
          <cell r="D324">
            <v>-31991</v>
          </cell>
          <cell r="E324">
            <v>-31991</v>
          </cell>
          <cell r="F324">
            <v>-31991</v>
          </cell>
          <cell r="G324">
            <v>-31991</v>
          </cell>
          <cell r="H324">
            <v>-31991</v>
          </cell>
          <cell r="I324">
            <v>-31991</v>
          </cell>
          <cell r="J324">
            <v>-31991</v>
          </cell>
          <cell r="K324">
            <v>-31991</v>
          </cell>
          <cell r="L324">
            <v>-31991</v>
          </cell>
          <cell r="M324">
            <v>-31991</v>
          </cell>
          <cell r="N324">
            <v>-31991</v>
          </cell>
          <cell r="O324">
            <v>-31991</v>
          </cell>
          <cell r="P324">
            <v>-31991</v>
          </cell>
          <cell r="Q324">
            <v>-31991</v>
          </cell>
          <cell r="R324">
            <v>-31991</v>
          </cell>
          <cell r="S324">
            <v>-31991</v>
          </cell>
          <cell r="T324">
            <v>-31991</v>
          </cell>
          <cell r="U324">
            <v>-31991</v>
          </cell>
          <cell r="V324">
            <v>-31991</v>
          </cell>
          <cell r="W324">
            <v>-31991</v>
          </cell>
          <cell r="X324">
            <v>-31991</v>
          </cell>
          <cell r="Y324">
            <v>-31991</v>
          </cell>
          <cell r="Z324">
            <v>-31991</v>
          </cell>
          <cell r="AA324">
            <v>-31991</v>
          </cell>
          <cell r="AB324">
            <v>-31991</v>
          </cell>
          <cell r="AC324">
            <v>-31991</v>
          </cell>
          <cell r="AD324">
            <v>-31991</v>
          </cell>
          <cell r="AE324">
            <v>-31991</v>
          </cell>
          <cell r="AF324">
            <v>-31991</v>
          </cell>
          <cell r="AG324">
            <v>-31991</v>
          </cell>
          <cell r="AH324">
            <v>-31991</v>
          </cell>
          <cell r="AI324">
            <v>-31991</v>
          </cell>
          <cell r="AJ324">
            <v>-31991</v>
          </cell>
          <cell r="AK324">
            <v>-31991</v>
          </cell>
          <cell r="AL324">
            <v>-31991</v>
          </cell>
          <cell r="AM324">
            <v>-31991</v>
          </cell>
          <cell r="AN324">
            <v>-31991</v>
          </cell>
          <cell r="AO324">
            <v>-31991</v>
          </cell>
          <cell r="AP324">
            <v>-31991</v>
          </cell>
          <cell r="AQ324">
            <v>-31991</v>
          </cell>
          <cell r="AR324">
            <v>-31991</v>
          </cell>
          <cell r="AS324">
            <v>-31991</v>
          </cell>
          <cell r="AT324">
            <v>-31991</v>
          </cell>
          <cell r="AU324">
            <v>-31991</v>
          </cell>
          <cell r="AV324">
            <v>-31991</v>
          </cell>
          <cell r="AW324">
            <v>-31991</v>
          </cell>
          <cell r="AX324">
            <v>-31991</v>
          </cell>
          <cell r="AY324">
            <v>-31991</v>
          </cell>
          <cell r="AZ324">
            <v>-31991</v>
          </cell>
          <cell r="BA324">
            <v>-31991</v>
          </cell>
          <cell r="BB324">
            <v>-31991</v>
          </cell>
          <cell r="BC324">
            <v>-31991</v>
          </cell>
          <cell r="BD324">
            <v>-31991</v>
          </cell>
          <cell r="BE324">
            <v>-31991</v>
          </cell>
          <cell r="BF324">
            <v>-31991</v>
          </cell>
          <cell r="BG324">
            <v>-31991</v>
          </cell>
          <cell r="BH324">
            <v>-31991</v>
          </cell>
          <cell r="BI324">
            <v>-31991</v>
          </cell>
          <cell r="BJ324">
            <v>-31991</v>
          </cell>
          <cell r="BK324">
            <v>-31991</v>
          </cell>
          <cell r="BL324">
            <v>-31991</v>
          </cell>
          <cell r="BM324">
            <v>-31991</v>
          </cell>
          <cell r="BN324">
            <v>-31991</v>
          </cell>
          <cell r="BO324">
            <v>-31991</v>
          </cell>
          <cell r="BP324">
            <v>-31991</v>
          </cell>
          <cell r="BQ324">
            <v>-31991</v>
          </cell>
          <cell r="BR324">
            <v>-31991</v>
          </cell>
          <cell r="BS324">
            <v>-31991</v>
          </cell>
          <cell r="BT324">
            <v>-31991</v>
          </cell>
          <cell r="BU324">
            <v>-31991</v>
          </cell>
          <cell r="BV324">
            <v>-31991</v>
          </cell>
          <cell r="BW324">
            <v>-31991</v>
          </cell>
          <cell r="BX324">
            <v>-31991</v>
          </cell>
          <cell r="BY324">
            <v>-31991</v>
          </cell>
          <cell r="BZ324">
            <v>-31991</v>
          </cell>
          <cell r="CA324">
            <v>-31991</v>
          </cell>
          <cell r="CB324">
            <v>-31991</v>
          </cell>
          <cell r="CC324">
            <v>-31991</v>
          </cell>
          <cell r="CD324">
            <v>-31991</v>
          </cell>
          <cell r="CE324">
            <v>-31991</v>
          </cell>
          <cell r="CF324">
            <v>-31991</v>
          </cell>
          <cell r="CG324">
            <v>-31991</v>
          </cell>
          <cell r="CH324">
            <v>-31991</v>
          </cell>
          <cell r="CI324">
            <v>-31991</v>
          </cell>
          <cell r="CJ324">
            <v>-31991</v>
          </cell>
          <cell r="CK324">
            <v>-31991</v>
          </cell>
          <cell r="CL324">
            <v>-31991</v>
          </cell>
          <cell r="CM324">
            <v>-31991</v>
          </cell>
          <cell r="CN324">
            <v>-31991</v>
          </cell>
          <cell r="CO324">
            <v>-31991</v>
          </cell>
          <cell r="CP324">
            <v>-31991</v>
          </cell>
          <cell r="CQ324">
            <v>-31991</v>
          </cell>
          <cell r="CR324">
            <v>-31991</v>
          </cell>
          <cell r="CS324">
            <v>-31991</v>
          </cell>
          <cell r="CT324">
            <v>-31991</v>
          </cell>
          <cell r="CU324">
            <v>-31991</v>
          </cell>
          <cell r="CV324">
            <v>-31991</v>
          </cell>
          <cell r="CW324">
            <v>-31991</v>
          </cell>
          <cell r="CX324">
            <v>-31991</v>
          </cell>
          <cell r="CY324">
            <v>-31991</v>
          </cell>
          <cell r="CZ324">
            <v>-31991</v>
          </cell>
          <cell r="DA324">
            <v>-31991</v>
          </cell>
          <cell r="DB324">
            <v>-31991</v>
          </cell>
          <cell r="DC324">
            <v>-31991</v>
          </cell>
          <cell r="DD324">
            <v>-31991</v>
          </cell>
          <cell r="DE324">
            <v>-31991</v>
          </cell>
          <cell r="DF324">
            <v>-31991</v>
          </cell>
          <cell r="DG324">
            <v>-31991</v>
          </cell>
          <cell r="DH324">
            <v>-31991</v>
          </cell>
        </row>
        <row r="325">
          <cell r="A325">
            <v>2830340</v>
          </cell>
          <cell r="B325">
            <v>2830340</v>
          </cell>
          <cell r="C325" t="str">
            <v>DIT FAS133 Fed</v>
          </cell>
          <cell r="D325">
            <v>-387252.06</v>
          </cell>
          <cell r="E325">
            <v>-1184508.3999999999</v>
          </cell>
          <cell r="F325">
            <v>-827106.56</v>
          </cell>
          <cell r="G325">
            <v>-503909.24</v>
          </cell>
          <cell r="H325">
            <v>-1023135.04</v>
          </cell>
          <cell r="I325">
            <v>-286229.44</v>
          </cell>
          <cell r="J325">
            <v>-419490.27</v>
          </cell>
          <cell r="K325">
            <v>-1074482.76</v>
          </cell>
          <cell r="L325">
            <v>-506303.87</v>
          </cell>
          <cell r="M325">
            <v>-535103.92000000004</v>
          </cell>
          <cell r="N325">
            <v>-1210181.22</v>
          </cell>
          <cell r="O325">
            <v>-894056.98</v>
          </cell>
          <cell r="P325">
            <v>-2971950.86</v>
          </cell>
          <cell r="Q325">
            <v>-2998230.6</v>
          </cell>
          <cell r="R325">
            <v>-2456701.89</v>
          </cell>
          <cell r="S325">
            <v>-2397791.65</v>
          </cell>
          <cell r="T325">
            <v>-2081246.07</v>
          </cell>
          <cell r="U325">
            <v>-2024242</v>
          </cell>
          <cell r="V325">
            <v>-1718145.41</v>
          </cell>
          <cell r="W325">
            <v>-1726000.72</v>
          </cell>
          <cell r="X325">
            <v>-1835551.73</v>
          </cell>
          <cell r="Y325">
            <v>-2094429.76</v>
          </cell>
          <cell r="Z325">
            <v>-2660564.62</v>
          </cell>
          <cell r="AA325">
            <v>-2098924.66</v>
          </cell>
          <cell r="AB325">
            <v>-2667675.7400000002</v>
          </cell>
          <cell r="AC325">
            <v>-1615930.43</v>
          </cell>
          <cell r="AD325">
            <v>-1796318.17</v>
          </cell>
          <cell r="AE325">
            <v>-1142853.74</v>
          </cell>
          <cell r="AF325">
            <v>-670785.84</v>
          </cell>
          <cell r="AG325">
            <v>-584534.52</v>
          </cell>
          <cell r="AH325">
            <v>-232265.92</v>
          </cell>
          <cell r="AI325">
            <v>-227132.68</v>
          </cell>
          <cell r="AJ325">
            <v>-173660.33</v>
          </cell>
          <cell r="AK325">
            <v>-172836.76</v>
          </cell>
          <cell r="AL325">
            <v>-185855.08</v>
          </cell>
          <cell r="AM325">
            <v>-201403.64</v>
          </cell>
          <cell r="AN325">
            <v>-657941.17000000004</v>
          </cell>
          <cell r="AO325">
            <v>-195622.13</v>
          </cell>
          <cell r="AP325">
            <v>-139252.41</v>
          </cell>
          <cell r="AQ325">
            <v>-161113.32999999999</v>
          </cell>
          <cell r="AR325">
            <v>-178223.02</v>
          </cell>
          <cell r="AS325">
            <v>-57366.97</v>
          </cell>
          <cell r="AT325">
            <v>-36566.1</v>
          </cell>
          <cell r="AU325">
            <v>-49108.14</v>
          </cell>
          <cell r="AV325">
            <v>-35018.199999999997</v>
          </cell>
          <cell r="AW325">
            <v>-29428.52</v>
          </cell>
          <cell r="AX325">
            <v>-47305.56</v>
          </cell>
          <cell r="AY325">
            <v>-22419.93</v>
          </cell>
          <cell r="AZ325">
            <v>-299108.84000000003</v>
          </cell>
          <cell r="BA325">
            <v>-278987.99</v>
          </cell>
          <cell r="BB325">
            <v>-285626.15000000002</v>
          </cell>
          <cell r="BC325">
            <v>-269654.89</v>
          </cell>
          <cell r="BD325">
            <v>-268679.51</v>
          </cell>
          <cell r="BE325">
            <v>-267149.46000000002</v>
          </cell>
          <cell r="BF325">
            <v>-266274.3</v>
          </cell>
          <cell r="BG325">
            <v>-265502.32</v>
          </cell>
          <cell r="BH325">
            <v>-263871.07</v>
          </cell>
          <cell r="BI325">
            <v>-265168.93</v>
          </cell>
          <cell r="BJ325">
            <v>-266083.78000000003</v>
          </cell>
          <cell r="BK325">
            <v>-263176.49</v>
          </cell>
          <cell r="BL325">
            <v>-263176.49</v>
          </cell>
          <cell r="BM325">
            <v>-263176.49</v>
          </cell>
          <cell r="BN325">
            <v>-263176.49</v>
          </cell>
          <cell r="BO325">
            <v>-263176.49</v>
          </cell>
          <cell r="BP325">
            <v>-263176.49</v>
          </cell>
          <cell r="BQ325">
            <v>-263176.49</v>
          </cell>
          <cell r="BR325">
            <v>-263176.49</v>
          </cell>
          <cell r="BS325">
            <v>-263176.49</v>
          </cell>
          <cell r="BT325">
            <v>-263176.49</v>
          </cell>
          <cell r="BU325">
            <v>-263176.49</v>
          </cell>
          <cell r="BV325">
            <v>-263176.49</v>
          </cell>
          <cell r="BW325">
            <v>-263176.49</v>
          </cell>
          <cell r="BX325">
            <v>-263176.49</v>
          </cell>
          <cell r="BY325">
            <v>-263176.49</v>
          </cell>
          <cell r="BZ325">
            <v>-263176.49</v>
          </cell>
          <cell r="CA325">
            <v>-263176.49</v>
          </cell>
          <cell r="CB325">
            <v>-263176.49</v>
          </cell>
          <cell r="CC325">
            <v>-263176.49</v>
          </cell>
          <cell r="CD325">
            <v>-263176.49</v>
          </cell>
          <cell r="CE325">
            <v>-263176.49</v>
          </cell>
          <cell r="CF325">
            <v>-263176.49</v>
          </cell>
          <cell r="CG325">
            <v>-263176.49</v>
          </cell>
          <cell r="CH325">
            <v>-263176.49</v>
          </cell>
          <cell r="CI325">
            <v>-263176.49</v>
          </cell>
          <cell r="CJ325">
            <v>-263176.49</v>
          </cell>
          <cell r="CK325">
            <v>-263176.49</v>
          </cell>
          <cell r="CL325">
            <v>-263176.49</v>
          </cell>
          <cell r="CM325">
            <v>-263176.49</v>
          </cell>
          <cell r="CN325">
            <v>-263176.49</v>
          </cell>
          <cell r="CO325">
            <v>-263176.49</v>
          </cell>
          <cell r="CP325">
            <v>-263176.49</v>
          </cell>
          <cell r="CQ325">
            <v>-263176.49</v>
          </cell>
          <cell r="CR325">
            <v>-263176.49</v>
          </cell>
          <cell r="CS325">
            <v>-263176.49</v>
          </cell>
          <cell r="CT325">
            <v>-263176.49</v>
          </cell>
          <cell r="CU325">
            <v>-263176.49</v>
          </cell>
          <cell r="CV325">
            <v>-263176.49</v>
          </cell>
          <cell r="CW325">
            <v>-263176.49</v>
          </cell>
          <cell r="CX325">
            <v>-263176.49</v>
          </cell>
          <cell r="CY325">
            <v>-263176.49</v>
          </cell>
          <cell r="CZ325">
            <v>-263176.49</v>
          </cell>
          <cell r="DA325">
            <v>-263176.49</v>
          </cell>
          <cell r="DB325">
            <v>-263176.49</v>
          </cell>
          <cell r="DC325">
            <v>-263176.49</v>
          </cell>
          <cell r="DD325">
            <v>-263176.49</v>
          </cell>
          <cell r="DE325">
            <v>-263176.49</v>
          </cell>
          <cell r="DF325">
            <v>-263176.49</v>
          </cell>
          <cell r="DG325">
            <v>-263176.49</v>
          </cell>
          <cell r="DH325">
            <v>-263176.49</v>
          </cell>
        </row>
        <row r="326">
          <cell r="A326">
            <v>2830400</v>
          </cell>
          <cell r="B326">
            <v>2830400</v>
          </cell>
          <cell r="C326" t="str">
            <v>DIT Liab-State</v>
          </cell>
          <cell r="D326">
            <v>-1263502.78</v>
          </cell>
          <cell r="E326">
            <v>-1225308.8400000001</v>
          </cell>
          <cell r="F326">
            <v>-1097159.49</v>
          </cell>
          <cell r="G326">
            <v>-1098904.83</v>
          </cell>
          <cell r="H326">
            <v>-1103307.79</v>
          </cell>
          <cell r="I326">
            <v>-1015609.83</v>
          </cell>
          <cell r="J326">
            <v>-1017745.56</v>
          </cell>
          <cell r="K326">
            <v>-1007407.2</v>
          </cell>
          <cell r="L326">
            <v>-999157.62</v>
          </cell>
          <cell r="M326">
            <v>-1180390.2</v>
          </cell>
          <cell r="N326">
            <v>-1190748.9099999999</v>
          </cell>
          <cell r="O326">
            <v>-1366858.1</v>
          </cell>
          <cell r="P326">
            <v>-1394787.08</v>
          </cell>
          <cell r="Q326">
            <v>-1351121.14</v>
          </cell>
          <cell r="R326">
            <v>-1377863.32</v>
          </cell>
          <cell r="S326">
            <v>-1341421.3700000001</v>
          </cell>
          <cell r="T326">
            <v>-1356813.32</v>
          </cell>
          <cell r="U326">
            <v>-1348394.31</v>
          </cell>
          <cell r="V326">
            <v>-1279686.3999999999</v>
          </cell>
          <cell r="W326">
            <v>-1285836.44</v>
          </cell>
          <cell r="X326">
            <v>-1278105.48</v>
          </cell>
          <cell r="Y326">
            <v>-1233547.24</v>
          </cell>
          <cell r="Z326">
            <v>-1361449.27</v>
          </cell>
          <cell r="AA326">
            <v>-1669034.27</v>
          </cell>
          <cell r="AB326">
            <v>-1480059.42</v>
          </cell>
          <cell r="AC326">
            <v>-1608868.58</v>
          </cell>
          <cell r="AD326">
            <v>-1392116.51</v>
          </cell>
          <cell r="AE326">
            <v>-1387205.98</v>
          </cell>
          <cell r="AF326">
            <v>-1381077.63</v>
          </cell>
          <cell r="AG326">
            <v>-1382146.12</v>
          </cell>
          <cell r="AH326">
            <v>-1378966.53</v>
          </cell>
          <cell r="AI326">
            <v>-1374740.04</v>
          </cell>
          <cell r="AJ326">
            <v>-1372424.22</v>
          </cell>
          <cell r="AK326">
            <v>-1345096.76</v>
          </cell>
          <cell r="AL326">
            <v>-1351525.65</v>
          </cell>
          <cell r="AM326">
            <v>-1348266.39</v>
          </cell>
          <cell r="AN326">
            <v>-1344389.89</v>
          </cell>
          <cell r="AO326">
            <v>-1344060.14</v>
          </cell>
          <cell r="AP326">
            <v>-1337328.01</v>
          </cell>
          <cell r="AQ326">
            <v>-1343611.74</v>
          </cell>
          <cell r="AR326">
            <v>-1343504.45</v>
          </cell>
          <cell r="AS326">
            <v>-1344375.08</v>
          </cell>
          <cell r="AT326">
            <v>-1340473.69</v>
          </cell>
          <cell r="AU326">
            <v>-1340271.67</v>
          </cell>
          <cell r="AV326">
            <v>-1344150.67</v>
          </cell>
          <cell r="AW326">
            <v>-1338462.42</v>
          </cell>
          <cell r="AX326">
            <v>-1475353.99</v>
          </cell>
          <cell r="AY326">
            <v>-1541837.87</v>
          </cell>
          <cell r="AZ326">
            <v>-1640632.28</v>
          </cell>
          <cell r="BA326">
            <v>-1488851.44</v>
          </cell>
          <cell r="BB326">
            <v>-1391483.26</v>
          </cell>
          <cell r="BC326">
            <v>-1325491.6599999999</v>
          </cell>
          <cell r="BD326">
            <v>-1255323.28</v>
          </cell>
          <cell r="BE326">
            <v>-1227754.3500000001</v>
          </cell>
          <cell r="BF326">
            <v>-1181393.6499999999</v>
          </cell>
          <cell r="BG326">
            <v>-1136017.98</v>
          </cell>
          <cell r="BH326">
            <v>-1123277.74</v>
          </cell>
          <cell r="BI326">
            <v>-1453032.53</v>
          </cell>
          <cell r="BJ326">
            <v>-1472305.28</v>
          </cell>
          <cell r="BK326">
            <v>-1443478.24</v>
          </cell>
          <cell r="BL326">
            <v>-1583519.52</v>
          </cell>
          <cell r="BM326">
            <v>-1482031.03</v>
          </cell>
          <cell r="BN326">
            <v>-1421245.66</v>
          </cell>
          <cell r="BO326">
            <v>-1443991.75</v>
          </cell>
          <cell r="BP326">
            <v>-1443014.46</v>
          </cell>
          <cell r="BQ326">
            <v>-1444792.76</v>
          </cell>
          <cell r="BR326">
            <v>-1449153.51</v>
          </cell>
          <cell r="BS326">
            <v>-1451687.29</v>
          </cell>
          <cell r="BT326">
            <v>-1459779.16</v>
          </cell>
          <cell r="BU326">
            <v>-1489714.24</v>
          </cell>
          <cell r="BV326">
            <v>-1503990.19</v>
          </cell>
          <cell r="BW326">
            <v>-1506383.31</v>
          </cell>
          <cell r="BX326">
            <v>-1544319.94</v>
          </cell>
          <cell r="BY326">
            <v>-1551855.26</v>
          </cell>
          <cell r="BZ326">
            <v>-1553499.4</v>
          </cell>
          <cell r="CA326">
            <v>-1539670.37</v>
          </cell>
          <cell r="CB326">
            <v>-1542908.62</v>
          </cell>
          <cell r="CC326">
            <v>-1547093.13</v>
          </cell>
          <cell r="CD326">
            <v>-1545374.55</v>
          </cell>
          <cell r="CE326">
            <v>-1546324.43</v>
          </cell>
          <cell r="CF326">
            <v>-1620628.31</v>
          </cell>
          <cell r="CG326">
            <v>-1629633.05</v>
          </cell>
          <cell r="CH326">
            <v>-1580725.73</v>
          </cell>
          <cell r="CI326">
            <v>-1583028.81</v>
          </cell>
          <cell r="CJ326">
            <v>-1638974.89</v>
          </cell>
          <cell r="CK326">
            <v>-1648065.44</v>
          </cell>
          <cell r="CL326">
            <v>-1656659.96</v>
          </cell>
          <cell r="CM326">
            <v>-1656919.9</v>
          </cell>
          <cell r="CN326">
            <v>-1661426.97</v>
          </cell>
          <cell r="CO326">
            <v>-1669118.69</v>
          </cell>
          <cell r="CP326">
            <v>-1688640.73</v>
          </cell>
          <cell r="CQ326">
            <v>-1724796.47</v>
          </cell>
          <cell r="CR326">
            <v>-1728426.52</v>
          </cell>
          <cell r="CS326">
            <v>-1662292.73</v>
          </cell>
          <cell r="CT326">
            <v>-1848291.89</v>
          </cell>
          <cell r="CU326">
            <v>-2123697.63</v>
          </cell>
          <cell r="CV326">
            <v>-2074684.03</v>
          </cell>
          <cell r="CW326">
            <v>-1816189.33</v>
          </cell>
          <cell r="CX326">
            <v>-1505023.03</v>
          </cell>
          <cell r="CY326">
            <v>-1548078.98</v>
          </cell>
          <cell r="CZ326">
            <v>-1388674.93</v>
          </cell>
          <cell r="DA326">
            <v>-1366099.35</v>
          </cell>
          <cell r="DB326">
            <v>-1432376.92</v>
          </cell>
          <cell r="DC326">
            <v>-1421702.6</v>
          </cell>
          <cell r="DD326">
            <v>-1413711.57</v>
          </cell>
          <cell r="DE326">
            <v>-1448496.92</v>
          </cell>
          <cell r="DF326">
            <v>-1463552.26</v>
          </cell>
          <cell r="DG326">
            <v>-1455306.88</v>
          </cell>
          <cell r="DH326">
            <v>-1619568.8</v>
          </cell>
        </row>
        <row r="327">
          <cell r="A327">
            <v>2830430</v>
          </cell>
          <cell r="B327">
            <v>2830430</v>
          </cell>
          <cell r="C327" t="str">
            <v>DIT FAS158 State</v>
          </cell>
          <cell r="D327">
            <v>-950350.38</v>
          </cell>
          <cell r="E327">
            <v>-950350.38</v>
          </cell>
          <cell r="F327">
            <v>-950350.38</v>
          </cell>
          <cell r="G327">
            <v>-929445.33</v>
          </cell>
          <cell r="H327">
            <v>-929445.33</v>
          </cell>
          <cell r="I327">
            <v>-907928.77</v>
          </cell>
          <cell r="J327">
            <v>-929445.33</v>
          </cell>
          <cell r="K327">
            <v>-907928.77</v>
          </cell>
          <cell r="L327">
            <v>-907928.77</v>
          </cell>
          <cell r="M327">
            <v>-896588.37</v>
          </cell>
          <cell r="N327">
            <v>-896588.37</v>
          </cell>
          <cell r="O327">
            <v>-896588.37</v>
          </cell>
          <cell r="P327">
            <v>-1063261.7</v>
          </cell>
          <cell r="Q327">
            <v>-1063261.7</v>
          </cell>
          <cell r="R327">
            <v>-1063261.7</v>
          </cell>
          <cell r="S327">
            <v>-1083207.22</v>
          </cell>
          <cell r="T327">
            <v>-1083207.22</v>
          </cell>
          <cell r="U327">
            <v>-1083207.22</v>
          </cell>
          <cell r="V327">
            <v>-1017713.34</v>
          </cell>
          <cell r="W327">
            <v>-1017713.34</v>
          </cell>
          <cell r="X327">
            <v>-1000854.58</v>
          </cell>
          <cell r="Y327">
            <v>-978080.34</v>
          </cell>
          <cell r="Z327">
            <v>-978080.34</v>
          </cell>
          <cell r="AA327">
            <v>-1381063.69</v>
          </cell>
          <cell r="AB327">
            <v>-978080.34</v>
          </cell>
          <cell r="AC327">
            <v>-1381063.69</v>
          </cell>
          <cell r="AD327">
            <v>-1381063.69</v>
          </cell>
          <cell r="AE327">
            <v>-1361603.7</v>
          </cell>
          <cell r="AF327">
            <v>-1361603.7</v>
          </cell>
          <cell r="AG327">
            <v>-1362113.83</v>
          </cell>
          <cell r="AH327">
            <v>-1336162.52</v>
          </cell>
          <cell r="AI327">
            <v>-1336162.52</v>
          </cell>
          <cell r="AJ327">
            <v>-1336162.52</v>
          </cell>
          <cell r="AK327">
            <v>-1800409.1</v>
          </cell>
          <cell r="AL327">
            <v>-1800409.1</v>
          </cell>
          <cell r="AM327">
            <v>-1800409.1</v>
          </cell>
          <cell r="AN327">
            <v>-1558133.78</v>
          </cell>
          <cell r="AO327">
            <v>-1558133.78</v>
          </cell>
          <cell r="AP327">
            <v>-1558133.78</v>
          </cell>
          <cell r="AQ327">
            <v>-1534838.69</v>
          </cell>
          <cell r="AR327">
            <v>-1534838.69</v>
          </cell>
          <cell r="AS327">
            <v>-1534838.69</v>
          </cell>
          <cell r="AT327">
            <v>-1576930.85</v>
          </cell>
          <cell r="AU327">
            <v>-1576930.85</v>
          </cell>
          <cell r="AV327">
            <v>-1576930.85</v>
          </cell>
          <cell r="AW327">
            <v>-1551656.86</v>
          </cell>
          <cell r="AX327">
            <v>-1551656.86</v>
          </cell>
          <cell r="AY327">
            <v>-1551656.86</v>
          </cell>
          <cell r="AZ327">
            <v>-1445718.72</v>
          </cell>
          <cell r="BA327">
            <v>-1445718.72</v>
          </cell>
          <cell r="BB327">
            <v>-1445718.72</v>
          </cell>
          <cell r="BC327">
            <v>-1419144.98</v>
          </cell>
          <cell r="BD327">
            <v>-1419144.98</v>
          </cell>
          <cell r="BE327">
            <v>-1419144.98</v>
          </cell>
          <cell r="BF327">
            <v>-1389559.47</v>
          </cell>
          <cell r="BG327">
            <v>-1389559.47</v>
          </cell>
          <cell r="BH327">
            <v>-1389559.47</v>
          </cell>
          <cell r="BI327">
            <v>-1362761.05</v>
          </cell>
          <cell r="BJ327">
            <v>-1362761.05</v>
          </cell>
          <cell r="BK327">
            <v>-1362761.05</v>
          </cell>
          <cell r="BL327">
            <v>-1690554.69</v>
          </cell>
          <cell r="BM327">
            <v>-1690554.69</v>
          </cell>
          <cell r="BN327">
            <v>-1690554.69</v>
          </cell>
          <cell r="BO327">
            <v>-1668742.19</v>
          </cell>
          <cell r="BP327">
            <v>-1668742.19</v>
          </cell>
          <cell r="BQ327">
            <v>-1668742.19</v>
          </cell>
          <cell r="BR327">
            <v>-1644821.03</v>
          </cell>
          <cell r="BS327">
            <v>-1644821.03</v>
          </cell>
          <cell r="BT327">
            <v>-1644821.03</v>
          </cell>
          <cell r="BU327">
            <v>-1621954.17</v>
          </cell>
          <cell r="BV327">
            <v>-1621954.17</v>
          </cell>
          <cell r="BW327">
            <v>-1621954.17</v>
          </cell>
          <cell r="BX327">
            <v>-1633781.48</v>
          </cell>
          <cell r="BY327">
            <v>-1633781.48</v>
          </cell>
          <cell r="BZ327">
            <v>-1633781.48</v>
          </cell>
          <cell r="CA327">
            <v>-1605185.21</v>
          </cell>
          <cell r="CB327">
            <v>-1605185.21</v>
          </cell>
          <cell r="CC327">
            <v>-1605185.21</v>
          </cell>
          <cell r="CD327">
            <v>-1575000.39</v>
          </cell>
          <cell r="CE327">
            <v>-1575000.39</v>
          </cell>
          <cell r="CF327">
            <v>-1575000.39</v>
          </cell>
          <cell r="CG327">
            <v>-1545609.82</v>
          </cell>
          <cell r="CH327">
            <v>-1545609.82</v>
          </cell>
          <cell r="CI327">
            <v>-1545609.82</v>
          </cell>
          <cell r="CJ327">
            <v>-1888253.51</v>
          </cell>
          <cell r="CK327">
            <v>-1888253.51</v>
          </cell>
          <cell r="CL327">
            <v>-1888253.51</v>
          </cell>
          <cell r="CM327">
            <v>-1849978.39</v>
          </cell>
          <cell r="CN327">
            <v>-1849978.39</v>
          </cell>
          <cell r="CO327">
            <v>-1849978.39</v>
          </cell>
          <cell r="CP327">
            <v>-1811703.3</v>
          </cell>
          <cell r="CQ327">
            <v>-1811703.3</v>
          </cell>
          <cell r="CR327">
            <v>-1811703.3</v>
          </cell>
          <cell r="CS327">
            <v>-1752318.47</v>
          </cell>
          <cell r="CT327">
            <v>-1752318.47</v>
          </cell>
          <cell r="CU327">
            <v>-1752318.47</v>
          </cell>
          <cell r="CV327">
            <v>-1400125.04</v>
          </cell>
          <cell r="CW327">
            <v>-1400125.04</v>
          </cell>
          <cell r="CX327">
            <v>-1400125.04</v>
          </cell>
          <cell r="CY327">
            <v>-1369637.21</v>
          </cell>
          <cell r="CZ327">
            <v>-1369637.21</v>
          </cell>
          <cell r="DA327">
            <v>-1369637.21</v>
          </cell>
          <cell r="DB327">
            <v>-1275702.7</v>
          </cell>
          <cell r="DC327">
            <v>-1275702.7</v>
          </cell>
          <cell r="DD327">
            <v>-1275702.7</v>
          </cell>
          <cell r="DE327">
            <v>-1244934.6200000001</v>
          </cell>
          <cell r="DF327">
            <v>-1244934.6200000001</v>
          </cell>
          <cell r="DG327">
            <v>-1244934.6200000001</v>
          </cell>
          <cell r="DH327">
            <v>-1661619.46</v>
          </cell>
        </row>
        <row r="328">
          <cell r="A328">
            <v>2830431</v>
          </cell>
          <cell r="B328">
            <v>2830431</v>
          </cell>
          <cell r="C328" t="str">
            <v>DIT FAS158 MedD St</v>
          </cell>
          <cell r="D328">
            <v>-5320</v>
          </cell>
          <cell r="E328">
            <v>-5320</v>
          </cell>
          <cell r="F328">
            <v>-5320</v>
          </cell>
          <cell r="G328">
            <v>-5320</v>
          </cell>
          <cell r="H328">
            <v>-5320</v>
          </cell>
          <cell r="I328">
            <v>-5320</v>
          </cell>
          <cell r="J328">
            <v>-5320</v>
          </cell>
          <cell r="K328">
            <v>-5320</v>
          </cell>
          <cell r="L328">
            <v>-5320</v>
          </cell>
          <cell r="M328">
            <v>-5320</v>
          </cell>
          <cell r="N328">
            <v>-5320</v>
          </cell>
          <cell r="O328">
            <v>-5320</v>
          </cell>
          <cell r="P328">
            <v>-5320</v>
          </cell>
          <cell r="Q328">
            <v>-5320</v>
          </cell>
          <cell r="R328">
            <v>-5320</v>
          </cell>
          <cell r="S328">
            <v>-5320</v>
          </cell>
          <cell r="T328">
            <v>-5320</v>
          </cell>
          <cell r="U328">
            <v>-5320</v>
          </cell>
          <cell r="V328">
            <v>-5320</v>
          </cell>
          <cell r="W328">
            <v>-5320</v>
          </cell>
          <cell r="X328">
            <v>-5320</v>
          </cell>
          <cell r="Y328">
            <v>-5320</v>
          </cell>
          <cell r="Z328">
            <v>-5320</v>
          </cell>
          <cell r="AA328">
            <v>-5320</v>
          </cell>
          <cell r="AB328">
            <v>-5320</v>
          </cell>
          <cell r="AC328">
            <v>-5320</v>
          </cell>
          <cell r="AD328">
            <v>-5320</v>
          </cell>
          <cell r="AE328">
            <v>-5320</v>
          </cell>
          <cell r="AF328">
            <v>-5320</v>
          </cell>
          <cell r="AG328">
            <v>-5320</v>
          </cell>
          <cell r="AH328">
            <v>-5320</v>
          </cell>
          <cell r="AI328">
            <v>-5320</v>
          </cell>
          <cell r="AJ328">
            <v>-5320</v>
          </cell>
          <cell r="AK328">
            <v>-5320</v>
          </cell>
          <cell r="AL328">
            <v>-5320</v>
          </cell>
          <cell r="AM328">
            <v>-5320</v>
          </cell>
          <cell r="AN328">
            <v>-5320</v>
          </cell>
          <cell r="AO328">
            <v>-5320</v>
          </cell>
          <cell r="AP328">
            <v>-5320</v>
          </cell>
          <cell r="AQ328">
            <v>-5320</v>
          </cell>
          <cell r="AR328">
            <v>-5320</v>
          </cell>
          <cell r="AS328">
            <v>-5320</v>
          </cell>
          <cell r="AT328">
            <v>-5320</v>
          </cell>
          <cell r="AU328">
            <v>-5320</v>
          </cell>
          <cell r="AV328">
            <v>-5320</v>
          </cell>
          <cell r="AW328">
            <v>-5320</v>
          </cell>
          <cell r="AX328">
            <v>-5320</v>
          </cell>
          <cell r="AY328">
            <v>-5320</v>
          </cell>
          <cell r="AZ328">
            <v>-5320</v>
          </cell>
          <cell r="BA328">
            <v>-5320</v>
          </cell>
          <cell r="BB328">
            <v>-5320</v>
          </cell>
          <cell r="BC328">
            <v>-5320</v>
          </cell>
          <cell r="BD328">
            <v>-5320</v>
          </cell>
          <cell r="BE328">
            <v>-5320</v>
          </cell>
          <cell r="BF328">
            <v>-5320</v>
          </cell>
          <cell r="BG328">
            <v>-5320</v>
          </cell>
          <cell r="BH328">
            <v>-5320</v>
          </cell>
          <cell r="BI328">
            <v>-5320</v>
          </cell>
          <cell r="BJ328">
            <v>-5320</v>
          </cell>
          <cell r="BK328">
            <v>-5320</v>
          </cell>
          <cell r="BL328">
            <v>-5320</v>
          </cell>
          <cell r="BM328">
            <v>-5320</v>
          </cell>
          <cell r="BN328">
            <v>-5320</v>
          </cell>
          <cell r="BO328">
            <v>-5320</v>
          </cell>
          <cell r="BP328">
            <v>-5320</v>
          </cell>
          <cell r="BQ328">
            <v>-5320</v>
          </cell>
          <cell r="BR328">
            <v>-5320</v>
          </cell>
          <cell r="BS328">
            <v>-5320</v>
          </cell>
          <cell r="BT328">
            <v>-5320</v>
          </cell>
          <cell r="BU328">
            <v>-5320</v>
          </cell>
          <cell r="BV328">
            <v>-5320</v>
          </cell>
          <cell r="BW328">
            <v>-5320</v>
          </cell>
          <cell r="BX328">
            <v>-5320</v>
          </cell>
          <cell r="BY328">
            <v>-5320</v>
          </cell>
          <cell r="BZ328">
            <v>-5320</v>
          </cell>
          <cell r="CA328">
            <v>-5320</v>
          </cell>
          <cell r="CB328">
            <v>-5320</v>
          </cell>
          <cell r="CC328">
            <v>-5320</v>
          </cell>
          <cell r="CD328">
            <v>-5320</v>
          </cell>
          <cell r="CE328">
            <v>-5320</v>
          </cell>
          <cell r="CF328">
            <v>-5320</v>
          </cell>
          <cell r="CG328">
            <v>-5320</v>
          </cell>
          <cell r="CH328">
            <v>-5320</v>
          </cell>
          <cell r="CI328">
            <v>-5320</v>
          </cell>
          <cell r="CJ328">
            <v>-5320</v>
          </cell>
          <cell r="CK328">
            <v>-5320</v>
          </cell>
          <cell r="CL328">
            <v>-5320</v>
          </cell>
          <cell r="CM328">
            <v>-5320</v>
          </cell>
          <cell r="CN328">
            <v>-5320</v>
          </cell>
          <cell r="CO328">
            <v>-5320</v>
          </cell>
          <cell r="CP328">
            <v>-5320</v>
          </cell>
          <cell r="CQ328">
            <v>-5320</v>
          </cell>
          <cell r="CR328">
            <v>-5320</v>
          </cell>
          <cell r="CS328">
            <v>-5320</v>
          </cell>
          <cell r="CT328">
            <v>-5320</v>
          </cell>
          <cell r="CU328">
            <v>-5320</v>
          </cell>
          <cell r="CV328">
            <v>-5320</v>
          </cell>
          <cell r="CW328">
            <v>-5320</v>
          </cell>
          <cell r="CX328">
            <v>-5320</v>
          </cell>
          <cell r="CY328">
            <v>-5320</v>
          </cell>
          <cell r="CZ328">
            <v>-5320</v>
          </cell>
          <cell r="DA328">
            <v>-5320</v>
          </cell>
          <cell r="DB328">
            <v>-5320</v>
          </cell>
          <cell r="DC328">
            <v>-5320</v>
          </cell>
          <cell r="DD328">
            <v>-5320</v>
          </cell>
          <cell r="DE328">
            <v>-5320</v>
          </cell>
          <cell r="DF328">
            <v>-5320</v>
          </cell>
          <cell r="DG328">
            <v>-5320</v>
          </cell>
          <cell r="DH328">
            <v>-5320</v>
          </cell>
        </row>
        <row r="329">
          <cell r="A329">
            <v>2830440</v>
          </cell>
          <cell r="B329">
            <v>2830440</v>
          </cell>
          <cell r="C329" t="str">
            <v>DIT FAS133 State</v>
          </cell>
          <cell r="D329">
            <v>-64395.26</v>
          </cell>
          <cell r="E329">
            <v>-196970.01</v>
          </cell>
          <cell r="F329">
            <v>-137538.10999999999</v>
          </cell>
          <cell r="G329">
            <v>-83794.039999999994</v>
          </cell>
          <cell r="H329">
            <v>-170135.44</v>
          </cell>
          <cell r="I329">
            <v>-47596.34</v>
          </cell>
          <cell r="J329">
            <v>-69756.11</v>
          </cell>
          <cell r="K329">
            <v>-178673.99</v>
          </cell>
          <cell r="L329">
            <v>-84192.24</v>
          </cell>
          <cell r="M329">
            <v>-88981.36</v>
          </cell>
          <cell r="N329">
            <v>-201239.11</v>
          </cell>
          <cell r="O329">
            <v>-148671.21</v>
          </cell>
          <cell r="P329">
            <v>-494201.56</v>
          </cell>
          <cell r="Q329">
            <v>-498571.59</v>
          </cell>
          <cell r="R329">
            <v>-408521.46</v>
          </cell>
          <cell r="S329">
            <v>-398725.36</v>
          </cell>
          <cell r="T329">
            <v>-346087.39</v>
          </cell>
          <cell r="U329">
            <v>-336608.25</v>
          </cell>
          <cell r="V329">
            <v>-285707.84000000003</v>
          </cell>
          <cell r="W329">
            <v>-287014.09000000003</v>
          </cell>
          <cell r="X329">
            <v>-305231.19</v>
          </cell>
          <cell r="Y329">
            <v>-348279.69</v>
          </cell>
          <cell r="Z329">
            <v>-442421.54</v>
          </cell>
          <cell r="AA329">
            <v>-349027.14</v>
          </cell>
          <cell r="AB329">
            <v>-443604.04</v>
          </cell>
          <cell r="AC329">
            <v>-268710.64</v>
          </cell>
          <cell r="AD329">
            <v>-298707.09000000003</v>
          </cell>
          <cell r="AE329">
            <v>-190043.31</v>
          </cell>
          <cell r="AF329">
            <v>-111543.74</v>
          </cell>
          <cell r="AG329">
            <v>-97201.12</v>
          </cell>
          <cell r="AH329">
            <v>-38622.82</v>
          </cell>
          <cell r="AI329">
            <v>-37769.22</v>
          </cell>
          <cell r="AJ329">
            <v>-28877.37</v>
          </cell>
          <cell r="AK329">
            <v>-28740.42</v>
          </cell>
          <cell r="AL329">
            <v>-30905.22</v>
          </cell>
          <cell r="AM329">
            <v>-33490.769999999997</v>
          </cell>
          <cell r="AN329">
            <v>-109407.82</v>
          </cell>
          <cell r="AO329">
            <v>-32529.37</v>
          </cell>
          <cell r="AP329">
            <v>-23155.72</v>
          </cell>
          <cell r="AQ329">
            <v>-26790.94</v>
          </cell>
          <cell r="AR329">
            <v>-29636.09</v>
          </cell>
          <cell r="AS329">
            <v>-9539.09</v>
          </cell>
          <cell r="AT329">
            <v>-6080.14</v>
          </cell>
          <cell r="AU329">
            <v>-8165.74</v>
          </cell>
          <cell r="AV329">
            <v>-5822.74</v>
          </cell>
          <cell r="AW329">
            <v>-4893.24</v>
          </cell>
          <cell r="AX329">
            <v>-7865.99</v>
          </cell>
          <cell r="AY329">
            <v>-3727.79</v>
          </cell>
          <cell r="AZ329">
            <v>-9958.19</v>
          </cell>
          <cell r="BA329">
            <v>-4381.74</v>
          </cell>
          <cell r="BB329">
            <v>-6221.49</v>
          </cell>
          <cell r="BC329">
            <v>-1795.09</v>
          </cell>
          <cell r="BD329">
            <v>-1524.76</v>
          </cell>
          <cell r="BE329">
            <v>-1100.71</v>
          </cell>
          <cell r="BF329">
            <v>-858.16</v>
          </cell>
          <cell r="BG329">
            <v>-644.21</v>
          </cell>
          <cell r="BH329">
            <v>-192.11</v>
          </cell>
          <cell r="BI329">
            <v>-551.80999999999995</v>
          </cell>
          <cell r="BJ329">
            <v>-805.36</v>
          </cell>
          <cell r="BK329">
            <v>0.39</v>
          </cell>
          <cell r="BL329">
            <v>0.39</v>
          </cell>
          <cell r="BM329">
            <v>0.39</v>
          </cell>
          <cell r="BN329">
            <v>0.39</v>
          </cell>
          <cell r="BO329">
            <v>0.39</v>
          </cell>
          <cell r="BP329">
            <v>0.39</v>
          </cell>
          <cell r="BQ329">
            <v>0.39</v>
          </cell>
          <cell r="BR329">
            <v>0.39</v>
          </cell>
          <cell r="BS329">
            <v>0.39</v>
          </cell>
          <cell r="BT329">
            <v>0.39</v>
          </cell>
          <cell r="BU329">
            <v>0.39</v>
          </cell>
          <cell r="BV329">
            <v>0.39</v>
          </cell>
          <cell r="BW329">
            <v>0.39</v>
          </cell>
          <cell r="BX329">
            <v>0.39</v>
          </cell>
          <cell r="BY329">
            <v>0.39</v>
          </cell>
          <cell r="BZ329">
            <v>0.39</v>
          </cell>
          <cell r="CA329">
            <v>0.39</v>
          </cell>
          <cell r="CB329">
            <v>0.39</v>
          </cell>
          <cell r="CC329">
            <v>0.39</v>
          </cell>
          <cell r="CD329">
            <v>0.39</v>
          </cell>
          <cell r="CE329">
            <v>0.39</v>
          </cell>
          <cell r="CF329">
            <v>0.39</v>
          </cell>
          <cell r="CG329">
            <v>0.39</v>
          </cell>
          <cell r="CH329">
            <v>0.39</v>
          </cell>
          <cell r="CI329">
            <v>0.39</v>
          </cell>
          <cell r="CJ329">
            <v>0.39</v>
          </cell>
          <cell r="CK329">
            <v>0.39</v>
          </cell>
          <cell r="CL329">
            <v>0.39</v>
          </cell>
          <cell r="CM329">
            <v>0.39</v>
          </cell>
          <cell r="CN329">
            <v>0.39</v>
          </cell>
          <cell r="CO329">
            <v>0.39</v>
          </cell>
          <cell r="CP329">
            <v>0.39</v>
          </cell>
          <cell r="CQ329">
            <v>0.39</v>
          </cell>
          <cell r="CR329">
            <v>0.39</v>
          </cell>
          <cell r="CS329">
            <v>0.39</v>
          </cell>
          <cell r="CT329">
            <v>0.39</v>
          </cell>
          <cell r="CU329">
            <v>0.39</v>
          </cell>
          <cell r="CV329">
            <v>0.39</v>
          </cell>
          <cell r="CW329">
            <v>0.39</v>
          </cell>
          <cell r="CX329">
            <v>0.39</v>
          </cell>
          <cell r="CY329">
            <v>0.39</v>
          </cell>
          <cell r="CZ329">
            <v>0.39</v>
          </cell>
          <cell r="DA329">
            <v>0.39</v>
          </cell>
          <cell r="DB329">
            <v>0.39</v>
          </cell>
          <cell r="DC329">
            <v>0.39</v>
          </cell>
          <cell r="DD329">
            <v>0.39</v>
          </cell>
          <cell r="DE329">
            <v>0.39</v>
          </cell>
          <cell r="DF329">
            <v>0.39</v>
          </cell>
          <cell r="DG329">
            <v>0.39</v>
          </cell>
          <cell r="DH329">
            <v>0.39</v>
          </cell>
        </row>
        <row r="330">
          <cell r="A330">
            <v>2830610</v>
          </cell>
          <cell r="B330">
            <v>2830610</v>
          </cell>
          <cell r="C330" t="str">
            <v>DIT FAS109 Other</v>
          </cell>
          <cell r="D330"/>
          <cell r="E330"/>
          <cell r="F330"/>
          <cell r="G330"/>
          <cell r="H330"/>
          <cell r="I330"/>
          <cell r="J330"/>
          <cell r="K330"/>
          <cell r="L330"/>
          <cell r="M330"/>
          <cell r="N330"/>
          <cell r="O330"/>
          <cell r="P330"/>
          <cell r="Q330"/>
          <cell r="R330"/>
          <cell r="S330"/>
          <cell r="T330"/>
          <cell r="U330"/>
          <cell r="V330"/>
          <cell r="W330"/>
          <cell r="X330"/>
          <cell r="Y330"/>
          <cell r="Z330"/>
          <cell r="AA330"/>
          <cell r="AB330"/>
          <cell r="AC330"/>
          <cell r="AD330"/>
          <cell r="AE330"/>
          <cell r="AF330"/>
          <cell r="AG330"/>
          <cell r="AH330"/>
          <cell r="AI330"/>
          <cell r="AJ330"/>
          <cell r="AK330"/>
          <cell r="AL330"/>
          <cell r="AM330"/>
          <cell r="AN330"/>
          <cell r="AO330">
            <v>0</v>
          </cell>
          <cell r="AP330">
            <v>0</v>
          </cell>
          <cell r="AQ330">
            <v>0</v>
          </cell>
          <cell r="AR330">
            <v>0</v>
          </cell>
          <cell r="AS330">
            <v>0</v>
          </cell>
          <cell r="AT330">
            <v>0</v>
          </cell>
          <cell r="AU330">
            <v>0</v>
          </cell>
          <cell r="AV330">
            <v>0</v>
          </cell>
          <cell r="AW330">
            <v>0</v>
          </cell>
          <cell r="AX330">
            <v>0</v>
          </cell>
          <cell r="AY330">
            <v>0</v>
          </cell>
          <cell r="AZ330">
            <v>22611604.050000001</v>
          </cell>
          <cell r="BA330">
            <v>22555411.48</v>
          </cell>
          <cell r="BB330">
            <v>22499510.5</v>
          </cell>
          <cell r="BC330">
            <v>22513410.670000002</v>
          </cell>
          <cell r="BD330">
            <v>22480684.460000001</v>
          </cell>
          <cell r="BE330">
            <v>22564313.890000001</v>
          </cell>
          <cell r="BF330">
            <v>22554854.940000001</v>
          </cell>
          <cell r="BG330">
            <v>22545395.899999999</v>
          </cell>
          <cell r="BH330">
            <v>22539168.77</v>
          </cell>
          <cell r="BI330">
            <v>22530113.699999999</v>
          </cell>
          <cell r="BJ330">
            <v>22521058.699999999</v>
          </cell>
          <cell r="BK330">
            <v>22993926.73</v>
          </cell>
          <cell r="BL330">
            <v>22984871.68</v>
          </cell>
          <cell r="BM330">
            <v>22989750.489999998</v>
          </cell>
          <cell r="BN330">
            <v>23006562.530000001</v>
          </cell>
          <cell r="BO330">
            <v>23017407.940000001</v>
          </cell>
          <cell r="BP330">
            <v>23028253.329999998</v>
          </cell>
          <cell r="BQ330">
            <v>23039098.77</v>
          </cell>
          <cell r="BR330">
            <v>23049944.170000002</v>
          </cell>
          <cell r="BS330">
            <v>23060789.52</v>
          </cell>
          <cell r="BT330">
            <v>23071075.559999999</v>
          </cell>
          <cell r="BU330">
            <v>22770178.739999998</v>
          </cell>
          <cell r="BV330">
            <v>22776255.84</v>
          </cell>
          <cell r="BW330">
            <v>22781617.969999999</v>
          </cell>
          <cell r="BX330">
            <v>22900328.359999999</v>
          </cell>
          <cell r="BY330">
            <v>22896434.140000001</v>
          </cell>
          <cell r="BZ330">
            <v>22887665.559999999</v>
          </cell>
          <cell r="CA330">
            <v>22835005.579999998</v>
          </cell>
          <cell r="CB330">
            <v>22822459.399999999</v>
          </cell>
          <cell r="CC330">
            <v>22806044.07</v>
          </cell>
          <cell r="CD330">
            <v>22809821.710000001</v>
          </cell>
          <cell r="CE330">
            <v>22788403.359999999</v>
          </cell>
          <cell r="CF330">
            <v>22752625.309999999</v>
          </cell>
          <cell r="CG330">
            <v>22745581</v>
          </cell>
          <cell r="CH330">
            <v>23333203.09</v>
          </cell>
          <cell r="CI330">
            <v>23324881.32</v>
          </cell>
          <cell r="CJ330">
            <v>23305660.690000001</v>
          </cell>
          <cell r="CK330">
            <v>23285754.050000001</v>
          </cell>
          <cell r="CL330">
            <v>23248011.530000001</v>
          </cell>
          <cell r="CM330">
            <v>23176857.739999998</v>
          </cell>
          <cell r="CN330">
            <v>23173356.699999999</v>
          </cell>
          <cell r="CO330">
            <v>23160960.140000001</v>
          </cell>
          <cell r="CP330">
            <v>23099041.129999999</v>
          </cell>
          <cell r="CQ330">
            <v>23083761.77</v>
          </cell>
          <cell r="CR330">
            <v>23066179.890000001</v>
          </cell>
          <cell r="CS330">
            <v>22980610.82</v>
          </cell>
          <cell r="CT330">
            <v>22944886.280000001</v>
          </cell>
          <cell r="CU330">
            <v>23049971.539999999</v>
          </cell>
          <cell r="CV330">
            <v>21862346.489999998</v>
          </cell>
          <cell r="CW330">
            <v>21863042.329999998</v>
          </cell>
          <cell r="CX330">
            <v>21861893.52</v>
          </cell>
          <cell r="CY330">
            <v>21778246.25</v>
          </cell>
          <cell r="CZ330">
            <v>21772985.41</v>
          </cell>
          <cell r="DA330">
            <v>21764606.609999999</v>
          </cell>
          <cell r="DB330">
            <v>21711240.120000001</v>
          </cell>
          <cell r="DC330">
            <v>21696554.989999998</v>
          </cell>
          <cell r="DD330">
            <v>21717527.260000002</v>
          </cell>
          <cell r="DE330">
            <v>21705049.710000001</v>
          </cell>
          <cell r="DF330">
            <v>21708438.199999999</v>
          </cell>
          <cell r="DG330">
            <v>21705982.879999999</v>
          </cell>
          <cell r="DH330">
            <v>21663660.789999999</v>
          </cell>
        </row>
        <row r="331">
          <cell r="A331"/>
        </row>
        <row r="332">
          <cell r="W332">
            <v>924202730.61000049</v>
          </cell>
          <cell r="X332">
            <v>930172789.02999973</v>
          </cell>
          <cell r="Y332">
            <v>929778412.3599999</v>
          </cell>
          <cell r="Z332">
            <v>940120192.67000008</v>
          </cell>
          <cell r="AA332">
            <v>967348669.00000012</v>
          </cell>
          <cell r="AB332">
            <v>944592099.81000006</v>
          </cell>
          <cell r="AC332">
            <v>961821777.43999946</v>
          </cell>
          <cell r="AD332">
            <v>966484876.21999991</v>
          </cell>
          <cell r="AE332">
            <v>977169936.16000009</v>
          </cell>
          <cell r="AF332">
            <v>978701241.91000009</v>
          </cell>
          <cell r="AG332">
            <v>962582357.56999981</v>
          </cell>
          <cell r="AH332">
            <v>960112796.65000021</v>
          </cell>
          <cell r="AI332">
            <v>966844695.15999985</v>
          </cell>
          <cell r="AJ332">
            <v>967683433.84000015</v>
          </cell>
          <cell r="AK332">
            <v>983992949.63999975</v>
          </cell>
          <cell r="AL332">
            <v>993654532.77999949</v>
          </cell>
          <cell r="AM332">
            <v>996694415.33999979</v>
          </cell>
          <cell r="AN332">
            <v>1019762560.6499999</v>
          </cell>
          <cell r="AO332">
            <v>1028205820.95</v>
          </cell>
          <cell r="AP332">
            <v>1036605895.4099998</v>
          </cell>
          <cell r="AQ332">
            <v>1037286041.9800001</v>
          </cell>
          <cell r="AR332">
            <v>1047973195.5999998</v>
          </cell>
          <cell r="AS332">
            <v>1053161039.7799999</v>
          </cell>
          <cell r="AT332">
            <v>1048613874.0800003</v>
          </cell>
          <cell r="AU332">
            <v>1057460529.1500002</v>
          </cell>
          <cell r="AV332">
            <v>1076761555.8799996</v>
          </cell>
          <cell r="AW332">
            <v>1078630857.2999997</v>
          </cell>
          <cell r="AX332">
            <v>1082847591.9999998</v>
          </cell>
          <cell r="AY332">
            <v>1093441044.03</v>
          </cell>
          <cell r="AZ332">
            <v>1110304091.0699997</v>
          </cell>
          <cell r="BA332">
            <v>1125453008.2700005</v>
          </cell>
          <cell r="BB332">
            <v>1118450851.4000003</v>
          </cell>
          <cell r="BC332">
            <v>1116155056.3900001</v>
          </cell>
          <cell r="BD332">
            <v>1119947657.9199998</v>
          </cell>
          <cell r="BE332">
            <v>1127682195.3500004</v>
          </cell>
          <cell r="BF332">
            <v>1134835694.5200002</v>
          </cell>
          <cell r="BG332">
            <v>1142151907.7099998</v>
          </cell>
          <cell r="BH332">
            <v>1149094391.02</v>
          </cell>
          <cell r="BI332">
            <v>1162175175.2500007</v>
          </cell>
          <cell r="BJ332">
            <v>1182288767.4399993</v>
          </cell>
          <cell r="BK332">
            <v>1202725304.1099997</v>
          </cell>
          <cell r="BL332">
            <v>1226063436.0099995</v>
          </cell>
          <cell r="BM332">
            <v>1247240436.2299993</v>
          </cell>
          <cell r="BN332">
            <v>1247808108.2299993</v>
          </cell>
          <cell r="BO332">
            <v>1259003258.8700006</v>
          </cell>
          <cell r="BP332">
            <v>1262871735.4099998</v>
          </cell>
          <cell r="BQ332">
            <v>1275354403.7199991</v>
          </cell>
          <cell r="BR332">
            <v>1286690558.0599999</v>
          </cell>
          <cell r="BS332">
            <v>1300347264.21</v>
          </cell>
          <cell r="BT332">
            <v>1319239804.8100002</v>
          </cell>
          <cell r="BU332">
            <v>1342230484.6000004</v>
          </cell>
          <cell r="BV332">
            <v>1358664856.23</v>
          </cell>
          <cell r="BW332">
            <v>1383623030.9400001</v>
          </cell>
          <cell r="BX332">
            <v>1408247684.1299992</v>
          </cell>
          <cell r="BY332">
            <v>1430100919.7199993</v>
          </cell>
          <cell r="BZ332">
            <v>1442160893.7799993</v>
          </cell>
          <cell r="CA332">
            <v>1453225242.9099991</v>
          </cell>
          <cell r="CB332">
            <v>1471552455.1400001</v>
          </cell>
          <cell r="CC332">
            <v>1494766345.5600007</v>
          </cell>
          <cell r="CD332">
            <v>1516746180.7800002</v>
          </cell>
          <cell r="CE332">
            <v>1537467570.4999995</v>
          </cell>
          <cell r="CF332">
            <v>1574439470.9699996</v>
          </cell>
          <cell r="CG332">
            <v>1599775397.7300005</v>
          </cell>
          <cell r="CH332">
            <v>1631707897.9200001</v>
          </cell>
          <cell r="CI332">
            <v>1666187288.7899997</v>
          </cell>
          <cell r="CJ332">
            <v>1713802282.6099992</v>
          </cell>
          <cell r="CK332">
            <v>1744349619.9999998</v>
          </cell>
          <cell r="CL332">
            <v>1767183758.3699994</v>
          </cell>
          <cell r="CM332">
            <v>1783156794.6599987</v>
          </cell>
          <cell r="CN332">
            <v>1799578255.9400001</v>
          </cell>
          <cell r="CO332">
            <v>1807990937.48</v>
          </cell>
          <cell r="CP332">
            <v>1827442303.2899992</v>
          </cell>
          <cell r="CQ332">
            <v>1853524136.4399991</v>
          </cell>
          <cell r="CR332">
            <v>1871610200.3399994</v>
          </cell>
          <cell r="CS332">
            <v>1894780635.76</v>
          </cell>
          <cell r="CT332">
            <v>1929460870.0899997</v>
          </cell>
          <cell r="CU332">
            <v>1960889789.7199998</v>
          </cell>
          <cell r="CV332">
            <v>1992226698.3999994</v>
          </cell>
          <cell r="CW332">
            <v>2023947138.2199998</v>
          </cell>
          <cell r="CX332">
            <v>2043153600.6899998</v>
          </cell>
          <cell r="CY332">
            <v>2052420927.0399985</v>
          </cell>
          <cell r="CZ332">
            <v>2067951937.9000003</v>
          </cell>
          <cell r="DA332">
            <v>2094493157.5500004</v>
          </cell>
          <cell r="DB332">
            <v>2120545230.2200003</v>
          </cell>
          <cell r="DC332">
            <v>2136862729.3100004</v>
          </cell>
          <cell r="DD332">
            <v>2152934893.730001</v>
          </cell>
          <cell r="DE332">
            <v>2168239079.9400005</v>
          </cell>
          <cell r="DF332">
            <v>2180322911.5699992</v>
          </cell>
          <cell r="DG332">
            <v>2206019839.0700002</v>
          </cell>
          <cell r="DH332">
            <v>2267449529.6000018</v>
          </cell>
        </row>
        <row r="333">
          <cell r="W333">
            <v>-957267276.61000049</v>
          </cell>
          <cell r="X333">
            <v>-962635051.03000045</v>
          </cell>
          <cell r="Y333">
            <v>-961477310.36000037</v>
          </cell>
          <cell r="Z333">
            <v>-971819090.6699996</v>
          </cell>
          <cell r="AA333">
            <v>-1015605770.9999996</v>
          </cell>
          <cell r="AB333">
            <v>-976290997.80999959</v>
          </cell>
          <cell r="AC333">
            <v>-1010078879.4400002</v>
          </cell>
          <cell r="AD333">
            <v>-1014741978.22</v>
          </cell>
          <cell r="AE333">
            <v>-1024770462.1600002</v>
          </cell>
          <cell r="AF333">
            <v>-1026301767.9099998</v>
          </cell>
          <cell r="AG333">
            <v>-1010182883.5699999</v>
          </cell>
          <cell r="AH333">
            <v>-1006837092.6499996</v>
          </cell>
          <cell r="AI333">
            <v>-966844695.15999985</v>
          </cell>
          <cell r="AJ333">
            <v>-967683433.83999991</v>
          </cell>
          <cell r="AK333">
            <v>-983992949.63999999</v>
          </cell>
          <cell r="AL333">
            <v>-993654532.77999997</v>
          </cell>
          <cell r="AM333">
            <v>-996694415.33999968</v>
          </cell>
          <cell r="AN333">
            <v>-1019762560.6500001</v>
          </cell>
          <cell r="AO333">
            <v>-1083666386.9499996</v>
          </cell>
          <cell r="AP333">
            <v>-1092066461.4099998</v>
          </cell>
          <cell r="AQ333">
            <v>-1092020613.98</v>
          </cell>
          <cell r="AR333">
            <v>-1102707767.6000001</v>
          </cell>
          <cell r="AS333">
            <v>-1107895611.78</v>
          </cell>
          <cell r="AT333">
            <v>-1102882184.0799997</v>
          </cell>
          <cell r="AU333">
            <v>-1111728839.1500006</v>
          </cell>
          <cell r="AV333">
            <v>-1131029865.8800001</v>
          </cell>
          <cell r="AW333">
            <v>-1132157345.3</v>
          </cell>
          <cell r="AX333">
            <v>-1136374079.9999998</v>
          </cell>
          <cell r="AY333">
            <v>-1146967532.0299995</v>
          </cell>
          <cell r="AZ333">
            <v>-1158306171.0699997</v>
          </cell>
          <cell r="BA333">
            <v>-1173455088.2699997</v>
          </cell>
          <cell r="BB333">
            <v>-1166452931.4000003</v>
          </cell>
          <cell r="BC333">
            <v>-1163336772.3899999</v>
          </cell>
          <cell r="BD333">
            <v>-1167129373.9199996</v>
          </cell>
          <cell r="BE333">
            <v>-1174863911.3500004</v>
          </cell>
          <cell r="BF333">
            <v>-1181198876.5199997</v>
          </cell>
          <cell r="BG333">
            <v>-1188515089.7099998</v>
          </cell>
          <cell r="BH333">
            <v>-1195457573.0199995</v>
          </cell>
          <cell r="BI333">
            <v>-1207718907.2499993</v>
          </cell>
          <cell r="BJ333">
            <v>-1227832499.4399993</v>
          </cell>
          <cell r="BK333">
            <v>-1248269036.1099994</v>
          </cell>
          <cell r="BL333">
            <v>-1285385760.0099998</v>
          </cell>
          <cell r="BM333">
            <v>-1306562760.2299998</v>
          </cell>
          <cell r="BN333">
            <v>-1307130432.23</v>
          </cell>
          <cell r="BO333">
            <v>-1317638722.8700001</v>
          </cell>
          <cell r="BP333">
            <v>-1321507199.4099998</v>
          </cell>
          <cell r="BQ333">
            <v>-1333989867.7200003</v>
          </cell>
          <cell r="BR333">
            <v>-1344608732.0600002</v>
          </cell>
          <cell r="BS333">
            <v>-1358265438.2099996</v>
          </cell>
          <cell r="BT333">
            <v>-1377157978.8099999</v>
          </cell>
          <cell r="BU333">
            <v>-1342230484.5999997</v>
          </cell>
          <cell r="BV333">
            <v>-1358664856.23</v>
          </cell>
          <cell r="BW333">
            <v>-1383623030.9399993</v>
          </cell>
          <cell r="BX333">
            <v>-1408247684.1299996</v>
          </cell>
          <cell r="BY333">
            <v>-1430100919.7200003</v>
          </cell>
          <cell r="BZ333">
            <v>-1442160893.7799997</v>
          </cell>
          <cell r="CA333">
            <v>-1453225242.9100013</v>
          </cell>
          <cell r="CB333">
            <v>-1471552455.1400001</v>
          </cell>
          <cell r="CC333">
            <v>-1494766345.5600004</v>
          </cell>
          <cell r="CD333">
            <v>-1516746180.7800012</v>
          </cell>
          <cell r="CE333">
            <v>-1537467570.5000012</v>
          </cell>
          <cell r="CF333">
            <v>-1574439470.970001</v>
          </cell>
          <cell r="CG333">
            <v>-1599775397.73</v>
          </cell>
          <cell r="CH333">
            <v>-1631707897.9200001</v>
          </cell>
          <cell r="CI333">
            <v>-1666187288.79</v>
          </cell>
          <cell r="CJ333">
            <v>-1713802281.6100001</v>
          </cell>
          <cell r="CK333">
            <v>-1744349619.9999998</v>
          </cell>
          <cell r="CL333">
            <v>-1767183758.3700006</v>
          </cell>
          <cell r="CM333">
            <v>-1783156794.6600006</v>
          </cell>
          <cell r="CN333">
            <v>-1799578255.9399998</v>
          </cell>
          <cell r="CO333">
            <v>-1807990937.48</v>
          </cell>
          <cell r="CP333">
            <v>-1827442303.2899997</v>
          </cell>
          <cell r="CQ333">
            <v>-1853524136.4400001</v>
          </cell>
          <cell r="CR333">
            <v>-1871610200.3399994</v>
          </cell>
          <cell r="CS333">
            <v>-1894780635.7599995</v>
          </cell>
          <cell r="CT333">
            <v>-1929460870.0899994</v>
          </cell>
          <cell r="CU333">
            <v>-1960889789.7200007</v>
          </cell>
          <cell r="CV333">
            <v>-1992226698.3999994</v>
          </cell>
          <cell r="CW333">
            <v>-2023947138.22</v>
          </cell>
          <cell r="CX333">
            <v>-2043153600.6900008</v>
          </cell>
          <cell r="CY333">
            <v>-2052420927.0399997</v>
          </cell>
          <cell r="CZ333">
            <v>-2067951937.8999999</v>
          </cell>
          <cell r="DA333">
            <v>-2094493157.55</v>
          </cell>
          <cell r="DB333">
            <v>-2120545230.2199996</v>
          </cell>
          <cell r="DC333">
            <v>-2136862729.3099997</v>
          </cell>
          <cell r="DD333">
            <v>-2152934893.7299991</v>
          </cell>
          <cell r="DE333">
            <v>-2168239079.9399996</v>
          </cell>
          <cell r="DF333">
            <v>-2180322911.5700006</v>
          </cell>
          <cell r="DG333">
            <v>-2206019839.0699992</v>
          </cell>
          <cell r="DH333">
            <v>-2267449529.5999994</v>
          </cell>
        </row>
        <row r="334">
          <cell r="R334"/>
          <cell r="W334">
            <v>-33064546</v>
          </cell>
          <cell r="X334">
            <v>-32462262.000000715</v>
          </cell>
          <cell r="Y334">
            <v>-31698898.000000477</v>
          </cell>
          <cell r="Z334">
            <v>-31698897.999999523</v>
          </cell>
          <cell r="AA334">
            <v>-48257101.999999523</v>
          </cell>
          <cell r="AB334">
            <v>-31698897.999999523</v>
          </cell>
          <cell r="AC334">
            <v>-48257102.000000715</v>
          </cell>
          <cell r="AD334">
            <v>-48257102.000000119</v>
          </cell>
          <cell r="AE334">
            <v>-47600526.000000119</v>
          </cell>
          <cell r="AF334">
            <v>-47600525.999999762</v>
          </cell>
          <cell r="AG334">
            <v>-47600526.000000119</v>
          </cell>
          <cell r="AH334">
            <v>-46724295.999999404</v>
          </cell>
          <cell r="AI334">
            <v>0</v>
          </cell>
          <cell r="AJ334">
            <v>0</v>
          </cell>
          <cell r="AK334">
            <v>0</v>
          </cell>
          <cell r="AL334">
            <v>0</v>
          </cell>
          <cell r="AM334">
            <v>0</v>
          </cell>
          <cell r="AN334">
            <v>0</v>
          </cell>
          <cell r="AO334">
            <v>-55460565.999999523</v>
          </cell>
          <cell r="AP334">
            <v>-55460566</v>
          </cell>
          <cell r="AQ334">
            <v>-54734571.999999881</v>
          </cell>
          <cell r="AR334">
            <v>-54734572.000000358</v>
          </cell>
          <cell r="AS334">
            <v>-54734572.000000119</v>
          </cell>
          <cell r="AT334">
            <v>-54268309.999999404</v>
          </cell>
          <cell r="AU334">
            <v>-54268310.000000358</v>
          </cell>
          <cell r="AV334">
            <v>-54268310.000000477</v>
          </cell>
          <cell r="AW334">
            <v>-53526488.000000238</v>
          </cell>
          <cell r="AX334">
            <v>-53526488</v>
          </cell>
          <cell r="AY334">
            <v>-53526487.999999523</v>
          </cell>
          <cell r="AZ334">
            <v>-48002080</v>
          </cell>
          <cell r="BA334">
            <v>-48002079.999999285</v>
          </cell>
          <cell r="BB334">
            <v>-48002080</v>
          </cell>
          <cell r="BC334">
            <v>-47181715.999999762</v>
          </cell>
          <cell r="BD334">
            <v>-47181715.999999762</v>
          </cell>
          <cell r="BE334">
            <v>-47181716</v>
          </cell>
          <cell r="BF334">
            <v>-46363181.999999523</v>
          </cell>
          <cell r="BG334">
            <v>-46363182</v>
          </cell>
          <cell r="BH334">
            <v>-46363181.999999523</v>
          </cell>
          <cell r="BI334">
            <v>-45543731.999998569</v>
          </cell>
          <cell r="BJ334">
            <v>-45543732</v>
          </cell>
          <cell r="BK334">
            <v>-45543731.999999762</v>
          </cell>
          <cell r="BL334">
            <v>-59322324.000000238</v>
          </cell>
          <cell r="BM334">
            <v>-59322324.000000477</v>
          </cell>
          <cell r="BN334">
            <v>-59322324.000000715</v>
          </cell>
          <cell r="BO334">
            <v>-58635463.999999523</v>
          </cell>
          <cell r="BP334">
            <v>-58635464</v>
          </cell>
          <cell r="BQ334">
            <v>-58635464.000001192</v>
          </cell>
          <cell r="BR334">
            <v>-57918174.000000238</v>
          </cell>
          <cell r="BS334">
            <v>-57918173.999999523</v>
          </cell>
          <cell r="BT334">
            <v>-57918173.999999762</v>
          </cell>
          <cell r="BU334">
            <v>0</v>
          </cell>
          <cell r="BV334">
            <v>0</v>
          </cell>
          <cell r="BW334">
            <v>0</v>
          </cell>
          <cell r="BX334">
            <v>0</v>
          </cell>
          <cell r="BY334">
            <v>0</v>
          </cell>
          <cell r="BZ334">
            <v>0</v>
          </cell>
          <cell r="CA334">
            <v>-2.1457672119140625E-6</v>
          </cell>
          <cell r="CB334">
            <v>0</v>
          </cell>
          <cell r="CC334">
            <v>0</v>
          </cell>
          <cell r="CD334">
            <v>0</v>
          </cell>
          <cell r="CE334">
            <v>0</v>
          </cell>
          <cell r="CF334">
            <v>0</v>
          </cell>
          <cell r="CG334">
            <v>0</v>
          </cell>
          <cell r="CH334">
            <v>0</v>
          </cell>
          <cell r="CI334">
            <v>0</v>
          </cell>
          <cell r="CJ334">
            <v>0.99999904632568359</v>
          </cell>
          <cell r="CK334">
            <v>0</v>
          </cell>
          <cell r="CL334">
            <v>0</v>
          </cell>
          <cell r="CM334">
            <v>-1.9073486328125E-6</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row>
        <row r="335">
          <cell r="AC335">
            <v>-0.22256000048946589</v>
          </cell>
          <cell r="AD335">
            <v>-0.32378000020980835</v>
          </cell>
          <cell r="AE335">
            <v>-0.16383999981917441</v>
          </cell>
          <cell r="AF335">
            <v>-5.8089999947696924E-2</v>
          </cell>
          <cell r="AG335">
            <v>-4.2430000263266265E-2</v>
          </cell>
          <cell r="AH335">
            <v>-0.1033499997574836</v>
          </cell>
          <cell r="AI335">
            <v>9.51599997933954E-2</v>
          </cell>
          <cell r="AJ335">
            <v>-0.16615999978967011</v>
          </cell>
          <cell r="AK335">
            <v>-0.15036000031977892</v>
          </cell>
          <cell r="AL335">
            <v>3.2779999659396708E-2</v>
          </cell>
          <cell r="AM335">
            <v>-0.28466000012122095</v>
          </cell>
          <cell r="AN335">
            <v>-3.9350000210106373E-2</v>
          </cell>
          <cell r="AO335">
            <v>-7.9050000291317701E-2</v>
          </cell>
          <cell r="AP335">
            <v>9.5409999717958272E-2</v>
          </cell>
          <cell r="AQ335">
            <v>-5.8019999880343676E-2</v>
          </cell>
          <cell r="AR335">
            <v>-0.10440000030212104</v>
          </cell>
          <cell r="AS335">
            <v>-6.0220000334084034E-2</v>
          </cell>
          <cell r="AT335">
            <v>-0.2259199998807162</v>
          </cell>
          <cell r="AU335">
            <v>-7.0849999552592635E-2</v>
          </cell>
          <cell r="AV335">
            <v>-0.24412000039592385</v>
          </cell>
          <cell r="AW335">
            <v>0.25729999993927777</v>
          </cell>
          <cell r="AX335">
            <v>-0.30800000042654574</v>
          </cell>
          <cell r="AY335">
            <v>-5.5970000103116035E-2</v>
          </cell>
          <cell r="AZ335">
            <v>-0.50893000047653913</v>
          </cell>
          <cell r="BA335">
            <v>0.2082700002938509</v>
          </cell>
          <cell r="BB335">
            <v>-4.8600000096485019E-2</v>
          </cell>
          <cell r="BC335">
            <v>-4.3610000051558018E-2</v>
          </cell>
          <cell r="BD335">
            <v>-4.2079999810084701E-2</v>
          </cell>
          <cell r="BE335">
            <v>9.5350000308826566E-2</v>
          </cell>
          <cell r="BF335">
            <v>-0.20547999977134168</v>
          </cell>
          <cell r="BG335">
            <v>-0.19229000038467348</v>
          </cell>
          <cell r="BH335">
            <v>9.1020000167191029E-2</v>
          </cell>
          <cell r="BI335">
            <v>-0.32474999921396375</v>
          </cell>
          <cell r="BJ335">
            <v>-0.33256000047549605</v>
          </cell>
          <cell r="BK335">
            <v>-9.5890000695362687E-2</v>
          </cell>
          <cell r="BL335">
            <v>-0.26399000035598874</v>
          </cell>
          <cell r="BM335">
            <v>-0.16377000045031309</v>
          </cell>
          <cell r="BN335">
            <v>-9.1770000988617539E-2</v>
          </cell>
          <cell r="BO335">
            <v>-0.14112999942153692</v>
          </cell>
          <cell r="BP335">
            <v>-6.4590000314638019E-2</v>
          </cell>
          <cell r="BQ335">
            <v>-0.29628000082448125</v>
          </cell>
          <cell r="BR335">
            <v>0.35806000023148954</v>
          </cell>
          <cell r="BS335">
            <v>-0.13578999997116625</v>
          </cell>
          <cell r="BT335">
            <v>-0.19518999964930117</v>
          </cell>
          <cell r="BU335">
            <v>8.4600000409409404E-2</v>
          </cell>
          <cell r="BV335">
            <v>-0.14376999996602535</v>
          </cell>
          <cell r="BW335">
            <v>-6.9059999892488122E-2</v>
          </cell>
          <cell r="BX335">
            <v>-1.5870000934228301E-2</v>
          </cell>
          <cell r="BY335">
            <v>0.41971999942325056</v>
          </cell>
          <cell r="BZ335">
            <v>-0.30622000084258616</v>
          </cell>
          <cell r="CA335">
            <v>-0.35709000052884221</v>
          </cell>
          <cell r="CB335">
            <v>-0.14485999988391995</v>
          </cell>
          <cell r="CC335">
            <v>0.24556000111624599</v>
          </cell>
          <cell r="CD335">
            <v>8.0780000425875187E-2</v>
          </cell>
          <cell r="CE335">
            <v>-0.32950000045821071</v>
          </cell>
          <cell r="CF335">
            <v>-0.32903000083751976</v>
          </cell>
          <cell r="CG335">
            <v>-0.30226999917067587</v>
          </cell>
          <cell r="CH335">
            <v>-0.10207999986596406</v>
          </cell>
          <cell r="CI335">
            <v>-0.41121000004932284</v>
          </cell>
          <cell r="CJ335">
            <v>-0.5173900006338954</v>
          </cell>
          <cell r="CK335">
            <v>-0.38000000012107193</v>
          </cell>
          <cell r="CL335">
            <v>-0.54163000010885298</v>
          </cell>
          <cell r="CM335">
            <v>-0.10534000163897872</v>
          </cell>
          <cell r="CN335">
            <v>-4.4059999519959092E-2</v>
          </cell>
          <cell r="CO335">
            <v>-0.26252000010572374</v>
          </cell>
          <cell r="CP335">
            <v>0.10328999953344464</v>
          </cell>
          <cell r="CQ335">
            <v>3.6439999239519238E-2</v>
          </cell>
          <cell r="CR335">
            <v>-0.29966000048443675</v>
          </cell>
          <cell r="CS335">
            <v>-6.4239999745041132E-2</v>
          </cell>
          <cell r="CT335">
            <v>-2.9910000041127205E-2</v>
          </cell>
          <cell r="CU335">
            <v>-1.0280000045895576E-2</v>
          </cell>
          <cell r="CV335">
            <v>-1.6000005416572094E-3</v>
          </cell>
          <cell r="CW335">
            <v>-0.26178000029176474</v>
          </cell>
          <cell r="CX335">
            <v>-0.19931000075303018</v>
          </cell>
          <cell r="CY335">
            <v>2.7039998210966587E-2</v>
          </cell>
          <cell r="CZ335">
            <v>0.13789999997243285</v>
          </cell>
          <cell r="DA335">
            <v>-4.2450000066310167E-2</v>
          </cell>
          <cell r="DB335">
            <v>0.13022000016644597</v>
          </cell>
          <cell r="DC335">
            <v>2.9310000594705343E-2</v>
          </cell>
          <cell r="DD335">
            <v>9.3730000779032707E-2</v>
          </cell>
          <cell r="DE335">
            <v>-0.22005999973043799</v>
          </cell>
          <cell r="DF335">
            <v>-0.28843000158667564</v>
          </cell>
          <cell r="DG335">
            <v>-0.46093000052496791</v>
          </cell>
          <cell r="DH335">
            <v>-0.17039999831467867</v>
          </cell>
        </row>
        <row r="336">
          <cell r="A336" t="str">
            <v>FERC 3 Digit</v>
          </cell>
          <cell r="B336"/>
          <cell r="C336"/>
          <cell r="D336" t="str">
            <v>DEC 2013  Cumulative  Balance</v>
          </cell>
          <cell r="E336" t="str">
            <v>JAN 2014  Cumulative  Balance</v>
          </cell>
          <cell r="F336" t="str">
            <v>FEB 2014  Cumulative  Balance</v>
          </cell>
          <cell r="G336" t="str">
            <v>MAR 2014  Cumulative  Balance</v>
          </cell>
          <cell r="H336" t="str">
            <v>APR 2014  Cumulative  Balance</v>
          </cell>
          <cell r="I336" t="str">
            <v>JUN 2014  Cumulative  Balance</v>
          </cell>
          <cell r="J336" t="str">
            <v>MAY 2014  Cumulative  Balance</v>
          </cell>
          <cell r="K336" t="str">
            <v>JUL 2014  Cumulative  Balance</v>
          </cell>
          <cell r="L336" t="str">
            <v>AUG 2014  Cumulative  Balance</v>
          </cell>
          <cell r="M336" t="str">
            <v>SEP 2014  Cumulative  Balance</v>
          </cell>
          <cell r="N336" t="str">
            <v>OCT 2014  Cumulative  Balance</v>
          </cell>
          <cell r="O336" t="str">
            <v>NOV 2014  Cumulative  Balance</v>
          </cell>
          <cell r="P336" t="str">
            <v>DEC 2014  Cumulative  Balance</v>
          </cell>
          <cell r="Q336" t="str">
            <v>JAN 2015  Cumulative  Balance</v>
          </cell>
          <cell r="R336" t="str">
            <v>FEB 2015  Cumulative  Balance</v>
          </cell>
          <cell r="S336" t="str">
            <v>MAR 2015  Cumulative  Balance</v>
          </cell>
          <cell r="T336" t="str">
            <v>APR 2015  Cumulative  Balance</v>
          </cell>
          <cell r="U336" t="str">
            <v>MAY 2015  Cumulative  Balance</v>
          </cell>
          <cell r="V336" t="str">
            <v>JUN 2015  Cumulative  Balance</v>
          </cell>
          <cell r="W336" t="str">
            <v>JUL 2015  Cumulative  Balance</v>
          </cell>
          <cell r="X336" t="str">
            <v>AUG 2015  Cumulative  Balance</v>
          </cell>
          <cell r="Y336" t="str">
            <v>SEP 2015  Cumulative  Balance</v>
          </cell>
          <cell r="Z336" t="str">
            <v>OCT 2015  Cumulative  Balance</v>
          </cell>
          <cell r="AA336" t="str">
            <v>DEC 2015  Cumulative  Balance</v>
          </cell>
          <cell r="AB336" t="str">
            <v>NOV 2015  Cumulative  Balance</v>
          </cell>
          <cell r="AC336" t="str">
            <v>JAN 2016  Cumulative  Balance</v>
          </cell>
          <cell r="AD336" t="str">
            <v>FEB 2016  Cumulative  Balance</v>
          </cell>
          <cell r="AE336" t="str">
            <v>MAR 2016  Cumulative  Balance</v>
          </cell>
          <cell r="AF336" t="str">
            <v>APR 2016  Cumulative  Balance</v>
          </cell>
          <cell r="AG336" t="str">
            <v>MAY 2016  Cumulative  Balance</v>
          </cell>
          <cell r="AH336" t="str">
            <v>JUN 2016  Cumulative  Balance</v>
          </cell>
          <cell r="AI336" t="str">
            <v>JUL 2016  Cumulative  Balance</v>
          </cell>
          <cell r="AJ336" t="str">
            <v>AUG 2016  Cumulative  Balance</v>
          </cell>
          <cell r="AK336" t="str">
            <v>SEP 2016  Cumulative  Balance</v>
          </cell>
          <cell r="AL336" t="str">
            <v>OCT 2016  Cumulative  Balance</v>
          </cell>
          <cell r="AM336" t="str">
            <v>NOV 2016  Cumulative  Balance</v>
          </cell>
          <cell r="AN336" t="str">
            <v>DEC 2016  Cumulative  Balance</v>
          </cell>
          <cell r="AO336" t="str">
            <v>JAN 2017  Cumulative  Balance</v>
          </cell>
          <cell r="AP336" t="str">
            <v>FEB 2017  Cumulative  Balance</v>
          </cell>
          <cell r="AQ336" t="str">
            <v>MAR 2017  Cumulative  Balance</v>
          </cell>
          <cell r="AR336" t="str">
            <v>APR 2017  Cumulative  Balance</v>
          </cell>
          <cell r="AS336" t="str">
            <v>MAY 2017  Cumulative  Balance</v>
          </cell>
          <cell r="AT336" t="str">
            <v>JUN 2017  Cumulative  Balance</v>
          </cell>
          <cell r="AU336" t="str">
            <v>JUL 2017  Cumulative  Balance</v>
          </cell>
          <cell r="AV336" t="str">
            <v>AUG 2017  Cumulative  Balance</v>
          </cell>
          <cell r="AW336" t="str">
            <v>SEP 2017  Cumulative  Balance</v>
          </cell>
          <cell r="AX336" t="str">
            <v>OCT 2017  Cumulative  Balance</v>
          </cell>
          <cell r="AY336" t="str">
            <v>NOV 2017  Cumulative  Balance</v>
          </cell>
          <cell r="AZ336" t="str">
            <v>DEC 2017  Cumulative  Balance</v>
          </cell>
          <cell r="BA336" t="str">
            <v>JAN 2018  Cumulative  Balance</v>
          </cell>
          <cell r="BB336" t="str">
            <v>FEB 2018  Cumulative  Balance</v>
          </cell>
          <cell r="BC336" t="str">
            <v>MAR 2018  Cumulative  Balance</v>
          </cell>
          <cell r="BD336" t="str">
            <v>APR 2018  Cumulative  Balance</v>
          </cell>
          <cell r="BE336" t="str">
            <v>MAY 2018  Cumulative  Balance</v>
          </cell>
          <cell r="BF336" t="str">
            <v>JUN 2018  Cumulative  Balance</v>
          </cell>
          <cell r="BG336" t="str">
            <v>JUL 2018  Cumulative  Balance</v>
          </cell>
          <cell r="BH336" t="str">
            <v>AUG 2018  Cumulative  Balance</v>
          </cell>
          <cell r="BI336" t="str">
            <v>SEP 2018  Cumulative  Balance</v>
          </cell>
          <cell r="BJ336" t="str">
            <v>OCT 2018  Cumulative  Balance</v>
          </cell>
          <cell r="BK336" t="str">
            <v>NOV 2018  Cumulative  Balance</v>
          </cell>
          <cell r="BL336" t="str">
            <v>DEC 2018  Cumulative  Balance</v>
          </cell>
          <cell r="BM336" t="str">
            <v>JAN 2019  Cumulative  Balance</v>
          </cell>
          <cell r="BN336" t="str">
            <v>FEB 2019  Cumulative  Balance</v>
          </cell>
          <cell r="BO336" t="str">
            <v>MAR 2019  Cumulative  Balance</v>
          </cell>
          <cell r="BP336" t="str">
            <v>APR 2019  Cumulative  Balance</v>
          </cell>
          <cell r="BQ336" t="str">
            <v>MAY 2019  Cumulative  Balance</v>
          </cell>
          <cell r="BR336" t="str">
            <v>JUN 2019  Cumulative  Balance</v>
          </cell>
          <cell r="BS336" t="str">
            <v>JUL 2019  Cumulative  Balance</v>
          </cell>
          <cell r="BT336" t="str">
            <v>AUG 2019  Cumulative  Balance</v>
          </cell>
          <cell r="BU336" t="str">
            <v>SEP 2019  Cumulative  Balance</v>
          </cell>
          <cell r="BV336" t="str">
            <v>OCT 2019  Cumulative  Balance</v>
          </cell>
          <cell r="BW336" t="str">
            <v>NOV 2019  Cumulative  Balance</v>
          </cell>
          <cell r="BX336" t="str">
            <v>DEC 2019  Cumulative  Balance</v>
          </cell>
          <cell r="BY336" t="str">
            <v>JAN 2020  Cumulative  Balance</v>
          </cell>
          <cell r="BZ336" t="str">
            <v>FEB 2020  Cumulative  Balance</v>
          </cell>
          <cell r="CA336" t="str">
            <v>MAR 2020  Cumulative  Balance</v>
          </cell>
          <cell r="CB336" t="str">
            <v>APR 2020  Cumulative  Balance</v>
          </cell>
          <cell r="CC336" t="str">
            <v>MAY 2020  Cumulative  Balance</v>
          </cell>
          <cell r="CD336" t="str">
            <v>JUN 2020  Cumulative  Balance</v>
          </cell>
          <cell r="CE336" t="str">
            <v>JUL 2020  Cumulative  Balance</v>
          </cell>
          <cell r="CF336" t="str">
            <v>AUG 2020  Cumulative  Balance</v>
          </cell>
          <cell r="CG336" t="str">
            <v>SEP 2020  Cumulative  Balance</v>
          </cell>
          <cell r="CH336" t="str">
            <v>OCT 2020  Cumulative  Balance</v>
          </cell>
          <cell r="CI336" t="str">
            <v>NOV 2020  Cumulative  Balance</v>
          </cell>
          <cell r="CJ336" t="str">
            <v>DEC 2020  Cumulative  Balance</v>
          </cell>
          <cell r="CK336" t="str">
            <v>JAN 2021  Cumulative  Balance</v>
          </cell>
          <cell r="CL336" t="str">
            <v>FEB 2021  Cumulative  Balance</v>
          </cell>
          <cell r="CM336" t="str">
            <v>MAR 2021  Cumulative  Balance</v>
          </cell>
          <cell r="CN336" t="str">
            <v>APR 2021  Cumulative  Balance</v>
          </cell>
          <cell r="CO336" t="str">
            <v>MAY 2021  Cumulative  Balance</v>
          </cell>
          <cell r="CP336" t="str">
            <v>JUN 2021  Cumulative  Balance</v>
          </cell>
          <cell r="CQ336" t="str">
            <v>JUL 2021  Cumulative  Balance</v>
          </cell>
          <cell r="CR336" t="str">
            <v>AUG 2021  Cumulative  Balance</v>
          </cell>
          <cell r="CS336" t="str">
            <v>SEPT 2021  Cumulative  Balance</v>
          </cell>
          <cell r="CT336" t="str">
            <v>OCT 2021  Cumulative  Balance</v>
          </cell>
          <cell r="CU336" t="str">
            <v>NOV 2021  Cumulative  Balance</v>
          </cell>
          <cell r="CV336" t="str">
            <v>DEC 2021  Cumulative  Balance</v>
          </cell>
          <cell r="CW336" t="str">
            <v>JAN 2022  Cumulative  Balance</v>
          </cell>
          <cell r="CX336" t="str">
            <v>FEB 2022  Cumulative  Balance</v>
          </cell>
          <cell r="CY336" t="str">
            <v>MAR 2022  Cumulative  Balance</v>
          </cell>
          <cell r="CZ336" t="str">
            <v>APR 2022  Cumulative  Balance</v>
          </cell>
          <cell r="DA336" t="str">
            <v>MAY 2022  Cumulative  Balance</v>
          </cell>
          <cell r="DB336" t="str">
            <v>JUN 2022  Cumulative  Balance</v>
          </cell>
          <cell r="DC336" t="str">
            <v>JUL 2022  Cumulative  Balance</v>
          </cell>
          <cell r="DD336" t="str">
            <v>AUG 2022  Cumulative  Balance</v>
          </cell>
          <cell r="DE336" t="str">
            <v>SEPT 2022  Cumulative  Balance</v>
          </cell>
          <cell r="DF336" t="str">
            <v>OCT 2022  Cumulative  Balance</v>
          </cell>
          <cell r="DG336" t="str">
            <v>NOV 2022  Cumulative  Balance</v>
          </cell>
          <cell r="DH336" t="str">
            <v>DEC 2022  Cumulative  Balance</v>
          </cell>
        </row>
        <row r="337">
          <cell r="A337" t="str">
            <v>101</v>
          </cell>
          <cell r="D337">
            <v>1188438144.46</v>
          </cell>
          <cell r="E337">
            <v>1181375109.0899999</v>
          </cell>
          <cell r="F337">
            <v>1183669611.1700001</v>
          </cell>
          <cell r="G337">
            <v>1187818086.28</v>
          </cell>
          <cell r="H337">
            <v>1193444141.6099999</v>
          </cell>
          <cell r="I337">
            <v>1205461196.28</v>
          </cell>
          <cell r="J337">
            <v>1196718822.3299999</v>
          </cell>
          <cell r="K337">
            <v>1217215082.8699999</v>
          </cell>
          <cell r="L337">
            <v>1219768821.8399999</v>
          </cell>
          <cell r="M337">
            <v>1221185968.05</v>
          </cell>
          <cell r="N337">
            <v>1226654487.26</v>
          </cell>
          <cell r="O337">
            <v>1230602459.26</v>
          </cell>
          <cell r="P337">
            <v>1237774817.28</v>
          </cell>
          <cell r="Q337">
            <v>1243453386.9300001</v>
          </cell>
          <cell r="R337">
            <v>1239784853.5699999</v>
          </cell>
          <cell r="S337">
            <v>1247743088.6099999</v>
          </cell>
          <cell r="T337">
            <v>1255789698.6700001</v>
          </cell>
          <cell r="U337">
            <v>1263521357.9300001</v>
          </cell>
          <cell r="V337">
            <v>1273021195.1500001</v>
          </cell>
          <cell r="W337">
            <v>1278370429.4000001</v>
          </cell>
          <cell r="X337">
            <v>1280724126.74</v>
          </cell>
          <cell r="Y337">
            <v>1284361394.1199999</v>
          </cell>
          <cell r="Z337">
            <v>1285704724.3900001</v>
          </cell>
          <cell r="AA337">
            <v>1306055752.6700001</v>
          </cell>
          <cell r="AB337">
            <v>1290505400.77</v>
          </cell>
          <cell r="AC337">
            <v>1307925714.0699999</v>
          </cell>
          <cell r="AD337">
            <v>1312431109.54</v>
          </cell>
          <cell r="AE337">
            <v>1322755935.72</v>
          </cell>
          <cell r="AF337">
            <v>1329266317.1900001</v>
          </cell>
          <cell r="AG337">
            <v>1334332726.99</v>
          </cell>
          <cell r="AH337">
            <v>1337224990.6500001</v>
          </cell>
          <cell r="AI337">
            <v>1347244874.27</v>
          </cell>
          <cell r="AJ337">
            <v>1356728799.3099999</v>
          </cell>
          <cell r="AK337">
            <v>1360597866.1900001</v>
          </cell>
          <cell r="AL337">
            <v>1365895871.6199999</v>
          </cell>
          <cell r="AM337">
            <v>1376010821.8299999</v>
          </cell>
          <cell r="AN337">
            <v>1379384662.24</v>
          </cell>
          <cell r="AO337">
            <v>1380967784.3299999</v>
          </cell>
          <cell r="AP337">
            <v>1387344814.55</v>
          </cell>
          <cell r="AQ337">
            <v>1399295449.5</v>
          </cell>
          <cell r="AR337">
            <v>1399609417.1800001</v>
          </cell>
          <cell r="AS337">
            <v>1402003841.02</v>
          </cell>
          <cell r="AT337">
            <v>1414377121.22</v>
          </cell>
          <cell r="AU337">
            <v>1419403427.1700001</v>
          </cell>
          <cell r="AV337">
            <v>1419263811.6700001</v>
          </cell>
          <cell r="AW337">
            <v>1434909742.95</v>
          </cell>
          <cell r="AX337">
            <v>1443639091.9200001</v>
          </cell>
          <cell r="AY337">
            <v>1445030153.6500001</v>
          </cell>
          <cell r="AZ337">
            <v>1454809795</v>
          </cell>
          <cell r="BA337">
            <v>1456901142.1099999</v>
          </cell>
          <cell r="BB337">
            <v>1485655069.6199999</v>
          </cell>
          <cell r="BC337">
            <v>1498293140.1800001</v>
          </cell>
          <cell r="BD337">
            <v>1505702373.5699999</v>
          </cell>
          <cell r="BE337">
            <v>1508978962.3499999</v>
          </cell>
          <cell r="BF337">
            <v>1521219901.6900001</v>
          </cell>
          <cell r="BG337">
            <v>1523942752.9100001</v>
          </cell>
          <cell r="BH337">
            <v>1541525532.6400001</v>
          </cell>
          <cell r="BI337">
            <v>1550361331.8800001</v>
          </cell>
          <cell r="BJ337">
            <v>1553271404.5599999</v>
          </cell>
          <cell r="BK337">
            <v>1556639342.23</v>
          </cell>
          <cell r="BL337">
            <v>1571168666.03</v>
          </cell>
          <cell r="BM337">
            <v>1574185211.3099999</v>
          </cell>
          <cell r="BN337">
            <v>1578994550.5899999</v>
          </cell>
          <cell r="BO337">
            <v>1592070662.9200001</v>
          </cell>
          <cell r="BP337">
            <v>1601334072.53</v>
          </cell>
          <cell r="BQ337">
            <v>1612685331.8900001</v>
          </cell>
          <cell r="BR337">
            <v>1638034321.6099999</v>
          </cell>
          <cell r="BS337">
            <v>1641548263.23</v>
          </cell>
          <cell r="BT337">
            <v>1645419289.0699999</v>
          </cell>
          <cell r="BU337">
            <v>1659929375.55</v>
          </cell>
          <cell r="BV337">
            <v>1675381568.55</v>
          </cell>
          <cell r="BW337">
            <v>1685840446.9200001</v>
          </cell>
          <cell r="BX337">
            <v>1719277611.5699999</v>
          </cell>
          <cell r="BY337">
            <v>1722370602.3900001</v>
          </cell>
          <cell r="BZ337">
            <v>1717543335.01</v>
          </cell>
          <cell r="CA337">
            <v>1733113857.9100001</v>
          </cell>
          <cell r="CB337">
            <v>1737708178.29</v>
          </cell>
          <cell r="CC337">
            <v>1752095483.46</v>
          </cell>
          <cell r="CD337">
            <v>1770287739.9200001</v>
          </cell>
          <cell r="CE337">
            <v>1775799561.4200001</v>
          </cell>
          <cell r="CF337">
            <v>1777592586.3900001</v>
          </cell>
          <cell r="CG337">
            <v>1800710566.9400001</v>
          </cell>
          <cell r="CH337">
            <v>1803688689.6700001</v>
          </cell>
          <cell r="CI337">
            <v>1805576868.5799999</v>
          </cell>
          <cell r="CJ337">
            <v>1869700333.79</v>
          </cell>
          <cell r="CK337">
            <v>1870076642.52</v>
          </cell>
          <cell r="CL337">
            <v>1884351946.8599999</v>
          </cell>
          <cell r="CM337">
            <v>1890043797.6800001</v>
          </cell>
          <cell r="CN337">
            <v>1901225432.47</v>
          </cell>
          <cell r="CO337">
            <v>1942744871.3299999</v>
          </cell>
          <cell r="CP337">
            <v>1968537429.01</v>
          </cell>
          <cell r="CQ337">
            <v>2043575655.5799999</v>
          </cell>
          <cell r="CR337">
            <v>2044747650.0799999</v>
          </cell>
          <cell r="CS337">
            <v>2110173824.8399999</v>
          </cell>
          <cell r="CT337">
            <v>2124604509.2</v>
          </cell>
          <cell r="CU337">
            <v>2142216450.3199999</v>
          </cell>
          <cell r="CV337">
            <v>2168081826.3699999</v>
          </cell>
          <cell r="CW337">
            <v>2183864854.3600001</v>
          </cell>
          <cell r="CX337">
            <v>2202545716.8400002</v>
          </cell>
          <cell r="CY337">
            <v>2219080125.9499998</v>
          </cell>
          <cell r="CZ337">
            <v>2225116449.6100001</v>
          </cell>
          <cell r="DA337">
            <v>2264292966.6700001</v>
          </cell>
          <cell r="DB337">
            <v>2291322008.2399998</v>
          </cell>
          <cell r="DC337">
            <v>2295822991.9899998</v>
          </cell>
          <cell r="DD337">
            <v>2296939736.1199999</v>
          </cell>
          <cell r="DE337">
            <v>2297763600.9000001</v>
          </cell>
          <cell r="DF337">
            <v>2298134153.9499998</v>
          </cell>
          <cell r="DG337">
            <v>2299277638.8899999</v>
          </cell>
          <cell r="DH337">
            <v>2346274645.8899999</v>
          </cell>
        </row>
        <row r="338">
          <cell r="A338" t="str">
            <v>104</v>
          </cell>
          <cell r="D338"/>
          <cell r="E338"/>
          <cell r="F338"/>
          <cell r="G338"/>
          <cell r="H338"/>
          <cell r="I338"/>
          <cell r="J338"/>
          <cell r="K338"/>
          <cell r="L338"/>
          <cell r="M338"/>
          <cell r="N338"/>
          <cell r="O338"/>
          <cell r="P338"/>
          <cell r="Q338"/>
          <cell r="R338"/>
          <cell r="S338"/>
          <cell r="T338"/>
          <cell r="U338"/>
          <cell r="V338"/>
          <cell r="W338"/>
          <cell r="X338"/>
          <cell r="Y338"/>
          <cell r="Z338"/>
          <cell r="AA338"/>
          <cell r="AB338"/>
          <cell r="AC338"/>
          <cell r="AD338"/>
          <cell r="AE338"/>
          <cell r="AF338">
            <v>0</v>
          </cell>
          <cell r="AG338">
            <v>0</v>
          </cell>
          <cell r="AH338">
            <v>9286155.6300000008</v>
          </cell>
          <cell r="AI338">
            <v>11734138</v>
          </cell>
          <cell r="AJ338">
            <v>11832383.210000001</v>
          </cell>
          <cell r="AK338">
            <v>12032563.85</v>
          </cell>
          <cell r="AL338">
            <v>12032563.85</v>
          </cell>
          <cell r="AM338">
            <v>12032563.85</v>
          </cell>
          <cell r="AN338">
            <v>12033286.029999999</v>
          </cell>
          <cell r="AO338">
            <v>12033286.029999999</v>
          </cell>
          <cell r="AP338">
            <v>12033286.029999999</v>
          </cell>
          <cell r="AQ338">
            <v>12033286.029999999</v>
          </cell>
          <cell r="AR338">
            <v>12033286.029999999</v>
          </cell>
          <cell r="AS338">
            <v>12033286.029999999</v>
          </cell>
          <cell r="AT338">
            <v>12033286.029999999</v>
          </cell>
          <cell r="AU338">
            <v>12033286.029999999</v>
          </cell>
          <cell r="AV338">
            <v>12033286.029999999</v>
          </cell>
          <cell r="AW338">
            <v>12033286.029999999</v>
          </cell>
          <cell r="AX338">
            <v>12033286.029999999</v>
          </cell>
          <cell r="AY338">
            <v>12033286.029999999</v>
          </cell>
          <cell r="AZ338">
            <v>12033286.029999999</v>
          </cell>
          <cell r="BA338">
            <v>12033286.029999999</v>
          </cell>
          <cell r="BB338">
            <v>12033286.029999999</v>
          </cell>
          <cell r="BC338">
            <v>12033286.029999999</v>
          </cell>
          <cell r="BD338">
            <v>12033286.029999999</v>
          </cell>
          <cell r="BE338">
            <v>12033286.029999999</v>
          </cell>
          <cell r="BF338">
            <v>12033286.029999999</v>
          </cell>
          <cell r="BG338">
            <v>12033286.029999999</v>
          </cell>
          <cell r="BH338">
            <v>12033286.029999999</v>
          </cell>
          <cell r="BI338">
            <v>12033286.029999999</v>
          </cell>
          <cell r="BJ338">
            <v>12033286.029999999</v>
          </cell>
          <cell r="BK338">
            <v>12033286.029999999</v>
          </cell>
          <cell r="BL338">
            <v>12033286.029999999</v>
          </cell>
          <cell r="BM338">
            <v>12033286.029999999</v>
          </cell>
          <cell r="BN338">
            <v>12033286.029999999</v>
          </cell>
          <cell r="BO338">
            <v>12033286.029999999</v>
          </cell>
          <cell r="BP338">
            <v>13128442.310000001</v>
          </cell>
          <cell r="BQ338">
            <v>13128442.310000001</v>
          </cell>
          <cell r="BR338">
            <v>13128442.310000001</v>
          </cell>
          <cell r="BS338">
            <v>13128442.310000001</v>
          </cell>
          <cell r="BT338">
            <v>13128442.310000001</v>
          </cell>
          <cell r="BU338">
            <v>13128442.310000001</v>
          </cell>
          <cell r="BV338">
            <v>13128442.310000001</v>
          </cell>
          <cell r="BW338">
            <v>13128442.310000001</v>
          </cell>
          <cell r="BX338">
            <v>13128442.310000001</v>
          </cell>
          <cell r="BY338">
            <v>13128442.310000001</v>
          </cell>
          <cell r="BZ338">
            <v>13128442.310000001</v>
          </cell>
          <cell r="CA338">
            <v>13128442.310000001</v>
          </cell>
          <cell r="CB338">
            <v>13128442.310000001</v>
          </cell>
          <cell r="CC338">
            <v>13128442.310000001</v>
          </cell>
          <cell r="CD338">
            <v>13128442.310000001</v>
          </cell>
          <cell r="CE338">
            <v>13128442.310000001</v>
          </cell>
          <cell r="CF338">
            <v>13128442.310000001</v>
          </cell>
          <cell r="CG338">
            <v>13128442.310000001</v>
          </cell>
          <cell r="CH338">
            <v>13128442.310000001</v>
          </cell>
          <cell r="CI338">
            <v>13128442.310000001</v>
          </cell>
          <cell r="CJ338">
            <v>13128442.310000001</v>
          </cell>
          <cell r="CK338">
            <v>13128442.310000001</v>
          </cell>
          <cell r="CL338">
            <v>13128442.310000001</v>
          </cell>
          <cell r="CM338">
            <v>13128442.310000001</v>
          </cell>
          <cell r="CN338">
            <v>13128442.310000001</v>
          </cell>
          <cell r="CO338">
            <v>13128442.310000001</v>
          </cell>
          <cell r="CP338">
            <v>13128442.310000001</v>
          </cell>
          <cell r="CQ338">
            <v>13128442.310000001</v>
          </cell>
          <cell r="CR338">
            <v>13128442.310000001</v>
          </cell>
          <cell r="CS338">
            <v>13128442.310000001</v>
          </cell>
          <cell r="CT338">
            <v>13128442.310000001</v>
          </cell>
          <cell r="CU338">
            <v>13128442.310000001</v>
          </cell>
          <cell r="CV338">
            <v>13128442.310000001</v>
          </cell>
          <cell r="CW338">
            <v>13128442.310000001</v>
          </cell>
          <cell r="CX338">
            <v>13128442.310000001</v>
          </cell>
          <cell r="CY338">
            <v>10382214.34</v>
          </cell>
          <cell r="CZ338">
            <v>10382214.34</v>
          </cell>
          <cell r="DA338">
            <v>10382214.34</v>
          </cell>
          <cell r="DB338">
            <v>10382214.34</v>
          </cell>
          <cell r="DC338">
            <v>2527001.42</v>
          </cell>
          <cell r="DD338">
            <v>2527001.42</v>
          </cell>
          <cell r="DE338">
            <v>2527001.42</v>
          </cell>
          <cell r="DF338">
            <v>2527001.42</v>
          </cell>
          <cell r="DG338">
            <v>2527001.42</v>
          </cell>
          <cell r="DH338">
            <v>2527001.42</v>
          </cell>
        </row>
        <row r="339">
          <cell r="A339" t="str">
            <v>105</v>
          </cell>
          <cell r="D339">
            <v>1937574.45</v>
          </cell>
          <cell r="E339">
            <v>1939551.55</v>
          </cell>
          <cell r="F339">
            <v>1939551.55</v>
          </cell>
          <cell r="G339">
            <v>2983016.36</v>
          </cell>
          <cell r="H339">
            <v>2983016.36</v>
          </cell>
          <cell r="I339">
            <v>2983016.36</v>
          </cell>
          <cell r="J339">
            <v>2983016.36</v>
          </cell>
          <cell r="K339">
            <v>2983016.36</v>
          </cell>
          <cell r="L339">
            <v>2983016.36</v>
          </cell>
          <cell r="M339">
            <v>2983016.36</v>
          </cell>
          <cell r="N339">
            <v>2983066.99</v>
          </cell>
          <cell r="O339">
            <v>2983066.99</v>
          </cell>
          <cell r="P339">
            <v>2984633.79</v>
          </cell>
          <cell r="Q339">
            <v>2984633.79</v>
          </cell>
          <cell r="R339">
            <v>2984633.79</v>
          </cell>
          <cell r="S339">
            <v>2984633.79</v>
          </cell>
          <cell r="T339">
            <v>2984633.79</v>
          </cell>
          <cell r="U339">
            <v>2984633.79</v>
          </cell>
          <cell r="V339">
            <v>1939551.55</v>
          </cell>
          <cell r="W339">
            <v>1939551.55</v>
          </cell>
          <cell r="X339">
            <v>1939551.55</v>
          </cell>
          <cell r="Y339">
            <v>1939551.55</v>
          </cell>
          <cell r="Z339">
            <v>1939551.55</v>
          </cell>
          <cell r="AA339">
            <v>1939551.55</v>
          </cell>
          <cell r="AB339">
            <v>1939551.55</v>
          </cell>
          <cell r="AC339">
            <v>1939551.55</v>
          </cell>
          <cell r="AD339">
            <v>1939551.55</v>
          </cell>
          <cell r="AE339">
            <v>1939551.55</v>
          </cell>
          <cell r="AF339">
            <v>1939551.55</v>
          </cell>
          <cell r="AG339">
            <v>1939551.55</v>
          </cell>
          <cell r="AH339">
            <v>1939551.55</v>
          </cell>
          <cell r="AI339">
            <v>1939551.55</v>
          </cell>
          <cell r="AJ339">
            <v>1939551.55</v>
          </cell>
          <cell r="AK339">
            <v>1939551.55</v>
          </cell>
          <cell r="AL339">
            <v>1939551.55</v>
          </cell>
          <cell r="AM339">
            <v>1939551.55</v>
          </cell>
          <cell r="AN339">
            <v>1939551.55</v>
          </cell>
          <cell r="AO339">
            <v>1939551.55</v>
          </cell>
          <cell r="AP339">
            <v>1939551.55</v>
          </cell>
          <cell r="AQ339">
            <v>1939551.55</v>
          </cell>
          <cell r="AR339">
            <v>1939551.55</v>
          </cell>
          <cell r="AS339">
            <v>1939551.55</v>
          </cell>
          <cell r="AT339">
            <v>1939551.55</v>
          </cell>
          <cell r="AU339">
            <v>1939551.55</v>
          </cell>
          <cell r="AV339">
            <v>1939551.55</v>
          </cell>
          <cell r="AW339">
            <v>1939551.55</v>
          </cell>
          <cell r="AX339">
            <v>1939551.55</v>
          </cell>
          <cell r="AY339">
            <v>1939551.55</v>
          </cell>
          <cell r="AZ339">
            <v>1939551.55</v>
          </cell>
          <cell r="BA339">
            <v>1939551.55</v>
          </cell>
          <cell r="BB339">
            <v>1939551.55</v>
          </cell>
          <cell r="BC339">
            <v>1939551.55</v>
          </cell>
          <cell r="BD339">
            <v>1939551.55</v>
          </cell>
          <cell r="BE339">
            <v>1939551.55</v>
          </cell>
          <cell r="BF339">
            <v>1939551.55</v>
          </cell>
          <cell r="BG339">
            <v>1939551.55</v>
          </cell>
          <cell r="BH339">
            <v>1939551.55</v>
          </cell>
          <cell r="BI339">
            <v>1939551.55</v>
          </cell>
          <cell r="BJ339">
            <v>1939551.55</v>
          </cell>
          <cell r="BK339">
            <v>1939551.55</v>
          </cell>
          <cell r="BL339">
            <v>1939551.55</v>
          </cell>
          <cell r="BM339">
            <v>1939551.55</v>
          </cell>
          <cell r="BN339">
            <v>1939551.55</v>
          </cell>
          <cell r="BO339">
            <v>1939551.55</v>
          </cell>
          <cell r="BP339">
            <v>1939551.55</v>
          </cell>
          <cell r="BQ339">
            <v>1939551.55</v>
          </cell>
          <cell r="BR339">
            <v>1939551.55</v>
          </cell>
          <cell r="BS339">
            <v>1939551.55</v>
          </cell>
          <cell r="BT339">
            <v>1939551.55</v>
          </cell>
          <cell r="BU339">
            <v>1939551.55</v>
          </cell>
          <cell r="BV339">
            <v>1939551.55</v>
          </cell>
          <cell r="BW339">
            <v>1939551.55</v>
          </cell>
          <cell r="BX339">
            <v>1939551.55</v>
          </cell>
          <cell r="BY339">
            <v>1939551.55</v>
          </cell>
          <cell r="BZ339">
            <v>1939551.55</v>
          </cell>
          <cell r="CA339">
            <v>1939551.55</v>
          </cell>
          <cell r="CB339">
            <v>1939551.55</v>
          </cell>
          <cell r="CC339">
            <v>1939551.55</v>
          </cell>
          <cell r="CD339">
            <v>1939551.55</v>
          </cell>
          <cell r="CE339">
            <v>1939551.55</v>
          </cell>
          <cell r="CF339">
            <v>1939551.55</v>
          </cell>
          <cell r="CG339">
            <v>1939551.55</v>
          </cell>
          <cell r="CH339">
            <v>1939551.55</v>
          </cell>
          <cell r="CI339">
            <v>1939551.55</v>
          </cell>
          <cell r="CJ339">
            <v>1939551.55</v>
          </cell>
          <cell r="CK339">
            <v>1939551.55</v>
          </cell>
          <cell r="CL339">
            <v>1939551.55</v>
          </cell>
          <cell r="CM339">
            <v>1939551.55</v>
          </cell>
          <cell r="CN339">
            <v>1939551.55</v>
          </cell>
          <cell r="CO339">
            <v>1939551.55</v>
          </cell>
          <cell r="CP339">
            <v>1939551.55</v>
          </cell>
          <cell r="CQ339">
            <v>1939551.55</v>
          </cell>
          <cell r="CR339">
            <v>1939551.55</v>
          </cell>
          <cell r="CS339">
            <v>1939551.55</v>
          </cell>
          <cell r="CT339">
            <v>1939551.55</v>
          </cell>
          <cell r="CU339">
            <v>1939551.55</v>
          </cell>
          <cell r="CV339">
            <v>1939551.55</v>
          </cell>
          <cell r="CW339">
            <v>1939551.55</v>
          </cell>
          <cell r="CX339">
            <v>1939551.55</v>
          </cell>
          <cell r="CY339">
            <v>1939551.55</v>
          </cell>
          <cell r="CZ339">
            <v>1939551.55</v>
          </cell>
          <cell r="DA339">
            <v>1939551.55</v>
          </cell>
          <cell r="DB339">
            <v>1939551.55</v>
          </cell>
          <cell r="DC339">
            <v>1939551.55</v>
          </cell>
          <cell r="DD339">
            <v>1939551.55</v>
          </cell>
          <cell r="DE339">
            <v>1939551.55</v>
          </cell>
          <cell r="DF339">
            <v>1939551.55</v>
          </cell>
          <cell r="DG339">
            <v>1939551.55</v>
          </cell>
          <cell r="DH339">
            <v>1939551.55</v>
          </cell>
        </row>
        <row r="340">
          <cell r="A340" t="str">
            <v>106</v>
          </cell>
          <cell r="D340">
            <v>55155772.07</v>
          </cell>
          <cell r="E340">
            <v>59777134.939999998</v>
          </cell>
          <cell r="F340">
            <v>59522741.600000001</v>
          </cell>
          <cell r="G340">
            <v>59811525.289999999</v>
          </cell>
          <cell r="H340">
            <v>60269073.789999999</v>
          </cell>
          <cell r="I340">
            <v>54234691.420000002</v>
          </cell>
          <cell r="J340">
            <v>60378387.729999997</v>
          </cell>
          <cell r="K340">
            <v>53319052.539999999</v>
          </cell>
          <cell r="L340">
            <v>55502445.530000001</v>
          </cell>
          <cell r="M340">
            <v>59575230</v>
          </cell>
          <cell r="N340">
            <v>63821406.780000001</v>
          </cell>
          <cell r="O340">
            <v>65705035.090000004</v>
          </cell>
          <cell r="P340">
            <v>65158239.32</v>
          </cell>
          <cell r="Q340">
            <v>64389407.079999998</v>
          </cell>
          <cell r="R340">
            <v>68828252.959999993</v>
          </cell>
          <cell r="S340">
            <v>64965719.759999998</v>
          </cell>
          <cell r="T340">
            <v>72489418</v>
          </cell>
          <cell r="U340">
            <v>72631177.180000007</v>
          </cell>
          <cell r="V340">
            <v>80039720.680000007</v>
          </cell>
          <cell r="W340">
            <v>78249525.939999998</v>
          </cell>
          <cell r="X340">
            <v>79646995.340000004</v>
          </cell>
          <cell r="Y340">
            <v>83186059.040000007</v>
          </cell>
          <cell r="Z340">
            <v>87491897.939999998</v>
          </cell>
          <cell r="AA340">
            <v>86192242.730000004</v>
          </cell>
          <cell r="AB340">
            <v>91246711.870000005</v>
          </cell>
          <cell r="AC340">
            <v>94491003.510000005</v>
          </cell>
          <cell r="AD340">
            <v>95210306.680000007</v>
          </cell>
          <cell r="AE340">
            <v>90134370.25</v>
          </cell>
          <cell r="AF340">
            <v>89673217.290000007</v>
          </cell>
          <cell r="AG340">
            <v>88170581.299999997</v>
          </cell>
          <cell r="AH340">
            <v>101902285.98</v>
          </cell>
          <cell r="AI340">
            <v>97464103.069999993</v>
          </cell>
          <cell r="AJ340">
            <v>94939397.230000004</v>
          </cell>
          <cell r="AK340">
            <v>94936476.810000002</v>
          </cell>
          <cell r="AL340">
            <v>106629096.68000001</v>
          </cell>
          <cell r="AM340">
            <v>103796910.95</v>
          </cell>
          <cell r="AN340">
            <v>116017760.18000001</v>
          </cell>
          <cell r="AO340">
            <v>123478325.7</v>
          </cell>
          <cell r="AP340">
            <v>123104497.54000001</v>
          </cell>
          <cell r="AQ340">
            <v>121594992.75</v>
          </cell>
          <cell r="AR340">
            <v>126843059.06</v>
          </cell>
          <cell r="AS340">
            <v>130438687.8</v>
          </cell>
          <cell r="AT340">
            <v>124575686.33</v>
          </cell>
          <cell r="AU340">
            <v>126774655.27</v>
          </cell>
          <cell r="AV340">
            <v>137418686.12</v>
          </cell>
          <cell r="AW340">
            <v>137030683.94</v>
          </cell>
          <cell r="AX340">
            <v>139217028.97</v>
          </cell>
          <cell r="AY340">
            <v>145683536.13999999</v>
          </cell>
          <cell r="AZ340">
            <v>146308565.94</v>
          </cell>
          <cell r="BA340">
            <v>157102252.53999999</v>
          </cell>
          <cell r="BB340">
            <v>135334145.16999999</v>
          </cell>
          <cell r="BC340">
            <v>134638092.81</v>
          </cell>
          <cell r="BD340">
            <v>134348672.25</v>
          </cell>
          <cell r="BE340">
            <v>147286293.41999999</v>
          </cell>
          <cell r="BF340">
            <v>142572224.63</v>
          </cell>
          <cell r="BG340">
            <v>148353060.91999999</v>
          </cell>
          <cell r="BH340">
            <v>140643217.83000001</v>
          </cell>
          <cell r="BI340">
            <v>138692376.77000001</v>
          </cell>
          <cell r="BJ340">
            <v>147018174.91</v>
          </cell>
          <cell r="BK340">
            <v>170081630.19999999</v>
          </cell>
          <cell r="BL340">
            <v>178863957</v>
          </cell>
          <cell r="BM340">
            <v>187836788.50999999</v>
          </cell>
          <cell r="BN340">
            <v>201744680.5</v>
          </cell>
          <cell r="BO340">
            <v>205080951.90000001</v>
          </cell>
          <cell r="BP340">
            <v>206811472.78999999</v>
          </cell>
          <cell r="BQ340">
            <v>208625228.19</v>
          </cell>
          <cell r="BR340">
            <v>198920933.38999999</v>
          </cell>
          <cell r="BS340">
            <v>207592067.80000001</v>
          </cell>
          <cell r="BT340">
            <v>212178321.44</v>
          </cell>
          <cell r="BU340">
            <v>216700510.66999999</v>
          </cell>
          <cell r="BV340">
            <v>212255031.72999999</v>
          </cell>
          <cell r="BW340">
            <v>225486245.28999999</v>
          </cell>
          <cell r="BX340">
            <v>208469489.09</v>
          </cell>
          <cell r="BY340">
            <v>214740525.37</v>
          </cell>
          <cell r="BZ340">
            <v>233879588.15000001</v>
          </cell>
          <cell r="CA340">
            <v>236630022.56</v>
          </cell>
          <cell r="CB340">
            <v>245175601.69999999</v>
          </cell>
          <cell r="CC340">
            <v>243003938.44</v>
          </cell>
          <cell r="CD340">
            <v>239387266.99000001</v>
          </cell>
          <cell r="CE340">
            <v>244937641.88</v>
          </cell>
          <cell r="CF340">
            <v>262835663.27000001</v>
          </cell>
          <cell r="CG340">
            <v>255783925.18000001</v>
          </cell>
          <cell r="CH340">
            <v>331089860.20999998</v>
          </cell>
          <cell r="CI340">
            <v>349864270.37</v>
          </cell>
          <cell r="CJ340">
            <v>307437320.20999998</v>
          </cell>
          <cell r="CK340">
            <v>327435776.81</v>
          </cell>
          <cell r="CL340">
            <v>320782810.11000001</v>
          </cell>
          <cell r="CM340">
            <v>334363018.18000001</v>
          </cell>
          <cell r="CN340">
            <v>398104794.31999999</v>
          </cell>
          <cell r="CO340">
            <v>370986194.32999998</v>
          </cell>
          <cell r="CP340">
            <v>357640735.67000002</v>
          </cell>
          <cell r="CQ340">
            <v>292578511.06</v>
          </cell>
          <cell r="CR340">
            <v>302547183.81999999</v>
          </cell>
          <cell r="CS340">
            <v>247163875.91999999</v>
          </cell>
          <cell r="CT340">
            <v>243388959.18000001</v>
          </cell>
          <cell r="CU340">
            <v>300047316.99000001</v>
          </cell>
          <cell r="CV340">
            <v>297505685.51999998</v>
          </cell>
          <cell r="CW340">
            <v>293670988.24000001</v>
          </cell>
          <cell r="CX340">
            <v>294694023.07999998</v>
          </cell>
          <cell r="CY340">
            <v>290733193.19999999</v>
          </cell>
          <cell r="CZ340">
            <v>302344491.98000002</v>
          </cell>
          <cell r="DA340">
            <v>283595429.08999997</v>
          </cell>
          <cell r="DB340">
            <v>272186852.60000002</v>
          </cell>
          <cell r="DC340">
            <v>279198375.10000002</v>
          </cell>
          <cell r="DD340">
            <v>293707332.66000003</v>
          </cell>
          <cell r="DE340">
            <v>304307169.75</v>
          </cell>
          <cell r="DF340">
            <v>359987415.35000002</v>
          </cell>
          <cell r="DG340">
            <v>371496189.58999997</v>
          </cell>
          <cell r="DH340">
            <v>331968650.48000002</v>
          </cell>
        </row>
        <row r="341">
          <cell r="A341" t="str">
            <v>107</v>
          </cell>
          <cell r="D341">
            <v>37999178.799999997</v>
          </cell>
          <cell r="E341">
            <v>35807420.920000002</v>
          </cell>
          <cell r="F341">
            <v>39501441.969999999</v>
          </cell>
          <cell r="G341">
            <v>40111903.259999998</v>
          </cell>
          <cell r="H341">
            <v>40338458.479999997</v>
          </cell>
          <cell r="I341">
            <v>45750443.969999999</v>
          </cell>
          <cell r="J341">
            <v>42218897.460000001</v>
          </cell>
          <cell r="K341">
            <v>40929057.259999998</v>
          </cell>
          <cell r="L341">
            <v>43483994.240000002</v>
          </cell>
          <cell r="M341">
            <v>44285914.039999999</v>
          </cell>
          <cell r="N341">
            <v>40392561.509999998</v>
          </cell>
          <cell r="O341">
            <v>40115222.409999996</v>
          </cell>
          <cell r="P341">
            <v>46635954.68</v>
          </cell>
          <cell r="Q341">
            <v>46972143.590000004</v>
          </cell>
          <cell r="R341">
            <v>42466526.619999997</v>
          </cell>
          <cell r="S341">
            <v>44747851.289999999</v>
          </cell>
          <cell r="T341">
            <v>34317936.780000001</v>
          </cell>
          <cell r="U341">
            <v>31350733.390000001</v>
          </cell>
          <cell r="V341">
            <v>23330873.239999998</v>
          </cell>
          <cell r="W341">
            <v>26918285.91</v>
          </cell>
          <cell r="X341">
            <v>28581241</v>
          </cell>
          <cell r="Y341">
            <v>27609368.649999999</v>
          </cell>
          <cell r="Z341">
            <v>30037295.84</v>
          </cell>
          <cell r="AA341">
            <v>32173444.620000001</v>
          </cell>
          <cell r="AB341">
            <v>31116400.140000001</v>
          </cell>
          <cell r="AC341">
            <v>26347085.84</v>
          </cell>
          <cell r="AD341">
            <v>34957213.460000001</v>
          </cell>
          <cell r="AE341">
            <v>38950809.469999999</v>
          </cell>
          <cell r="AF341">
            <v>40408048.75</v>
          </cell>
          <cell r="AG341">
            <v>47638018.75</v>
          </cell>
          <cell r="AH341">
            <v>31292455.239999998</v>
          </cell>
          <cell r="AI341">
            <v>31457023.140000001</v>
          </cell>
          <cell r="AJ341">
            <v>32878080.420000002</v>
          </cell>
          <cell r="AK341">
            <v>39114341.969999999</v>
          </cell>
          <cell r="AL341">
            <v>30953975.800000001</v>
          </cell>
          <cell r="AM341">
            <v>33838173.210000001</v>
          </cell>
          <cell r="AN341">
            <v>27484714.870000001</v>
          </cell>
          <cell r="AO341">
            <v>23589092.920000002</v>
          </cell>
          <cell r="AP341">
            <v>25860519.969999999</v>
          </cell>
          <cell r="AQ341">
            <v>22431305.52</v>
          </cell>
          <cell r="AR341">
            <v>19601495.550000001</v>
          </cell>
          <cell r="AS341">
            <v>22896680.879999999</v>
          </cell>
          <cell r="AT341">
            <v>23021023.920000002</v>
          </cell>
          <cell r="AU341">
            <v>24466916.82</v>
          </cell>
          <cell r="AV341">
            <v>26444168.329999998</v>
          </cell>
          <cell r="AW341">
            <v>19059484.760000002</v>
          </cell>
          <cell r="AX341">
            <v>18962145</v>
          </cell>
          <cell r="AY341">
            <v>20898478.719999999</v>
          </cell>
          <cell r="AZ341">
            <v>22182235.109999999</v>
          </cell>
          <cell r="BA341">
            <v>18556747.960000001</v>
          </cell>
          <cell r="BB341">
            <v>20715951.399999999</v>
          </cell>
          <cell r="BC341">
            <v>22686371.66</v>
          </cell>
          <cell r="BD341">
            <v>24764408.57</v>
          </cell>
          <cell r="BE341">
            <v>22852997.649999999</v>
          </cell>
          <cell r="BF341">
            <v>25749403.039999999</v>
          </cell>
          <cell r="BG341">
            <v>27787371.550000001</v>
          </cell>
          <cell r="BH341">
            <v>32937378.98</v>
          </cell>
          <cell r="BI341">
            <v>42024779.399999999</v>
          </cell>
          <cell r="BJ341">
            <v>49273450.009999998</v>
          </cell>
          <cell r="BK341">
            <v>40575117.020000003</v>
          </cell>
          <cell r="BL341">
            <v>32694180.890000001</v>
          </cell>
          <cell r="BM341">
            <v>37233262.219999999</v>
          </cell>
          <cell r="BN341">
            <v>30935389.949999999</v>
          </cell>
          <cell r="BO341">
            <v>31118917.460000001</v>
          </cell>
          <cell r="BP341">
            <v>32041115.710000001</v>
          </cell>
          <cell r="BQ341">
            <v>37503290.119999997</v>
          </cell>
          <cell r="BR341">
            <v>39013136.270000003</v>
          </cell>
          <cell r="BS341">
            <v>43393050.829999998</v>
          </cell>
          <cell r="BT341">
            <v>55128154.759999998</v>
          </cell>
          <cell r="BU341">
            <v>55798695.200000003</v>
          </cell>
          <cell r="BV341">
            <v>62985742.700000003</v>
          </cell>
          <cell r="BW341">
            <v>59495069.460000001</v>
          </cell>
          <cell r="BX341">
            <v>71222206.430000007</v>
          </cell>
          <cell r="BY341">
            <v>87383269.209999993</v>
          </cell>
          <cell r="BZ341">
            <v>89788572.590000004</v>
          </cell>
          <cell r="CA341">
            <v>92714028.870000005</v>
          </cell>
          <cell r="CB341">
            <v>105186283.93000001</v>
          </cell>
          <cell r="CC341">
            <v>119487898.45</v>
          </cell>
          <cell r="CD341">
            <v>129123895.42</v>
          </cell>
          <cell r="CE341">
            <v>142981953.91999999</v>
          </cell>
          <cell r="CF341">
            <v>160185910.00999999</v>
          </cell>
          <cell r="CG341">
            <v>169862754.34</v>
          </cell>
          <cell r="CH341">
            <v>123028338.83</v>
          </cell>
          <cell r="CI341">
            <v>131449528.66</v>
          </cell>
          <cell r="CJ341">
            <v>140807877.94999999</v>
          </cell>
          <cell r="CK341">
            <v>142689499.03</v>
          </cell>
          <cell r="CL341">
            <v>158270839.91</v>
          </cell>
          <cell r="CM341">
            <v>168655143.25</v>
          </cell>
          <cell r="CN341">
            <v>116700530.19</v>
          </cell>
          <cell r="CO341">
            <v>118593709.79000001</v>
          </cell>
          <cell r="CP341">
            <v>130442949.62</v>
          </cell>
          <cell r="CQ341">
            <v>145786057.19</v>
          </cell>
          <cell r="CR341">
            <v>159472172.24000001</v>
          </cell>
          <cell r="CS341">
            <v>174423907.46000001</v>
          </cell>
          <cell r="CT341">
            <v>191413442.62</v>
          </cell>
          <cell r="CU341">
            <v>142092425.80000001</v>
          </cell>
          <cell r="CV341">
            <v>147483849.61000001</v>
          </cell>
          <cell r="CW341">
            <v>158111229.03999999</v>
          </cell>
          <cell r="CX341">
            <v>162199578.15000001</v>
          </cell>
          <cell r="CY341">
            <v>174470939.97</v>
          </cell>
          <cell r="CZ341">
            <v>184225626.90000001</v>
          </cell>
          <cell r="DA341">
            <v>188333223.03999999</v>
          </cell>
          <cell r="DB341">
            <v>201983440.96000001</v>
          </cell>
          <cell r="DC341">
            <v>212538815.99000001</v>
          </cell>
          <cell r="DD341">
            <v>225280632.13</v>
          </cell>
          <cell r="DE341">
            <v>235379560.06999999</v>
          </cell>
          <cell r="DF341">
            <v>200850235.99000001</v>
          </cell>
          <cell r="DG341">
            <v>210666560.53999999</v>
          </cell>
          <cell r="DH341">
            <v>246108951.69999999</v>
          </cell>
        </row>
        <row r="342">
          <cell r="A342" t="str">
            <v>108</v>
          </cell>
          <cell r="D342">
            <v>-591732868.38</v>
          </cell>
          <cell r="E342">
            <v>-586438818.78999996</v>
          </cell>
          <cell r="F342">
            <v>-589714267.12</v>
          </cell>
          <cell r="G342">
            <v>-593393723.83000004</v>
          </cell>
          <cell r="H342">
            <v>-597195509.63999999</v>
          </cell>
          <cell r="I342">
            <v>-604258867.55999994</v>
          </cell>
          <cell r="J342">
            <v>-600813568.86000001</v>
          </cell>
          <cell r="K342">
            <v>-608066002.65999997</v>
          </cell>
          <cell r="L342">
            <v>-611666579.42999995</v>
          </cell>
          <cell r="M342">
            <v>-615192145.04999995</v>
          </cell>
          <cell r="N342">
            <v>-618696989.74000001</v>
          </cell>
          <cell r="O342">
            <v>-622798749.75</v>
          </cell>
          <cell r="P342">
            <v>-626414223.22000003</v>
          </cell>
          <cell r="Q342">
            <v>-630297320.54999995</v>
          </cell>
          <cell r="R342">
            <v>-626026462.19000006</v>
          </cell>
          <cell r="S342">
            <v>-629481787.77999997</v>
          </cell>
          <cell r="T342">
            <v>-633407694.87</v>
          </cell>
          <cell r="U342">
            <v>-637113261.25</v>
          </cell>
          <cell r="V342">
            <v>-640997847.29999995</v>
          </cell>
          <cell r="W342">
            <v>-645031433.07000005</v>
          </cell>
          <cell r="X342">
            <v>-649212312.63999999</v>
          </cell>
          <cell r="Y342">
            <v>-652925758.14999998</v>
          </cell>
          <cell r="Z342">
            <v>-656937250.03999996</v>
          </cell>
          <cell r="AA342">
            <v>-664335974.89999998</v>
          </cell>
          <cell r="AB342">
            <v>-661219178.77999997</v>
          </cell>
          <cell r="AC342">
            <v>-667989386.65999997</v>
          </cell>
          <cell r="AD342">
            <v>-672306115</v>
          </cell>
          <cell r="AE342">
            <v>-676277049.35000002</v>
          </cell>
          <cell r="AF342">
            <v>-680505885.42999995</v>
          </cell>
          <cell r="AG342">
            <v>-684834510.82000005</v>
          </cell>
          <cell r="AH342">
            <v>-684675508.84000003</v>
          </cell>
          <cell r="AI342">
            <v>-688653882.73000002</v>
          </cell>
          <cell r="AJ342">
            <v>-691884393.03999996</v>
          </cell>
          <cell r="AK342">
            <v>-696374970.34000003</v>
          </cell>
          <cell r="AL342">
            <v>-700644431.88999999</v>
          </cell>
          <cell r="AM342">
            <v>-704927856.59000003</v>
          </cell>
          <cell r="AN342">
            <v>-687208168.71000004</v>
          </cell>
          <cell r="AO342">
            <v>-690169834.59000003</v>
          </cell>
          <cell r="AP342">
            <v>-693153573.80999994</v>
          </cell>
          <cell r="AQ342">
            <v>-694271995.13</v>
          </cell>
          <cell r="AR342">
            <v>-693184465.02999997</v>
          </cell>
          <cell r="AS342">
            <v>-695973381.70000005</v>
          </cell>
          <cell r="AT342">
            <v>-698534833.57000005</v>
          </cell>
          <cell r="AU342">
            <v>-701315186.72000003</v>
          </cell>
          <cell r="AV342">
            <v>-703914969.53999996</v>
          </cell>
          <cell r="AW342">
            <v>-706721435.25</v>
          </cell>
          <cell r="AX342">
            <v>-709443426.14999998</v>
          </cell>
          <cell r="AY342">
            <v>-712123791.53999996</v>
          </cell>
          <cell r="AZ342">
            <v>-714503895.71000004</v>
          </cell>
          <cell r="BA342">
            <v>-717952437.62</v>
          </cell>
          <cell r="BB342">
            <v>-720656875.60000002</v>
          </cell>
          <cell r="BC342">
            <v>-723782502.20000005</v>
          </cell>
          <cell r="BD342">
            <v>-727366333.71000004</v>
          </cell>
          <cell r="BE342">
            <v>-730787864.12</v>
          </cell>
          <cell r="BF342">
            <v>-733638285.32000005</v>
          </cell>
          <cell r="BG342">
            <v>-737472788.20000005</v>
          </cell>
          <cell r="BH342">
            <v>-740968301.04999995</v>
          </cell>
          <cell r="BI342">
            <v>-744211194.49000001</v>
          </cell>
          <cell r="BJ342">
            <v>-747000982.42999995</v>
          </cell>
          <cell r="BK342">
            <v>-750770490.00999999</v>
          </cell>
          <cell r="BL342">
            <v>-753420911.94000006</v>
          </cell>
          <cell r="BM342">
            <v>-755706931.53999996</v>
          </cell>
          <cell r="BN342">
            <v>-757908542.75</v>
          </cell>
          <cell r="BO342">
            <v>-760609162.13999999</v>
          </cell>
          <cell r="BP342">
            <v>-762994092.24000001</v>
          </cell>
          <cell r="BQ342">
            <v>-764941372.60000002</v>
          </cell>
          <cell r="BR342">
            <v>-766137111.20000005</v>
          </cell>
          <cell r="BS342">
            <v>-768151293.82000005</v>
          </cell>
          <cell r="BT342">
            <v>-770595065.63</v>
          </cell>
          <cell r="BU342">
            <v>-773316731.99000001</v>
          </cell>
          <cell r="BV342">
            <v>-775447937.87</v>
          </cell>
          <cell r="BW342">
            <v>-778339907.90999997</v>
          </cell>
          <cell r="BX342">
            <v>-779592931.48000002</v>
          </cell>
          <cell r="BY342">
            <v>-787561490.44000006</v>
          </cell>
          <cell r="BZ342">
            <v>-784003538.62</v>
          </cell>
          <cell r="CA342">
            <v>-786728230.58000004</v>
          </cell>
          <cell r="CB342">
            <v>-789502238.74000001</v>
          </cell>
          <cell r="CC342">
            <v>-792523585.24000001</v>
          </cell>
          <cell r="CD342">
            <v>-795307920.09000003</v>
          </cell>
          <cell r="CE342">
            <v>-797766058.53999996</v>
          </cell>
          <cell r="CF342">
            <v>-800835996.24000001</v>
          </cell>
          <cell r="CG342">
            <v>-803672762.35000002</v>
          </cell>
          <cell r="CH342">
            <v>-806734300.20000005</v>
          </cell>
          <cell r="CI342">
            <v>-809930321.29999995</v>
          </cell>
          <cell r="CJ342">
            <v>-809884064.34000003</v>
          </cell>
          <cell r="CK342">
            <v>-814807614.39999998</v>
          </cell>
          <cell r="CL342">
            <v>-814722203.86000001</v>
          </cell>
          <cell r="CM342">
            <v>-818252605.88</v>
          </cell>
          <cell r="CN342">
            <v>-821587436.40999997</v>
          </cell>
          <cell r="CO342">
            <v>-825008671.97000003</v>
          </cell>
          <cell r="CP342">
            <v>-827883017.86000001</v>
          </cell>
          <cell r="CQ342">
            <v>-830732101.87</v>
          </cell>
          <cell r="CR342">
            <v>-834604786.10000002</v>
          </cell>
          <cell r="CS342">
            <v>-837679167.07000005</v>
          </cell>
          <cell r="CT342">
            <v>-839246062</v>
          </cell>
          <cell r="CU342">
            <v>-840967516.52999997</v>
          </cell>
          <cell r="CV342">
            <v>-849619392.89999998</v>
          </cell>
          <cell r="CW342">
            <v>-853049332.07000005</v>
          </cell>
          <cell r="CX342">
            <v>-857133985.26999998</v>
          </cell>
          <cell r="CY342">
            <v>-855261647.28999996</v>
          </cell>
          <cell r="CZ342">
            <v>-858245069.20000005</v>
          </cell>
          <cell r="DA342">
            <v>-862262649.89999998</v>
          </cell>
          <cell r="DB342">
            <v>-860036033.69000006</v>
          </cell>
          <cell r="DC342">
            <v>-861877921.13</v>
          </cell>
          <cell r="DD342">
            <v>-865640518.76999998</v>
          </cell>
          <cell r="DE342">
            <v>-865216614.13</v>
          </cell>
          <cell r="DF342">
            <v>-869558133.36000001</v>
          </cell>
          <cell r="DG342">
            <v>-873784629.35000002</v>
          </cell>
          <cell r="DH342">
            <v>-876211307.15999997</v>
          </cell>
        </row>
        <row r="343">
          <cell r="A343" t="str">
            <v>114</v>
          </cell>
          <cell r="D343">
            <v>5031897.24</v>
          </cell>
          <cell r="E343">
            <v>5031897.24</v>
          </cell>
          <cell r="F343">
            <v>5031897.24</v>
          </cell>
          <cell r="G343">
            <v>5031897.24</v>
          </cell>
          <cell r="H343">
            <v>5031897.24</v>
          </cell>
          <cell r="I343">
            <v>5031897.24</v>
          </cell>
          <cell r="J343">
            <v>5031897.24</v>
          </cell>
          <cell r="K343">
            <v>5031897.24</v>
          </cell>
          <cell r="L343">
            <v>5031897.24</v>
          </cell>
          <cell r="M343">
            <v>5031897.24</v>
          </cell>
          <cell r="N343">
            <v>5031897.24</v>
          </cell>
          <cell r="O343">
            <v>5031897.24</v>
          </cell>
          <cell r="P343">
            <v>5031897.24</v>
          </cell>
          <cell r="Q343">
            <v>5031897.24</v>
          </cell>
          <cell r="R343">
            <v>5031897.24</v>
          </cell>
          <cell r="S343">
            <v>5031897.24</v>
          </cell>
          <cell r="T343">
            <v>5031897.24</v>
          </cell>
          <cell r="U343">
            <v>5031897.24</v>
          </cell>
          <cell r="V343">
            <v>5031897.24</v>
          </cell>
          <cell r="W343">
            <v>5031897.24</v>
          </cell>
          <cell r="X343">
            <v>5031897.24</v>
          </cell>
          <cell r="Y343">
            <v>5031897.24</v>
          </cell>
          <cell r="Z343">
            <v>5031897.24</v>
          </cell>
          <cell r="AA343">
            <v>5031897.24</v>
          </cell>
          <cell r="AB343">
            <v>5031897.24</v>
          </cell>
          <cell r="AC343">
            <v>5031897.24</v>
          </cell>
          <cell r="AD343">
            <v>5031897.24</v>
          </cell>
          <cell r="AE343">
            <v>5031897.24</v>
          </cell>
          <cell r="AF343">
            <v>5031897.24</v>
          </cell>
          <cell r="AG343">
            <v>5031897.24</v>
          </cell>
          <cell r="AH343">
            <v>5031897.24</v>
          </cell>
          <cell r="AI343">
            <v>5031897.24</v>
          </cell>
          <cell r="AJ343">
            <v>5031897.24</v>
          </cell>
          <cell r="AK343">
            <v>5031897.24</v>
          </cell>
          <cell r="AL343">
            <v>5031897.24</v>
          </cell>
          <cell r="AM343">
            <v>5031897.24</v>
          </cell>
          <cell r="AN343">
            <v>5031897.24</v>
          </cell>
          <cell r="AO343">
            <v>5031897.24</v>
          </cell>
          <cell r="AP343">
            <v>5031897.24</v>
          </cell>
          <cell r="AQ343">
            <v>5031897.24</v>
          </cell>
          <cell r="AR343">
            <v>5031897.24</v>
          </cell>
          <cell r="AS343">
            <v>5031897.24</v>
          </cell>
          <cell r="AT343">
            <v>5031897.24</v>
          </cell>
          <cell r="AU343">
            <v>5031897.24</v>
          </cell>
          <cell r="AV343">
            <v>5031897.24</v>
          </cell>
          <cell r="AW343">
            <v>5031897.24</v>
          </cell>
          <cell r="AX343">
            <v>5031897.24</v>
          </cell>
          <cell r="AY343">
            <v>5031897.24</v>
          </cell>
          <cell r="AZ343">
            <v>5031897.24</v>
          </cell>
          <cell r="BA343">
            <v>5031897.24</v>
          </cell>
          <cell r="BB343">
            <v>5031897.24</v>
          </cell>
          <cell r="BC343">
            <v>5031897.24</v>
          </cell>
          <cell r="BD343">
            <v>5031897.24</v>
          </cell>
          <cell r="BE343">
            <v>5031897.24</v>
          </cell>
          <cell r="BF343">
            <v>5031897.24</v>
          </cell>
          <cell r="BG343">
            <v>5031897.24</v>
          </cell>
          <cell r="BH343">
            <v>5031897.24</v>
          </cell>
          <cell r="BI343">
            <v>5031897.24</v>
          </cell>
          <cell r="BJ343">
            <v>5031897.24</v>
          </cell>
          <cell r="BK343">
            <v>5031897.24</v>
          </cell>
          <cell r="BL343">
            <v>5031897.24</v>
          </cell>
          <cell r="BM343">
            <v>5031897.24</v>
          </cell>
          <cell r="BN343">
            <v>5031897.24</v>
          </cell>
          <cell r="BO343">
            <v>5031897.24</v>
          </cell>
          <cell r="BP343">
            <v>5031897.24</v>
          </cell>
          <cell r="BQ343">
            <v>5031897.24</v>
          </cell>
          <cell r="BR343">
            <v>5031897.24</v>
          </cell>
          <cell r="BS343">
            <v>5031897.24</v>
          </cell>
          <cell r="BT343">
            <v>5031897.24</v>
          </cell>
          <cell r="BU343">
            <v>5031897.24</v>
          </cell>
          <cell r="BV343">
            <v>5031897.24</v>
          </cell>
          <cell r="BW343">
            <v>5031897.24</v>
          </cell>
          <cell r="BX343">
            <v>5031897.24</v>
          </cell>
          <cell r="BY343">
            <v>5031897.24</v>
          </cell>
          <cell r="BZ343">
            <v>5031897.24</v>
          </cell>
          <cell r="CA343">
            <v>5031897.24</v>
          </cell>
          <cell r="CB343">
            <v>5031897.24</v>
          </cell>
          <cell r="CC343">
            <v>5031897.24</v>
          </cell>
          <cell r="CD343">
            <v>5031897.24</v>
          </cell>
          <cell r="CE343">
            <v>5031897.24</v>
          </cell>
          <cell r="CF343">
            <v>5031897.24</v>
          </cell>
          <cell r="CG343">
            <v>5031897.24</v>
          </cell>
          <cell r="CH343">
            <v>5031897.24</v>
          </cell>
          <cell r="CI343">
            <v>5031897.24</v>
          </cell>
          <cell r="CJ343">
            <v>5031897.24</v>
          </cell>
          <cell r="CK343">
            <v>5031897.24</v>
          </cell>
          <cell r="CL343">
            <v>5031897.24</v>
          </cell>
          <cell r="CM343">
            <v>5031897.24</v>
          </cell>
          <cell r="CN343">
            <v>5031897.24</v>
          </cell>
          <cell r="CO343">
            <v>5031897.24</v>
          </cell>
          <cell r="CP343">
            <v>5031897.24</v>
          </cell>
          <cell r="CQ343">
            <v>5031897.24</v>
          </cell>
          <cell r="CR343">
            <v>5031897.24</v>
          </cell>
          <cell r="CS343">
            <v>5031897.24</v>
          </cell>
          <cell r="CT343">
            <v>5031897.24</v>
          </cell>
          <cell r="CU343">
            <v>5031897.24</v>
          </cell>
          <cell r="CV343">
            <v>5031897.24</v>
          </cell>
          <cell r="CW343">
            <v>5031897.24</v>
          </cell>
          <cell r="CX343">
            <v>5031897.24</v>
          </cell>
          <cell r="CY343">
            <v>5031897.24</v>
          </cell>
          <cell r="CZ343">
            <v>5031897.24</v>
          </cell>
          <cell r="DA343">
            <v>5031897.24</v>
          </cell>
          <cell r="DB343">
            <v>5031897.24</v>
          </cell>
          <cell r="DC343">
            <v>5031897.24</v>
          </cell>
          <cell r="DD343">
            <v>5031897.24</v>
          </cell>
          <cell r="DE343">
            <v>5031897.24</v>
          </cell>
          <cell r="DF343">
            <v>5031897.24</v>
          </cell>
          <cell r="DG343">
            <v>5031897.24</v>
          </cell>
          <cell r="DH343">
            <v>5031897.24</v>
          </cell>
        </row>
        <row r="344">
          <cell r="A344" t="str">
            <v>115</v>
          </cell>
          <cell r="D344">
            <v>-3962608.63</v>
          </cell>
          <cell r="E344">
            <v>-3975037.45</v>
          </cell>
          <cell r="F344">
            <v>-3987466.27</v>
          </cell>
          <cell r="G344">
            <v>-3999895.09</v>
          </cell>
          <cell r="H344">
            <v>-4012323.91</v>
          </cell>
          <cell r="I344">
            <v>-4037181.55</v>
          </cell>
          <cell r="J344">
            <v>-4024752.73</v>
          </cell>
          <cell r="K344">
            <v>-4049610.37</v>
          </cell>
          <cell r="L344">
            <v>-4062039.19</v>
          </cell>
          <cell r="M344">
            <v>-4074468.01</v>
          </cell>
          <cell r="N344">
            <v>-4086896.83</v>
          </cell>
          <cell r="O344">
            <v>-4099325.65</v>
          </cell>
          <cell r="P344">
            <v>-4111754.47</v>
          </cell>
          <cell r="Q344">
            <v>-4124183.29</v>
          </cell>
          <cell r="R344">
            <v>-4136612.11</v>
          </cell>
          <cell r="S344">
            <v>-4149040.93</v>
          </cell>
          <cell r="T344">
            <v>-4161469.75</v>
          </cell>
          <cell r="U344">
            <v>-4173898.57</v>
          </cell>
          <cell r="V344">
            <v>-4186327.39</v>
          </cell>
          <cell r="W344">
            <v>-4198756.21</v>
          </cell>
          <cell r="X344">
            <v>-4211185.03</v>
          </cell>
          <cell r="Y344">
            <v>-4223613.8499999996</v>
          </cell>
          <cell r="Z344">
            <v>-4236042.67</v>
          </cell>
          <cell r="AA344">
            <v>-4260900.3099999996</v>
          </cell>
          <cell r="AB344">
            <v>-4248471.49</v>
          </cell>
          <cell r="AC344">
            <v>-4273329.13</v>
          </cell>
          <cell r="AD344">
            <v>-4285757.95</v>
          </cell>
          <cell r="AE344">
            <v>-4298186.7699999996</v>
          </cell>
          <cell r="AF344">
            <v>-4310615.59</v>
          </cell>
          <cell r="AG344">
            <v>-4323044.41</v>
          </cell>
          <cell r="AH344">
            <v>-4335473.2300000004</v>
          </cell>
          <cell r="AI344">
            <v>-4347902.05</v>
          </cell>
          <cell r="AJ344">
            <v>-4360330.87</v>
          </cell>
          <cell r="AK344">
            <v>-4372759.6900000004</v>
          </cell>
          <cell r="AL344">
            <v>-4385188.51</v>
          </cell>
          <cell r="AM344">
            <v>-4397617.33</v>
          </cell>
          <cell r="AN344">
            <v>-4410046.1500000004</v>
          </cell>
          <cell r="AO344">
            <v>-4422474.97</v>
          </cell>
          <cell r="AP344">
            <v>-4434903.79</v>
          </cell>
          <cell r="AQ344">
            <v>-4447332.6100000003</v>
          </cell>
          <cell r="AR344">
            <v>-4459761.43</v>
          </cell>
          <cell r="AS344">
            <v>-4472190.25</v>
          </cell>
          <cell r="AT344">
            <v>-4484619.07</v>
          </cell>
          <cell r="AU344">
            <v>-4497047.8899999997</v>
          </cell>
          <cell r="AV344">
            <v>-4509476.71</v>
          </cell>
          <cell r="AW344">
            <v>-4521905.53</v>
          </cell>
          <cell r="AX344">
            <v>-4534334.3499999996</v>
          </cell>
          <cell r="AY344">
            <v>-4546763.17</v>
          </cell>
          <cell r="AZ344">
            <v>-4559191.99</v>
          </cell>
          <cell r="BA344">
            <v>-4571620.8099999996</v>
          </cell>
          <cell r="BB344">
            <v>-4584049.63</v>
          </cell>
          <cell r="BC344">
            <v>-4596478.45</v>
          </cell>
          <cell r="BD344">
            <v>-4608907.2699999996</v>
          </cell>
          <cell r="BE344">
            <v>-4621336.09</v>
          </cell>
          <cell r="BF344">
            <v>-4633764.91</v>
          </cell>
          <cell r="BG344">
            <v>-4646193.7300000004</v>
          </cell>
          <cell r="BH344">
            <v>-4658622.55</v>
          </cell>
          <cell r="BI344">
            <v>-4671051.37</v>
          </cell>
          <cell r="BJ344">
            <v>-4683480.1900000004</v>
          </cell>
          <cell r="BK344">
            <v>-4695909.01</v>
          </cell>
          <cell r="BL344">
            <v>-4708337.83</v>
          </cell>
          <cell r="BM344">
            <v>-4720766.6500000004</v>
          </cell>
          <cell r="BN344">
            <v>-4733195.47</v>
          </cell>
          <cell r="BO344">
            <v>-4745624.29</v>
          </cell>
          <cell r="BP344">
            <v>-4758053.1100000003</v>
          </cell>
          <cell r="BQ344">
            <v>-4770481.93</v>
          </cell>
          <cell r="BR344">
            <v>-4782910.75</v>
          </cell>
          <cell r="BS344">
            <v>-4795339.57</v>
          </cell>
          <cell r="BT344">
            <v>-4807768.3899999997</v>
          </cell>
          <cell r="BU344">
            <v>-4820197.21</v>
          </cell>
          <cell r="BV344">
            <v>-4832626.03</v>
          </cell>
          <cell r="BW344">
            <v>-4845054.8499999996</v>
          </cell>
          <cell r="BX344">
            <v>-4857483.67</v>
          </cell>
          <cell r="BY344">
            <v>-4869912.49</v>
          </cell>
          <cell r="BZ344">
            <v>-4882341.3099999996</v>
          </cell>
          <cell r="CA344">
            <v>-4894770.13</v>
          </cell>
          <cell r="CB344">
            <v>-4907198.95</v>
          </cell>
          <cell r="CC344">
            <v>-4919627.7699999996</v>
          </cell>
          <cell r="CD344">
            <v>-4932056.59</v>
          </cell>
          <cell r="CE344">
            <v>-4944485.41</v>
          </cell>
          <cell r="CF344">
            <v>-4956914.2300000004</v>
          </cell>
          <cell r="CG344">
            <v>-4969343.05</v>
          </cell>
          <cell r="CH344">
            <v>-4975292.78</v>
          </cell>
          <cell r="CI344">
            <v>-4981242.51</v>
          </cell>
          <cell r="CJ344">
            <v>-4987192.24</v>
          </cell>
          <cell r="CK344">
            <v>-4993141.97</v>
          </cell>
          <cell r="CL344">
            <v>-4999091.7</v>
          </cell>
          <cell r="CM344">
            <v>-5005041.43</v>
          </cell>
          <cell r="CN344">
            <v>-5010991.16</v>
          </cell>
          <cell r="CO344">
            <v>-5016940.8899999997</v>
          </cell>
          <cell r="CP344">
            <v>-5022890.62</v>
          </cell>
          <cell r="CQ344">
            <v>-5028840.3499999996</v>
          </cell>
          <cell r="CR344">
            <v>-5028152.9800000004</v>
          </cell>
          <cell r="CS344">
            <v>-5028152.9800000004</v>
          </cell>
          <cell r="CT344">
            <v>-5028152.9800000004</v>
          </cell>
          <cell r="CU344">
            <v>-5028152.9800000004</v>
          </cell>
          <cell r="CV344">
            <v>-5028152.9800000004</v>
          </cell>
          <cell r="CW344">
            <v>-5028152.9800000004</v>
          </cell>
          <cell r="CX344">
            <v>-5028152.9800000004</v>
          </cell>
          <cell r="CY344">
            <v>-5028152.9800000004</v>
          </cell>
          <cell r="CZ344">
            <v>-5028152.9800000004</v>
          </cell>
          <cell r="DA344">
            <v>-5028152.9800000004</v>
          </cell>
          <cell r="DB344">
            <v>-5028152.9800000004</v>
          </cell>
          <cell r="DC344">
            <v>-5028152.9800000004</v>
          </cell>
          <cell r="DD344">
            <v>-5028152.9800000004</v>
          </cell>
          <cell r="DE344">
            <v>-5028152.9800000004</v>
          </cell>
          <cell r="DF344">
            <v>-5028152.9800000004</v>
          </cell>
          <cell r="DG344">
            <v>-5028152.9800000004</v>
          </cell>
          <cell r="DH344">
            <v>-5028152.9800000004</v>
          </cell>
        </row>
        <row r="345">
          <cell r="A345" t="str">
            <v>121</v>
          </cell>
          <cell r="C345"/>
          <cell r="D345">
            <v>0</v>
          </cell>
          <cell r="E345">
            <v>0</v>
          </cell>
          <cell r="F345">
            <v>0</v>
          </cell>
          <cell r="G345">
            <v>0</v>
          </cell>
          <cell r="H345">
            <v>0</v>
          </cell>
          <cell r="I345">
            <v>0</v>
          </cell>
          <cell r="J345">
            <v>0</v>
          </cell>
          <cell r="K345">
            <v>0</v>
          </cell>
          <cell r="L345">
            <v>0</v>
          </cell>
          <cell r="M345">
            <v>0</v>
          </cell>
          <cell r="N345">
            <v>0</v>
          </cell>
          <cell r="O345">
            <v>0</v>
          </cell>
          <cell r="P345">
            <v>0</v>
          </cell>
          <cell r="Q345"/>
          <cell r="R345"/>
          <cell r="S345"/>
          <cell r="T345"/>
          <cell r="U345"/>
          <cell r="V345"/>
          <cell r="W345"/>
          <cell r="X345"/>
          <cell r="Y345"/>
          <cell r="Z345"/>
          <cell r="AA345"/>
          <cell r="AB345"/>
          <cell r="AC345"/>
          <cell r="AD345"/>
          <cell r="AE345"/>
          <cell r="AF345"/>
          <cell r="AG345"/>
          <cell r="AH345"/>
          <cell r="AI345"/>
          <cell r="AJ345"/>
          <cell r="AK345"/>
          <cell r="AL345"/>
          <cell r="AM345"/>
          <cell r="AN345"/>
          <cell r="AO345"/>
          <cell r="AP345"/>
          <cell r="AQ345"/>
          <cell r="AR345"/>
          <cell r="AS345"/>
          <cell r="AT345"/>
          <cell r="AU345"/>
          <cell r="AV345"/>
          <cell r="AW345"/>
          <cell r="AX345"/>
          <cell r="AY345"/>
          <cell r="AZ345"/>
          <cell r="BA345"/>
          <cell r="BB345"/>
          <cell r="BC345"/>
          <cell r="BD345"/>
          <cell r="BE345"/>
          <cell r="BF345"/>
          <cell r="BG345"/>
          <cell r="BH345"/>
          <cell r="BI345"/>
          <cell r="BJ345"/>
          <cell r="BK345"/>
          <cell r="BL345"/>
          <cell r="BM345"/>
          <cell r="BN345"/>
          <cell r="BO345"/>
          <cell r="BP345"/>
          <cell r="BQ345"/>
          <cell r="BR345"/>
          <cell r="BS345"/>
          <cell r="BT345"/>
          <cell r="BU345"/>
          <cell r="BV345"/>
          <cell r="BW345"/>
          <cell r="BX345"/>
          <cell r="BY345"/>
          <cell r="BZ345"/>
          <cell r="CA345"/>
          <cell r="CB345"/>
          <cell r="CC345"/>
          <cell r="CD345"/>
          <cell r="CE345"/>
          <cell r="CF345"/>
          <cell r="CG345"/>
          <cell r="CH345"/>
          <cell r="CI345"/>
          <cell r="CJ345"/>
          <cell r="CK345"/>
          <cell r="CL345"/>
          <cell r="CM345"/>
          <cell r="CN345"/>
          <cell r="CO345"/>
          <cell r="CP345"/>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row>
        <row r="346">
          <cell r="A346" t="str">
            <v>123</v>
          </cell>
          <cell r="C346"/>
          <cell r="D346">
            <v>1072286.1399999999</v>
          </cell>
          <cell r="E346">
            <v>690737.44</v>
          </cell>
          <cell r="F346">
            <v>1021328.38</v>
          </cell>
          <cell r="G346">
            <v>1227819.6399999999</v>
          </cell>
          <cell r="H346">
            <v>789786.66</v>
          </cell>
          <cell r="I346">
            <v>1230761.6100000001</v>
          </cell>
          <cell r="J346">
            <v>968313.89</v>
          </cell>
          <cell r="K346">
            <v>805462.03</v>
          </cell>
          <cell r="L346">
            <v>1003294.07</v>
          </cell>
          <cell r="M346">
            <v>1072047.3899999999</v>
          </cell>
          <cell r="N346">
            <v>665438.34</v>
          </cell>
          <cell r="O346">
            <v>833785.45</v>
          </cell>
          <cell r="P346">
            <v>1026666.02</v>
          </cell>
          <cell r="Q346">
            <v>1417441.09</v>
          </cell>
          <cell r="R346">
            <v>1096979.0900000001</v>
          </cell>
          <cell r="S346">
            <v>1247742.3799999999</v>
          </cell>
          <cell r="T346">
            <v>570274.97</v>
          </cell>
          <cell r="U346">
            <v>794634.67</v>
          </cell>
          <cell r="V346">
            <v>1010928.84</v>
          </cell>
          <cell r="W346">
            <v>671653.09</v>
          </cell>
          <cell r="X346">
            <v>842696.67</v>
          </cell>
          <cell r="Y346">
            <v>1066034.9099999999</v>
          </cell>
          <cell r="Z346">
            <v>1196268.3899999999</v>
          </cell>
          <cell r="AA346">
            <v>1550191.33</v>
          </cell>
          <cell r="AB346">
            <v>846357.32</v>
          </cell>
          <cell r="AC346">
            <v>1846471.79</v>
          </cell>
          <cell r="AD346">
            <v>1665481.94</v>
          </cell>
          <cell r="AE346">
            <v>1768137.91</v>
          </cell>
          <cell r="AF346">
            <v>1890203.72</v>
          </cell>
          <cell r="AG346">
            <v>817696.9</v>
          </cell>
          <cell r="AH346">
            <v>451270.74</v>
          </cell>
          <cell r="AI346">
            <v>666141.99</v>
          </cell>
          <cell r="AJ346">
            <v>943907.39</v>
          </cell>
          <cell r="AK346">
            <v>1124178.3799999999</v>
          </cell>
          <cell r="AL346">
            <v>1893574.75</v>
          </cell>
          <cell r="AM346">
            <v>1455090.61</v>
          </cell>
          <cell r="AN346">
            <v>1676407.65</v>
          </cell>
          <cell r="AO346">
            <v>2030340.05</v>
          </cell>
          <cell r="AP346">
            <v>1185824.46</v>
          </cell>
          <cell r="AQ346">
            <v>1472993.61</v>
          </cell>
          <cell r="AR346">
            <v>1619962.16</v>
          </cell>
          <cell r="AS346">
            <v>1068540.05</v>
          </cell>
          <cell r="AT346">
            <v>915178.88</v>
          </cell>
          <cell r="AU346">
            <v>1208435.27</v>
          </cell>
          <cell r="AV346">
            <v>564156.92000000004</v>
          </cell>
          <cell r="AW346">
            <v>862127.45</v>
          </cell>
          <cell r="AX346">
            <v>1107738.21</v>
          </cell>
          <cell r="AY346">
            <v>1166609.79</v>
          </cell>
          <cell r="AZ346">
            <v>1715678.71</v>
          </cell>
          <cell r="BA346">
            <v>2142944.46</v>
          </cell>
          <cell r="BB346">
            <v>1123292.52</v>
          </cell>
          <cell r="BC346">
            <v>1235895.02</v>
          </cell>
          <cell r="BD346">
            <v>1742173.74</v>
          </cell>
          <cell r="BE346">
            <v>1049799.92</v>
          </cell>
          <cell r="BF346">
            <v>1272460.1100000001</v>
          </cell>
          <cell r="BG346">
            <v>1562003.94</v>
          </cell>
          <cell r="BH346">
            <v>760636.27</v>
          </cell>
          <cell r="BI346">
            <v>935108.73</v>
          </cell>
          <cell r="BJ346">
            <v>1188785.76</v>
          </cell>
          <cell r="BK346">
            <v>777880.49</v>
          </cell>
          <cell r="BL346">
            <v>1195217.6599999999</v>
          </cell>
          <cell r="BM346">
            <v>1451866.25</v>
          </cell>
          <cell r="BN346">
            <v>823643.62</v>
          </cell>
          <cell r="BO346">
            <v>1284772.3600000001</v>
          </cell>
          <cell r="BP346">
            <v>1701879.38</v>
          </cell>
          <cell r="BQ346">
            <v>1022397.48</v>
          </cell>
          <cell r="BR346">
            <v>1256931.8</v>
          </cell>
          <cell r="BS346">
            <v>1595861.92</v>
          </cell>
          <cell r="BT346">
            <v>1079865.1299999999</v>
          </cell>
          <cell r="BU346">
            <v>1299029.46</v>
          </cell>
          <cell r="BV346">
            <v>1496620.32</v>
          </cell>
          <cell r="BW346">
            <v>673250.97</v>
          </cell>
          <cell r="BX346">
            <v>902043.41</v>
          </cell>
          <cell r="BY346">
            <v>1028316.05</v>
          </cell>
          <cell r="BZ346">
            <v>832643.11</v>
          </cell>
          <cell r="CA346">
            <v>926542.53</v>
          </cell>
          <cell r="CB346">
            <v>1260989.77</v>
          </cell>
          <cell r="CC346">
            <v>1026254.93</v>
          </cell>
          <cell r="CD346">
            <v>1250596.3700000001</v>
          </cell>
          <cell r="CE346">
            <v>1439036.29</v>
          </cell>
          <cell r="CF346">
            <v>781252.78</v>
          </cell>
          <cell r="CG346">
            <v>1020483.08</v>
          </cell>
          <cell r="CH346">
            <v>1371276.5</v>
          </cell>
          <cell r="CI346">
            <v>841297.66</v>
          </cell>
          <cell r="CJ346">
            <v>1208345.97</v>
          </cell>
          <cell r="CK346">
            <v>1542480.94</v>
          </cell>
          <cell r="CL346">
            <v>1003468.87</v>
          </cell>
          <cell r="CM346">
            <v>1278830.19</v>
          </cell>
          <cell r="CN346">
            <v>612943.16</v>
          </cell>
          <cell r="CO346">
            <v>1003456.24</v>
          </cell>
          <cell r="CP346">
            <v>1274946.82</v>
          </cell>
          <cell r="CQ346">
            <v>1549067.57</v>
          </cell>
          <cell r="CR346">
            <v>892660.69</v>
          </cell>
          <cell r="CS346">
            <v>1188488.3400000001</v>
          </cell>
          <cell r="CT346">
            <v>1502236.12</v>
          </cell>
          <cell r="CU346">
            <v>868331.8</v>
          </cell>
          <cell r="CV346">
            <v>1027776.72</v>
          </cell>
          <cell r="CW346">
            <v>1172773.1200000001</v>
          </cell>
          <cell r="CX346">
            <v>679786.76</v>
          </cell>
          <cell r="CY346">
            <v>1153410.45</v>
          </cell>
          <cell r="CZ346">
            <v>538847.81999999995</v>
          </cell>
          <cell r="DA346">
            <v>814853.23</v>
          </cell>
          <cell r="DB346">
            <v>1037827.6</v>
          </cell>
          <cell r="DC346">
            <v>1474440.33</v>
          </cell>
          <cell r="DD346">
            <v>1006071.92</v>
          </cell>
          <cell r="DE346">
            <v>1343627.69</v>
          </cell>
          <cell r="DF346">
            <v>532971.34</v>
          </cell>
          <cell r="DG346">
            <v>833075.57</v>
          </cell>
          <cell r="DH346">
            <v>846204.52</v>
          </cell>
        </row>
        <row r="347">
          <cell r="A347" t="str">
            <v>131</v>
          </cell>
          <cell r="C347"/>
          <cell r="D347">
            <v>3261022.61</v>
          </cell>
          <cell r="E347">
            <v>2806551.35</v>
          </cell>
          <cell r="F347">
            <v>3356037.06</v>
          </cell>
          <cell r="G347">
            <v>4514670.32</v>
          </cell>
          <cell r="H347">
            <v>2388208.48</v>
          </cell>
          <cell r="I347">
            <v>13138255.890000001</v>
          </cell>
          <cell r="J347">
            <v>16073285.109999999</v>
          </cell>
          <cell r="K347">
            <v>6354559.8399999999</v>
          </cell>
          <cell r="L347">
            <v>2430610.34</v>
          </cell>
          <cell r="M347">
            <v>2828762.34</v>
          </cell>
          <cell r="N347">
            <v>1627965.07</v>
          </cell>
          <cell r="O347">
            <v>1098511.7</v>
          </cell>
          <cell r="P347">
            <v>3821070.95</v>
          </cell>
          <cell r="Q347">
            <v>2567121.35</v>
          </cell>
          <cell r="R347">
            <v>2312649.7400000002</v>
          </cell>
          <cell r="S347">
            <v>6645594.6100000003</v>
          </cell>
          <cell r="T347">
            <v>2355458.2400000002</v>
          </cell>
          <cell r="U347">
            <v>31675094.219999999</v>
          </cell>
          <cell r="V347">
            <v>22628186.5</v>
          </cell>
          <cell r="W347">
            <v>23994350.109999999</v>
          </cell>
          <cell r="X347">
            <v>26607939.260000002</v>
          </cell>
          <cell r="Y347">
            <v>25154667.09</v>
          </cell>
          <cell r="Z347">
            <v>22362853.399999999</v>
          </cell>
          <cell r="AA347">
            <v>4118324.53</v>
          </cell>
          <cell r="AB347">
            <v>3347331.95</v>
          </cell>
          <cell r="AC347">
            <v>3511064.95</v>
          </cell>
          <cell r="AD347">
            <v>3416433.77</v>
          </cell>
          <cell r="AE347">
            <v>20951906.539999999</v>
          </cell>
          <cell r="AF347">
            <v>1927296.07</v>
          </cell>
          <cell r="AG347">
            <v>3695520.15</v>
          </cell>
          <cell r="AH347">
            <v>3262585.6</v>
          </cell>
          <cell r="AI347">
            <v>3174255.71</v>
          </cell>
          <cell r="AJ347">
            <v>2896818.54</v>
          </cell>
          <cell r="AK347">
            <v>2234214.3199999998</v>
          </cell>
          <cell r="AL347">
            <v>3331068.09</v>
          </cell>
          <cell r="AM347">
            <v>2021583.2</v>
          </cell>
          <cell r="AN347">
            <v>2842485.05</v>
          </cell>
          <cell r="AO347">
            <v>-1311825.49</v>
          </cell>
          <cell r="AP347">
            <v>7683009.0700000003</v>
          </cell>
          <cell r="AQ347">
            <v>5527984.3600000003</v>
          </cell>
          <cell r="AR347">
            <v>10732318.5</v>
          </cell>
          <cell r="AS347">
            <v>13109002.23</v>
          </cell>
          <cell r="AT347">
            <v>7235219.3799999999</v>
          </cell>
          <cell r="AU347">
            <v>9454799.4100000001</v>
          </cell>
          <cell r="AV347">
            <v>3982944.33</v>
          </cell>
          <cell r="AW347">
            <v>9295592.0700000003</v>
          </cell>
          <cell r="AX347">
            <v>9556767.6699999999</v>
          </cell>
          <cell r="AY347">
            <v>9285506.0999999996</v>
          </cell>
          <cell r="AZ347">
            <v>9677349.0099999998</v>
          </cell>
          <cell r="BA347">
            <v>7688523.7599999998</v>
          </cell>
          <cell r="BB347">
            <v>10910228.689999999</v>
          </cell>
          <cell r="BC347">
            <v>8678584.9900000002</v>
          </cell>
          <cell r="BD347">
            <v>7205181.3399999999</v>
          </cell>
          <cell r="BE347">
            <v>9524512.1199999992</v>
          </cell>
          <cell r="BF347">
            <v>8981641</v>
          </cell>
          <cell r="BG347">
            <v>8637221.6300000008</v>
          </cell>
          <cell r="BH347">
            <v>9145004.0999999996</v>
          </cell>
          <cell r="BI347">
            <v>9419205.1999999993</v>
          </cell>
          <cell r="BJ347">
            <v>8961328.3399999999</v>
          </cell>
          <cell r="BK347">
            <v>8984919.9199999999</v>
          </cell>
          <cell r="BL347">
            <v>8481815.1899999995</v>
          </cell>
          <cell r="BM347">
            <v>9183223.9499999993</v>
          </cell>
          <cell r="BN347">
            <v>8750163.0500000007</v>
          </cell>
          <cell r="BO347">
            <v>8471541.6300000008</v>
          </cell>
          <cell r="BP347">
            <v>8031728.5499999998</v>
          </cell>
          <cell r="BQ347">
            <v>8438438.4800000004</v>
          </cell>
          <cell r="BR347">
            <v>8121366.25</v>
          </cell>
          <cell r="BS347">
            <v>7908716.2999999998</v>
          </cell>
          <cell r="BT347">
            <v>8508869.2799999993</v>
          </cell>
          <cell r="BU347">
            <v>8534657.2899999991</v>
          </cell>
          <cell r="BV347">
            <v>7780838.25</v>
          </cell>
          <cell r="BW347">
            <v>8085636.6500000004</v>
          </cell>
          <cell r="BX347">
            <v>8303869.29</v>
          </cell>
          <cell r="BY347">
            <v>7302515.8499999996</v>
          </cell>
          <cell r="BZ347">
            <v>8287915.9299999997</v>
          </cell>
          <cell r="CA347">
            <v>7325821.6299999999</v>
          </cell>
          <cell r="CB347">
            <v>8579091.9199999999</v>
          </cell>
          <cell r="CC347">
            <v>7939864.9500000002</v>
          </cell>
          <cell r="CD347">
            <v>9217290.4700000007</v>
          </cell>
          <cell r="CE347">
            <v>8748991.2899999991</v>
          </cell>
          <cell r="CF347">
            <v>9091189.6799999997</v>
          </cell>
          <cell r="CG347">
            <v>8693952.7699999996</v>
          </cell>
          <cell r="CH347">
            <v>7909424.8300000001</v>
          </cell>
          <cell r="CI347">
            <v>-2329290.65</v>
          </cell>
          <cell r="CJ347">
            <v>0</v>
          </cell>
          <cell r="CK347">
            <v>-2689748.93</v>
          </cell>
          <cell r="CL347">
            <v>-3162056.14</v>
          </cell>
          <cell r="CM347">
            <v>-11401523.470000001</v>
          </cell>
          <cell r="CN347">
            <v>-5509353.3399999999</v>
          </cell>
          <cell r="CO347">
            <v>-6460993.9800000004</v>
          </cell>
          <cell r="CP347">
            <v>-6949025.1900000004</v>
          </cell>
          <cell r="CQ347">
            <v>-7398453.6299999999</v>
          </cell>
          <cell r="CR347">
            <v>-8227617.71</v>
          </cell>
          <cell r="CS347">
            <v>-7765854.54</v>
          </cell>
          <cell r="CT347">
            <v>-7470361.7300000004</v>
          </cell>
          <cell r="CU347">
            <v>-7735389.3499999996</v>
          </cell>
          <cell r="CV347">
            <v>2104297.09</v>
          </cell>
          <cell r="CW347">
            <v>2421368.41</v>
          </cell>
          <cell r="CX347">
            <v>2914083.42</v>
          </cell>
          <cell r="CY347">
            <v>2916985.79</v>
          </cell>
          <cell r="CZ347">
            <v>3086251.3</v>
          </cell>
          <cell r="DA347">
            <v>3094260.34</v>
          </cell>
          <cell r="DB347">
            <v>3178444.07</v>
          </cell>
          <cell r="DC347">
            <v>3526586.13</v>
          </cell>
          <cell r="DD347">
            <v>3591647.84</v>
          </cell>
          <cell r="DE347">
            <v>3683845.44</v>
          </cell>
          <cell r="DF347">
            <v>4119330.2</v>
          </cell>
          <cell r="DG347">
            <v>3693147.69</v>
          </cell>
          <cell r="DH347">
            <v>3398831.22</v>
          </cell>
        </row>
        <row r="348">
          <cell r="A348" t="str">
            <v>134</v>
          </cell>
          <cell r="C348"/>
          <cell r="D348">
            <v>25000</v>
          </cell>
          <cell r="E348">
            <v>25000</v>
          </cell>
          <cell r="F348">
            <v>25000</v>
          </cell>
          <cell r="G348">
            <v>25000</v>
          </cell>
          <cell r="H348">
            <v>25000</v>
          </cell>
          <cell r="I348">
            <v>25000</v>
          </cell>
          <cell r="J348">
            <v>25000</v>
          </cell>
          <cell r="K348">
            <v>25000</v>
          </cell>
          <cell r="L348">
            <v>25000</v>
          </cell>
          <cell r="M348">
            <v>25000</v>
          </cell>
          <cell r="N348">
            <v>25000</v>
          </cell>
          <cell r="O348">
            <v>25000</v>
          </cell>
          <cell r="P348">
            <v>25000</v>
          </cell>
          <cell r="Q348">
            <v>25000</v>
          </cell>
          <cell r="R348">
            <v>25000</v>
          </cell>
          <cell r="S348">
            <v>25000</v>
          </cell>
          <cell r="T348">
            <v>25000</v>
          </cell>
          <cell r="U348">
            <v>25000</v>
          </cell>
          <cell r="V348">
            <v>25000</v>
          </cell>
          <cell r="W348">
            <v>25000</v>
          </cell>
          <cell r="X348">
            <v>25000</v>
          </cell>
          <cell r="Y348">
            <v>25000</v>
          </cell>
          <cell r="Z348">
            <v>25000</v>
          </cell>
          <cell r="AA348">
            <v>25000</v>
          </cell>
          <cell r="AB348">
            <v>25000</v>
          </cell>
          <cell r="AC348">
            <v>25000</v>
          </cell>
          <cell r="AD348">
            <v>25000</v>
          </cell>
          <cell r="AE348">
            <v>25000</v>
          </cell>
          <cell r="AF348">
            <v>25000</v>
          </cell>
          <cell r="AG348">
            <v>25000</v>
          </cell>
          <cell r="AH348">
            <v>25000</v>
          </cell>
          <cell r="AI348">
            <v>25000</v>
          </cell>
          <cell r="AJ348">
            <v>25000</v>
          </cell>
          <cell r="AK348">
            <v>25000</v>
          </cell>
          <cell r="AL348">
            <v>25000</v>
          </cell>
          <cell r="AM348">
            <v>25000</v>
          </cell>
          <cell r="AN348">
            <v>25000</v>
          </cell>
          <cell r="AO348">
            <v>25000</v>
          </cell>
          <cell r="AP348">
            <v>25000</v>
          </cell>
          <cell r="AQ348">
            <v>25000</v>
          </cell>
          <cell r="AR348">
            <v>25000</v>
          </cell>
          <cell r="AS348">
            <v>25000</v>
          </cell>
          <cell r="AT348">
            <v>25000</v>
          </cell>
          <cell r="AU348">
            <v>25000</v>
          </cell>
          <cell r="AV348">
            <v>25000</v>
          </cell>
          <cell r="AW348">
            <v>25000</v>
          </cell>
          <cell r="AX348">
            <v>25000</v>
          </cell>
          <cell r="AY348">
            <v>25000</v>
          </cell>
          <cell r="AZ348">
            <v>25000</v>
          </cell>
          <cell r="BA348">
            <v>25000</v>
          </cell>
          <cell r="BB348">
            <v>25000</v>
          </cell>
          <cell r="BC348">
            <v>25000</v>
          </cell>
          <cell r="BD348">
            <v>25000</v>
          </cell>
          <cell r="BE348">
            <v>25000</v>
          </cell>
          <cell r="BF348">
            <v>25000</v>
          </cell>
          <cell r="BG348">
            <v>25000</v>
          </cell>
          <cell r="BH348">
            <v>25000</v>
          </cell>
          <cell r="BI348">
            <v>25000</v>
          </cell>
          <cell r="BJ348">
            <v>25000</v>
          </cell>
          <cell r="BK348">
            <v>25000</v>
          </cell>
          <cell r="BL348">
            <v>25000</v>
          </cell>
          <cell r="BM348">
            <v>25000</v>
          </cell>
          <cell r="BN348">
            <v>25000</v>
          </cell>
          <cell r="BO348">
            <v>25000</v>
          </cell>
          <cell r="BP348">
            <v>25000</v>
          </cell>
          <cell r="BQ348">
            <v>25000</v>
          </cell>
          <cell r="BR348">
            <v>25000</v>
          </cell>
          <cell r="BS348">
            <v>25000</v>
          </cell>
          <cell r="BT348">
            <v>25000</v>
          </cell>
          <cell r="BU348">
            <v>25000</v>
          </cell>
          <cell r="BV348">
            <v>25000</v>
          </cell>
          <cell r="BW348">
            <v>25000</v>
          </cell>
          <cell r="BX348">
            <v>25000</v>
          </cell>
          <cell r="BY348">
            <v>25000</v>
          </cell>
          <cell r="BZ348">
            <v>25000</v>
          </cell>
          <cell r="CA348">
            <v>25000</v>
          </cell>
          <cell r="CB348">
            <v>25000</v>
          </cell>
          <cell r="CC348">
            <v>25000</v>
          </cell>
          <cell r="CD348">
            <v>25000</v>
          </cell>
          <cell r="CE348">
            <v>25000</v>
          </cell>
          <cell r="CF348">
            <v>25000</v>
          </cell>
          <cell r="CG348">
            <v>25000</v>
          </cell>
          <cell r="CH348">
            <v>25000</v>
          </cell>
          <cell r="CI348">
            <v>25000</v>
          </cell>
          <cell r="CJ348">
            <v>25000</v>
          </cell>
          <cell r="CK348">
            <v>25000</v>
          </cell>
          <cell r="CL348">
            <v>25000</v>
          </cell>
          <cell r="CM348">
            <v>25000</v>
          </cell>
          <cell r="CN348">
            <v>25000</v>
          </cell>
          <cell r="CO348">
            <v>25000</v>
          </cell>
          <cell r="CP348">
            <v>25000</v>
          </cell>
          <cell r="CQ348">
            <v>25000</v>
          </cell>
          <cell r="CR348">
            <v>25000</v>
          </cell>
          <cell r="CS348">
            <v>25000</v>
          </cell>
          <cell r="CT348">
            <v>25000</v>
          </cell>
          <cell r="CU348">
            <v>25000</v>
          </cell>
          <cell r="CV348">
            <v>25000</v>
          </cell>
          <cell r="CW348">
            <v>25000</v>
          </cell>
          <cell r="CX348">
            <v>25000</v>
          </cell>
          <cell r="CY348">
            <v>25000</v>
          </cell>
          <cell r="CZ348">
            <v>25000</v>
          </cell>
          <cell r="DA348">
            <v>25000</v>
          </cell>
          <cell r="DB348">
            <v>25000</v>
          </cell>
          <cell r="DC348">
            <v>25000</v>
          </cell>
          <cell r="DD348">
            <v>25000</v>
          </cell>
          <cell r="DE348">
            <v>25000</v>
          </cell>
          <cell r="DF348">
            <v>25000</v>
          </cell>
          <cell r="DG348">
            <v>25000</v>
          </cell>
          <cell r="DH348">
            <v>25000</v>
          </cell>
        </row>
        <row r="349">
          <cell r="A349" t="str">
            <v>135</v>
          </cell>
          <cell r="C349"/>
          <cell r="D349">
            <v>3500</v>
          </cell>
          <cell r="E349">
            <v>3500</v>
          </cell>
          <cell r="F349">
            <v>3500</v>
          </cell>
          <cell r="G349">
            <v>3500</v>
          </cell>
          <cell r="H349">
            <v>3500</v>
          </cell>
          <cell r="I349">
            <v>3500</v>
          </cell>
          <cell r="J349">
            <v>3500</v>
          </cell>
          <cell r="K349">
            <v>3450</v>
          </cell>
          <cell r="L349">
            <v>3450</v>
          </cell>
          <cell r="M349">
            <v>3450</v>
          </cell>
          <cell r="N349">
            <v>3450</v>
          </cell>
          <cell r="O349">
            <v>3450</v>
          </cell>
          <cell r="P349">
            <v>3450</v>
          </cell>
          <cell r="Q349">
            <v>3450</v>
          </cell>
          <cell r="R349">
            <v>3450</v>
          </cell>
          <cell r="S349">
            <v>3450</v>
          </cell>
          <cell r="T349">
            <v>3450</v>
          </cell>
          <cell r="U349">
            <v>2950</v>
          </cell>
          <cell r="V349">
            <v>2950</v>
          </cell>
          <cell r="W349">
            <v>2950</v>
          </cell>
          <cell r="X349">
            <v>2950</v>
          </cell>
          <cell r="Y349">
            <v>2950</v>
          </cell>
          <cell r="Z349">
            <v>2950</v>
          </cell>
          <cell r="AA349">
            <v>2950</v>
          </cell>
          <cell r="AB349">
            <v>2950</v>
          </cell>
          <cell r="AC349">
            <v>2950</v>
          </cell>
          <cell r="AD349">
            <v>2950</v>
          </cell>
          <cell r="AE349">
            <v>2950</v>
          </cell>
          <cell r="AF349">
            <v>2950</v>
          </cell>
          <cell r="AG349">
            <v>2950</v>
          </cell>
          <cell r="AH349">
            <v>2950</v>
          </cell>
          <cell r="AI349">
            <v>2950</v>
          </cell>
          <cell r="AJ349">
            <v>2950</v>
          </cell>
          <cell r="AK349">
            <v>3450</v>
          </cell>
          <cell r="AL349">
            <v>3450</v>
          </cell>
          <cell r="AM349">
            <v>2950</v>
          </cell>
          <cell r="AN349">
            <v>2950</v>
          </cell>
          <cell r="AO349">
            <v>2950</v>
          </cell>
          <cell r="AP349">
            <v>2950</v>
          </cell>
          <cell r="AQ349">
            <v>2950</v>
          </cell>
          <cell r="AR349">
            <v>2950</v>
          </cell>
          <cell r="AS349">
            <v>2950</v>
          </cell>
          <cell r="AT349">
            <v>2950</v>
          </cell>
          <cell r="AU349">
            <v>2950</v>
          </cell>
          <cell r="AV349">
            <v>2950</v>
          </cell>
          <cell r="AW349">
            <v>2950</v>
          </cell>
          <cell r="AX349">
            <v>2950</v>
          </cell>
          <cell r="AY349">
            <v>2950</v>
          </cell>
          <cell r="AZ349">
            <v>2950</v>
          </cell>
          <cell r="BA349">
            <v>2950</v>
          </cell>
          <cell r="BB349">
            <v>2950</v>
          </cell>
          <cell r="BC349">
            <v>2950</v>
          </cell>
          <cell r="BD349">
            <v>2950</v>
          </cell>
          <cell r="BE349">
            <v>2950</v>
          </cell>
          <cell r="BF349">
            <v>2950</v>
          </cell>
          <cell r="BG349">
            <v>2950</v>
          </cell>
          <cell r="BH349">
            <v>2950</v>
          </cell>
          <cell r="BI349">
            <v>2950</v>
          </cell>
          <cell r="BJ349">
            <v>2950</v>
          </cell>
          <cell r="BK349">
            <v>2950</v>
          </cell>
          <cell r="BL349">
            <v>2950</v>
          </cell>
          <cell r="BM349">
            <v>2950</v>
          </cell>
          <cell r="BN349">
            <v>2950</v>
          </cell>
          <cell r="BO349">
            <v>2950</v>
          </cell>
          <cell r="BP349">
            <v>2950</v>
          </cell>
          <cell r="BQ349">
            <v>2950</v>
          </cell>
          <cell r="BR349">
            <v>2950</v>
          </cell>
          <cell r="BS349">
            <v>2950</v>
          </cell>
          <cell r="BT349">
            <v>2950</v>
          </cell>
          <cell r="BU349">
            <v>2950</v>
          </cell>
          <cell r="BV349">
            <v>2950</v>
          </cell>
          <cell r="BW349">
            <v>2950</v>
          </cell>
          <cell r="BX349">
            <v>2950</v>
          </cell>
          <cell r="BY349">
            <v>2950</v>
          </cell>
          <cell r="BZ349">
            <v>2950</v>
          </cell>
          <cell r="CA349">
            <v>2950</v>
          </cell>
          <cell r="CB349">
            <v>2950</v>
          </cell>
          <cell r="CC349">
            <v>2950</v>
          </cell>
          <cell r="CD349">
            <v>2950</v>
          </cell>
          <cell r="CE349">
            <v>2950</v>
          </cell>
          <cell r="CF349">
            <v>2950</v>
          </cell>
          <cell r="CG349">
            <v>2950</v>
          </cell>
          <cell r="CH349">
            <v>2950</v>
          </cell>
          <cell r="CI349">
            <v>2950</v>
          </cell>
          <cell r="CJ349">
            <v>2950</v>
          </cell>
          <cell r="CK349">
            <v>2950</v>
          </cell>
          <cell r="CL349">
            <v>2950</v>
          </cell>
          <cell r="CM349">
            <v>2950</v>
          </cell>
          <cell r="CN349">
            <v>2950</v>
          </cell>
          <cell r="CO349">
            <v>2950</v>
          </cell>
          <cell r="CP349">
            <v>2950</v>
          </cell>
          <cell r="CQ349">
            <v>2950</v>
          </cell>
          <cell r="CR349">
            <v>2950</v>
          </cell>
          <cell r="CS349">
            <v>2950</v>
          </cell>
          <cell r="CT349">
            <v>2950</v>
          </cell>
          <cell r="CU349">
            <v>2950</v>
          </cell>
          <cell r="CV349">
            <v>2950</v>
          </cell>
          <cell r="CW349">
            <v>2950</v>
          </cell>
          <cell r="CX349">
            <v>2950</v>
          </cell>
          <cell r="CY349">
            <v>2950</v>
          </cell>
          <cell r="CZ349">
            <v>2950</v>
          </cell>
          <cell r="DA349">
            <v>2950</v>
          </cell>
          <cell r="DB349">
            <v>2950</v>
          </cell>
          <cell r="DC349">
            <v>2950</v>
          </cell>
          <cell r="DD349">
            <v>2950</v>
          </cell>
          <cell r="DE349">
            <v>2950</v>
          </cell>
          <cell r="DF349">
            <v>2950</v>
          </cell>
          <cell r="DG349">
            <v>2950</v>
          </cell>
          <cell r="DH349">
            <v>2950</v>
          </cell>
        </row>
        <row r="350">
          <cell r="A350" t="str">
            <v>136</v>
          </cell>
          <cell r="C350"/>
          <cell r="D350">
            <v>0</v>
          </cell>
          <cell r="E350">
            <v>0</v>
          </cell>
          <cell r="F350">
            <v>0</v>
          </cell>
          <cell r="G350">
            <v>0</v>
          </cell>
          <cell r="H350">
            <v>0</v>
          </cell>
          <cell r="I350">
            <v>0</v>
          </cell>
          <cell r="J350">
            <v>0</v>
          </cell>
          <cell r="K350">
            <v>0</v>
          </cell>
          <cell r="L350">
            <v>0</v>
          </cell>
          <cell r="M350">
            <v>0</v>
          </cell>
          <cell r="N350">
            <v>0</v>
          </cell>
          <cell r="O350">
            <v>0</v>
          </cell>
          <cell r="P350">
            <v>0</v>
          </cell>
          <cell r="Q350"/>
          <cell r="R350"/>
          <cell r="S350"/>
          <cell r="T350"/>
          <cell r="U350"/>
          <cell r="V350"/>
          <cell r="W350"/>
          <cell r="X350"/>
          <cell r="Y350"/>
          <cell r="Z350"/>
          <cell r="AA350"/>
          <cell r="AB350"/>
          <cell r="AC350"/>
          <cell r="AD350"/>
          <cell r="AE350"/>
          <cell r="AF350"/>
          <cell r="AG350"/>
          <cell r="AH350"/>
          <cell r="AI350"/>
          <cell r="AJ350"/>
          <cell r="AK350"/>
          <cell r="AL350"/>
          <cell r="AM350"/>
          <cell r="AN350"/>
          <cell r="AO350"/>
          <cell r="AP350"/>
          <cell r="AQ350"/>
          <cell r="AR350"/>
          <cell r="AS350"/>
          <cell r="AT350"/>
          <cell r="AU350"/>
          <cell r="AV350"/>
          <cell r="AW350"/>
          <cell r="AX350"/>
          <cell r="AY350"/>
          <cell r="AZ350"/>
          <cell r="BA350"/>
          <cell r="BB350"/>
          <cell r="BC350"/>
          <cell r="BD350"/>
          <cell r="BE350"/>
          <cell r="BF350"/>
          <cell r="BG350"/>
          <cell r="BH350"/>
          <cell r="BI350"/>
          <cell r="BJ350"/>
          <cell r="BK350"/>
          <cell r="BL350"/>
          <cell r="BM350"/>
          <cell r="BN350"/>
          <cell r="BO350"/>
          <cell r="BP350"/>
          <cell r="BQ350"/>
          <cell r="BR350"/>
          <cell r="BS350"/>
          <cell r="BT350"/>
          <cell r="BU350"/>
          <cell r="BV350"/>
          <cell r="BW350"/>
          <cell r="BX350"/>
          <cell r="BY350"/>
          <cell r="BZ350"/>
          <cell r="CA350"/>
          <cell r="CB350"/>
          <cell r="CC350"/>
          <cell r="CD350"/>
          <cell r="CE350"/>
          <cell r="CF350"/>
          <cell r="CG350"/>
          <cell r="CH350"/>
          <cell r="CI350"/>
          <cell r="CJ350"/>
          <cell r="CK350"/>
          <cell r="CL350"/>
          <cell r="CM350"/>
          <cell r="CN350"/>
          <cell r="CO350"/>
          <cell r="CP350"/>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row>
        <row r="351">
          <cell r="A351" t="str">
            <v>142</v>
          </cell>
          <cell r="C351"/>
          <cell r="D351">
            <v>22917004.77</v>
          </cell>
          <cell r="E351">
            <v>33888239.469999999</v>
          </cell>
          <cell r="F351">
            <v>34564177.649999999</v>
          </cell>
          <cell r="G351">
            <v>30784053.600000001</v>
          </cell>
          <cell r="H351">
            <v>29663927.84</v>
          </cell>
          <cell r="I351">
            <v>22504133.27</v>
          </cell>
          <cell r="J351">
            <v>22479626.829999998</v>
          </cell>
          <cell r="K351">
            <v>23241237.09</v>
          </cell>
          <cell r="L351">
            <v>23878463.870000001</v>
          </cell>
          <cell r="M351">
            <v>22321098.780000001</v>
          </cell>
          <cell r="N351">
            <v>22099793.280000001</v>
          </cell>
          <cell r="O351">
            <v>26323347.600000001</v>
          </cell>
          <cell r="P351">
            <v>26034826.32</v>
          </cell>
          <cell r="Q351">
            <v>32187526.920000002</v>
          </cell>
          <cell r="R351">
            <v>34039835.079999998</v>
          </cell>
          <cell r="S351">
            <v>29541354.100000001</v>
          </cell>
          <cell r="T351">
            <v>28240355.52</v>
          </cell>
          <cell r="U351">
            <v>23565407.48</v>
          </cell>
          <cell r="V351">
            <v>24075458.02</v>
          </cell>
          <cell r="W351">
            <v>21417409.149999999</v>
          </cell>
          <cell r="X351">
            <v>24298849.940000001</v>
          </cell>
          <cell r="Y351">
            <v>23816258.93</v>
          </cell>
          <cell r="Z351">
            <v>23772059.039999999</v>
          </cell>
          <cell r="AA351">
            <v>23370304.82</v>
          </cell>
          <cell r="AB351">
            <v>26518734.390000001</v>
          </cell>
          <cell r="AC351">
            <v>31850535.170000002</v>
          </cell>
          <cell r="AD351">
            <v>33660304.32</v>
          </cell>
          <cell r="AE351">
            <v>27396780.07</v>
          </cell>
          <cell r="AF351">
            <v>26991418.98</v>
          </cell>
          <cell r="AG351">
            <v>25680472.5</v>
          </cell>
          <cell r="AH351">
            <v>25214431.510000002</v>
          </cell>
          <cell r="AI351">
            <v>27415095.079999998</v>
          </cell>
          <cell r="AJ351">
            <v>23394824.629999999</v>
          </cell>
          <cell r="AK351">
            <v>21229562.68</v>
          </cell>
          <cell r="AL351">
            <v>22666835.920000002</v>
          </cell>
          <cell r="AM351">
            <v>17869442.899999999</v>
          </cell>
          <cell r="AN351">
            <v>20407143.399999999</v>
          </cell>
          <cell r="AO351">
            <v>29988883.34</v>
          </cell>
          <cell r="AP351">
            <v>30496228.98</v>
          </cell>
          <cell r="AQ351">
            <v>25425348.940000001</v>
          </cell>
          <cell r="AR351">
            <v>29266124.25</v>
          </cell>
          <cell r="AS351">
            <v>26763987.870000001</v>
          </cell>
          <cell r="AT351">
            <v>23778388.969999999</v>
          </cell>
          <cell r="AU351">
            <v>24866772.41</v>
          </cell>
          <cell r="AV351">
            <v>19382730.989999998</v>
          </cell>
          <cell r="AW351">
            <v>26222134.059999999</v>
          </cell>
          <cell r="AX351">
            <v>21363062.82</v>
          </cell>
          <cell r="AY351">
            <v>23526603.07</v>
          </cell>
          <cell r="AZ351">
            <v>29589589.309999999</v>
          </cell>
          <cell r="BA351">
            <v>39142637.479999997</v>
          </cell>
          <cell r="BB351">
            <v>33520126.620000001</v>
          </cell>
          <cell r="BC351">
            <v>28369965.609999999</v>
          </cell>
          <cell r="BD351">
            <v>30347437.300000001</v>
          </cell>
          <cell r="BE351">
            <v>26461489.609999999</v>
          </cell>
          <cell r="BF351">
            <v>26323048.57</v>
          </cell>
          <cell r="BG351">
            <v>27677789.359999999</v>
          </cell>
          <cell r="BH351">
            <v>22422804.370000001</v>
          </cell>
          <cell r="BI351">
            <v>26981163.199999999</v>
          </cell>
          <cell r="BJ351">
            <v>25315728.010000002</v>
          </cell>
          <cell r="BK351">
            <v>24158601.609999999</v>
          </cell>
          <cell r="BL351">
            <v>29542589.260000002</v>
          </cell>
          <cell r="BM351">
            <v>32582158.719999999</v>
          </cell>
          <cell r="BN351">
            <v>32195813.649999999</v>
          </cell>
          <cell r="BO351">
            <v>29074433.710000001</v>
          </cell>
          <cell r="BP351">
            <v>27185463.84</v>
          </cell>
          <cell r="BQ351">
            <v>25642351.34</v>
          </cell>
          <cell r="BR351">
            <v>23881225.350000001</v>
          </cell>
          <cell r="BS351">
            <v>21407370.66</v>
          </cell>
          <cell r="BT351">
            <v>20163176.579999998</v>
          </cell>
          <cell r="BU351">
            <v>23570156.899999999</v>
          </cell>
          <cell r="BV351">
            <v>20921762.350000001</v>
          </cell>
          <cell r="BW351">
            <v>25051047.789999999</v>
          </cell>
          <cell r="BX351">
            <v>28445716.460000001</v>
          </cell>
          <cell r="BY351">
            <v>33690965.270000003</v>
          </cell>
          <cell r="BZ351">
            <v>31434966.370000001</v>
          </cell>
          <cell r="CA351">
            <v>28960246.870000001</v>
          </cell>
          <cell r="CB351">
            <v>25442431.469999999</v>
          </cell>
          <cell r="CC351">
            <v>24859606.969999999</v>
          </cell>
          <cell r="CD351">
            <v>24328612.75</v>
          </cell>
          <cell r="CE351">
            <v>22554225.649999999</v>
          </cell>
          <cell r="CF351">
            <v>22331643.629999999</v>
          </cell>
          <cell r="CG351">
            <v>23076572.399999999</v>
          </cell>
          <cell r="CH351">
            <v>21627940.539999999</v>
          </cell>
          <cell r="CI351">
            <v>25437275.010000002</v>
          </cell>
          <cell r="CJ351">
            <v>29061274.129999999</v>
          </cell>
          <cell r="CK351">
            <v>41434704.340000004</v>
          </cell>
          <cell r="CL351">
            <v>43191845.93</v>
          </cell>
          <cell r="CM351">
            <v>37311112.030000001</v>
          </cell>
          <cell r="CN351">
            <v>33050040.489999998</v>
          </cell>
          <cell r="CO351">
            <v>31383893.140000001</v>
          </cell>
          <cell r="CP351">
            <v>28707721.800000001</v>
          </cell>
          <cell r="CQ351">
            <v>28842329.620000001</v>
          </cell>
          <cell r="CR351">
            <v>27207266.440000001</v>
          </cell>
          <cell r="CS351">
            <v>28836682.52</v>
          </cell>
          <cell r="CT351">
            <v>30680668.960000001</v>
          </cell>
          <cell r="CU351">
            <v>29358886.93</v>
          </cell>
          <cell r="CV351">
            <v>34889403.490000002</v>
          </cell>
          <cell r="CW351">
            <v>46802984</v>
          </cell>
          <cell r="CX351">
            <v>51862174.68</v>
          </cell>
          <cell r="CY351">
            <v>42268944.789999999</v>
          </cell>
          <cell r="CZ351">
            <v>40632814.960000001</v>
          </cell>
          <cell r="DA351">
            <v>41650049.289999999</v>
          </cell>
          <cell r="DB351">
            <v>37929803</v>
          </cell>
          <cell r="DC351">
            <v>40669428.009999998</v>
          </cell>
          <cell r="DD351">
            <v>36887532.149999999</v>
          </cell>
          <cell r="DE351">
            <v>36611247.780000001</v>
          </cell>
          <cell r="DF351">
            <v>34676257.579999998</v>
          </cell>
          <cell r="DG351">
            <v>32838622.920000002</v>
          </cell>
          <cell r="DH351">
            <v>37678297.049999997</v>
          </cell>
        </row>
        <row r="352">
          <cell r="A352" t="str">
            <v>143</v>
          </cell>
          <cell r="D352">
            <v>6933410.6600000001</v>
          </cell>
          <cell r="E352">
            <v>5883486.5499999998</v>
          </cell>
          <cell r="F352">
            <v>5824437.5899999999</v>
          </cell>
          <cell r="G352">
            <v>5777857.2000000002</v>
          </cell>
          <cell r="H352">
            <v>5772900.4299999997</v>
          </cell>
          <cell r="I352">
            <v>5532771.5999999996</v>
          </cell>
          <cell r="J352">
            <v>5646484.5599999996</v>
          </cell>
          <cell r="K352">
            <v>5652063.2800000003</v>
          </cell>
          <cell r="L352">
            <v>5324765.95</v>
          </cell>
          <cell r="M352">
            <v>5334747.5999999996</v>
          </cell>
          <cell r="N352">
            <v>5311839.84</v>
          </cell>
          <cell r="O352">
            <v>5376119.1200000001</v>
          </cell>
          <cell r="P352">
            <v>15706678.98</v>
          </cell>
          <cell r="Q352">
            <v>5800966.4000000004</v>
          </cell>
          <cell r="R352">
            <v>5900607.79</v>
          </cell>
          <cell r="S352">
            <v>5914383.7000000002</v>
          </cell>
          <cell r="T352">
            <v>5959177.7000000002</v>
          </cell>
          <cell r="U352">
            <v>6361034.1299999999</v>
          </cell>
          <cell r="V352">
            <v>6176915.6100000003</v>
          </cell>
          <cell r="W352">
            <v>6986829.8200000003</v>
          </cell>
          <cell r="X352">
            <v>6080720.6100000003</v>
          </cell>
          <cell r="Y352">
            <v>6232480.0300000003</v>
          </cell>
          <cell r="Z352">
            <v>6271078.3600000003</v>
          </cell>
          <cell r="AA352">
            <v>20173951.489999998</v>
          </cell>
          <cell r="AB352">
            <v>6205664.9800000004</v>
          </cell>
          <cell r="AC352">
            <v>6357385.4199999999</v>
          </cell>
          <cell r="AD352">
            <v>6817736.8700000001</v>
          </cell>
          <cell r="AE352">
            <v>6504847.0300000003</v>
          </cell>
          <cell r="AF352">
            <v>6589860.0700000003</v>
          </cell>
          <cell r="AG352">
            <v>6565581.7800000003</v>
          </cell>
          <cell r="AH352">
            <v>6303047.5599999996</v>
          </cell>
          <cell r="AI352">
            <v>6635591.2699999996</v>
          </cell>
          <cell r="AJ352">
            <v>6625883.5199999996</v>
          </cell>
          <cell r="AK352">
            <v>7369022.1500000004</v>
          </cell>
          <cell r="AL352">
            <v>6447692.0300000003</v>
          </cell>
          <cell r="AM352">
            <v>6572206.3200000003</v>
          </cell>
          <cell r="AN352">
            <v>7886631.79</v>
          </cell>
          <cell r="AO352">
            <v>6087617.1100000003</v>
          </cell>
          <cell r="AP352">
            <v>6172022.8300000001</v>
          </cell>
          <cell r="AQ352">
            <v>6196462.5899999999</v>
          </cell>
          <cell r="AR352">
            <v>5795704.7199999997</v>
          </cell>
          <cell r="AS352">
            <v>6018720.0700000003</v>
          </cell>
          <cell r="AT352">
            <v>5669492.2199999997</v>
          </cell>
          <cell r="AU352">
            <v>5125177.49</v>
          </cell>
          <cell r="AV352">
            <v>4739086.07</v>
          </cell>
          <cell r="AW352">
            <v>4631835.16</v>
          </cell>
          <cell r="AX352">
            <v>4457602.3</v>
          </cell>
          <cell r="AY352">
            <v>4244813.99</v>
          </cell>
          <cell r="AZ352">
            <v>4383604.59</v>
          </cell>
          <cell r="BA352">
            <v>4161462.67</v>
          </cell>
          <cell r="BB352">
            <v>3979331.42</v>
          </cell>
          <cell r="BC352">
            <v>3806110.35</v>
          </cell>
          <cell r="BD352">
            <v>3613904.27</v>
          </cell>
          <cell r="BE352">
            <v>3896226.97</v>
          </cell>
          <cell r="BF352">
            <v>3557213.27</v>
          </cell>
          <cell r="BG352">
            <v>3186267.09</v>
          </cell>
          <cell r="BH352">
            <v>3210920.2</v>
          </cell>
          <cell r="BI352">
            <v>2980073.78</v>
          </cell>
          <cell r="BJ352">
            <v>2806906.94</v>
          </cell>
          <cell r="BK352">
            <v>2450891.77</v>
          </cell>
          <cell r="BL352">
            <v>2653972.5299999998</v>
          </cell>
          <cell r="BM352">
            <v>2331802.9900000002</v>
          </cell>
          <cell r="BN352">
            <v>2227547.2999999998</v>
          </cell>
          <cell r="BO352">
            <v>1943320.21</v>
          </cell>
          <cell r="BP352">
            <v>1737126.09</v>
          </cell>
          <cell r="BQ352">
            <v>1704747.41</v>
          </cell>
          <cell r="BR352">
            <v>1711318.94</v>
          </cell>
          <cell r="BS352">
            <v>1624263.64</v>
          </cell>
          <cell r="BT352">
            <v>1471182.85</v>
          </cell>
          <cell r="BU352">
            <v>1369292.52</v>
          </cell>
          <cell r="BV352">
            <v>1167125.04</v>
          </cell>
          <cell r="BW352">
            <v>1141355.3400000001</v>
          </cell>
          <cell r="BX352">
            <v>1394531.22</v>
          </cell>
          <cell r="BY352">
            <v>1189570.49</v>
          </cell>
          <cell r="BZ352">
            <v>1177170.6399999999</v>
          </cell>
          <cell r="CA352">
            <v>1427785.95</v>
          </cell>
          <cell r="CB352">
            <v>1303718.8999999999</v>
          </cell>
          <cell r="CC352">
            <v>1513595.07</v>
          </cell>
          <cell r="CD352">
            <v>1657453.27</v>
          </cell>
          <cell r="CE352">
            <v>1666523.77</v>
          </cell>
          <cell r="CF352">
            <v>1315232.72</v>
          </cell>
          <cell r="CG352">
            <v>1134164.28</v>
          </cell>
          <cell r="CH352">
            <v>513325.58</v>
          </cell>
          <cell r="CI352">
            <v>1398217.09</v>
          </cell>
          <cell r="CJ352">
            <v>621522.71</v>
          </cell>
          <cell r="CK352">
            <v>258848.95</v>
          </cell>
          <cell r="CL352">
            <v>339721.93</v>
          </cell>
          <cell r="CM352">
            <v>248664.7</v>
          </cell>
          <cell r="CN352">
            <v>380073.17</v>
          </cell>
          <cell r="CO352">
            <v>367847.02</v>
          </cell>
          <cell r="CP352">
            <v>311076.01</v>
          </cell>
          <cell r="CQ352">
            <v>413518.29</v>
          </cell>
          <cell r="CR352">
            <v>490886.63</v>
          </cell>
          <cell r="CS352">
            <v>621241.31999999995</v>
          </cell>
          <cell r="CT352">
            <v>403068.56</v>
          </cell>
          <cell r="CU352">
            <v>425065.36</v>
          </cell>
          <cell r="CV352">
            <v>4473619.8099999996</v>
          </cell>
          <cell r="CW352">
            <v>334653.99</v>
          </cell>
          <cell r="CX352">
            <v>639108.68999999994</v>
          </cell>
          <cell r="CY352">
            <v>446418.19</v>
          </cell>
          <cell r="CZ352">
            <v>467664.16</v>
          </cell>
          <cell r="DA352">
            <v>549196.46</v>
          </cell>
          <cell r="DB352">
            <v>1602836.05</v>
          </cell>
          <cell r="DC352">
            <v>3601357.07</v>
          </cell>
          <cell r="DD352">
            <v>706081.62</v>
          </cell>
          <cell r="DE352">
            <v>2131383</v>
          </cell>
          <cell r="DF352">
            <v>1460709.73</v>
          </cell>
          <cell r="DG352">
            <v>2753147.72</v>
          </cell>
          <cell r="DH352">
            <v>1528487.38</v>
          </cell>
        </row>
        <row r="353">
          <cell r="A353" t="str">
            <v>144</v>
          </cell>
          <cell r="C353"/>
          <cell r="D353">
            <v>-731329.09</v>
          </cell>
          <cell r="E353">
            <v>-782748.28</v>
          </cell>
          <cell r="F353">
            <v>-917716.05</v>
          </cell>
          <cell r="G353">
            <v>-957279.1</v>
          </cell>
          <cell r="H353">
            <v>-935207.56</v>
          </cell>
          <cell r="I353">
            <v>-816528.2</v>
          </cell>
          <cell r="J353">
            <v>-856777.71</v>
          </cell>
          <cell r="K353">
            <v>-794094.56</v>
          </cell>
          <cell r="L353">
            <v>-747608.48</v>
          </cell>
          <cell r="M353">
            <v>-725358.9</v>
          </cell>
          <cell r="N353">
            <v>-695536.87</v>
          </cell>
          <cell r="O353">
            <v>-707430.92</v>
          </cell>
          <cell r="P353">
            <v>-716180.51</v>
          </cell>
          <cell r="Q353">
            <v>-764563.98</v>
          </cell>
          <cell r="R353">
            <v>-833682.14</v>
          </cell>
          <cell r="S353">
            <v>-866987.2</v>
          </cell>
          <cell r="T353">
            <v>-866890.19</v>
          </cell>
          <cell r="U353">
            <v>-848576.7</v>
          </cell>
          <cell r="V353">
            <v>-848491.47</v>
          </cell>
          <cell r="W353">
            <v>-838881.91</v>
          </cell>
          <cell r="X353">
            <v>-842812.73</v>
          </cell>
          <cell r="Y353">
            <v>-837646</v>
          </cell>
          <cell r="Z353">
            <v>-838111.69</v>
          </cell>
          <cell r="AA353">
            <v>-849690.38</v>
          </cell>
          <cell r="AB353">
            <v>-847212.74</v>
          </cell>
          <cell r="AC353">
            <v>-887536.24</v>
          </cell>
          <cell r="AD353">
            <v>-944535.58</v>
          </cell>
          <cell r="AE353">
            <v>-956846.5</v>
          </cell>
          <cell r="AF353">
            <v>-941985.09</v>
          </cell>
          <cell r="AG353">
            <v>-940287.95</v>
          </cell>
          <cell r="AH353">
            <v>-903512.59</v>
          </cell>
          <cell r="AI353">
            <v>-849498.54</v>
          </cell>
          <cell r="AJ353">
            <v>-845093.79</v>
          </cell>
          <cell r="AK353">
            <v>-801433.25</v>
          </cell>
          <cell r="AL353">
            <v>-783650.76</v>
          </cell>
          <cell r="AM353">
            <v>-787925.3</v>
          </cell>
          <cell r="AN353">
            <v>-113418.5</v>
          </cell>
          <cell r="AO353">
            <v>-207044.19</v>
          </cell>
          <cell r="AP353">
            <v>-288993.48</v>
          </cell>
          <cell r="AQ353">
            <v>-453047.41</v>
          </cell>
          <cell r="AR353">
            <v>-288871.28999999998</v>
          </cell>
          <cell r="AS353">
            <v>-310800.03999999998</v>
          </cell>
          <cell r="AT353">
            <v>-222271.28</v>
          </cell>
          <cell r="AU353">
            <v>-283591.84000000003</v>
          </cell>
          <cell r="AV353">
            <v>-271504.96000000002</v>
          </cell>
          <cell r="AW353">
            <v>-260755.54</v>
          </cell>
          <cell r="AX353">
            <v>-259628.15</v>
          </cell>
          <cell r="AY353">
            <v>-275756.57</v>
          </cell>
          <cell r="AZ353">
            <v>-302186.99</v>
          </cell>
          <cell r="BA353">
            <v>-382590.6</v>
          </cell>
          <cell r="BB353">
            <v>-281097.52</v>
          </cell>
          <cell r="BC353">
            <v>-251701.7</v>
          </cell>
          <cell r="BD353">
            <v>-213849.52</v>
          </cell>
          <cell r="BE353">
            <v>-201884.92</v>
          </cell>
          <cell r="BF353">
            <v>-195494.82</v>
          </cell>
          <cell r="BG353">
            <v>-201995.58</v>
          </cell>
          <cell r="BH353">
            <v>-221122.53</v>
          </cell>
          <cell r="BI353">
            <v>-220732.07</v>
          </cell>
          <cell r="BJ353">
            <v>-205020.84</v>
          </cell>
          <cell r="BK353">
            <v>-208157.12</v>
          </cell>
          <cell r="BL353">
            <v>-248774.45</v>
          </cell>
          <cell r="BM353">
            <v>-268023.42</v>
          </cell>
          <cell r="BN353">
            <v>-261911.67</v>
          </cell>
          <cell r="BO353">
            <v>-260675.28</v>
          </cell>
          <cell r="BP353">
            <v>-260922.33</v>
          </cell>
          <cell r="BQ353">
            <v>-252489.89</v>
          </cell>
          <cell r="BR353">
            <v>-230230.67</v>
          </cell>
          <cell r="BS353">
            <v>-41515.67</v>
          </cell>
          <cell r="BT353">
            <v>-32340.85</v>
          </cell>
          <cell r="BU353">
            <v>1257.83</v>
          </cell>
          <cell r="BV353">
            <v>-14360.6</v>
          </cell>
          <cell r="BW353">
            <v>-32957.22</v>
          </cell>
          <cell r="BX353">
            <v>-36809.25</v>
          </cell>
          <cell r="BY353">
            <v>-59079.53</v>
          </cell>
          <cell r="BZ353">
            <v>-25686.27</v>
          </cell>
          <cell r="CA353">
            <v>-207873.18</v>
          </cell>
          <cell r="CB353">
            <v>-452784.82</v>
          </cell>
          <cell r="CC353">
            <v>-804530.58</v>
          </cell>
          <cell r="CD353">
            <v>-1102637.56</v>
          </cell>
          <cell r="CE353">
            <v>-1311633.3799999999</v>
          </cell>
          <cell r="CF353">
            <v>-1549808.38</v>
          </cell>
          <cell r="CG353">
            <v>-1725016.56</v>
          </cell>
          <cell r="CH353">
            <v>-1516639.96</v>
          </cell>
          <cell r="CI353">
            <v>-1648035.37</v>
          </cell>
          <cell r="CJ353">
            <v>-1047188.69</v>
          </cell>
          <cell r="CK353">
            <v>-1240201.96</v>
          </cell>
          <cell r="CL353">
            <v>-1410587.62</v>
          </cell>
          <cell r="CM353">
            <v>-1088199.1000000001</v>
          </cell>
          <cell r="CN353">
            <v>-1175985.28</v>
          </cell>
          <cell r="CO353">
            <v>-1250565.3600000001</v>
          </cell>
          <cell r="CP353">
            <v>-1225441.08</v>
          </cell>
          <cell r="CQ353">
            <v>-1256982.07</v>
          </cell>
          <cell r="CR353">
            <v>-1305700.52</v>
          </cell>
          <cell r="CS353">
            <v>-1353847.6</v>
          </cell>
          <cell r="CT353">
            <v>-1419739.68</v>
          </cell>
          <cell r="CU353">
            <v>-1392489.63</v>
          </cell>
          <cell r="CV353">
            <v>-1399521.73</v>
          </cell>
          <cell r="CW353">
            <v>-1454324.2</v>
          </cell>
          <cell r="CX353">
            <v>-1452668.41</v>
          </cell>
          <cell r="CY353">
            <v>-1468639.55</v>
          </cell>
          <cell r="CZ353">
            <v>-1385693.53</v>
          </cell>
          <cell r="DA353">
            <v>-1400061.24</v>
          </cell>
          <cell r="DB353">
            <v>-1421281.36</v>
          </cell>
          <cell r="DC353">
            <v>-1418467.37</v>
          </cell>
          <cell r="DD353">
            <v>-1499461.13</v>
          </cell>
          <cell r="DE353">
            <v>-1499789.83</v>
          </cell>
          <cell r="DF353">
            <v>-1499667.41</v>
          </cell>
          <cell r="DG353">
            <v>-1403566.05</v>
          </cell>
          <cell r="DH353">
            <v>-888664.99</v>
          </cell>
        </row>
        <row r="354">
          <cell r="A354" t="str">
            <v>145</v>
          </cell>
          <cell r="D354">
            <v>0</v>
          </cell>
          <cell r="E354">
            <v>0</v>
          </cell>
          <cell r="F354">
            <v>0</v>
          </cell>
          <cell r="G354">
            <v>1500000</v>
          </cell>
          <cell r="H354">
            <v>0</v>
          </cell>
          <cell r="I354">
            <v>0</v>
          </cell>
          <cell r="J354">
            <v>0</v>
          </cell>
          <cell r="K354">
            <v>0</v>
          </cell>
          <cell r="L354">
            <v>0</v>
          </cell>
          <cell r="M354">
            <v>0</v>
          </cell>
          <cell r="N354">
            <v>0</v>
          </cell>
          <cell r="O354">
            <v>0</v>
          </cell>
          <cell r="P354">
            <v>0</v>
          </cell>
          <cell r="Q354">
            <v>0</v>
          </cell>
          <cell r="R354">
            <v>0</v>
          </cell>
          <cell r="S354">
            <v>4600000</v>
          </cell>
          <cell r="T354">
            <v>10450000</v>
          </cell>
          <cell r="U354">
            <v>0</v>
          </cell>
          <cell r="V354">
            <v>0</v>
          </cell>
          <cell r="W354">
            <v>0</v>
          </cell>
          <cell r="X354">
            <v>0</v>
          </cell>
          <cell r="Y354">
            <v>0</v>
          </cell>
          <cell r="Z354">
            <v>0</v>
          </cell>
          <cell r="AA354">
            <v>4500000</v>
          </cell>
          <cell r="AB354">
            <v>12000000</v>
          </cell>
          <cell r="AC354">
            <v>3000000</v>
          </cell>
          <cell r="AD354">
            <v>0</v>
          </cell>
          <cell r="AE354">
            <v>0</v>
          </cell>
          <cell r="AF354">
            <v>23200000</v>
          </cell>
          <cell r="AG354">
            <v>5650000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9532753.8200000003</v>
          </cell>
          <cell r="CJ354">
            <v>9933659.4900000002</v>
          </cell>
          <cell r="CK354">
            <v>10459212.380000001</v>
          </cell>
          <cell r="CL354">
            <v>9618303.3200000003</v>
          </cell>
          <cell r="CM354">
            <v>10315787.27</v>
          </cell>
          <cell r="CN354">
            <v>9943295.0999999996</v>
          </cell>
          <cell r="CO354">
            <v>10267360</v>
          </cell>
          <cell r="CP354">
            <v>9828835.2899999991</v>
          </cell>
          <cell r="CQ354">
            <v>9719853.5899999999</v>
          </cell>
          <cell r="CR354">
            <v>10043801.52</v>
          </cell>
          <cell r="CS354">
            <v>9672449.2899999991</v>
          </cell>
          <cell r="CT354">
            <v>9146808.5800000001</v>
          </cell>
          <cell r="CU354">
            <v>9368777.5999999996</v>
          </cell>
          <cell r="CV354">
            <v>9985214.7300000004</v>
          </cell>
          <cell r="CW354">
            <v>8951965.4800000004</v>
          </cell>
          <cell r="CX354">
            <v>10205362.74</v>
          </cell>
          <cell r="CY354">
            <v>10528065.710000001</v>
          </cell>
          <cell r="CZ354">
            <v>9956717.6400000006</v>
          </cell>
          <cell r="DA354">
            <v>10337559.310000001</v>
          </cell>
          <cell r="DB354">
            <v>9979167.6400000006</v>
          </cell>
          <cell r="DC354">
            <v>9678886.3599999994</v>
          </cell>
          <cell r="DD354">
            <v>10135317.810000001</v>
          </cell>
          <cell r="DE354">
            <v>9639007.4199999999</v>
          </cell>
          <cell r="DF354">
            <v>9123362.3000000007</v>
          </cell>
          <cell r="DG354">
            <v>9579074.5899999999</v>
          </cell>
          <cell r="DH354">
            <v>9393665.6600000001</v>
          </cell>
        </row>
        <row r="355">
          <cell r="A355" t="str">
            <v>146</v>
          </cell>
          <cell r="C355"/>
          <cell r="D355">
            <v>1682578.18</v>
          </cell>
          <cell r="E355">
            <v>1462616.51</v>
          </cell>
          <cell r="F355">
            <v>728199.31</v>
          </cell>
          <cell r="G355">
            <v>979890.58</v>
          </cell>
          <cell r="H355">
            <v>2479684.08</v>
          </cell>
          <cell r="I355">
            <v>1488272</v>
          </cell>
          <cell r="J355">
            <v>10648663.529999999</v>
          </cell>
          <cell r="K355">
            <v>2089793.79</v>
          </cell>
          <cell r="L355">
            <v>2483003.98</v>
          </cell>
          <cell r="M355">
            <v>1882648.85</v>
          </cell>
          <cell r="N355">
            <v>3905435.65</v>
          </cell>
          <cell r="O355">
            <v>1301608.32</v>
          </cell>
          <cell r="P355">
            <v>4052631.34</v>
          </cell>
          <cell r="Q355">
            <v>931282.67</v>
          </cell>
          <cell r="R355">
            <v>2163255.9</v>
          </cell>
          <cell r="S355">
            <v>2254588.08</v>
          </cell>
          <cell r="T355">
            <v>2013841.25</v>
          </cell>
          <cell r="U355">
            <v>1614332.25</v>
          </cell>
          <cell r="V355">
            <v>2837890.92</v>
          </cell>
          <cell r="W355">
            <v>2766476.36</v>
          </cell>
          <cell r="X355">
            <v>2516200.25</v>
          </cell>
          <cell r="Y355">
            <v>928631.87</v>
          </cell>
          <cell r="Z355">
            <v>1675960.84</v>
          </cell>
          <cell r="AA355">
            <v>1457299.19</v>
          </cell>
          <cell r="AB355">
            <v>2349948.4300000002</v>
          </cell>
          <cell r="AC355">
            <v>2829742.65</v>
          </cell>
          <cell r="AD355">
            <v>2457229.4300000002</v>
          </cell>
          <cell r="AE355">
            <v>2948518.52</v>
          </cell>
          <cell r="AF355">
            <v>1635076.98</v>
          </cell>
          <cell r="AG355">
            <v>86583.99</v>
          </cell>
          <cell r="AH355">
            <v>360365.74</v>
          </cell>
          <cell r="AI355">
            <v>518687.03</v>
          </cell>
          <cell r="AJ355">
            <v>291024.31</v>
          </cell>
          <cell r="AK355">
            <v>48746.96</v>
          </cell>
          <cell r="AL355">
            <v>261654.41</v>
          </cell>
          <cell r="AM355">
            <v>158587.85</v>
          </cell>
          <cell r="AN355">
            <v>503313.03</v>
          </cell>
          <cell r="AO355">
            <v>619802.68999999994</v>
          </cell>
          <cell r="AP355">
            <v>634642.61</v>
          </cell>
          <cell r="AQ355">
            <v>939793.14</v>
          </cell>
          <cell r="AR355">
            <v>408073.38</v>
          </cell>
          <cell r="AS355">
            <v>1572729.47</v>
          </cell>
          <cell r="AT355">
            <v>1404369.23</v>
          </cell>
          <cell r="AU355">
            <v>1100678.23</v>
          </cell>
          <cell r="AV355">
            <v>20878471.289999999</v>
          </cell>
          <cell r="AW355">
            <v>5018491.0999999996</v>
          </cell>
          <cell r="AX355">
            <v>1025163.49</v>
          </cell>
          <cell r="AY355">
            <v>435683.47</v>
          </cell>
          <cell r="AZ355">
            <v>1710033.81</v>
          </cell>
          <cell r="BA355">
            <v>3492470.22</v>
          </cell>
          <cell r="BB355">
            <v>2241750.75</v>
          </cell>
          <cell r="BC355">
            <v>890002.85</v>
          </cell>
          <cell r="BD355">
            <v>318547.93</v>
          </cell>
          <cell r="BE355">
            <v>1161385.1100000001</v>
          </cell>
          <cell r="BF355">
            <v>3415462.82</v>
          </cell>
          <cell r="BG355">
            <v>2333749.14</v>
          </cell>
          <cell r="BH355">
            <v>1768842.13</v>
          </cell>
          <cell r="BI355">
            <v>3627743.86</v>
          </cell>
          <cell r="BJ355">
            <v>5204923.07</v>
          </cell>
          <cell r="BK355">
            <v>4402637.72</v>
          </cell>
          <cell r="BL355">
            <v>713313.1</v>
          </cell>
          <cell r="BM355">
            <v>3029000.92</v>
          </cell>
          <cell r="BN355">
            <v>922456.72</v>
          </cell>
          <cell r="BO355">
            <v>2538943.4300000002</v>
          </cell>
          <cell r="BP355">
            <v>985413.75</v>
          </cell>
          <cell r="BQ355">
            <v>2162611.64</v>
          </cell>
          <cell r="BR355">
            <v>793870.64</v>
          </cell>
          <cell r="BS355">
            <v>899724.5</v>
          </cell>
          <cell r="BT355">
            <v>1123644.49</v>
          </cell>
          <cell r="BU355">
            <v>3093512.67</v>
          </cell>
          <cell r="BV355">
            <v>2962536.56</v>
          </cell>
          <cell r="BW355">
            <v>790710.66</v>
          </cell>
          <cell r="BX355">
            <v>1028391.49</v>
          </cell>
          <cell r="BY355">
            <v>1617267.62</v>
          </cell>
          <cell r="BZ355">
            <v>615543.57999999996</v>
          </cell>
          <cell r="CA355">
            <v>1051850.45</v>
          </cell>
          <cell r="CB355">
            <v>320408.87</v>
          </cell>
          <cell r="CC355">
            <v>925310.73</v>
          </cell>
          <cell r="CD355">
            <v>964791.86</v>
          </cell>
          <cell r="CE355">
            <v>1181441.3999999999</v>
          </cell>
          <cell r="CF355">
            <v>941547.1</v>
          </cell>
          <cell r="CG355">
            <v>485400.81</v>
          </cell>
          <cell r="CH355">
            <v>651196.72</v>
          </cell>
          <cell r="CI355">
            <v>498782.47</v>
          </cell>
          <cell r="CJ355">
            <v>692220.36</v>
          </cell>
          <cell r="CK355">
            <v>445126.1</v>
          </cell>
          <cell r="CL355">
            <v>585526.36</v>
          </cell>
          <cell r="CM355">
            <v>1317455.7</v>
          </cell>
          <cell r="CN355">
            <v>1448720</v>
          </cell>
          <cell r="CO355">
            <v>797511.06</v>
          </cell>
          <cell r="CP355">
            <v>2124067.8199999998</v>
          </cell>
          <cell r="CQ355">
            <v>2972567.28</v>
          </cell>
          <cell r="CR355">
            <v>2620581.5099999998</v>
          </cell>
          <cell r="CS355">
            <v>1434046.91</v>
          </cell>
          <cell r="CT355">
            <v>1871289.54</v>
          </cell>
          <cell r="CU355">
            <v>906420.85</v>
          </cell>
          <cell r="CV355">
            <v>828793.11</v>
          </cell>
          <cell r="CW355">
            <v>1924042.75</v>
          </cell>
          <cell r="CX355">
            <v>1004313.77</v>
          </cell>
          <cell r="CY355">
            <v>2367830.9700000002</v>
          </cell>
          <cell r="CZ355">
            <v>1594424.02</v>
          </cell>
          <cell r="DA355">
            <v>5390555.04</v>
          </cell>
          <cell r="DB355">
            <v>7130647.5700000003</v>
          </cell>
          <cell r="DC355">
            <v>4630427.6399999997</v>
          </cell>
          <cell r="DD355">
            <v>5402517.8600000003</v>
          </cell>
          <cell r="DE355">
            <v>4004251.59</v>
          </cell>
          <cell r="DF355">
            <v>2491050.86</v>
          </cell>
          <cell r="DG355">
            <v>1993234.48</v>
          </cell>
          <cell r="DH355">
            <v>3816942.81</v>
          </cell>
        </row>
        <row r="356">
          <cell r="A356" t="str">
            <v>154</v>
          </cell>
          <cell r="D356">
            <v>3062782.86</v>
          </cell>
          <cell r="E356">
            <v>2461744.83</v>
          </cell>
          <cell r="F356">
            <v>2565528.77</v>
          </cell>
          <cell r="G356">
            <v>2101725.61</v>
          </cell>
          <cell r="H356">
            <v>2087172.27</v>
          </cell>
          <cell r="I356">
            <v>1883606.53</v>
          </cell>
          <cell r="J356">
            <v>1960379.72</v>
          </cell>
          <cell r="K356">
            <v>1886869.5</v>
          </cell>
          <cell r="L356">
            <v>1975215.06</v>
          </cell>
          <cell r="M356">
            <v>1938993.96</v>
          </cell>
          <cell r="N356">
            <v>1755238.86</v>
          </cell>
          <cell r="O356">
            <v>1763112.05</v>
          </cell>
          <cell r="P356">
            <v>1799639.2</v>
          </cell>
          <cell r="Q356">
            <v>1795256.79</v>
          </cell>
          <cell r="R356">
            <v>1882330.62</v>
          </cell>
          <cell r="S356">
            <v>1995646.83</v>
          </cell>
          <cell r="T356">
            <v>1941364.49</v>
          </cell>
          <cell r="U356">
            <v>1971050.56</v>
          </cell>
          <cell r="V356">
            <v>2109939.8199999998</v>
          </cell>
          <cell r="W356">
            <v>2392366.35</v>
          </cell>
          <cell r="X356">
            <v>2373514.0699999998</v>
          </cell>
          <cell r="Y356">
            <v>2155566.11</v>
          </cell>
          <cell r="Z356">
            <v>2415372.61</v>
          </cell>
          <cell r="AA356">
            <v>1914661.89</v>
          </cell>
          <cell r="AB356">
            <v>2065067.07</v>
          </cell>
          <cell r="AC356">
            <v>1876254.86</v>
          </cell>
          <cell r="AD356">
            <v>1981157.8</v>
          </cell>
          <cell r="AE356">
            <v>1959619.57</v>
          </cell>
          <cell r="AF356">
            <v>1899603.24</v>
          </cell>
          <cell r="AG356">
            <v>2257611.46</v>
          </cell>
          <cell r="AH356">
            <v>1808145.3</v>
          </cell>
          <cell r="AI356">
            <v>1956116.69</v>
          </cell>
          <cell r="AJ356">
            <v>1919024.36</v>
          </cell>
          <cell r="AK356">
            <v>2077150.46</v>
          </cell>
          <cell r="AL356">
            <v>1860636.12</v>
          </cell>
          <cell r="AM356">
            <v>1623395.73</v>
          </cell>
          <cell r="AN356">
            <v>1700702.4</v>
          </cell>
          <cell r="AO356">
            <v>1858855.81</v>
          </cell>
          <cell r="AP356">
            <v>1904817.91</v>
          </cell>
          <cell r="AQ356">
            <v>1988687.66</v>
          </cell>
          <cell r="AR356">
            <v>1926638.87</v>
          </cell>
          <cell r="AS356">
            <v>2100729.92</v>
          </cell>
          <cell r="AT356">
            <v>2046668.36</v>
          </cell>
          <cell r="AU356">
            <v>2071037.68</v>
          </cell>
          <cell r="AV356">
            <v>2016818.42</v>
          </cell>
          <cell r="AW356">
            <v>2131647.7999999998</v>
          </cell>
          <cell r="AX356">
            <v>2042216.68</v>
          </cell>
          <cell r="AY356">
            <v>1900584.82</v>
          </cell>
          <cell r="AZ356">
            <v>1887695.39</v>
          </cell>
          <cell r="BA356">
            <v>2070997.65</v>
          </cell>
          <cell r="BB356">
            <v>2149876.11</v>
          </cell>
          <cell r="BC356">
            <v>2006690.32</v>
          </cell>
          <cell r="BD356">
            <v>1972097.67</v>
          </cell>
          <cell r="BE356">
            <v>2190177.17</v>
          </cell>
          <cell r="BF356">
            <v>2163452.0299999998</v>
          </cell>
          <cell r="BG356">
            <v>2125576.85</v>
          </cell>
          <cell r="BH356">
            <v>2476378.0499999998</v>
          </cell>
          <cell r="BI356">
            <v>2741218.33</v>
          </cell>
          <cell r="BJ356">
            <v>2360109.85</v>
          </cell>
          <cell r="BK356">
            <v>2172177.2200000002</v>
          </cell>
          <cell r="BL356">
            <v>2073130.1</v>
          </cell>
          <cell r="BM356">
            <v>2183604.33</v>
          </cell>
          <cell r="BN356">
            <v>2363788.79</v>
          </cell>
          <cell r="BO356">
            <v>2385549.1</v>
          </cell>
          <cell r="BP356">
            <v>2474715.5499999998</v>
          </cell>
          <cell r="BQ356">
            <v>2512819.36</v>
          </cell>
          <cell r="BR356">
            <v>2780054.56</v>
          </cell>
          <cell r="BS356">
            <v>2687237.82</v>
          </cell>
          <cell r="BT356">
            <v>2783190.01</v>
          </cell>
          <cell r="BU356">
            <v>2571701.88</v>
          </cell>
          <cell r="BV356">
            <v>2738670.95</v>
          </cell>
          <cell r="BW356">
            <v>2709384.59</v>
          </cell>
          <cell r="BX356">
            <v>2401228.73</v>
          </cell>
          <cell r="BY356">
            <v>2400792.73</v>
          </cell>
          <cell r="BZ356">
            <v>2617789.75</v>
          </cell>
          <cell r="CA356">
            <v>2444409.17</v>
          </cell>
          <cell r="CB356">
            <v>2661159.0499999998</v>
          </cell>
          <cell r="CC356">
            <v>2807189.21</v>
          </cell>
          <cell r="CD356">
            <v>2832085.74</v>
          </cell>
          <cell r="CE356">
            <v>2649768.37</v>
          </cell>
          <cell r="CF356">
            <v>2895960.3</v>
          </cell>
          <cell r="CG356">
            <v>2763278.25</v>
          </cell>
          <cell r="CH356">
            <v>3044537</v>
          </cell>
          <cell r="CI356">
            <v>2851203.61</v>
          </cell>
          <cell r="CJ356">
            <v>2998336.09</v>
          </cell>
          <cell r="CK356">
            <v>3185968.43</v>
          </cell>
          <cell r="CL356">
            <v>3089869.03</v>
          </cell>
          <cell r="CM356">
            <v>3262009.15</v>
          </cell>
          <cell r="CN356">
            <v>3750227.49</v>
          </cell>
          <cell r="CO356">
            <v>3835254.8</v>
          </cell>
          <cell r="CP356">
            <v>4186310.55</v>
          </cell>
          <cell r="CQ356">
            <v>3842946.45</v>
          </cell>
          <cell r="CR356">
            <v>4056172.35</v>
          </cell>
          <cell r="CS356">
            <v>4544331.8499999996</v>
          </cell>
          <cell r="CT356">
            <v>4167012.26</v>
          </cell>
          <cell r="CU356">
            <v>4010626.99</v>
          </cell>
          <cell r="CV356">
            <v>2635011.9900000002</v>
          </cell>
          <cell r="CW356">
            <v>3634159.02</v>
          </cell>
          <cell r="CX356">
            <v>3462773.67</v>
          </cell>
          <cell r="CY356">
            <v>3847498.79</v>
          </cell>
          <cell r="CZ356">
            <v>4272214.34</v>
          </cell>
          <cell r="DA356">
            <v>4533297.7300000004</v>
          </cell>
          <cell r="DB356">
            <v>4553497.25</v>
          </cell>
          <cell r="DC356">
            <v>4636479.63</v>
          </cell>
          <cell r="DD356">
            <v>4527009.3</v>
          </cell>
          <cell r="DE356">
            <v>5185663.9400000004</v>
          </cell>
          <cell r="DF356">
            <v>6167061.3200000003</v>
          </cell>
          <cell r="DG356">
            <v>6268299.8899999997</v>
          </cell>
          <cell r="DH356">
            <v>4817154.4800000004</v>
          </cell>
        </row>
        <row r="357">
          <cell r="A357" t="str">
            <v>164</v>
          </cell>
          <cell r="D357">
            <v>0</v>
          </cell>
          <cell r="E357">
            <v>0</v>
          </cell>
          <cell r="F357">
            <v>0</v>
          </cell>
          <cell r="G357">
            <v>0</v>
          </cell>
          <cell r="H357">
            <v>0</v>
          </cell>
          <cell r="I357">
            <v>915628.68</v>
          </cell>
          <cell r="J357">
            <v>674234.7</v>
          </cell>
          <cell r="K357">
            <v>566433.19999999995</v>
          </cell>
          <cell r="L357">
            <v>526874.73</v>
          </cell>
          <cell r="M357">
            <v>526874.73</v>
          </cell>
          <cell r="N357">
            <v>371458.67</v>
          </cell>
          <cell r="O357">
            <v>371458.67</v>
          </cell>
          <cell r="P357">
            <v>0.09</v>
          </cell>
          <cell r="Q357">
            <v>0.09</v>
          </cell>
          <cell r="R357">
            <v>126382.76</v>
          </cell>
          <cell r="S357">
            <v>126462.97</v>
          </cell>
          <cell r="T357">
            <v>303357.52</v>
          </cell>
          <cell r="U357">
            <v>328220.69</v>
          </cell>
          <cell r="V357">
            <v>152306.04</v>
          </cell>
          <cell r="W357">
            <v>275336.45</v>
          </cell>
          <cell r="X357">
            <v>188053.91</v>
          </cell>
          <cell r="Y357">
            <v>274691.52</v>
          </cell>
          <cell r="Z357">
            <v>274691.52</v>
          </cell>
          <cell r="AA357">
            <v>158626.06</v>
          </cell>
          <cell r="AB357">
            <v>234990.37</v>
          </cell>
          <cell r="AC357">
            <v>116977.52</v>
          </cell>
          <cell r="AD357">
            <v>141290.51999999999</v>
          </cell>
          <cell r="AE357">
            <v>180751.19</v>
          </cell>
          <cell r="AF357">
            <v>128606.99</v>
          </cell>
          <cell r="AG357">
            <v>175062.51</v>
          </cell>
          <cell r="AH357">
            <v>175779.32</v>
          </cell>
          <cell r="AI357">
            <v>159177.10999999999</v>
          </cell>
          <cell r="AJ357">
            <v>610201.92000000004</v>
          </cell>
          <cell r="AK357">
            <v>610201.92000000004</v>
          </cell>
          <cell r="AL357">
            <v>537006.63</v>
          </cell>
          <cell r="AM357">
            <v>537006.63</v>
          </cell>
          <cell r="AN357">
            <v>376420.21</v>
          </cell>
          <cell r="AO357">
            <v>332841.99</v>
          </cell>
          <cell r="AP357">
            <v>441100.59</v>
          </cell>
          <cell r="AQ357">
            <v>276589.73</v>
          </cell>
          <cell r="AR357">
            <v>326172.79999999999</v>
          </cell>
          <cell r="AS357">
            <v>326172.79999999999</v>
          </cell>
          <cell r="AT357">
            <v>467078.08</v>
          </cell>
          <cell r="AU357">
            <v>344971.23</v>
          </cell>
          <cell r="AV357">
            <v>354483.55</v>
          </cell>
          <cell r="AW357">
            <v>-2.37</v>
          </cell>
          <cell r="AX357">
            <v>-2.37</v>
          </cell>
          <cell r="AY357">
            <v>-2.37</v>
          </cell>
          <cell r="AZ357">
            <v>-2.37</v>
          </cell>
          <cell r="BA357">
            <v>-2.37</v>
          </cell>
          <cell r="BB357">
            <v>-2.37</v>
          </cell>
          <cell r="BC357">
            <v>-2.37</v>
          </cell>
          <cell r="BD357">
            <v>-2.37</v>
          </cell>
          <cell r="BE357">
            <v>-2.37</v>
          </cell>
          <cell r="BF357">
            <v>-2.37</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cell r="BW357"/>
          <cell r="BX357"/>
          <cell r="BY357"/>
          <cell r="BZ357"/>
          <cell r="CA357"/>
          <cell r="CB357"/>
          <cell r="CC357"/>
          <cell r="CD357"/>
          <cell r="CE357"/>
          <cell r="CF357"/>
          <cell r="CG357"/>
          <cell r="CH357"/>
          <cell r="CI357"/>
          <cell r="CJ357"/>
          <cell r="CK357"/>
          <cell r="CL357"/>
          <cell r="CM357"/>
          <cell r="CN357"/>
          <cell r="CO357"/>
          <cell r="CP357"/>
          <cell r="CQ357">
            <v>0</v>
          </cell>
          <cell r="CR357">
            <v>0</v>
          </cell>
          <cell r="CS357">
            <v>0</v>
          </cell>
          <cell r="CT357">
            <v>0</v>
          </cell>
          <cell r="CU357">
            <v>995777.75</v>
          </cell>
          <cell r="CV357">
            <v>864732.09</v>
          </cell>
          <cell r="CW357">
            <v>891567.41</v>
          </cell>
          <cell r="CX357">
            <v>785937.6</v>
          </cell>
          <cell r="CY357">
            <v>566425.01</v>
          </cell>
          <cell r="CZ357">
            <v>566425.01</v>
          </cell>
          <cell r="DA357">
            <v>566425.01</v>
          </cell>
          <cell r="DB357">
            <v>708429.13</v>
          </cell>
          <cell r="DC357">
            <v>708429.13</v>
          </cell>
          <cell r="DD357">
            <v>703621.83</v>
          </cell>
          <cell r="DE357">
            <v>769733.98</v>
          </cell>
          <cell r="DF357">
            <v>933797.04</v>
          </cell>
          <cell r="DG357">
            <v>959432.51</v>
          </cell>
          <cell r="DH357">
            <v>413689.47</v>
          </cell>
        </row>
        <row r="358">
          <cell r="A358" t="str">
            <v>165</v>
          </cell>
          <cell r="D358">
            <v>1368776.14</v>
          </cell>
          <cell r="E358">
            <v>1039520.34</v>
          </cell>
          <cell r="F358">
            <v>907146.63</v>
          </cell>
          <cell r="G358">
            <v>831246.05</v>
          </cell>
          <cell r="H358">
            <v>782113.05</v>
          </cell>
          <cell r="I358">
            <v>631619.04</v>
          </cell>
          <cell r="J358">
            <v>656513.97</v>
          </cell>
          <cell r="K358">
            <v>1953980.05</v>
          </cell>
          <cell r="L358">
            <v>1772697.36</v>
          </cell>
          <cell r="M358">
            <v>1628933.26</v>
          </cell>
          <cell r="N358">
            <v>1485297.55</v>
          </cell>
          <cell r="O358">
            <v>1334468.3999999999</v>
          </cell>
          <cell r="P358">
            <v>1647948.32</v>
          </cell>
          <cell r="Q358">
            <v>1354406.4</v>
          </cell>
          <cell r="R358">
            <v>1184886.3999999999</v>
          </cell>
          <cell r="S358">
            <v>1059905.23</v>
          </cell>
          <cell r="T358">
            <v>1057213.8400000001</v>
          </cell>
          <cell r="U358">
            <v>957683.84</v>
          </cell>
          <cell r="V358">
            <v>774697.28</v>
          </cell>
          <cell r="W358">
            <v>2204593.34</v>
          </cell>
          <cell r="X358">
            <v>2007777.08</v>
          </cell>
          <cell r="Y358">
            <v>1843005.82</v>
          </cell>
          <cell r="Z358">
            <v>1643519.14</v>
          </cell>
          <cell r="AA358">
            <v>1885907.19</v>
          </cell>
          <cell r="AB358">
            <v>1444032.46</v>
          </cell>
          <cell r="AC358">
            <v>1578367.66</v>
          </cell>
          <cell r="AD358">
            <v>1352296.66</v>
          </cell>
          <cell r="AE358">
            <v>1326325.18</v>
          </cell>
          <cell r="AF358">
            <v>1113343.06</v>
          </cell>
          <cell r="AG358">
            <v>935977.93</v>
          </cell>
          <cell r="AH358">
            <v>734975.06</v>
          </cell>
          <cell r="AI358">
            <v>2058174.99</v>
          </cell>
          <cell r="AJ358">
            <v>1876162.32</v>
          </cell>
          <cell r="AK358">
            <v>1722410.24</v>
          </cell>
          <cell r="AL358">
            <v>1480709.62</v>
          </cell>
          <cell r="AM358">
            <v>1441957.5</v>
          </cell>
          <cell r="AN358">
            <v>2571948.0499999998</v>
          </cell>
          <cell r="AO358">
            <v>2637079.91</v>
          </cell>
          <cell r="AP358">
            <v>2412686.77</v>
          </cell>
          <cell r="AQ358">
            <v>2493829.9900000002</v>
          </cell>
          <cell r="AR358">
            <v>2161501.91</v>
          </cell>
          <cell r="AS358">
            <v>1938411.13</v>
          </cell>
          <cell r="AT358">
            <v>1711056.75</v>
          </cell>
          <cell r="AU358">
            <v>1533561.22</v>
          </cell>
          <cell r="AV358">
            <v>1302457.25</v>
          </cell>
          <cell r="AW358">
            <v>1068417.3400000001</v>
          </cell>
          <cell r="AX358">
            <v>814981.04</v>
          </cell>
          <cell r="AY358">
            <v>580511.29</v>
          </cell>
          <cell r="AZ358">
            <v>1546852.29</v>
          </cell>
          <cell r="BA358">
            <v>2611172.39</v>
          </cell>
          <cell r="BB358">
            <v>2661375.6800000002</v>
          </cell>
          <cell r="BC358">
            <v>2747632.17</v>
          </cell>
          <cell r="BD358">
            <v>2397497.58</v>
          </cell>
          <cell r="BE358">
            <v>2167945.7999999998</v>
          </cell>
          <cell r="BF358">
            <v>1836984.8</v>
          </cell>
          <cell r="BG358">
            <v>1481309.37</v>
          </cell>
          <cell r="BH358">
            <v>1278482.94</v>
          </cell>
          <cell r="BI358">
            <v>1030993.89</v>
          </cell>
          <cell r="BJ358">
            <v>805904.87</v>
          </cell>
          <cell r="BK358">
            <v>548556.31999999995</v>
          </cell>
          <cell r="BL358">
            <v>619353.9</v>
          </cell>
          <cell r="BM358">
            <v>2100329.87</v>
          </cell>
          <cell r="BN358">
            <v>2804733.02</v>
          </cell>
          <cell r="BO358">
            <v>2555790.98</v>
          </cell>
          <cell r="BP358">
            <v>2236028.4300000002</v>
          </cell>
          <cell r="BQ358">
            <v>1973524.77</v>
          </cell>
          <cell r="BR358">
            <v>1716836.66</v>
          </cell>
          <cell r="BS358">
            <v>1570580.19</v>
          </cell>
          <cell r="BT358">
            <v>1545093.89</v>
          </cell>
          <cell r="BU358">
            <v>1550635.04</v>
          </cell>
          <cell r="BV358">
            <v>1228478.6200000001</v>
          </cell>
          <cell r="BW358">
            <v>967258.04</v>
          </cell>
          <cell r="BX358">
            <v>1409778.76</v>
          </cell>
          <cell r="BY358">
            <v>3557474.63</v>
          </cell>
          <cell r="BZ358">
            <v>3489933.18</v>
          </cell>
          <cell r="CA358">
            <v>3363992.47</v>
          </cell>
          <cell r="CB358">
            <v>2969990.76</v>
          </cell>
          <cell r="CC358">
            <v>2639321.63</v>
          </cell>
          <cell r="CD358">
            <v>2532971.7999999998</v>
          </cell>
          <cell r="CE358">
            <v>2080121.22</v>
          </cell>
          <cell r="CF358">
            <v>1822052.29</v>
          </cell>
          <cell r="CG358">
            <v>1503255.96</v>
          </cell>
          <cell r="CH358">
            <v>1044021.41</v>
          </cell>
          <cell r="CI358">
            <v>703365.82</v>
          </cell>
          <cell r="CJ358">
            <v>1156912.8</v>
          </cell>
          <cell r="CK358">
            <v>3134726.35</v>
          </cell>
          <cell r="CL358">
            <v>3235280.12</v>
          </cell>
          <cell r="CM358">
            <v>3057358.61</v>
          </cell>
          <cell r="CN358">
            <v>2786915.92</v>
          </cell>
          <cell r="CO358">
            <v>2369682.1</v>
          </cell>
          <cell r="CP358">
            <v>2210480.59</v>
          </cell>
          <cell r="CQ358">
            <v>4759789.76</v>
          </cell>
          <cell r="CR358">
            <v>4377565.33</v>
          </cell>
          <cell r="CS358">
            <v>3826772.77</v>
          </cell>
          <cell r="CT358">
            <v>3194175.51</v>
          </cell>
          <cell r="CU358">
            <v>2743106.68</v>
          </cell>
          <cell r="CV358">
            <v>3413030.42</v>
          </cell>
          <cell r="CW358">
            <v>6193235.4699999997</v>
          </cell>
          <cell r="CX358">
            <v>6227481.4500000002</v>
          </cell>
          <cell r="CY358">
            <v>5022502.95</v>
          </cell>
          <cell r="CZ358">
            <v>4682754.0599999996</v>
          </cell>
          <cell r="DA358">
            <v>3907114.48</v>
          </cell>
          <cell r="DB358">
            <v>3587775.62</v>
          </cell>
          <cell r="DC358">
            <v>7492947.5300000003</v>
          </cell>
          <cell r="DD358">
            <v>7172512.8099999996</v>
          </cell>
          <cell r="DE358">
            <v>5981295.2000000002</v>
          </cell>
          <cell r="DF358">
            <v>5185981.66</v>
          </cell>
          <cell r="DG358">
            <v>4429967.9000000004</v>
          </cell>
          <cell r="DH358">
            <v>3955617.64</v>
          </cell>
        </row>
        <row r="359">
          <cell r="A359" t="str">
            <v>173</v>
          </cell>
          <cell r="D359">
            <v>10453804</v>
          </cell>
          <cell r="E359">
            <v>14121424</v>
          </cell>
          <cell r="F359">
            <v>14501272</v>
          </cell>
          <cell r="G359">
            <v>12210429</v>
          </cell>
          <cell r="H359">
            <v>11264410</v>
          </cell>
          <cell r="I359">
            <v>9309625</v>
          </cell>
          <cell r="J359">
            <v>9588042</v>
          </cell>
          <cell r="K359">
            <v>8689961</v>
          </cell>
          <cell r="L359">
            <v>8265612</v>
          </cell>
          <cell r="M359">
            <v>8573106</v>
          </cell>
          <cell r="N359">
            <v>8758043</v>
          </cell>
          <cell r="O359">
            <v>9690129</v>
          </cell>
          <cell r="P359">
            <v>12160508</v>
          </cell>
          <cell r="Q359">
            <v>13773698</v>
          </cell>
          <cell r="R359">
            <v>13842191</v>
          </cell>
          <cell r="S359">
            <v>13153486</v>
          </cell>
          <cell r="T359">
            <v>10396447</v>
          </cell>
          <cell r="U359">
            <v>8997653</v>
          </cell>
          <cell r="V359">
            <v>9318367</v>
          </cell>
          <cell r="W359">
            <v>8578586</v>
          </cell>
          <cell r="X359">
            <v>8605700</v>
          </cell>
          <cell r="Y359">
            <v>8467002</v>
          </cell>
          <cell r="Z359">
            <v>8631054</v>
          </cell>
          <cell r="AA359">
            <v>10568472</v>
          </cell>
          <cell r="AB359">
            <v>9332814</v>
          </cell>
          <cell r="AC359">
            <v>13194093</v>
          </cell>
          <cell r="AD359">
            <v>14606125</v>
          </cell>
          <cell r="AE359">
            <v>12771278</v>
          </cell>
          <cell r="AF359">
            <v>11268386</v>
          </cell>
          <cell r="AG359">
            <v>9955795</v>
          </cell>
          <cell r="AH359">
            <v>9011790</v>
          </cell>
          <cell r="AI359">
            <v>8305546</v>
          </cell>
          <cell r="AJ359">
            <v>8236893</v>
          </cell>
          <cell r="AK359">
            <v>8329332</v>
          </cell>
          <cell r="AL359">
            <v>8272996</v>
          </cell>
          <cell r="AM359">
            <v>9246536</v>
          </cell>
          <cell r="AN359">
            <v>10736588</v>
          </cell>
          <cell r="AO359">
            <v>12078768</v>
          </cell>
          <cell r="AP359">
            <v>11961224</v>
          </cell>
          <cell r="AQ359">
            <v>11195527</v>
          </cell>
          <cell r="AR359">
            <v>10986039</v>
          </cell>
          <cell r="AS359">
            <v>9783910</v>
          </cell>
          <cell r="AT359">
            <v>8920964</v>
          </cell>
          <cell r="AU359">
            <v>8405325</v>
          </cell>
          <cell r="AV359">
            <v>8345855</v>
          </cell>
          <cell r="AW359">
            <v>8880385</v>
          </cell>
          <cell r="AX359">
            <v>9055757</v>
          </cell>
          <cell r="AY359">
            <v>10184241</v>
          </cell>
          <cell r="AZ359">
            <v>12037763</v>
          </cell>
          <cell r="BA359">
            <v>16903475</v>
          </cell>
          <cell r="BB359">
            <v>15075867</v>
          </cell>
          <cell r="BC359">
            <v>12324817</v>
          </cell>
          <cell r="BD359">
            <v>12712880</v>
          </cell>
          <cell r="BE359">
            <v>10609698</v>
          </cell>
          <cell r="BF359">
            <v>9391200</v>
          </cell>
          <cell r="BG359">
            <v>9182201</v>
          </cell>
          <cell r="BH359">
            <v>8937787</v>
          </cell>
          <cell r="BI359">
            <v>8976897</v>
          </cell>
          <cell r="BJ359">
            <v>8940430</v>
          </cell>
          <cell r="BK359">
            <v>10330350</v>
          </cell>
          <cell r="BL359">
            <v>12353298</v>
          </cell>
          <cell r="BM359">
            <v>13959659</v>
          </cell>
          <cell r="BN359">
            <v>11843869</v>
          </cell>
          <cell r="BO359">
            <v>12411808</v>
          </cell>
          <cell r="BP359">
            <v>12154083</v>
          </cell>
          <cell r="BQ359">
            <v>10937017</v>
          </cell>
          <cell r="BR359">
            <v>9590748</v>
          </cell>
          <cell r="BS359">
            <v>9249482</v>
          </cell>
          <cell r="BT359">
            <v>8624741</v>
          </cell>
          <cell r="BU359">
            <v>8918257</v>
          </cell>
          <cell r="BV359">
            <v>8868740</v>
          </cell>
          <cell r="BW359">
            <v>11408241</v>
          </cell>
          <cell r="BX359">
            <v>12585260</v>
          </cell>
          <cell r="BY359">
            <v>13948631</v>
          </cell>
          <cell r="BZ359">
            <v>13340275</v>
          </cell>
          <cell r="CA359">
            <v>11488328</v>
          </cell>
          <cell r="CB359">
            <v>10090773</v>
          </cell>
          <cell r="CC359">
            <v>9202897</v>
          </cell>
          <cell r="CD359">
            <v>9178472</v>
          </cell>
          <cell r="CE359">
            <v>8547643</v>
          </cell>
          <cell r="CF359">
            <v>8576101</v>
          </cell>
          <cell r="CG359">
            <v>8525635</v>
          </cell>
          <cell r="CH359">
            <v>9004210</v>
          </cell>
          <cell r="CI359">
            <v>10300774</v>
          </cell>
          <cell r="CJ359">
            <v>15058285</v>
          </cell>
          <cell r="CK359">
            <v>18903678</v>
          </cell>
          <cell r="CL359">
            <v>15409592</v>
          </cell>
          <cell r="CM359">
            <v>16257338</v>
          </cell>
          <cell r="CN359">
            <v>16067614</v>
          </cell>
          <cell r="CO359">
            <v>13825000</v>
          </cell>
          <cell r="CP359">
            <v>12980495</v>
          </cell>
          <cell r="CQ359">
            <v>12554084</v>
          </cell>
          <cell r="CR359">
            <v>11932838</v>
          </cell>
          <cell r="CS359">
            <v>12452247</v>
          </cell>
          <cell r="CT359">
            <v>12150759</v>
          </cell>
          <cell r="CU359">
            <v>13785737</v>
          </cell>
          <cell r="CV359">
            <v>17180538</v>
          </cell>
          <cell r="CW359">
            <v>22714314</v>
          </cell>
          <cell r="CX359">
            <v>21544001</v>
          </cell>
          <cell r="CY359">
            <v>18374847</v>
          </cell>
          <cell r="CZ359">
            <v>16853412</v>
          </cell>
          <cell r="DA359">
            <v>15553655</v>
          </cell>
          <cell r="DB359">
            <v>13680802</v>
          </cell>
          <cell r="DC359">
            <v>12783744</v>
          </cell>
          <cell r="DD359">
            <v>14256348</v>
          </cell>
          <cell r="DE359">
            <v>13334863</v>
          </cell>
          <cell r="DF359">
            <v>15910901</v>
          </cell>
          <cell r="DG359">
            <v>14071119</v>
          </cell>
          <cell r="DH359">
            <v>16225985</v>
          </cell>
        </row>
        <row r="360">
          <cell r="A360" t="str">
            <v>176</v>
          </cell>
          <cell r="D360">
            <v>1135145</v>
          </cell>
          <cell r="E360">
            <v>3564445</v>
          </cell>
          <cell r="F360">
            <v>2489515</v>
          </cell>
          <cell r="G360">
            <v>1505045</v>
          </cell>
          <cell r="H360">
            <v>3092578.68</v>
          </cell>
          <cell r="I360">
            <v>677755</v>
          </cell>
          <cell r="J360">
            <v>1180610</v>
          </cell>
          <cell r="K360">
            <v>0</v>
          </cell>
          <cell r="L360">
            <v>4975</v>
          </cell>
          <cell r="M360">
            <v>0</v>
          </cell>
          <cell r="N360">
            <v>0</v>
          </cell>
          <cell r="O360">
            <v>0</v>
          </cell>
          <cell r="P360">
            <v>0</v>
          </cell>
          <cell r="Q360">
            <v>0</v>
          </cell>
          <cell r="R360">
            <v>0</v>
          </cell>
          <cell r="S360">
            <v>27523.919999999998</v>
          </cell>
          <cell r="T360">
            <v>187787.92</v>
          </cell>
          <cell r="U360">
            <v>0</v>
          </cell>
          <cell r="V360">
            <v>360</v>
          </cell>
          <cell r="W360">
            <v>0</v>
          </cell>
          <cell r="X360">
            <v>0</v>
          </cell>
          <cell r="Y360">
            <v>0</v>
          </cell>
          <cell r="Z360">
            <v>0</v>
          </cell>
          <cell r="AA360">
            <v>0</v>
          </cell>
          <cell r="AB360">
            <v>0</v>
          </cell>
          <cell r="AC360">
            <v>2520</v>
          </cell>
          <cell r="AD360">
            <v>0</v>
          </cell>
          <cell r="AE360">
            <v>2790</v>
          </cell>
          <cell r="AF360">
            <v>56285</v>
          </cell>
          <cell r="AG360">
            <v>78685</v>
          </cell>
          <cell r="AH360">
            <v>358635</v>
          </cell>
          <cell r="AI360">
            <v>351745</v>
          </cell>
          <cell r="AJ360">
            <v>201625</v>
          </cell>
          <cell r="AK360">
            <v>118295</v>
          </cell>
          <cell r="AL360">
            <v>153405</v>
          </cell>
          <cell r="AM360">
            <v>532145</v>
          </cell>
          <cell r="AN360">
            <v>1989240</v>
          </cell>
          <cell r="AO360">
            <v>535400</v>
          </cell>
          <cell r="AP360">
            <v>31520</v>
          </cell>
          <cell r="AQ360">
            <v>482880</v>
          </cell>
          <cell r="AR360">
            <v>538845</v>
          </cell>
          <cell r="AS360">
            <v>169525</v>
          </cell>
          <cell r="AT360">
            <v>88275</v>
          </cell>
          <cell r="AU360">
            <v>8450</v>
          </cell>
          <cell r="AV360">
            <v>101195</v>
          </cell>
          <cell r="AW360">
            <v>79745</v>
          </cell>
          <cell r="AX360">
            <v>4800</v>
          </cell>
          <cell r="AY360">
            <v>7230</v>
          </cell>
          <cell r="AZ360">
            <v>0</v>
          </cell>
          <cell r="BA360">
            <v>77895</v>
          </cell>
          <cell r="BB360">
            <v>0</v>
          </cell>
          <cell r="BC360">
            <v>0</v>
          </cell>
          <cell r="BD360">
            <v>2040</v>
          </cell>
          <cell r="BE360">
            <v>20020</v>
          </cell>
          <cell r="BF360">
            <v>15330</v>
          </cell>
          <cell r="BG360">
            <v>0</v>
          </cell>
          <cell r="BH360">
            <v>3500</v>
          </cell>
          <cell r="BI360">
            <v>10040</v>
          </cell>
          <cell r="BJ360">
            <v>14650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row>
        <row r="361">
          <cell r="A361" t="str">
            <v>181</v>
          </cell>
          <cell r="D361">
            <v>1094576.58</v>
          </cell>
          <cell r="E361">
            <v>1087397.54</v>
          </cell>
          <cell r="F361">
            <v>1080218.5</v>
          </cell>
          <cell r="G361">
            <v>1073039.46</v>
          </cell>
          <cell r="H361">
            <v>1065860.42</v>
          </cell>
          <cell r="I361">
            <v>1146259.69</v>
          </cell>
          <cell r="J361">
            <v>1151468.8799999999</v>
          </cell>
          <cell r="K361">
            <v>1141357.42</v>
          </cell>
          <cell r="L361">
            <v>1134105.01</v>
          </cell>
          <cell r="M361">
            <v>1136898.3899999999</v>
          </cell>
          <cell r="N361">
            <v>1129580.24</v>
          </cell>
          <cell r="O361">
            <v>1122097.51</v>
          </cell>
          <cell r="P361">
            <v>1114614.78</v>
          </cell>
          <cell r="Q361">
            <v>1107132.05</v>
          </cell>
          <cell r="R361">
            <v>1099649.32</v>
          </cell>
          <cell r="S361">
            <v>1092166.5900000001</v>
          </cell>
          <cell r="T361">
            <v>1084683.8600000001</v>
          </cell>
          <cell r="U361">
            <v>1266226.81</v>
          </cell>
          <cell r="V361">
            <v>1277958.69</v>
          </cell>
          <cell r="W361">
            <v>1271078.6399999999</v>
          </cell>
          <cell r="X361">
            <v>1263012.55</v>
          </cell>
          <cell r="Y361">
            <v>1264835.3400000001</v>
          </cell>
          <cell r="Z361">
            <v>1256741.47</v>
          </cell>
          <cell r="AA361">
            <v>1240554.44</v>
          </cell>
          <cell r="AB361">
            <v>1248648.31</v>
          </cell>
          <cell r="AC361">
            <v>1232460.57</v>
          </cell>
          <cell r="AD361">
            <v>1224366.7</v>
          </cell>
          <cell r="AE361">
            <v>1216272.83</v>
          </cell>
          <cell r="AF361">
            <v>1208178.96</v>
          </cell>
          <cell r="AG361">
            <v>1200085.0900000001</v>
          </cell>
          <cell r="AH361">
            <v>1191991.22</v>
          </cell>
          <cell r="AI361">
            <v>1183897.3500000001</v>
          </cell>
          <cell r="AJ361">
            <v>1175803.48</v>
          </cell>
          <cell r="AK361">
            <v>1167709.6100000001</v>
          </cell>
          <cell r="AL361">
            <v>1159615.74</v>
          </cell>
          <cell r="AM361">
            <v>1151521.8700000001</v>
          </cell>
          <cell r="AN361">
            <v>1143428</v>
          </cell>
          <cell r="AO361">
            <v>1135334.1299999999</v>
          </cell>
          <cell r="AP361">
            <v>1127240.26</v>
          </cell>
          <cell r="AQ361">
            <v>1119146.3899999999</v>
          </cell>
          <cell r="AR361">
            <v>1111052.52</v>
          </cell>
          <cell r="AS361">
            <v>1102958.6499999999</v>
          </cell>
          <cell r="AT361">
            <v>1094864.78</v>
          </cell>
          <cell r="AU361">
            <v>1086770.9099999999</v>
          </cell>
          <cell r="AV361">
            <v>1078677.04</v>
          </cell>
          <cell r="AW361">
            <v>1070583.17</v>
          </cell>
          <cell r="AX361">
            <v>1062489.3</v>
          </cell>
          <cell r="AY361">
            <v>1054395.43</v>
          </cell>
          <cell r="AZ361">
            <v>1046301.56</v>
          </cell>
          <cell r="BA361">
            <v>1038207.69</v>
          </cell>
          <cell r="BB361">
            <v>1030113.82</v>
          </cell>
          <cell r="BC361">
            <v>1067879.33</v>
          </cell>
          <cell r="BD361">
            <v>1053234.1200000001</v>
          </cell>
          <cell r="BE361">
            <v>1040165.93</v>
          </cell>
          <cell r="BF361">
            <v>1785062.77</v>
          </cell>
          <cell r="BG361">
            <v>1787671.47</v>
          </cell>
          <cell r="BH361">
            <v>1779136.91</v>
          </cell>
          <cell r="BI361">
            <v>1807013.89</v>
          </cell>
          <cell r="BJ361">
            <v>2037074.48</v>
          </cell>
          <cell r="BK361">
            <v>2030609.45</v>
          </cell>
          <cell r="BL361">
            <v>2027977.83</v>
          </cell>
          <cell r="BM361">
            <v>2020072.15</v>
          </cell>
          <cell r="BN361">
            <v>2012183.48</v>
          </cell>
          <cell r="BO361">
            <v>2018048.28</v>
          </cell>
          <cell r="BP361">
            <v>2010104.56</v>
          </cell>
          <cell r="BQ361">
            <v>2002160.84</v>
          </cell>
          <cell r="BR361">
            <v>1994217.12</v>
          </cell>
          <cell r="BS361">
            <v>2205578.9</v>
          </cell>
          <cell r="BT361">
            <v>2242159.67</v>
          </cell>
          <cell r="BU361">
            <v>2244443.7000000002</v>
          </cell>
          <cell r="BV361">
            <v>2235757.23</v>
          </cell>
          <cell r="BW361">
            <v>2227070.7599999998</v>
          </cell>
          <cell r="BX361">
            <v>2233060.89</v>
          </cell>
          <cell r="BY361">
            <v>2224334.3199999998</v>
          </cell>
          <cell r="BZ361">
            <v>2226927.2999999998</v>
          </cell>
          <cell r="CA361">
            <v>2222016.42</v>
          </cell>
          <cell r="CB361">
            <v>2211821.5099999998</v>
          </cell>
          <cell r="CC361">
            <v>2201626.6</v>
          </cell>
          <cell r="CD361">
            <v>2191431.69</v>
          </cell>
          <cell r="CE361">
            <v>2181236.7799999998</v>
          </cell>
          <cell r="CF361">
            <v>2171041.87</v>
          </cell>
          <cell r="CG361">
            <v>2160846.96</v>
          </cell>
          <cell r="CH361">
            <v>2150652.0499999998</v>
          </cell>
          <cell r="CI361">
            <v>2140457.14</v>
          </cell>
          <cell r="CJ361">
            <v>2130262.23</v>
          </cell>
          <cell r="CK361">
            <v>2126631.2200000002</v>
          </cell>
          <cell r="CL361">
            <v>2115715.41</v>
          </cell>
          <cell r="CM361">
            <v>3962950.89</v>
          </cell>
          <cell r="CN361">
            <v>4083428.36</v>
          </cell>
          <cell r="CO361">
            <v>4214954.07</v>
          </cell>
          <cell r="CP361">
            <v>4360244.96</v>
          </cell>
          <cell r="CQ361">
            <v>4339276.21</v>
          </cell>
          <cell r="CR361">
            <v>4318307.46</v>
          </cell>
          <cell r="CS361">
            <v>4297338.71</v>
          </cell>
          <cell r="CT361">
            <v>4276369.96</v>
          </cell>
          <cell r="CU361">
            <v>4255401.21</v>
          </cell>
          <cell r="CV361">
            <v>4248945.28</v>
          </cell>
          <cell r="CW361">
            <v>4226523.13</v>
          </cell>
          <cell r="CX361">
            <v>4204367.16</v>
          </cell>
          <cell r="CY361">
            <v>4182211.19</v>
          </cell>
          <cell r="CZ361">
            <v>4161036.5</v>
          </cell>
          <cell r="DA361">
            <v>4138757.87</v>
          </cell>
          <cell r="DB361">
            <v>4116479.24</v>
          </cell>
          <cell r="DC361">
            <v>4568227.79</v>
          </cell>
          <cell r="DD361">
            <v>4607047.5999999996</v>
          </cell>
          <cell r="DE361">
            <v>4577845.6399999997</v>
          </cell>
          <cell r="DF361">
            <v>4562267.2300000004</v>
          </cell>
          <cell r="DG361">
            <v>4533620.3099999996</v>
          </cell>
          <cell r="DH361">
            <v>4543244.37</v>
          </cell>
        </row>
        <row r="362">
          <cell r="A362" t="str">
            <v>182</v>
          </cell>
          <cell r="D362">
            <v>74569400.390000001</v>
          </cell>
          <cell r="E362">
            <v>73807112.120000005</v>
          </cell>
          <cell r="F362">
            <v>74605444.239999995</v>
          </cell>
          <cell r="G362">
            <v>71652212.670000002</v>
          </cell>
          <cell r="H362">
            <v>72666361.239999995</v>
          </cell>
          <cell r="I362">
            <v>71532885.200000003</v>
          </cell>
          <cell r="J362">
            <v>73459309.980000004</v>
          </cell>
          <cell r="K362">
            <v>75789900.859999999</v>
          </cell>
          <cell r="L362">
            <v>75581800.370000005</v>
          </cell>
          <cell r="M362">
            <v>72967114.269999996</v>
          </cell>
          <cell r="N362">
            <v>75389320.349999994</v>
          </cell>
          <cell r="O362">
            <v>74709774.189999998</v>
          </cell>
          <cell r="P362">
            <v>84175273.530000001</v>
          </cell>
          <cell r="Q362">
            <v>84317561.189999998</v>
          </cell>
          <cell r="R362">
            <v>82614505.25</v>
          </cell>
          <cell r="S362">
            <v>82891058.099999994</v>
          </cell>
          <cell r="T362">
            <v>80356852.489999995</v>
          </cell>
          <cell r="U362">
            <v>80538427.280000001</v>
          </cell>
          <cell r="V362">
            <v>78669747.689999998</v>
          </cell>
          <cell r="W362">
            <v>78867839.799999997</v>
          </cell>
          <cell r="X362">
            <v>78723525.140000001</v>
          </cell>
          <cell r="Y362">
            <v>79203494.340000004</v>
          </cell>
          <cell r="Z362">
            <v>81176658.040000007</v>
          </cell>
          <cell r="AA362">
            <v>88101087.109999999</v>
          </cell>
          <cell r="AB362">
            <v>81724006.040000007</v>
          </cell>
          <cell r="AC362">
            <v>86675211.670000002</v>
          </cell>
          <cell r="AD362">
            <v>87217961.599999994</v>
          </cell>
          <cell r="AE362">
            <v>85048079.159999996</v>
          </cell>
          <cell r="AF362">
            <v>83545440.579999998</v>
          </cell>
          <cell r="AG362">
            <v>83307682.700000003</v>
          </cell>
          <cell r="AH362">
            <v>81905969.150000006</v>
          </cell>
          <cell r="AI362">
            <v>81878543.769999996</v>
          </cell>
          <cell r="AJ362">
            <v>82001866.840000004</v>
          </cell>
          <cell r="AK362">
            <v>90513601.819999993</v>
          </cell>
          <cell r="AL362">
            <v>90725647.599999994</v>
          </cell>
          <cell r="AM362">
            <v>90535675.689999998</v>
          </cell>
          <cell r="AN362">
            <v>68195765.540000007</v>
          </cell>
          <cell r="AO362">
            <v>68153972.310000002</v>
          </cell>
          <cell r="AP362">
            <v>67760218.430000007</v>
          </cell>
          <cell r="AQ362">
            <v>65417511.93</v>
          </cell>
          <cell r="AR362">
            <v>65077184.619999997</v>
          </cell>
          <cell r="AS362">
            <v>64911520.240000002</v>
          </cell>
          <cell r="AT362">
            <v>65295240.359999999</v>
          </cell>
          <cell r="AU362">
            <v>65050258.240000002</v>
          </cell>
          <cell r="AV362">
            <v>65726876.450000003</v>
          </cell>
          <cell r="AW362">
            <v>64839193.619999997</v>
          </cell>
          <cell r="AX362">
            <v>66408185.140000001</v>
          </cell>
          <cell r="AY362">
            <v>66663427.140000001</v>
          </cell>
          <cell r="AZ362">
            <v>65563695.579999998</v>
          </cell>
          <cell r="BA362">
            <v>64063781.090000004</v>
          </cell>
          <cell r="BB362">
            <v>63790467.219999999</v>
          </cell>
          <cell r="BC362">
            <v>58624351.920000002</v>
          </cell>
          <cell r="BD362">
            <v>59807545.119999997</v>
          </cell>
          <cell r="BE362">
            <v>59612681.159999996</v>
          </cell>
          <cell r="BF362">
            <v>59073548.960000001</v>
          </cell>
          <cell r="BG362">
            <v>60545529.979999997</v>
          </cell>
          <cell r="BH362">
            <v>61309845.369999997</v>
          </cell>
          <cell r="BI362">
            <v>54177470.630000003</v>
          </cell>
          <cell r="BJ362">
            <v>55154882.039999999</v>
          </cell>
          <cell r="BK362">
            <v>54642885.32</v>
          </cell>
          <cell r="BL362">
            <v>60717020.740000002</v>
          </cell>
          <cell r="BM362">
            <v>60268408.109999999</v>
          </cell>
          <cell r="BN362">
            <v>59706553.939999998</v>
          </cell>
          <cell r="BO362">
            <v>58730161.640000001</v>
          </cell>
          <cell r="BP362">
            <v>58992034.229999997</v>
          </cell>
          <cell r="BQ362">
            <v>59300132.659999996</v>
          </cell>
          <cell r="BR362">
            <v>60374151.659999996</v>
          </cell>
          <cell r="BS362">
            <v>61913622.829999998</v>
          </cell>
          <cell r="BT362">
            <v>62777473.969999999</v>
          </cell>
          <cell r="BU362">
            <v>63721224.18</v>
          </cell>
          <cell r="BV362">
            <v>64965689.439999998</v>
          </cell>
          <cell r="BW362">
            <v>66260477.920000002</v>
          </cell>
          <cell r="BX362">
            <v>59279093.32</v>
          </cell>
          <cell r="BY362">
            <v>58204662.590000004</v>
          </cell>
          <cell r="BZ362">
            <v>57087959.560000002</v>
          </cell>
          <cell r="CA362">
            <v>55460333.850000001</v>
          </cell>
          <cell r="CB362">
            <v>55736615.840000004</v>
          </cell>
          <cell r="CC362">
            <v>56591434.200000003</v>
          </cell>
          <cell r="CD362">
            <v>56748333.649999999</v>
          </cell>
          <cell r="CE362">
            <v>57594851.039999999</v>
          </cell>
          <cell r="CF362">
            <v>59327815.600000001</v>
          </cell>
          <cell r="CG362">
            <v>61308654.770000003</v>
          </cell>
          <cell r="CH362">
            <v>62130549.609999999</v>
          </cell>
          <cell r="CI362">
            <v>64052460.899999999</v>
          </cell>
          <cell r="CJ362">
            <v>68727179.200000003</v>
          </cell>
          <cell r="CK362">
            <v>66872852.590000004</v>
          </cell>
          <cell r="CL362">
            <v>67088654.240000002</v>
          </cell>
          <cell r="CM362">
            <v>66899332.399999999</v>
          </cell>
          <cell r="CN362">
            <v>66154389.340000004</v>
          </cell>
          <cell r="CO362">
            <v>67223863.379999995</v>
          </cell>
          <cell r="CP362">
            <v>66801191.159999996</v>
          </cell>
          <cell r="CQ362">
            <v>68064928.430000007</v>
          </cell>
          <cell r="CR362">
            <v>67829718.359999999</v>
          </cell>
          <cell r="CS362">
            <v>65688168.5</v>
          </cell>
          <cell r="CT362">
            <v>66358192.200000003</v>
          </cell>
          <cell r="CU362">
            <v>67016220.299999997</v>
          </cell>
          <cell r="CV362">
            <v>56466288.780000001</v>
          </cell>
          <cell r="CW362">
            <v>55740239.829999998</v>
          </cell>
          <cell r="CX362">
            <v>55375879.479999997</v>
          </cell>
          <cell r="CY362">
            <v>54550646.530000001</v>
          </cell>
          <cell r="CZ362">
            <v>54527521.549999997</v>
          </cell>
          <cell r="DA362">
            <v>54957746.210000001</v>
          </cell>
          <cell r="DB362">
            <v>52713163.560000002</v>
          </cell>
          <cell r="DC362">
            <v>52786974.299999997</v>
          </cell>
          <cell r="DD362">
            <v>52966893.210000001</v>
          </cell>
          <cell r="DE362">
            <v>52715763.049999997</v>
          </cell>
          <cell r="DF362">
            <v>52642589.030000001</v>
          </cell>
          <cell r="DG362">
            <v>52853662.670000002</v>
          </cell>
          <cell r="DH362">
            <v>60509344.020000003</v>
          </cell>
        </row>
        <row r="363">
          <cell r="A363" t="str">
            <v>184</v>
          </cell>
          <cell r="D363">
            <v>5502.76</v>
          </cell>
          <cell r="E363">
            <v>5562.76</v>
          </cell>
          <cell r="F363">
            <v>5622.76</v>
          </cell>
          <cell r="G363">
            <v>5682.76</v>
          </cell>
          <cell r="H363">
            <v>5742.76</v>
          </cell>
          <cell r="I363">
            <v>5862.76</v>
          </cell>
          <cell r="J363">
            <v>5802.76</v>
          </cell>
          <cell r="K363">
            <v>5922.76</v>
          </cell>
          <cell r="L363">
            <v>5982.76</v>
          </cell>
          <cell r="M363">
            <v>6042.76</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41828.07</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60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row>
        <row r="364">
          <cell r="A364" t="str">
            <v>186</v>
          </cell>
          <cell r="D364">
            <v>86795.96</v>
          </cell>
          <cell r="E364">
            <v>88384</v>
          </cell>
          <cell r="F364">
            <v>89989.31</v>
          </cell>
          <cell r="G364">
            <v>90844.64</v>
          </cell>
          <cell r="H364">
            <v>99264.48</v>
          </cell>
          <cell r="I364">
            <v>76940.460000000006</v>
          </cell>
          <cell r="J364">
            <v>110175.51</v>
          </cell>
          <cell r="K364">
            <v>59996.959999999999</v>
          </cell>
          <cell r="L364">
            <v>58519.46</v>
          </cell>
          <cell r="M364">
            <v>62883.22</v>
          </cell>
          <cell r="N364">
            <v>65352.2</v>
          </cell>
          <cell r="O364">
            <v>65604.2</v>
          </cell>
          <cell r="P364">
            <v>68874.649999999994</v>
          </cell>
          <cell r="Q364">
            <v>72874.28</v>
          </cell>
          <cell r="R364">
            <v>72879.320000000007</v>
          </cell>
          <cell r="S364">
            <v>76937.59</v>
          </cell>
          <cell r="T364">
            <v>56464.08</v>
          </cell>
          <cell r="U364">
            <v>114055.15</v>
          </cell>
          <cell r="V364">
            <v>139182.43</v>
          </cell>
          <cell r="W364">
            <v>79661.02</v>
          </cell>
          <cell r="X364">
            <v>407401.19</v>
          </cell>
          <cell r="Y364">
            <v>86393.03</v>
          </cell>
          <cell r="Z364">
            <v>3023393.52</v>
          </cell>
          <cell r="AA364">
            <v>3094262.73</v>
          </cell>
          <cell r="AB364">
            <v>3042731.82</v>
          </cell>
          <cell r="AC364">
            <v>3112322.24</v>
          </cell>
          <cell r="AD364">
            <v>3065603.76</v>
          </cell>
          <cell r="AE364">
            <v>3067920.39</v>
          </cell>
          <cell r="AF364">
            <v>3047742.36</v>
          </cell>
          <cell r="AG364">
            <v>3055464.63</v>
          </cell>
          <cell r="AH364">
            <v>3119302.55</v>
          </cell>
          <cell r="AI364">
            <v>3121985.8</v>
          </cell>
          <cell r="AJ364">
            <v>3106111.38</v>
          </cell>
          <cell r="AK364">
            <v>3143326.13</v>
          </cell>
          <cell r="AL364">
            <v>3274674.05</v>
          </cell>
          <cell r="AM364">
            <v>3283633.05</v>
          </cell>
          <cell r="AN364">
            <v>3182525.91</v>
          </cell>
          <cell r="AO364">
            <v>5447463.8200000003</v>
          </cell>
          <cell r="AP364">
            <v>5569983.8399999999</v>
          </cell>
          <cell r="AQ364">
            <v>5818295.5199999996</v>
          </cell>
          <cell r="AR364">
            <v>5723860.1600000001</v>
          </cell>
          <cell r="AS364">
            <v>5479482.1699999999</v>
          </cell>
          <cell r="AT364">
            <v>5537860.1200000001</v>
          </cell>
          <cell r="AU364">
            <v>5519902.5300000003</v>
          </cell>
          <cell r="AV364">
            <v>5525335.5700000003</v>
          </cell>
          <cell r="AW364">
            <v>5875800.1799999997</v>
          </cell>
          <cell r="AX364">
            <v>5848790</v>
          </cell>
          <cell r="AY364">
            <v>5874261.7800000003</v>
          </cell>
          <cell r="AZ364">
            <v>5867409.79</v>
          </cell>
          <cell r="BA364">
            <v>5686522.4500000002</v>
          </cell>
          <cell r="BB364">
            <v>5505993.9000000004</v>
          </cell>
          <cell r="BC364">
            <v>5489642.5499999998</v>
          </cell>
          <cell r="BD364">
            <v>5558315.04</v>
          </cell>
          <cell r="BE364">
            <v>5458851.4900000002</v>
          </cell>
          <cell r="BF364">
            <v>5461383.29</v>
          </cell>
          <cell r="BG364">
            <v>5445856.5</v>
          </cell>
          <cell r="BH364">
            <v>5863401.9000000004</v>
          </cell>
          <cell r="BI364">
            <v>5499377.9000000004</v>
          </cell>
          <cell r="BJ364">
            <v>6672460.0999999996</v>
          </cell>
          <cell r="BK364">
            <v>8597608.7699999996</v>
          </cell>
          <cell r="BL364">
            <v>4935022.49</v>
          </cell>
          <cell r="BM364">
            <v>4709584.9800000004</v>
          </cell>
          <cell r="BN364">
            <v>4693554.62</v>
          </cell>
          <cell r="BO364">
            <v>4743537.0599999996</v>
          </cell>
          <cell r="BP364">
            <v>4700457.1100000003</v>
          </cell>
          <cell r="BQ364">
            <v>4691360.01</v>
          </cell>
          <cell r="BR364">
            <v>4652326.66</v>
          </cell>
          <cell r="BS364">
            <v>4601425.3499999996</v>
          </cell>
          <cell r="BT364">
            <v>4826382.2300000004</v>
          </cell>
          <cell r="BU364">
            <v>4959881.47</v>
          </cell>
          <cell r="BV364">
            <v>5116497.1900000004</v>
          </cell>
          <cell r="BW364">
            <v>5230025.42</v>
          </cell>
          <cell r="BX364">
            <v>4808374.83</v>
          </cell>
          <cell r="BY364">
            <v>4783536.91</v>
          </cell>
          <cell r="BZ364">
            <v>4610861.2699999996</v>
          </cell>
          <cell r="CA364">
            <v>4826250.2699999996</v>
          </cell>
          <cell r="CB364">
            <v>5037155.99</v>
          </cell>
          <cell r="CC364">
            <v>5296520.25</v>
          </cell>
          <cell r="CD364">
            <v>5309226.71</v>
          </cell>
          <cell r="CE364">
            <v>5354947.1900000004</v>
          </cell>
          <cell r="CF364">
            <v>5668632.0099999998</v>
          </cell>
          <cell r="CG364">
            <v>5861777.6100000003</v>
          </cell>
          <cell r="CH364">
            <v>5983318.75</v>
          </cell>
          <cell r="CI364">
            <v>5433728.5</v>
          </cell>
          <cell r="CJ364">
            <v>4055964.52</v>
          </cell>
          <cell r="CK364">
            <v>3810403.26</v>
          </cell>
          <cell r="CL364">
            <v>3795174.17</v>
          </cell>
          <cell r="CM364">
            <v>3785750.17</v>
          </cell>
          <cell r="CN364">
            <v>3774421.15</v>
          </cell>
          <cell r="CO364">
            <v>3761819.25</v>
          </cell>
          <cell r="CP364">
            <v>3746231.45</v>
          </cell>
          <cell r="CQ364">
            <v>3742718.57</v>
          </cell>
          <cell r="CR364">
            <v>3724865.07</v>
          </cell>
          <cell r="CS364">
            <v>3706772.49</v>
          </cell>
          <cell r="CT364">
            <v>3783611.99</v>
          </cell>
          <cell r="CU364">
            <v>3738390.59</v>
          </cell>
          <cell r="CV364">
            <v>4082430.84</v>
          </cell>
          <cell r="CW364">
            <v>4002643.05</v>
          </cell>
          <cell r="CX364">
            <v>3717907.08</v>
          </cell>
          <cell r="CY364">
            <v>3508657.6</v>
          </cell>
          <cell r="CZ364">
            <v>3705105.68</v>
          </cell>
          <cell r="DA364">
            <v>3751020.53</v>
          </cell>
          <cell r="DB364">
            <v>3782089.44</v>
          </cell>
          <cell r="DC364">
            <v>3745722.98</v>
          </cell>
          <cell r="DD364">
            <v>3778373.72</v>
          </cell>
          <cell r="DE364">
            <v>3794293.23</v>
          </cell>
          <cell r="DF364">
            <v>3848791.82</v>
          </cell>
          <cell r="DG364">
            <v>3863670.33</v>
          </cell>
          <cell r="DH364">
            <v>4343041.1900000004</v>
          </cell>
        </row>
        <row r="365">
          <cell r="A365" t="str">
            <v>189</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row>
        <row r="366">
          <cell r="A366" t="str">
            <v>190</v>
          </cell>
          <cell r="D366">
            <v>33632569.399999999</v>
          </cell>
          <cell r="E366">
            <v>34115887.170000002</v>
          </cell>
          <cell r="F366">
            <v>33476442.25</v>
          </cell>
          <cell r="G366">
            <v>33438251.449999999</v>
          </cell>
          <cell r="H366">
            <v>34168992.740000002</v>
          </cell>
          <cell r="I366">
            <v>33202927.829999998</v>
          </cell>
          <cell r="J366">
            <v>33607386.25</v>
          </cell>
          <cell r="K366">
            <v>34007322.810000002</v>
          </cell>
          <cell r="L366">
            <v>32991204.550000001</v>
          </cell>
          <cell r="M366">
            <v>33564193.740000002</v>
          </cell>
          <cell r="N366">
            <v>34746329.539999999</v>
          </cell>
          <cell r="O366">
            <v>31973533.969999999</v>
          </cell>
          <cell r="P366">
            <v>35824575.880000003</v>
          </cell>
          <cell r="Q366">
            <v>36311754.649999999</v>
          </cell>
          <cell r="R366">
            <v>34870467.409999996</v>
          </cell>
          <cell r="S366">
            <v>35437049.509999998</v>
          </cell>
          <cell r="T366">
            <v>35337998.43</v>
          </cell>
          <cell r="U366">
            <v>35258929.229999997</v>
          </cell>
          <cell r="V366">
            <v>34305872.170000002</v>
          </cell>
          <cell r="W366">
            <v>34334123.57</v>
          </cell>
          <cell r="X366">
            <v>35158976.829999998</v>
          </cell>
          <cell r="Y366">
            <v>35281260.710000001</v>
          </cell>
          <cell r="Z366">
            <v>35947425.719999999</v>
          </cell>
          <cell r="AA366">
            <v>38423221.93</v>
          </cell>
          <cell r="AB366">
            <v>36112242.049999997</v>
          </cell>
          <cell r="AC366">
            <v>38148757.689999998</v>
          </cell>
          <cell r="AD366">
            <v>37941736.039999999</v>
          </cell>
          <cell r="AE366">
            <v>37398992.289999999</v>
          </cell>
          <cell r="AF366">
            <v>37003099.119999997</v>
          </cell>
          <cell r="AG366">
            <v>36995409.409999996</v>
          </cell>
          <cell r="AH366">
            <v>36049062.399999999</v>
          </cell>
          <cell r="AI366">
            <v>36156380.880000003</v>
          </cell>
          <cell r="AJ366">
            <v>36602801.350000001</v>
          </cell>
          <cell r="AK366">
            <v>40013408.030000001</v>
          </cell>
          <cell r="AL366">
            <v>39966717.700000003</v>
          </cell>
          <cell r="AM366">
            <v>39774589.039999999</v>
          </cell>
          <cell r="AN366">
            <v>47861884.270000003</v>
          </cell>
          <cell r="AO366">
            <v>48216616.659999996</v>
          </cell>
          <cell r="AP366">
            <v>46704516.270000003</v>
          </cell>
          <cell r="AQ366">
            <v>47090265.090000004</v>
          </cell>
          <cell r="AR366">
            <v>47407657.259999998</v>
          </cell>
          <cell r="AS366">
            <v>47433163.060000002</v>
          </cell>
          <cell r="AT366">
            <v>47955941.990000002</v>
          </cell>
          <cell r="AU366">
            <v>48144508.670000002</v>
          </cell>
          <cell r="AV366">
            <v>48101782.039999999</v>
          </cell>
          <cell r="AW366">
            <v>50081276.340000004</v>
          </cell>
          <cell r="AX366">
            <v>50006575.43</v>
          </cell>
          <cell r="AY366">
            <v>50110547.240000002</v>
          </cell>
          <cell r="AZ366">
            <v>48257584.149999999</v>
          </cell>
          <cell r="BA366">
            <v>48838259.310000002</v>
          </cell>
          <cell r="BB366">
            <v>48545168.710000001</v>
          </cell>
          <cell r="BC366">
            <v>49500818.460000001</v>
          </cell>
          <cell r="BD366">
            <v>49805606.399999999</v>
          </cell>
          <cell r="BE366">
            <v>50060779.259999998</v>
          </cell>
          <cell r="BF366">
            <v>50103163.07</v>
          </cell>
          <cell r="BG366">
            <v>50170800.890000001</v>
          </cell>
          <cell r="BH366">
            <v>50206779.840000004</v>
          </cell>
          <cell r="BI366">
            <v>51841777.100000001</v>
          </cell>
          <cell r="BJ366">
            <v>51915224.390000001</v>
          </cell>
          <cell r="BK366">
            <v>52443292.640000001</v>
          </cell>
          <cell r="BL366">
            <v>53579534.350000001</v>
          </cell>
          <cell r="BM366">
            <v>53810178.520000003</v>
          </cell>
          <cell r="BN366">
            <v>53025245.880000003</v>
          </cell>
          <cell r="BO366">
            <v>53554503.890000001</v>
          </cell>
          <cell r="BP366">
            <v>53675832.280000001</v>
          </cell>
          <cell r="BQ366">
            <v>53712964.659999996</v>
          </cell>
          <cell r="BR366">
            <v>53733761.479999997</v>
          </cell>
          <cell r="BS366">
            <v>54023538.009999998</v>
          </cell>
          <cell r="BT366">
            <v>54120208.020000003</v>
          </cell>
          <cell r="BU366">
            <v>53966607.810000002</v>
          </cell>
          <cell r="BV366">
            <v>54087865.170000002</v>
          </cell>
          <cell r="BW366">
            <v>54371823.479999997</v>
          </cell>
          <cell r="BX366">
            <v>54966422.409999996</v>
          </cell>
          <cell r="BY366">
            <v>55524351.119999997</v>
          </cell>
          <cell r="BZ366">
            <v>54592508.079999998</v>
          </cell>
          <cell r="CA366">
            <v>54777939.390000001</v>
          </cell>
          <cell r="CB366">
            <v>55026802.189999998</v>
          </cell>
          <cell r="CC366">
            <v>55161969.799999997</v>
          </cell>
          <cell r="CD366">
            <v>55446318.920000002</v>
          </cell>
          <cell r="CE366">
            <v>55534916.149999999</v>
          </cell>
          <cell r="CF366">
            <v>55479405.710000001</v>
          </cell>
          <cell r="CG366">
            <v>55670420.039999999</v>
          </cell>
          <cell r="CH366">
            <v>56074141.859999999</v>
          </cell>
          <cell r="CI366">
            <v>55851066.880000003</v>
          </cell>
          <cell r="CJ366">
            <v>58693568.859999999</v>
          </cell>
          <cell r="CK366">
            <v>59351200.259999998</v>
          </cell>
          <cell r="CL366">
            <v>59691522.689999998</v>
          </cell>
          <cell r="CM366">
            <v>57907116.579999998</v>
          </cell>
          <cell r="CN366">
            <v>58338223.229999997</v>
          </cell>
          <cell r="CO366">
            <v>58283557.43</v>
          </cell>
          <cell r="CP366">
            <v>58536297.549999997</v>
          </cell>
          <cell r="CQ366">
            <v>58652680.020000003</v>
          </cell>
          <cell r="CR366">
            <v>58933954.409999996</v>
          </cell>
          <cell r="CS366">
            <v>59497046.469999999</v>
          </cell>
          <cell r="CT366">
            <v>58863673.240000002</v>
          </cell>
          <cell r="CU366">
            <v>59548096.990000002</v>
          </cell>
          <cell r="CV366">
            <v>58824206.109999999</v>
          </cell>
          <cell r="CW366">
            <v>59182826.119999997</v>
          </cell>
          <cell r="CX366">
            <v>60411842.740000002</v>
          </cell>
          <cell r="CY366">
            <v>58537919.140000001</v>
          </cell>
          <cell r="CZ366">
            <v>58883217.75</v>
          </cell>
          <cell r="DA366">
            <v>59124026.039999999</v>
          </cell>
          <cell r="DB366">
            <v>59227864.950000003</v>
          </cell>
          <cell r="DC366">
            <v>59234740.399999999</v>
          </cell>
          <cell r="DD366">
            <v>58915849.07</v>
          </cell>
          <cell r="DE366">
            <v>59442146.409999996</v>
          </cell>
          <cell r="DF366">
            <v>59602496.130000003</v>
          </cell>
          <cell r="DG366">
            <v>59999366.060000002</v>
          </cell>
          <cell r="DH366">
            <v>62146609.060000002</v>
          </cell>
        </row>
        <row r="367">
          <cell r="A367" t="str">
            <v>191</v>
          </cell>
          <cell r="D367">
            <v>3028976.22</v>
          </cell>
          <cell r="E367">
            <v>2328317.7000000002</v>
          </cell>
          <cell r="F367">
            <v>-2690380.3</v>
          </cell>
          <cell r="G367">
            <v>-1871187.3</v>
          </cell>
          <cell r="H367">
            <v>-3825481.06</v>
          </cell>
          <cell r="I367">
            <v>-3731579.99</v>
          </cell>
          <cell r="J367">
            <v>-1871385.06</v>
          </cell>
          <cell r="K367">
            <v>-4495686.04</v>
          </cell>
          <cell r="L367">
            <v>-4685303.04</v>
          </cell>
          <cell r="M367">
            <v>-4415619.04</v>
          </cell>
          <cell r="N367">
            <v>-2426539.04</v>
          </cell>
          <cell r="O367">
            <v>3262109.96</v>
          </cell>
          <cell r="P367">
            <v>822722.06</v>
          </cell>
          <cell r="Q367">
            <v>399.06</v>
          </cell>
          <cell r="R367">
            <v>524581.06000000006</v>
          </cell>
          <cell r="S367">
            <v>-1116131.94</v>
          </cell>
          <cell r="T367">
            <v>556285.06000000006</v>
          </cell>
          <cell r="U367">
            <v>1052618.06</v>
          </cell>
          <cell r="V367">
            <v>-1241463.94</v>
          </cell>
          <cell r="W367">
            <v>-106141.94</v>
          </cell>
          <cell r="X367">
            <v>-587029.93999999994</v>
          </cell>
          <cell r="Y367">
            <v>-165111.94</v>
          </cell>
          <cell r="Z367">
            <v>2251204.06</v>
          </cell>
          <cell r="AA367">
            <v>4817531.07</v>
          </cell>
          <cell r="AB367">
            <v>4566482.0599999996</v>
          </cell>
          <cell r="AC367">
            <v>3876662.07</v>
          </cell>
          <cell r="AD367">
            <v>-1124468.1299999999</v>
          </cell>
          <cell r="AE367">
            <v>-2680714.13</v>
          </cell>
          <cell r="AF367">
            <v>-3391795.13</v>
          </cell>
          <cell r="AG367">
            <v>-4918154.13</v>
          </cell>
          <cell r="AH367">
            <v>-6825029.1299999999</v>
          </cell>
          <cell r="AI367">
            <v>-8051702.46</v>
          </cell>
          <cell r="AJ367">
            <v>-8821966.4600000009</v>
          </cell>
          <cell r="AK367">
            <v>-8283926.46</v>
          </cell>
          <cell r="AL367">
            <v>-5545722.46</v>
          </cell>
          <cell r="AM367">
            <v>-2658041.46</v>
          </cell>
          <cell r="AN367">
            <v>-2176669.4</v>
          </cell>
          <cell r="AO367">
            <v>-2642346.4</v>
          </cell>
          <cell r="AP367">
            <v>-5804990.4100000001</v>
          </cell>
          <cell r="AQ367">
            <v>-2294854.41</v>
          </cell>
          <cell r="AR367">
            <v>-3251333.41</v>
          </cell>
          <cell r="AS367">
            <v>-3259418.41</v>
          </cell>
          <cell r="AT367">
            <v>-2333782.41</v>
          </cell>
          <cell r="AU367">
            <v>-1140359.77</v>
          </cell>
          <cell r="AV367">
            <v>62853.23</v>
          </cell>
          <cell r="AW367">
            <v>-1125284.77</v>
          </cell>
          <cell r="AX367">
            <v>2293438.23</v>
          </cell>
          <cell r="AY367">
            <v>3505808.23</v>
          </cell>
          <cell r="AZ367">
            <v>2834666.07</v>
          </cell>
          <cell r="BA367">
            <v>-2384064.9300000002</v>
          </cell>
          <cell r="BB367">
            <v>-8545555.9299999997</v>
          </cell>
          <cell r="BC367">
            <v>-5868120.9299999997</v>
          </cell>
          <cell r="BD367">
            <v>-9522977.9299999997</v>
          </cell>
          <cell r="BE367">
            <v>-9400213.9299999997</v>
          </cell>
          <cell r="BF367">
            <v>-9953193.9299999997</v>
          </cell>
          <cell r="BG367">
            <v>-10094426.199999999</v>
          </cell>
          <cell r="BH367">
            <v>-9688297.1999999993</v>
          </cell>
          <cell r="BI367">
            <v>-10202183.199999999</v>
          </cell>
          <cell r="BJ367">
            <v>-7149370.25</v>
          </cell>
          <cell r="BK367">
            <v>-834981.25</v>
          </cell>
          <cell r="BL367">
            <v>2412177.34</v>
          </cell>
          <cell r="BM367">
            <v>629810.18999999994</v>
          </cell>
          <cell r="BN367">
            <v>-2764299.81</v>
          </cell>
          <cell r="BO367">
            <v>-3806517.81</v>
          </cell>
          <cell r="BP367">
            <v>-6734309.8099999996</v>
          </cell>
          <cell r="BQ367">
            <v>-9153064.8100000005</v>
          </cell>
          <cell r="BR367">
            <v>-10301394.810000001</v>
          </cell>
          <cell r="BS367">
            <v>-10461658.810000001</v>
          </cell>
          <cell r="BT367">
            <v>-8902055.8100000005</v>
          </cell>
          <cell r="BU367">
            <v>-9455812.4700000007</v>
          </cell>
          <cell r="BV367">
            <v>-6835541.4699999997</v>
          </cell>
          <cell r="BW367">
            <v>-4507606.47</v>
          </cell>
          <cell r="BX367">
            <v>-5610499.4699999997</v>
          </cell>
          <cell r="BY367">
            <v>-9000597.4700000007</v>
          </cell>
          <cell r="BZ367">
            <v>-12085260.640000001</v>
          </cell>
          <cell r="CA367">
            <v>-13315276.640000001</v>
          </cell>
          <cell r="CB367">
            <v>-13955912.640000001</v>
          </cell>
          <cell r="CC367">
            <v>-13419803.640000001</v>
          </cell>
          <cell r="CD367">
            <v>-14069898.640000001</v>
          </cell>
          <cell r="CE367">
            <v>-13486354.640000001</v>
          </cell>
          <cell r="CF367">
            <v>-10977932.640000001</v>
          </cell>
          <cell r="CG367">
            <v>-10183908.800000001</v>
          </cell>
          <cell r="CH367">
            <v>-6168093.7999999998</v>
          </cell>
          <cell r="CI367">
            <v>-2672343.9900000002</v>
          </cell>
          <cell r="CJ367">
            <v>-1887381.02</v>
          </cell>
          <cell r="CK367">
            <v>-5514359.0199999996</v>
          </cell>
          <cell r="CL367">
            <v>-2984172.36</v>
          </cell>
          <cell r="CM367">
            <v>-1677602.36</v>
          </cell>
          <cell r="CN367">
            <v>-5499469.3600000003</v>
          </cell>
          <cell r="CO367">
            <v>-5895484.3600000003</v>
          </cell>
          <cell r="CP367">
            <v>-5154967.3600000003</v>
          </cell>
          <cell r="CQ367">
            <v>-5465947.3600000003</v>
          </cell>
          <cell r="CR367">
            <v>-4455322.3600000003</v>
          </cell>
          <cell r="CS367">
            <v>-2979201.54</v>
          </cell>
          <cell r="CT367">
            <v>4737406.46</v>
          </cell>
          <cell r="CU367">
            <v>12530134.949999999</v>
          </cell>
          <cell r="CV367">
            <v>12048953.949999999</v>
          </cell>
          <cell r="CW367">
            <v>7487262.9500000002</v>
          </cell>
          <cell r="CX367">
            <v>2120776.94</v>
          </cell>
          <cell r="CY367">
            <v>2683951.5</v>
          </cell>
          <cell r="CZ367">
            <v>-1958647.8</v>
          </cell>
          <cell r="DA367">
            <v>-376233.8</v>
          </cell>
          <cell r="DB367">
            <v>-676002.8</v>
          </cell>
          <cell r="DC367">
            <v>-1437703.8</v>
          </cell>
          <cell r="DD367">
            <v>-5007899.25</v>
          </cell>
          <cell r="DE367">
            <v>-10208061.42</v>
          </cell>
          <cell r="DF367">
            <v>-13346907.42</v>
          </cell>
          <cell r="DG367">
            <v>-3400043.42</v>
          </cell>
          <cell r="DH367">
            <v>2081892.58</v>
          </cell>
        </row>
        <row r="368">
          <cell r="A368" t="str">
            <v>207</v>
          </cell>
          <cell r="D368">
            <v>-5575333.3300000001</v>
          </cell>
          <cell r="E368">
            <v>-5575333.3300000001</v>
          </cell>
          <cell r="F368">
            <v>-5575333.3300000001</v>
          </cell>
          <cell r="G368">
            <v>-5575333.3300000001</v>
          </cell>
          <cell r="H368">
            <v>-5575333.3300000001</v>
          </cell>
          <cell r="I368">
            <v>-5575333.3300000001</v>
          </cell>
          <cell r="J368">
            <v>-5575333.3300000001</v>
          </cell>
          <cell r="K368">
            <v>-5575333.3300000001</v>
          </cell>
          <cell r="L368">
            <v>-5575333.3300000001</v>
          </cell>
          <cell r="M368">
            <v>-5575333.3300000001</v>
          </cell>
          <cell r="N368">
            <v>-5575333.3300000001</v>
          </cell>
          <cell r="O368">
            <v>-5575333.3300000001</v>
          </cell>
          <cell r="P368">
            <v>-5575333.3300000001</v>
          </cell>
          <cell r="Q368">
            <v>-5575333.3300000001</v>
          </cell>
          <cell r="R368">
            <v>-5575333.3300000001</v>
          </cell>
          <cell r="S368">
            <v>-5575333.3300000001</v>
          </cell>
          <cell r="T368">
            <v>-5575333.3300000001</v>
          </cell>
          <cell r="U368">
            <v>-5575333.3300000001</v>
          </cell>
          <cell r="V368">
            <v>-5575333.3300000001</v>
          </cell>
          <cell r="W368">
            <v>-5575333.3300000001</v>
          </cell>
          <cell r="X368">
            <v>-5575333.3300000001</v>
          </cell>
          <cell r="Y368">
            <v>-5575333.3300000001</v>
          </cell>
          <cell r="Z368">
            <v>-5575333.3300000001</v>
          </cell>
          <cell r="AA368">
            <v>-5575333.3300000001</v>
          </cell>
          <cell r="AB368">
            <v>-5575333.3300000001</v>
          </cell>
          <cell r="AC368">
            <v>-5575333.3300000001</v>
          </cell>
          <cell r="AD368">
            <v>-5575333.3300000001</v>
          </cell>
          <cell r="AE368">
            <v>-5575333.3300000001</v>
          </cell>
          <cell r="AF368">
            <v>-5575333.3300000001</v>
          </cell>
          <cell r="AG368">
            <v>-5575333.3300000001</v>
          </cell>
          <cell r="AH368">
            <v>-5575333.3300000001</v>
          </cell>
          <cell r="AI368">
            <v>-5575333.3300000001</v>
          </cell>
          <cell r="AJ368">
            <v>-5575333.3300000001</v>
          </cell>
          <cell r="AK368">
            <v>-5575333.3300000001</v>
          </cell>
          <cell r="AL368">
            <v>-5575333.3300000001</v>
          </cell>
          <cell r="AM368">
            <v>-5575333.3300000001</v>
          </cell>
          <cell r="AN368">
            <v>-5575333.3300000001</v>
          </cell>
          <cell r="AO368">
            <v>-5575333.3300000001</v>
          </cell>
          <cell r="AP368">
            <v>-5575333.3300000001</v>
          </cell>
          <cell r="AQ368">
            <v>-5575333.3300000001</v>
          </cell>
          <cell r="AR368">
            <v>-5575333.3300000001</v>
          </cell>
          <cell r="AS368">
            <v>-5575333.3300000001</v>
          </cell>
          <cell r="AT368">
            <v>-5575333.3300000001</v>
          </cell>
          <cell r="AU368">
            <v>-5575333.3300000001</v>
          </cell>
          <cell r="AV368">
            <v>-5575333.3300000001</v>
          </cell>
          <cell r="AW368">
            <v>-5575333.3300000001</v>
          </cell>
          <cell r="AX368">
            <v>-5575333.3300000001</v>
          </cell>
          <cell r="AY368">
            <v>-5575333.3300000001</v>
          </cell>
          <cell r="AZ368">
            <v>-5575333.3300000001</v>
          </cell>
          <cell r="BA368">
            <v>-5575333.3300000001</v>
          </cell>
          <cell r="BB368">
            <v>-5575333.3300000001</v>
          </cell>
          <cell r="BC368">
            <v>-5575333.3300000001</v>
          </cell>
          <cell r="BD368">
            <v>-5575333.3300000001</v>
          </cell>
          <cell r="BE368">
            <v>-5575333.3300000001</v>
          </cell>
          <cell r="BF368">
            <v>-5575333.3300000001</v>
          </cell>
          <cell r="BG368">
            <v>-5575333.3300000001</v>
          </cell>
          <cell r="BH368">
            <v>-5575333.3300000001</v>
          </cell>
          <cell r="BI368">
            <v>-5575333.3300000001</v>
          </cell>
          <cell r="BJ368">
            <v>-5575333.3300000001</v>
          </cell>
          <cell r="BK368">
            <v>-5575333.3300000001</v>
          </cell>
          <cell r="BL368">
            <v>-5575333.3300000001</v>
          </cell>
          <cell r="BM368">
            <v>-5575333.3300000001</v>
          </cell>
          <cell r="BN368">
            <v>-5575333.3300000001</v>
          </cell>
          <cell r="BO368">
            <v>-5575333.3300000001</v>
          </cell>
          <cell r="BP368">
            <v>-5575333.3300000001</v>
          </cell>
          <cell r="BQ368">
            <v>-5575333.3300000001</v>
          </cell>
          <cell r="BR368">
            <v>-5575333.3300000001</v>
          </cell>
          <cell r="BS368">
            <v>-5575333.3300000001</v>
          </cell>
          <cell r="BT368">
            <v>-5575333.3300000001</v>
          </cell>
          <cell r="BU368">
            <v>-5575333.3300000001</v>
          </cell>
          <cell r="BV368">
            <v>-5575333.3300000001</v>
          </cell>
          <cell r="BW368">
            <v>-5575333.3300000001</v>
          </cell>
          <cell r="BX368">
            <v>-5575333.3300000001</v>
          </cell>
          <cell r="BY368">
            <v>-5575333.3300000001</v>
          </cell>
          <cell r="BZ368">
            <v>-5575333.3300000001</v>
          </cell>
          <cell r="CA368">
            <v>-5575333.3300000001</v>
          </cell>
          <cell r="CB368">
            <v>-5575333.3300000001</v>
          </cell>
          <cell r="CC368">
            <v>-5575333.3300000001</v>
          </cell>
          <cell r="CD368">
            <v>-5575333.3300000001</v>
          </cell>
          <cell r="CE368">
            <v>-5575333.3300000001</v>
          </cell>
          <cell r="CF368">
            <v>-5575333.3300000001</v>
          </cell>
          <cell r="CG368">
            <v>-5575333.3300000001</v>
          </cell>
          <cell r="CH368">
            <v>-5575333.3300000001</v>
          </cell>
          <cell r="CI368">
            <v>-5575333.3300000001</v>
          </cell>
          <cell r="CJ368">
            <v>-5575333.3300000001</v>
          </cell>
          <cell r="CK368">
            <v>-5575333.3300000001</v>
          </cell>
          <cell r="CL368">
            <v>-5575333.3300000001</v>
          </cell>
          <cell r="CM368">
            <v>-5575333.3300000001</v>
          </cell>
          <cell r="CN368">
            <v>-5575333.3300000001</v>
          </cell>
          <cell r="CO368">
            <v>-5575333.3300000001</v>
          </cell>
          <cell r="CP368">
            <v>-5575333.3300000001</v>
          </cell>
          <cell r="CQ368">
            <v>-5575333.3300000001</v>
          </cell>
          <cell r="CR368">
            <v>-5575333.3300000001</v>
          </cell>
          <cell r="CS368">
            <v>-5575333.3300000001</v>
          </cell>
          <cell r="CT368">
            <v>-5575333.3300000001</v>
          </cell>
          <cell r="CU368">
            <v>-5575333.3300000001</v>
          </cell>
          <cell r="CV368">
            <v>-5575333.3300000001</v>
          </cell>
          <cell r="CW368">
            <v>-5575333.3300000001</v>
          </cell>
          <cell r="CX368">
            <v>-5575333.3300000001</v>
          </cell>
          <cell r="CY368">
            <v>-5575333.3300000001</v>
          </cell>
          <cell r="CZ368">
            <v>-5575333.3300000001</v>
          </cell>
          <cell r="DA368">
            <v>-5575333.3300000001</v>
          </cell>
          <cell r="DB368">
            <v>-5575333.3300000001</v>
          </cell>
          <cell r="DC368">
            <v>-5575333.3300000001</v>
          </cell>
          <cell r="DD368">
            <v>-5575333.3300000001</v>
          </cell>
          <cell r="DE368">
            <v>-5575333.3300000001</v>
          </cell>
          <cell r="DF368">
            <v>-5575333.3300000001</v>
          </cell>
          <cell r="DG368">
            <v>-5575333.3300000001</v>
          </cell>
          <cell r="DH368">
            <v>-5575333.3300000001</v>
          </cell>
        </row>
        <row r="369">
          <cell r="A369" t="str">
            <v>211</v>
          </cell>
          <cell r="D369">
            <v>-179974835.86000001</v>
          </cell>
          <cell r="E369">
            <v>-179974835.86000001</v>
          </cell>
          <cell r="F369">
            <v>-186974835.86000001</v>
          </cell>
          <cell r="G369">
            <v>-186974835.86000001</v>
          </cell>
          <cell r="H369">
            <v>-186974835.86000001</v>
          </cell>
          <cell r="I369">
            <v>-196974835.86000001</v>
          </cell>
          <cell r="J369">
            <v>-196974835.86000001</v>
          </cell>
          <cell r="K369">
            <v>-196974835.86000001</v>
          </cell>
          <cell r="L369">
            <v>-199474835.86000001</v>
          </cell>
          <cell r="M369">
            <v>-199474835.86000001</v>
          </cell>
          <cell r="N369">
            <v>-199474835.86000001</v>
          </cell>
          <cell r="O369">
            <v>-204974835.86000001</v>
          </cell>
          <cell r="P369">
            <v>-204974835.86000001</v>
          </cell>
          <cell r="Q369">
            <v>-204974835.86000001</v>
          </cell>
          <cell r="R369">
            <v>-204974835.86000001</v>
          </cell>
          <cell r="S369">
            <v>-204974835.86000001</v>
          </cell>
          <cell r="T369">
            <v>-204974835.86000001</v>
          </cell>
          <cell r="U369">
            <v>-214974835.86000001</v>
          </cell>
          <cell r="V369">
            <v>-214974835.86000001</v>
          </cell>
          <cell r="W369">
            <v>-214974835.86000001</v>
          </cell>
          <cell r="X369">
            <v>-222974835.86000001</v>
          </cell>
          <cell r="Y369">
            <v>-222974835.86000001</v>
          </cell>
          <cell r="Z369">
            <v>-222974835.86000001</v>
          </cell>
          <cell r="AA369">
            <v>-229974835.86000001</v>
          </cell>
          <cell r="AB369">
            <v>-229974835.86000001</v>
          </cell>
          <cell r="AC369">
            <v>-229974835.86000001</v>
          </cell>
          <cell r="AD369">
            <v>-229974835.86000001</v>
          </cell>
          <cell r="AE369">
            <v>-229974835.86000001</v>
          </cell>
          <cell r="AF369">
            <v>-229974835.86000001</v>
          </cell>
          <cell r="AG369">
            <v>-229974835.86000001</v>
          </cell>
          <cell r="AH369">
            <v>-229974835.86000001</v>
          </cell>
          <cell r="AI369">
            <v>-229974835.86000001</v>
          </cell>
          <cell r="AJ369">
            <v>-229974835.86000001</v>
          </cell>
          <cell r="AK369">
            <v>-229974835.86000001</v>
          </cell>
          <cell r="AL369">
            <v>-229974835.86000001</v>
          </cell>
          <cell r="AM369">
            <v>-229974835.86000001</v>
          </cell>
          <cell r="AN369">
            <v>-229974835.86000001</v>
          </cell>
          <cell r="AO369">
            <v>-229974835.86000001</v>
          </cell>
          <cell r="AP369">
            <v>-236974835.86000001</v>
          </cell>
          <cell r="AQ369">
            <v>-236974835.86000001</v>
          </cell>
          <cell r="AR369">
            <v>-236974835.86000001</v>
          </cell>
          <cell r="AS369">
            <v>-252974835.86000001</v>
          </cell>
          <cell r="AT369">
            <v>-252974835.86000001</v>
          </cell>
          <cell r="AU369">
            <v>-252974835.86000001</v>
          </cell>
          <cell r="AV369">
            <v>-262974835.86000001</v>
          </cell>
          <cell r="AW369">
            <v>-262974835.86000001</v>
          </cell>
          <cell r="AX369">
            <v>-262974835.86000001</v>
          </cell>
          <cell r="AY369">
            <v>-269974835.86000001</v>
          </cell>
          <cell r="AZ369">
            <v>-269974835.86000001</v>
          </cell>
          <cell r="BA369">
            <v>-269974835.86000001</v>
          </cell>
          <cell r="BB369">
            <v>-279974835.86000001</v>
          </cell>
          <cell r="BC369">
            <v>-279974835.86000001</v>
          </cell>
          <cell r="BD369">
            <v>-279974835.86000001</v>
          </cell>
          <cell r="BE369">
            <v>-294974835.86000001</v>
          </cell>
          <cell r="BF369">
            <v>-294974835.86000001</v>
          </cell>
          <cell r="BG369">
            <v>-294974835.86000001</v>
          </cell>
          <cell r="BH369">
            <v>-304974835.86000001</v>
          </cell>
          <cell r="BI369">
            <v>-304974835.86000001</v>
          </cell>
          <cell r="BJ369">
            <v>-304974835.86000001</v>
          </cell>
          <cell r="BK369">
            <v>-314974835.86000001</v>
          </cell>
          <cell r="BL369">
            <v>-314974835.86000001</v>
          </cell>
          <cell r="BM369">
            <v>-314974835.86000001</v>
          </cell>
          <cell r="BN369">
            <v>-349974835.86000001</v>
          </cell>
          <cell r="BO369">
            <v>-349974835.86000001</v>
          </cell>
          <cell r="BP369">
            <v>-349974835.86000001</v>
          </cell>
          <cell r="BQ369">
            <v>-384974835.86000001</v>
          </cell>
          <cell r="BR369">
            <v>-384974835.86000001</v>
          </cell>
          <cell r="BS369">
            <v>-384974835.86000001</v>
          </cell>
          <cell r="BT369">
            <v>-384974835.86000001</v>
          </cell>
          <cell r="BU369">
            <v>-409974835.86000001</v>
          </cell>
          <cell r="BV369">
            <v>-409974835.86000001</v>
          </cell>
          <cell r="BW369">
            <v>-409974835.86000001</v>
          </cell>
          <cell r="BX369">
            <v>-409974835.86000001</v>
          </cell>
          <cell r="BY369">
            <v>-409974835.86000001</v>
          </cell>
          <cell r="BZ369">
            <v>-449974835.86000001</v>
          </cell>
          <cell r="CA369">
            <v>-449974835.86000001</v>
          </cell>
          <cell r="CB369">
            <v>-449974835.86000001</v>
          </cell>
          <cell r="CC369">
            <v>-479974835.86000001</v>
          </cell>
          <cell r="CD369">
            <v>-479974835.86000001</v>
          </cell>
          <cell r="CE369">
            <v>-479974835.86000001</v>
          </cell>
          <cell r="CF369">
            <v>-524974835.86000001</v>
          </cell>
          <cell r="CG369">
            <v>-524974835.86000001</v>
          </cell>
          <cell r="CH369">
            <v>-524974835.86000001</v>
          </cell>
          <cell r="CI369">
            <v>-539974835.86000001</v>
          </cell>
          <cell r="CJ369">
            <v>-539974835.86000001</v>
          </cell>
          <cell r="CK369">
            <v>-539974835.86000001</v>
          </cell>
          <cell r="CL369">
            <v>-579974835.86000001</v>
          </cell>
          <cell r="CM369">
            <v>-579974835.86000001</v>
          </cell>
          <cell r="CN369">
            <v>-579974835.86000001</v>
          </cell>
          <cell r="CO369">
            <v>-599974835.86000001</v>
          </cell>
          <cell r="CP369">
            <v>-599974835.86000001</v>
          </cell>
          <cell r="CQ369">
            <v>-599974835.86000001</v>
          </cell>
          <cell r="CR369">
            <v>-634974835.86000001</v>
          </cell>
          <cell r="CS369">
            <v>-634974835.86000001</v>
          </cell>
          <cell r="CT369">
            <v>-634974835.86000001</v>
          </cell>
          <cell r="CU369">
            <v>-659974835.86000001</v>
          </cell>
          <cell r="CV369">
            <v>-659974835.86000001</v>
          </cell>
          <cell r="CW369">
            <v>-659974835.86000001</v>
          </cell>
          <cell r="CX369">
            <v>-734974835.86000001</v>
          </cell>
          <cell r="CY369">
            <v>-734974835.86000001</v>
          </cell>
          <cell r="CZ369">
            <v>-734974835.86000001</v>
          </cell>
          <cell r="DA369">
            <v>-764974835.86000001</v>
          </cell>
          <cell r="DB369">
            <v>-764974835.86000001</v>
          </cell>
          <cell r="DC369">
            <v>-764974835.86000001</v>
          </cell>
          <cell r="DD369">
            <v>-804974835.86000001</v>
          </cell>
          <cell r="DE369">
            <v>-804974835.86000001</v>
          </cell>
          <cell r="DF369">
            <v>-804974835.86000001</v>
          </cell>
          <cell r="DG369">
            <v>-829974835.86000001</v>
          </cell>
          <cell r="DH369">
            <v>-864974835.86000001</v>
          </cell>
        </row>
        <row r="370">
          <cell r="A370" t="str">
            <v>216</v>
          </cell>
          <cell r="D370">
            <v>-113841661.34999999</v>
          </cell>
          <cell r="E370">
            <v>-111660571.31</v>
          </cell>
          <cell r="F370">
            <v>-116163198.14999999</v>
          </cell>
          <cell r="G370">
            <v>-121045081.70999999</v>
          </cell>
          <cell r="H370">
            <v>-112372273.53999999</v>
          </cell>
          <cell r="I370">
            <v>-116665030.02</v>
          </cell>
          <cell r="J370">
            <v>-114186487.94</v>
          </cell>
          <cell r="K370">
            <v>-108377669.84</v>
          </cell>
          <cell r="L370">
            <v>-110088730.94000001</v>
          </cell>
          <cell r="M370">
            <v>-111423397.67999999</v>
          </cell>
          <cell r="N370">
            <v>-107968848.84</v>
          </cell>
          <cell r="O370">
            <v>-110793956.44</v>
          </cell>
          <cell r="P370">
            <v>-114523842.91999999</v>
          </cell>
          <cell r="Q370">
            <v>-120069519.97</v>
          </cell>
          <cell r="R370">
            <v>-118450787.73999999</v>
          </cell>
          <cell r="S370">
            <v>-122572270.42999999</v>
          </cell>
          <cell r="T370">
            <v>-110707125.28999999</v>
          </cell>
          <cell r="U370">
            <v>-113050943.02</v>
          </cell>
          <cell r="V370">
            <v>-115846763.8</v>
          </cell>
          <cell r="W370">
            <v>-108844000.88</v>
          </cell>
          <cell r="X370">
            <v>-111355677.53</v>
          </cell>
          <cell r="Y370">
            <v>-113216124.94</v>
          </cell>
          <cell r="Z370">
            <v>-115381134.81999999</v>
          </cell>
          <cell r="AA370">
            <v>-112996126.16</v>
          </cell>
          <cell r="AB370">
            <v>-110047092.87</v>
          </cell>
          <cell r="AC370">
            <v>-118293506.45</v>
          </cell>
          <cell r="AD370">
            <v>-117913111.88</v>
          </cell>
          <cell r="AE370">
            <v>-120286277.34999999</v>
          </cell>
          <cell r="AF370">
            <v>-123232291.81</v>
          </cell>
          <cell r="AG370">
            <v>-112306851.91000001</v>
          </cell>
          <cell r="AH370">
            <v>-105536923.00999999</v>
          </cell>
          <cell r="AI370">
            <v>-108153020.66</v>
          </cell>
          <cell r="AJ370">
            <v>-110172896.44</v>
          </cell>
          <cell r="AK370">
            <v>-112131872.52</v>
          </cell>
          <cell r="AL370">
            <v>-115075853.38</v>
          </cell>
          <cell r="AM370">
            <v>-112221907</v>
          </cell>
          <cell r="AN370">
            <v>-114275156.05</v>
          </cell>
          <cell r="AO370">
            <v>-119639984.92999999</v>
          </cell>
          <cell r="AP370">
            <v>-115503883.44</v>
          </cell>
          <cell r="AQ370">
            <v>-120040674.87</v>
          </cell>
          <cell r="AR370">
            <v>-123871642.90000001</v>
          </cell>
          <cell r="AS370">
            <v>-116300726.61</v>
          </cell>
          <cell r="AT370">
            <v>-118382345.68000001</v>
          </cell>
          <cell r="AU370">
            <v>-121141229.44</v>
          </cell>
          <cell r="AV370">
            <v>-111552004.88</v>
          </cell>
          <cell r="AW370">
            <v>-114259923.31</v>
          </cell>
          <cell r="AX370">
            <v>-116890073.22</v>
          </cell>
          <cell r="AY370">
            <v>-112995993.04000001</v>
          </cell>
          <cell r="AZ370">
            <v>-118580112.11</v>
          </cell>
          <cell r="BA370">
            <v>-127882218.40000001</v>
          </cell>
          <cell r="BB370">
            <v>-118020169.08999999</v>
          </cell>
          <cell r="BC370">
            <v>-119670737.80999999</v>
          </cell>
          <cell r="BD370">
            <v>-124975639.45</v>
          </cell>
          <cell r="BE370">
            <v>-112207660.15000001</v>
          </cell>
          <cell r="BF370">
            <v>-115304035.14999999</v>
          </cell>
          <cell r="BG370">
            <v>-118409305.34999999</v>
          </cell>
          <cell r="BH370">
            <v>-109851967.98999999</v>
          </cell>
          <cell r="BI370">
            <v>-113549918.5</v>
          </cell>
          <cell r="BJ370">
            <v>-116353191.73</v>
          </cell>
          <cell r="BK370">
            <v>-110539731.06</v>
          </cell>
          <cell r="BL370">
            <v>-116033086.81999999</v>
          </cell>
          <cell r="BM370">
            <v>-122651032.70999999</v>
          </cell>
          <cell r="BN370">
            <v>-116699202.21000001</v>
          </cell>
          <cell r="BO370">
            <v>-122195252.52</v>
          </cell>
          <cell r="BP370">
            <v>-127422182.71000001</v>
          </cell>
          <cell r="BQ370">
            <v>-114024685.78</v>
          </cell>
          <cell r="BR370">
            <v>-117789859.14999999</v>
          </cell>
          <cell r="BS370">
            <v>-120848674.53</v>
          </cell>
          <cell r="BT370">
            <v>-111115293.69000001</v>
          </cell>
          <cell r="BU370">
            <v>-114799153.32000001</v>
          </cell>
          <cell r="BV370">
            <v>-118224762.41000001</v>
          </cell>
          <cell r="BW370">
            <v>-112041843.11999999</v>
          </cell>
          <cell r="BX370">
            <v>-116103246.80999999</v>
          </cell>
          <cell r="BY370">
            <v>-123778864.42999999</v>
          </cell>
          <cell r="BZ370">
            <v>-117830680.34999999</v>
          </cell>
          <cell r="CA370">
            <v>-122675463.53</v>
          </cell>
          <cell r="CB370">
            <v>-126386191.80999999</v>
          </cell>
          <cell r="CC370">
            <v>-111533670.65000001</v>
          </cell>
          <cell r="CD370">
            <v>-114743463.79000001</v>
          </cell>
          <cell r="CE370">
            <v>-117839597.21000001</v>
          </cell>
          <cell r="CF370">
            <v>-111068552.06</v>
          </cell>
          <cell r="CG370">
            <v>-114483909.70999999</v>
          </cell>
          <cell r="CH370">
            <v>-117430787.00999999</v>
          </cell>
          <cell r="CI370">
            <v>-112251370.08999999</v>
          </cell>
          <cell r="CJ370">
            <v>-116870935.06999999</v>
          </cell>
          <cell r="CK370">
            <v>-128266422.39999999</v>
          </cell>
          <cell r="CL370">
            <v>-123619721.5</v>
          </cell>
          <cell r="CM370">
            <v>-131310521.97</v>
          </cell>
          <cell r="CN370">
            <v>-111908329.08</v>
          </cell>
          <cell r="CO370">
            <v>-117431751.22000001</v>
          </cell>
          <cell r="CP370">
            <v>-122874369.40000001</v>
          </cell>
          <cell r="CQ370">
            <v>-127308971.86</v>
          </cell>
          <cell r="CR370">
            <v>-113416725.28999999</v>
          </cell>
          <cell r="CS370">
            <v>-118972653.16</v>
          </cell>
          <cell r="CT370">
            <v>-124078340.31</v>
          </cell>
          <cell r="CU370">
            <v>-115121169.08</v>
          </cell>
          <cell r="CV370">
            <v>-120983768.86999999</v>
          </cell>
          <cell r="CW370">
            <v>-130771706.33</v>
          </cell>
          <cell r="CX370">
            <v>-122850966.69</v>
          </cell>
          <cell r="CY370">
            <v>-133757598.56</v>
          </cell>
          <cell r="CZ370">
            <v>-110923735.89</v>
          </cell>
          <cell r="DA370">
            <v>-117179080.2</v>
          </cell>
          <cell r="DB370">
            <v>-123837640.03</v>
          </cell>
          <cell r="DC370">
            <v>-128232838.38</v>
          </cell>
          <cell r="DD370">
            <v>-113171953.88</v>
          </cell>
          <cell r="DE370">
            <v>-120441962.30999999</v>
          </cell>
          <cell r="DF370">
            <v>-109018661.83</v>
          </cell>
          <cell r="DG370">
            <v>-114951680.89</v>
          </cell>
          <cell r="DH370">
            <v>-121058800.81999999</v>
          </cell>
        </row>
        <row r="371">
          <cell r="A371" t="str">
            <v>219</v>
          </cell>
          <cell r="D371">
            <v>1829349.5</v>
          </cell>
          <cell r="E371">
            <v>1806940.46</v>
          </cell>
          <cell r="F371">
            <v>1784531.42</v>
          </cell>
          <cell r="G371">
            <v>1762122.39</v>
          </cell>
          <cell r="H371">
            <v>1739168.69</v>
          </cell>
          <cell r="I371">
            <v>1701229.69</v>
          </cell>
          <cell r="J371">
            <v>1723656.39</v>
          </cell>
          <cell r="K371">
            <v>1678802.98</v>
          </cell>
          <cell r="L371">
            <v>1656376.27</v>
          </cell>
          <cell r="M371">
            <v>1633949.56</v>
          </cell>
          <cell r="N371">
            <v>1611522.85</v>
          </cell>
          <cell r="O371">
            <v>1589096.15</v>
          </cell>
          <cell r="P371">
            <v>1566669.44</v>
          </cell>
          <cell r="Q371">
            <v>1544242.72</v>
          </cell>
          <cell r="R371">
            <v>1521816.01</v>
          </cell>
          <cell r="S371">
            <v>1493100.1</v>
          </cell>
          <cell r="T371">
            <v>1361613.87</v>
          </cell>
          <cell r="U371">
            <v>1168927.3799999999</v>
          </cell>
          <cell r="V371">
            <v>1219531.99</v>
          </cell>
          <cell r="W371">
            <v>1197697.42</v>
          </cell>
          <cell r="X371">
            <v>1175862.8500000001</v>
          </cell>
          <cell r="Y371">
            <v>1154028.28</v>
          </cell>
          <cell r="Z371">
            <v>1132193.71</v>
          </cell>
          <cell r="AA371">
            <v>1088524.56</v>
          </cell>
          <cell r="AB371">
            <v>1110359.1299999999</v>
          </cell>
          <cell r="AC371">
            <v>1066689.98</v>
          </cell>
          <cell r="AD371">
            <v>1044855.42</v>
          </cell>
          <cell r="AE371">
            <v>1023020.84</v>
          </cell>
          <cell r="AF371">
            <v>1001186.26</v>
          </cell>
          <cell r="AG371">
            <v>979351.69</v>
          </cell>
          <cell r="AH371">
            <v>957517.11</v>
          </cell>
          <cell r="AI371">
            <v>935682.55</v>
          </cell>
          <cell r="AJ371">
            <v>913847.97</v>
          </cell>
          <cell r="AK371">
            <v>892013.4</v>
          </cell>
          <cell r="AL371">
            <v>870178.82</v>
          </cell>
          <cell r="AM371">
            <v>848344.25</v>
          </cell>
          <cell r="AN371">
            <v>826509.69</v>
          </cell>
          <cell r="AO371">
            <v>804675.11</v>
          </cell>
          <cell r="AP371">
            <v>782840.54</v>
          </cell>
          <cell r="AQ371">
            <v>761005.96</v>
          </cell>
          <cell r="AR371">
            <v>739171.39</v>
          </cell>
          <cell r="AS371">
            <v>717336.82</v>
          </cell>
          <cell r="AT371">
            <v>695502.25</v>
          </cell>
          <cell r="AU371">
            <v>673667.67</v>
          </cell>
          <cell r="AV371">
            <v>651833.1</v>
          </cell>
          <cell r="AW371">
            <v>629998.53</v>
          </cell>
          <cell r="AX371">
            <v>608163.96</v>
          </cell>
          <cell r="AY371">
            <v>586329.39</v>
          </cell>
          <cell r="AZ371">
            <v>508060.84</v>
          </cell>
          <cell r="BA371">
            <v>481523.44</v>
          </cell>
          <cell r="BB371">
            <v>454986.03</v>
          </cell>
          <cell r="BC371">
            <v>428448.63</v>
          </cell>
          <cell r="BD371">
            <v>401911.22</v>
          </cell>
          <cell r="BE371">
            <v>387616.51</v>
          </cell>
          <cell r="BF371">
            <v>385564.29</v>
          </cell>
          <cell r="BG371">
            <v>383512.08</v>
          </cell>
          <cell r="BH371">
            <v>381459.84</v>
          </cell>
          <cell r="BI371">
            <v>379407.62</v>
          </cell>
          <cell r="BJ371">
            <v>377355.4</v>
          </cell>
          <cell r="BK371">
            <v>375303.18</v>
          </cell>
          <cell r="BL371">
            <v>373250.95</v>
          </cell>
          <cell r="BM371">
            <v>371198.73</v>
          </cell>
          <cell r="BN371">
            <v>369146.5</v>
          </cell>
          <cell r="BO371">
            <v>367094.29</v>
          </cell>
          <cell r="BP371">
            <v>365042.07</v>
          </cell>
          <cell r="BQ371">
            <v>362989.85</v>
          </cell>
          <cell r="BR371">
            <v>360937.62</v>
          </cell>
          <cell r="BS371">
            <v>358885.4</v>
          </cell>
          <cell r="BT371">
            <v>356833.18</v>
          </cell>
          <cell r="BU371">
            <v>354780.97</v>
          </cell>
          <cell r="BV371">
            <v>352728.74</v>
          </cell>
          <cell r="BW371">
            <v>350676.52</v>
          </cell>
          <cell r="BX371">
            <v>348624.3</v>
          </cell>
          <cell r="BY371">
            <v>346572.08</v>
          </cell>
          <cell r="BZ371">
            <v>344519.85</v>
          </cell>
          <cell r="CA371">
            <v>342467.64</v>
          </cell>
          <cell r="CB371">
            <v>340415.42</v>
          </cell>
          <cell r="CC371">
            <v>338363.2</v>
          </cell>
          <cell r="CD371">
            <v>336310.97</v>
          </cell>
          <cell r="CE371">
            <v>334258.75</v>
          </cell>
          <cell r="CF371">
            <v>332206.53000000003</v>
          </cell>
          <cell r="CG371">
            <v>330154.32</v>
          </cell>
          <cell r="CH371">
            <v>328102.09000000003</v>
          </cell>
          <cell r="CI371">
            <v>326049.87</v>
          </cell>
          <cell r="CJ371">
            <v>323997.65000000002</v>
          </cell>
          <cell r="CK371">
            <v>321945.43</v>
          </cell>
          <cell r="CL371">
            <v>319893.2</v>
          </cell>
          <cell r="CM371">
            <v>317840.99</v>
          </cell>
          <cell r="CN371">
            <v>315775.98</v>
          </cell>
          <cell r="CO371">
            <v>313723.76</v>
          </cell>
          <cell r="CP371">
            <v>311671.53000000003</v>
          </cell>
          <cell r="CQ371">
            <v>309619.31</v>
          </cell>
          <cell r="CR371">
            <v>307567.09000000003</v>
          </cell>
          <cell r="CS371">
            <v>305514.88</v>
          </cell>
          <cell r="CT371">
            <v>303462.65000000002</v>
          </cell>
          <cell r="CU371">
            <v>301410.43</v>
          </cell>
          <cell r="CV371">
            <v>299358.21000000002</v>
          </cell>
          <cell r="CW371">
            <v>297305.99</v>
          </cell>
          <cell r="CX371">
            <v>295253.76000000001</v>
          </cell>
          <cell r="CY371">
            <v>293201.55</v>
          </cell>
          <cell r="CZ371">
            <v>291149.33</v>
          </cell>
          <cell r="DA371">
            <v>289097.11</v>
          </cell>
          <cell r="DB371">
            <v>287044.88</v>
          </cell>
          <cell r="DC371">
            <v>284992.65999999997</v>
          </cell>
          <cell r="DD371">
            <v>282940.44</v>
          </cell>
          <cell r="DE371">
            <v>280888.23</v>
          </cell>
          <cell r="DF371">
            <v>278836</v>
          </cell>
          <cell r="DG371">
            <v>276783.78000000003</v>
          </cell>
          <cell r="DH371">
            <v>274731.56</v>
          </cell>
        </row>
        <row r="372">
          <cell r="A372" t="str">
            <v>224</v>
          </cell>
          <cell r="D372">
            <v>-231764680</v>
          </cell>
          <cell r="E372">
            <v>-231764680</v>
          </cell>
          <cell r="F372">
            <v>-231764680</v>
          </cell>
          <cell r="G372">
            <v>-231764680</v>
          </cell>
          <cell r="H372">
            <v>-231764680</v>
          </cell>
          <cell r="I372">
            <v>-241764680</v>
          </cell>
          <cell r="J372">
            <v>-241764680</v>
          </cell>
          <cell r="K372">
            <v>-241764680</v>
          </cell>
          <cell r="L372">
            <v>-241764680</v>
          </cell>
          <cell r="M372">
            <v>-241764680</v>
          </cell>
          <cell r="N372">
            <v>-241764680</v>
          </cell>
          <cell r="O372">
            <v>-241764680</v>
          </cell>
          <cell r="P372">
            <v>-241764680</v>
          </cell>
          <cell r="Q372">
            <v>-241764680</v>
          </cell>
          <cell r="R372">
            <v>-241764680</v>
          </cell>
          <cell r="S372">
            <v>-241764680</v>
          </cell>
          <cell r="T372">
            <v>-241764680</v>
          </cell>
          <cell r="U372">
            <v>-261764680</v>
          </cell>
          <cell r="V372">
            <v>-261764680</v>
          </cell>
          <cell r="W372">
            <v>-261764680</v>
          </cell>
          <cell r="X372">
            <v>-261764680</v>
          </cell>
          <cell r="Y372">
            <v>-261764680</v>
          </cell>
          <cell r="Z372">
            <v>-261764680</v>
          </cell>
          <cell r="AA372">
            <v>-261764680</v>
          </cell>
          <cell r="AB372">
            <v>-261764680</v>
          </cell>
          <cell r="AC372">
            <v>-261764680</v>
          </cell>
          <cell r="AD372">
            <v>-261764680</v>
          </cell>
          <cell r="AE372">
            <v>-261764680</v>
          </cell>
          <cell r="AF372">
            <v>-261764680</v>
          </cell>
          <cell r="AG372">
            <v>-261764680</v>
          </cell>
          <cell r="AH372">
            <v>-261764680</v>
          </cell>
          <cell r="AI372">
            <v>-261764680</v>
          </cell>
          <cell r="AJ372">
            <v>-261764680</v>
          </cell>
          <cell r="AK372">
            <v>-261764680</v>
          </cell>
          <cell r="AL372">
            <v>-261764680</v>
          </cell>
          <cell r="AM372">
            <v>-261764680</v>
          </cell>
          <cell r="AN372">
            <v>-261764680</v>
          </cell>
          <cell r="AO372">
            <v>-261764680</v>
          </cell>
          <cell r="AP372">
            <v>-261764680</v>
          </cell>
          <cell r="AQ372">
            <v>-261764680</v>
          </cell>
          <cell r="AR372">
            <v>-261764680</v>
          </cell>
          <cell r="AS372">
            <v>-261764680</v>
          </cell>
          <cell r="AT372">
            <v>-261764680</v>
          </cell>
          <cell r="AU372">
            <v>-261764680</v>
          </cell>
          <cell r="AV372">
            <v>-261764680</v>
          </cell>
          <cell r="AW372">
            <v>-261764680</v>
          </cell>
          <cell r="AX372">
            <v>-261764680</v>
          </cell>
          <cell r="AY372">
            <v>-261764680</v>
          </cell>
          <cell r="AZ372">
            <v>-261764680</v>
          </cell>
          <cell r="BA372">
            <v>-261764680</v>
          </cell>
          <cell r="BB372">
            <v>-261764680</v>
          </cell>
          <cell r="BC372">
            <v>-261764680</v>
          </cell>
          <cell r="BD372">
            <v>-261764680</v>
          </cell>
          <cell r="BE372">
            <v>-211764680</v>
          </cell>
          <cell r="BF372">
            <v>-286764680</v>
          </cell>
          <cell r="BG372">
            <v>-286764680</v>
          </cell>
          <cell r="BH372">
            <v>-286764680</v>
          </cell>
          <cell r="BI372">
            <v>-286764680</v>
          </cell>
          <cell r="BJ372">
            <v>-311764680</v>
          </cell>
          <cell r="BK372">
            <v>-311764680</v>
          </cell>
          <cell r="BL372">
            <v>-311764680</v>
          </cell>
          <cell r="BM372">
            <v>-311764680</v>
          </cell>
          <cell r="BN372">
            <v>-311764680</v>
          </cell>
          <cell r="BO372">
            <v>-311764680</v>
          </cell>
          <cell r="BP372">
            <v>-311764680</v>
          </cell>
          <cell r="BQ372">
            <v>-311764680</v>
          </cell>
          <cell r="BR372">
            <v>-311764680</v>
          </cell>
          <cell r="BS372">
            <v>-336764680</v>
          </cell>
          <cell r="BT372">
            <v>-336764680</v>
          </cell>
          <cell r="BU372">
            <v>-336764680</v>
          </cell>
          <cell r="BV372">
            <v>-336764680</v>
          </cell>
          <cell r="BW372">
            <v>-336764680</v>
          </cell>
          <cell r="BX372">
            <v>-336764680</v>
          </cell>
          <cell r="BY372">
            <v>-336764680</v>
          </cell>
          <cell r="BZ372">
            <v>-336764680</v>
          </cell>
          <cell r="CA372">
            <v>-336764680</v>
          </cell>
          <cell r="CB372">
            <v>-336764680</v>
          </cell>
          <cell r="CC372">
            <v>-336764680</v>
          </cell>
          <cell r="CD372">
            <v>-336764680</v>
          </cell>
          <cell r="CE372">
            <v>-336764680</v>
          </cell>
          <cell r="CF372">
            <v>-336764680</v>
          </cell>
          <cell r="CG372">
            <v>-336764680</v>
          </cell>
          <cell r="CH372">
            <v>-336764680</v>
          </cell>
          <cell r="CI372">
            <v>-336764680</v>
          </cell>
          <cell r="CJ372">
            <v>-336764680</v>
          </cell>
          <cell r="CK372">
            <v>-336764680</v>
          </cell>
          <cell r="CL372">
            <v>-336764680</v>
          </cell>
          <cell r="CM372">
            <v>-566764680</v>
          </cell>
          <cell r="CN372">
            <v>-566764680</v>
          </cell>
          <cell r="CO372">
            <v>-520000000</v>
          </cell>
          <cell r="CP372">
            <v>-520000000</v>
          </cell>
          <cell r="CQ372">
            <v>-520000000</v>
          </cell>
          <cell r="CR372">
            <v>-520000000</v>
          </cell>
          <cell r="CS372">
            <v>-520000000</v>
          </cell>
          <cell r="CT372">
            <v>-520000000</v>
          </cell>
          <cell r="CU372">
            <v>-520000000</v>
          </cell>
          <cell r="CV372">
            <v>-520000000</v>
          </cell>
          <cell r="CW372">
            <v>-520000000</v>
          </cell>
          <cell r="CX372">
            <v>-520000000</v>
          </cell>
          <cell r="CY372">
            <v>-520000000</v>
          </cell>
          <cell r="CZ372">
            <v>-520000000</v>
          </cell>
          <cell r="DA372">
            <v>-520000000</v>
          </cell>
          <cell r="DB372">
            <v>-520000000</v>
          </cell>
          <cell r="DC372">
            <v>-595000000</v>
          </cell>
          <cell r="DD372">
            <v>-595000000</v>
          </cell>
          <cell r="DE372">
            <v>-570000000</v>
          </cell>
          <cell r="DF372">
            <v>-570000000</v>
          </cell>
          <cell r="DG372">
            <v>-570000000</v>
          </cell>
          <cell r="DH372">
            <v>-570000000</v>
          </cell>
        </row>
        <row r="373">
          <cell r="A373" t="str">
            <v>226</v>
          </cell>
          <cell r="D373">
            <v>422760.18</v>
          </cell>
          <cell r="E373">
            <v>421177.68</v>
          </cell>
          <cell r="F373">
            <v>419595.18</v>
          </cell>
          <cell r="G373">
            <v>418012.68</v>
          </cell>
          <cell r="H373">
            <v>416430.18</v>
          </cell>
          <cell r="I373">
            <v>419937.26</v>
          </cell>
          <cell r="J373">
            <v>421547.68</v>
          </cell>
          <cell r="K373">
            <v>418336.15</v>
          </cell>
          <cell r="L373">
            <v>416735.04</v>
          </cell>
          <cell r="M373">
            <v>415133.93</v>
          </cell>
          <cell r="N373">
            <v>413532.82</v>
          </cell>
          <cell r="O373">
            <v>411931.71</v>
          </cell>
          <cell r="P373">
            <v>410330.6</v>
          </cell>
          <cell r="Q373">
            <v>408729.49</v>
          </cell>
          <cell r="R373">
            <v>407128.38</v>
          </cell>
          <cell r="S373">
            <v>405527.27</v>
          </cell>
          <cell r="T373">
            <v>403926.16</v>
          </cell>
          <cell r="U373">
            <v>439525.05</v>
          </cell>
          <cell r="V373">
            <v>437819.41</v>
          </cell>
          <cell r="W373">
            <v>436114.97</v>
          </cell>
          <cell r="X373">
            <v>434410.53</v>
          </cell>
          <cell r="Y373">
            <v>432706.09</v>
          </cell>
          <cell r="Z373">
            <v>431001.65</v>
          </cell>
          <cell r="AA373">
            <v>427592.77</v>
          </cell>
          <cell r="AB373">
            <v>429297.21</v>
          </cell>
          <cell r="AC373">
            <v>425888.33</v>
          </cell>
          <cell r="AD373">
            <v>424183.89</v>
          </cell>
          <cell r="AE373">
            <v>422479.45</v>
          </cell>
          <cell r="AF373">
            <v>420775.01</v>
          </cell>
          <cell r="AG373">
            <v>419070.57</v>
          </cell>
          <cell r="AH373">
            <v>417366.13</v>
          </cell>
          <cell r="AI373">
            <v>415661.69</v>
          </cell>
          <cell r="AJ373">
            <v>413957.25</v>
          </cell>
          <cell r="AK373">
            <v>412252.81</v>
          </cell>
          <cell r="AL373">
            <v>410548.37</v>
          </cell>
          <cell r="AM373">
            <v>408843.93</v>
          </cell>
          <cell r="AN373">
            <v>407139.49</v>
          </cell>
          <cell r="AO373">
            <v>405435.05</v>
          </cell>
          <cell r="AP373">
            <v>403730.61</v>
          </cell>
          <cell r="AQ373">
            <v>402026.17</v>
          </cell>
          <cell r="AR373">
            <v>400321.73</v>
          </cell>
          <cell r="AS373">
            <v>398617.29</v>
          </cell>
          <cell r="AT373">
            <v>396912.85</v>
          </cell>
          <cell r="AU373">
            <v>395208.41</v>
          </cell>
          <cell r="AV373">
            <v>393503.97</v>
          </cell>
          <cell r="AW373">
            <v>391799.53</v>
          </cell>
          <cell r="AX373">
            <v>390095.09</v>
          </cell>
          <cell r="AY373">
            <v>388390.65</v>
          </cell>
          <cell r="AZ373">
            <v>386686.21</v>
          </cell>
          <cell r="BA373">
            <v>384981.77</v>
          </cell>
          <cell r="BB373">
            <v>383277.33</v>
          </cell>
          <cell r="BC373">
            <v>381572.89</v>
          </cell>
          <cell r="BD373">
            <v>379868.45</v>
          </cell>
          <cell r="BE373">
            <v>378164.01</v>
          </cell>
          <cell r="BF373">
            <v>571302.51</v>
          </cell>
          <cell r="BG373">
            <v>774522.99</v>
          </cell>
          <cell r="BH373">
            <v>771701.88</v>
          </cell>
          <cell r="BI373">
            <v>768880.77</v>
          </cell>
          <cell r="BJ373">
            <v>893463.71</v>
          </cell>
          <cell r="BK373">
            <v>890295.45</v>
          </cell>
          <cell r="BL373">
            <v>887127.19</v>
          </cell>
          <cell r="BM373">
            <v>883958.93</v>
          </cell>
          <cell r="BN373">
            <v>880790.67</v>
          </cell>
          <cell r="BO373">
            <v>877622.41</v>
          </cell>
          <cell r="BP373">
            <v>874454.15</v>
          </cell>
          <cell r="BQ373">
            <v>871285.89</v>
          </cell>
          <cell r="BR373">
            <v>868117.63</v>
          </cell>
          <cell r="BS373">
            <v>1171449.3700000001</v>
          </cell>
          <cell r="BT373">
            <v>1167456.6100000001</v>
          </cell>
          <cell r="BU373">
            <v>1163462.2</v>
          </cell>
          <cell r="BV373">
            <v>1159467.79</v>
          </cell>
          <cell r="BW373">
            <v>1155473.3799999999</v>
          </cell>
          <cell r="BX373">
            <v>1151478.97</v>
          </cell>
          <cell r="BY373">
            <v>1147484.56</v>
          </cell>
          <cell r="BZ373">
            <v>1143490.1499999999</v>
          </cell>
          <cell r="CA373">
            <v>1139495.74</v>
          </cell>
          <cell r="CB373">
            <v>1135501.33</v>
          </cell>
          <cell r="CC373">
            <v>1131506.92</v>
          </cell>
          <cell r="CD373">
            <v>1127512.51</v>
          </cell>
          <cell r="CE373">
            <v>1123518.1000000001</v>
          </cell>
          <cell r="CF373">
            <v>1119523.69</v>
          </cell>
          <cell r="CG373">
            <v>1115529.28</v>
          </cell>
          <cell r="CH373">
            <v>1111534.8700000001</v>
          </cell>
          <cell r="CI373">
            <v>1107540.46</v>
          </cell>
          <cell r="CJ373">
            <v>1103546.05</v>
          </cell>
          <cell r="CK373">
            <v>1099551.6399999999</v>
          </cell>
          <cell r="CL373">
            <v>1095557.23</v>
          </cell>
          <cell r="CM373">
            <v>1719076.29</v>
          </cell>
          <cell r="CN373">
            <v>1711423.85</v>
          </cell>
          <cell r="CO373">
            <v>1703592.91</v>
          </cell>
          <cell r="CP373">
            <v>1695761.97</v>
          </cell>
          <cell r="CQ373">
            <v>1687931.03</v>
          </cell>
          <cell r="CR373">
            <v>1680100.09</v>
          </cell>
          <cell r="CS373">
            <v>1672269.15</v>
          </cell>
          <cell r="CT373">
            <v>1664438.21</v>
          </cell>
          <cell r="CU373">
            <v>1656607.27</v>
          </cell>
          <cell r="CV373">
            <v>1648776.33</v>
          </cell>
          <cell r="CW373">
            <v>1640945.39</v>
          </cell>
          <cell r="CX373">
            <v>1633114.45</v>
          </cell>
          <cell r="CY373">
            <v>1625283.51</v>
          </cell>
          <cell r="CZ373">
            <v>1617452.57</v>
          </cell>
          <cell r="DA373">
            <v>1609621.63</v>
          </cell>
          <cell r="DB373">
            <v>1601790.69</v>
          </cell>
          <cell r="DC373">
            <v>1654047.7</v>
          </cell>
          <cell r="DD373">
            <v>1645491.83</v>
          </cell>
          <cell r="DE373">
            <v>1636935.96</v>
          </cell>
          <cell r="DF373">
            <v>1628634.26</v>
          </cell>
          <cell r="DG373">
            <v>1620332.56</v>
          </cell>
          <cell r="DH373">
            <v>1612030.86</v>
          </cell>
        </row>
        <row r="374">
          <cell r="A374" t="str">
            <v>228</v>
          </cell>
          <cell r="D374">
            <v>-26681143.670000002</v>
          </cell>
          <cell r="E374">
            <v>-25951180.98</v>
          </cell>
          <cell r="F374">
            <v>-25787429.660000004</v>
          </cell>
          <cell r="G374">
            <v>-24607645.440000001</v>
          </cell>
          <cell r="H374">
            <v>-23817802.210000001</v>
          </cell>
          <cell r="I374">
            <v>-23718559.690000001</v>
          </cell>
          <cell r="J374">
            <v>-24211684.809999999</v>
          </cell>
          <cell r="K374">
            <v>-23022014.009999998</v>
          </cell>
          <cell r="L374">
            <v>-23281584.82</v>
          </cell>
          <cell r="M374">
            <v>-22017282.309999999</v>
          </cell>
          <cell r="N374">
            <v>-22337980.520000003</v>
          </cell>
          <cell r="O374">
            <v>-22681102.07</v>
          </cell>
          <cell r="P374">
            <v>-26019235.210000001</v>
          </cell>
          <cell r="Q374">
            <v>-25057694.459999997</v>
          </cell>
          <cell r="R374">
            <v>-25158994.050000001</v>
          </cell>
          <cell r="S374">
            <v>-24882291.690000001</v>
          </cell>
          <cell r="T374">
            <v>-24472555.400000002</v>
          </cell>
          <cell r="U374">
            <v>-24689803.18</v>
          </cell>
          <cell r="V374">
            <v>-23410386.099999998</v>
          </cell>
          <cell r="W374">
            <v>-22995244.939999998</v>
          </cell>
          <cell r="X374">
            <v>-22902148.059999999</v>
          </cell>
          <cell r="Y374">
            <v>-21094240.900000002</v>
          </cell>
          <cell r="Z374">
            <v>-21258527.009999998</v>
          </cell>
          <cell r="AA374">
            <v>-28971148.989999998</v>
          </cell>
          <cell r="AB374">
            <v>-21444760.489999998</v>
          </cell>
          <cell r="AC374">
            <v>-29230488.440000001</v>
          </cell>
          <cell r="AD374">
            <v>-29421232.449999999</v>
          </cell>
          <cell r="AE374">
            <v>-28365036.170000002</v>
          </cell>
          <cell r="AF374">
            <v>-27627477.890000001</v>
          </cell>
          <cell r="AG374">
            <v>-27789361.600000001</v>
          </cell>
          <cell r="AH374">
            <v>-27970171.940000001</v>
          </cell>
          <cell r="AI374">
            <v>-27092027.610000003</v>
          </cell>
          <cell r="AJ374">
            <v>-27195844.91</v>
          </cell>
          <cell r="AK374">
            <v>-35190534.840000004</v>
          </cell>
          <cell r="AL374">
            <v>-35327688.310000002</v>
          </cell>
          <cell r="AM374">
            <v>-35591343.740000002</v>
          </cell>
          <cell r="AN374">
            <v>-31401927.109999996</v>
          </cell>
          <cell r="AO374">
            <v>-31220847.27</v>
          </cell>
          <cell r="AP374">
            <v>-30840323.91</v>
          </cell>
          <cell r="AQ374">
            <v>-30087238.91</v>
          </cell>
          <cell r="AR374">
            <v>-29337951.139999997</v>
          </cell>
          <cell r="AS374">
            <v>-29589433.439999998</v>
          </cell>
          <cell r="AT374">
            <v>-30457098.02</v>
          </cell>
          <cell r="AU374">
            <v>-29573248.989999998</v>
          </cell>
          <cell r="AV374">
            <v>-29771356.5</v>
          </cell>
          <cell r="AW374">
            <v>-29087503.139999997</v>
          </cell>
          <cell r="AX374">
            <v>-29313861.579999998</v>
          </cell>
          <cell r="AY374">
            <v>-29472516.619999997</v>
          </cell>
          <cell r="AZ374">
            <v>-26945534.370000001</v>
          </cell>
          <cell r="BA374">
            <v>-26405549.239999998</v>
          </cell>
          <cell r="BB374">
            <v>-26282266.909999996</v>
          </cell>
          <cell r="BC374">
            <v>-26005749.549999997</v>
          </cell>
          <cell r="BD374">
            <v>-26186815.949999999</v>
          </cell>
          <cell r="BE374">
            <v>-26373771.039999999</v>
          </cell>
          <cell r="BF374">
            <v>-26138562.66</v>
          </cell>
          <cell r="BG374">
            <v>-26427384.760000002</v>
          </cell>
          <cell r="BH374">
            <v>-26651948.539999999</v>
          </cell>
          <cell r="BI374">
            <v>-26038291.499999996</v>
          </cell>
          <cell r="BJ374">
            <v>-26178351.539999999</v>
          </cell>
          <cell r="BK374">
            <v>-26262227.759999998</v>
          </cell>
          <cell r="BL374">
            <v>-28500905.75</v>
          </cell>
          <cell r="BM374">
            <v>-28730548.239999998</v>
          </cell>
          <cell r="BN374">
            <v>-28892440.729999997</v>
          </cell>
          <cell r="BO374">
            <v>-29522613.469999999</v>
          </cell>
          <cell r="BP374">
            <v>-28944618.02</v>
          </cell>
          <cell r="BQ374">
            <v>-29227676.150000002</v>
          </cell>
          <cell r="BR374">
            <v>-29186232.34</v>
          </cell>
          <cell r="BS374">
            <v>-29593232.990000002</v>
          </cell>
          <cell r="BT374">
            <v>-30362985.409999996</v>
          </cell>
          <cell r="BU374">
            <v>-29328244.949999999</v>
          </cell>
          <cell r="BV374">
            <v>-30145622.220000003</v>
          </cell>
          <cell r="BW374">
            <v>-31252587.749999996</v>
          </cell>
          <cell r="BX374">
            <v>-32488465.099999998</v>
          </cell>
          <cell r="BY374">
            <v>-32138951.380000003</v>
          </cell>
          <cell r="BZ374">
            <v>-32410263.149999999</v>
          </cell>
          <cell r="CA374">
            <v>-31766661.430000003</v>
          </cell>
          <cell r="CB374">
            <v>-31266241.800000001</v>
          </cell>
          <cell r="CC374">
            <v>-31654541.900000002</v>
          </cell>
          <cell r="CD374">
            <v>-31749175.52</v>
          </cell>
          <cell r="CE374">
            <v>-31420756.960000001</v>
          </cell>
          <cell r="CF374">
            <v>-31457185.990000002</v>
          </cell>
          <cell r="CG374">
            <v>-30434722.389999997</v>
          </cell>
          <cell r="CH374">
            <v>-30469711.049999997</v>
          </cell>
          <cell r="CI374">
            <v>-30738108.350000001</v>
          </cell>
          <cell r="CJ374">
            <v>-37961354.899999999</v>
          </cell>
          <cell r="CK374">
            <v>-37546038.969999999</v>
          </cell>
          <cell r="CL374">
            <v>-37911749.079999998</v>
          </cell>
          <cell r="CM374">
            <v>-36593528.599999994</v>
          </cell>
          <cell r="CN374">
            <v>-36185252.729999997</v>
          </cell>
          <cell r="CO374">
            <v>-36416618.199999996</v>
          </cell>
          <cell r="CP374">
            <v>-35937594.819999993</v>
          </cell>
          <cell r="CQ374">
            <v>-35879100.039999999</v>
          </cell>
          <cell r="CR374">
            <v>-35965017.68</v>
          </cell>
          <cell r="CS374">
            <v>-35401823.019999996</v>
          </cell>
          <cell r="CT374">
            <v>-31340984.740000002</v>
          </cell>
          <cell r="CU374">
            <v>-34148677.600000001</v>
          </cell>
          <cell r="CV374">
            <v>-26607352.419999998</v>
          </cell>
          <cell r="CW374">
            <v>-24718670.939999998</v>
          </cell>
          <cell r="CX374">
            <v>-26486800.41</v>
          </cell>
          <cell r="CY374">
            <v>-25838896.819999997</v>
          </cell>
          <cell r="CZ374">
            <v>-24628250.07</v>
          </cell>
          <cell r="DA374">
            <v>-24415077.060000002</v>
          </cell>
          <cell r="DB374">
            <v>-24072755.370000001</v>
          </cell>
          <cell r="DC374">
            <v>-22398684.670000002</v>
          </cell>
          <cell r="DD374">
            <v>-20253497.16</v>
          </cell>
          <cell r="DE374">
            <v>-20734589.5</v>
          </cell>
          <cell r="DF374">
            <v>-19670693.359999996</v>
          </cell>
          <cell r="DG374">
            <v>-19522597.84</v>
          </cell>
          <cell r="DH374">
            <v>-27486603.599999998</v>
          </cell>
        </row>
        <row r="375">
          <cell r="A375" t="str">
            <v>231</v>
          </cell>
          <cell r="D375">
            <v>-15600000</v>
          </cell>
          <cell r="E375">
            <v>-16500000</v>
          </cell>
          <cell r="F375">
            <v>-12200000</v>
          </cell>
          <cell r="G375">
            <v>0</v>
          </cell>
          <cell r="H375">
            <v>0</v>
          </cell>
          <cell r="I375">
            <v>0</v>
          </cell>
          <cell r="J375">
            <v>0</v>
          </cell>
          <cell r="K375">
            <v>0</v>
          </cell>
          <cell r="L375">
            <v>0</v>
          </cell>
          <cell r="M375">
            <v>0</v>
          </cell>
          <cell r="N375">
            <v>0</v>
          </cell>
          <cell r="O375">
            <v>0</v>
          </cell>
          <cell r="P375">
            <v>-12900000</v>
          </cell>
          <cell r="Q375">
            <v>-8350000</v>
          </cell>
          <cell r="R375">
            <v>-5800000</v>
          </cell>
          <cell r="S375">
            <v>0</v>
          </cell>
          <cell r="T375">
            <v>0</v>
          </cell>
          <cell r="U375">
            <v>0</v>
          </cell>
          <cell r="V375">
            <v>0</v>
          </cell>
          <cell r="W375">
            <v>0</v>
          </cell>
          <cell r="X375">
            <v>0</v>
          </cell>
          <cell r="Y375">
            <v>0</v>
          </cell>
          <cell r="Z375">
            <v>0</v>
          </cell>
          <cell r="AA375">
            <v>0</v>
          </cell>
          <cell r="AB375">
            <v>0</v>
          </cell>
          <cell r="AC375">
            <v>0</v>
          </cell>
          <cell r="AD375">
            <v>-2300000</v>
          </cell>
          <cell r="AE375">
            <v>0</v>
          </cell>
          <cell r="AF375">
            <v>0</v>
          </cell>
          <cell r="AG375">
            <v>0</v>
          </cell>
          <cell r="AH375">
            <v>0</v>
          </cell>
          <cell r="AI375">
            <v>-1800000</v>
          </cell>
          <cell r="AJ375">
            <v>-3150000</v>
          </cell>
          <cell r="AK375">
            <v>-700000</v>
          </cell>
          <cell r="AL375">
            <v>0</v>
          </cell>
          <cell r="AM375">
            <v>-9750000</v>
          </cell>
          <cell r="AN375">
            <v>-30050000</v>
          </cell>
          <cell r="AO375">
            <v>-41225800</v>
          </cell>
          <cell r="AP375">
            <v>-40506800</v>
          </cell>
          <cell r="AQ375">
            <v>-41810800</v>
          </cell>
          <cell r="AR375">
            <v>-37148300</v>
          </cell>
          <cell r="AS375">
            <v>-30142100</v>
          </cell>
          <cell r="AT375">
            <v>-36126700</v>
          </cell>
          <cell r="AU375">
            <v>-33325400</v>
          </cell>
          <cell r="AV375">
            <v>-46233900</v>
          </cell>
          <cell r="AW375">
            <v>-48013800</v>
          </cell>
          <cell r="AX375">
            <v>-43884100</v>
          </cell>
          <cell r="AY375">
            <v>0</v>
          </cell>
          <cell r="AZ375">
            <v>-5000000</v>
          </cell>
          <cell r="BA375">
            <v>-5000000</v>
          </cell>
          <cell r="BB375">
            <v>-58203643.530000001</v>
          </cell>
          <cell r="BC375">
            <v>-53438296.759999998</v>
          </cell>
          <cell r="BD375">
            <v>-53973759.039999999</v>
          </cell>
          <cell r="BE375">
            <v>-86871593.75</v>
          </cell>
          <cell r="BF375">
            <v>-32647326.449999999</v>
          </cell>
          <cell r="BG375">
            <v>-32403666.739999998</v>
          </cell>
          <cell r="BH375">
            <v>-36635669.780000001</v>
          </cell>
          <cell r="BI375">
            <v>-44924345.579999998</v>
          </cell>
          <cell r="BJ375">
            <v>0</v>
          </cell>
          <cell r="BK375">
            <v>-35033765.530000001</v>
          </cell>
          <cell r="BL375">
            <v>-53651642.840000004</v>
          </cell>
          <cell r="BM375">
            <v>-70274100.799999997</v>
          </cell>
          <cell r="BN375">
            <v>-51017831.979999997</v>
          </cell>
          <cell r="BO375">
            <v>-43526147.640000001</v>
          </cell>
          <cell r="BP375">
            <v>-47854030.259999998</v>
          </cell>
          <cell r="BQ375">
            <v>-32302624.949999999</v>
          </cell>
          <cell r="BR375">
            <v>-43946027.359999999</v>
          </cell>
          <cell r="BS375">
            <v>-30168533.420000002</v>
          </cell>
          <cell r="BT375">
            <v>-48717414.859999999</v>
          </cell>
          <cell r="BU375">
            <v>-44435200.189999998</v>
          </cell>
          <cell r="BV375">
            <v>-47028283.420000002</v>
          </cell>
          <cell r="BW375">
            <v>-77517735.260000005</v>
          </cell>
          <cell r="BX375">
            <v>-91138979.060000002</v>
          </cell>
          <cell r="BY375">
            <v>-104160102.78</v>
          </cell>
          <cell r="BZ375">
            <v>-90190820</v>
          </cell>
          <cell r="CA375">
            <v>-91778966.859999999</v>
          </cell>
          <cell r="CB375">
            <v>-99145211.670000002</v>
          </cell>
          <cell r="CC375">
            <v>-104893603</v>
          </cell>
          <cell r="CD375">
            <v>-127591365</v>
          </cell>
          <cell r="CE375">
            <v>-145194423.19</v>
          </cell>
          <cell r="CF375">
            <v>-133998437.38</v>
          </cell>
          <cell r="CG375">
            <v>-144415739.19999999</v>
          </cell>
          <cell r="CH375">
            <v>-162258206.69999999</v>
          </cell>
          <cell r="CI375">
            <v>-179528111.31999999</v>
          </cell>
          <cell r="CJ375">
            <v>-214352134.94</v>
          </cell>
          <cell r="CK375">
            <v>-236511398.25999999</v>
          </cell>
          <cell r="CL375">
            <v>-221147725.66</v>
          </cell>
          <cell r="CM375">
            <v>-10000000</v>
          </cell>
          <cell r="CN375">
            <v>-17122357</v>
          </cell>
          <cell r="CO375">
            <v>-87741525.890000001</v>
          </cell>
          <cell r="CP375">
            <v>-99244299.810000002</v>
          </cell>
          <cell r="CQ375">
            <v>-111939289</v>
          </cell>
          <cell r="CR375">
            <v>-101333505</v>
          </cell>
          <cell r="CS375">
            <v>-115219002</v>
          </cell>
          <cell r="CT375">
            <v>-136200897</v>
          </cell>
          <cell r="CU375">
            <v>-144763516</v>
          </cell>
          <cell r="CV375">
            <v>-189522084</v>
          </cell>
          <cell r="CW375">
            <v>-210398800</v>
          </cell>
          <cell r="CX375">
            <v>-158200102.47999999</v>
          </cell>
          <cell r="CY375">
            <v>-166329492.08000001</v>
          </cell>
          <cell r="CZ375">
            <v>-174483977.78</v>
          </cell>
          <cell r="DA375">
            <v>-177717844.08000001</v>
          </cell>
          <cell r="DB375">
            <v>-198344903.18000001</v>
          </cell>
          <cell r="DC375">
            <v>-100000000</v>
          </cell>
          <cell r="DD375">
            <v>-100000000</v>
          </cell>
          <cell r="DE375">
            <v>-156383680.47999999</v>
          </cell>
          <cell r="DF375">
            <v>-159112874.97999999</v>
          </cell>
          <cell r="DG375">
            <v>-161937357.08000001</v>
          </cell>
          <cell r="DH375">
            <v>-166097150.09999999</v>
          </cell>
        </row>
        <row r="376">
          <cell r="A376" t="str">
            <v>232</v>
          </cell>
          <cell r="D376">
            <v>-25201160.02</v>
          </cell>
          <cell r="E376">
            <v>-25863021.370000001</v>
          </cell>
          <cell r="F376">
            <v>-21622640.239999998</v>
          </cell>
          <cell r="G376">
            <v>-22638521.77</v>
          </cell>
          <cell r="H376">
            <v>-21384223.629999999</v>
          </cell>
          <cell r="I376">
            <v>-13605696.17</v>
          </cell>
          <cell r="J376">
            <v>-14261679.060000001</v>
          </cell>
          <cell r="K376">
            <v>-14899841.43</v>
          </cell>
          <cell r="L376">
            <v>-20484635.129999999</v>
          </cell>
          <cell r="M376">
            <v>-17700722.309999999</v>
          </cell>
          <cell r="N376">
            <v>-17465939.41</v>
          </cell>
          <cell r="O376">
            <v>-27910000.670000002</v>
          </cell>
          <cell r="P376">
            <v>-26863282.289999999</v>
          </cell>
          <cell r="Q376">
            <v>-26462627.120000001</v>
          </cell>
          <cell r="R376">
            <v>-21964433</v>
          </cell>
          <cell r="S376">
            <v>-21097286.960000001</v>
          </cell>
          <cell r="T376">
            <v>-21905545.32</v>
          </cell>
          <cell r="U376">
            <v>-15199987.51</v>
          </cell>
          <cell r="V376">
            <v>-16287474.65</v>
          </cell>
          <cell r="W376">
            <v>-16901912.989999998</v>
          </cell>
          <cell r="X376">
            <v>-20225915.960000001</v>
          </cell>
          <cell r="Y376">
            <v>-18045629.460000001</v>
          </cell>
          <cell r="Z376">
            <v>-21118069.800000001</v>
          </cell>
          <cell r="AA376">
            <v>-23441336.640000001</v>
          </cell>
          <cell r="AB376">
            <v>-28066771.199999999</v>
          </cell>
          <cell r="AC376">
            <v>-26628832.050000001</v>
          </cell>
          <cell r="AD376">
            <v>-22923258</v>
          </cell>
          <cell r="AE376">
            <v>-18171844.780000001</v>
          </cell>
          <cell r="AF376">
            <v>-23869078.559999999</v>
          </cell>
          <cell r="AG376">
            <v>-18392077.48</v>
          </cell>
          <cell r="AH376">
            <v>-24580534.190000001</v>
          </cell>
          <cell r="AI376">
            <v>-27253759.93</v>
          </cell>
          <cell r="AJ376">
            <v>-25793386.329999998</v>
          </cell>
          <cell r="AK376">
            <v>-24787154.68</v>
          </cell>
          <cell r="AL376">
            <v>-30907114.719999999</v>
          </cell>
          <cell r="AM376">
            <v>-34044265.340000004</v>
          </cell>
          <cell r="AN376">
            <v>-30523948.170000002</v>
          </cell>
          <cell r="AO376">
            <v>-26403981.18</v>
          </cell>
          <cell r="AP376">
            <v>-21001575.57</v>
          </cell>
          <cell r="AQ376">
            <v>-20283672.370000001</v>
          </cell>
          <cell r="AR376">
            <v>-23047621.210000001</v>
          </cell>
          <cell r="AS376">
            <v>-21961435.260000002</v>
          </cell>
          <cell r="AT376">
            <v>-19976920.109999999</v>
          </cell>
          <cell r="AU376">
            <v>-24331841.18</v>
          </cell>
          <cell r="AV376">
            <v>-30557478.48</v>
          </cell>
          <cell r="AW376">
            <v>-25155521.34</v>
          </cell>
          <cell r="AX376">
            <v>-25134311.530000001</v>
          </cell>
          <cell r="AY376">
            <v>-34447339.490000002</v>
          </cell>
          <cell r="AZ376">
            <v>-35329912.18</v>
          </cell>
          <cell r="BA376">
            <v>-39755796.020000003</v>
          </cell>
          <cell r="BB376">
            <v>-25887447.539999999</v>
          </cell>
          <cell r="BC376">
            <v>-24545863.199999999</v>
          </cell>
          <cell r="BD376">
            <v>-24202680.719999999</v>
          </cell>
          <cell r="BE376">
            <v>-28857913.899999999</v>
          </cell>
          <cell r="BF376">
            <v>-29617109.41</v>
          </cell>
          <cell r="BG376">
            <v>-32346006.789999999</v>
          </cell>
          <cell r="BH376">
            <v>-30435191.300000001</v>
          </cell>
          <cell r="BI376">
            <v>-33641389.100000001</v>
          </cell>
          <cell r="BJ376">
            <v>-41415962.310000002</v>
          </cell>
          <cell r="BK376">
            <v>-56649310.359999999</v>
          </cell>
          <cell r="BL376">
            <v>-47736415.229999997</v>
          </cell>
          <cell r="BM376">
            <v>-41646058.280000001</v>
          </cell>
          <cell r="BN376">
            <v>-31572943.609999999</v>
          </cell>
          <cell r="BO376">
            <v>-38741742.32</v>
          </cell>
          <cell r="BP376">
            <v>-34520011.810000002</v>
          </cell>
          <cell r="BQ376">
            <v>-37921362.259999998</v>
          </cell>
          <cell r="BR376">
            <v>-34402416.210000001</v>
          </cell>
          <cell r="BS376">
            <v>-33788357.719999999</v>
          </cell>
          <cell r="BT376">
            <v>-37599088.600000001</v>
          </cell>
          <cell r="BU376">
            <v>-36186531.439999998</v>
          </cell>
          <cell r="BV376">
            <v>-42101626.149999999</v>
          </cell>
          <cell r="BW376">
            <v>-49142385.079999998</v>
          </cell>
          <cell r="BX376">
            <v>-59685489.890000001</v>
          </cell>
          <cell r="BY376">
            <v>-59329035.710000001</v>
          </cell>
          <cell r="BZ376">
            <v>-50686416.420000002</v>
          </cell>
          <cell r="CA376">
            <v>-49669086.049999997</v>
          </cell>
          <cell r="CB376">
            <v>-54113524.039999999</v>
          </cell>
          <cell r="CC376">
            <v>-51846198.890000001</v>
          </cell>
          <cell r="CD376">
            <v>-45352400</v>
          </cell>
          <cell r="CE376">
            <v>-46436338.109999999</v>
          </cell>
          <cell r="CF376">
            <v>-53169130.350000001</v>
          </cell>
          <cell r="CG376">
            <v>-59101419.520000003</v>
          </cell>
          <cell r="CH376">
            <v>-67496830.409999996</v>
          </cell>
          <cell r="CI376">
            <v>-79187003.819999993</v>
          </cell>
          <cell r="CJ376">
            <v>-80684738.109999999</v>
          </cell>
          <cell r="CK376">
            <v>-69529296.890000001</v>
          </cell>
          <cell r="CL376">
            <v>-68737382.090000004</v>
          </cell>
          <cell r="CM376">
            <v>-64518023.009999998</v>
          </cell>
          <cell r="CN376">
            <v>-57554398.659999996</v>
          </cell>
          <cell r="CO376">
            <v>-46492346.649999999</v>
          </cell>
          <cell r="CP376">
            <v>-47739331.859999999</v>
          </cell>
          <cell r="CQ376">
            <v>-54187540.789999999</v>
          </cell>
          <cell r="CR376">
            <v>-58983694.450000003</v>
          </cell>
          <cell r="CS376">
            <v>-60757405.090000004</v>
          </cell>
          <cell r="CT376">
            <v>-72548704.400000006</v>
          </cell>
          <cell r="CU376">
            <v>-83539358.150000006</v>
          </cell>
          <cell r="CV376">
            <v>-70733694.540000007</v>
          </cell>
          <cell r="CW376">
            <v>-70454889.829999998</v>
          </cell>
          <cell r="CX376">
            <v>-63465827.280000001</v>
          </cell>
          <cell r="CY376">
            <v>-52841519.210000001</v>
          </cell>
          <cell r="CZ376">
            <v>-51517295.780000001</v>
          </cell>
          <cell r="DA376">
            <v>-61906654</v>
          </cell>
          <cell r="DB376">
            <v>-57909528.460000001</v>
          </cell>
          <cell r="DC376">
            <v>-56961843.289999999</v>
          </cell>
          <cell r="DD376">
            <v>-60461395.159999996</v>
          </cell>
          <cell r="DE376">
            <v>-58245304.710000001</v>
          </cell>
          <cell r="DF376">
            <v>-60554696.649999999</v>
          </cell>
          <cell r="DG376">
            <v>-78273428.310000002</v>
          </cell>
          <cell r="DH376">
            <v>-69856886.260000005</v>
          </cell>
        </row>
        <row r="377">
          <cell r="A377" t="str">
            <v>233</v>
          </cell>
          <cell r="D377">
            <v>0</v>
          </cell>
          <cell r="E377">
            <v>0</v>
          </cell>
          <cell r="F377">
            <v>0</v>
          </cell>
          <cell r="G377">
            <v>0</v>
          </cell>
          <cell r="H377">
            <v>0</v>
          </cell>
          <cell r="I377">
            <v>0</v>
          </cell>
          <cell r="J377">
            <v>0</v>
          </cell>
          <cell r="K377">
            <v>0</v>
          </cell>
          <cell r="L377">
            <v>-800000</v>
          </cell>
          <cell r="M377">
            <v>-4700000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-600000</v>
          </cell>
          <cell r="AI377">
            <v>0</v>
          </cell>
          <cell r="AJ377">
            <v>0</v>
          </cell>
          <cell r="AK377">
            <v>0</v>
          </cell>
          <cell r="AL377">
            <v>0</v>
          </cell>
          <cell r="AM377">
            <v>0</v>
          </cell>
          <cell r="AN377">
            <v>0</v>
          </cell>
          <cell r="AO377">
            <v>0</v>
          </cell>
          <cell r="AP377">
            <v>0</v>
          </cell>
          <cell r="AQ377">
            <v>0</v>
          </cell>
          <cell r="AR377">
            <v>0</v>
          </cell>
          <cell r="AS377">
            <v>-1700000</v>
          </cell>
          <cell r="AT377">
            <v>0</v>
          </cell>
          <cell r="AU377">
            <v>0</v>
          </cell>
          <cell r="AV377">
            <v>0</v>
          </cell>
          <cell r="AW377">
            <v>0</v>
          </cell>
          <cell r="AX377">
            <v>0</v>
          </cell>
          <cell r="AY377">
            <v>-46059900</v>
          </cell>
          <cell r="AZ377">
            <v>-52684300</v>
          </cell>
          <cell r="BA377">
            <v>-50045713</v>
          </cell>
          <cell r="BB377">
            <v>0</v>
          </cell>
          <cell r="BC377">
            <v>0</v>
          </cell>
          <cell r="BD377">
            <v>0</v>
          </cell>
          <cell r="BE377">
            <v>0</v>
          </cell>
          <cell r="BF377">
            <v>0</v>
          </cell>
          <cell r="BG377">
            <v>0</v>
          </cell>
          <cell r="BH377">
            <v>0</v>
          </cell>
          <cell r="BI377">
            <v>0</v>
          </cell>
          <cell r="BJ377">
            <v>-26601973.98</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-4181104</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-36571246.979999997</v>
          </cell>
          <cell r="DD377">
            <v>-24775692.280000001</v>
          </cell>
          <cell r="DE377">
            <v>0</v>
          </cell>
          <cell r="DF377">
            <v>0</v>
          </cell>
          <cell r="DG377">
            <v>0</v>
          </cell>
          <cell r="DH377">
            <v>0</v>
          </cell>
        </row>
        <row r="378">
          <cell r="A378" t="str">
            <v>234</v>
          </cell>
          <cell r="D378">
            <v>-7116182.1600000001</v>
          </cell>
          <cell r="E378">
            <v>-5784387.4400000004</v>
          </cell>
          <cell r="F378">
            <v>-5514670.6600000001</v>
          </cell>
          <cell r="G378">
            <v>-5919251.0899999999</v>
          </cell>
          <cell r="H378">
            <v>-5377038.4400000004</v>
          </cell>
          <cell r="I378">
            <v>-13845023.880000001</v>
          </cell>
          <cell r="J378">
            <v>-20708921.300000001</v>
          </cell>
          <cell r="K378">
            <v>-6123267.7699999996</v>
          </cell>
          <cell r="L378">
            <v>-5130231.83</v>
          </cell>
          <cell r="M378">
            <v>-4896454.1900000004</v>
          </cell>
          <cell r="N378">
            <v>-4922102.2300000004</v>
          </cell>
          <cell r="O378">
            <v>-10883022.02</v>
          </cell>
          <cell r="P378">
            <v>-6974327.7699999996</v>
          </cell>
          <cell r="Q378">
            <v>-5766072.0599999996</v>
          </cell>
          <cell r="R378">
            <v>-5525131.3300000001</v>
          </cell>
          <cell r="S378">
            <v>-6172109.96</v>
          </cell>
          <cell r="T378">
            <v>-5675107.8099999996</v>
          </cell>
          <cell r="U378">
            <v>-10351095.130000001</v>
          </cell>
          <cell r="V378">
            <v>-6018559.7800000003</v>
          </cell>
          <cell r="W378">
            <v>-6678476.3799999999</v>
          </cell>
          <cell r="X378">
            <v>-4918461.8600000003</v>
          </cell>
          <cell r="Y378">
            <v>-5126680.08</v>
          </cell>
          <cell r="Z378">
            <v>-4962851.42</v>
          </cell>
          <cell r="AA378">
            <v>-8403205.3499999996</v>
          </cell>
          <cell r="AB378">
            <v>-10730328.890000001</v>
          </cell>
          <cell r="AC378">
            <v>-5323791.45</v>
          </cell>
          <cell r="AD378">
            <v>-5600323.9500000002</v>
          </cell>
          <cell r="AE378">
            <v>-6055332.79</v>
          </cell>
          <cell r="AF378">
            <v>-4577077.96</v>
          </cell>
          <cell r="AG378">
            <v>-9378541.4000000004</v>
          </cell>
          <cell r="AH378">
            <v>-5145419.41</v>
          </cell>
          <cell r="AI378">
            <v>-4794919.3499999996</v>
          </cell>
          <cell r="AJ378">
            <v>-3198098.24</v>
          </cell>
          <cell r="AK378">
            <v>-3354534.96</v>
          </cell>
          <cell r="AL378">
            <v>-4471527.16</v>
          </cell>
          <cell r="AM378">
            <v>-9428584</v>
          </cell>
          <cell r="AN378">
            <v>-8167328.8499999996</v>
          </cell>
          <cell r="AO378">
            <v>-2335011.85</v>
          </cell>
          <cell r="AP378">
            <v>-11570825.41</v>
          </cell>
          <cell r="AQ378">
            <v>-4085818.33</v>
          </cell>
          <cell r="AR378">
            <v>-8579654.4199999999</v>
          </cell>
          <cell r="AS378">
            <v>-13996852.880000001</v>
          </cell>
          <cell r="AT378">
            <v>-2652294.5699999998</v>
          </cell>
          <cell r="AU378">
            <v>-7947779.4699999997</v>
          </cell>
          <cell r="AV378">
            <v>-4475478.76</v>
          </cell>
          <cell r="AW378">
            <v>-3001050.01</v>
          </cell>
          <cell r="AX378">
            <v>-4552101.5599999996</v>
          </cell>
          <cell r="AY378">
            <v>-11106331.35</v>
          </cell>
          <cell r="AZ378">
            <v>-8001423.8399999999</v>
          </cell>
          <cell r="BA378">
            <v>-7200932.1200000001</v>
          </cell>
          <cell r="BB378">
            <v>-6628314.75</v>
          </cell>
          <cell r="BC378">
            <v>-6442004.6100000003</v>
          </cell>
          <cell r="BD378">
            <v>-6810752.4900000002</v>
          </cell>
          <cell r="BE378">
            <v>-10383811.17</v>
          </cell>
          <cell r="BF378">
            <v>-8069878.9900000002</v>
          </cell>
          <cell r="BG378">
            <v>-7327866.2999999998</v>
          </cell>
          <cell r="BH378">
            <v>-6511592.1900000004</v>
          </cell>
          <cell r="BI378">
            <v>-7276455.1500000004</v>
          </cell>
          <cell r="BJ378">
            <v>-7215628.9900000002</v>
          </cell>
          <cell r="BK378">
            <v>-10352349.220000001</v>
          </cell>
          <cell r="BL378">
            <v>-9568954.1999999993</v>
          </cell>
          <cell r="BM378">
            <v>-9616311.0399999991</v>
          </cell>
          <cell r="BN378">
            <v>-6876694.0800000001</v>
          </cell>
          <cell r="BO378">
            <v>-7920958.7300000004</v>
          </cell>
          <cell r="BP378">
            <v>-6148636.7999999998</v>
          </cell>
          <cell r="BQ378">
            <v>-9403019.9900000002</v>
          </cell>
          <cell r="BR378">
            <v>-8706554.6799999997</v>
          </cell>
          <cell r="BS378">
            <v>-5766291.2599999998</v>
          </cell>
          <cell r="BT378">
            <v>-6705108.0700000003</v>
          </cell>
          <cell r="BU378">
            <v>-6340705.25</v>
          </cell>
          <cell r="BV378">
            <v>-5809051.1900000004</v>
          </cell>
          <cell r="BW378">
            <v>-9435761.0399999991</v>
          </cell>
          <cell r="BX378">
            <v>-11465299.789999999</v>
          </cell>
          <cell r="BY378">
            <v>-8005256.3899999997</v>
          </cell>
          <cell r="BZ378">
            <v>-6583208.2400000002</v>
          </cell>
          <cell r="CA378">
            <v>-8367624.71</v>
          </cell>
          <cell r="CB378">
            <v>-6436943.6799999997</v>
          </cell>
          <cell r="CC378">
            <v>-9806231.4000000004</v>
          </cell>
          <cell r="CD378">
            <v>-10042270.17</v>
          </cell>
          <cell r="CE378">
            <v>-6059639.7400000002</v>
          </cell>
          <cell r="CF378">
            <v>-5253805.97</v>
          </cell>
          <cell r="CG378">
            <v>-7058433.2699999996</v>
          </cell>
          <cell r="CH378">
            <v>-6069072.0199999996</v>
          </cell>
          <cell r="CI378">
            <v>-12802384.42</v>
          </cell>
          <cell r="CJ378">
            <v>-14186404.26</v>
          </cell>
          <cell r="CK378">
            <v>-12774503.279999999</v>
          </cell>
          <cell r="CL378">
            <v>-12213369.23</v>
          </cell>
          <cell r="CM378">
            <v>-5551002.8600000003</v>
          </cell>
          <cell r="CN378">
            <v>-15103570.75</v>
          </cell>
          <cell r="CO378">
            <v>-11668179.66</v>
          </cell>
          <cell r="CP378">
            <v>-13634860.560000001</v>
          </cell>
          <cell r="CQ378">
            <v>-12336510.57</v>
          </cell>
          <cell r="CR378">
            <v>-10228568.550000001</v>
          </cell>
          <cell r="CS378">
            <v>-14919462.68</v>
          </cell>
          <cell r="CT378">
            <v>-11299470.59</v>
          </cell>
          <cell r="CU378">
            <v>-13776142.67</v>
          </cell>
          <cell r="CV378">
            <v>-16072202.789999999</v>
          </cell>
          <cell r="CW378">
            <v>-13834651.859999999</v>
          </cell>
          <cell r="CX378">
            <v>-13329201.52</v>
          </cell>
          <cell r="CY378">
            <v>-15230920.619999999</v>
          </cell>
          <cell r="CZ378">
            <v>-10942503.539999999</v>
          </cell>
          <cell r="DA378">
            <v>-13229110.449999999</v>
          </cell>
          <cell r="DB378">
            <v>-15795049.810000001</v>
          </cell>
          <cell r="DC378">
            <v>-15179281.59</v>
          </cell>
          <cell r="DD378">
            <v>-11760573.24</v>
          </cell>
          <cell r="DE378">
            <v>-11920240.18</v>
          </cell>
          <cell r="DF378">
            <v>-9260249.9700000007</v>
          </cell>
          <cell r="DG378">
            <v>-14395230.34</v>
          </cell>
          <cell r="DH378">
            <v>-28136525.460000001</v>
          </cell>
        </row>
        <row r="379">
          <cell r="A379" t="str">
            <v>235</v>
          </cell>
          <cell r="D379">
            <v>-38962429.020000003</v>
          </cell>
          <cell r="E379">
            <v>-39112595.640000001</v>
          </cell>
          <cell r="F379">
            <v>-39329145.899999999</v>
          </cell>
          <cell r="G379">
            <v>-39461443.399999999</v>
          </cell>
          <cell r="H379">
            <v>-39583104.740000002</v>
          </cell>
          <cell r="I379">
            <v>-40036880.060000002</v>
          </cell>
          <cell r="J379">
            <v>-39821823.649999999</v>
          </cell>
          <cell r="K379">
            <v>-40263756.149999999</v>
          </cell>
          <cell r="L379">
            <v>-40333365.270000003</v>
          </cell>
          <cell r="M379">
            <v>-40544032.380000003</v>
          </cell>
          <cell r="N379">
            <v>-40969295.75</v>
          </cell>
          <cell r="O379">
            <v>-40712822.090000004</v>
          </cell>
          <cell r="P379">
            <v>-40677812.380000003</v>
          </cell>
          <cell r="Q379">
            <v>-40827863.630000003</v>
          </cell>
          <cell r="R379">
            <v>-40820118.770000003</v>
          </cell>
          <cell r="S379">
            <v>-40888398.490000002</v>
          </cell>
          <cell r="T379">
            <v>-41089494.909999996</v>
          </cell>
          <cell r="U379">
            <v>-41312343.25</v>
          </cell>
          <cell r="V379">
            <v>-41383647.420000002</v>
          </cell>
          <cell r="W379">
            <v>-41410597.799999997</v>
          </cell>
          <cell r="X379">
            <v>-41393510.390000001</v>
          </cell>
          <cell r="Y379">
            <v>-41450160.880000003</v>
          </cell>
          <cell r="Z379">
            <v>-41587989.280000001</v>
          </cell>
          <cell r="AA379">
            <v>-41965312.640000001</v>
          </cell>
          <cell r="AB379">
            <v>-41843452.020000003</v>
          </cell>
          <cell r="AC379">
            <v>-40665207.799999997</v>
          </cell>
          <cell r="AD379">
            <v>-39610666.600000001</v>
          </cell>
          <cell r="AE379">
            <v>-38879324.659999996</v>
          </cell>
          <cell r="AF379">
            <v>-37845487.399999999</v>
          </cell>
          <cell r="AG379">
            <v>-36776756.5</v>
          </cell>
          <cell r="AH379">
            <v>-35960623.130000003</v>
          </cell>
          <cell r="AI379">
            <v>-34851425.530000001</v>
          </cell>
          <cell r="AJ379">
            <v>-33817141.539999999</v>
          </cell>
          <cell r="AK379">
            <v>-32932805.510000002</v>
          </cell>
          <cell r="AL379">
            <v>-31621202.239999998</v>
          </cell>
          <cell r="AM379">
            <v>-30521670.870000001</v>
          </cell>
          <cell r="AN379">
            <v>-28903717.68</v>
          </cell>
          <cell r="AO379">
            <v>-28196166.109999999</v>
          </cell>
          <cell r="AP379">
            <v>-27625247.010000002</v>
          </cell>
          <cell r="AQ379">
            <v>-27379223.07</v>
          </cell>
          <cell r="AR379">
            <v>-27370196.93</v>
          </cell>
          <cell r="AS379">
            <v>-27206476.620000001</v>
          </cell>
          <cell r="AT379">
            <v>-27083939.870000001</v>
          </cell>
          <cell r="AU379">
            <v>-26895005.5</v>
          </cell>
          <cell r="AV379">
            <v>-26863874.789999999</v>
          </cell>
          <cell r="AW379">
            <v>-26776195.57</v>
          </cell>
          <cell r="AX379">
            <v>-26781165.579999998</v>
          </cell>
          <cell r="AY379">
            <v>-26615167.710000001</v>
          </cell>
          <cell r="AZ379">
            <v>-26514398.550000001</v>
          </cell>
          <cell r="BA379">
            <v>-26363703.129999999</v>
          </cell>
          <cell r="BB379">
            <v>-26395380.91</v>
          </cell>
          <cell r="BC379">
            <v>-26455339.93</v>
          </cell>
          <cell r="BD379">
            <v>-26531333.899999999</v>
          </cell>
          <cell r="BE379">
            <v>-26616760.98</v>
          </cell>
          <cell r="BF379">
            <v>-26666275.280000001</v>
          </cell>
          <cell r="BG379">
            <v>-26688232.690000001</v>
          </cell>
          <cell r="BH379">
            <v>-26586983.190000001</v>
          </cell>
          <cell r="BI379">
            <v>-26554012.34</v>
          </cell>
          <cell r="BJ379">
            <v>-26503257.5</v>
          </cell>
          <cell r="BK379">
            <v>-26477855.82</v>
          </cell>
          <cell r="BL379">
            <v>-26414685.43</v>
          </cell>
          <cell r="BM379">
            <v>-26378705.32</v>
          </cell>
          <cell r="BN379">
            <v>-26409455.109999999</v>
          </cell>
          <cell r="BO379">
            <v>-26436131.82</v>
          </cell>
          <cell r="BP379">
            <v>-26368349.969999999</v>
          </cell>
          <cell r="BQ379">
            <v>-26391817.390000001</v>
          </cell>
          <cell r="BR379">
            <v>-26389020.23</v>
          </cell>
          <cell r="BS379">
            <v>-26373615.09</v>
          </cell>
          <cell r="BT379">
            <v>-26281969.59</v>
          </cell>
          <cell r="BU379">
            <v>-26203262.850000001</v>
          </cell>
          <cell r="BV379">
            <v>-26264380.539999999</v>
          </cell>
          <cell r="BW379">
            <v>-26260903.879999999</v>
          </cell>
          <cell r="BX379">
            <v>-26273516</v>
          </cell>
          <cell r="BY379">
            <v>-26234571.920000002</v>
          </cell>
          <cell r="BZ379">
            <v>-26322441.66</v>
          </cell>
          <cell r="CA379">
            <v>-26315300.809999999</v>
          </cell>
          <cell r="CB379">
            <v>-26262756</v>
          </cell>
          <cell r="CC379">
            <v>-26163201.969999999</v>
          </cell>
          <cell r="CD379">
            <v>-26058047.059999999</v>
          </cell>
          <cell r="CE379">
            <v>-26050799.27</v>
          </cell>
          <cell r="CF379">
            <v>-26010773.23</v>
          </cell>
          <cell r="CG379">
            <v>-26026972.77</v>
          </cell>
          <cell r="CH379">
            <v>-25987550.68</v>
          </cell>
          <cell r="CI379">
            <v>-25927305.43</v>
          </cell>
          <cell r="CJ379">
            <v>-25669278.079999998</v>
          </cell>
          <cell r="CK379">
            <v>-25835811.829999998</v>
          </cell>
          <cell r="CL379">
            <v>-25862973.25</v>
          </cell>
          <cell r="CM379">
            <v>-25976420.379999999</v>
          </cell>
          <cell r="CN379">
            <v>-25907474.699999999</v>
          </cell>
          <cell r="CO379">
            <v>-25996263.77</v>
          </cell>
          <cell r="CP379">
            <v>-26118439.879999999</v>
          </cell>
          <cell r="CQ379">
            <v>-26285203.600000001</v>
          </cell>
          <cell r="CR379">
            <v>-26361528.359999999</v>
          </cell>
          <cell r="CS379">
            <v>-26541796.670000002</v>
          </cell>
          <cell r="CT379">
            <v>-26678226.34</v>
          </cell>
          <cell r="CU379">
            <v>-26904461.460000001</v>
          </cell>
          <cell r="CV379">
            <v>-27054409.190000001</v>
          </cell>
          <cell r="CW379">
            <v>-27328605.280000001</v>
          </cell>
          <cell r="CX379">
            <v>-27441940.440000001</v>
          </cell>
          <cell r="CY379">
            <v>-27629575.949999999</v>
          </cell>
          <cell r="CZ379">
            <v>-27746982.91</v>
          </cell>
          <cell r="DA379">
            <v>-27983426.920000002</v>
          </cell>
          <cell r="DB379">
            <v>-28348424.100000001</v>
          </cell>
          <cell r="DC379">
            <v>-28566511.77</v>
          </cell>
          <cell r="DD379">
            <v>-28784521.449999999</v>
          </cell>
          <cell r="DE379">
            <v>-29071241.420000002</v>
          </cell>
          <cell r="DF379">
            <v>-29241534.52</v>
          </cell>
          <cell r="DG379">
            <v>-29454164.27</v>
          </cell>
          <cell r="DH379">
            <v>-29859419.059999999</v>
          </cell>
        </row>
        <row r="380">
          <cell r="A380" t="str">
            <v>236</v>
          </cell>
          <cell r="D380">
            <v>-2661809.34</v>
          </cell>
          <cell r="E380">
            <v>-5180760.78</v>
          </cell>
          <cell r="F380">
            <v>-8821051.5899999999</v>
          </cell>
          <cell r="G380">
            <v>-13537710.529999999</v>
          </cell>
          <cell r="H380">
            <v>-8074034.5199999996</v>
          </cell>
          <cell r="I380">
            <v>-4232470.18</v>
          </cell>
          <cell r="J380">
            <v>-10106416.33</v>
          </cell>
          <cell r="K380">
            <v>-4678034.47</v>
          </cell>
          <cell r="L380">
            <v>-5537125.4800000004</v>
          </cell>
          <cell r="M380">
            <v>-2803181.21</v>
          </cell>
          <cell r="N380">
            <v>-8181970.9800000004</v>
          </cell>
          <cell r="O380">
            <v>1388230.13</v>
          </cell>
          <cell r="P380">
            <v>-3125457.54</v>
          </cell>
          <cell r="Q380">
            <v>2874887.69</v>
          </cell>
          <cell r="R380">
            <v>448782.35</v>
          </cell>
          <cell r="S380">
            <v>-13008565.060000001</v>
          </cell>
          <cell r="T380">
            <v>-7852275.29</v>
          </cell>
          <cell r="U380">
            <v>-9473014.7899999991</v>
          </cell>
          <cell r="V380">
            <v>-4786486.72</v>
          </cell>
          <cell r="W380">
            <v>-5742041.29</v>
          </cell>
          <cell r="X380">
            <v>-7537266.29</v>
          </cell>
          <cell r="Y380">
            <v>-6041060.71</v>
          </cell>
          <cell r="Z380">
            <v>-6234959.2199999997</v>
          </cell>
          <cell r="AA380">
            <v>-3120655.9</v>
          </cell>
          <cell r="AB380">
            <v>2185491.84</v>
          </cell>
          <cell r="AC380">
            <v>7715315.5599999996</v>
          </cell>
          <cell r="AD380">
            <v>3665281.86</v>
          </cell>
          <cell r="AE380">
            <v>-11655581.529999999</v>
          </cell>
          <cell r="AF380">
            <v>-7348286.0199999996</v>
          </cell>
          <cell r="AG380">
            <v>-8359565.5300000003</v>
          </cell>
          <cell r="AH380">
            <v>-3701789.58</v>
          </cell>
          <cell r="AI380">
            <v>-3909603.74</v>
          </cell>
          <cell r="AJ380">
            <v>-4047479.05</v>
          </cell>
          <cell r="AK380">
            <v>-10584268.789999999</v>
          </cell>
          <cell r="AL380">
            <v>-9600657.3800000008</v>
          </cell>
          <cell r="AM380">
            <v>-892689.84</v>
          </cell>
          <cell r="AN380">
            <v>-3323403.18</v>
          </cell>
          <cell r="AO380">
            <v>-4081388.93</v>
          </cell>
          <cell r="AP380">
            <v>-5102247.07</v>
          </cell>
          <cell r="AQ380">
            <v>-6243704.0800000001</v>
          </cell>
          <cell r="AR380">
            <v>-8059699.54</v>
          </cell>
          <cell r="AS380">
            <v>-7823994.8399999999</v>
          </cell>
          <cell r="AT380">
            <v>-8293666.0499999998</v>
          </cell>
          <cell r="AU380">
            <v>-7169149.1200000001</v>
          </cell>
          <cell r="AV380">
            <v>-7239049.1699999999</v>
          </cell>
          <cell r="AW380">
            <v>-9702564.8399999999</v>
          </cell>
          <cell r="AX380">
            <v>-8808994.9299999997</v>
          </cell>
          <cell r="AY380">
            <v>661714.59</v>
          </cell>
          <cell r="AZ380">
            <v>-9211122.5999999996</v>
          </cell>
          <cell r="BA380">
            <v>-13572600.4</v>
          </cell>
          <cell r="BB380">
            <v>-14600365.470000001</v>
          </cell>
          <cell r="BC380">
            <v>-16231247.41</v>
          </cell>
          <cell r="BD380">
            <v>-11145731.16</v>
          </cell>
          <cell r="BE380">
            <v>-12161457.390000001</v>
          </cell>
          <cell r="BF380">
            <v>-11591468.59</v>
          </cell>
          <cell r="BG380">
            <v>-11572036.550000001</v>
          </cell>
          <cell r="BH380">
            <v>-11799321.119999999</v>
          </cell>
          <cell r="BI380">
            <v>-12219601.689999999</v>
          </cell>
          <cell r="BJ380">
            <v>-12874721.99</v>
          </cell>
          <cell r="BK380">
            <v>463617.95</v>
          </cell>
          <cell r="BL380">
            <v>-6451121.5300000003</v>
          </cell>
          <cell r="BM380">
            <v>-8941824.9199999999</v>
          </cell>
          <cell r="BN380">
            <v>-9832166</v>
          </cell>
          <cell r="BO380">
            <v>-11847959.99</v>
          </cell>
          <cell r="BP380">
            <v>-10251864.82</v>
          </cell>
          <cell r="BQ380">
            <v>-11744991.890000001</v>
          </cell>
          <cell r="BR380">
            <v>-11986398.289999999</v>
          </cell>
          <cell r="BS380">
            <v>-12146912.060000001</v>
          </cell>
          <cell r="BT380">
            <v>-12819012.73</v>
          </cell>
          <cell r="BU380">
            <v>-12254391.369999999</v>
          </cell>
          <cell r="BV380">
            <v>-13590333.82</v>
          </cell>
          <cell r="BW380">
            <v>-3703619.73</v>
          </cell>
          <cell r="BX380">
            <v>-4000873.32</v>
          </cell>
          <cell r="BY380">
            <v>-7739225.3899999997</v>
          </cell>
          <cell r="BZ380">
            <v>-6636305.2599999998</v>
          </cell>
          <cell r="CA380">
            <v>-8121303.8300000001</v>
          </cell>
          <cell r="CB380">
            <v>-9757295.5199999996</v>
          </cell>
          <cell r="CC380">
            <v>-10765886.560000001</v>
          </cell>
          <cell r="CD380">
            <v>-12823264.51</v>
          </cell>
          <cell r="CE380">
            <v>-12925459.140000001</v>
          </cell>
          <cell r="CF380">
            <v>-14466550.1</v>
          </cell>
          <cell r="CG380">
            <v>-16083975.449999999</v>
          </cell>
          <cell r="CH380">
            <v>-16100457.58</v>
          </cell>
          <cell r="CI380">
            <v>-5612356.0300000003</v>
          </cell>
          <cell r="CJ380">
            <v>-6793552.75</v>
          </cell>
          <cell r="CK380">
            <v>-11092050.33</v>
          </cell>
          <cell r="CL380">
            <v>-13454663.57</v>
          </cell>
          <cell r="CM380">
            <v>-13696435.42</v>
          </cell>
          <cell r="CN380">
            <v>-13245149.210000001</v>
          </cell>
          <cell r="CO380">
            <v>-13762335.24</v>
          </cell>
          <cell r="CP380">
            <v>-15275107.060000001</v>
          </cell>
          <cell r="CQ380">
            <v>-15073857.289999999</v>
          </cell>
          <cell r="CR380">
            <v>-16948134.420000002</v>
          </cell>
          <cell r="CS380">
            <v>-14409446.15</v>
          </cell>
          <cell r="CT380">
            <v>-14270872.98</v>
          </cell>
          <cell r="CU380">
            <v>-625641.26</v>
          </cell>
          <cell r="CV380">
            <v>-5470037.29</v>
          </cell>
          <cell r="CW380">
            <v>-5354349.95</v>
          </cell>
          <cell r="CX380">
            <v>-10627889.68</v>
          </cell>
          <cell r="CY380">
            <v>-11968092.49</v>
          </cell>
          <cell r="CZ380">
            <v>-16722499.220000001</v>
          </cell>
          <cell r="DA380">
            <v>-18739025.32</v>
          </cell>
          <cell r="DB380">
            <v>-18805484.620000001</v>
          </cell>
          <cell r="DC380">
            <v>-18581565.469999999</v>
          </cell>
          <cell r="DD380">
            <v>-16900474.149999999</v>
          </cell>
          <cell r="DE380">
            <v>-18963908.780000001</v>
          </cell>
          <cell r="DF380">
            <v>-20286578.75</v>
          </cell>
          <cell r="DG380">
            <v>-4641000.38</v>
          </cell>
          <cell r="DH380">
            <v>-5191933.03</v>
          </cell>
        </row>
        <row r="381">
          <cell r="A381" t="str">
            <v>237</v>
          </cell>
          <cell r="D381">
            <v>-1777759.74</v>
          </cell>
          <cell r="E381">
            <v>-2851859.98</v>
          </cell>
          <cell r="F381">
            <v>-3924698.87</v>
          </cell>
          <cell r="G381">
            <v>-4672118.37</v>
          </cell>
          <cell r="H381">
            <v>-5743876.3499999996</v>
          </cell>
          <cell r="I381">
            <v>-2282197.87</v>
          </cell>
          <cell r="J381">
            <v>-2200995.88</v>
          </cell>
          <cell r="K381">
            <v>-3388282.32</v>
          </cell>
          <cell r="L381">
            <v>-3585974.15</v>
          </cell>
          <cell r="M381">
            <v>-4377324.16</v>
          </cell>
          <cell r="N381">
            <v>-5492687.0999999996</v>
          </cell>
          <cell r="O381">
            <v>-1755680.89</v>
          </cell>
          <cell r="P381">
            <v>-1844901.51</v>
          </cell>
          <cell r="Q381">
            <v>-2956754.27</v>
          </cell>
          <cell r="R381">
            <v>-4068292.15</v>
          </cell>
          <cell r="S381">
            <v>-4853522.32</v>
          </cell>
          <cell r="T381">
            <v>-5964777.3600000003</v>
          </cell>
          <cell r="U381">
            <v>-2255473.77</v>
          </cell>
          <cell r="V381">
            <v>-2408319.5</v>
          </cell>
          <cell r="W381">
            <v>-3586757.24</v>
          </cell>
          <cell r="X381">
            <v>-3829443.16</v>
          </cell>
          <cell r="Y381">
            <v>-4693167.0199999996</v>
          </cell>
          <cell r="Z381">
            <v>-5881253.3300000001</v>
          </cell>
          <cell r="AA381">
            <v>-1626904.81</v>
          </cell>
          <cell r="AB381">
            <v>-1800558.87</v>
          </cell>
          <cell r="AC381">
            <v>-2816704.19</v>
          </cell>
          <cell r="AD381">
            <v>-4002188.3</v>
          </cell>
          <cell r="AE381">
            <v>-4858905.9000000004</v>
          </cell>
          <cell r="AF381">
            <v>-6037300.6799999997</v>
          </cell>
          <cell r="AG381">
            <v>-1942123.09</v>
          </cell>
          <cell r="AH381">
            <v>-2089537.43</v>
          </cell>
          <cell r="AI381">
            <v>-3257255.91</v>
          </cell>
          <cell r="AJ381">
            <v>-3819198.74</v>
          </cell>
          <cell r="AK381">
            <v>-4664755.87</v>
          </cell>
          <cell r="AL381">
            <v>-5832516.3899999997</v>
          </cell>
          <cell r="AM381">
            <v>-1725098.14</v>
          </cell>
          <cell r="AN381">
            <v>-1610349</v>
          </cell>
          <cell r="AO381">
            <v>-2770211.73</v>
          </cell>
          <cell r="AP381">
            <v>-3926470.74</v>
          </cell>
          <cell r="AQ381">
            <v>-4756681.2</v>
          </cell>
          <cell r="AR381">
            <v>-5910056.5700000003</v>
          </cell>
          <cell r="AS381">
            <v>-1791805.36</v>
          </cell>
          <cell r="AT381">
            <v>-1918348.83</v>
          </cell>
          <cell r="AU381">
            <v>-3064081.38</v>
          </cell>
          <cell r="AV381">
            <v>-4211704.8899999997</v>
          </cell>
          <cell r="AW381">
            <v>-5034860.0999999996</v>
          </cell>
          <cell r="AX381">
            <v>-6181157.9400000004</v>
          </cell>
          <cell r="AY381">
            <v>-2053097.21</v>
          </cell>
          <cell r="AZ381">
            <v>-1610109.86</v>
          </cell>
          <cell r="BA381">
            <v>-2767509.09</v>
          </cell>
          <cell r="BB381">
            <v>-3924170</v>
          </cell>
          <cell r="BC381">
            <v>-4753846.54</v>
          </cell>
          <cell r="BD381">
            <v>-5908484.71</v>
          </cell>
          <cell r="BE381">
            <v>-1665369.45</v>
          </cell>
          <cell r="BF381">
            <v>-1537027.2</v>
          </cell>
          <cell r="BG381">
            <v>-2909793.69</v>
          </cell>
          <cell r="BH381">
            <v>-4075867.62</v>
          </cell>
          <cell r="BI381">
            <v>-4916046.93</v>
          </cell>
          <cell r="BJ381">
            <v>-6159875.5599999996</v>
          </cell>
          <cell r="BK381">
            <v>-3671296.08</v>
          </cell>
          <cell r="BL381">
            <v>-1628035.39</v>
          </cell>
          <cell r="BM381">
            <v>-2893134.08</v>
          </cell>
          <cell r="BN381">
            <v>-4157387.1</v>
          </cell>
          <cell r="BO381">
            <v>-5094971.4800000004</v>
          </cell>
          <cell r="BP381">
            <v>-6357873.5</v>
          </cell>
          <cell r="BQ381">
            <v>-3873812.46</v>
          </cell>
          <cell r="BR381">
            <v>-1719866.43</v>
          </cell>
          <cell r="BS381">
            <v>-2996951.33</v>
          </cell>
          <cell r="BT381">
            <v>-4329094.1399999997</v>
          </cell>
          <cell r="BU381">
            <v>-5336768.17</v>
          </cell>
          <cell r="BV381">
            <v>-6668669.4100000001</v>
          </cell>
          <cell r="BW381">
            <v>-4253442.32</v>
          </cell>
          <cell r="BX381">
            <v>-1450837.09</v>
          </cell>
          <cell r="BY381">
            <v>-2790870.41</v>
          </cell>
          <cell r="BZ381">
            <v>-4130760</v>
          </cell>
          <cell r="CA381">
            <v>-5138976.83</v>
          </cell>
          <cell r="CB381">
            <v>-6476256.1699999999</v>
          </cell>
          <cell r="CC381">
            <v>-4067159.89</v>
          </cell>
          <cell r="CD381">
            <v>-1755227.5</v>
          </cell>
          <cell r="CE381">
            <v>-3088454.96</v>
          </cell>
          <cell r="CF381">
            <v>-4420758.18</v>
          </cell>
          <cell r="CG381">
            <v>-5426815.9400000004</v>
          </cell>
          <cell r="CH381">
            <v>-6756177.0099999998</v>
          </cell>
          <cell r="CI381">
            <v>-4341584.26</v>
          </cell>
          <cell r="CJ381">
            <v>-1444460.74</v>
          </cell>
          <cell r="CK381">
            <v>-2783860.37</v>
          </cell>
          <cell r="CL381">
            <v>-4122852.14</v>
          </cell>
          <cell r="CM381">
            <v>-5453952.0800000001</v>
          </cell>
          <cell r="CN381">
            <v>-7351672</v>
          </cell>
          <cell r="CO381">
            <v>-5292848.7699999996</v>
          </cell>
          <cell r="CP381">
            <v>-3437048.73</v>
          </cell>
          <cell r="CQ381">
            <v>-5123939.24</v>
          </cell>
          <cell r="CR381">
            <v>-6809838.7199999997</v>
          </cell>
          <cell r="CS381">
            <v>-4769517.4800000004</v>
          </cell>
          <cell r="CT381">
            <v>-6452853.7000000002</v>
          </cell>
          <cell r="CU381">
            <v>-5655604.2999999998</v>
          </cell>
          <cell r="CV381">
            <v>-3091860.12</v>
          </cell>
          <cell r="CW381">
            <v>-4784625.57</v>
          </cell>
          <cell r="CX381">
            <v>-6477240.7999999998</v>
          </cell>
          <cell r="CY381">
            <v>-4481144.78</v>
          </cell>
          <cell r="CZ381">
            <v>-6172977.6900000004</v>
          </cell>
          <cell r="DA381">
            <v>-5381666.96</v>
          </cell>
          <cell r="DB381">
            <v>-3425060.26</v>
          </cell>
          <cell r="DC381">
            <v>-5281656.1399999997</v>
          </cell>
          <cell r="DD381">
            <v>-7248784.8700000001</v>
          </cell>
          <cell r="DE381">
            <v>-5501163.5499999998</v>
          </cell>
          <cell r="DF381">
            <v>-7413285.6699999999</v>
          </cell>
          <cell r="DG381">
            <v>-6844257.0199999996</v>
          </cell>
          <cell r="DH381">
            <v>-4458906.53</v>
          </cell>
        </row>
        <row r="382">
          <cell r="A382" t="str">
            <v>238</v>
          </cell>
          <cell r="D382">
            <v>0</v>
          </cell>
          <cell r="E382">
            <v>-7357286.6799999997</v>
          </cell>
          <cell r="F382">
            <v>0</v>
          </cell>
          <cell r="G382">
            <v>0</v>
          </cell>
          <cell r="H382">
            <v>-11948603.68</v>
          </cell>
          <cell r="I382">
            <v>0</v>
          </cell>
          <cell r="J382">
            <v>0</v>
          </cell>
          <cell r="K382">
            <v>-9971893.4700000007</v>
          </cell>
          <cell r="L382">
            <v>0</v>
          </cell>
          <cell r="M382">
            <v>0</v>
          </cell>
          <cell r="N382">
            <v>-5874136.4699999997</v>
          </cell>
          <cell r="O382">
            <v>0</v>
          </cell>
          <cell r="P382">
            <v>0</v>
          </cell>
          <cell r="Q382">
            <v>0</v>
          </cell>
          <cell r="R382">
            <v>-6579361.9699999997</v>
          </cell>
          <cell r="S382">
            <v>0</v>
          </cell>
          <cell r="T382">
            <v>-14236193.27</v>
          </cell>
          <cell r="U382">
            <v>0</v>
          </cell>
          <cell r="V382">
            <v>0</v>
          </cell>
          <cell r="W382">
            <v>-8836348.5500000007</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cell r="AM382"/>
          <cell r="AN382"/>
          <cell r="AO382"/>
          <cell r="AP382"/>
          <cell r="AQ382"/>
          <cell r="AR382"/>
          <cell r="AS382"/>
          <cell r="AT382"/>
          <cell r="AU382"/>
          <cell r="AV382"/>
          <cell r="AW382"/>
          <cell r="AX382"/>
          <cell r="AY382"/>
          <cell r="AZ382"/>
          <cell r="BA382"/>
          <cell r="BB382"/>
          <cell r="BC382"/>
          <cell r="BD382">
            <v>0</v>
          </cell>
          <cell r="BE382">
            <v>-15456143.34</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cell r="BW382"/>
          <cell r="BX382"/>
          <cell r="BY382"/>
          <cell r="BZ382"/>
          <cell r="CA382"/>
          <cell r="CB382"/>
          <cell r="CC382"/>
          <cell r="CD382"/>
          <cell r="CE382"/>
          <cell r="CF382"/>
          <cell r="CG382"/>
          <cell r="CH382"/>
          <cell r="CI382"/>
          <cell r="CJ382"/>
          <cell r="CK382"/>
          <cell r="CL382"/>
          <cell r="CM382"/>
          <cell r="CN382">
            <v>-27095926</v>
          </cell>
          <cell r="CO382">
            <v>0</v>
          </cell>
          <cell r="CP382">
            <v>0</v>
          </cell>
          <cell r="CQ382">
            <v>0</v>
          </cell>
          <cell r="CR382">
            <v>0</v>
          </cell>
          <cell r="CS382">
            <v>0</v>
          </cell>
          <cell r="CT382">
            <v>0</v>
          </cell>
          <cell r="CU382">
            <v>0</v>
          </cell>
          <cell r="CV382">
            <v>0</v>
          </cell>
          <cell r="CW382">
            <v>0</v>
          </cell>
          <cell r="CX382">
            <v>0</v>
          </cell>
          <cell r="CY382">
            <v>0</v>
          </cell>
          <cell r="CZ382">
            <v>-29543003</v>
          </cell>
          <cell r="DA382">
            <v>0</v>
          </cell>
          <cell r="DB382">
            <v>0</v>
          </cell>
          <cell r="DC382">
            <v>0</v>
          </cell>
          <cell r="DD382">
            <v>0</v>
          </cell>
          <cell r="DE382">
            <v>0</v>
          </cell>
          <cell r="DF382">
            <v>-16227366</v>
          </cell>
          <cell r="DG382">
            <v>0</v>
          </cell>
          <cell r="DH382">
            <v>0</v>
          </cell>
        </row>
        <row r="383">
          <cell r="A383" t="str">
            <v>241</v>
          </cell>
          <cell r="D383">
            <v>-614504.11</v>
          </cell>
          <cell r="E383">
            <v>-1811549.86</v>
          </cell>
          <cell r="F383">
            <v>-857926.3</v>
          </cell>
          <cell r="G383">
            <v>-722767.87</v>
          </cell>
          <cell r="H383">
            <v>-644467.26</v>
          </cell>
          <cell r="I383">
            <v>-571462.40000000002</v>
          </cell>
          <cell r="J383">
            <v>-589653.07999999996</v>
          </cell>
          <cell r="K383">
            <v>-575332.19999999995</v>
          </cell>
          <cell r="L383">
            <v>-521313.55</v>
          </cell>
          <cell r="M383">
            <v>-543111.43999999994</v>
          </cell>
          <cell r="N383">
            <v>-566268.68000000005</v>
          </cell>
          <cell r="O383">
            <v>-583233.68000000005</v>
          </cell>
          <cell r="P383">
            <v>-705383.5</v>
          </cell>
          <cell r="Q383">
            <v>-821585.97</v>
          </cell>
          <cell r="R383">
            <v>-821348.03</v>
          </cell>
          <cell r="S383">
            <v>-777644.03</v>
          </cell>
          <cell r="T383">
            <v>-876828.85</v>
          </cell>
          <cell r="U383">
            <v>-782945.47</v>
          </cell>
          <cell r="V383">
            <v>-589778.24</v>
          </cell>
          <cell r="W383">
            <v>-546821.84</v>
          </cell>
          <cell r="X383">
            <v>-542540.61</v>
          </cell>
          <cell r="Y383">
            <v>-522030.53</v>
          </cell>
          <cell r="Z383">
            <v>-523961.29</v>
          </cell>
          <cell r="AA383">
            <v>-673853.43</v>
          </cell>
          <cell r="AB383">
            <v>-565244.86</v>
          </cell>
          <cell r="AC383">
            <v>-744874.22</v>
          </cell>
          <cell r="AD383">
            <v>-808152.3</v>
          </cell>
          <cell r="AE383">
            <v>-726688.28</v>
          </cell>
          <cell r="AF383">
            <v>-679392.72</v>
          </cell>
          <cell r="AG383">
            <v>-583746.22</v>
          </cell>
          <cell r="AH383">
            <v>-536966.68000000005</v>
          </cell>
          <cell r="AI383">
            <v>-511506.26</v>
          </cell>
          <cell r="AJ383">
            <v>-498812.41</v>
          </cell>
          <cell r="AK383">
            <v>-506211.05</v>
          </cell>
          <cell r="AL383">
            <v>-516229.51</v>
          </cell>
          <cell r="AM383">
            <v>-553737.23</v>
          </cell>
          <cell r="AN383">
            <v>-650854.43999999994</v>
          </cell>
          <cell r="AO383">
            <v>-703034.59</v>
          </cell>
          <cell r="AP383">
            <v>-705260.46</v>
          </cell>
          <cell r="AQ383">
            <v>-694409.3</v>
          </cell>
          <cell r="AR383">
            <v>-691374.94</v>
          </cell>
          <cell r="AS383">
            <v>-638219.59</v>
          </cell>
          <cell r="AT383">
            <v>-596347.6</v>
          </cell>
          <cell r="AU383">
            <v>-536500.30000000005</v>
          </cell>
          <cell r="AV383">
            <v>-852001.99</v>
          </cell>
          <cell r="AW383">
            <v>-563866.84</v>
          </cell>
          <cell r="AX383">
            <v>-577410.59</v>
          </cell>
          <cell r="AY383">
            <v>-641805.23</v>
          </cell>
          <cell r="AZ383">
            <v>-737297.56</v>
          </cell>
          <cell r="BA383">
            <v>-969207.6</v>
          </cell>
          <cell r="BB383">
            <v>-881359.19</v>
          </cell>
          <cell r="BC383">
            <v>-789240.84</v>
          </cell>
          <cell r="BD383">
            <v>-748298.9</v>
          </cell>
          <cell r="BE383">
            <v>-652970.85</v>
          </cell>
          <cell r="BF383">
            <v>-694227.32</v>
          </cell>
          <cell r="BG383">
            <v>-599945.51</v>
          </cell>
          <cell r="BH383">
            <v>-598232.11</v>
          </cell>
          <cell r="BI383">
            <v>-565477.14</v>
          </cell>
          <cell r="BJ383">
            <v>-563877.37</v>
          </cell>
          <cell r="BK383">
            <v>-600488.21</v>
          </cell>
          <cell r="BL383">
            <v>-761687.24</v>
          </cell>
          <cell r="BM383">
            <v>-1189908.52</v>
          </cell>
          <cell r="BN383">
            <v>-1157077.9099999999</v>
          </cell>
          <cell r="BO383">
            <v>-767762.11</v>
          </cell>
          <cell r="BP383">
            <v>-801996.15</v>
          </cell>
          <cell r="BQ383">
            <v>-654831.82999999996</v>
          </cell>
          <cell r="BR383">
            <v>-597644.31999999995</v>
          </cell>
          <cell r="BS383">
            <v>-515351.78</v>
          </cell>
          <cell r="BT383">
            <v>-519696.6</v>
          </cell>
          <cell r="BU383">
            <v>-463586.89</v>
          </cell>
          <cell r="BV383">
            <v>-489461.66</v>
          </cell>
          <cell r="BW383">
            <v>-590698.63</v>
          </cell>
          <cell r="BX383">
            <v>-827364.85</v>
          </cell>
          <cell r="BY383">
            <v>-865818.22</v>
          </cell>
          <cell r="BZ383">
            <v>-893777.78</v>
          </cell>
          <cell r="CA383">
            <v>-819534.78</v>
          </cell>
          <cell r="CB383">
            <v>-721348.07</v>
          </cell>
          <cell r="CC383">
            <v>-673097.76</v>
          </cell>
          <cell r="CD383">
            <v>-550073.23</v>
          </cell>
          <cell r="CE383">
            <v>-596933.67000000004</v>
          </cell>
          <cell r="CF383">
            <v>-579820.56000000006</v>
          </cell>
          <cell r="CG383">
            <v>-536728.48</v>
          </cell>
          <cell r="CH383">
            <v>-577097.99</v>
          </cell>
          <cell r="CI383">
            <v>-670531.81999999995</v>
          </cell>
          <cell r="CJ383">
            <v>-1112227.68</v>
          </cell>
          <cell r="CK383">
            <v>-1149761.1000000001</v>
          </cell>
          <cell r="CL383">
            <v>-1168005.95</v>
          </cell>
          <cell r="CM383">
            <v>-1007973.59</v>
          </cell>
          <cell r="CN383">
            <v>-1013886.95</v>
          </cell>
          <cell r="CO383">
            <v>-880678.85</v>
          </cell>
          <cell r="CP383">
            <v>-837037.71</v>
          </cell>
          <cell r="CQ383">
            <v>-836713.12</v>
          </cell>
          <cell r="CR383">
            <v>-799103.2</v>
          </cell>
          <cell r="CS383">
            <v>-874521.06</v>
          </cell>
          <cell r="CT383">
            <v>-786312.01</v>
          </cell>
          <cell r="CU383">
            <v>-889837.51</v>
          </cell>
          <cell r="CV383">
            <v>-1054156.5</v>
          </cell>
          <cell r="CW383">
            <v>-1139143.6799999999</v>
          </cell>
          <cell r="CX383">
            <v>-1270646.8899999999</v>
          </cell>
          <cell r="CY383">
            <v>-1093904.8799999999</v>
          </cell>
          <cell r="CZ383">
            <v>-1022850.36</v>
          </cell>
          <cell r="DA383">
            <v>-958148.75</v>
          </cell>
          <cell r="DB383">
            <v>-1373536.27</v>
          </cell>
          <cell r="DC383">
            <v>-1155455.25</v>
          </cell>
          <cell r="DD383">
            <v>-907567</v>
          </cell>
          <cell r="DE383">
            <v>-946671.31</v>
          </cell>
          <cell r="DF383">
            <v>-988389.62</v>
          </cell>
          <cell r="DG383">
            <v>-892843.06</v>
          </cell>
          <cell r="DH383">
            <v>-1011036.03</v>
          </cell>
        </row>
        <row r="384">
          <cell r="A384" t="str">
            <v>242</v>
          </cell>
          <cell r="D384">
            <v>-44931658.340000004</v>
          </cell>
          <cell r="E384">
            <v>-44950734.18</v>
          </cell>
          <cell r="F384">
            <v>-44981085.130000003</v>
          </cell>
          <cell r="G384">
            <v>-42998342.740000002</v>
          </cell>
          <cell r="H384">
            <v>-42855031.68</v>
          </cell>
          <cell r="I384">
            <v>-40274815.659999996</v>
          </cell>
          <cell r="J384">
            <v>-42878837.530000001</v>
          </cell>
          <cell r="K384">
            <v>-40312183.32</v>
          </cell>
          <cell r="L384">
            <v>-40431842.659999996</v>
          </cell>
          <cell r="M384">
            <v>-37834345.350000001</v>
          </cell>
          <cell r="N384">
            <v>-37871526.369999997</v>
          </cell>
          <cell r="O384">
            <v>-37924514.520000003</v>
          </cell>
          <cell r="P384">
            <v>-37665637.189999998</v>
          </cell>
          <cell r="Q384">
            <v>-37691692.159999996</v>
          </cell>
          <cell r="R384">
            <v>-37725906.149999999</v>
          </cell>
          <cell r="S384">
            <v>-37597247.740000002</v>
          </cell>
          <cell r="T384">
            <v>-37409931.039999999</v>
          </cell>
          <cell r="U384">
            <v>-37435537.549999997</v>
          </cell>
          <cell r="V384">
            <v>-37444858.82</v>
          </cell>
          <cell r="W384">
            <v>-37484386.979999997</v>
          </cell>
          <cell r="X384">
            <v>-37519197.640000001</v>
          </cell>
          <cell r="Y384">
            <v>-37525270.340000004</v>
          </cell>
          <cell r="Z384">
            <v>-37559458.380000003</v>
          </cell>
          <cell r="AA384">
            <v>-39216611.390000001</v>
          </cell>
          <cell r="AB384">
            <v>-37594566.740000002</v>
          </cell>
          <cell r="AC384">
            <v>-39226731.979999997</v>
          </cell>
          <cell r="AD384">
            <v>-39263109.079999998</v>
          </cell>
          <cell r="AE384">
            <v>-41309931.350000001</v>
          </cell>
          <cell r="AF384">
            <v>-41144131.259999998</v>
          </cell>
          <cell r="AG384">
            <v>-40118759.450000003</v>
          </cell>
          <cell r="AH384">
            <v>-38156776.299999997</v>
          </cell>
          <cell r="AI384">
            <v>-38208518.280000001</v>
          </cell>
          <cell r="AJ384">
            <v>-38268696.560000002</v>
          </cell>
          <cell r="AK384">
            <v>-38340124.359999999</v>
          </cell>
          <cell r="AL384">
            <v>-38381213.890000001</v>
          </cell>
          <cell r="AM384">
            <v>-38426476.670000002</v>
          </cell>
          <cell r="AN384">
            <v>-36435390.670000002</v>
          </cell>
          <cell r="AO384">
            <v>-37305555</v>
          </cell>
          <cell r="AP384">
            <v>-36454001.189999998</v>
          </cell>
          <cell r="AQ384">
            <v>-35329414.560000002</v>
          </cell>
          <cell r="AR384">
            <v>-35121818.450000003</v>
          </cell>
          <cell r="AS384">
            <v>-35177616.689999998</v>
          </cell>
          <cell r="AT384">
            <v>-35228955.710000001</v>
          </cell>
          <cell r="AU384">
            <v>-35223672.200000003</v>
          </cell>
          <cell r="AV384">
            <v>-35280628.75</v>
          </cell>
          <cell r="AW384">
            <v>-35288535.609999999</v>
          </cell>
          <cell r="AX384">
            <v>-35354661.950000003</v>
          </cell>
          <cell r="AY384">
            <v>-35397099.969999999</v>
          </cell>
          <cell r="AZ384">
            <v>-35093009.659999996</v>
          </cell>
          <cell r="BA384">
            <v>-35096027.539999999</v>
          </cell>
          <cell r="BB384">
            <v>-35091517.719999999</v>
          </cell>
          <cell r="BC384">
            <v>-33007852.68</v>
          </cell>
          <cell r="BD384">
            <v>-32629118.93</v>
          </cell>
          <cell r="BE384">
            <v>-32615923.190000001</v>
          </cell>
          <cell r="BF384">
            <v>-32552070.690000001</v>
          </cell>
          <cell r="BG384">
            <v>-32551574.780000001</v>
          </cell>
          <cell r="BH384">
            <v>-32573938.859999999</v>
          </cell>
          <cell r="BI384">
            <v>-32574637.129999999</v>
          </cell>
          <cell r="BJ384">
            <v>-32386470.16</v>
          </cell>
          <cell r="BK384">
            <v>-32395268.370000001</v>
          </cell>
          <cell r="BL384">
            <v>-33627468.149999999</v>
          </cell>
          <cell r="BM384">
            <v>-32481514.039999999</v>
          </cell>
          <cell r="BN384">
            <v>-32495951.079999998</v>
          </cell>
          <cell r="BO384">
            <v>-33521093.23</v>
          </cell>
          <cell r="BP384">
            <v>-33534146.449999999</v>
          </cell>
          <cell r="BQ384">
            <v>-33549873.75</v>
          </cell>
          <cell r="BR384">
            <v>-33767772.840000004</v>
          </cell>
          <cell r="BS384">
            <v>-33319099.469999999</v>
          </cell>
          <cell r="BT384">
            <v>-33330380.809999999</v>
          </cell>
          <cell r="BU384">
            <v>-34441912.409999996</v>
          </cell>
          <cell r="BV384">
            <v>-34453514.259999998</v>
          </cell>
          <cell r="BW384">
            <v>-34467074.649999999</v>
          </cell>
          <cell r="BX384">
            <v>-27099276.809999999</v>
          </cell>
          <cell r="BY384">
            <v>-27073525.079999998</v>
          </cell>
          <cell r="BZ384">
            <v>-25771852.690000001</v>
          </cell>
          <cell r="CA384">
            <v>-27035077.399999999</v>
          </cell>
          <cell r="CB384">
            <v>-27049390.68</v>
          </cell>
          <cell r="CC384">
            <v>-27055414.100000001</v>
          </cell>
          <cell r="CD384">
            <v>-27307094.52</v>
          </cell>
          <cell r="CE384">
            <v>-27321825.260000002</v>
          </cell>
          <cell r="CF384">
            <v>-27517296.420000002</v>
          </cell>
          <cell r="CG384">
            <v>-27846797.879999999</v>
          </cell>
          <cell r="CH384">
            <v>-27683967.57</v>
          </cell>
          <cell r="CI384">
            <v>-27667431.43</v>
          </cell>
          <cell r="CJ384">
            <v>-25201688.809999999</v>
          </cell>
          <cell r="CK384">
            <v>-25199915.57</v>
          </cell>
          <cell r="CL384">
            <v>-25229030.93</v>
          </cell>
          <cell r="CM384">
            <v>-24325293.280000001</v>
          </cell>
          <cell r="CN384">
            <v>-24331805.039999999</v>
          </cell>
          <cell r="CO384">
            <v>-24342505.879999999</v>
          </cell>
          <cell r="CP384">
            <v>-24637267.989999998</v>
          </cell>
          <cell r="CQ384">
            <v>-24639938.170000002</v>
          </cell>
          <cell r="CR384">
            <v>-24654333.52</v>
          </cell>
          <cell r="CS384">
            <v>-24479449.57</v>
          </cell>
          <cell r="CT384">
            <v>-24484217.719999999</v>
          </cell>
          <cell r="CU384">
            <v>-24499611.219999999</v>
          </cell>
          <cell r="CV384">
            <v>-23188049.550000001</v>
          </cell>
          <cell r="CW384">
            <v>-23203090.309999999</v>
          </cell>
          <cell r="CX384">
            <v>-23246442.620000001</v>
          </cell>
          <cell r="CY384">
            <v>-23072148.850000001</v>
          </cell>
          <cell r="CZ384">
            <v>-23085348.789999999</v>
          </cell>
          <cell r="DA384">
            <v>-23100372.190000001</v>
          </cell>
          <cell r="DB384">
            <v>-21925618.420000002</v>
          </cell>
          <cell r="DC384">
            <v>-21937688.309999999</v>
          </cell>
          <cell r="DD384">
            <v>-21948802.59</v>
          </cell>
          <cell r="DE384">
            <v>-22060992.18</v>
          </cell>
          <cell r="DF384">
            <v>-22078376.82</v>
          </cell>
          <cell r="DG384">
            <v>-22091959.32</v>
          </cell>
          <cell r="DH384">
            <v>-20767787.539999999</v>
          </cell>
        </row>
        <row r="385">
          <cell r="A385" t="str">
            <v>245</v>
          </cell>
          <cell r="D385">
            <v>-35685</v>
          </cell>
          <cell r="E385">
            <v>-16835</v>
          </cell>
          <cell r="F385">
            <v>-11185</v>
          </cell>
          <cell r="G385">
            <v>-18490</v>
          </cell>
          <cell r="H385">
            <v>-800</v>
          </cell>
          <cell r="I385">
            <v>-187640</v>
          </cell>
          <cell r="J385">
            <v>-87690</v>
          </cell>
          <cell r="K385">
            <v>-3248625</v>
          </cell>
          <cell r="L385">
            <v>-1525800</v>
          </cell>
          <cell r="M385">
            <v>-1617850</v>
          </cell>
          <cell r="N385">
            <v>-3658900</v>
          </cell>
          <cell r="O385">
            <v>-2703120</v>
          </cell>
          <cell r="P385">
            <v>-8985490</v>
          </cell>
          <cell r="Q385">
            <v>-9064945</v>
          </cell>
          <cell r="R385">
            <v>-7427670</v>
          </cell>
          <cell r="S385">
            <v>-7222035</v>
          </cell>
          <cell r="T385">
            <v>-6292505</v>
          </cell>
          <cell r="U385">
            <v>-6307945</v>
          </cell>
          <cell r="V385">
            <v>-5194335</v>
          </cell>
          <cell r="W385">
            <v>-5218445</v>
          </cell>
          <cell r="X385">
            <v>-5549665</v>
          </cell>
          <cell r="Y385">
            <v>-6332365</v>
          </cell>
          <cell r="Z385">
            <v>-8044035</v>
          </cell>
          <cell r="AA385">
            <v>-6345955</v>
          </cell>
          <cell r="AB385">
            <v>-8065535</v>
          </cell>
          <cell r="AC385">
            <v>-4883135</v>
          </cell>
          <cell r="AD385">
            <v>-5431045</v>
          </cell>
          <cell r="AE385">
            <v>-3452550</v>
          </cell>
          <cell r="AF385">
            <v>-1971790</v>
          </cell>
          <cell r="AG385">
            <v>-1688615</v>
          </cell>
          <cell r="AH385">
            <v>-343605</v>
          </cell>
          <cell r="AI385">
            <v>-334975</v>
          </cell>
          <cell r="AJ385">
            <v>-323425</v>
          </cell>
          <cell r="AK385">
            <v>-404265</v>
          </cell>
          <cell r="AL385">
            <v>-408515</v>
          </cell>
          <cell r="AM385">
            <v>-76785</v>
          </cell>
          <cell r="AN385">
            <v>0</v>
          </cell>
          <cell r="AO385">
            <v>-56050</v>
          </cell>
          <cell r="AP385">
            <v>-389500</v>
          </cell>
          <cell r="AQ385">
            <v>-4235</v>
          </cell>
          <cell r="AR385">
            <v>0</v>
          </cell>
          <cell r="AS385">
            <v>-3920</v>
          </cell>
          <cell r="AT385">
            <v>-22280</v>
          </cell>
          <cell r="AU385">
            <v>-140025</v>
          </cell>
          <cell r="AV385">
            <v>-4680</v>
          </cell>
          <cell r="AW385">
            <v>-9230</v>
          </cell>
          <cell r="AX385">
            <v>-138225</v>
          </cell>
          <cell r="AY385">
            <v>-60555</v>
          </cell>
          <cell r="AZ385">
            <v>-181065</v>
          </cell>
          <cell r="BA385">
            <v>-1780</v>
          </cell>
          <cell r="BB385">
            <v>-113125</v>
          </cell>
          <cell r="BC385">
            <v>-32645</v>
          </cell>
          <cell r="BD385">
            <v>-25690</v>
          </cell>
          <cell r="BE385">
            <v>0</v>
          </cell>
          <cell r="BF385">
            <v>-280</v>
          </cell>
          <cell r="BG385">
            <v>-11720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row>
        <row r="386">
          <cell r="A386" t="str">
            <v>252</v>
          </cell>
          <cell r="D386">
            <v>-7564144.2999999998</v>
          </cell>
          <cell r="E386">
            <v>-7714348.2999999998</v>
          </cell>
          <cell r="F386">
            <v>-7764979.2999999998</v>
          </cell>
          <cell r="G386">
            <v>-7827894.2999999998</v>
          </cell>
          <cell r="H386">
            <v>-7873622.2999999998</v>
          </cell>
          <cell r="I386">
            <v>-8035636.5800000001</v>
          </cell>
          <cell r="J386">
            <v>-7945592.2999999998</v>
          </cell>
          <cell r="K386">
            <v>-8825586.5800000001</v>
          </cell>
          <cell r="L386">
            <v>-8912566.5800000001</v>
          </cell>
          <cell r="M386">
            <v>-8955974.0800000001</v>
          </cell>
          <cell r="N386">
            <v>-9024982</v>
          </cell>
          <cell r="O386">
            <v>-9822978</v>
          </cell>
          <cell r="P386">
            <v>-9842365</v>
          </cell>
          <cell r="Q386">
            <v>-9944960.2400000002</v>
          </cell>
          <cell r="R386">
            <v>-10017496.24</v>
          </cell>
          <cell r="S386">
            <v>-10092194.59</v>
          </cell>
          <cell r="T386">
            <v>-10903349.59</v>
          </cell>
          <cell r="U386">
            <v>-11184513.59</v>
          </cell>
          <cell r="V386">
            <v>-11269305.109999999</v>
          </cell>
          <cell r="W386">
            <v>-11293093.109999999</v>
          </cell>
          <cell r="X386">
            <v>-11468225.109999999</v>
          </cell>
          <cell r="Y386">
            <v>-11498118.130000001</v>
          </cell>
          <cell r="Z386">
            <v>-11549763.130000001</v>
          </cell>
          <cell r="AA386">
            <v>-11625385.449999999</v>
          </cell>
          <cell r="AB386">
            <v>-11593557.449999999</v>
          </cell>
          <cell r="AC386">
            <v>-11656524.449999999</v>
          </cell>
          <cell r="AD386">
            <v>-11952660.460000001</v>
          </cell>
          <cell r="AE386">
            <v>-11992238.460000001</v>
          </cell>
          <cell r="AF386">
            <v>-12090722.460000001</v>
          </cell>
          <cell r="AG386">
            <v>-12161249.460000001</v>
          </cell>
          <cell r="AH386">
            <v>-12372744.460000001</v>
          </cell>
          <cell r="AI386">
            <v>-12480523.460000001</v>
          </cell>
          <cell r="AJ386">
            <v>-12590723.460000001</v>
          </cell>
          <cell r="AK386">
            <v>-12662933.039999999</v>
          </cell>
          <cell r="AL386">
            <v>-12745836.039999999</v>
          </cell>
          <cell r="AM386">
            <v>-12438231.640000001</v>
          </cell>
          <cell r="AN386">
            <v>-12639677.640000001</v>
          </cell>
          <cell r="AO386">
            <v>-12165105.75</v>
          </cell>
          <cell r="AP386">
            <v>-12044118.57</v>
          </cell>
          <cell r="AQ386">
            <v>-12174977.210000001</v>
          </cell>
          <cell r="AR386">
            <v>-12309216.210000001</v>
          </cell>
          <cell r="AS386">
            <v>-12446195.210000001</v>
          </cell>
          <cell r="AT386">
            <v>-11296197.34</v>
          </cell>
          <cell r="AU386">
            <v>-9914451.8699999992</v>
          </cell>
          <cell r="AV386">
            <v>-9831064.5199999996</v>
          </cell>
          <cell r="AW386">
            <v>-9936897.5199999996</v>
          </cell>
          <cell r="AX386">
            <v>-10007435.52</v>
          </cell>
          <cell r="AY386">
            <v>-10047282.52</v>
          </cell>
          <cell r="AZ386">
            <v>-9607066.0800000001</v>
          </cell>
          <cell r="BA386">
            <v>-9573848.2899999991</v>
          </cell>
          <cell r="BB386">
            <v>-9728965.2899999991</v>
          </cell>
          <cell r="BC386">
            <v>-9807070.2899999991</v>
          </cell>
          <cell r="BD386">
            <v>-9950721.1799999997</v>
          </cell>
          <cell r="BE386">
            <v>-10073247.18</v>
          </cell>
          <cell r="BF386">
            <v>-10218869.18</v>
          </cell>
          <cell r="BG386">
            <v>-9921752.1600000001</v>
          </cell>
          <cell r="BH386">
            <v>-10073764.16</v>
          </cell>
          <cell r="BI386">
            <v>-10228447.51</v>
          </cell>
          <cell r="BJ386">
            <v>-10362898.27</v>
          </cell>
          <cell r="BK386">
            <v>-10539340.27</v>
          </cell>
          <cell r="BL386">
            <v>-10634955.27</v>
          </cell>
          <cell r="BM386">
            <v>-10826694.27</v>
          </cell>
          <cell r="BN386">
            <v>-11003766.27</v>
          </cell>
          <cell r="BO386">
            <v>-11120203.27</v>
          </cell>
          <cell r="BP386">
            <v>-11325462.27</v>
          </cell>
          <cell r="BQ386">
            <v>-11511792.27</v>
          </cell>
          <cell r="BR386">
            <v>-11785480.27</v>
          </cell>
          <cell r="BS386">
            <v>-11862644.27</v>
          </cell>
          <cell r="BT386">
            <v>-12925400.09</v>
          </cell>
          <cell r="BU386">
            <v>-12405990.039999999</v>
          </cell>
          <cell r="BV386">
            <v>-12710800.039999999</v>
          </cell>
          <cell r="BW386">
            <v>-12794821.32</v>
          </cell>
          <cell r="BX386">
            <v>-12952701.32</v>
          </cell>
          <cell r="BY386">
            <v>-13089078.98</v>
          </cell>
          <cell r="BZ386">
            <v>-13337566.98</v>
          </cell>
          <cell r="CA386">
            <v>-13479083.98</v>
          </cell>
          <cell r="CB386">
            <v>-13776579.98</v>
          </cell>
          <cell r="CC386">
            <v>-13915894.98</v>
          </cell>
          <cell r="CD386">
            <v>-14332008.98</v>
          </cell>
          <cell r="CE386">
            <v>-14545070.98</v>
          </cell>
          <cell r="CF386">
            <v>-14664981.98</v>
          </cell>
          <cell r="CG386">
            <v>-14788227.98</v>
          </cell>
          <cell r="CH386">
            <v>-14958396.98</v>
          </cell>
          <cell r="CI386">
            <v>-15370480.98</v>
          </cell>
          <cell r="CJ386">
            <v>-15681265.48</v>
          </cell>
          <cell r="CK386">
            <v>-15814281.48</v>
          </cell>
          <cell r="CL386">
            <v>-15923750.48</v>
          </cell>
          <cell r="CM386">
            <v>-16390079.48</v>
          </cell>
          <cell r="CN386">
            <v>-16722185.960000001</v>
          </cell>
          <cell r="CO386">
            <v>-16873568.960000001</v>
          </cell>
          <cell r="CP386">
            <v>-17005221.239999998</v>
          </cell>
          <cell r="CQ386">
            <v>-17164304.239999998</v>
          </cell>
          <cell r="CR386">
            <v>-17243754.239999998</v>
          </cell>
          <cell r="CS386">
            <v>-17573631.640000001</v>
          </cell>
          <cell r="CT386">
            <v>-17895821.640000001</v>
          </cell>
          <cell r="CU386">
            <v>-18117211.640000001</v>
          </cell>
          <cell r="CV386">
            <v>-18210107.640000001</v>
          </cell>
          <cell r="CW386">
            <v>-18325299.010000002</v>
          </cell>
          <cell r="CX386">
            <v>-18691975.640000001</v>
          </cell>
          <cell r="CY386">
            <v>-18995225.640000001</v>
          </cell>
          <cell r="CZ386">
            <v>-19514099.91</v>
          </cell>
          <cell r="DA386">
            <v>-19823385.920000002</v>
          </cell>
          <cell r="DB386">
            <v>-20211822.920000002</v>
          </cell>
          <cell r="DC386">
            <v>-20537692.920000002</v>
          </cell>
          <cell r="DD386">
            <v>-21002287.420000002</v>
          </cell>
          <cell r="DE386">
            <v>-21468778.420000002</v>
          </cell>
          <cell r="DF386">
            <v>-21711739.420000002</v>
          </cell>
          <cell r="DG386">
            <v>-21948610.420000002</v>
          </cell>
          <cell r="DH386">
            <v>-22520306.420000002</v>
          </cell>
        </row>
        <row r="387">
          <cell r="A387" t="str">
            <v>253</v>
          </cell>
          <cell r="D387">
            <v>-2537502.5</v>
          </cell>
          <cell r="E387">
            <v>-2491106.98</v>
          </cell>
          <cell r="F387">
            <v>-2562062.44</v>
          </cell>
          <cell r="G387">
            <v>-2634680.0299999998</v>
          </cell>
          <cell r="H387">
            <v>-2558069.4900000002</v>
          </cell>
          <cell r="I387">
            <v>-3271015.85</v>
          </cell>
          <cell r="J387">
            <v>-3430156.09</v>
          </cell>
          <cell r="K387">
            <v>-3421131.8</v>
          </cell>
          <cell r="L387">
            <v>-3318944.34</v>
          </cell>
          <cell r="M387">
            <v>-3197132.36</v>
          </cell>
          <cell r="N387">
            <v>-3249299.26</v>
          </cell>
          <cell r="O387">
            <v>-3179973.49</v>
          </cell>
          <cell r="P387">
            <v>-3429205.57</v>
          </cell>
          <cell r="Q387">
            <v>-3456080.66</v>
          </cell>
          <cell r="R387">
            <v>-3152229.42</v>
          </cell>
          <cell r="S387">
            <v>-3054227.7</v>
          </cell>
          <cell r="T387">
            <v>-1152967.08</v>
          </cell>
          <cell r="U387">
            <v>-1040234.23</v>
          </cell>
          <cell r="V387">
            <v>-934211.96</v>
          </cell>
          <cell r="W387">
            <v>-752875.16</v>
          </cell>
          <cell r="X387">
            <v>-631687.87</v>
          </cell>
          <cell r="Y387">
            <v>-614782.81000000006</v>
          </cell>
          <cell r="Z387">
            <v>-558284.21</v>
          </cell>
          <cell r="AA387">
            <v>-1253942.98</v>
          </cell>
          <cell r="AB387">
            <v>-973570.83</v>
          </cell>
          <cell r="AC387">
            <v>-1508484.79</v>
          </cell>
          <cell r="AD387">
            <v>-1683967.28</v>
          </cell>
          <cell r="AE387">
            <v>-1615718.76</v>
          </cell>
          <cell r="AF387">
            <v>-1565937.09</v>
          </cell>
          <cell r="AG387">
            <v>-1299949.8600000001</v>
          </cell>
          <cell r="AH387">
            <v>-931153.86</v>
          </cell>
          <cell r="AI387">
            <v>-1174124.02</v>
          </cell>
          <cell r="AJ387">
            <v>-1244431.67</v>
          </cell>
          <cell r="AK387">
            <v>-1390050.97</v>
          </cell>
          <cell r="AL387">
            <v>-1496451.88</v>
          </cell>
          <cell r="AM387">
            <v>-1718018.31</v>
          </cell>
          <cell r="AN387">
            <v>-2012057.28</v>
          </cell>
          <cell r="AO387">
            <v>-1719233.28</v>
          </cell>
          <cell r="AP387">
            <v>-1840575.7</v>
          </cell>
          <cell r="AQ387">
            <v>-1748104.75</v>
          </cell>
          <cell r="AR387">
            <v>-1831797.67</v>
          </cell>
          <cell r="AS387">
            <v>-1854845.17</v>
          </cell>
          <cell r="AT387">
            <v>-2011499.35</v>
          </cell>
          <cell r="AU387">
            <v>-2040676.37</v>
          </cell>
          <cell r="AV387">
            <v>-1811770.93</v>
          </cell>
          <cell r="AW387">
            <v>-2017494.36</v>
          </cell>
          <cell r="AX387">
            <v>-2234049.96</v>
          </cell>
          <cell r="AY387">
            <v>-2287224.4300000002</v>
          </cell>
          <cell r="AZ387">
            <v>-2441203.64</v>
          </cell>
          <cell r="BA387">
            <v>-2309620.98</v>
          </cell>
          <cell r="BB387">
            <v>-2478544.2000000002</v>
          </cell>
          <cell r="BC387">
            <v>-2780553.2</v>
          </cell>
          <cell r="BD387">
            <v>-2828818.83</v>
          </cell>
          <cell r="BE387">
            <v>-2992329.5</v>
          </cell>
          <cell r="BF387">
            <v>-3322987.42</v>
          </cell>
          <cell r="BG387">
            <v>-3451748.67</v>
          </cell>
          <cell r="BH387">
            <v>-3674383.04</v>
          </cell>
          <cell r="BI387">
            <v>-3871163.79</v>
          </cell>
          <cell r="BJ387">
            <v>-4111080.9</v>
          </cell>
          <cell r="BK387">
            <v>-4438839.01</v>
          </cell>
          <cell r="BL387">
            <v>-3830518.3</v>
          </cell>
          <cell r="BM387">
            <v>-3780744.4</v>
          </cell>
          <cell r="BN387">
            <v>-3635598.37</v>
          </cell>
          <cell r="BO387">
            <v>-3397930.21</v>
          </cell>
          <cell r="BP387">
            <v>-3470131.87</v>
          </cell>
          <cell r="BQ387">
            <v>-3020551.34</v>
          </cell>
          <cell r="BR387">
            <v>-3744280.75</v>
          </cell>
          <cell r="BS387">
            <v>-4517563.5</v>
          </cell>
          <cell r="BT387">
            <v>-4890041.49</v>
          </cell>
          <cell r="BU387">
            <v>-5036683.0599999996</v>
          </cell>
          <cell r="BV387">
            <v>-5247323.78</v>
          </cell>
          <cell r="BW387">
            <v>-5183880.88</v>
          </cell>
          <cell r="BX387">
            <v>-5996477.7599999998</v>
          </cell>
          <cell r="BY387">
            <v>-6331458.9199999999</v>
          </cell>
          <cell r="BZ387">
            <v>-6020839.4800000004</v>
          </cell>
          <cell r="CA387">
            <v>-5804761.9400000004</v>
          </cell>
          <cell r="CB387">
            <v>-6855332.7000000002</v>
          </cell>
          <cell r="CC387">
            <v>-7704233.2000000002</v>
          </cell>
          <cell r="CD387">
            <v>-8545555.4499999993</v>
          </cell>
          <cell r="CE387">
            <v>-8557157.5399999991</v>
          </cell>
          <cell r="CF387">
            <v>-8313096.7400000002</v>
          </cell>
          <cell r="CG387">
            <v>-8440347.4800000004</v>
          </cell>
          <cell r="CH387">
            <v>-8303203.4800000004</v>
          </cell>
          <cell r="CI387">
            <v>-8235419.8499999996</v>
          </cell>
          <cell r="CJ387">
            <v>-8261983.4900000002</v>
          </cell>
          <cell r="CK387">
            <v>-8471095.6500000004</v>
          </cell>
          <cell r="CL387">
            <v>-6732824.5199999996</v>
          </cell>
          <cell r="CM387">
            <v>-2788573.34</v>
          </cell>
          <cell r="CN387">
            <v>-2742246.87</v>
          </cell>
          <cell r="CO387">
            <v>-2608180.4500000002</v>
          </cell>
          <cell r="CP387">
            <v>-2233020.58</v>
          </cell>
          <cell r="CQ387">
            <v>-2429196.5699999998</v>
          </cell>
          <cell r="CR387">
            <v>-2408390.38</v>
          </cell>
          <cell r="CS387">
            <v>-3732072.38</v>
          </cell>
          <cell r="CT387">
            <v>-3789244.1</v>
          </cell>
          <cell r="CU387">
            <v>-3590964.64</v>
          </cell>
          <cell r="CV387">
            <v>-4140079.67</v>
          </cell>
          <cell r="CW387">
            <v>-6125143.2400000002</v>
          </cell>
          <cell r="CX387">
            <v>-6126205.0999999996</v>
          </cell>
          <cell r="CY387">
            <v>-5438089.4900000002</v>
          </cell>
          <cell r="CZ387">
            <v>-3417991.74</v>
          </cell>
          <cell r="DA387">
            <v>-3219531.42</v>
          </cell>
          <cell r="DB387">
            <v>-3472596.82</v>
          </cell>
          <cell r="DC387">
            <v>-3397795.36</v>
          </cell>
          <cell r="DD387">
            <v>-3326315.48</v>
          </cell>
          <cell r="DE387">
            <v>-3588526.19</v>
          </cell>
          <cell r="DF387">
            <v>-3669901.85</v>
          </cell>
          <cell r="DG387">
            <v>-3135686.46</v>
          </cell>
          <cell r="DH387">
            <v>-3322921.45</v>
          </cell>
        </row>
        <row r="388">
          <cell r="A388" t="str">
            <v>254</v>
          </cell>
          <cell r="D388">
            <v>-1845837.04</v>
          </cell>
          <cell r="E388">
            <v>-4451608.71</v>
          </cell>
          <cell r="F388">
            <v>-3544296.38</v>
          </cell>
          <cell r="G388">
            <v>-2770763.05</v>
          </cell>
          <cell r="H388">
            <v>-4789504.72</v>
          </cell>
          <cell r="I388">
            <v>-2684712.06</v>
          </cell>
          <cell r="J388">
            <v>-3059763.39</v>
          </cell>
          <cell r="K388">
            <v>-1497334.73</v>
          </cell>
          <cell r="L388">
            <v>-1195389.9099999999</v>
          </cell>
          <cell r="M388">
            <v>-1035607.58</v>
          </cell>
          <cell r="N388">
            <v>-998429.25</v>
          </cell>
          <cell r="O388">
            <v>-954658.92</v>
          </cell>
          <cell r="P388">
            <v>-1275395.5900000001</v>
          </cell>
          <cell r="Q388">
            <v>-1671458.59</v>
          </cell>
          <cell r="R388">
            <v>-2636637.04</v>
          </cell>
          <cell r="S388">
            <v>-3171288.8</v>
          </cell>
          <cell r="T388">
            <v>-3564711.68</v>
          </cell>
          <cell r="U388">
            <v>-3407648.89</v>
          </cell>
          <cell r="V388">
            <v>-3406768.59</v>
          </cell>
          <cell r="W388">
            <v>-3261951.95</v>
          </cell>
          <cell r="X388">
            <v>-2939117.43</v>
          </cell>
          <cell r="Y388">
            <v>-2682114.46</v>
          </cell>
          <cell r="Z388">
            <v>-2173057.5499999998</v>
          </cell>
          <cell r="AA388">
            <v>-2618953.84</v>
          </cell>
          <cell r="AB388">
            <v>-2272874.84</v>
          </cell>
          <cell r="AC388">
            <v>-2782973.96</v>
          </cell>
          <cell r="AD388">
            <v>-3366057.96</v>
          </cell>
          <cell r="AE388">
            <v>-3441104.96</v>
          </cell>
          <cell r="AF388">
            <v>-3487326.96</v>
          </cell>
          <cell r="AG388">
            <v>-3160860.96</v>
          </cell>
          <cell r="AH388">
            <v>-13556530.15</v>
          </cell>
          <cell r="AI388">
            <v>-13008730.949999999</v>
          </cell>
          <cell r="AJ388">
            <v>-11699033.890000001</v>
          </cell>
          <cell r="AK388">
            <v>-11094277.76</v>
          </cell>
          <cell r="AL388">
            <v>-10169800.630000001</v>
          </cell>
          <cell r="AM388">
            <v>-10220756.5</v>
          </cell>
          <cell r="AN388">
            <v>-11190657.41</v>
          </cell>
          <cell r="AO388">
            <v>-10313656.949999999</v>
          </cell>
          <cell r="AP388">
            <v>-10154788.470000001</v>
          </cell>
          <cell r="AQ388">
            <v>-10629831.279999999</v>
          </cell>
          <cell r="AR388">
            <v>-10540135.970000001</v>
          </cell>
          <cell r="AS388">
            <v>-9369693.2599999998</v>
          </cell>
          <cell r="AT388">
            <v>-8244316.8899999997</v>
          </cell>
          <cell r="AU388">
            <v>-7064040.4199999999</v>
          </cell>
          <cell r="AV388">
            <v>-6508073.1900000004</v>
          </cell>
          <cell r="AW388">
            <v>-6060167.7199999997</v>
          </cell>
          <cell r="AX388">
            <v>-5836007.25</v>
          </cell>
          <cell r="AY388">
            <v>-5682433.6699999999</v>
          </cell>
          <cell r="AZ388">
            <v>-94566712.319999993</v>
          </cell>
          <cell r="BA388">
            <v>-94277929.510000005</v>
          </cell>
          <cell r="BB388">
            <v>-95221129.840000004</v>
          </cell>
          <cell r="BC388">
            <v>-96479684.719999999</v>
          </cell>
          <cell r="BD388">
            <v>-97605035.849999994</v>
          </cell>
          <cell r="BE388">
            <v>-98449690.310000002</v>
          </cell>
          <cell r="BF388">
            <v>-98729488.599999994</v>
          </cell>
          <cell r="BG388">
            <v>-99145857.75</v>
          </cell>
          <cell r="BH388">
            <v>-99542075.420000002</v>
          </cell>
          <cell r="BI388">
            <v>-93206191.469999999</v>
          </cell>
          <cell r="BJ388">
            <v>-92789472.849999994</v>
          </cell>
          <cell r="BK388">
            <v>-94318651.109999999</v>
          </cell>
          <cell r="BL388">
            <v>-94011638.200000003</v>
          </cell>
          <cell r="BM388">
            <v>-94142017.310000002</v>
          </cell>
          <cell r="BN388">
            <v>-94188024.530000001</v>
          </cell>
          <cell r="BO388">
            <v>-93897697.060000002</v>
          </cell>
          <cell r="BP388">
            <v>-93685511.939999998</v>
          </cell>
          <cell r="BQ388">
            <v>-93354010.079999998</v>
          </cell>
          <cell r="BR388">
            <v>-93161571.730000004</v>
          </cell>
          <cell r="BS388">
            <v>-93041303.659999996</v>
          </cell>
          <cell r="BT388">
            <v>-92990739.790000007</v>
          </cell>
          <cell r="BU388">
            <v>-91655976.379999995</v>
          </cell>
          <cell r="BV388">
            <v>-91566662.780000001</v>
          </cell>
          <cell r="BW388">
            <v>-91477349.370000005</v>
          </cell>
          <cell r="BX388">
            <v>-91671584.010000005</v>
          </cell>
          <cell r="BY388">
            <v>-91562047.939999998</v>
          </cell>
          <cell r="BZ388">
            <v>-91444205.599999994</v>
          </cell>
          <cell r="CA388">
            <v>-90961398.75</v>
          </cell>
          <cell r="CB388">
            <v>-90847115.120000005</v>
          </cell>
          <cell r="CC388">
            <v>-90706921.439999998</v>
          </cell>
          <cell r="CD388">
            <v>-90705746.079999998</v>
          </cell>
          <cell r="CE388">
            <v>-90748527.060000002</v>
          </cell>
          <cell r="CF388">
            <v>-90704629.430000007</v>
          </cell>
          <cell r="CG388">
            <v>-90810172.180000007</v>
          </cell>
          <cell r="CH388">
            <v>-93314999.75</v>
          </cell>
          <cell r="CI388">
            <v>-93359946.400000006</v>
          </cell>
          <cell r="CJ388">
            <v>-93574070.239999995</v>
          </cell>
          <cell r="CK388">
            <v>-93406172.519999996</v>
          </cell>
          <cell r="CL388">
            <v>-93380929.280000001</v>
          </cell>
          <cell r="CM388">
            <v>-93025661.650000006</v>
          </cell>
          <cell r="CN388">
            <v>-93121197.5</v>
          </cell>
          <cell r="CO388">
            <v>-93144970.900000006</v>
          </cell>
          <cell r="CP388">
            <v>-92987853.989999995</v>
          </cell>
          <cell r="CQ388">
            <v>-93010829.170000002</v>
          </cell>
          <cell r="CR388">
            <v>-93034141.939999998</v>
          </cell>
          <cell r="CS388">
            <v>-93513242.489999995</v>
          </cell>
          <cell r="CT388">
            <v>-93450676.090000004</v>
          </cell>
          <cell r="CU388">
            <v>-93967866.010000005</v>
          </cell>
          <cell r="CV388">
            <v>-89297674.010000005</v>
          </cell>
          <cell r="CW388">
            <v>-89869391.069999993</v>
          </cell>
          <cell r="CX388">
            <v>-91567456.25</v>
          </cell>
          <cell r="CY388">
            <v>-91361413.700000003</v>
          </cell>
          <cell r="CZ388">
            <v>-92434918.859999999</v>
          </cell>
          <cell r="DA388">
            <v>-93199161.120000005</v>
          </cell>
          <cell r="DB388">
            <v>-93398041.260000005</v>
          </cell>
          <cell r="DC388">
            <v>-93534203.640000001</v>
          </cell>
          <cell r="DD388">
            <v>-93276810.120000005</v>
          </cell>
          <cell r="DE388">
            <v>-92756909.299999997</v>
          </cell>
          <cell r="DF388">
            <v>-92611655.379999995</v>
          </cell>
          <cell r="DG388">
            <v>-92145419.159999996</v>
          </cell>
          <cell r="DH388">
            <v>-92149754.069999993</v>
          </cell>
        </row>
        <row r="389">
          <cell r="A389" t="str">
            <v>282</v>
          </cell>
          <cell r="D389">
            <v>-136018535.94999999</v>
          </cell>
          <cell r="E389">
            <v>-136651764.65000001</v>
          </cell>
          <cell r="F389">
            <v>-137041714.59999999</v>
          </cell>
          <cell r="G389">
            <v>-137415040.90000001</v>
          </cell>
          <cell r="H389">
            <v>-137784271.86000001</v>
          </cell>
          <cell r="I389">
            <v>-138455911.75</v>
          </cell>
          <cell r="J389">
            <v>-138160520.74000001</v>
          </cell>
          <cell r="K389">
            <v>-138799401.25999999</v>
          </cell>
          <cell r="L389">
            <v>-139181538.44999999</v>
          </cell>
          <cell r="M389">
            <v>-140886459.38999999</v>
          </cell>
          <cell r="N389">
            <v>-140856262.44</v>
          </cell>
          <cell r="O389">
            <v>-140300580.05000001</v>
          </cell>
          <cell r="P389">
            <v>-148714333.83000001</v>
          </cell>
          <cell r="Q389">
            <v>-149215290.75</v>
          </cell>
          <cell r="R389">
            <v>-149749811.52000001</v>
          </cell>
          <cell r="S389">
            <v>-150306975.47</v>
          </cell>
          <cell r="T389">
            <v>-150842782.56</v>
          </cell>
          <cell r="U389">
            <v>-151256946.91</v>
          </cell>
          <cell r="V389">
            <v>-151802163.63999999</v>
          </cell>
          <cell r="W389">
            <v>-151762132.27000001</v>
          </cell>
          <cell r="X389">
            <v>-152218180.72999999</v>
          </cell>
          <cell r="Y389">
            <v>-153941695.61000001</v>
          </cell>
          <cell r="Z389">
            <v>-154711002.78999999</v>
          </cell>
          <cell r="AA389">
            <v>-165137719.28</v>
          </cell>
          <cell r="AB389">
            <v>-155339710.97</v>
          </cell>
          <cell r="AC389">
            <v>-166786033.00999999</v>
          </cell>
          <cell r="AD389">
            <v>-168170876.63</v>
          </cell>
          <cell r="AE389">
            <v>-169565408.13</v>
          </cell>
          <cell r="AF389">
            <v>-171000958.52000001</v>
          </cell>
          <cell r="AG389">
            <v>-172465899.62</v>
          </cell>
          <cell r="AH389">
            <v>-173139223.94999999</v>
          </cell>
          <cell r="AI389">
            <v>-174468475.77000001</v>
          </cell>
          <cell r="AJ389">
            <v>-176306098.38999999</v>
          </cell>
          <cell r="AK389">
            <v>-176536329.72</v>
          </cell>
          <cell r="AL389">
            <v>-178235301.66999999</v>
          </cell>
          <cell r="AM389">
            <v>-180086682.59999999</v>
          </cell>
          <cell r="AN389">
            <v>-190658408.56999999</v>
          </cell>
          <cell r="AO389">
            <v>-192576154.97</v>
          </cell>
          <cell r="AP389">
            <v>-194443739.53</v>
          </cell>
          <cell r="AQ389">
            <v>-197498276.02000001</v>
          </cell>
          <cell r="AR389">
            <v>-199555695.28999999</v>
          </cell>
          <cell r="AS389">
            <v>-202634750.22</v>
          </cell>
          <cell r="AT389">
            <v>-205496671.06999999</v>
          </cell>
          <cell r="AU389">
            <v>-208194268.13</v>
          </cell>
          <cell r="AV389">
            <v>-210598967.33000001</v>
          </cell>
          <cell r="AW389">
            <v>-212917880.27000001</v>
          </cell>
          <cell r="AX389">
            <v>-215328123.28999999</v>
          </cell>
          <cell r="AY389">
            <v>-217933475.22</v>
          </cell>
          <cell r="AZ389">
            <v>-146511109.03</v>
          </cell>
          <cell r="BA389">
            <v>-147566871.25</v>
          </cell>
          <cell r="BB389">
            <v>-148672379.83000001</v>
          </cell>
          <cell r="BC389">
            <v>-149811271.61000001</v>
          </cell>
          <cell r="BD389">
            <v>-150770803.94</v>
          </cell>
          <cell r="BE389">
            <v>-151832510.27000001</v>
          </cell>
          <cell r="BF389">
            <v>-152794317.62</v>
          </cell>
          <cell r="BG389">
            <v>-153821848.46000001</v>
          </cell>
          <cell r="BH389">
            <v>-155557043.41</v>
          </cell>
          <cell r="BI389">
            <v>-156658442.15000001</v>
          </cell>
          <cell r="BJ389">
            <v>-157832325</v>
          </cell>
          <cell r="BK389">
            <v>-161624228.12</v>
          </cell>
          <cell r="BL389">
            <v>-160744713.66</v>
          </cell>
          <cell r="BM389">
            <v>-161676608.05000001</v>
          </cell>
          <cell r="BN389">
            <v>-163139348.56999999</v>
          </cell>
          <cell r="BO389">
            <v>-164273485.13999999</v>
          </cell>
          <cell r="BP389">
            <v>-165447604.44</v>
          </cell>
          <cell r="BQ389">
            <v>-166621617.36000001</v>
          </cell>
          <cell r="BR389">
            <v>-167841892.08000001</v>
          </cell>
          <cell r="BS389">
            <v>-169034357.5</v>
          </cell>
          <cell r="BT389">
            <v>-170237160.58000001</v>
          </cell>
          <cell r="BU389">
            <v>-171661157.38</v>
          </cell>
          <cell r="BV389">
            <v>-172596537.40000001</v>
          </cell>
          <cell r="BW389">
            <v>-173711137.56999999</v>
          </cell>
          <cell r="BX389">
            <v>-175176329.94999999</v>
          </cell>
          <cell r="BY389">
            <v>-175026625.91999999</v>
          </cell>
          <cell r="BZ389">
            <v>-177895863.88</v>
          </cell>
          <cell r="CA389">
            <v>-179555240.22</v>
          </cell>
          <cell r="CB389">
            <v>-180663500.91</v>
          </cell>
          <cell r="CC389">
            <v>-182118629.41</v>
          </cell>
          <cell r="CD389">
            <v>-183386529.47999999</v>
          </cell>
          <cell r="CE389">
            <v>-184824900.94</v>
          </cell>
          <cell r="CF389">
            <v>-185485378.16999999</v>
          </cell>
          <cell r="CG389">
            <v>-186978766.22999999</v>
          </cell>
          <cell r="CH389">
            <v>-187783726.11000001</v>
          </cell>
          <cell r="CI389">
            <v>-188924713.21000001</v>
          </cell>
          <cell r="CJ389">
            <v>-191023809.21000001</v>
          </cell>
          <cell r="CK389">
            <v>-192366785.94999999</v>
          </cell>
          <cell r="CL389">
            <v>-193960826.84</v>
          </cell>
          <cell r="CM389">
            <v>-195329965.63999999</v>
          </cell>
          <cell r="CN389">
            <v>-197096354.34</v>
          </cell>
          <cell r="CO389">
            <v>-198933272.94999999</v>
          </cell>
          <cell r="CP389">
            <v>-199103075.5</v>
          </cell>
          <cell r="CQ389">
            <v>-200702420.62</v>
          </cell>
          <cell r="CR389">
            <v>-201747420.58000001</v>
          </cell>
          <cell r="CS389">
            <v>-202405991.94</v>
          </cell>
          <cell r="CT389">
            <v>-203652797.56</v>
          </cell>
          <cell r="CU389">
            <v>-205976668.06999999</v>
          </cell>
          <cell r="CV389">
            <v>-208181973.11000001</v>
          </cell>
          <cell r="CW389">
            <v>-210179370.68000001</v>
          </cell>
          <cell r="CX389">
            <v>-212312408.31999999</v>
          </cell>
          <cell r="CY389">
            <v>-213887263.34</v>
          </cell>
          <cell r="CZ389">
            <v>-216003546.53</v>
          </cell>
          <cell r="DA389">
            <v>-217918893.75</v>
          </cell>
          <cell r="DB389">
            <v>-219829649.31</v>
          </cell>
          <cell r="DC389">
            <v>-221419814.06</v>
          </cell>
          <cell r="DD389">
            <v>-226056955.69</v>
          </cell>
          <cell r="DE389">
            <v>-228059690.88999999</v>
          </cell>
          <cell r="DF389">
            <v>-230305142.83000001</v>
          </cell>
          <cell r="DG389">
            <v>-232639027.56</v>
          </cell>
          <cell r="DH389">
            <v>-234529981.81</v>
          </cell>
        </row>
        <row r="390">
          <cell r="A390" t="str">
            <v>283</v>
          </cell>
          <cell r="D390">
            <v>-16016140.539999999</v>
          </cell>
          <cell r="E390">
            <v>-16678093.09</v>
          </cell>
          <cell r="F390">
            <v>-15362466.43</v>
          </cell>
          <cell r="G390">
            <v>-14851145.77</v>
          </cell>
          <cell r="H390">
            <v>-15487593.699999999</v>
          </cell>
          <cell r="I390">
            <v>-13862158.119999999</v>
          </cell>
          <cell r="J390">
            <v>-14183467.23</v>
          </cell>
          <cell r="K390">
            <v>-14723958.82</v>
          </cell>
          <cell r="L390">
            <v>-14003438.59</v>
          </cell>
          <cell r="M390">
            <v>-15228589.84</v>
          </cell>
          <cell r="N390">
            <v>-16088577.07</v>
          </cell>
          <cell r="O390">
            <v>-16955050.77</v>
          </cell>
          <cell r="P390">
            <v>-20743344.780000001</v>
          </cell>
          <cell r="Q390">
            <v>-20467737.579999998</v>
          </cell>
          <cell r="R390">
            <v>-20023718.620000001</v>
          </cell>
          <cell r="S390">
            <v>-19839312.390000001</v>
          </cell>
          <cell r="T390">
            <v>-19578082.43</v>
          </cell>
          <cell r="U390">
            <v>-19452551.329999998</v>
          </cell>
          <cell r="V390">
            <v>-18154311.649999999</v>
          </cell>
          <cell r="W390">
            <v>-18206607.43</v>
          </cell>
          <cell r="X390">
            <v>-18437175.579999998</v>
          </cell>
          <cell r="Y390">
            <v>-18266856.670000002</v>
          </cell>
          <cell r="Z390">
            <v>-19824191.609999999</v>
          </cell>
          <cell r="AA390">
            <v>-24152825.280000001</v>
          </cell>
          <cell r="AB390">
            <v>-20664373.77</v>
          </cell>
          <cell r="AC390">
            <v>-23167534.329999998</v>
          </cell>
          <cell r="AD390">
            <v>-21857698.309999999</v>
          </cell>
          <cell r="AE390">
            <v>-20924644.140000001</v>
          </cell>
          <cell r="AF390">
            <v>-20331094.66</v>
          </cell>
          <cell r="AG390">
            <v>-20241572.559999999</v>
          </cell>
          <cell r="AH390">
            <v>-19351148.609999999</v>
          </cell>
          <cell r="AI390">
            <v>-19315518.739999998</v>
          </cell>
          <cell r="AJ390">
            <v>-19236912.239999998</v>
          </cell>
          <cell r="AK390">
            <v>-22300343.59</v>
          </cell>
          <cell r="AL390">
            <v>-22360616.579999998</v>
          </cell>
          <cell r="AM390">
            <v>-22355891.449999999</v>
          </cell>
          <cell r="AN390">
            <v>-21161926.59</v>
          </cell>
          <cell r="AO390">
            <v>-20620416.379999999</v>
          </cell>
          <cell r="AP390">
            <v>-20507456.300000001</v>
          </cell>
          <cell r="AQ390">
            <v>-20413640.969999999</v>
          </cell>
          <cell r="AR390">
            <v>-20432843.289999999</v>
          </cell>
          <cell r="AS390">
            <v>-20297996.550000001</v>
          </cell>
          <cell r="AT390">
            <v>-20541592.899999999</v>
          </cell>
          <cell r="AU390">
            <v>-20554803.670000002</v>
          </cell>
          <cell r="AV390">
            <v>-20565576.579999998</v>
          </cell>
          <cell r="AW390">
            <v>-20341899.539999999</v>
          </cell>
          <cell r="AX390">
            <v>-21322856.960000001</v>
          </cell>
          <cell r="AY390">
            <v>-21760127.010000002</v>
          </cell>
          <cell r="AZ390">
            <v>348251.87</v>
          </cell>
          <cell r="BA390">
            <v>1017190.28</v>
          </cell>
          <cell r="BB390">
            <v>1401501.7</v>
          </cell>
          <cell r="BC390">
            <v>1862357.43</v>
          </cell>
          <cell r="BD390">
            <v>2154225.65</v>
          </cell>
          <cell r="BE390">
            <v>2366851.79</v>
          </cell>
          <cell r="BF390">
            <v>2708484.43</v>
          </cell>
          <cell r="BG390">
            <v>2909110.61</v>
          </cell>
          <cell r="BH390">
            <v>2963676.18</v>
          </cell>
          <cell r="BI390">
            <v>1556885.53</v>
          </cell>
          <cell r="BJ390">
            <v>1457849.79</v>
          </cell>
          <cell r="BK390">
            <v>2129335.42</v>
          </cell>
          <cell r="BL390">
            <v>-35587.949999999997</v>
          </cell>
          <cell r="BM390">
            <v>436968.28</v>
          </cell>
          <cell r="BN390">
            <v>733890.34</v>
          </cell>
          <cell r="BO390">
            <v>740433.61</v>
          </cell>
          <cell r="BP390">
            <v>755782.57</v>
          </cell>
          <cell r="BQ390">
            <v>758433.23</v>
          </cell>
          <cell r="BR390">
            <v>859416.56</v>
          </cell>
          <cell r="BS390">
            <v>858585.79</v>
          </cell>
          <cell r="BT390">
            <v>831583.04</v>
          </cell>
          <cell r="BU390">
            <v>581831.12</v>
          </cell>
          <cell r="BV390">
            <v>509381.51</v>
          </cell>
          <cell r="BW390">
            <v>501579.95</v>
          </cell>
          <cell r="BX390">
            <v>387992.55</v>
          </cell>
          <cell r="BY390">
            <v>342649.3</v>
          </cell>
          <cell r="BZ390">
            <v>324836.90000000002</v>
          </cell>
          <cell r="CA390">
            <v>606250.02</v>
          </cell>
          <cell r="CB390">
            <v>575891.44999999995</v>
          </cell>
          <cell r="CC390">
            <v>536458.66</v>
          </cell>
          <cell r="CD390">
            <v>621431.22</v>
          </cell>
          <cell r="CE390">
            <v>594787.87</v>
          </cell>
          <cell r="CF390">
            <v>150291.56</v>
          </cell>
          <cell r="CG390">
            <v>163695.34</v>
          </cell>
          <cell r="CH390">
            <v>1020338.65</v>
          </cell>
          <cell r="CI390">
            <v>999348.48</v>
          </cell>
          <cell r="CJ390">
            <v>-899868.87</v>
          </cell>
          <cell r="CK390">
            <v>-969779.28</v>
          </cell>
          <cell r="CL390">
            <v>-1054797.0900000001</v>
          </cell>
          <cell r="CM390">
            <v>-942066.45</v>
          </cell>
          <cell r="CN390">
            <v>-976197.79</v>
          </cell>
          <cell r="CO390">
            <v>-1036258.57</v>
          </cell>
          <cell r="CP390">
            <v>-974247.47</v>
          </cell>
          <cell r="CQ390">
            <v>-1169066.31</v>
          </cell>
          <cell r="CR390">
            <v>-1205227</v>
          </cell>
          <cell r="CS390">
            <v>-706411.27</v>
          </cell>
          <cell r="CT390">
            <v>-1994020.58</v>
          </cell>
          <cell r="CU390">
            <v>-3742579.62</v>
          </cell>
          <cell r="CV390">
            <v>-3015893.05</v>
          </cell>
          <cell r="CW390">
            <v>-1824006.66</v>
          </cell>
          <cell r="CX390">
            <v>-391244.59</v>
          </cell>
          <cell r="CY390">
            <v>-306777.5</v>
          </cell>
          <cell r="CZ390">
            <v>422524.46</v>
          </cell>
          <cell r="DA390">
            <v>518178.04</v>
          </cell>
          <cell r="DB390">
            <v>470173.23</v>
          </cell>
          <cell r="DC390">
            <v>504677.35</v>
          </cell>
          <cell r="DD390">
            <v>562473.68000000005</v>
          </cell>
          <cell r="DE390">
            <v>536924.28</v>
          </cell>
          <cell r="DF390">
            <v>470935.01</v>
          </cell>
          <cell r="DG390">
            <v>506475.89</v>
          </cell>
          <cell r="DH390">
            <v>-2338110.65</v>
          </cell>
        </row>
        <row r="391">
          <cell r="Q391"/>
          <cell r="R391"/>
        </row>
        <row r="392">
          <cell r="R392"/>
          <cell r="W392">
            <v>1.862645149230957E-7</v>
          </cell>
          <cell r="X392">
            <v>-4.4703483581542969E-8</v>
          </cell>
          <cell r="Y392">
            <v>-2.5331974029541016E-7</v>
          </cell>
          <cell r="Z392">
            <v>-1.6391277313232422E-7</v>
          </cell>
          <cell r="AA392">
            <v>1.1920928955078125E-7</v>
          </cell>
          <cell r="AB392">
            <v>7.0780515670776367E-8</v>
          </cell>
          <cell r="AC392">
            <v>-3.7252902984619141E-7</v>
          </cell>
          <cell r="AD392">
            <v>-2.0489096641540527E-7</v>
          </cell>
          <cell r="AE392">
            <v>-1.3411045074462891E-7</v>
          </cell>
          <cell r="AF392">
            <v>5.5879354476928711E-8</v>
          </cell>
          <cell r="AG392">
            <v>-2.3469328880310059E-7</v>
          </cell>
          <cell r="AH392">
            <v>-1.0430812835693359E-7</v>
          </cell>
          <cell r="AI392">
            <v>-4.8428773880004883E-8</v>
          </cell>
          <cell r="AJ392">
            <v>7.0780515670776367E-8</v>
          </cell>
          <cell r="AK392">
            <v>-1.1548399925231934E-7</v>
          </cell>
          <cell r="AL392">
            <v>-1.9371509552001953E-7</v>
          </cell>
          <cell r="AM392">
            <v>-1.0058283805847168E-7</v>
          </cell>
          <cell r="AN392">
            <v>-3.8370490074157715E-7</v>
          </cell>
          <cell r="AO392">
            <v>-6.3329935073852539E-8</v>
          </cell>
          <cell r="AP392">
            <v>-4.8428773880004883E-8</v>
          </cell>
          <cell r="AQ392">
            <v>0</v>
          </cell>
          <cell r="AR392">
            <v>-9.6857547760009766E-8</v>
          </cell>
          <cell r="AS392">
            <v>-7.8231096267700195E-8</v>
          </cell>
          <cell r="AT392">
            <v>6.7055225372314453E-8</v>
          </cell>
          <cell r="AU392">
            <v>-3.1292438507080078E-7</v>
          </cell>
          <cell r="AV392">
            <v>-1.9371509552001953E-7</v>
          </cell>
          <cell r="AW392">
            <v>-6.7055225372314453E-8</v>
          </cell>
          <cell r="AX392">
            <v>1.2665987014770508E-7</v>
          </cell>
          <cell r="AY392">
            <v>0</v>
          </cell>
          <cell r="AZ392">
            <v>-2.7299392968416214E-7</v>
          </cell>
          <cell r="BA392">
            <v>-9.0571120381355286E-8</v>
          </cell>
          <cell r="BB392">
            <v>-0.99999998812563717</v>
          </cell>
          <cell r="BC392">
            <v>-6.6822394728660583E-8</v>
          </cell>
          <cell r="BD392">
            <v>-9.5460563898086548E-8</v>
          </cell>
          <cell r="BE392">
            <v>-5.1222741603851318E-8</v>
          </cell>
          <cell r="BF392">
            <v>0.99999975459650159</v>
          </cell>
          <cell r="BG392">
            <v>1.0477378964424133E-7</v>
          </cell>
          <cell r="BH392">
            <v>-3.6787241697311401E-8</v>
          </cell>
          <cell r="BI392">
            <v>3.564637154340744E-7</v>
          </cell>
          <cell r="BJ392">
            <v>-2.1420419216156006E-8</v>
          </cell>
          <cell r="BK392">
            <v>4.2840838432312012E-8</v>
          </cell>
          <cell r="BL392">
            <v>-3.9934820961207151E-7</v>
          </cell>
          <cell r="BM392">
            <v>-2.0978040993213654E-7</v>
          </cell>
          <cell r="BN392">
            <v>-3.3411197364330292E-8</v>
          </cell>
          <cell r="BO392">
            <v>6.4133200794458389E-7</v>
          </cell>
          <cell r="BP392">
            <v>-8.2305632531642914E-8</v>
          </cell>
          <cell r="BQ392">
            <v>2.1932646632194519E-7</v>
          </cell>
          <cell r="BR392">
            <v>-2.7054920792579651E-7</v>
          </cell>
          <cell r="BS392">
            <v>-2.1420419216156006E-8</v>
          </cell>
          <cell r="BT392">
            <v>1.2759119272232056E-7</v>
          </cell>
          <cell r="BU392">
            <v>1.4423858374357224E-7</v>
          </cell>
          <cell r="BV392">
            <v>-1.0000001990702003</v>
          </cell>
          <cell r="BW392">
            <v>-0.99999986885813996</v>
          </cell>
          <cell r="BX392">
            <v>-1.1932570487260818E-8</v>
          </cell>
          <cell r="BY392">
            <v>-3.0995579436421394E-7</v>
          </cell>
          <cell r="BZ392">
            <v>-4.8277433961629868E-7</v>
          </cell>
          <cell r="CA392">
            <v>-1.0710209608078003E-8</v>
          </cell>
          <cell r="CB392">
            <v>-7.7532604336738586E-8</v>
          </cell>
          <cell r="CC392">
            <v>3.016320988535881E-7</v>
          </cell>
          <cell r="CD392">
            <v>1.203734427690506E-7</v>
          </cell>
          <cell r="CE392">
            <v>-2.4319160729646683E-7</v>
          </cell>
          <cell r="CF392">
            <v>-8.070492185652256E-7</v>
          </cell>
          <cell r="CG392">
            <v>3.540480975061655E-7</v>
          </cell>
          <cell r="CH392">
            <v>-3.9336737245321274E-7</v>
          </cell>
          <cell r="CI392">
            <v>-1.3830140233039856E-7</v>
          </cell>
          <cell r="CJ392">
            <v>-6.8068038672208786E-7</v>
          </cell>
          <cell r="CK392">
            <v>-2.8638169169425964E-8</v>
          </cell>
          <cell r="CL392">
            <v>-1.4551915228366852E-7</v>
          </cell>
          <cell r="CM392">
            <v>3.1595118343830109E-7</v>
          </cell>
          <cell r="CN392">
            <v>6.4726918935775757E-7</v>
          </cell>
          <cell r="CO392">
            <v>-3.6903657019138336E-8</v>
          </cell>
          <cell r="CP392">
            <v>-1.5017576515674591E-7</v>
          </cell>
          <cell r="CQ392">
            <v>-5.7276338338851929E-8</v>
          </cell>
          <cell r="CR392">
            <v>8.9406967163085938E-8</v>
          </cell>
          <cell r="CS392">
            <v>-3.1711533665657043E-7</v>
          </cell>
          <cell r="CT392">
            <v>-1.0617077350616455E-7</v>
          </cell>
          <cell r="CU392">
            <v>4.2188912630081177E-7</v>
          </cell>
          <cell r="CV392">
            <v>-2.859160304069519E-7</v>
          </cell>
          <cell r="CW392">
            <v>-1.5250407159328461E-7</v>
          </cell>
          <cell r="CX392">
            <v>5.1019014790654182E-7</v>
          </cell>
          <cell r="CY392">
            <v>-1.4901161193847656E-7</v>
          </cell>
          <cell r="CZ392">
            <v>2.3009488359093666E-7</v>
          </cell>
          <cell r="DA392">
            <v>-1.4068791642785072E-7</v>
          </cell>
          <cell r="DB392">
            <v>3.9814040064811707E-7</v>
          </cell>
          <cell r="DC392">
            <v>3.9336737245321274E-7</v>
          </cell>
          <cell r="DD392">
            <v>-4.243338480591774E-7</v>
          </cell>
          <cell r="DE392">
            <v>5.0547532737255096E-7</v>
          </cell>
          <cell r="DF392">
            <v>-3.7788413465023041E-7</v>
          </cell>
          <cell r="DG392">
            <v>4.0174927562475204E-7</v>
          </cell>
          <cell r="DH392">
            <v>3.9348378777503967E-7</v>
          </cell>
        </row>
        <row r="393">
          <cell r="R393"/>
        </row>
        <row r="394">
          <cell r="R394"/>
        </row>
        <row r="395">
          <cell r="R395"/>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Reconcil"/>
      <sheetName val="Report YE"/>
      <sheetName val="Reconcil YE"/>
      <sheetName val="Tax Rate"/>
      <sheetName val="AFUDC Sch A "/>
      <sheetName val="AFUDC Sch B"/>
      <sheetName val="AFUDC Sch C"/>
      <sheetName val="Bal Sheet"/>
      <sheetName val="IncomeStmt"/>
      <sheetName val="Input"/>
      <sheetName val="Input Plant"/>
      <sheetName val="Seg of CWIP"/>
      <sheetName val="Int Synch"/>
      <sheetName val="Cap Str 54.7%"/>
      <sheetName val="WFNG"/>
      <sheetName val="LT &amp; ST &amp; Dep Cost Rate"/>
      <sheetName val="MSEA"/>
      <sheetName val="Macros"/>
      <sheetName val="COMP Act to Prior"/>
      <sheetName val="COMP to Final Bud"/>
      <sheetName val="COMP to Orig Bud"/>
      <sheetName val="COMP to 1+11F"/>
      <sheetName val="COMP to Budget Q2"/>
      <sheetName val="Quarterly"/>
      <sheetName val="COMP to 2020 Strat"/>
      <sheetName val="COMP to Prior For"/>
      <sheetName val="COMP to Q1F"/>
      <sheetName val="COMP to Q3F"/>
      <sheetName val="Quarterly vs 0+12 vs Q1F"/>
      <sheetName val="Monthly"/>
    </sheetNames>
    <sheetDataSet>
      <sheetData sheetId="0">
        <row r="95">
          <cell r="T95">
            <v>1491698.5851878473</v>
          </cell>
        </row>
        <row r="174">
          <cell r="H174">
            <v>1491698.5851878473</v>
          </cell>
        </row>
      </sheetData>
      <sheetData sheetId="1"/>
      <sheetData sheetId="2">
        <row r="95">
          <cell r="T95">
            <v>1617971.4454196927</v>
          </cell>
        </row>
        <row r="174">
          <cell r="H174">
            <v>1617971.4454196927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Report Year End"/>
      <sheetName val="Reconcil"/>
      <sheetName val="Tax Rate"/>
      <sheetName val="IncomeStmt"/>
      <sheetName val="Bal Sheet"/>
      <sheetName val="IS ACCTS"/>
      <sheetName val="BS ACCTS"/>
      <sheetName val="Input"/>
      <sheetName val="Input Plant"/>
      <sheetName val="Surv Support"/>
      <sheetName val="WFNG"/>
      <sheetName val="LT &amp; ST Cost Rate"/>
      <sheetName val="ACC92601"/>
      <sheetName val="Int Synch"/>
      <sheetName val="MSEA"/>
      <sheetName val="Macros"/>
      <sheetName val="COMP Prior Yr"/>
      <sheetName val="COMP Budget"/>
      <sheetName val="COMP Forecast"/>
      <sheetName val="COMP Prior Qtr"/>
      <sheetName val="COMP Forecast Qrtly"/>
      <sheetName val="COMP Bud Qrtly"/>
      <sheetName val="COMP Qrt vs prior Yr Qtr"/>
      <sheetName val="ROE Recon - Act"/>
      <sheetName val="ROE Recon prior"/>
    </sheetNames>
    <sheetDataSet>
      <sheetData sheetId="0">
        <row r="167">
          <cell r="B167">
            <v>276545</v>
          </cell>
          <cell r="H167">
            <v>240801.57957872219</v>
          </cell>
        </row>
        <row r="169">
          <cell r="B169">
            <v>48240</v>
          </cell>
          <cell r="H169">
            <v>42318.687415824003</v>
          </cell>
        </row>
        <row r="177">
          <cell r="B177">
            <v>415247</v>
          </cell>
          <cell r="H177">
            <v>362630.05921437783</v>
          </cell>
          <cell r="J177">
            <v>0.42059999999999997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erred"/>
      <sheetName val="Form Over Under Recovery"/>
      <sheetName val="Revenue"/>
      <sheetName val="Form Interest Calc"/>
      <sheetName val="CIBS Beg Net BV Adj Calc"/>
      <sheetName val="PPP Beg Net BV Adj Calc"/>
      <sheetName val="Total Beg Net BV Adj Calc"/>
      <sheetName val="Asset Calc CIBS"/>
      <sheetName val="Asset Calc PPP"/>
      <sheetName val="Asset Calc TOTAL"/>
      <sheetName val="Over-Under As Booked"/>
      <sheetName val="Prior Pd True-Up Calc"/>
      <sheetName val="April portion of True-Up"/>
      <sheetName val="WACC"/>
      <sheetName val="Surv report tab"/>
      <sheetName val="Journal Entry"/>
      <sheetName val="Feb PPA"/>
      <sheetName val="JE Cover Sheet"/>
      <sheetName val="Apr PPA"/>
      <sheetName val="SAP JE Upload"/>
      <sheetName val="Statistical Support"/>
      <sheetName val="2021 WACC"/>
      <sheetName val="2021 WACC booked january"/>
      <sheetName val="2022 WACC"/>
      <sheetName val="Recon"/>
      <sheetName val="BPC Notes"/>
      <sheetName val="Names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DS10">
            <v>29839959.420000002</v>
          </cell>
        </row>
        <row r="14">
          <cell r="DS14">
            <v>112067.62</v>
          </cell>
        </row>
        <row r="18">
          <cell r="DS18">
            <v>24998807.489999998</v>
          </cell>
        </row>
        <row r="27">
          <cell r="DS27">
            <v>5078006</v>
          </cell>
        </row>
        <row r="30">
          <cell r="DS30">
            <v>25390.039999999997</v>
          </cell>
        </row>
        <row r="33">
          <cell r="DS33">
            <v>-872623</v>
          </cell>
        </row>
        <row r="36">
          <cell r="DS36">
            <v>848702</v>
          </cell>
        </row>
        <row r="39">
          <cell r="DS39">
            <v>4238166</v>
          </cell>
        </row>
        <row r="43">
          <cell r="DS43">
            <v>415358.66999999993</v>
          </cell>
        </row>
        <row r="46">
          <cell r="DS46">
            <v>423012</v>
          </cell>
        </row>
      </sheetData>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 Cover"/>
      <sheetName val="Deferred"/>
      <sheetName val="Deferred (As Booked)"/>
      <sheetName val="Form Over Under Recovery"/>
      <sheetName val="Revenue"/>
      <sheetName val="Form Interest Calc"/>
      <sheetName val="CIBS Beg Net BV Adj Calc"/>
      <sheetName val="PPP Beg Net BV Adj Calc"/>
      <sheetName val="Total Beg Net BV Adj Calc"/>
      <sheetName val="Asset Calc CIBS"/>
      <sheetName val="Asset Calc PPP"/>
      <sheetName val="Asset Calc TOTAL"/>
      <sheetName val="Over-Under As Booked"/>
      <sheetName val="Prior Pd True-Up Calc"/>
      <sheetName val="April portion of True-Up"/>
      <sheetName val="WACC"/>
      <sheetName val="Surv report tab"/>
      <sheetName val="Form Over Under (As Booked)"/>
      <sheetName val="Journal Entry"/>
      <sheetName val="Feb PPA"/>
      <sheetName val="JE Cover Sheet"/>
      <sheetName val="Apr PPA"/>
      <sheetName val="Sep PPA"/>
      <sheetName val="Nov PPA"/>
      <sheetName val="SAP JE Upload"/>
      <sheetName val="Statistical Support"/>
      <sheetName val="2021 WACC"/>
      <sheetName val="2021 WACC booked january"/>
      <sheetName val="Recon"/>
      <sheetName val="BPC Notes"/>
      <sheetName val="Name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9">
          <cell r="DG9">
            <v>23549936.050000016</v>
          </cell>
        </row>
        <row r="13">
          <cell r="DG13">
            <v>-82002.529999999446</v>
          </cell>
        </row>
        <row r="17">
          <cell r="DG17">
            <v>17609019.299999993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 Cover"/>
      <sheetName val="Deferred"/>
      <sheetName val="Deferred (As Booked)"/>
      <sheetName val="Form Over Under Recovery"/>
      <sheetName val="Revenue"/>
      <sheetName val="Form Interest Calc"/>
      <sheetName val="CIBS Beg Net BV Adj Calc"/>
      <sheetName val="PPP Beg Net BV Adj Calc"/>
      <sheetName val="Total Beg Net BV Adj Calc"/>
      <sheetName val="Asset Calc CIBS"/>
      <sheetName val="Asset Calc PPP"/>
      <sheetName val="Asset Calc TOTAL"/>
      <sheetName val="Over-Under As Booked"/>
      <sheetName val="Prior Pd True-Up Calc"/>
      <sheetName val="April portion of True-Up"/>
      <sheetName val="WACC"/>
      <sheetName val="Surv report tab"/>
      <sheetName val="Form Over Under (As Booked)"/>
      <sheetName val="Journal Entry"/>
      <sheetName val="Feb PPA"/>
      <sheetName val="JE Cover Sheet"/>
      <sheetName val="Apr PPA"/>
      <sheetName val="Sep PPA"/>
      <sheetName val="Nov PPA"/>
      <sheetName val="SAP JE Upload"/>
      <sheetName val="Statistical Support"/>
      <sheetName val="2021 WACC"/>
      <sheetName val="2021 WACC booked january"/>
      <sheetName val="Recon"/>
      <sheetName val="BPC Notes"/>
      <sheetName val="Names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0">
          <cell r="DG10">
            <v>6798561.46</v>
          </cell>
        </row>
        <row r="27">
          <cell r="DG27">
            <v>5232281.5999999996</v>
          </cell>
        </row>
        <row r="30">
          <cell r="DG30">
            <v>26161.420000000006</v>
          </cell>
        </row>
        <row r="33">
          <cell r="DG33">
            <v>-775765</v>
          </cell>
        </row>
        <row r="36">
          <cell r="DG36">
            <v>4795016</v>
          </cell>
        </row>
        <row r="39">
          <cell r="DG39">
            <v>1243361</v>
          </cell>
        </row>
        <row r="43">
          <cell r="DG43">
            <v>71212.999999999971</v>
          </cell>
        </row>
        <row r="46">
          <cell r="DG46">
            <v>-127706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10.bin"/><Relationship Id="rId6" Type="http://schemas.openxmlformats.org/officeDocument/2006/relationships/comments" Target="../comments3.xml"/><Relationship Id="rId5" Type="http://schemas.openxmlformats.org/officeDocument/2006/relationships/vmlDrawing" Target="../drawings/vmlDrawing4.vml"/><Relationship Id="rId4" Type="http://schemas.openxmlformats.org/officeDocument/2006/relationships/customProperty" Target="../customProperty17.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customProperty" Target="../customProperty18.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3.bin"/><Relationship Id="rId5" Type="http://schemas.openxmlformats.org/officeDocument/2006/relationships/comments" Target="../comments4.xml"/><Relationship Id="rId4"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4.bin"/><Relationship Id="rId6" Type="http://schemas.openxmlformats.org/officeDocument/2006/relationships/comments" Target="../comments5.xml"/><Relationship Id="rId5" Type="http://schemas.openxmlformats.org/officeDocument/2006/relationships/vmlDrawing" Target="../drawings/vmlDrawing6.vml"/><Relationship Id="rId4" Type="http://schemas.openxmlformats.org/officeDocument/2006/relationships/customProperty" Target="../customProperty25.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6.bin"/><Relationship Id="rId5" Type="http://schemas.openxmlformats.org/officeDocument/2006/relationships/comments" Target="../comments6.xml"/><Relationship Id="rId4"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9.bin"/><Relationship Id="rId6" Type="http://schemas.openxmlformats.org/officeDocument/2006/relationships/comments" Target="../comments7.xml"/><Relationship Id="rId5" Type="http://schemas.openxmlformats.org/officeDocument/2006/relationships/vmlDrawing" Target="../drawings/vmlDrawing8.vml"/><Relationship Id="rId4" Type="http://schemas.openxmlformats.org/officeDocument/2006/relationships/customProperty" Target="../customProperty33.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35.bin"/><Relationship Id="rId2" Type="http://schemas.openxmlformats.org/officeDocument/2006/relationships/customProperty" Target="../customProperty34.bin"/><Relationship Id="rId1" Type="http://schemas.openxmlformats.org/officeDocument/2006/relationships/printerSettings" Target="../printerSettings/printerSettings20.bin"/><Relationship Id="rId5" Type="http://schemas.openxmlformats.org/officeDocument/2006/relationships/comments" Target="../comments8.xml"/><Relationship Id="rId4" Type="http://schemas.openxmlformats.org/officeDocument/2006/relationships/vmlDrawing" Target="../drawings/vmlDrawing9.vml"/></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22.bin"/><Relationship Id="rId5" Type="http://schemas.openxmlformats.org/officeDocument/2006/relationships/comments" Target="../comments9.xml"/><Relationship Id="rId4" Type="http://schemas.openxmlformats.org/officeDocument/2006/relationships/vmlDrawing" Target="../drawings/vmlDrawing10.vml"/></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3.bin"/><Relationship Id="rId5" Type="http://schemas.openxmlformats.org/officeDocument/2006/relationships/comments" Target="../comments10.xml"/><Relationship Id="rId4" Type="http://schemas.openxmlformats.org/officeDocument/2006/relationships/vmlDrawing" Target="../drawings/vmlDrawing11.vml"/></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4.bin"/><Relationship Id="rId5" Type="http://schemas.openxmlformats.org/officeDocument/2006/relationships/comments" Target="../comments11.xml"/><Relationship Id="rId4" Type="http://schemas.openxmlformats.org/officeDocument/2006/relationships/vmlDrawing" Target="../drawings/vmlDrawing12.v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customProperty" Target="../customProperty43.bin"/><Relationship Id="rId1" Type="http://schemas.openxmlformats.org/officeDocument/2006/relationships/printerSettings" Target="../printerSettings/printerSettings25.bin"/><Relationship Id="rId4"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customProperty" Target="../customProperty44.bin"/><Relationship Id="rId1" Type="http://schemas.openxmlformats.org/officeDocument/2006/relationships/printerSettings" Target="../printerSettings/printerSettings26.bin"/><Relationship Id="rId4"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customProperty" Target="../customProperty47.bin"/><Relationship Id="rId1" Type="http://schemas.openxmlformats.org/officeDocument/2006/relationships/printerSettings" Target="../printerSettings/printerSettings29.bin"/><Relationship Id="rId4"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customProperty" Target="../customProperty48.bin"/><Relationship Id="rId1" Type="http://schemas.openxmlformats.org/officeDocument/2006/relationships/printerSettings" Target="../printerSettings/printerSettings30.bin"/><Relationship Id="rId4"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ustomProperty" Target="../customProperty54.bin"/><Relationship Id="rId2" Type="http://schemas.openxmlformats.org/officeDocument/2006/relationships/customProperty" Target="../customProperty53.bin"/><Relationship Id="rId1" Type="http://schemas.openxmlformats.org/officeDocument/2006/relationships/printerSettings" Target="../printerSettings/printerSettings35.bin"/><Relationship Id="rId5" Type="http://schemas.openxmlformats.org/officeDocument/2006/relationships/comments" Target="../comments16.xml"/><Relationship Id="rId4"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customProperty" Target="../customProperty55.bin"/><Relationship Id="rId1" Type="http://schemas.openxmlformats.org/officeDocument/2006/relationships/printerSettings" Target="../printerSettings/printerSettings36.bin"/><Relationship Id="rId4"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3" Type="http://schemas.openxmlformats.org/officeDocument/2006/relationships/customProperty" Target="../customProperty57.bin"/><Relationship Id="rId2" Type="http://schemas.openxmlformats.org/officeDocument/2006/relationships/customProperty" Target="../customProperty56.bin"/><Relationship Id="rId1" Type="http://schemas.openxmlformats.org/officeDocument/2006/relationships/printerSettings" Target="../printerSettings/printerSettings37.bin"/><Relationship Id="rId5" Type="http://schemas.openxmlformats.org/officeDocument/2006/relationships/comments" Target="../comments18.xml"/><Relationship Id="rId4"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3" Type="http://schemas.openxmlformats.org/officeDocument/2006/relationships/customProperty" Target="../customProperty59.bin"/><Relationship Id="rId2" Type="http://schemas.openxmlformats.org/officeDocument/2006/relationships/customProperty" Target="../customProperty58.bin"/><Relationship Id="rId1" Type="http://schemas.openxmlformats.org/officeDocument/2006/relationships/printerSettings" Target="../printerSettings/printerSettings38.bin"/><Relationship Id="rId5" Type="http://schemas.openxmlformats.org/officeDocument/2006/relationships/comments" Target="../comments19.xml"/><Relationship Id="rId4"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5.bin"/><Relationship Id="rId7" Type="http://schemas.openxmlformats.org/officeDocument/2006/relationships/comments" Target="../comments1.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customProperty" Target="../customProperty6.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5.bin"/><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9.bin"/><Relationship Id="rId6" Type="http://schemas.openxmlformats.org/officeDocument/2006/relationships/comments" Target="../comments2.xml"/><Relationship Id="rId5" Type="http://schemas.openxmlformats.org/officeDocument/2006/relationships/vmlDrawing" Target="../drawings/vmlDrawing3.vm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00B050"/>
  </sheetPr>
  <dimension ref="A2:DK154"/>
  <sheetViews>
    <sheetView workbookViewId="0"/>
  </sheetViews>
  <sheetFormatPr defaultColWidth="0" defaultRowHeight="12.75" outlineLevelRow="1" outlineLevelCol="1"/>
  <cols>
    <col min="1" max="1" width="3.5703125" customWidth="1"/>
    <col min="2" max="2" width="15.5703125" customWidth="1"/>
    <col min="3" max="3" width="25.5703125" customWidth="1"/>
    <col min="4" max="4" width="9" customWidth="1"/>
    <col min="5" max="6" width="5.42578125" customWidth="1"/>
    <col min="7" max="7" width="3.85546875" customWidth="1"/>
    <col min="8" max="8" width="6.85546875" bestFit="1" customWidth="1"/>
    <col min="9" max="9" width="3.5703125" customWidth="1"/>
    <col min="10" max="17" width="13.5703125" customWidth="1" outlineLevel="1"/>
    <col min="18" max="18" width="3.5703125" customWidth="1"/>
    <col min="19" max="114" width="13.5703125" hidden="1" customWidth="1" outlineLevel="1"/>
    <col min="115" max="115" width="3.5703125" customWidth="1" collapsed="1"/>
    <col min="116" max="16384" width="8.85546875" hidden="1"/>
  </cols>
  <sheetData>
    <row r="2" spans="1:114" ht="15.75">
      <c r="B2" s="1184" t="s">
        <v>2771</v>
      </c>
      <c r="C2" s="1184"/>
      <c r="D2" s="1185">
        <f>SUM(F37,F42,F49,F53,F58,F65,F80,F93,F98,F111,F118,F125,F148,F152)</f>
        <v>0</v>
      </c>
      <c r="E2" s="1186"/>
      <c r="F2" s="1187"/>
      <c r="J2" s="1188">
        <f>YEAR(J4)</f>
        <v>2020</v>
      </c>
      <c r="K2" s="1188">
        <f>J2+1</f>
        <v>2021</v>
      </c>
      <c r="L2" s="1188">
        <f t="shared" ref="L2:Q2" si="0">K2+1</f>
        <v>2022</v>
      </c>
      <c r="M2" s="1188">
        <f t="shared" si="0"/>
        <v>2023</v>
      </c>
      <c r="N2" s="1188">
        <f t="shared" si="0"/>
        <v>2024</v>
      </c>
      <c r="O2" s="1188">
        <f t="shared" si="0"/>
        <v>2025</v>
      </c>
      <c r="P2" s="1188">
        <f t="shared" si="0"/>
        <v>2026</v>
      </c>
      <c r="Q2" s="1188">
        <f t="shared" si="0"/>
        <v>2027</v>
      </c>
      <c r="S2" s="1188" t="str">
        <f t="shared" ref="S2:CD2" si="1">TEXT(S4,"mmm yy")</f>
        <v>Jan 20</v>
      </c>
      <c r="T2" s="1188" t="str">
        <f t="shared" si="1"/>
        <v>Feb 20</v>
      </c>
      <c r="U2" s="1188" t="str">
        <f t="shared" si="1"/>
        <v>Mar 20</v>
      </c>
      <c r="V2" s="1188" t="str">
        <f t="shared" si="1"/>
        <v>Apr 20</v>
      </c>
      <c r="W2" s="1188" t="str">
        <f t="shared" si="1"/>
        <v>May 20</v>
      </c>
      <c r="X2" s="1188" t="str">
        <f t="shared" si="1"/>
        <v>Jun 20</v>
      </c>
      <c r="Y2" s="1188" t="str">
        <f t="shared" si="1"/>
        <v>Jul 20</v>
      </c>
      <c r="Z2" s="1188" t="str">
        <f t="shared" si="1"/>
        <v>Aug 20</v>
      </c>
      <c r="AA2" s="1188" t="str">
        <f t="shared" si="1"/>
        <v>Sep 20</v>
      </c>
      <c r="AB2" s="1188" t="str">
        <f t="shared" si="1"/>
        <v>Oct 20</v>
      </c>
      <c r="AC2" s="1188" t="str">
        <f t="shared" si="1"/>
        <v>Nov 20</v>
      </c>
      <c r="AD2" s="1188" t="str">
        <f t="shared" si="1"/>
        <v>Dec 20</v>
      </c>
      <c r="AE2" s="1188" t="str">
        <f t="shared" si="1"/>
        <v>Jan 21</v>
      </c>
      <c r="AF2" s="1188" t="str">
        <f t="shared" si="1"/>
        <v>Feb 21</v>
      </c>
      <c r="AG2" s="1188" t="str">
        <f t="shared" si="1"/>
        <v>Mar 21</v>
      </c>
      <c r="AH2" s="1188" t="str">
        <f t="shared" si="1"/>
        <v>Apr 21</v>
      </c>
      <c r="AI2" s="1188" t="str">
        <f t="shared" si="1"/>
        <v>May 21</v>
      </c>
      <c r="AJ2" s="1188" t="str">
        <f t="shared" si="1"/>
        <v>Jun 21</v>
      </c>
      <c r="AK2" s="1188" t="str">
        <f t="shared" si="1"/>
        <v>Jul 21</v>
      </c>
      <c r="AL2" s="1188" t="str">
        <f t="shared" si="1"/>
        <v>Aug 21</v>
      </c>
      <c r="AM2" s="1188" t="str">
        <f t="shared" si="1"/>
        <v>Sep 21</v>
      </c>
      <c r="AN2" s="1188" t="str">
        <f t="shared" si="1"/>
        <v>Oct 21</v>
      </c>
      <c r="AO2" s="1188" t="str">
        <f t="shared" si="1"/>
        <v>Nov 21</v>
      </c>
      <c r="AP2" s="1188" t="str">
        <f t="shared" si="1"/>
        <v>Dec 21</v>
      </c>
      <c r="AQ2" s="1188" t="str">
        <f t="shared" si="1"/>
        <v>Jan 22</v>
      </c>
      <c r="AR2" s="1188" t="str">
        <f t="shared" si="1"/>
        <v>Feb 22</v>
      </c>
      <c r="AS2" s="1188" t="str">
        <f t="shared" si="1"/>
        <v>Mar 22</v>
      </c>
      <c r="AT2" s="1188" t="str">
        <f t="shared" si="1"/>
        <v>Apr 22</v>
      </c>
      <c r="AU2" s="1188" t="str">
        <f t="shared" si="1"/>
        <v>May 22</v>
      </c>
      <c r="AV2" s="1188" t="str">
        <f t="shared" si="1"/>
        <v>Jun 22</v>
      </c>
      <c r="AW2" s="1188" t="str">
        <f t="shared" si="1"/>
        <v>Jul 22</v>
      </c>
      <c r="AX2" s="1188" t="str">
        <f t="shared" si="1"/>
        <v>Aug 22</v>
      </c>
      <c r="AY2" s="1188" t="str">
        <f t="shared" si="1"/>
        <v>Sep 22</v>
      </c>
      <c r="AZ2" s="1188" t="str">
        <f t="shared" si="1"/>
        <v>Oct 22</v>
      </c>
      <c r="BA2" s="1188" t="str">
        <f t="shared" si="1"/>
        <v>Nov 22</v>
      </c>
      <c r="BB2" s="1188" t="str">
        <f t="shared" si="1"/>
        <v>Dec 22</v>
      </c>
      <c r="BC2" s="1188" t="str">
        <f t="shared" si="1"/>
        <v>Jan 23</v>
      </c>
      <c r="BD2" s="1188" t="str">
        <f t="shared" si="1"/>
        <v>Feb 23</v>
      </c>
      <c r="BE2" s="1188" t="str">
        <f t="shared" si="1"/>
        <v>Mar 23</v>
      </c>
      <c r="BF2" s="1188" t="str">
        <f t="shared" si="1"/>
        <v>Apr 23</v>
      </c>
      <c r="BG2" s="1188" t="str">
        <f t="shared" si="1"/>
        <v>May 23</v>
      </c>
      <c r="BH2" s="1188" t="str">
        <f t="shared" si="1"/>
        <v>Jun 23</v>
      </c>
      <c r="BI2" s="1188" t="str">
        <f t="shared" si="1"/>
        <v>Jul 23</v>
      </c>
      <c r="BJ2" s="1188" t="str">
        <f t="shared" si="1"/>
        <v>Aug 23</v>
      </c>
      <c r="BK2" s="1188" t="str">
        <f t="shared" si="1"/>
        <v>Sep 23</v>
      </c>
      <c r="BL2" s="1188" t="str">
        <f t="shared" si="1"/>
        <v>Oct 23</v>
      </c>
      <c r="BM2" s="1188" t="str">
        <f t="shared" si="1"/>
        <v>Nov 23</v>
      </c>
      <c r="BN2" s="1188" t="str">
        <f t="shared" si="1"/>
        <v>Dec 23</v>
      </c>
      <c r="BO2" s="1188" t="str">
        <f t="shared" si="1"/>
        <v>Jan 24</v>
      </c>
      <c r="BP2" s="1188" t="str">
        <f t="shared" si="1"/>
        <v>Feb 24</v>
      </c>
      <c r="BQ2" s="1188" t="str">
        <f t="shared" si="1"/>
        <v>Mar 24</v>
      </c>
      <c r="BR2" s="1188" t="str">
        <f t="shared" si="1"/>
        <v>Apr 24</v>
      </c>
      <c r="BS2" s="1188" t="str">
        <f t="shared" si="1"/>
        <v>May 24</v>
      </c>
      <c r="BT2" s="1188" t="str">
        <f t="shared" si="1"/>
        <v>Jun 24</v>
      </c>
      <c r="BU2" s="1188" t="str">
        <f t="shared" si="1"/>
        <v>Jul 24</v>
      </c>
      <c r="BV2" s="1188" t="str">
        <f t="shared" si="1"/>
        <v>Aug 24</v>
      </c>
      <c r="BW2" s="1188" t="str">
        <f t="shared" si="1"/>
        <v>Sep 24</v>
      </c>
      <c r="BX2" s="1188" t="str">
        <f t="shared" si="1"/>
        <v>Oct 24</v>
      </c>
      <c r="BY2" s="1188" t="str">
        <f t="shared" si="1"/>
        <v>Nov 24</v>
      </c>
      <c r="BZ2" s="1188" t="str">
        <f t="shared" si="1"/>
        <v>Dec 24</v>
      </c>
      <c r="CA2" s="1188" t="str">
        <f t="shared" si="1"/>
        <v>Jan 25</v>
      </c>
      <c r="CB2" s="1188" t="str">
        <f t="shared" si="1"/>
        <v>Feb 25</v>
      </c>
      <c r="CC2" s="1188" t="str">
        <f t="shared" si="1"/>
        <v>Mar 25</v>
      </c>
      <c r="CD2" s="1188" t="str">
        <f t="shared" si="1"/>
        <v>Apr 25</v>
      </c>
      <c r="CE2" s="1188" t="str">
        <f t="shared" ref="CE2:CY2" si="2">TEXT(CE4,"mmm yy")</f>
        <v>May 25</v>
      </c>
      <c r="CF2" s="1188" t="str">
        <f t="shared" si="2"/>
        <v>Jun 25</v>
      </c>
      <c r="CG2" s="1188" t="str">
        <f t="shared" si="2"/>
        <v>Jul 25</v>
      </c>
      <c r="CH2" s="1188" t="str">
        <f t="shared" si="2"/>
        <v>Aug 25</v>
      </c>
      <c r="CI2" s="1188" t="str">
        <f t="shared" si="2"/>
        <v>Sep 25</v>
      </c>
      <c r="CJ2" s="1188" t="str">
        <f t="shared" si="2"/>
        <v>Oct 25</v>
      </c>
      <c r="CK2" s="1188" t="str">
        <f t="shared" si="2"/>
        <v>Nov 25</v>
      </c>
      <c r="CL2" s="1188" t="str">
        <f t="shared" si="2"/>
        <v>Dec 25</v>
      </c>
      <c r="CM2" s="1188" t="str">
        <f t="shared" si="2"/>
        <v>Jan 26</v>
      </c>
      <c r="CN2" s="1188" t="str">
        <f t="shared" si="2"/>
        <v>Feb 26</v>
      </c>
      <c r="CO2" s="1188" t="str">
        <f t="shared" si="2"/>
        <v>Mar 26</v>
      </c>
      <c r="CP2" s="1188" t="str">
        <f t="shared" si="2"/>
        <v>Apr 26</v>
      </c>
      <c r="CQ2" s="1188" t="str">
        <f t="shared" si="2"/>
        <v>May 26</v>
      </c>
      <c r="CR2" s="1188" t="str">
        <f t="shared" si="2"/>
        <v>Jun 26</v>
      </c>
      <c r="CS2" s="1188" t="str">
        <f t="shared" si="2"/>
        <v>Jul 26</v>
      </c>
      <c r="CT2" s="1188" t="str">
        <f t="shared" si="2"/>
        <v>Aug 26</v>
      </c>
      <c r="CU2" s="1188" t="str">
        <f t="shared" si="2"/>
        <v>Sep 26</v>
      </c>
      <c r="CV2" s="1188" t="str">
        <f t="shared" si="2"/>
        <v>Oct 26</v>
      </c>
      <c r="CW2" s="1188" t="str">
        <f t="shared" si="2"/>
        <v>Nov 26</v>
      </c>
      <c r="CX2" s="1188" t="str">
        <f t="shared" si="2"/>
        <v>Dec 26</v>
      </c>
      <c r="CY2" s="1188" t="str">
        <f t="shared" si="2"/>
        <v>Jan 27</v>
      </c>
      <c r="CZ2" s="1188" t="str">
        <f t="shared" ref="CZ2:DJ2" si="3">TEXT(CZ4,"mmm yy")</f>
        <v>Feb 27</v>
      </c>
      <c r="DA2" s="1188" t="str">
        <f t="shared" si="3"/>
        <v>Mar 27</v>
      </c>
      <c r="DB2" s="1188" t="str">
        <f t="shared" si="3"/>
        <v>Apr 27</v>
      </c>
      <c r="DC2" s="1188" t="str">
        <f t="shared" si="3"/>
        <v>May 27</v>
      </c>
      <c r="DD2" s="1188" t="str">
        <f t="shared" si="3"/>
        <v>Jun 27</v>
      </c>
      <c r="DE2" s="1188" t="str">
        <f t="shared" si="3"/>
        <v>Jul 27</v>
      </c>
      <c r="DF2" s="1188" t="str">
        <f t="shared" si="3"/>
        <v>Aug 27</v>
      </c>
      <c r="DG2" s="1188" t="str">
        <f t="shared" si="3"/>
        <v>Sep 27</v>
      </c>
      <c r="DH2" s="1188" t="str">
        <f t="shared" si="3"/>
        <v>Oct 27</v>
      </c>
      <c r="DI2" s="1188" t="str">
        <f t="shared" si="3"/>
        <v>Nov 27</v>
      </c>
      <c r="DJ2" s="1188" t="str">
        <f t="shared" si="3"/>
        <v>Dec 27</v>
      </c>
    </row>
    <row r="3" spans="1:114" ht="15.75">
      <c r="B3" s="1189" t="str">
        <f ca="1">MID(CELL("filename",A2),FIND("]",CELL("filename",A2))+1,256)</f>
        <v>INTERFACE</v>
      </c>
      <c r="C3" s="1190"/>
      <c r="D3" s="1189" t="s">
        <v>2773</v>
      </c>
      <c r="E3" s="1189"/>
      <c r="F3" s="1195">
        <v>0.1</v>
      </c>
      <c r="J3" s="1191" t="s">
        <v>214</v>
      </c>
      <c r="K3" s="1191" t="s">
        <v>214</v>
      </c>
      <c r="L3" s="1191" t="s">
        <v>509</v>
      </c>
      <c r="M3" s="1191" t="s">
        <v>2772</v>
      </c>
      <c r="N3" s="1191" t="s">
        <v>2772</v>
      </c>
      <c r="O3" s="1191" t="s">
        <v>2772</v>
      </c>
      <c r="P3" s="1191" t="s">
        <v>2772</v>
      </c>
      <c r="Q3" s="1191" t="s">
        <v>2772</v>
      </c>
      <c r="S3" s="1191" t="str" cm="1">
        <f t="array" ref="S3">INDEX($J$3:$Q$3,S12)</f>
        <v>Actual</v>
      </c>
      <c r="T3" s="1191" t="str" cm="1">
        <f t="array" ref="T3">INDEX($J$3:$Q$3,T12)</f>
        <v>Actual</v>
      </c>
      <c r="U3" s="1191" t="str" cm="1">
        <f t="array" ref="U3">INDEX($J$3:$Q$3,U12)</f>
        <v>Actual</v>
      </c>
      <c r="V3" s="1191" t="str" cm="1">
        <f t="array" ref="V3">INDEX($J$3:$Q$3,V12)</f>
        <v>Actual</v>
      </c>
      <c r="W3" s="1191" t="str" cm="1">
        <f t="array" ref="W3">INDEX($J$3:$Q$3,W12)</f>
        <v>Actual</v>
      </c>
      <c r="X3" s="1191" t="str" cm="1">
        <f t="array" ref="X3">INDEX($J$3:$Q$3,X12)</f>
        <v>Actual</v>
      </c>
      <c r="Y3" s="1191" t="str" cm="1">
        <f t="array" ref="Y3">INDEX($J$3:$Q$3,Y12)</f>
        <v>Actual</v>
      </c>
      <c r="Z3" s="1191" t="str" cm="1">
        <f t="array" ref="Z3">INDEX($J$3:$Q$3,Z12)</f>
        <v>Actual</v>
      </c>
      <c r="AA3" s="1191" t="str" cm="1">
        <f t="array" ref="AA3">INDEX($J$3:$Q$3,AA12)</f>
        <v>Actual</v>
      </c>
      <c r="AB3" s="1191" t="str" cm="1">
        <f t="array" ref="AB3">INDEX($J$3:$Q$3,AB12)</f>
        <v>Actual</v>
      </c>
      <c r="AC3" s="1191" t="str" cm="1">
        <f t="array" ref="AC3">INDEX($J$3:$Q$3,AC12)</f>
        <v>Actual</v>
      </c>
      <c r="AD3" s="1191" t="str" cm="1">
        <f t="array" ref="AD3">INDEX($J$3:$Q$3,AD12)</f>
        <v>Actual</v>
      </c>
      <c r="AE3" s="1191" t="str" cm="1">
        <f t="array" ref="AE3">INDEX($J$3:$Q$3,AE12)</f>
        <v>Actual</v>
      </c>
      <c r="AF3" s="1191" t="str" cm="1">
        <f t="array" ref="AF3">INDEX($J$3:$Q$3,AF12)</f>
        <v>Actual</v>
      </c>
      <c r="AG3" s="1191" t="str" cm="1">
        <f t="array" ref="AG3">INDEX($J$3:$Q$3,AG12)</f>
        <v>Actual</v>
      </c>
      <c r="AH3" s="1191" t="str" cm="1">
        <f t="array" ref="AH3">INDEX($J$3:$Q$3,AH12)</f>
        <v>Actual</v>
      </c>
      <c r="AI3" s="1191" t="str" cm="1">
        <f t="array" ref="AI3">INDEX($J$3:$Q$3,AI12)</f>
        <v>Actual</v>
      </c>
      <c r="AJ3" s="1191" t="str" cm="1">
        <f t="array" ref="AJ3">INDEX($J$3:$Q$3,AJ12)</f>
        <v>Actual</v>
      </c>
      <c r="AK3" s="1191" t="str" cm="1">
        <f t="array" ref="AK3">INDEX($J$3:$Q$3,AK12)</f>
        <v>Actual</v>
      </c>
      <c r="AL3" s="1191" t="str" cm="1">
        <f t="array" ref="AL3">INDEX($J$3:$Q$3,AL12)</f>
        <v>Actual</v>
      </c>
      <c r="AM3" s="1191" t="str" cm="1">
        <f t="array" ref="AM3">INDEX($J$3:$Q$3,AM12)</f>
        <v>Actual</v>
      </c>
      <c r="AN3" s="1191" t="str" cm="1">
        <f t="array" ref="AN3">INDEX($J$3:$Q$3,AN12)</f>
        <v>Actual</v>
      </c>
      <c r="AO3" s="1191" t="str" cm="1">
        <f t="array" ref="AO3">INDEX($J$3:$Q$3,AO12)</f>
        <v>Actual</v>
      </c>
      <c r="AP3" s="1191" t="str" cm="1">
        <f t="array" ref="AP3">INDEX($J$3:$Q$3,AP12)</f>
        <v>Actual</v>
      </c>
      <c r="AQ3" s="1191" t="str" cm="1">
        <f t="array" ref="AQ3">INDEX($J$3:$Q$3,AQ12)</f>
        <v>Budget</v>
      </c>
      <c r="AR3" s="1191" t="str" cm="1">
        <f t="array" ref="AR3">INDEX($J$3:$Q$3,AR12)</f>
        <v>Budget</v>
      </c>
      <c r="AS3" s="1191" t="str" cm="1">
        <f t="array" ref="AS3">INDEX($J$3:$Q$3,AS12)</f>
        <v>Budget</v>
      </c>
      <c r="AT3" s="1191" t="str" cm="1">
        <f t="array" ref="AT3">INDEX($J$3:$Q$3,AT12)</f>
        <v>Budget</v>
      </c>
      <c r="AU3" s="1191" t="str" cm="1">
        <f t="array" ref="AU3">INDEX($J$3:$Q$3,AU12)</f>
        <v>Budget</v>
      </c>
      <c r="AV3" s="1191" t="str" cm="1">
        <f t="array" ref="AV3">INDEX($J$3:$Q$3,AV12)</f>
        <v>Budget</v>
      </c>
      <c r="AW3" s="1191" t="str" cm="1">
        <f t="array" ref="AW3">INDEX($J$3:$Q$3,AW12)</f>
        <v>Budget</v>
      </c>
      <c r="AX3" s="1191" t="str" cm="1">
        <f t="array" ref="AX3">INDEX($J$3:$Q$3,AX12)</f>
        <v>Budget</v>
      </c>
      <c r="AY3" s="1191" t="str" cm="1">
        <f t="array" ref="AY3">INDEX($J$3:$Q$3,AY12)</f>
        <v>Budget</v>
      </c>
      <c r="AZ3" s="1191" t="str" cm="1">
        <f t="array" ref="AZ3">INDEX($J$3:$Q$3,AZ12)</f>
        <v>Budget</v>
      </c>
      <c r="BA3" s="1191" t="str" cm="1">
        <f t="array" ref="BA3">INDEX($J$3:$Q$3,BA12)</f>
        <v>Budget</v>
      </c>
      <c r="BB3" s="1191" t="str" cm="1">
        <f t="array" ref="BB3">INDEX($J$3:$Q$3,BB12)</f>
        <v>Budget</v>
      </c>
      <c r="BC3" s="1191" t="str" cm="1">
        <f t="array" ref="BC3">INDEX($J$3:$Q$3,BC12)</f>
        <v>Forecast</v>
      </c>
      <c r="BD3" s="1191" t="str" cm="1">
        <f t="array" ref="BD3">INDEX($J$3:$Q$3,BD12)</f>
        <v>Forecast</v>
      </c>
      <c r="BE3" s="1191" t="str" cm="1">
        <f t="array" ref="BE3">INDEX($J$3:$Q$3,BE12)</f>
        <v>Forecast</v>
      </c>
      <c r="BF3" s="1191" t="str" cm="1">
        <f t="array" ref="BF3">INDEX($J$3:$Q$3,BF12)</f>
        <v>Forecast</v>
      </c>
      <c r="BG3" s="1191" t="str" cm="1">
        <f t="array" ref="BG3">INDEX($J$3:$Q$3,BG12)</f>
        <v>Forecast</v>
      </c>
      <c r="BH3" s="1191" t="str" cm="1">
        <f t="array" ref="BH3">INDEX($J$3:$Q$3,BH12)</f>
        <v>Forecast</v>
      </c>
      <c r="BI3" s="1191" t="str" cm="1">
        <f t="array" ref="BI3">INDEX($J$3:$Q$3,BI12)</f>
        <v>Forecast</v>
      </c>
      <c r="BJ3" s="1191" t="str" cm="1">
        <f t="array" ref="BJ3">INDEX($J$3:$Q$3,BJ12)</f>
        <v>Forecast</v>
      </c>
      <c r="BK3" s="1191" t="str" cm="1">
        <f t="array" ref="BK3">INDEX($J$3:$Q$3,BK12)</f>
        <v>Forecast</v>
      </c>
      <c r="BL3" s="1191" t="str" cm="1">
        <f t="array" ref="BL3">INDEX($J$3:$Q$3,BL12)</f>
        <v>Forecast</v>
      </c>
      <c r="BM3" s="1191" t="str" cm="1">
        <f t="array" ref="BM3">INDEX($J$3:$Q$3,BM12)</f>
        <v>Forecast</v>
      </c>
      <c r="BN3" s="1191" t="str" cm="1">
        <f t="array" ref="BN3">INDEX($J$3:$Q$3,BN12)</f>
        <v>Forecast</v>
      </c>
      <c r="BO3" s="1191" t="str" cm="1">
        <f t="array" ref="BO3">INDEX($J$3:$Q$3,BO12)</f>
        <v>Forecast</v>
      </c>
      <c r="BP3" s="1191" t="str" cm="1">
        <f t="array" ref="BP3">INDEX($J$3:$Q$3,BP12)</f>
        <v>Forecast</v>
      </c>
      <c r="BQ3" s="1191" t="str" cm="1">
        <f t="array" ref="BQ3">INDEX($J$3:$Q$3,BQ12)</f>
        <v>Forecast</v>
      </c>
      <c r="BR3" s="1191" t="str" cm="1">
        <f t="array" ref="BR3">INDEX($J$3:$Q$3,BR12)</f>
        <v>Forecast</v>
      </c>
      <c r="BS3" s="1191" t="str" cm="1">
        <f t="array" ref="BS3">INDEX($J$3:$Q$3,BS12)</f>
        <v>Forecast</v>
      </c>
      <c r="BT3" s="1191" t="str" cm="1">
        <f t="array" ref="BT3">INDEX($J$3:$Q$3,BT12)</f>
        <v>Forecast</v>
      </c>
      <c r="BU3" s="1191" t="str" cm="1">
        <f t="array" ref="BU3">INDEX($J$3:$Q$3,BU12)</f>
        <v>Forecast</v>
      </c>
      <c r="BV3" s="1191" t="str" cm="1">
        <f t="array" ref="BV3">INDEX($J$3:$Q$3,BV12)</f>
        <v>Forecast</v>
      </c>
      <c r="BW3" s="1191" t="str" cm="1">
        <f t="array" ref="BW3">INDEX($J$3:$Q$3,BW12)</f>
        <v>Forecast</v>
      </c>
      <c r="BX3" s="1191" t="str" cm="1">
        <f t="array" ref="BX3">INDEX($J$3:$Q$3,BX12)</f>
        <v>Forecast</v>
      </c>
      <c r="BY3" s="1191" t="str" cm="1">
        <f t="array" ref="BY3">INDEX($J$3:$Q$3,BY12)</f>
        <v>Forecast</v>
      </c>
      <c r="BZ3" s="1191" t="str" cm="1">
        <f t="array" ref="BZ3">INDEX($J$3:$Q$3,BZ12)</f>
        <v>Forecast</v>
      </c>
      <c r="CA3" s="1191" t="str" cm="1">
        <f t="array" ref="CA3">INDEX($J$3:$Q$3,CA12)</f>
        <v>Forecast</v>
      </c>
      <c r="CB3" s="1191" t="str" cm="1">
        <f t="array" ref="CB3">INDEX($J$3:$Q$3,CB12)</f>
        <v>Forecast</v>
      </c>
      <c r="CC3" s="1191" t="str" cm="1">
        <f t="array" ref="CC3">INDEX($J$3:$Q$3,CC12)</f>
        <v>Forecast</v>
      </c>
      <c r="CD3" s="1191" t="str" cm="1">
        <f t="array" ref="CD3">INDEX($J$3:$Q$3,CD12)</f>
        <v>Forecast</v>
      </c>
      <c r="CE3" s="1191" t="str" cm="1">
        <f t="array" ref="CE3">INDEX($J$3:$Q$3,CE12)</f>
        <v>Forecast</v>
      </c>
      <c r="CF3" s="1191" t="str" cm="1">
        <f t="array" ref="CF3">INDEX($J$3:$Q$3,CF12)</f>
        <v>Forecast</v>
      </c>
      <c r="CG3" s="1191" t="str" cm="1">
        <f t="array" ref="CG3">INDEX($J$3:$Q$3,CG12)</f>
        <v>Forecast</v>
      </c>
      <c r="CH3" s="1191" t="str" cm="1">
        <f t="array" ref="CH3">INDEX($J$3:$Q$3,CH12)</f>
        <v>Forecast</v>
      </c>
      <c r="CI3" s="1191" t="str" cm="1">
        <f t="array" ref="CI3">INDEX($J$3:$Q$3,CI12)</f>
        <v>Forecast</v>
      </c>
      <c r="CJ3" s="1191" t="str" cm="1">
        <f t="array" ref="CJ3">INDEX($J$3:$Q$3,CJ12)</f>
        <v>Forecast</v>
      </c>
      <c r="CK3" s="1191" t="str" cm="1">
        <f t="array" ref="CK3">INDEX($J$3:$Q$3,CK12)</f>
        <v>Forecast</v>
      </c>
      <c r="CL3" s="1191" t="str" cm="1">
        <f t="array" ref="CL3">INDEX($J$3:$Q$3,CL12)</f>
        <v>Forecast</v>
      </c>
      <c r="CM3" s="1191" t="str" cm="1">
        <f t="array" ref="CM3">INDEX($J$3:$Q$3,CM12)</f>
        <v>Forecast</v>
      </c>
      <c r="CN3" s="1191" t="str" cm="1">
        <f t="array" ref="CN3">INDEX($J$3:$Q$3,CN12)</f>
        <v>Forecast</v>
      </c>
      <c r="CO3" s="1191" t="str" cm="1">
        <f t="array" ref="CO3">INDEX($J$3:$Q$3,CO12)</f>
        <v>Forecast</v>
      </c>
      <c r="CP3" s="1191" t="str" cm="1">
        <f t="array" ref="CP3">INDEX($J$3:$Q$3,CP12)</f>
        <v>Forecast</v>
      </c>
      <c r="CQ3" s="1191" t="str" cm="1">
        <f t="array" ref="CQ3">INDEX($J$3:$Q$3,CQ12)</f>
        <v>Forecast</v>
      </c>
      <c r="CR3" s="1191" t="str" cm="1">
        <f t="array" ref="CR3">INDEX($J$3:$Q$3,CR12)</f>
        <v>Forecast</v>
      </c>
      <c r="CS3" s="1191" t="str" cm="1">
        <f t="array" ref="CS3">INDEX($J$3:$Q$3,CS12)</f>
        <v>Forecast</v>
      </c>
      <c r="CT3" s="1191" t="str" cm="1">
        <f t="array" ref="CT3">INDEX($J$3:$Q$3,CT12)</f>
        <v>Forecast</v>
      </c>
      <c r="CU3" s="1191" t="str" cm="1">
        <f t="array" ref="CU3">INDEX($J$3:$Q$3,CU12)</f>
        <v>Forecast</v>
      </c>
      <c r="CV3" s="1191" t="str" cm="1">
        <f t="array" ref="CV3">INDEX($J$3:$Q$3,CV12)</f>
        <v>Forecast</v>
      </c>
      <c r="CW3" s="1191" t="str" cm="1">
        <f t="array" ref="CW3">INDEX($J$3:$Q$3,CW12)</f>
        <v>Forecast</v>
      </c>
      <c r="CX3" s="1191" t="str" cm="1">
        <f t="array" ref="CX3">INDEX($J$3:$Q$3,CX12)</f>
        <v>Forecast</v>
      </c>
      <c r="CY3" s="1191" t="str" cm="1">
        <f t="array" ref="CY3">INDEX($J$3:$Q$3,CY12)</f>
        <v>Forecast</v>
      </c>
      <c r="CZ3" s="1191" t="str" cm="1">
        <f t="array" ref="CZ3">INDEX($J$3:$Q$3,CZ12)</f>
        <v>Forecast</v>
      </c>
      <c r="DA3" s="1191" t="str" cm="1">
        <f t="array" ref="DA3">INDEX($J$3:$Q$3,DA12)</f>
        <v>Forecast</v>
      </c>
      <c r="DB3" s="1191" t="str" cm="1">
        <f t="array" ref="DB3">INDEX($J$3:$Q$3,DB12)</f>
        <v>Forecast</v>
      </c>
      <c r="DC3" s="1191" t="str" cm="1">
        <f t="array" ref="DC3">INDEX($J$3:$Q$3,DC12)</f>
        <v>Forecast</v>
      </c>
      <c r="DD3" s="1191" t="str" cm="1">
        <f t="array" ref="DD3">INDEX($J$3:$Q$3,DD12)</f>
        <v>Forecast</v>
      </c>
      <c r="DE3" s="1191" t="str" cm="1">
        <f t="array" ref="DE3">INDEX($J$3:$Q$3,DE12)</f>
        <v>Forecast</v>
      </c>
      <c r="DF3" s="1191" t="str" cm="1">
        <f t="array" ref="DF3">INDEX($J$3:$Q$3,DF12)</f>
        <v>Forecast</v>
      </c>
      <c r="DG3" s="1191" t="str" cm="1">
        <f t="array" ref="DG3">INDEX($J$3:$Q$3,DG12)</f>
        <v>Forecast</v>
      </c>
      <c r="DH3" s="1191" t="str" cm="1">
        <f t="array" ref="DH3">INDEX($J$3:$Q$3,DH12)</f>
        <v>Forecast</v>
      </c>
      <c r="DI3" s="1191" t="str" cm="1">
        <f t="array" ref="DI3">INDEX($J$3:$Q$3,DI12)</f>
        <v>Forecast</v>
      </c>
      <c r="DJ3" s="1191" t="str" cm="1">
        <f t="array" ref="DJ3">INDEX($J$3:$Q$3,DJ12)</f>
        <v>Forecast</v>
      </c>
    </row>
    <row r="4" spans="1:114">
      <c r="J4" s="1192">
        <v>43831</v>
      </c>
      <c r="K4" s="1193">
        <f>J5+1</f>
        <v>44197</v>
      </c>
      <c r="L4" s="1193">
        <f t="shared" ref="L4:Q4" si="4">K5+1</f>
        <v>44562</v>
      </c>
      <c r="M4" s="1193">
        <f t="shared" si="4"/>
        <v>44927</v>
      </c>
      <c r="N4" s="1193">
        <f t="shared" si="4"/>
        <v>45292</v>
      </c>
      <c r="O4" s="1193">
        <f t="shared" si="4"/>
        <v>45658</v>
      </c>
      <c r="P4" s="1193">
        <f t="shared" si="4"/>
        <v>46023</v>
      </c>
      <c r="Q4" s="1193">
        <f t="shared" si="4"/>
        <v>46388</v>
      </c>
      <c r="S4" s="1193">
        <f>J4</f>
        <v>43831</v>
      </c>
      <c r="T4" s="1193">
        <f>S5+1</f>
        <v>43862</v>
      </c>
      <c r="U4" s="1193">
        <f t="shared" ref="U4:CF4" si="5">T5+1</f>
        <v>43891</v>
      </c>
      <c r="V4" s="1193">
        <f t="shared" si="5"/>
        <v>43922</v>
      </c>
      <c r="W4" s="1193">
        <f t="shared" si="5"/>
        <v>43952</v>
      </c>
      <c r="X4" s="1193">
        <f t="shared" si="5"/>
        <v>43983</v>
      </c>
      <c r="Y4" s="1193">
        <f t="shared" si="5"/>
        <v>44013</v>
      </c>
      <c r="Z4" s="1193">
        <f t="shared" si="5"/>
        <v>44044</v>
      </c>
      <c r="AA4" s="1193">
        <f t="shared" si="5"/>
        <v>44075</v>
      </c>
      <c r="AB4" s="1193">
        <f t="shared" si="5"/>
        <v>44105</v>
      </c>
      <c r="AC4" s="1193">
        <f t="shared" si="5"/>
        <v>44136</v>
      </c>
      <c r="AD4" s="1193">
        <f t="shared" si="5"/>
        <v>44166</v>
      </c>
      <c r="AE4" s="1193">
        <f t="shared" si="5"/>
        <v>44197</v>
      </c>
      <c r="AF4" s="1193">
        <f t="shared" si="5"/>
        <v>44228</v>
      </c>
      <c r="AG4" s="1193">
        <f t="shared" si="5"/>
        <v>44256</v>
      </c>
      <c r="AH4" s="1193">
        <f t="shared" si="5"/>
        <v>44287</v>
      </c>
      <c r="AI4" s="1193">
        <f t="shared" si="5"/>
        <v>44317</v>
      </c>
      <c r="AJ4" s="1193">
        <f t="shared" si="5"/>
        <v>44348</v>
      </c>
      <c r="AK4" s="1193">
        <f t="shared" si="5"/>
        <v>44378</v>
      </c>
      <c r="AL4" s="1193">
        <f t="shared" si="5"/>
        <v>44409</v>
      </c>
      <c r="AM4" s="1193">
        <f t="shared" si="5"/>
        <v>44440</v>
      </c>
      <c r="AN4" s="1193">
        <f t="shared" si="5"/>
        <v>44470</v>
      </c>
      <c r="AO4" s="1193">
        <f t="shared" si="5"/>
        <v>44501</v>
      </c>
      <c r="AP4" s="1193">
        <f t="shared" si="5"/>
        <v>44531</v>
      </c>
      <c r="AQ4" s="1193">
        <f t="shared" si="5"/>
        <v>44562</v>
      </c>
      <c r="AR4" s="1193">
        <f t="shared" si="5"/>
        <v>44593</v>
      </c>
      <c r="AS4" s="1193">
        <f t="shared" si="5"/>
        <v>44621</v>
      </c>
      <c r="AT4" s="1193">
        <f t="shared" si="5"/>
        <v>44652</v>
      </c>
      <c r="AU4" s="1193">
        <f t="shared" si="5"/>
        <v>44682</v>
      </c>
      <c r="AV4" s="1193">
        <f t="shared" si="5"/>
        <v>44713</v>
      </c>
      <c r="AW4" s="1193">
        <f t="shared" si="5"/>
        <v>44743</v>
      </c>
      <c r="AX4" s="1193">
        <f t="shared" si="5"/>
        <v>44774</v>
      </c>
      <c r="AY4" s="1193">
        <f t="shared" si="5"/>
        <v>44805</v>
      </c>
      <c r="AZ4" s="1193">
        <f t="shared" si="5"/>
        <v>44835</v>
      </c>
      <c r="BA4" s="1193">
        <f t="shared" si="5"/>
        <v>44866</v>
      </c>
      <c r="BB4" s="1193">
        <f t="shared" si="5"/>
        <v>44896</v>
      </c>
      <c r="BC4" s="1193">
        <f t="shared" si="5"/>
        <v>44927</v>
      </c>
      <c r="BD4" s="1193">
        <f t="shared" si="5"/>
        <v>44958</v>
      </c>
      <c r="BE4" s="1193">
        <f t="shared" si="5"/>
        <v>44986</v>
      </c>
      <c r="BF4" s="1193">
        <f t="shared" si="5"/>
        <v>45017</v>
      </c>
      <c r="BG4" s="1193">
        <f t="shared" si="5"/>
        <v>45047</v>
      </c>
      <c r="BH4" s="1193">
        <f t="shared" si="5"/>
        <v>45078</v>
      </c>
      <c r="BI4" s="1193">
        <f t="shared" si="5"/>
        <v>45108</v>
      </c>
      <c r="BJ4" s="1193">
        <f t="shared" si="5"/>
        <v>45139</v>
      </c>
      <c r="BK4" s="1193">
        <f t="shared" si="5"/>
        <v>45170</v>
      </c>
      <c r="BL4" s="1193">
        <f t="shared" si="5"/>
        <v>45200</v>
      </c>
      <c r="BM4" s="1193">
        <f t="shared" si="5"/>
        <v>45231</v>
      </c>
      <c r="BN4" s="1193">
        <f t="shared" si="5"/>
        <v>45261</v>
      </c>
      <c r="BO4" s="1193">
        <f t="shared" si="5"/>
        <v>45292</v>
      </c>
      <c r="BP4" s="1193">
        <f t="shared" si="5"/>
        <v>45323</v>
      </c>
      <c r="BQ4" s="1193">
        <f t="shared" si="5"/>
        <v>45352</v>
      </c>
      <c r="BR4" s="1193">
        <f t="shared" si="5"/>
        <v>45383</v>
      </c>
      <c r="BS4" s="1193">
        <f t="shared" si="5"/>
        <v>45413</v>
      </c>
      <c r="BT4" s="1193">
        <f t="shared" si="5"/>
        <v>45444</v>
      </c>
      <c r="BU4" s="1193">
        <f t="shared" si="5"/>
        <v>45474</v>
      </c>
      <c r="BV4" s="1193">
        <f t="shared" si="5"/>
        <v>45505</v>
      </c>
      <c r="BW4" s="1193">
        <f t="shared" si="5"/>
        <v>45536</v>
      </c>
      <c r="BX4" s="1193">
        <f t="shared" si="5"/>
        <v>45566</v>
      </c>
      <c r="BY4" s="1193">
        <f t="shared" si="5"/>
        <v>45597</v>
      </c>
      <c r="BZ4" s="1193">
        <f t="shared" si="5"/>
        <v>45627</v>
      </c>
      <c r="CA4" s="1193">
        <f t="shared" si="5"/>
        <v>45658</v>
      </c>
      <c r="CB4" s="1193">
        <f t="shared" si="5"/>
        <v>45689</v>
      </c>
      <c r="CC4" s="1193">
        <f t="shared" si="5"/>
        <v>45717</v>
      </c>
      <c r="CD4" s="1193">
        <f t="shared" si="5"/>
        <v>45748</v>
      </c>
      <c r="CE4" s="1193">
        <f t="shared" si="5"/>
        <v>45778</v>
      </c>
      <c r="CF4" s="1193">
        <f t="shared" si="5"/>
        <v>45809</v>
      </c>
      <c r="CG4" s="1193">
        <f t="shared" ref="CG4:CY4" si="6">CF5+1</f>
        <v>45839</v>
      </c>
      <c r="CH4" s="1193">
        <f t="shared" si="6"/>
        <v>45870</v>
      </c>
      <c r="CI4" s="1193">
        <f t="shared" si="6"/>
        <v>45901</v>
      </c>
      <c r="CJ4" s="1193">
        <f t="shared" si="6"/>
        <v>45931</v>
      </c>
      <c r="CK4" s="1193">
        <f t="shared" si="6"/>
        <v>45962</v>
      </c>
      <c r="CL4" s="1193">
        <f t="shared" si="6"/>
        <v>45992</v>
      </c>
      <c r="CM4" s="1193">
        <f t="shared" si="6"/>
        <v>46023</v>
      </c>
      <c r="CN4" s="1193">
        <f t="shared" si="6"/>
        <v>46054</v>
      </c>
      <c r="CO4" s="1193">
        <f t="shared" si="6"/>
        <v>46082</v>
      </c>
      <c r="CP4" s="1193">
        <f t="shared" si="6"/>
        <v>46113</v>
      </c>
      <c r="CQ4" s="1193">
        <f t="shared" si="6"/>
        <v>46143</v>
      </c>
      <c r="CR4" s="1193">
        <f t="shared" si="6"/>
        <v>46174</v>
      </c>
      <c r="CS4" s="1193">
        <f t="shared" si="6"/>
        <v>46204</v>
      </c>
      <c r="CT4" s="1193">
        <f t="shared" si="6"/>
        <v>46235</v>
      </c>
      <c r="CU4" s="1193">
        <f t="shared" si="6"/>
        <v>46266</v>
      </c>
      <c r="CV4" s="1193">
        <f t="shared" si="6"/>
        <v>46296</v>
      </c>
      <c r="CW4" s="1193">
        <f t="shared" si="6"/>
        <v>46327</v>
      </c>
      <c r="CX4" s="1193">
        <f t="shared" si="6"/>
        <v>46357</v>
      </c>
      <c r="CY4" s="1193">
        <f t="shared" si="6"/>
        <v>46388</v>
      </c>
      <c r="CZ4" s="1193">
        <f t="shared" ref="CZ4" si="7">CY5+1</f>
        <v>46419</v>
      </c>
      <c r="DA4" s="1193">
        <f t="shared" ref="DA4" si="8">CZ5+1</f>
        <v>46447</v>
      </c>
      <c r="DB4" s="1193">
        <f t="shared" ref="DB4" si="9">DA5+1</f>
        <v>46478</v>
      </c>
      <c r="DC4" s="1193">
        <f t="shared" ref="DC4" si="10">DB5+1</f>
        <v>46508</v>
      </c>
      <c r="DD4" s="1193">
        <f t="shared" ref="DD4" si="11">DC5+1</f>
        <v>46539</v>
      </c>
      <c r="DE4" s="1193">
        <f t="shared" ref="DE4" si="12">DD5+1</f>
        <v>46569</v>
      </c>
      <c r="DF4" s="1193">
        <f t="shared" ref="DF4" si="13">DE5+1</f>
        <v>46600</v>
      </c>
      <c r="DG4" s="1193">
        <f t="shared" ref="DG4" si="14">DF5+1</f>
        <v>46631</v>
      </c>
      <c r="DH4" s="1193">
        <f t="shared" ref="DH4" si="15">DG5+1</f>
        <v>46661</v>
      </c>
      <c r="DI4" s="1193">
        <f t="shared" ref="DI4" si="16">DH5+1</f>
        <v>46692</v>
      </c>
      <c r="DJ4" s="1193">
        <f t="shared" ref="DJ4" si="17">DI5+1</f>
        <v>46722</v>
      </c>
    </row>
    <row r="5" spans="1:114">
      <c r="D5" s="1194"/>
      <c r="J5" s="1193">
        <f>EDATE(J4,12)-1</f>
        <v>44196</v>
      </c>
      <c r="K5" s="1193">
        <f>EDATE(K4,12)-1</f>
        <v>44561</v>
      </c>
      <c r="L5" s="1193">
        <f t="shared" ref="L5:Q5" si="18">EDATE(L4,12)-1</f>
        <v>44926</v>
      </c>
      <c r="M5" s="1193">
        <f t="shared" si="18"/>
        <v>45291</v>
      </c>
      <c r="N5" s="1193">
        <f t="shared" si="18"/>
        <v>45657</v>
      </c>
      <c r="O5" s="1193">
        <f t="shared" si="18"/>
        <v>46022</v>
      </c>
      <c r="P5" s="1193">
        <f t="shared" si="18"/>
        <v>46387</v>
      </c>
      <c r="Q5" s="1193">
        <f t="shared" si="18"/>
        <v>46752</v>
      </c>
      <c r="S5" s="1193">
        <f>EDATE(S4,1)-1</f>
        <v>43861</v>
      </c>
      <c r="T5" s="1193">
        <f>EDATE(T4,1)-1</f>
        <v>43890</v>
      </c>
      <c r="U5" s="1193">
        <f t="shared" ref="U5:CF5" si="19">EDATE(U4,1)-1</f>
        <v>43921</v>
      </c>
      <c r="V5" s="1193">
        <f t="shared" si="19"/>
        <v>43951</v>
      </c>
      <c r="W5" s="1193">
        <f t="shared" si="19"/>
        <v>43982</v>
      </c>
      <c r="X5" s="1193">
        <f t="shared" si="19"/>
        <v>44012</v>
      </c>
      <c r="Y5" s="1193">
        <f t="shared" si="19"/>
        <v>44043</v>
      </c>
      <c r="Z5" s="1193">
        <f t="shared" si="19"/>
        <v>44074</v>
      </c>
      <c r="AA5" s="1193">
        <f t="shared" si="19"/>
        <v>44104</v>
      </c>
      <c r="AB5" s="1193">
        <f t="shared" si="19"/>
        <v>44135</v>
      </c>
      <c r="AC5" s="1193">
        <f t="shared" si="19"/>
        <v>44165</v>
      </c>
      <c r="AD5" s="1193">
        <f t="shared" si="19"/>
        <v>44196</v>
      </c>
      <c r="AE5" s="1193">
        <f t="shared" si="19"/>
        <v>44227</v>
      </c>
      <c r="AF5" s="1193">
        <f t="shared" si="19"/>
        <v>44255</v>
      </c>
      <c r="AG5" s="1193">
        <f t="shared" si="19"/>
        <v>44286</v>
      </c>
      <c r="AH5" s="1193">
        <f t="shared" si="19"/>
        <v>44316</v>
      </c>
      <c r="AI5" s="1193">
        <f t="shared" si="19"/>
        <v>44347</v>
      </c>
      <c r="AJ5" s="1193">
        <f t="shared" si="19"/>
        <v>44377</v>
      </c>
      <c r="AK5" s="1193">
        <f t="shared" si="19"/>
        <v>44408</v>
      </c>
      <c r="AL5" s="1193">
        <f t="shared" si="19"/>
        <v>44439</v>
      </c>
      <c r="AM5" s="1193">
        <f t="shared" si="19"/>
        <v>44469</v>
      </c>
      <c r="AN5" s="1193">
        <f t="shared" si="19"/>
        <v>44500</v>
      </c>
      <c r="AO5" s="1193">
        <f t="shared" si="19"/>
        <v>44530</v>
      </c>
      <c r="AP5" s="1193">
        <f t="shared" si="19"/>
        <v>44561</v>
      </c>
      <c r="AQ5" s="1193">
        <f t="shared" si="19"/>
        <v>44592</v>
      </c>
      <c r="AR5" s="1193">
        <f t="shared" si="19"/>
        <v>44620</v>
      </c>
      <c r="AS5" s="1193">
        <f t="shared" si="19"/>
        <v>44651</v>
      </c>
      <c r="AT5" s="1193">
        <f t="shared" si="19"/>
        <v>44681</v>
      </c>
      <c r="AU5" s="1193">
        <f t="shared" si="19"/>
        <v>44712</v>
      </c>
      <c r="AV5" s="1193">
        <f t="shared" si="19"/>
        <v>44742</v>
      </c>
      <c r="AW5" s="1193">
        <f t="shared" si="19"/>
        <v>44773</v>
      </c>
      <c r="AX5" s="1193">
        <f t="shared" si="19"/>
        <v>44804</v>
      </c>
      <c r="AY5" s="1193">
        <f t="shared" si="19"/>
        <v>44834</v>
      </c>
      <c r="AZ5" s="1193">
        <f t="shared" si="19"/>
        <v>44865</v>
      </c>
      <c r="BA5" s="1193">
        <f t="shared" si="19"/>
        <v>44895</v>
      </c>
      <c r="BB5" s="1193">
        <f t="shared" si="19"/>
        <v>44926</v>
      </c>
      <c r="BC5" s="1193">
        <f t="shared" si="19"/>
        <v>44957</v>
      </c>
      <c r="BD5" s="1193">
        <f t="shared" si="19"/>
        <v>44985</v>
      </c>
      <c r="BE5" s="1193">
        <f t="shared" si="19"/>
        <v>45016</v>
      </c>
      <c r="BF5" s="1193">
        <f t="shared" si="19"/>
        <v>45046</v>
      </c>
      <c r="BG5" s="1193">
        <f t="shared" si="19"/>
        <v>45077</v>
      </c>
      <c r="BH5" s="1193">
        <f t="shared" si="19"/>
        <v>45107</v>
      </c>
      <c r="BI5" s="1193">
        <f t="shared" si="19"/>
        <v>45138</v>
      </c>
      <c r="BJ5" s="1193">
        <f t="shared" si="19"/>
        <v>45169</v>
      </c>
      <c r="BK5" s="1193">
        <f t="shared" si="19"/>
        <v>45199</v>
      </c>
      <c r="BL5" s="1193">
        <f t="shared" si="19"/>
        <v>45230</v>
      </c>
      <c r="BM5" s="1193">
        <f t="shared" si="19"/>
        <v>45260</v>
      </c>
      <c r="BN5" s="1193">
        <f t="shared" si="19"/>
        <v>45291</v>
      </c>
      <c r="BO5" s="1193">
        <f t="shared" si="19"/>
        <v>45322</v>
      </c>
      <c r="BP5" s="1193">
        <f t="shared" si="19"/>
        <v>45351</v>
      </c>
      <c r="BQ5" s="1193">
        <f t="shared" si="19"/>
        <v>45382</v>
      </c>
      <c r="BR5" s="1193">
        <f t="shared" si="19"/>
        <v>45412</v>
      </c>
      <c r="BS5" s="1193">
        <f t="shared" si="19"/>
        <v>45443</v>
      </c>
      <c r="BT5" s="1193">
        <f t="shared" si="19"/>
        <v>45473</v>
      </c>
      <c r="BU5" s="1193">
        <f t="shared" si="19"/>
        <v>45504</v>
      </c>
      <c r="BV5" s="1193">
        <f t="shared" si="19"/>
        <v>45535</v>
      </c>
      <c r="BW5" s="1193">
        <f t="shared" si="19"/>
        <v>45565</v>
      </c>
      <c r="BX5" s="1193">
        <f t="shared" si="19"/>
        <v>45596</v>
      </c>
      <c r="BY5" s="1193">
        <f t="shared" si="19"/>
        <v>45626</v>
      </c>
      <c r="BZ5" s="1193">
        <f t="shared" si="19"/>
        <v>45657</v>
      </c>
      <c r="CA5" s="1193">
        <f t="shared" si="19"/>
        <v>45688</v>
      </c>
      <c r="CB5" s="1193">
        <f t="shared" si="19"/>
        <v>45716</v>
      </c>
      <c r="CC5" s="1193">
        <f t="shared" si="19"/>
        <v>45747</v>
      </c>
      <c r="CD5" s="1193">
        <f t="shared" si="19"/>
        <v>45777</v>
      </c>
      <c r="CE5" s="1193">
        <f t="shared" si="19"/>
        <v>45808</v>
      </c>
      <c r="CF5" s="1193">
        <f t="shared" si="19"/>
        <v>45838</v>
      </c>
      <c r="CG5" s="1193">
        <f t="shared" ref="CG5:CY5" si="20">EDATE(CG4,1)-1</f>
        <v>45869</v>
      </c>
      <c r="CH5" s="1193">
        <f t="shared" si="20"/>
        <v>45900</v>
      </c>
      <c r="CI5" s="1193">
        <f t="shared" si="20"/>
        <v>45930</v>
      </c>
      <c r="CJ5" s="1193">
        <f t="shared" si="20"/>
        <v>45961</v>
      </c>
      <c r="CK5" s="1193">
        <f t="shared" si="20"/>
        <v>45991</v>
      </c>
      <c r="CL5" s="1193">
        <f t="shared" si="20"/>
        <v>46022</v>
      </c>
      <c r="CM5" s="1193">
        <f t="shared" si="20"/>
        <v>46053</v>
      </c>
      <c r="CN5" s="1193">
        <f t="shared" si="20"/>
        <v>46081</v>
      </c>
      <c r="CO5" s="1193">
        <f t="shared" si="20"/>
        <v>46112</v>
      </c>
      <c r="CP5" s="1193">
        <f t="shared" si="20"/>
        <v>46142</v>
      </c>
      <c r="CQ5" s="1193">
        <f t="shared" si="20"/>
        <v>46173</v>
      </c>
      <c r="CR5" s="1193">
        <f t="shared" si="20"/>
        <v>46203</v>
      </c>
      <c r="CS5" s="1193">
        <f t="shared" si="20"/>
        <v>46234</v>
      </c>
      <c r="CT5" s="1193">
        <f t="shared" si="20"/>
        <v>46265</v>
      </c>
      <c r="CU5" s="1193">
        <f t="shared" si="20"/>
        <v>46295</v>
      </c>
      <c r="CV5" s="1193">
        <f t="shared" si="20"/>
        <v>46326</v>
      </c>
      <c r="CW5" s="1193">
        <f t="shared" si="20"/>
        <v>46356</v>
      </c>
      <c r="CX5" s="1193">
        <f t="shared" si="20"/>
        <v>46387</v>
      </c>
      <c r="CY5" s="1193">
        <f t="shared" si="20"/>
        <v>46418</v>
      </c>
      <c r="CZ5" s="1193">
        <f t="shared" ref="CZ5:DJ5" si="21">EDATE(CZ4,1)-1</f>
        <v>46446</v>
      </c>
      <c r="DA5" s="1193">
        <f t="shared" si="21"/>
        <v>46477</v>
      </c>
      <c r="DB5" s="1193">
        <f t="shared" si="21"/>
        <v>46507</v>
      </c>
      <c r="DC5" s="1193">
        <f t="shared" si="21"/>
        <v>46538</v>
      </c>
      <c r="DD5" s="1193">
        <f t="shared" si="21"/>
        <v>46568</v>
      </c>
      <c r="DE5" s="1193">
        <f t="shared" si="21"/>
        <v>46599</v>
      </c>
      <c r="DF5" s="1193">
        <f t="shared" si="21"/>
        <v>46630</v>
      </c>
      <c r="DG5" s="1193">
        <f t="shared" si="21"/>
        <v>46660</v>
      </c>
      <c r="DH5" s="1193">
        <f t="shared" si="21"/>
        <v>46691</v>
      </c>
      <c r="DI5" s="1193">
        <f t="shared" si="21"/>
        <v>46721</v>
      </c>
      <c r="DJ5" s="1193">
        <f t="shared" si="21"/>
        <v>46752</v>
      </c>
    </row>
    <row r="8" spans="1:114" ht="15">
      <c r="A8" t="s">
        <v>2831</v>
      </c>
      <c r="B8" s="1189" t="s">
        <v>2774</v>
      </c>
      <c r="C8" s="1189"/>
      <c r="D8" s="1189"/>
      <c r="E8" s="1189"/>
      <c r="F8" s="1189"/>
      <c r="G8" s="1189"/>
      <c r="H8" s="1189"/>
      <c r="I8" s="1189"/>
      <c r="J8" s="1196"/>
      <c r="K8" s="1196"/>
      <c r="L8" s="1196"/>
      <c r="M8" s="1196"/>
      <c r="N8" s="1196"/>
      <c r="O8" s="1196"/>
      <c r="P8" s="1196"/>
      <c r="Q8" s="1196"/>
      <c r="R8" s="1189"/>
      <c r="S8" s="1189"/>
      <c r="T8" s="1189"/>
      <c r="U8" s="1189"/>
      <c r="V8" s="1189"/>
      <c r="W8" s="1189"/>
      <c r="X8" s="1189"/>
      <c r="Y8" s="1189"/>
      <c r="Z8" s="1189"/>
      <c r="AA8" s="1189"/>
      <c r="AB8" s="1189"/>
      <c r="AC8" s="1189"/>
      <c r="AD8" s="1189"/>
      <c r="AE8" s="1189"/>
      <c r="AF8" s="1189"/>
      <c r="AG8" s="1189"/>
      <c r="AH8" s="1189"/>
      <c r="AI8" s="1189"/>
      <c r="AJ8" s="1189"/>
      <c r="AK8" s="1189"/>
      <c r="AL8" s="1189"/>
      <c r="AM8" s="1189"/>
      <c r="AN8" s="1189"/>
      <c r="AO8" s="1189"/>
      <c r="AP8" s="1189"/>
      <c r="AQ8" s="1189"/>
      <c r="AR8" s="1189"/>
      <c r="AS8" s="1189"/>
      <c r="AT8" s="1189"/>
      <c r="AU8" s="1189"/>
      <c r="AV8" s="1189"/>
      <c r="AW8" s="1189"/>
      <c r="AX8" s="1189"/>
      <c r="AY8" s="1189"/>
      <c r="AZ8" s="1189"/>
      <c r="BA8" s="1189"/>
      <c r="BB8" s="1189"/>
      <c r="BC8" s="1189"/>
      <c r="BD8" s="1189"/>
      <c r="BE8" s="1189"/>
      <c r="BF8" s="1189"/>
      <c r="BG8" s="1189"/>
      <c r="BH8" s="1189"/>
      <c r="BI8" s="1189"/>
      <c r="BJ8" s="1189"/>
      <c r="BK8" s="1189"/>
      <c r="BL8" s="1189"/>
      <c r="BM8" s="1189"/>
      <c r="BN8" s="1189"/>
      <c r="BO8" s="1189"/>
      <c r="BP8" s="1189"/>
      <c r="BQ8" s="1189"/>
      <c r="BR8" s="1189"/>
      <c r="BS8" s="1189"/>
      <c r="BT8" s="1189"/>
      <c r="BU8" s="1189"/>
      <c r="BV8" s="1189"/>
      <c r="BW8" s="1189"/>
      <c r="BX8" s="1189"/>
      <c r="BY8" s="1189"/>
      <c r="BZ8" s="1189"/>
      <c r="CA8" s="1189"/>
      <c r="CB8" s="1189"/>
      <c r="CC8" s="1189"/>
      <c r="CD8" s="1189"/>
      <c r="CE8" s="1189"/>
      <c r="CF8" s="1189"/>
      <c r="CG8" s="1189"/>
      <c r="CH8" s="1189"/>
      <c r="CI8" s="1189"/>
      <c r="CJ8" s="1189"/>
      <c r="CK8" s="1189"/>
      <c r="CL8" s="1189"/>
      <c r="CM8" s="1189"/>
      <c r="CN8" s="1189"/>
      <c r="CO8" s="1189"/>
      <c r="CP8" s="1189"/>
      <c r="CQ8" s="1189"/>
      <c r="CR8" s="1189"/>
      <c r="CS8" s="1189"/>
      <c r="CT8" s="1189"/>
      <c r="CU8" s="1189"/>
      <c r="CV8" s="1189"/>
      <c r="CW8" s="1189"/>
      <c r="CX8" s="1189"/>
      <c r="CY8" s="1189"/>
      <c r="CZ8" s="1189"/>
      <c r="DA8" s="1189"/>
      <c r="DB8" s="1189"/>
      <c r="DC8" s="1189"/>
      <c r="DD8" s="1189"/>
      <c r="DE8" s="1189"/>
      <c r="DF8" s="1189"/>
      <c r="DG8" s="1189"/>
      <c r="DH8" s="1189"/>
      <c r="DI8" s="1189"/>
      <c r="DJ8" s="1189"/>
    </row>
    <row r="9" spans="1:114" outlineLevel="1"/>
    <row r="10" spans="1:114" outlineLevel="1">
      <c r="B10" s="1197" t="s">
        <v>2775</v>
      </c>
    </row>
    <row r="11" spans="1:114" outlineLevel="1">
      <c r="B11" s="1198" t="s">
        <v>2776</v>
      </c>
      <c r="H11" s="1199" t="s">
        <v>2777</v>
      </c>
      <c r="J11" s="1200" t="s">
        <v>2778</v>
      </c>
      <c r="K11" s="1200" t="s">
        <v>2778</v>
      </c>
      <c r="L11" s="1200" t="s">
        <v>2778</v>
      </c>
      <c r="M11" s="1200" t="s">
        <v>2778</v>
      </c>
      <c r="N11" s="1200" t="s">
        <v>2778</v>
      </c>
      <c r="O11" s="1200" t="s">
        <v>2778</v>
      </c>
      <c r="P11" s="1200" t="s">
        <v>2778</v>
      </c>
      <c r="Q11" s="1200" t="s">
        <v>2778</v>
      </c>
      <c r="S11" s="1200" t="s">
        <v>2779</v>
      </c>
      <c r="T11" s="1200" t="s">
        <v>2779</v>
      </c>
      <c r="U11" s="1200" t="s">
        <v>2779</v>
      </c>
      <c r="V11" s="1200" t="s">
        <v>2779</v>
      </c>
      <c r="W11" s="1200" t="s">
        <v>2779</v>
      </c>
      <c r="X11" s="1200" t="s">
        <v>2779</v>
      </c>
      <c r="Y11" s="1200" t="s">
        <v>2779</v>
      </c>
      <c r="Z11" s="1200" t="s">
        <v>2779</v>
      </c>
      <c r="AA11" s="1200" t="s">
        <v>2779</v>
      </c>
      <c r="AB11" s="1200" t="s">
        <v>2779</v>
      </c>
      <c r="AC11" s="1200" t="s">
        <v>2779</v>
      </c>
      <c r="AD11" s="1200" t="s">
        <v>2779</v>
      </c>
      <c r="AE11" s="1200" t="s">
        <v>2779</v>
      </c>
      <c r="AF11" s="1200" t="s">
        <v>2779</v>
      </c>
      <c r="AG11" s="1200" t="s">
        <v>2779</v>
      </c>
      <c r="AH11" s="1200" t="s">
        <v>2779</v>
      </c>
      <c r="AI11" s="1200" t="s">
        <v>2779</v>
      </c>
      <c r="AJ11" s="1200" t="s">
        <v>2779</v>
      </c>
      <c r="AK11" s="1200" t="s">
        <v>2779</v>
      </c>
      <c r="AL11" s="1200" t="s">
        <v>2779</v>
      </c>
      <c r="AM11" s="1200" t="s">
        <v>2779</v>
      </c>
      <c r="AN11" s="1200" t="s">
        <v>2779</v>
      </c>
      <c r="AO11" s="1200" t="s">
        <v>2779</v>
      </c>
      <c r="AP11" s="1200" t="s">
        <v>2779</v>
      </c>
      <c r="AQ11" s="1200" t="s">
        <v>2779</v>
      </c>
      <c r="AR11" s="1200" t="s">
        <v>2779</v>
      </c>
      <c r="AS11" s="1200" t="s">
        <v>2779</v>
      </c>
      <c r="AT11" s="1200" t="s">
        <v>2779</v>
      </c>
      <c r="AU11" s="1200" t="s">
        <v>2779</v>
      </c>
      <c r="AV11" s="1200" t="s">
        <v>2779</v>
      </c>
      <c r="AW11" s="1200" t="s">
        <v>2779</v>
      </c>
      <c r="AX11" s="1200" t="s">
        <v>2779</v>
      </c>
      <c r="AY11" s="1200" t="s">
        <v>2779</v>
      </c>
      <c r="AZ11" s="1200" t="s">
        <v>2779</v>
      </c>
      <c r="BA11" s="1200" t="s">
        <v>2779</v>
      </c>
      <c r="BB11" s="1200" t="s">
        <v>2779</v>
      </c>
      <c r="BC11" s="1200" t="s">
        <v>2779</v>
      </c>
      <c r="BD11" s="1200" t="s">
        <v>2779</v>
      </c>
      <c r="BE11" s="1200" t="s">
        <v>2779</v>
      </c>
      <c r="BF11" s="1200" t="s">
        <v>2779</v>
      </c>
      <c r="BG11" s="1200" t="s">
        <v>2779</v>
      </c>
      <c r="BH11" s="1200" t="s">
        <v>2779</v>
      </c>
      <c r="BI11" s="1200" t="s">
        <v>2779</v>
      </c>
      <c r="BJ11" s="1200" t="s">
        <v>2779</v>
      </c>
      <c r="BK11" s="1200" t="s">
        <v>2779</v>
      </c>
      <c r="BL11" s="1200" t="s">
        <v>2779</v>
      </c>
      <c r="BM11" s="1200" t="s">
        <v>2779</v>
      </c>
      <c r="BN11" s="1200" t="s">
        <v>2779</v>
      </c>
      <c r="BO11" s="1200" t="s">
        <v>2779</v>
      </c>
      <c r="BP11" s="1200" t="s">
        <v>2779</v>
      </c>
      <c r="BQ11" s="1200" t="s">
        <v>2779</v>
      </c>
      <c r="BR11" s="1200" t="s">
        <v>2779</v>
      </c>
      <c r="BS11" s="1200" t="s">
        <v>2779</v>
      </c>
      <c r="BT11" s="1200" t="s">
        <v>2779</v>
      </c>
      <c r="BU11" s="1200" t="s">
        <v>2779</v>
      </c>
      <c r="BV11" s="1200" t="s">
        <v>2779</v>
      </c>
      <c r="BW11" s="1200" t="s">
        <v>2779</v>
      </c>
      <c r="BX11" s="1200" t="s">
        <v>2779</v>
      </c>
      <c r="BY11" s="1200" t="s">
        <v>2779</v>
      </c>
      <c r="BZ11" s="1200" t="s">
        <v>2779</v>
      </c>
      <c r="CA11" s="1200" t="s">
        <v>2779</v>
      </c>
      <c r="CB11" s="1200" t="s">
        <v>2779</v>
      </c>
      <c r="CC11" s="1200" t="s">
        <v>2779</v>
      </c>
      <c r="CD11" s="1200" t="s">
        <v>2779</v>
      </c>
      <c r="CE11" s="1200" t="s">
        <v>2779</v>
      </c>
      <c r="CF11" s="1200" t="s">
        <v>2779</v>
      </c>
      <c r="CG11" s="1200" t="s">
        <v>2779</v>
      </c>
      <c r="CH11" s="1200" t="s">
        <v>2779</v>
      </c>
      <c r="CI11" s="1200" t="s">
        <v>2779</v>
      </c>
      <c r="CJ11" s="1200" t="s">
        <v>2779</v>
      </c>
      <c r="CK11" s="1200" t="s">
        <v>2779</v>
      </c>
      <c r="CL11" s="1200" t="s">
        <v>2779</v>
      </c>
      <c r="CM11" s="1200" t="s">
        <v>2779</v>
      </c>
      <c r="CN11" s="1200" t="s">
        <v>2779</v>
      </c>
      <c r="CO11" s="1200" t="s">
        <v>2779</v>
      </c>
      <c r="CP11" s="1200" t="s">
        <v>2779</v>
      </c>
      <c r="CQ11" s="1200" t="s">
        <v>2779</v>
      </c>
      <c r="CR11" s="1200" t="s">
        <v>2779</v>
      </c>
      <c r="CS11" s="1200" t="s">
        <v>2779</v>
      </c>
      <c r="CT11" s="1200" t="s">
        <v>2779</v>
      </c>
      <c r="CU11" s="1200" t="s">
        <v>2779</v>
      </c>
      <c r="CV11" s="1200" t="s">
        <v>2779</v>
      </c>
      <c r="CW11" s="1200" t="s">
        <v>2779</v>
      </c>
      <c r="CX11" s="1200" t="s">
        <v>2779</v>
      </c>
      <c r="CY11" s="1200" t="s">
        <v>2779</v>
      </c>
      <c r="CZ11" s="1200" t="s">
        <v>2779</v>
      </c>
      <c r="DA11" s="1200" t="s">
        <v>2779</v>
      </c>
      <c r="DB11" s="1200" t="s">
        <v>2779</v>
      </c>
      <c r="DC11" s="1200" t="s">
        <v>2779</v>
      </c>
      <c r="DD11" s="1200" t="s">
        <v>2779</v>
      </c>
      <c r="DE11" s="1200" t="s">
        <v>2779</v>
      </c>
      <c r="DF11" s="1200" t="s">
        <v>2779</v>
      </c>
      <c r="DG11" s="1200" t="s">
        <v>2779</v>
      </c>
      <c r="DH11" s="1200" t="s">
        <v>2779</v>
      </c>
      <c r="DI11" s="1200" t="s">
        <v>2779</v>
      </c>
      <c r="DJ11" s="1200" t="s">
        <v>2779</v>
      </c>
    </row>
    <row r="12" spans="1:114" outlineLevel="1">
      <c r="B12" s="1198" t="s">
        <v>2780</v>
      </c>
      <c r="H12" s="1199" t="s">
        <v>2781</v>
      </c>
      <c r="J12" s="1201">
        <v>1</v>
      </c>
      <c r="K12" s="1201">
        <f>J12+1</f>
        <v>2</v>
      </c>
      <c r="L12" s="1201">
        <f t="shared" ref="L12:Q12" si="22">K12+1</f>
        <v>3</v>
      </c>
      <c r="M12" s="1201">
        <f t="shared" si="22"/>
        <v>4</v>
      </c>
      <c r="N12" s="1201">
        <f t="shared" si="22"/>
        <v>5</v>
      </c>
      <c r="O12" s="1201">
        <f t="shared" si="22"/>
        <v>6</v>
      </c>
      <c r="P12" s="1201">
        <f t="shared" si="22"/>
        <v>7</v>
      </c>
      <c r="Q12" s="1201">
        <f t="shared" si="22"/>
        <v>8</v>
      </c>
      <c r="S12" s="1201">
        <f>J12</f>
        <v>1</v>
      </c>
      <c r="T12" s="1201">
        <f>IF(T13=1,S12+1,S12)</f>
        <v>1</v>
      </c>
      <c r="U12" s="1201">
        <f t="shared" ref="U12:AZ12" si="23">_xlfn.XMATCH(YEAR(U4),$J$2:$Q$2)</f>
        <v>1</v>
      </c>
      <c r="V12" s="1201">
        <f t="shared" si="23"/>
        <v>1</v>
      </c>
      <c r="W12" s="1201">
        <f t="shared" si="23"/>
        <v>1</v>
      </c>
      <c r="X12" s="1201">
        <f t="shared" si="23"/>
        <v>1</v>
      </c>
      <c r="Y12" s="1201">
        <f t="shared" si="23"/>
        <v>1</v>
      </c>
      <c r="Z12" s="1201">
        <f t="shared" si="23"/>
        <v>1</v>
      </c>
      <c r="AA12" s="1201">
        <f t="shared" si="23"/>
        <v>1</v>
      </c>
      <c r="AB12" s="1201">
        <f t="shared" si="23"/>
        <v>1</v>
      </c>
      <c r="AC12" s="1201">
        <f t="shared" si="23"/>
        <v>1</v>
      </c>
      <c r="AD12" s="1201">
        <f t="shared" si="23"/>
        <v>1</v>
      </c>
      <c r="AE12" s="1201">
        <f t="shared" si="23"/>
        <v>2</v>
      </c>
      <c r="AF12" s="1201">
        <f t="shared" si="23"/>
        <v>2</v>
      </c>
      <c r="AG12" s="1201">
        <f t="shared" si="23"/>
        <v>2</v>
      </c>
      <c r="AH12" s="1201">
        <f t="shared" si="23"/>
        <v>2</v>
      </c>
      <c r="AI12" s="1201">
        <f t="shared" si="23"/>
        <v>2</v>
      </c>
      <c r="AJ12" s="1201">
        <f t="shared" si="23"/>
        <v>2</v>
      </c>
      <c r="AK12" s="1201">
        <f t="shared" si="23"/>
        <v>2</v>
      </c>
      <c r="AL12" s="1201">
        <f t="shared" si="23"/>
        <v>2</v>
      </c>
      <c r="AM12" s="1201">
        <f t="shared" si="23"/>
        <v>2</v>
      </c>
      <c r="AN12" s="1201">
        <f t="shared" si="23"/>
        <v>2</v>
      </c>
      <c r="AO12" s="1201">
        <f t="shared" si="23"/>
        <v>2</v>
      </c>
      <c r="AP12" s="1201">
        <f t="shared" si="23"/>
        <v>2</v>
      </c>
      <c r="AQ12" s="1201">
        <f t="shared" si="23"/>
        <v>3</v>
      </c>
      <c r="AR12" s="1201">
        <f t="shared" si="23"/>
        <v>3</v>
      </c>
      <c r="AS12" s="1201">
        <f t="shared" si="23"/>
        <v>3</v>
      </c>
      <c r="AT12" s="1201">
        <f t="shared" si="23"/>
        <v>3</v>
      </c>
      <c r="AU12" s="1201">
        <f t="shared" si="23"/>
        <v>3</v>
      </c>
      <c r="AV12" s="1201">
        <f t="shared" si="23"/>
        <v>3</v>
      </c>
      <c r="AW12" s="1201">
        <f t="shared" si="23"/>
        <v>3</v>
      </c>
      <c r="AX12" s="1201">
        <f t="shared" si="23"/>
        <v>3</v>
      </c>
      <c r="AY12" s="1201">
        <f t="shared" si="23"/>
        <v>3</v>
      </c>
      <c r="AZ12" s="1201">
        <f t="shared" si="23"/>
        <v>3</v>
      </c>
      <c r="BA12" s="1201">
        <f t="shared" ref="BA12:CF12" si="24">_xlfn.XMATCH(YEAR(BA4),$J$2:$Q$2)</f>
        <v>3</v>
      </c>
      <c r="BB12" s="1201">
        <f t="shared" si="24"/>
        <v>3</v>
      </c>
      <c r="BC12" s="1201">
        <f t="shared" si="24"/>
        <v>4</v>
      </c>
      <c r="BD12" s="1201">
        <f t="shared" si="24"/>
        <v>4</v>
      </c>
      <c r="BE12" s="1201">
        <f t="shared" si="24"/>
        <v>4</v>
      </c>
      <c r="BF12" s="1201">
        <f t="shared" si="24"/>
        <v>4</v>
      </c>
      <c r="BG12" s="1201">
        <f t="shared" si="24"/>
        <v>4</v>
      </c>
      <c r="BH12" s="1201">
        <f t="shared" si="24"/>
        <v>4</v>
      </c>
      <c r="BI12" s="1201">
        <f t="shared" si="24"/>
        <v>4</v>
      </c>
      <c r="BJ12" s="1201">
        <f t="shared" si="24"/>
        <v>4</v>
      </c>
      <c r="BK12" s="1201">
        <f t="shared" si="24"/>
        <v>4</v>
      </c>
      <c r="BL12" s="1201">
        <f t="shared" si="24"/>
        <v>4</v>
      </c>
      <c r="BM12" s="1201">
        <f t="shared" si="24"/>
        <v>4</v>
      </c>
      <c r="BN12" s="1201">
        <f t="shared" si="24"/>
        <v>4</v>
      </c>
      <c r="BO12" s="1201">
        <f t="shared" si="24"/>
        <v>5</v>
      </c>
      <c r="BP12" s="1201">
        <f t="shared" si="24"/>
        <v>5</v>
      </c>
      <c r="BQ12" s="1201">
        <f t="shared" si="24"/>
        <v>5</v>
      </c>
      <c r="BR12" s="1201">
        <f t="shared" si="24"/>
        <v>5</v>
      </c>
      <c r="BS12" s="1201">
        <f t="shared" si="24"/>
        <v>5</v>
      </c>
      <c r="BT12" s="1201">
        <f t="shared" si="24"/>
        <v>5</v>
      </c>
      <c r="BU12" s="1201">
        <f t="shared" si="24"/>
        <v>5</v>
      </c>
      <c r="BV12" s="1201">
        <f t="shared" si="24"/>
        <v>5</v>
      </c>
      <c r="BW12" s="1201">
        <f t="shared" si="24"/>
        <v>5</v>
      </c>
      <c r="BX12" s="1201">
        <f t="shared" si="24"/>
        <v>5</v>
      </c>
      <c r="BY12" s="1201">
        <f t="shared" si="24"/>
        <v>5</v>
      </c>
      <c r="BZ12" s="1201">
        <f t="shared" si="24"/>
        <v>5</v>
      </c>
      <c r="CA12" s="1201">
        <f t="shared" si="24"/>
        <v>6</v>
      </c>
      <c r="CB12" s="1201">
        <f t="shared" si="24"/>
        <v>6</v>
      </c>
      <c r="CC12" s="1201">
        <f t="shared" si="24"/>
        <v>6</v>
      </c>
      <c r="CD12" s="1201">
        <f t="shared" si="24"/>
        <v>6</v>
      </c>
      <c r="CE12" s="1201">
        <f t="shared" si="24"/>
        <v>6</v>
      </c>
      <c r="CF12" s="1201">
        <f t="shared" si="24"/>
        <v>6</v>
      </c>
      <c r="CG12" s="1201">
        <f t="shared" ref="CG12:DJ12" si="25">_xlfn.XMATCH(YEAR(CG4),$J$2:$Q$2)</f>
        <v>6</v>
      </c>
      <c r="CH12" s="1201">
        <f t="shared" si="25"/>
        <v>6</v>
      </c>
      <c r="CI12" s="1201">
        <f t="shared" si="25"/>
        <v>6</v>
      </c>
      <c r="CJ12" s="1201">
        <f t="shared" si="25"/>
        <v>6</v>
      </c>
      <c r="CK12" s="1201">
        <f t="shared" si="25"/>
        <v>6</v>
      </c>
      <c r="CL12" s="1201">
        <f t="shared" si="25"/>
        <v>6</v>
      </c>
      <c r="CM12" s="1201">
        <f t="shared" si="25"/>
        <v>7</v>
      </c>
      <c r="CN12" s="1201">
        <f t="shared" si="25"/>
        <v>7</v>
      </c>
      <c r="CO12" s="1201">
        <f t="shared" si="25"/>
        <v>7</v>
      </c>
      <c r="CP12" s="1201">
        <f t="shared" si="25"/>
        <v>7</v>
      </c>
      <c r="CQ12" s="1201">
        <f t="shared" si="25"/>
        <v>7</v>
      </c>
      <c r="CR12" s="1201">
        <f t="shared" si="25"/>
        <v>7</v>
      </c>
      <c r="CS12" s="1201">
        <f t="shared" si="25"/>
        <v>7</v>
      </c>
      <c r="CT12" s="1201">
        <f t="shared" si="25"/>
        <v>7</v>
      </c>
      <c r="CU12" s="1201">
        <f t="shared" si="25"/>
        <v>7</v>
      </c>
      <c r="CV12" s="1201">
        <f t="shared" si="25"/>
        <v>7</v>
      </c>
      <c r="CW12" s="1201">
        <f t="shared" si="25"/>
        <v>7</v>
      </c>
      <c r="CX12" s="1201">
        <f t="shared" si="25"/>
        <v>7</v>
      </c>
      <c r="CY12" s="1201">
        <f t="shared" si="25"/>
        <v>8</v>
      </c>
      <c r="CZ12" s="1201">
        <f t="shared" si="25"/>
        <v>8</v>
      </c>
      <c r="DA12" s="1201">
        <f t="shared" si="25"/>
        <v>8</v>
      </c>
      <c r="DB12" s="1201">
        <f t="shared" si="25"/>
        <v>8</v>
      </c>
      <c r="DC12" s="1201">
        <f t="shared" si="25"/>
        <v>8</v>
      </c>
      <c r="DD12" s="1201">
        <f t="shared" si="25"/>
        <v>8</v>
      </c>
      <c r="DE12" s="1201">
        <f t="shared" si="25"/>
        <v>8</v>
      </c>
      <c r="DF12" s="1201">
        <f t="shared" si="25"/>
        <v>8</v>
      </c>
      <c r="DG12" s="1201">
        <f t="shared" si="25"/>
        <v>8</v>
      </c>
      <c r="DH12" s="1201">
        <f t="shared" si="25"/>
        <v>8</v>
      </c>
      <c r="DI12" s="1201">
        <f t="shared" si="25"/>
        <v>8</v>
      </c>
      <c r="DJ12" s="1201">
        <f t="shared" si="25"/>
        <v>8</v>
      </c>
    </row>
    <row r="13" spans="1:114" outlineLevel="1">
      <c r="B13" s="1198" t="s">
        <v>2782</v>
      </c>
      <c r="H13" s="1199" t="s">
        <v>2781</v>
      </c>
      <c r="J13" s="1201">
        <v>1</v>
      </c>
      <c r="K13" s="1201">
        <f>J13</f>
        <v>1</v>
      </c>
      <c r="L13" s="1201">
        <f t="shared" ref="L13:Q13" si="26">K13</f>
        <v>1</v>
      </c>
      <c r="M13" s="1201">
        <f t="shared" si="26"/>
        <v>1</v>
      </c>
      <c r="N13" s="1201">
        <f t="shared" si="26"/>
        <v>1</v>
      </c>
      <c r="O13" s="1201">
        <f t="shared" si="26"/>
        <v>1</v>
      </c>
      <c r="P13" s="1201">
        <f t="shared" si="26"/>
        <v>1</v>
      </c>
      <c r="Q13" s="1201">
        <f t="shared" si="26"/>
        <v>1</v>
      </c>
      <c r="S13" s="1201">
        <f>J13</f>
        <v>1</v>
      </c>
      <c r="T13" s="1201">
        <f>IF(S14=dcMonthsinYear,1,S13+1)</f>
        <v>2</v>
      </c>
      <c r="U13" s="1201">
        <f t="shared" ref="U13:CF13" si="27">IF(T14=dcMonthsinYear,1,T13+1)</f>
        <v>3</v>
      </c>
      <c r="V13" s="1201">
        <f t="shared" si="27"/>
        <v>4</v>
      </c>
      <c r="W13" s="1201">
        <f t="shared" si="27"/>
        <v>5</v>
      </c>
      <c r="X13" s="1201">
        <f t="shared" si="27"/>
        <v>6</v>
      </c>
      <c r="Y13" s="1201">
        <f t="shared" si="27"/>
        <v>7</v>
      </c>
      <c r="Z13" s="1201">
        <f t="shared" si="27"/>
        <v>8</v>
      </c>
      <c r="AA13" s="1201">
        <f t="shared" si="27"/>
        <v>9</v>
      </c>
      <c r="AB13" s="1201">
        <f t="shared" si="27"/>
        <v>10</v>
      </c>
      <c r="AC13" s="1201">
        <f t="shared" si="27"/>
        <v>11</v>
      </c>
      <c r="AD13" s="1201">
        <f t="shared" si="27"/>
        <v>12</v>
      </c>
      <c r="AE13" s="1201">
        <f t="shared" si="27"/>
        <v>1</v>
      </c>
      <c r="AF13" s="1201">
        <f t="shared" si="27"/>
        <v>2</v>
      </c>
      <c r="AG13" s="1201">
        <f t="shared" si="27"/>
        <v>3</v>
      </c>
      <c r="AH13" s="1201">
        <f t="shared" si="27"/>
        <v>4</v>
      </c>
      <c r="AI13" s="1201">
        <f t="shared" si="27"/>
        <v>5</v>
      </c>
      <c r="AJ13" s="1201">
        <f t="shared" si="27"/>
        <v>6</v>
      </c>
      <c r="AK13" s="1201">
        <f t="shared" si="27"/>
        <v>7</v>
      </c>
      <c r="AL13" s="1201">
        <f t="shared" si="27"/>
        <v>8</v>
      </c>
      <c r="AM13" s="1201">
        <f t="shared" si="27"/>
        <v>9</v>
      </c>
      <c r="AN13" s="1201">
        <f t="shared" si="27"/>
        <v>10</v>
      </c>
      <c r="AO13" s="1201">
        <f t="shared" si="27"/>
        <v>11</v>
      </c>
      <c r="AP13" s="1201">
        <f t="shared" si="27"/>
        <v>12</v>
      </c>
      <c r="AQ13" s="1201">
        <f t="shared" si="27"/>
        <v>13</v>
      </c>
      <c r="AR13" s="1201">
        <f t="shared" si="27"/>
        <v>14</v>
      </c>
      <c r="AS13" s="1201">
        <f t="shared" si="27"/>
        <v>15</v>
      </c>
      <c r="AT13" s="1201">
        <f t="shared" si="27"/>
        <v>16</v>
      </c>
      <c r="AU13" s="1201">
        <f t="shared" si="27"/>
        <v>17</v>
      </c>
      <c r="AV13" s="1201">
        <f t="shared" si="27"/>
        <v>18</v>
      </c>
      <c r="AW13" s="1201">
        <f t="shared" si="27"/>
        <v>19</v>
      </c>
      <c r="AX13" s="1201">
        <f t="shared" si="27"/>
        <v>20</v>
      </c>
      <c r="AY13" s="1201">
        <f t="shared" si="27"/>
        <v>21</v>
      </c>
      <c r="AZ13" s="1201">
        <f t="shared" si="27"/>
        <v>22</v>
      </c>
      <c r="BA13" s="1201">
        <f t="shared" si="27"/>
        <v>23</v>
      </c>
      <c r="BB13" s="1201">
        <f t="shared" si="27"/>
        <v>24</v>
      </c>
      <c r="BC13" s="1201">
        <f t="shared" si="27"/>
        <v>25</v>
      </c>
      <c r="BD13" s="1201">
        <f t="shared" si="27"/>
        <v>26</v>
      </c>
      <c r="BE13" s="1201">
        <f t="shared" si="27"/>
        <v>27</v>
      </c>
      <c r="BF13" s="1201">
        <f t="shared" si="27"/>
        <v>28</v>
      </c>
      <c r="BG13" s="1201">
        <f t="shared" si="27"/>
        <v>29</v>
      </c>
      <c r="BH13" s="1201">
        <f t="shared" si="27"/>
        <v>30</v>
      </c>
      <c r="BI13" s="1201">
        <f t="shared" si="27"/>
        <v>31</v>
      </c>
      <c r="BJ13" s="1201">
        <f t="shared" si="27"/>
        <v>32</v>
      </c>
      <c r="BK13" s="1201">
        <f t="shared" si="27"/>
        <v>33</v>
      </c>
      <c r="BL13" s="1201">
        <f t="shared" si="27"/>
        <v>34</v>
      </c>
      <c r="BM13" s="1201">
        <f t="shared" si="27"/>
        <v>35</v>
      </c>
      <c r="BN13" s="1201">
        <f t="shared" si="27"/>
        <v>36</v>
      </c>
      <c r="BO13" s="1201">
        <f t="shared" si="27"/>
        <v>37</v>
      </c>
      <c r="BP13" s="1201">
        <f t="shared" si="27"/>
        <v>38</v>
      </c>
      <c r="BQ13" s="1201">
        <f t="shared" si="27"/>
        <v>39</v>
      </c>
      <c r="BR13" s="1201">
        <f t="shared" si="27"/>
        <v>40</v>
      </c>
      <c r="BS13" s="1201">
        <f t="shared" si="27"/>
        <v>41</v>
      </c>
      <c r="BT13" s="1201">
        <f t="shared" si="27"/>
        <v>42</v>
      </c>
      <c r="BU13" s="1201">
        <f t="shared" si="27"/>
        <v>43</v>
      </c>
      <c r="BV13" s="1201">
        <f t="shared" si="27"/>
        <v>44</v>
      </c>
      <c r="BW13" s="1201">
        <f t="shared" si="27"/>
        <v>45</v>
      </c>
      <c r="BX13" s="1201">
        <f t="shared" si="27"/>
        <v>46</v>
      </c>
      <c r="BY13" s="1201">
        <f t="shared" si="27"/>
        <v>47</v>
      </c>
      <c r="BZ13" s="1201">
        <f t="shared" si="27"/>
        <v>48</v>
      </c>
      <c r="CA13" s="1201">
        <f t="shared" si="27"/>
        <v>49</v>
      </c>
      <c r="CB13" s="1201">
        <f t="shared" si="27"/>
        <v>50</v>
      </c>
      <c r="CC13" s="1201">
        <f t="shared" si="27"/>
        <v>51</v>
      </c>
      <c r="CD13" s="1201">
        <f t="shared" si="27"/>
        <v>52</v>
      </c>
      <c r="CE13" s="1201">
        <f t="shared" si="27"/>
        <v>53</v>
      </c>
      <c r="CF13" s="1201">
        <f t="shared" si="27"/>
        <v>54</v>
      </c>
      <c r="CG13" s="1201">
        <f t="shared" ref="CG13:CY13" si="28">IF(CF14=dcMonthsinYear,1,CF13+1)</f>
        <v>55</v>
      </c>
      <c r="CH13" s="1201">
        <f t="shared" si="28"/>
        <v>56</v>
      </c>
      <c r="CI13" s="1201">
        <f t="shared" si="28"/>
        <v>57</v>
      </c>
      <c r="CJ13" s="1201">
        <f t="shared" si="28"/>
        <v>58</v>
      </c>
      <c r="CK13" s="1201">
        <f t="shared" si="28"/>
        <v>59</v>
      </c>
      <c r="CL13" s="1201">
        <f t="shared" si="28"/>
        <v>60</v>
      </c>
      <c r="CM13" s="1201">
        <f t="shared" si="28"/>
        <v>61</v>
      </c>
      <c r="CN13" s="1201">
        <f t="shared" si="28"/>
        <v>62</v>
      </c>
      <c r="CO13" s="1201">
        <f t="shared" si="28"/>
        <v>63</v>
      </c>
      <c r="CP13" s="1201">
        <f t="shared" si="28"/>
        <v>64</v>
      </c>
      <c r="CQ13" s="1201">
        <f t="shared" si="28"/>
        <v>65</v>
      </c>
      <c r="CR13" s="1201">
        <f t="shared" si="28"/>
        <v>66</v>
      </c>
      <c r="CS13" s="1201">
        <f t="shared" si="28"/>
        <v>67</v>
      </c>
      <c r="CT13" s="1201">
        <f t="shared" si="28"/>
        <v>68</v>
      </c>
      <c r="CU13" s="1201">
        <f t="shared" si="28"/>
        <v>69</v>
      </c>
      <c r="CV13" s="1201">
        <f t="shared" si="28"/>
        <v>70</v>
      </c>
      <c r="CW13" s="1201">
        <f t="shared" si="28"/>
        <v>71</v>
      </c>
      <c r="CX13" s="1201">
        <f t="shared" si="28"/>
        <v>72</v>
      </c>
      <c r="CY13" s="1201">
        <f t="shared" si="28"/>
        <v>73</v>
      </c>
      <c r="CZ13" s="1201">
        <f t="shared" ref="CZ13" si="29">IF(CY14=dcMonthsinYear,1,CY13+1)</f>
        <v>74</v>
      </c>
      <c r="DA13" s="1201">
        <f t="shared" ref="DA13" si="30">IF(CZ14=dcMonthsinYear,1,CZ13+1)</f>
        <v>75</v>
      </c>
      <c r="DB13" s="1201">
        <f t="shared" ref="DB13" si="31">IF(DA14=dcMonthsinYear,1,DA13+1)</f>
        <v>76</v>
      </c>
      <c r="DC13" s="1201">
        <f t="shared" ref="DC13" si="32">IF(DB14=dcMonthsinYear,1,DB13+1)</f>
        <v>77</v>
      </c>
      <c r="DD13" s="1201">
        <f t="shared" ref="DD13" si="33">IF(DC14=dcMonthsinYear,1,DC13+1)</f>
        <v>78</v>
      </c>
      <c r="DE13" s="1201">
        <f t="shared" ref="DE13" si="34">IF(DD14=dcMonthsinYear,1,DD13+1)</f>
        <v>79</v>
      </c>
      <c r="DF13" s="1201">
        <f t="shared" ref="DF13" si="35">IF(DE14=dcMonthsinYear,1,DE13+1)</f>
        <v>80</v>
      </c>
      <c r="DG13" s="1201">
        <f t="shared" ref="DG13" si="36">IF(DF14=dcMonthsinYear,1,DF13+1)</f>
        <v>81</v>
      </c>
      <c r="DH13" s="1201">
        <f t="shared" ref="DH13" si="37">IF(DG14=dcMonthsinYear,1,DG13+1)</f>
        <v>82</v>
      </c>
      <c r="DI13" s="1201">
        <f t="shared" ref="DI13" si="38">IF(DH14=dcMonthsinYear,1,DH13+1)</f>
        <v>83</v>
      </c>
      <c r="DJ13" s="1201">
        <f t="shared" ref="DJ13" si="39">IF(DI14=dcMonthsinYear,1,DI13+1)</f>
        <v>84</v>
      </c>
    </row>
    <row r="14" spans="1:114" outlineLevel="1">
      <c r="B14" s="1198" t="s">
        <v>2783</v>
      </c>
      <c r="H14" s="1199" t="s">
        <v>2781</v>
      </c>
      <c r="J14" s="1201">
        <v>1</v>
      </c>
      <c r="K14" s="1201">
        <f>J14+1</f>
        <v>2</v>
      </c>
      <c r="L14" s="1201">
        <f t="shared" ref="L14:Q14" si="40">K14+1</f>
        <v>3</v>
      </c>
      <c r="M14" s="1201">
        <f t="shared" si="40"/>
        <v>4</v>
      </c>
      <c r="N14" s="1201">
        <f t="shared" si="40"/>
        <v>5</v>
      </c>
      <c r="O14" s="1201">
        <f t="shared" si="40"/>
        <v>6</v>
      </c>
      <c r="P14" s="1201">
        <f t="shared" si="40"/>
        <v>7</v>
      </c>
      <c r="Q14" s="1201">
        <f t="shared" si="40"/>
        <v>8</v>
      </c>
      <c r="S14" s="1201">
        <f>J14</f>
        <v>1</v>
      </c>
      <c r="T14" s="1201">
        <f>S14+1</f>
        <v>2</v>
      </c>
      <c r="U14" s="1201">
        <f t="shared" ref="U14:CF14" si="41">T14+1</f>
        <v>3</v>
      </c>
      <c r="V14" s="1201">
        <f t="shared" si="41"/>
        <v>4</v>
      </c>
      <c r="W14" s="1201">
        <f t="shared" si="41"/>
        <v>5</v>
      </c>
      <c r="X14" s="1201">
        <f t="shared" si="41"/>
        <v>6</v>
      </c>
      <c r="Y14" s="1201">
        <f t="shared" si="41"/>
        <v>7</v>
      </c>
      <c r="Z14" s="1201">
        <f t="shared" si="41"/>
        <v>8</v>
      </c>
      <c r="AA14" s="1201">
        <f t="shared" si="41"/>
        <v>9</v>
      </c>
      <c r="AB14" s="1201">
        <f t="shared" si="41"/>
        <v>10</v>
      </c>
      <c r="AC14" s="1201">
        <f t="shared" si="41"/>
        <v>11</v>
      </c>
      <c r="AD14" s="1201">
        <f t="shared" si="41"/>
        <v>12</v>
      </c>
      <c r="AE14" s="1201">
        <f t="shared" si="41"/>
        <v>13</v>
      </c>
      <c r="AF14" s="1201">
        <f t="shared" si="41"/>
        <v>14</v>
      </c>
      <c r="AG14" s="1201">
        <f t="shared" si="41"/>
        <v>15</v>
      </c>
      <c r="AH14" s="1201">
        <f t="shared" si="41"/>
        <v>16</v>
      </c>
      <c r="AI14" s="1201">
        <f t="shared" si="41"/>
        <v>17</v>
      </c>
      <c r="AJ14" s="1201">
        <f t="shared" si="41"/>
        <v>18</v>
      </c>
      <c r="AK14" s="1201">
        <f t="shared" si="41"/>
        <v>19</v>
      </c>
      <c r="AL14" s="1201">
        <f t="shared" si="41"/>
        <v>20</v>
      </c>
      <c r="AM14" s="1201">
        <f t="shared" si="41"/>
        <v>21</v>
      </c>
      <c r="AN14" s="1201">
        <f t="shared" si="41"/>
        <v>22</v>
      </c>
      <c r="AO14" s="1201">
        <f t="shared" si="41"/>
        <v>23</v>
      </c>
      <c r="AP14" s="1201">
        <f t="shared" si="41"/>
        <v>24</v>
      </c>
      <c r="AQ14" s="1201">
        <f t="shared" si="41"/>
        <v>25</v>
      </c>
      <c r="AR14" s="1201">
        <f t="shared" si="41"/>
        <v>26</v>
      </c>
      <c r="AS14" s="1201">
        <f t="shared" si="41"/>
        <v>27</v>
      </c>
      <c r="AT14" s="1201">
        <f t="shared" si="41"/>
        <v>28</v>
      </c>
      <c r="AU14" s="1201">
        <f t="shared" si="41"/>
        <v>29</v>
      </c>
      <c r="AV14" s="1201">
        <f t="shared" si="41"/>
        <v>30</v>
      </c>
      <c r="AW14" s="1201">
        <f t="shared" si="41"/>
        <v>31</v>
      </c>
      <c r="AX14" s="1201">
        <f t="shared" si="41"/>
        <v>32</v>
      </c>
      <c r="AY14" s="1201">
        <f t="shared" si="41"/>
        <v>33</v>
      </c>
      <c r="AZ14" s="1201">
        <f t="shared" si="41"/>
        <v>34</v>
      </c>
      <c r="BA14" s="1201">
        <f t="shared" si="41"/>
        <v>35</v>
      </c>
      <c r="BB14" s="1201">
        <f t="shared" si="41"/>
        <v>36</v>
      </c>
      <c r="BC14" s="1201">
        <f t="shared" si="41"/>
        <v>37</v>
      </c>
      <c r="BD14" s="1201">
        <f t="shared" si="41"/>
        <v>38</v>
      </c>
      <c r="BE14" s="1201">
        <f t="shared" si="41"/>
        <v>39</v>
      </c>
      <c r="BF14" s="1201">
        <f t="shared" si="41"/>
        <v>40</v>
      </c>
      <c r="BG14" s="1201">
        <f t="shared" si="41"/>
        <v>41</v>
      </c>
      <c r="BH14" s="1201">
        <f t="shared" si="41"/>
        <v>42</v>
      </c>
      <c r="BI14" s="1201">
        <f t="shared" si="41"/>
        <v>43</v>
      </c>
      <c r="BJ14" s="1201">
        <f t="shared" si="41"/>
        <v>44</v>
      </c>
      <c r="BK14" s="1201">
        <f t="shared" si="41"/>
        <v>45</v>
      </c>
      <c r="BL14" s="1201">
        <f t="shared" si="41"/>
        <v>46</v>
      </c>
      <c r="BM14" s="1201">
        <f t="shared" si="41"/>
        <v>47</v>
      </c>
      <c r="BN14" s="1201">
        <f t="shared" si="41"/>
        <v>48</v>
      </c>
      <c r="BO14" s="1201">
        <f t="shared" si="41"/>
        <v>49</v>
      </c>
      <c r="BP14" s="1201">
        <f t="shared" si="41"/>
        <v>50</v>
      </c>
      <c r="BQ14" s="1201">
        <f t="shared" si="41"/>
        <v>51</v>
      </c>
      <c r="BR14" s="1201">
        <f t="shared" si="41"/>
        <v>52</v>
      </c>
      <c r="BS14" s="1201">
        <f t="shared" si="41"/>
        <v>53</v>
      </c>
      <c r="BT14" s="1201">
        <f t="shared" si="41"/>
        <v>54</v>
      </c>
      <c r="BU14" s="1201">
        <f t="shared" si="41"/>
        <v>55</v>
      </c>
      <c r="BV14" s="1201">
        <f t="shared" si="41"/>
        <v>56</v>
      </c>
      <c r="BW14" s="1201">
        <f t="shared" si="41"/>
        <v>57</v>
      </c>
      <c r="BX14" s="1201">
        <f t="shared" si="41"/>
        <v>58</v>
      </c>
      <c r="BY14" s="1201">
        <f t="shared" si="41"/>
        <v>59</v>
      </c>
      <c r="BZ14" s="1201">
        <f t="shared" si="41"/>
        <v>60</v>
      </c>
      <c r="CA14" s="1201">
        <f t="shared" si="41"/>
        <v>61</v>
      </c>
      <c r="CB14" s="1201">
        <f t="shared" si="41"/>
        <v>62</v>
      </c>
      <c r="CC14" s="1201">
        <f t="shared" si="41"/>
        <v>63</v>
      </c>
      <c r="CD14" s="1201">
        <f t="shared" si="41"/>
        <v>64</v>
      </c>
      <c r="CE14" s="1201">
        <f t="shared" si="41"/>
        <v>65</v>
      </c>
      <c r="CF14" s="1201">
        <f t="shared" si="41"/>
        <v>66</v>
      </c>
      <c r="CG14" s="1201">
        <f t="shared" ref="CG14:CY14" si="42">CF14+1</f>
        <v>67</v>
      </c>
      <c r="CH14" s="1201">
        <f t="shared" si="42"/>
        <v>68</v>
      </c>
      <c r="CI14" s="1201">
        <f t="shared" si="42"/>
        <v>69</v>
      </c>
      <c r="CJ14" s="1201">
        <f t="shared" si="42"/>
        <v>70</v>
      </c>
      <c r="CK14" s="1201">
        <f t="shared" si="42"/>
        <v>71</v>
      </c>
      <c r="CL14" s="1201">
        <f t="shared" si="42"/>
        <v>72</v>
      </c>
      <c r="CM14" s="1201">
        <f t="shared" si="42"/>
        <v>73</v>
      </c>
      <c r="CN14" s="1201">
        <f t="shared" si="42"/>
        <v>74</v>
      </c>
      <c r="CO14" s="1201">
        <f t="shared" si="42"/>
        <v>75</v>
      </c>
      <c r="CP14" s="1201">
        <f t="shared" si="42"/>
        <v>76</v>
      </c>
      <c r="CQ14" s="1201">
        <f t="shared" si="42"/>
        <v>77</v>
      </c>
      <c r="CR14" s="1201">
        <f t="shared" si="42"/>
        <v>78</v>
      </c>
      <c r="CS14" s="1201">
        <f t="shared" si="42"/>
        <v>79</v>
      </c>
      <c r="CT14" s="1201">
        <f t="shared" si="42"/>
        <v>80</v>
      </c>
      <c r="CU14" s="1201">
        <f t="shared" si="42"/>
        <v>81</v>
      </c>
      <c r="CV14" s="1201">
        <f t="shared" si="42"/>
        <v>82</v>
      </c>
      <c r="CW14" s="1201">
        <f t="shared" si="42"/>
        <v>83</v>
      </c>
      <c r="CX14" s="1201">
        <f t="shared" si="42"/>
        <v>84</v>
      </c>
      <c r="CY14" s="1201">
        <f t="shared" si="42"/>
        <v>85</v>
      </c>
      <c r="CZ14" s="1201">
        <f t="shared" ref="CZ14" si="43">CY14+1</f>
        <v>86</v>
      </c>
      <c r="DA14" s="1201">
        <f t="shared" ref="DA14" si="44">CZ14+1</f>
        <v>87</v>
      </c>
      <c r="DB14" s="1201">
        <f t="shared" ref="DB14" si="45">DA14+1</f>
        <v>88</v>
      </c>
      <c r="DC14" s="1201">
        <f t="shared" ref="DC14" si="46">DB14+1</f>
        <v>89</v>
      </c>
      <c r="DD14" s="1201">
        <f t="shared" ref="DD14" si="47">DC14+1</f>
        <v>90</v>
      </c>
      <c r="DE14" s="1201">
        <f t="shared" ref="DE14" si="48">DD14+1</f>
        <v>91</v>
      </c>
      <c r="DF14" s="1201">
        <f t="shared" ref="DF14" si="49">DE14+1</f>
        <v>92</v>
      </c>
      <c r="DG14" s="1201">
        <f t="shared" ref="DG14" si="50">DF14+1</f>
        <v>93</v>
      </c>
      <c r="DH14" s="1201">
        <f t="shared" ref="DH14" si="51">DG14+1</f>
        <v>94</v>
      </c>
      <c r="DI14" s="1201">
        <f t="shared" ref="DI14" si="52">DH14+1</f>
        <v>95</v>
      </c>
      <c r="DJ14" s="1201">
        <f t="shared" ref="DJ14" si="53">DI14+1</f>
        <v>96</v>
      </c>
    </row>
    <row r="15" spans="1:114" outlineLevel="1"/>
    <row r="16" spans="1:114" outlineLevel="1">
      <c r="B16" s="1197" t="s">
        <v>2784</v>
      </c>
      <c r="H16" s="1199"/>
      <c r="J16" s="1201"/>
      <c r="K16" s="1201"/>
      <c r="L16" s="1201"/>
      <c r="M16" s="1201"/>
      <c r="N16" s="1201"/>
      <c r="O16" s="1201"/>
      <c r="P16" s="1201"/>
      <c r="Q16" s="1201"/>
      <c r="S16" s="1201"/>
      <c r="T16" s="1201"/>
      <c r="U16" s="1201"/>
      <c r="V16" s="1201"/>
      <c r="W16" s="1201"/>
      <c r="X16" s="1201"/>
      <c r="Y16" s="1201"/>
      <c r="Z16" s="1201"/>
      <c r="AA16" s="1201"/>
      <c r="AB16" s="1201"/>
      <c r="AC16" s="1201"/>
      <c r="AD16" s="1201"/>
      <c r="AE16" s="1201"/>
      <c r="AF16" s="1201"/>
      <c r="AG16" s="1201"/>
      <c r="AH16" s="1201"/>
      <c r="AI16" s="1201"/>
      <c r="AJ16" s="1201"/>
      <c r="AK16" s="1201"/>
      <c r="AL16" s="1201"/>
      <c r="AM16" s="1201"/>
      <c r="AN16" s="1201"/>
      <c r="AO16" s="1201"/>
      <c r="AP16" s="1201"/>
      <c r="AQ16" s="1201"/>
      <c r="AR16" s="1201"/>
      <c r="AS16" s="1201"/>
      <c r="AT16" s="1201"/>
      <c r="AU16" s="1201"/>
      <c r="AV16" s="1201"/>
      <c r="AW16" s="1201"/>
      <c r="AX16" s="1201"/>
      <c r="AY16" s="1201"/>
      <c r="AZ16" s="1201"/>
      <c r="BA16" s="1201"/>
      <c r="BB16" s="1201"/>
      <c r="BC16" s="1201"/>
      <c r="BD16" s="1201"/>
      <c r="BE16" s="1201"/>
      <c r="BF16" s="1201"/>
      <c r="BG16" s="1201"/>
      <c r="BH16" s="1201"/>
      <c r="BI16" s="1201"/>
      <c r="BJ16" s="1201"/>
      <c r="BK16" s="1201"/>
      <c r="BL16" s="1201"/>
      <c r="BM16" s="1201"/>
      <c r="BN16" s="1201"/>
      <c r="BO16" s="1201"/>
      <c r="BP16" s="1201"/>
      <c r="BQ16" s="1201"/>
      <c r="BR16" s="1201"/>
      <c r="BS16" s="1201"/>
      <c r="BT16" s="1201"/>
      <c r="BU16" s="1201"/>
      <c r="BV16" s="1201"/>
      <c r="BW16" s="1201"/>
      <c r="BX16" s="1201"/>
      <c r="BY16" s="1201"/>
      <c r="BZ16" s="1201"/>
      <c r="CA16" s="1201"/>
      <c r="CB16" s="1201"/>
      <c r="CC16" s="1201"/>
      <c r="CD16" s="1201"/>
      <c r="CE16" s="1201"/>
      <c r="CF16" s="1201"/>
      <c r="CG16" s="1201"/>
      <c r="CH16" s="1201"/>
      <c r="CI16" s="1201"/>
      <c r="CJ16" s="1201"/>
      <c r="CK16" s="1201"/>
      <c r="CL16" s="1201"/>
      <c r="CM16" s="1201"/>
      <c r="CN16" s="1201"/>
      <c r="CO16" s="1201"/>
      <c r="CP16" s="1201"/>
      <c r="CQ16" s="1201"/>
      <c r="CR16" s="1201"/>
      <c r="CS16" s="1201"/>
      <c r="CT16" s="1201"/>
      <c r="CU16" s="1201"/>
      <c r="CV16" s="1201"/>
      <c r="CW16" s="1201"/>
      <c r="CX16" s="1201"/>
      <c r="CY16" s="1201"/>
      <c r="CZ16" s="1201"/>
      <c r="DA16" s="1201"/>
      <c r="DB16" s="1201"/>
      <c r="DC16" s="1201"/>
      <c r="DD16" s="1201"/>
      <c r="DE16" s="1201"/>
      <c r="DF16" s="1201"/>
      <c r="DG16" s="1201"/>
      <c r="DH16" s="1201"/>
      <c r="DI16" s="1201"/>
      <c r="DJ16" s="1201"/>
    </row>
    <row r="17" spans="1:114" outlineLevel="1">
      <c r="B17" s="1198" t="s">
        <v>2785</v>
      </c>
      <c r="H17" s="1199" t="s">
        <v>2786</v>
      </c>
      <c r="J17" s="1201">
        <f t="shared" ref="J17:Q17" si="54">IF(J3="Actual",1,0)</f>
        <v>1</v>
      </c>
      <c r="K17" s="1201">
        <f t="shared" si="54"/>
        <v>1</v>
      </c>
      <c r="L17" s="1201">
        <f t="shared" si="54"/>
        <v>0</v>
      </c>
      <c r="M17" s="1201">
        <f t="shared" si="54"/>
        <v>0</v>
      </c>
      <c r="N17" s="1201">
        <f t="shared" si="54"/>
        <v>0</v>
      </c>
      <c r="O17" s="1201">
        <f t="shared" si="54"/>
        <v>0</v>
      </c>
      <c r="P17" s="1201">
        <f t="shared" si="54"/>
        <v>0</v>
      </c>
      <c r="Q17" s="1201">
        <f t="shared" si="54"/>
        <v>0</v>
      </c>
      <c r="S17" s="1201">
        <f t="shared" ref="S17:CD17" si="55">IF(S3="Actual",1,0)</f>
        <v>1</v>
      </c>
      <c r="T17" s="1201">
        <f t="shared" si="55"/>
        <v>1</v>
      </c>
      <c r="U17" s="1201">
        <f t="shared" si="55"/>
        <v>1</v>
      </c>
      <c r="V17" s="1201">
        <f t="shared" si="55"/>
        <v>1</v>
      </c>
      <c r="W17" s="1201">
        <f t="shared" si="55"/>
        <v>1</v>
      </c>
      <c r="X17" s="1201">
        <f t="shared" si="55"/>
        <v>1</v>
      </c>
      <c r="Y17" s="1201">
        <f t="shared" si="55"/>
        <v>1</v>
      </c>
      <c r="Z17" s="1201">
        <f t="shared" si="55"/>
        <v>1</v>
      </c>
      <c r="AA17" s="1201">
        <f t="shared" si="55"/>
        <v>1</v>
      </c>
      <c r="AB17" s="1201">
        <f t="shared" si="55"/>
        <v>1</v>
      </c>
      <c r="AC17" s="1201">
        <f t="shared" si="55"/>
        <v>1</v>
      </c>
      <c r="AD17" s="1201">
        <f t="shared" si="55"/>
        <v>1</v>
      </c>
      <c r="AE17" s="1201">
        <f t="shared" si="55"/>
        <v>1</v>
      </c>
      <c r="AF17" s="1201">
        <f t="shared" si="55"/>
        <v>1</v>
      </c>
      <c r="AG17" s="1201">
        <f t="shared" si="55"/>
        <v>1</v>
      </c>
      <c r="AH17" s="1201">
        <f t="shared" si="55"/>
        <v>1</v>
      </c>
      <c r="AI17" s="1201">
        <f t="shared" si="55"/>
        <v>1</v>
      </c>
      <c r="AJ17" s="1201">
        <f t="shared" si="55"/>
        <v>1</v>
      </c>
      <c r="AK17" s="1201">
        <f t="shared" si="55"/>
        <v>1</v>
      </c>
      <c r="AL17" s="1201">
        <f t="shared" si="55"/>
        <v>1</v>
      </c>
      <c r="AM17" s="1201">
        <f t="shared" si="55"/>
        <v>1</v>
      </c>
      <c r="AN17" s="1201">
        <f t="shared" si="55"/>
        <v>1</v>
      </c>
      <c r="AO17" s="1201">
        <f t="shared" si="55"/>
        <v>1</v>
      </c>
      <c r="AP17" s="1201">
        <f t="shared" si="55"/>
        <v>1</v>
      </c>
      <c r="AQ17" s="1201">
        <f t="shared" si="55"/>
        <v>0</v>
      </c>
      <c r="AR17" s="1201">
        <f t="shared" si="55"/>
        <v>0</v>
      </c>
      <c r="AS17" s="1201">
        <f t="shared" si="55"/>
        <v>0</v>
      </c>
      <c r="AT17" s="1201">
        <f t="shared" si="55"/>
        <v>0</v>
      </c>
      <c r="AU17" s="1201">
        <f t="shared" si="55"/>
        <v>0</v>
      </c>
      <c r="AV17" s="1201">
        <f t="shared" si="55"/>
        <v>0</v>
      </c>
      <c r="AW17" s="1201">
        <f t="shared" si="55"/>
        <v>0</v>
      </c>
      <c r="AX17" s="1201">
        <f t="shared" si="55"/>
        <v>0</v>
      </c>
      <c r="AY17" s="1201">
        <f t="shared" si="55"/>
        <v>0</v>
      </c>
      <c r="AZ17" s="1201">
        <f t="shared" si="55"/>
        <v>0</v>
      </c>
      <c r="BA17" s="1201">
        <f t="shared" si="55"/>
        <v>0</v>
      </c>
      <c r="BB17" s="1201">
        <f t="shared" si="55"/>
        <v>0</v>
      </c>
      <c r="BC17" s="1201">
        <f t="shared" si="55"/>
        <v>0</v>
      </c>
      <c r="BD17" s="1201">
        <f t="shared" si="55"/>
        <v>0</v>
      </c>
      <c r="BE17" s="1201">
        <f t="shared" si="55"/>
        <v>0</v>
      </c>
      <c r="BF17" s="1201">
        <f t="shared" si="55"/>
        <v>0</v>
      </c>
      <c r="BG17" s="1201">
        <f t="shared" si="55"/>
        <v>0</v>
      </c>
      <c r="BH17" s="1201">
        <f t="shared" si="55"/>
        <v>0</v>
      </c>
      <c r="BI17" s="1201">
        <f t="shared" si="55"/>
        <v>0</v>
      </c>
      <c r="BJ17" s="1201">
        <f t="shared" si="55"/>
        <v>0</v>
      </c>
      <c r="BK17" s="1201">
        <f t="shared" si="55"/>
        <v>0</v>
      </c>
      <c r="BL17" s="1201">
        <f t="shared" si="55"/>
        <v>0</v>
      </c>
      <c r="BM17" s="1201">
        <f t="shared" si="55"/>
        <v>0</v>
      </c>
      <c r="BN17" s="1201">
        <f t="shared" si="55"/>
        <v>0</v>
      </c>
      <c r="BO17" s="1201">
        <f t="shared" si="55"/>
        <v>0</v>
      </c>
      <c r="BP17" s="1201">
        <f t="shared" si="55"/>
        <v>0</v>
      </c>
      <c r="BQ17" s="1201">
        <f t="shared" si="55"/>
        <v>0</v>
      </c>
      <c r="BR17" s="1201">
        <f t="shared" si="55"/>
        <v>0</v>
      </c>
      <c r="BS17" s="1201">
        <f t="shared" si="55"/>
        <v>0</v>
      </c>
      <c r="BT17" s="1201">
        <f t="shared" si="55"/>
        <v>0</v>
      </c>
      <c r="BU17" s="1201">
        <f t="shared" si="55"/>
        <v>0</v>
      </c>
      <c r="BV17" s="1201">
        <f t="shared" si="55"/>
        <v>0</v>
      </c>
      <c r="BW17" s="1201">
        <f t="shared" si="55"/>
        <v>0</v>
      </c>
      <c r="BX17" s="1201">
        <f t="shared" si="55"/>
        <v>0</v>
      </c>
      <c r="BY17" s="1201">
        <f t="shared" si="55"/>
        <v>0</v>
      </c>
      <c r="BZ17" s="1201">
        <f t="shared" si="55"/>
        <v>0</v>
      </c>
      <c r="CA17" s="1201">
        <f t="shared" si="55"/>
        <v>0</v>
      </c>
      <c r="CB17" s="1201">
        <f t="shared" si="55"/>
        <v>0</v>
      </c>
      <c r="CC17" s="1201">
        <f t="shared" si="55"/>
        <v>0</v>
      </c>
      <c r="CD17" s="1201">
        <f t="shared" si="55"/>
        <v>0</v>
      </c>
      <c r="CE17" s="1201">
        <f t="shared" ref="CE17:CY17" si="56">IF(CE3="Actual",1,0)</f>
        <v>0</v>
      </c>
      <c r="CF17" s="1201">
        <f t="shared" si="56"/>
        <v>0</v>
      </c>
      <c r="CG17" s="1201">
        <f t="shared" si="56"/>
        <v>0</v>
      </c>
      <c r="CH17" s="1201">
        <f t="shared" si="56"/>
        <v>0</v>
      </c>
      <c r="CI17" s="1201">
        <f t="shared" si="56"/>
        <v>0</v>
      </c>
      <c r="CJ17" s="1201">
        <f t="shared" si="56"/>
        <v>0</v>
      </c>
      <c r="CK17" s="1201">
        <f t="shared" si="56"/>
        <v>0</v>
      </c>
      <c r="CL17" s="1201">
        <f t="shared" si="56"/>
        <v>0</v>
      </c>
      <c r="CM17" s="1201">
        <f t="shared" si="56"/>
        <v>0</v>
      </c>
      <c r="CN17" s="1201">
        <f t="shared" si="56"/>
        <v>0</v>
      </c>
      <c r="CO17" s="1201">
        <f t="shared" si="56"/>
        <v>0</v>
      </c>
      <c r="CP17" s="1201">
        <f t="shared" si="56"/>
        <v>0</v>
      </c>
      <c r="CQ17" s="1201">
        <f t="shared" si="56"/>
        <v>0</v>
      </c>
      <c r="CR17" s="1201">
        <f t="shared" si="56"/>
        <v>0</v>
      </c>
      <c r="CS17" s="1201">
        <f t="shared" si="56"/>
        <v>0</v>
      </c>
      <c r="CT17" s="1201">
        <f t="shared" si="56"/>
        <v>0</v>
      </c>
      <c r="CU17" s="1201">
        <f t="shared" si="56"/>
        <v>0</v>
      </c>
      <c r="CV17" s="1201">
        <f t="shared" si="56"/>
        <v>0</v>
      </c>
      <c r="CW17" s="1201">
        <f t="shared" si="56"/>
        <v>0</v>
      </c>
      <c r="CX17" s="1201">
        <f t="shared" si="56"/>
        <v>0</v>
      </c>
      <c r="CY17" s="1201">
        <f t="shared" si="56"/>
        <v>0</v>
      </c>
      <c r="CZ17" s="1201">
        <f t="shared" ref="CZ17:DJ17" si="57">IF(CZ3="Actual",1,0)</f>
        <v>0</v>
      </c>
      <c r="DA17" s="1201">
        <f t="shared" si="57"/>
        <v>0</v>
      </c>
      <c r="DB17" s="1201">
        <f t="shared" si="57"/>
        <v>0</v>
      </c>
      <c r="DC17" s="1201">
        <f t="shared" si="57"/>
        <v>0</v>
      </c>
      <c r="DD17" s="1201">
        <f t="shared" si="57"/>
        <v>0</v>
      </c>
      <c r="DE17" s="1201">
        <f t="shared" si="57"/>
        <v>0</v>
      </c>
      <c r="DF17" s="1201">
        <f t="shared" si="57"/>
        <v>0</v>
      </c>
      <c r="DG17" s="1201">
        <f t="shared" si="57"/>
        <v>0</v>
      </c>
      <c r="DH17" s="1201">
        <f t="shared" si="57"/>
        <v>0</v>
      </c>
      <c r="DI17" s="1201">
        <f t="shared" si="57"/>
        <v>0</v>
      </c>
      <c r="DJ17" s="1201">
        <f t="shared" si="57"/>
        <v>0</v>
      </c>
    </row>
    <row r="18" spans="1:114" outlineLevel="1">
      <c r="B18" s="1198" t="s">
        <v>2787</v>
      </c>
      <c r="H18" s="1199" t="s">
        <v>2786</v>
      </c>
      <c r="J18" s="1201">
        <f t="shared" ref="J18:Q18" si="58">IF(J3="Budget",1,0)</f>
        <v>0</v>
      </c>
      <c r="K18" s="1201">
        <f t="shared" si="58"/>
        <v>0</v>
      </c>
      <c r="L18" s="1201">
        <f t="shared" si="58"/>
        <v>1</v>
      </c>
      <c r="M18" s="1201">
        <f t="shared" si="58"/>
        <v>0</v>
      </c>
      <c r="N18" s="1201">
        <f t="shared" si="58"/>
        <v>0</v>
      </c>
      <c r="O18" s="1201">
        <f t="shared" si="58"/>
        <v>0</v>
      </c>
      <c r="P18" s="1201">
        <f t="shared" si="58"/>
        <v>0</v>
      </c>
      <c r="Q18" s="1201">
        <f t="shared" si="58"/>
        <v>0</v>
      </c>
      <c r="S18" s="1201">
        <f>IF(S3="Budget",1,0)</f>
        <v>0</v>
      </c>
      <c r="T18" s="1201">
        <f t="shared" ref="T18:CE18" si="59">IF(T3="Budget",1,0)</f>
        <v>0</v>
      </c>
      <c r="U18" s="1201">
        <f t="shared" si="59"/>
        <v>0</v>
      </c>
      <c r="V18" s="1201">
        <f t="shared" si="59"/>
        <v>0</v>
      </c>
      <c r="W18" s="1201">
        <f t="shared" si="59"/>
        <v>0</v>
      </c>
      <c r="X18" s="1201">
        <f t="shared" si="59"/>
        <v>0</v>
      </c>
      <c r="Y18" s="1201">
        <f t="shared" si="59"/>
        <v>0</v>
      </c>
      <c r="Z18" s="1201">
        <f t="shared" si="59"/>
        <v>0</v>
      </c>
      <c r="AA18" s="1201">
        <f t="shared" si="59"/>
        <v>0</v>
      </c>
      <c r="AB18" s="1201">
        <f t="shared" si="59"/>
        <v>0</v>
      </c>
      <c r="AC18" s="1201">
        <f t="shared" si="59"/>
        <v>0</v>
      </c>
      <c r="AD18" s="1201">
        <f t="shared" si="59"/>
        <v>0</v>
      </c>
      <c r="AE18" s="1201">
        <f t="shared" si="59"/>
        <v>0</v>
      </c>
      <c r="AF18" s="1201">
        <f t="shared" si="59"/>
        <v>0</v>
      </c>
      <c r="AG18" s="1201">
        <f t="shared" si="59"/>
        <v>0</v>
      </c>
      <c r="AH18" s="1201">
        <f t="shared" si="59"/>
        <v>0</v>
      </c>
      <c r="AI18" s="1201">
        <f t="shared" si="59"/>
        <v>0</v>
      </c>
      <c r="AJ18" s="1201">
        <f t="shared" si="59"/>
        <v>0</v>
      </c>
      <c r="AK18" s="1201">
        <f t="shared" si="59"/>
        <v>0</v>
      </c>
      <c r="AL18" s="1201">
        <f t="shared" si="59"/>
        <v>0</v>
      </c>
      <c r="AM18" s="1201">
        <f t="shared" si="59"/>
        <v>0</v>
      </c>
      <c r="AN18" s="1201">
        <f t="shared" si="59"/>
        <v>0</v>
      </c>
      <c r="AO18" s="1201">
        <f t="shared" si="59"/>
        <v>0</v>
      </c>
      <c r="AP18" s="1201">
        <f t="shared" si="59"/>
        <v>0</v>
      </c>
      <c r="AQ18" s="1201">
        <f t="shared" si="59"/>
        <v>1</v>
      </c>
      <c r="AR18" s="1201">
        <f t="shared" si="59"/>
        <v>1</v>
      </c>
      <c r="AS18" s="1201">
        <f t="shared" si="59"/>
        <v>1</v>
      </c>
      <c r="AT18" s="1201">
        <f t="shared" si="59"/>
        <v>1</v>
      </c>
      <c r="AU18" s="1201">
        <f t="shared" si="59"/>
        <v>1</v>
      </c>
      <c r="AV18" s="1201">
        <f t="shared" si="59"/>
        <v>1</v>
      </c>
      <c r="AW18" s="1201">
        <f t="shared" si="59"/>
        <v>1</v>
      </c>
      <c r="AX18" s="1201">
        <f t="shared" si="59"/>
        <v>1</v>
      </c>
      <c r="AY18" s="1201">
        <f t="shared" si="59"/>
        <v>1</v>
      </c>
      <c r="AZ18" s="1201">
        <f t="shared" si="59"/>
        <v>1</v>
      </c>
      <c r="BA18" s="1201">
        <f t="shared" si="59"/>
        <v>1</v>
      </c>
      <c r="BB18" s="1201">
        <f t="shared" si="59"/>
        <v>1</v>
      </c>
      <c r="BC18" s="1201">
        <f t="shared" si="59"/>
        <v>0</v>
      </c>
      <c r="BD18" s="1201">
        <f t="shared" si="59"/>
        <v>0</v>
      </c>
      <c r="BE18" s="1201">
        <f t="shared" si="59"/>
        <v>0</v>
      </c>
      <c r="BF18" s="1201">
        <f t="shared" si="59"/>
        <v>0</v>
      </c>
      <c r="BG18" s="1201">
        <f t="shared" si="59"/>
        <v>0</v>
      </c>
      <c r="BH18" s="1201">
        <f t="shared" si="59"/>
        <v>0</v>
      </c>
      <c r="BI18" s="1201">
        <f t="shared" si="59"/>
        <v>0</v>
      </c>
      <c r="BJ18" s="1201">
        <f t="shared" si="59"/>
        <v>0</v>
      </c>
      <c r="BK18" s="1201">
        <f t="shared" si="59"/>
        <v>0</v>
      </c>
      <c r="BL18" s="1201">
        <f t="shared" si="59"/>
        <v>0</v>
      </c>
      <c r="BM18" s="1201">
        <f t="shared" si="59"/>
        <v>0</v>
      </c>
      <c r="BN18" s="1201">
        <f t="shared" si="59"/>
        <v>0</v>
      </c>
      <c r="BO18" s="1201">
        <f t="shared" si="59"/>
        <v>0</v>
      </c>
      <c r="BP18" s="1201">
        <f t="shared" si="59"/>
        <v>0</v>
      </c>
      <c r="BQ18" s="1201">
        <f t="shared" si="59"/>
        <v>0</v>
      </c>
      <c r="BR18" s="1201">
        <f t="shared" si="59"/>
        <v>0</v>
      </c>
      <c r="BS18" s="1201">
        <f t="shared" si="59"/>
        <v>0</v>
      </c>
      <c r="BT18" s="1201">
        <f t="shared" si="59"/>
        <v>0</v>
      </c>
      <c r="BU18" s="1201">
        <f t="shared" si="59"/>
        <v>0</v>
      </c>
      <c r="BV18" s="1201">
        <f t="shared" si="59"/>
        <v>0</v>
      </c>
      <c r="BW18" s="1201">
        <f t="shared" si="59"/>
        <v>0</v>
      </c>
      <c r="BX18" s="1201">
        <f t="shared" si="59"/>
        <v>0</v>
      </c>
      <c r="BY18" s="1201">
        <f t="shared" si="59"/>
        <v>0</v>
      </c>
      <c r="BZ18" s="1201">
        <f t="shared" si="59"/>
        <v>0</v>
      </c>
      <c r="CA18" s="1201">
        <f t="shared" si="59"/>
        <v>0</v>
      </c>
      <c r="CB18" s="1201">
        <f t="shared" si="59"/>
        <v>0</v>
      </c>
      <c r="CC18" s="1201">
        <f t="shared" si="59"/>
        <v>0</v>
      </c>
      <c r="CD18" s="1201">
        <f t="shared" si="59"/>
        <v>0</v>
      </c>
      <c r="CE18" s="1201">
        <f t="shared" si="59"/>
        <v>0</v>
      </c>
      <c r="CF18" s="1201">
        <f t="shared" ref="CF18:CY18" si="60">IF(CF3="Budget",1,0)</f>
        <v>0</v>
      </c>
      <c r="CG18" s="1201">
        <f t="shared" si="60"/>
        <v>0</v>
      </c>
      <c r="CH18" s="1201">
        <f t="shared" si="60"/>
        <v>0</v>
      </c>
      <c r="CI18" s="1201">
        <f t="shared" si="60"/>
        <v>0</v>
      </c>
      <c r="CJ18" s="1201">
        <f t="shared" si="60"/>
        <v>0</v>
      </c>
      <c r="CK18" s="1201">
        <f t="shared" si="60"/>
        <v>0</v>
      </c>
      <c r="CL18" s="1201">
        <f t="shared" si="60"/>
        <v>0</v>
      </c>
      <c r="CM18" s="1201">
        <f t="shared" si="60"/>
        <v>0</v>
      </c>
      <c r="CN18" s="1201">
        <f t="shared" si="60"/>
        <v>0</v>
      </c>
      <c r="CO18" s="1201">
        <f t="shared" si="60"/>
        <v>0</v>
      </c>
      <c r="CP18" s="1201">
        <f t="shared" si="60"/>
        <v>0</v>
      </c>
      <c r="CQ18" s="1201">
        <f t="shared" si="60"/>
        <v>0</v>
      </c>
      <c r="CR18" s="1201">
        <f t="shared" si="60"/>
        <v>0</v>
      </c>
      <c r="CS18" s="1201">
        <f t="shared" si="60"/>
        <v>0</v>
      </c>
      <c r="CT18" s="1201">
        <f t="shared" si="60"/>
        <v>0</v>
      </c>
      <c r="CU18" s="1201">
        <f t="shared" si="60"/>
        <v>0</v>
      </c>
      <c r="CV18" s="1201">
        <f t="shared" si="60"/>
        <v>0</v>
      </c>
      <c r="CW18" s="1201">
        <f t="shared" si="60"/>
        <v>0</v>
      </c>
      <c r="CX18" s="1201">
        <f t="shared" si="60"/>
        <v>0</v>
      </c>
      <c r="CY18" s="1201">
        <f t="shared" si="60"/>
        <v>0</v>
      </c>
      <c r="CZ18" s="1201">
        <f t="shared" ref="CZ18:DJ18" si="61">IF(CZ3="Budget",1,0)</f>
        <v>0</v>
      </c>
      <c r="DA18" s="1201">
        <f t="shared" si="61"/>
        <v>0</v>
      </c>
      <c r="DB18" s="1201">
        <f t="shared" si="61"/>
        <v>0</v>
      </c>
      <c r="DC18" s="1201">
        <f t="shared" si="61"/>
        <v>0</v>
      </c>
      <c r="DD18" s="1201">
        <f t="shared" si="61"/>
        <v>0</v>
      </c>
      <c r="DE18" s="1201">
        <f t="shared" si="61"/>
        <v>0</v>
      </c>
      <c r="DF18" s="1201">
        <f t="shared" si="61"/>
        <v>0</v>
      </c>
      <c r="DG18" s="1201">
        <f t="shared" si="61"/>
        <v>0</v>
      </c>
      <c r="DH18" s="1201">
        <f t="shared" si="61"/>
        <v>0</v>
      </c>
      <c r="DI18" s="1201">
        <f t="shared" si="61"/>
        <v>0</v>
      </c>
      <c r="DJ18" s="1201">
        <f t="shared" si="61"/>
        <v>0</v>
      </c>
    </row>
    <row r="19" spans="1:114" outlineLevel="1">
      <c r="B19" s="1198" t="s">
        <v>2788</v>
      </c>
      <c r="H19" s="1199" t="s">
        <v>2786</v>
      </c>
      <c r="J19" s="1201">
        <f t="shared" ref="J19:Q19" si="62">IF(J3="Forecast",1,0)</f>
        <v>0</v>
      </c>
      <c r="K19" s="1201">
        <f t="shared" si="62"/>
        <v>0</v>
      </c>
      <c r="L19" s="1201">
        <f t="shared" si="62"/>
        <v>0</v>
      </c>
      <c r="M19" s="1201">
        <f t="shared" si="62"/>
        <v>1</v>
      </c>
      <c r="N19" s="1201">
        <f t="shared" si="62"/>
        <v>1</v>
      </c>
      <c r="O19" s="1201">
        <f t="shared" si="62"/>
        <v>1</v>
      </c>
      <c r="P19" s="1201">
        <f t="shared" si="62"/>
        <v>1</v>
      </c>
      <c r="Q19" s="1201">
        <f t="shared" si="62"/>
        <v>1</v>
      </c>
      <c r="S19" s="1201">
        <f t="shared" ref="S19:CD19" si="63">IF(S3="Forecast",1,0)</f>
        <v>0</v>
      </c>
      <c r="T19" s="1201">
        <f t="shared" si="63"/>
        <v>0</v>
      </c>
      <c r="U19" s="1201">
        <f t="shared" si="63"/>
        <v>0</v>
      </c>
      <c r="V19" s="1201">
        <f t="shared" si="63"/>
        <v>0</v>
      </c>
      <c r="W19" s="1201">
        <f t="shared" si="63"/>
        <v>0</v>
      </c>
      <c r="X19" s="1201">
        <f t="shared" si="63"/>
        <v>0</v>
      </c>
      <c r="Y19" s="1201">
        <f t="shared" si="63"/>
        <v>0</v>
      </c>
      <c r="Z19" s="1201">
        <f t="shared" si="63"/>
        <v>0</v>
      </c>
      <c r="AA19" s="1201">
        <f t="shared" si="63"/>
        <v>0</v>
      </c>
      <c r="AB19" s="1201">
        <f t="shared" si="63"/>
        <v>0</v>
      </c>
      <c r="AC19" s="1201">
        <f t="shared" si="63"/>
        <v>0</v>
      </c>
      <c r="AD19" s="1201">
        <f t="shared" si="63"/>
        <v>0</v>
      </c>
      <c r="AE19" s="1201">
        <f t="shared" si="63"/>
        <v>0</v>
      </c>
      <c r="AF19" s="1201">
        <f t="shared" si="63"/>
        <v>0</v>
      </c>
      <c r="AG19" s="1201">
        <f t="shared" si="63"/>
        <v>0</v>
      </c>
      <c r="AH19" s="1201">
        <f t="shared" si="63"/>
        <v>0</v>
      </c>
      <c r="AI19" s="1201">
        <f t="shared" si="63"/>
        <v>0</v>
      </c>
      <c r="AJ19" s="1201">
        <f t="shared" si="63"/>
        <v>0</v>
      </c>
      <c r="AK19" s="1201">
        <f t="shared" si="63"/>
        <v>0</v>
      </c>
      <c r="AL19" s="1201">
        <f t="shared" si="63"/>
        <v>0</v>
      </c>
      <c r="AM19" s="1201">
        <f t="shared" si="63"/>
        <v>0</v>
      </c>
      <c r="AN19" s="1201">
        <f t="shared" si="63"/>
        <v>0</v>
      </c>
      <c r="AO19" s="1201">
        <f t="shared" si="63"/>
        <v>0</v>
      </c>
      <c r="AP19" s="1201">
        <f t="shared" si="63"/>
        <v>0</v>
      </c>
      <c r="AQ19" s="1201">
        <f t="shared" si="63"/>
        <v>0</v>
      </c>
      <c r="AR19" s="1201">
        <f t="shared" si="63"/>
        <v>0</v>
      </c>
      <c r="AS19" s="1201">
        <f t="shared" si="63"/>
        <v>0</v>
      </c>
      <c r="AT19" s="1201">
        <f t="shared" si="63"/>
        <v>0</v>
      </c>
      <c r="AU19" s="1201">
        <f t="shared" si="63"/>
        <v>0</v>
      </c>
      <c r="AV19" s="1201">
        <f t="shared" si="63"/>
        <v>0</v>
      </c>
      <c r="AW19" s="1201">
        <f t="shared" si="63"/>
        <v>0</v>
      </c>
      <c r="AX19" s="1201">
        <f t="shared" si="63"/>
        <v>0</v>
      </c>
      <c r="AY19" s="1201">
        <f t="shared" si="63"/>
        <v>0</v>
      </c>
      <c r="AZ19" s="1201">
        <f t="shared" si="63"/>
        <v>0</v>
      </c>
      <c r="BA19" s="1201">
        <f t="shared" si="63"/>
        <v>0</v>
      </c>
      <c r="BB19" s="1201">
        <f t="shared" si="63"/>
        <v>0</v>
      </c>
      <c r="BC19" s="1201">
        <f t="shared" si="63"/>
        <v>1</v>
      </c>
      <c r="BD19" s="1201">
        <f t="shared" si="63"/>
        <v>1</v>
      </c>
      <c r="BE19" s="1201">
        <f t="shared" si="63"/>
        <v>1</v>
      </c>
      <c r="BF19" s="1201">
        <f t="shared" si="63"/>
        <v>1</v>
      </c>
      <c r="BG19" s="1201">
        <f t="shared" si="63"/>
        <v>1</v>
      </c>
      <c r="BH19" s="1201">
        <f t="shared" si="63"/>
        <v>1</v>
      </c>
      <c r="BI19" s="1201">
        <f t="shared" si="63"/>
        <v>1</v>
      </c>
      <c r="BJ19" s="1201">
        <f t="shared" si="63"/>
        <v>1</v>
      </c>
      <c r="BK19" s="1201">
        <f t="shared" si="63"/>
        <v>1</v>
      </c>
      <c r="BL19" s="1201">
        <f t="shared" si="63"/>
        <v>1</v>
      </c>
      <c r="BM19" s="1201">
        <f t="shared" si="63"/>
        <v>1</v>
      </c>
      <c r="BN19" s="1201">
        <f t="shared" si="63"/>
        <v>1</v>
      </c>
      <c r="BO19" s="1201">
        <f t="shared" si="63"/>
        <v>1</v>
      </c>
      <c r="BP19" s="1201">
        <f t="shared" si="63"/>
        <v>1</v>
      </c>
      <c r="BQ19" s="1201">
        <f t="shared" si="63"/>
        <v>1</v>
      </c>
      <c r="BR19" s="1201">
        <f t="shared" si="63"/>
        <v>1</v>
      </c>
      <c r="BS19" s="1201">
        <f t="shared" si="63"/>
        <v>1</v>
      </c>
      <c r="BT19" s="1201">
        <f t="shared" si="63"/>
        <v>1</v>
      </c>
      <c r="BU19" s="1201">
        <f t="shared" si="63"/>
        <v>1</v>
      </c>
      <c r="BV19" s="1201">
        <f t="shared" si="63"/>
        <v>1</v>
      </c>
      <c r="BW19" s="1201">
        <f t="shared" si="63"/>
        <v>1</v>
      </c>
      <c r="BX19" s="1201">
        <f t="shared" si="63"/>
        <v>1</v>
      </c>
      <c r="BY19" s="1201">
        <f t="shared" si="63"/>
        <v>1</v>
      </c>
      <c r="BZ19" s="1201">
        <f t="shared" si="63"/>
        <v>1</v>
      </c>
      <c r="CA19" s="1201">
        <f t="shared" si="63"/>
        <v>1</v>
      </c>
      <c r="CB19" s="1201">
        <f t="shared" si="63"/>
        <v>1</v>
      </c>
      <c r="CC19" s="1201">
        <f t="shared" si="63"/>
        <v>1</v>
      </c>
      <c r="CD19" s="1201">
        <f t="shared" si="63"/>
        <v>1</v>
      </c>
      <c r="CE19" s="1201">
        <f t="shared" ref="CE19:CY19" si="64">IF(CE3="Forecast",1,0)</f>
        <v>1</v>
      </c>
      <c r="CF19" s="1201">
        <f t="shared" si="64"/>
        <v>1</v>
      </c>
      <c r="CG19" s="1201">
        <f t="shared" si="64"/>
        <v>1</v>
      </c>
      <c r="CH19" s="1201">
        <f t="shared" si="64"/>
        <v>1</v>
      </c>
      <c r="CI19" s="1201">
        <f t="shared" si="64"/>
        <v>1</v>
      </c>
      <c r="CJ19" s="1201">
        <f t="shared" si="64"/>
        <v>1</v>
      </c>
      <c r="CK19" s="1201">
        <f t="shared" si="64"/>
        <v>1</v>
      </c>
      <c r="CL19" s="1201">
        <f t="shared" si="64"/>
        <v>1</v>
      </c>
      <c r="CM19" s="1201">
        <f t="shared" si="64"/>
        <v>1</v>
      </c>
      <c r="CN19" s="1201">
        <f t="shared" si="64"/>
        <v>1</v>
      </c>
      <c r="CO19" s="1201">
        <f t="shared" si="64"/>
        <v>1</v>
      </c>
      <c r="CP19" s="1201">
        <f t="shared" si="64"/>
        <v>1</v>
      </c>
      <c r="CQ19" s="1201">
        <f t="shared" si="64"/>
        <v>1</v>
      </c>
      <c r="CR19" s="1201">
        <f t="shared" si="64"/>
        <v>1</v>
      </c>
      <c r="CS19" s="1201">
        <f t="shared" si="64"/>
        <v>1</v>
      </c>
      <c r="CT19" s="1201">
        <f t="shared" si="64"/>
        <v>1</v>
      </c>
      <c r="CU19" s="1201">
        <f t="shared" si="64"/>
        <v>1</v>
      </c>
      <c r="CV19" s="1201">
        <f t="shared" si="64"/>
        <v>1</v>
      </c>
      <c r="CW19" s="1201">
        <f t="shared" si="64"/>
        <v>1</v>
      </c>
      <c r="CX19" s="1201">
        <f t="shared" si="64"/>
        <v>1</v>
      </c>
      <c r="CY19" s="1201">
        <f t="shared" si="64"/>
        <v>1</v>
      </c>
      <c r="CZ19" s="1201">
        <f t="shared" ref="CZ19:DJ19" si="65">IF(CZ3="Forecast",1,0)</f>
        <v>1</v>
      </c>
      <c r="DA19" s="1201">
        <f t="shared" si="65"/>
        <v>1</v>
      </c>
      <c r="DB19" s="1201">
        <f t="shared" si="65"/>
        <v>1</v>
      </c>
      <c r="DC19" s="1201">
        <f t="shared" si="65"/>
        <v>1</v>
      </c>
      <c r="DD19" s="1201">
        <f t="shared" si="65"/>
        <v>1</v>
      </c>
      <c r="DE19" s="1201">
        <f t="shared" si="65"/>
        <v>1</v>
      </c>
      <c r="DF19" s="1201">
        <f t="shared" si="65"/>
        <v>1</v>
      </c>
      <c r="DG19" s="1201">
        <f t="shared" si="65"/>
        <v>1</v>
      </c>
      <c r="DH19" s="1201">
        <f t="shared" si="65"/>
        <v>1</v>
      </c>
      <c r="DI19" s="1201">
        <f t="shared" si="65"/>
        <v>1</v>
      </c>
      <c r="DJ19" s="1201">
        <f t="shared" si="65"/>
        <v>1</v>
      </c>
    </row>
    <row r="20" spans="1:114" outlineLevel="1">
      <c r="B20" s="1198" t="s">
        <v>2789</v>
      </c>
      <c r="H20" s="1199" t="s">
        <v>2786</v>
      </c>
      <c r="J20" s="1201">
        <f>IF(SUM(J17:J18)&gt;0,1,0)</f>
        <v>1</v>
      </c>
      <c r="K20" s="1201">
        <f t="shared" ref="K20:BU20" si="66">IF(SUM(K17:K18)&gt;0,1,0)</f>
        <v>1</v>
      </c>
      <c r="L20" s="1201">
        <f t="shared" si="66"/>
        <v>1</v>
      </c>
      <c r="M20" s="1201">
        <f t="shared" si="66"/>
        <v>0</v>
      </c>
      <c r="N20" s="1201">
        <f t="shared" si="66"/>
        <v>0</v>
      </c>
      <c r="O20" s="1201">
        <f t="shared" si="66"/>
        <v>0</v>
      </c>
      <c r="P20" s="1201">
        <f t="shared" si="66"/>
        <v>0</v>
      </c>
      <c r="Q20" s="1201">
        <f t="shared" si="66"/>
        <v>0</v>
      </c>
      <c r="S20" s="1201">
        <f t="shared" si="66"/>
        <v>1</v>
      </c>
      <c r="T20" s="1201">
        <f t="shared" si="66"/>
        <v>1</v>
      </c>
      <c r="U20" s="1201">
        <f t="shared" si="66"/>
        <v>1</v>
      </c>
      <c r="V20" s="1201">
        <f t="shared" si="66"/>
        <v>1</v>
      </c>
      <c r="W20" s="1201">
        <f t="shared" si="66"/>
        <v>1</v>
      </c>
      <c r="X20" s="1201">
        <f t="shared" si="66"/>
        <v>1</v>
      </c>
      <c r="Y20" s="1201">
        <f t="shared" si="66"/>
        <v>1</v>
      </c>
      <c r="Z20" s="1201">
        <f t="shared" si="66"/>
        <v>1</v>
      </c>
      <c r="AA20" s="1201">
        <f t="shared" si="66"/>
        <v>1</v>
      </c>
      <c r="AB20" s="1201">
        <f t="shared" si="66"/>
        <v>1</v>
      </c>
      <c r="AC20" s="1201">
        <f t="shared" si="66"/>
        <v>1</v>
      </c>
      <c r="AD20" s="1201">
        <f t="shared" si="66"/>
        <v>1</v>
      </c>
      <c r="AE20" s="1201">
        <f t="shared" si="66"/>
        <v>1</v>
      </c>
      <c r="AF20" s="1201">
        <f t="shared" si="66"/>
        <v>1</v>
      </c>
      <c r="AG20" s="1201">
        <f t="shared" si="66"/>
        <v>1</v>
      </c>
      <c r="AH20" s="1201">
        <f t="shared" si="66"/>
        <v>1</v>
      </c>
      <c r="AI20" s="1201">
        <f t="shared" si="66"/>
        <v>1</v>
      </c>
      <c r="AJ20" s="1201">
        <f t="shared" si="66"/>
        <v>1</v>
      </c>
      <c r="AK20" s="1201">
        <f t="shared" si="66"/>
        <v>1</v>
      </c>
      <c r="AL20" s="1201">
        <f t="shared" si="66"/>
        <v>1</v>
      </c>
      <c r="AM20" s="1201">
        <f t="shared" si="66"/>
        <v>1</v>
      </c>
      <c r="AN20" s="1201">
        <f t="shared" si="66"/>
        <v>1</v>
      </c>
      <c r="AO20" s="1201">
        <f t="shared" si="66"/>
        <v>1</v>
      </c>
      <c r="AP20" s="1201">
        <f t="shared" si="66"/>
        <v>1</v>
      </c>
      <c r="AQ20" s="1201">
        <f t="shared" si="66"/>
        <v>1</v>
      </c>
      <c r="AR20" s="1201">
        <f t="shared" si="66"/>
        <v>1</v>
      </c>
      <c r="AS20" s="1201">
        <f t="shared" si="66"/>
        <v>1</v>
      </c>
      <c r="AT20" s="1201">
        <f t="shared" si="66"/>
        <v>1</v>
      </c>
      <c r="AU20" s="1201">
        <f t="shared" si="66"/>
        <v>1</v>
      </c>
      <c r="AV20" s="1201">
        <f t="shared" si="66"/>
        <v>1</v>
      </c>
      <c r="AW20" s="1201">
        <f t="shared" si="66"/>
        <v>1</v>
      </c>
      <c r="AX20" s="1201">
        <f t="shared" si="66"/>
        <v>1</v>
      </c>
      <c r="AY20" s="1201">
        <f t="shared" si="66"/>
        <v>1</v>
      </c>
      <c r="AZ20" s="1201">
        <f t="shared" si="66"/>
        <v>1</v>
      </c>
      <c r="BA20" s="1201">
        <f t="shared" si="66"/>
        <v>1</v>
      </c>
      <c r="BB20" s="1201">
        <f t="shared" si="66"/>
        <v>1</v>
      </c>
      <c r="BC20" s="1201">
        <f t="shared" si="66"/>
        <v>0</v>
      </c>
      <c r="BD20" s="1201">
        <f t="shared" si="66"/>
        <v>0</v>
      </c>
      <c r="BE20" s="1201">
        <f t="shared" si="66"/>
        <v>0</v>
      </c>
      <c r="BF20" s="1201">
        <f t="shared" si="66"/>
        <v>0</v>
      </c>
      <c r="BG20" s="1201">
        <f t="shared" si="66"/>
        <v>0</v>
      </c>
      <c r="BH20" s="1201">
        <f t="shared" si="66"/>
        <v>0</v>
      </c>
      <c r="BI20" s="1201">
        <f t="shared" si="66"/>
        <v>0</v>
      </c>
      <c r="BJ20" s="1201">
        <f t="shared" si="66"/>
        <v>0</v>
      </c>
      <c r="BK20" s="1201">
        <f t="shared" si="66"/>
        <v>0</v>
      </c>
      <c r="BL20" s="1201">
        <f t="shared" si="66"/>
        <v>0</v>
      </c>
      <c r="BM20" s="1201">
        <f t="shared" si="66"/>
        <v>0</v>
      </c>
      <c r="BN20" s="1201">
        <f t="shared" si="66"/>
        <v>0</v>
      </c>
      <c r="BO20" s="1201">
        <f t="shared" si="66"/>
        <v>0</v>
      </c>
      <c r="BP20" s="1201">
        <f t="shared" si="66"/>
        <v>0</v>
      </c>
      <c r="BQ20" s="1201">
        <f t="shared" si="66"/>
        <v>0</v>
      </c>
      <c r="BR20" s="1201">
        <f t="shared" si="66"/>
        <v>0</v>
      </c>
      <c r="BS20" s="1201">
        <f t="shared" si="66"/>
        <v>0</v>
      </c>
      <c r="BT20" s="1201">
        <f t="shared" si="66"/>
        <v>0</v>
      </c>
      <c r="BU20" s="1201">
        <f t="shared" si="66"/>
        <v>0</v>
      </c>
      <c r="BV20" s="1201">
        <f t="shared" ref="BV20:DJ20" si="67">IF(SUM(BV17:BV18)&gt;0,1,0)</f>
        <v>0</v>
      </c>
      <c r="BW20" s="1201">
        <f t="shared" si="67"/>
        <v>0</v>
      </c>
      <c r="BX20" s="1201">
        <f t="shared" si="67"/>
        <v>0</v>
      </c>
      <c r="BY20" s="1201">
        <f t="shared" si="67"/>
        <v>0</v>
      </c>
      <c r="BZ20" s="1201">
        <f t="shared" si="67"/>
        <v>0</v>
      </c>
      <c r="CA20" s="1201">
        <f t="shared" si="67"/>
        <v>0</v>
      </c>
      <c r="CB20" s="1201">
        <f t="shared" si="67"/>
        <v>0</v>
      </c>
      <c r="CC20" s="1201">
        <f t="shared" si="67"/>
        <v>0</v>
      </c>
      <c r="CD20" s="1201">
        <f t="shared" si="67"/>
        <v>0</v>
      </c>
      <c r="CE20" s="1201">
        <f t="shared" si="67"/>
        <v>0</v>
      </c>
      <c r="CF20" s="1201">
        <f t="shared" si="67"/>
        <v>0</v>
      </c>
      <c r="CG20" s="1201">
        <f t="shared" si="67"/>
        <v>0</v>
      </c>
      <c r="CH20" s="1201">
        <f t="shared" si="67"/>
        <v>0</v>
      </c>
      <c r="CI20" s="1201">
        <f t="shared" si="67"/>
        <v>0</v>
      </c>
      <c r="CJ20" s="1201">
        <f t="shared" si="67"/>
        <v>0</v>
      </c>
      <c r="CK20" s="1201">
        <f t="shared" si="67"/>
        <v>0</v>
      </c>
      <c r="CL20" s="1201">
        <f t="shared" si="67"/>
        <v>0</v>
      </c>
      <c r="CM20" s="1201">
        <f t="shared" si="67"/>
        <v>0</v>
      </c>
      <c r="CN20" s="1201">
        <f t="shared" si="67"/>
        <v>0</v>
      </c>
      <c r="CO20" s="1201">
        <f t="shared" si="67"/>
        <v>0</v>
      </c>
      <c r="CP20" s="1201">
        <f t="shared" si="67"/>
        <v>0</v>
      </c>
      <c r="CQ20" s="1201">
        <f t="shared" si="67"/>
        <v>0</v>
      </c>
      <c r="CR20" s="1201">
        <f t="shared" si="67"/>
        <v>0</v>
      </c>
      <c r="CS20" s="1201">
        <f t="shared" si="67"/>
        <v>0</v>
      </c>
      <c r="CT20" s="1201">
        <f t="shared" si="67"/>
        <v>0</v>
      </c>
      <c r="CU20" s="1201">
        <f t="shared" si="67"/>
        <v>0</v>
      </c>
      <c r="CV20" s="1201">
        <f t="shared" si="67"/>
        <v>0</v>
      </c>
      <c r="CW20" s="1201">
        <f t="shared" si="67"/>
        <v>0</v>
      </c>
      <c r="CX20" s="1201">
        <f t="shared" si="67"/>
        <v>0</v>
      </c>
      <c r="CY20" s="1201">
        <f t="shared" si="67"/>
        <v>0</v>
      </c>
      <c r="CZ20" s="1201">
        <f t="shared" si="67"/>
        <v>0</v>
      </c>
      <c r="DA20" s="1201">
        <f t="shared" si="67"/>
        <v>0</v>
      </c>
      <c r="DB20" s="1201">
        <f t="shared" si="67"/>
        <v>0</v>
      </c>
      <c r="DC20" s="1201">
        <f t="shared" si="67"/>
        <v>0</v>
      </c>
      <c r="DD20" s="1201">
        <f t="shared" si="67"/>
        <v>0</v>
      </c>
      <c r="DE20" s="1201">
        <f t="shared" si="67"/>
        <v>0</v>
      </c>
      <c r="DF20" s="1201">
        <f t="shared" si="67"/>
        <v>0</v>
      </c>
      <c r="DG20" s="1201">
        <f t="shared" si="67"/>
        <v>0</v>
      </c>
      <c r="DH20" s="1201">
        <f t="shared" si="67"/>
        <v>0</v>
      </c>
      <c r="DI20" s="1201">
        <f t="shared" si="67"/>
        <v>0</v>
      </c>
      <c r="DJ20" s="1201">
        <f t="shared" si="67"/>
        <v>0</v>
      </c>
    </row>
    <row r="22" spans="1:114" ht="15">
      <c r="B22" s="1189" t="s">
        <v>2790</v>
      </c>
      <c r="C22" s="1189"/>
      <c r="D22" s="1189"/>
      <c r="E22" s="1189"/>
      <c r="F22" s="1189"/>
      <c r="G22" s="1189"/>
      <c r="H22" s="1189"/>
      <c r="I22" s="1189"/>
      <c r="J22" s="1196"/>
      <c r="K22" s="1196"/>
      <c r="L22" s="1196"/>
      <c r="M22" s="1196"/>
      <c r="N22" s="1196"/>
      <c r="O22" s="1196"/>
      <c r="P22" s="1196"/>
      <c r="Q22" s="1196"/>
      <c r="R22" s="1189"/>
      <c r="S22" s="1189"/>
      <c r="T22" s="1189"/>
      <c r="U22" s="1189"/>
      <c r="V22" s="1189"/>
      <c r="W22" s="1189"/>
      <c r="X22" s="1189"/>
      <c r="Y22" s="1189"/>
      <c r="Z22" s="1189"/>
      <c r="AA22" s="1189"/>
      <c r="AB22" s="1189"/>
      <c r="AC22" s="1189"/>
      <c r="AD22" s="1189"/>
      <c r="AE22" s="1189"/>
      <c r="AF22" s="1189"/>
      <c r="AG22" s="1189"/>
      <c r="AH22" s="1189"/>
      <c r="AI22" s="1189"/>
      <c r="AJ22" s="1189"/>
      <c r="AK22" s="1189"/>
      <c r="AL22" s="1189"/>
      <c r="AM22" s="1189"/>
      <c r="AN22" s="1189"/>
      <c r="AO22" s="1189"/>
      <c r="AP22" s="1189"/>
      <c r="AQ22" s="1189"/>
      <c r="AR22" s="1189"/>
      <c r="AS22" s="1189"/>
      <c r="AT22" s="1189"/>
      <c r="AU22" s="1189"/>
      <c r="AV22" s="1189"/>
      <c r="AW22" s="1189"/>
      <c r="AX22" s="1189"/>
      <c r="AY22" s="1189"/>
      <c r="AZ22" s="1189"/>
      <c r="BA22" s="1189"/>
      <c r="BB22" s="1189"/>
      <c r="BC22" s="1189"/>
      <c r="BD22" s="1189"/>
      <c r="BE22" s="1189"/>
      <c r="BF22" s="1189"/>
      <c r="BG22" s="1189"/>
      <c r="BH22" s="1189"/>
      <c r="BI22" s="1189"/>
      <c r="BJ22" s="1189"/>
      <c r="BK22" s="1189"/>
      <c r="BL22" s="1189"/>
      <c r="BM22" s="1189"/>
      <c r="BN22" s="1189"/>
      <c r="BO22" s="1189"/>
      <c r="BP22" s="1189"/>
      <c r="BQ22" s="1189"/>
      <c r="BR22" s="1189"/>
      <c r="BS22" s="1189"/>
      <c r="BT22" s="1189"/>
      <c r="BU22" s="1189"/>
      <c r="BV22" s="1189"/>
      <c r="BW22" s="1189"/>
      <c r="BX22" s="1189"/>
      <c r="BY22" s="1189"/>
      <c r="BZ22" s="1189"/>
      <c r="CA22" s="1189"/>
      <c r="CB22" s="1189"/>
      <c r="CC22" s="1189"/>
      <c r="CD22" s="1189"/>
      <c r="CE22" s="1189"/>
      <c r="CF22" s="1189"/>
      <c r="CG22" s="1189"/>
      <c r="CH22" s="1189"/>
      <c r="CI22" s="1189"/>
      <c r="CJ22" s="1189"/>
      <c r="CK22" s="1189"/>
      <c r="CL22" s="1189"/>
      <c r="CM22" s="1189"/>
      <c r="CN22" s="1189"/>
      <c r="CO22" s="1189"/>
      <c r="CP22" s="1189"/>
      <c r="CQ22" s="1189"/>
      <c r="CR22" s="1189"/>
      <c r="CS22" s="1189"/>
      <c r="CT22" s="1189"/>
      <c r="CU22" s="1189"/>
      <c r="CV22" s="1189"/>
      <c r="CW22" s="1189"/>
      <c r="CX22" s="1189"/>
      <c r="CY22" s="1189"/>
      <c r="CZ22" s="1189"/>
      <c r="DA22" s="1189"/>
      <c r="DB22" s="1189"/>
      <c r="DC22" s="1189"/>
      <c r="DD22" s="1189"/>
      <c r="DE22" s="1189"/>
      <c r="DF22" s="1189"/>
      <c r="DG22" s="1189"/>
      <c r="DH22" s="1189"/>
      <c r="DI22" s="1189"/>
      <c r="DJ22" s="1189"/>
    </row>
    <row r="23" spans="1:114">
      <c r="B23" s="1202" t="s">
        <v>2791</v>
      </c>
    </row>
    <row r="24" spans="1:114">
      <c r="H24" s="1226" t="s">
        <v>2792</v>
      </c>
      <c r="J24" s="1223"/>
      <c r="K24" s="1224" t="s">
        <v>2938</v>
      </c>
      <c r="L24" s="1222"/>
    </row>
    <row r="25" spans="1:114">
      <c r="H25" s="1226" t="s">
        <v>2793</v>
      </c>
      <c r="J25" s="1198"/>
      <c r="K25" s="1225">
        <v>45163.391180555554</v>
      </c>
    </row>
    <row r="26" spans="1:114">
      <c r="B26" s="1202"/>
      <c r="H26" s="1194" t="s">
        <v>2834</v>
      </c>
      <c r="J26" s="1223">
        <f ca="1">FIND("[",CELL("filename",K31))+1</f>
        <v>93</v>
      </c>
      <c r="K26" s="1224" t="str">
        <f ca="1">MID(CELL("filename",J26),J26,FIND("]",CELL("filename",J26))-J26)</f>
        <v>Staff 132 Attachment 67 - OPC POD No. 6 (BS 7850) Parsons - SR_Forecast_Dec 2022 Actual_LTF_2022 (use going fwd_interface inclued).xlsm</v>
      </c>
    </row>
    <row r="27" spans="1:114">
      <c r="B27" s="1202"/>
    </row>
    <row r="28" spans="1:114" ht="14.25">
      <c r="A28" t="s">
        <v>2831</v>
      </c>
      <c r="B28" s="1203" t="s">
        <v>2794</v>
      </c>
      <c r="C28" s="1203"/>
      <c r="D28" s="1203"/>
      <c r="E28" s="1203"/>
      <c r="F28" s="1203"/>
      <c r="G28" s="1203"/>
      <c r="H28" s="1203"/>
      <c r="I28" s="1203"/>
      <c r="J28" s="1203"/>
      <c r="K28" s="1203"/>
      <c r="L28" s="1203"/>
      <c r="M28" s="1203"/>
      <c r="N28" s="1203"/>
      <c r="O28" s="1203"/>
      <c r="P28" s="1203"/>
      <c r="Q28" s="1203"/>
      <c r="R28" s="1203"/>
      <c r="S28" s="1203"/>
      <c r="T28" s="1203"/>
      <c r="U28" s="1203"/>
      <c r="V28" s="1203"/>
      <c r="W28" s="1203"/>
      <c r="X28" s="1203"/>
      <c r="Y28" s="1203"/>
      <c r="Z28" s="1203"/>
      <c r="AA28" s="1203"/>
      <c r="AB28" s="1203"/>
      <c r="AC28" s="1203"/>
      <c r="AD28" s="1203"/>
      <c r="AE28" s="1203"/>
      <c r="AF28" s="1203"/>
      <c r="AG28" s="1203"/>
      <c r="AH28" s="1203"/>
      <c r="AI28" s="1203"/>
      <c r="AJ28" s="1203"/>
      <c r="AK28" s="1203"/>
      <c r="AL28" s="1203"/>
      <c r="AM28" s="1203"/>
      <c r="AN28" s="1203"/>
      <c r="AO28" s="1203"/>
      <c r="AP28" s="1203"/>
      <c r="AQ28" s="1203"/>
      <c r="AR28" s="1203"/>
      <c r="AS28" s="1203"/>
      <c r="AT28" s="1203"/>
      <c r="AU28" s="1203"/>
      <c r="AV28" s="1203"/>
      <c r="AW28" s="1203"/>
      <c r="AX28" s="1203"/>
      <c r="AY28" s="1203"/>
      <c r="AZ28" s="1203"/>
      <c r="BA28" s="1203"/>
      <c r="BB28" s="1203"/>
      <c r="BC28" s="1203"/>
      <c r="BD28" s="1203"/>
      <c r="BE28" s="1203"/>
      <c r="BF28" s="1203"/>
      <c r="BG28" s="1203"/>
      <c r="BH28" s="1203"/>
      <c r="BI28" s="1203"/>
      <c r="BJ28" s="1203"/>
      <c r="BK28" s="1203"/>
      <c r="BL28" s="1203"/>
      <c r="BM28" s="1203"/>
      <c r="BN28" s="1203"/>
      <c r="BO28" s="1203"/>
      <c r="BP28" s="1203"/>
      <c r="BQ28" s="1203"/>
      <c r="BR28" s="1203"/>
      <c r="BS28" s="1203"/>
      <c r="BT28" s="1203"/>
      <c r="BU28" s="1203"/>
      <c r="BV28" s="1203"/>
      <c r="BW28" s="1203"/>
      <c r="BX28" s="1203"/>
      <c r="BY28" s="1203"/>
      <c r="BZ28" s="1203"/>
      <c r="CA28" s="1203"/>
      <c r="CB28" s="1203"/>
      <c r="CC28" s="1203"/>
      <c r="CD28" s="1203"/>
      <c r="CE28" s="1203"/>
      <c r="CF28" s="1203"/>
      <c r="CG28" s="1203"/>
      <c r="CH28" s="1203"/>
      <c r="CI28" s="1203"/>
      <c r="CJ28" s="1203"/>
      <c r="CK28" s="1203"/>
      <c r="CL28" s="1203"/>
      <c r="CM28" s="1203"/>
      <c r="CN28" s="1203"/>
      <c r="CO28" s="1203"/>
      <c r="CP28" s="1203"/>
      <c r="CQ28" s="1203"/>
      <c r="CR28" s="1203"/>
      <c r="CS28" s="1203"/>
      <c r="CT28" s="1203"/>
      <c r="CU28" s="1203"/>
      <c r="CV28" s="1203"/>
      <c r="CW28" s="1203"/>
      <c r="CX28" s="1203"/>
      <c r="CY28" s="1203"/>
      <c r="CZ28" s="1203"/>
      <c r="DA28" s="1203"/>
      <c r="DB28" s="1203"/>
      <c r="DC28" s="1203"/>
      <c r="DD28" s="1203"/>
      <c r="DE28" s="1203"/>
      <c r="DF28" s="1203"/>
      <c r="DG28" s="1203"/>
      <c r="DH28" s="1203"/>
      <c r="DI28" s="1203"/>
      <c r="DJ28" s="1203"/>
    </row>
    <row r="29" spans="1:114">
      <c r="B29" s="1202"/>
    </row>
    <row r="30" spans="1:114" ht="14.25">
      <c r="A30" t="s">
        <v>2831</v>
      </c>
      <c r="B30" s="1204" t="s">
        <v>2795</v>
      </c>
      <c r="C30" s="1204"/>
      <c r="D30" s="1204"/>
      <c r="E30" s="1204"/>
      <c r="F30" s="1204"/>
      <c r="G30" s="1204"/>
      <c r="H30" s="1204"/>
      <c r="I30" s="1204"/>
      <c r="J30" s="1204"/>
      <c r="K30" s="1204"/>
      <c r="L30" s="1204"/>
      <c r="M30" s="1204"/>
      <c r="N30" s="1204"/>
      <c r="O30" s="1204"/>
      <c r="P30" s="1204"/>
      <c r="Q30" s="1204"/>
      <c r="R30" s="1204"/>
      <c r="S30" s="1204"/>
      <c r="T30" s="1204"/>
      <c r="U30" s="1204"/>
      <c r="V30" s="1204"/>
      <c r="W30" s="1204"/>
      <c r="X30" s="1204"/>
      <c r="Y30" s="1204"/>
      <c r="Z30" s="1204"/>
      <c r="AA30" s="1204"/>
      <c r="AB30" s="1204"/>
      <c r="AC30" s="1204"/>
      <c r="AD30" s="1204"/>
      <c r="AE30" s="1204"/>
      <c r="AF30" s="1204"/>
      <c r="AG30" s="1204"/>
      <c r="AH30" s="1204"/>
      <c r="AI30" s="1204"/>
      <c r="AJ30" s="1204"/>
      <c r="AK30" s="1204"/>
      <c r="AL30" s="1204"/>
      <c r="AM30" s="1204"/>
      <c r="AN30" s="1204"/>
      <c r="AO30" s="1204"/>
      <c r="AP30" s="1204"/>
      <c r="AQ30" s="1204"/>
      <c r="AR30" s="1204"/>
      <c r="AS30" s="1204"/>
      <c r="AT30" s="1204"/>
      <c r="AU30" s="1204"/>
      <c r="AV30" s="1204"/>
      <c r="AW30" s="1204"/>
      <c r="AX30" s="1204"/>
      <c r="AY30" s="1204"/>
      <c r="AZ30" s="1204"/>
      <c r="BA30" s="1204"/>
      <c r="BB30" s="1204"/>
      <c r="BC30" s="1204"/>
      <c r="BD30" s="1204"/>
      <c r="BE30" s="1204"/>
      <c r="BF30" s="1204"/>
      <c r="BG30" s="1204"/>
      <c r="BH30" s="1204"/>
      <c r="BI30" s="1204"/>
      <c r="BJ30" s="1204"/>
      <c r="BK30" s="1204"/>
      <c r="BL30" s="1204"/>
      <c r="BM30" s="1204"/>
      <c r="BN30" s="1204"/>
      <c r="BO30" s="1204"/>
      <c r="BP30" s="1204"/>
      <c r="BQ30" s="1204"/>
      <c r="BR30" s="1204"/>
      <c r="BS30" s="1204"/>
      <c r="BT30" s="1204"/>
      <c r="BU30" s="1204"/>
      <c r="BV30" s="1204"/>
      <c r="BW30" s="1204"/>
      <c r="BX30" s="1204"/>
      <c r="BY30" s="1204"/>
      <c r="BZ30" s="1204"/>
      <c r="CA30" s="1204"/>
      <c r="CB30" s="1204"/>
      <c r="CC30" s="1204"/>
      <c r="CD30" s="1204"/>
      <c r="CE30" s="1204"/>
      <c r="CF30" s="1204"/>
      <c r="CG30" s="1204"/>
      <c r="CH30" s="1204"/>
      <c r="CI30" s="1204"/>
      <c r="CJ30" s="1204"/>
      <c r="CK30" s="1204"/>
      <c r="CL30" s="1204"/>
      <c r="CM30" s="1204"/>
      <c r="CN30" s="1204"/>
      <c r="CO30" s="1204"/>
      <c r="CP30" s="1204"/>
      <c r="CQ30" s="1204"/>
      <c r="CR30" s="1204"/>
      <c r="CS30" s="1204"/>
      <c r="CT30" s="1204"/>
      <c r="CU30" s="1204"/>
      <c r="CV30" s="1204"/>
      <c r="CW30" s="1204"/>
      <c r="CX30" s="1204"/>
      <c r="CY30" s="1204"/>
      <c r="CZ30" s="1204"/>
      <c r="DA30" s="1204"/>
      <c r="DB30" s="1204"/>
      <c r="DC30" s="1204"/>
      <c r="DD30" s="1204"/>
      <c r="DE30" s="1204"/>
      <c r="DF30" s="1204"/>
      <c r="DG30" s="1204"/>
      <c r="DH30" s="1204"/>
      <c r="DI30" s="1204"/>
      <c r="DJ30" s="1204"/>
    </row>
    <row r="31" spans="1:114" outlineLevel="1">
      <c r="B31" s="1202" t="s">
        <v>2796</v>
      </c>
    </row>
    <row r="32" spans="1:114" outlineLevel="1">
      <c r="B32" s="1202"/>
    </row>
    <row r="33" spans="2:17" ht="15" outlineLevel="1">
      <c r="B33" s="1197" t="s">
        <v>2797</v>
      </c>
      <c r="J33" s="1205"/>
      <c r="K33" s="1205"/>
    </row>
    <row r="34" spans="2:17" outlineLevel="1">
      <c r="B34" s="1198" t="s">
        <v>2798</v>
      </c>
      <c r="H34" s="1206" t="s">
        <v>2830</v>
      </c>
      <c r="J34" s="1207">
        <f>IF(J$2=YEAR(Report!$A$3),Report!$B55,0)</f>
        <v>0</v>
      </c>
      <c r="K34" s="1207">
        <f>IF(K$2=YEAR(Report!$A$3),Report!$B55,0)</f>
        <v>0</v>
      </c>
      <c r="L34" s="1207">
        <f>IF(L$2=YEAR(Report!$A$3),Report!$B55,0)</f>
        <v>2573845.285017692</v>
      </c>
      <c r="M34" s="1207">
        <f>IF(M$2=YEAR(Report!$A$3),Report!$B55,0)</f>
        <v>0</v>
      </c>
      <c r="N34" s="1207">
        <f>IF(N$2=YEAR(Report!$A$3),Report!$B55,0)</f>
        <v>0</v>
      </c>
      <c r="O34" s="1207">
        <f>IF(O$2=YEAR(Report!$A$3),Report!$B55,0)</f>
        <v>0</v>
      </c>
      <c r="P34" s="1207">
        <f>IF(P$2=YEAR(Report!$A$3),Report!$B55,0)</f>
        <v>0</v>
      </c>
      <c r="Q34" s="1207">
        <f>IF(Q$2=YEAR(Report!$A$3),Report!$B55,0)</f>
        <v>0</v>
      </c>
    </row>
    <row r="35" spans="2:17" outlineLevel="1">
      <c r="B35" s="1198" t="s">
        <v>133</v>
      </c>
      <c r="H35" s="1206" t="s">
        <v>2830</v>
      </c>
      <c r="J35" s="1207">
        <f>IF(J$2=YEAR(Report!$A$3),Report!$B63,0)</f>
        <v>0</v>
      </c>
      <c r="K35" s="1207">
        <f>IF(K$2=YEAR(Report!$A$3),Report!$B63,0)</f>
        <v>0</v>
      </c>
      <c r="L35" s="1207">
        <f>IF(L$2=YEAR(Report!$A$3),Report!$B63,0)</f>
        <v>-1109.9952713307698</v>
      </c>
      <c r="M35" s="1207">
        <f>IF(M$2=YEAR(Report!$A$3),Report!$B63,0)</f>
        <v>0</v>
      </c>
      <c r="N35" s="1207">
        <f>IF(N$2=YEAR(Report!$A$3),Report!$B63,0)</f>
        <v>0</v>
      </c>
      <c r="O35" s="1207">
        <f>IF(O$2=YEAR(Report!$A$3),Report!$B63,0)</f>
        <v>0</v>
      </c>
      <c r="P35" s="1207">
        <f>IF(P$2=YEAR(Report!$A$3),Report!$B63,0)</f>
        <v>0</v>
      </c>
      <c r="Q35" s="1207">
        <f>IF(Q$2=YEAR(Report!$A$3),Report!$B63,0)</f>
        <v>0</v>
      </c>
    </row>
    <row r="36" spans="2:17" outlineLevel="1">
      <c r="B36" s="1198" t="s">
        <v>534</v>
      </c>
      <c r="C36" s="1194"/>
      <c r="H36" s="1206" t="s">
        <v>2830</v>
      </c>
      <c r="J36" s="1207">
        <f>IF(J$2=YEAR(Report!$A$3),Report!$B74,0)</f>
        <v>0</v>
      </c>
      <c r="K36" s="1207">
        <f>IF(K$2=YEAR(Report!$A$3),Report!$B74,0)</f>
        <v>0</v>
      </c>
      <c r="L36" s="1207">
        <f>IF(L$2=YEAR(Report!$A$3),Report!$B74,0)</f>
        <v>-29839.959420000003</v>
      </c>
      <c r="M36" s="1207">
        <f>IF(M$2=YEAR(Report!$A$3),Report!$B74,0)</f>
        <v>0</v>
      </c>
      <c r="N36" s="1207">
        <f>IF(N$2=YEAR(Report!$A$3),Report!$B74,0)</f>
        <v>0</v>
      </c>
      <c r="O36" s="1207">
        <f>IF(O$2=YEAR(Report!$A$3),Report!$B74,0)</f>
        <v>0</v>
      </c>
      <c r="P36" s="1207">
        <f>IF(P$2=YEAR(Report!$A$3),Report!$B74,0)</f>
        <v>0</v>
      </c>
      <c r="Q36" s="1207">
        <f>IF(Q$2=YEAR(Report!$A$3),Report!$B74,0)</f>
        <v>0</v>
      </c>
    </row>
    <row r="37" spans="2:17" outlineLevel="1">
      <c r="B37" s="1210" t="s">
        <v>2799</v>
      </c>
      <c r="C37" s="1211"/>
      <c r="F37" s="1212" cm="1">
        <f t="array" ref="F37">IF(ABS(INDEX($J$37:$Q$37,_xlfn.XMATCH(YEAR(Report!$A$3),$J$2:$Q$2))-(Report!$B$79))&gt;Tolerance,1,0)</f>
        <v>0</v>
      </c>
      <c r="H37" s="1206" t="s">
        <v>2830</v>
      </c>
      <c r="J37" s="1209">
        <f>SUM(J34:J36)</f>
        <v>0</v>
      </c>
      <c r="K37" s="1209">
        <f t="shared" ref="K37:Q37" si="68">SUM(K34:K36)</f>
        <v>0</v>
      </c>
      <c r="L37" s="1209">
        <f t="shared" si="68"/>
        <v>2542895.3303263611</v>
      </c>
      <c r="M37" s="1209">
        <f t="shared" si="68"/>
        <v>0</v>
      </c>
      <c r="N37" s="1209">
        <f t="shared" si="68"/>
        <v>0</v>
      </c>
      <c r="O37" s="1209">
        <f t="shared" si="68"/>
        <v>0</v>
      </c>
      <c r="P37" s="1209">
        <f t="shared" si="68"/>
        <v>0</v>
      </c>
      <c r="Q37" s="1209">
        <f t="shared" si="68"/>
        <v>0</v>
      </c>
    </row>
    <row r="38" spans="2:17" outlineLevel="1"/>
    <row r="39" spans="2:17" ht="15" outlineLevel="1">
      <c r="B39" s="1197" t="s">
        <v>2800</v>
      </c>
      <c r="J39" s="1213"/>
      <c r="K39" s="1213"/>
    </row>
    <row r="40" spans="2:17" outlineLevel="1">
      <c r="B40" s="1198" t="s">
        <v>2798</v>
      </c>
      <c r="H40" s="1206" t="s">
        <v>2830</v>
      </c>
      <c r="J40" s="1207">
        <f>IF(J$2=YEAR(Report!$A$3),Report!$D55,0)</f>
        <v>0</v>
      </c>
      <c r="K40" s="1207">
        <f>IF(K$2=YEAR(Report!$A$3),Report!$D55,0)</f>
        <v>0</v>
      </c>
      <c r="L40" s="1207">
        <f>IF(L$2=YEAR(Report!$A$3),Report!$D55,0)</f>
        <v>5031.8972399999993</v>
      </c>
      <c r="M40" s="1207">
        <f>IF(M$2=YEAR(Report!$A$3),Report!$D55,0)</f>
        <v>0</v>
      </c>
      <c r="N40" s="1207">
        <f>IF(N$2=YEAR(Report!$A$3),Report!$D55,0)</f>
        <v>0</v>
      </c>
      <c r="O40" s="1207">
        <f>IF(O$2=YEAR(Report!$A$3),Report!$D55,0)</f>
        <v>0</v>
      </c>
      <c r="P40" s="1207">
        <f>IF(P$2=YEAR(Report!$A$3),Report!$D55,0)</f>
        <v>0</v>
      </c>
      <c r="Q40" s="1207">
        <f>IF(Q$2=YEAR(Report!$A$3),Report!$D55,0)</f>
        <v>0</v>
      </c>
    </row>
    <row r="41" spans="2:17" outlineLevel="1">
      <c r="B41" s="1214" t="s">
        <v>138</v>
      </c>
      <c r="H41" s="1206" t="s">
        <v>2830</v>
      </c>
      <c r="J41" s="1207">
        <f>IF(J$2=YEAR(Report!$A$3),Report!$D72,0)</f>
        <v>0</v>
      </c>
      <c r="K41" s="1207">
        <f>IF(K$2=YEAR(Report!$A$3),Report!$D72,0)</f>
        <v>0</v>
      </c>
      <c r="L41" s="1207">
        <f>IF(L$2=YEAR(Report!$A$3),Report!$D72,0)</f>
        <v>-2947</v>
      </c>
      <c r="M41" s="1207">
        <f>IF(M$2=YEAR(Report!$A$3),Report!$D72,0)</f>
        <v>0</v>
      </c>
      <c r="N41" s="1207">
        <f>IF(N$2=YEAR(Report!$A$3),Report!$D72,0)</f>
        <v>0</v>
      </c>
      <c r="O41" s="1207">
        <f>IF(O$2=YEAR(Report!$A$3),Report!$D72,0)</f>
        <v>0</v>
      </c>
      <c r="P41" s="1207">
        <f>IF(P$2=YEAR(Report!$A$3),Report!$D72,0)</f>
        <v>0</v>
      </c>
      <c r="Q41" s="1207">
        <f>IF(Q$2=YEAR(Report!$A$3),Report!$D72,0)</f>
        <v>0</v>
      </c>
    </row>
    <row r="42" spans="2:17" outlineLevel="1">
      <c r="B42" s="1210" t="s">
        <v>2801</v>
      </c>
      <c r="C42" s="1211"/>
      <c r="F42" s="1212" cm="1">
        <f t="array" ref="F42">IF(ABS(INDEX($J42:$Q42,_xlfn.XMATCH(YEAR(Report!$A$3),$J$2:$Q$2))-(Report!$D$79))&gt;Tolerance,1,0)</f>
        <v>0</v>
      </c>
      <c r="H42" s="1206" t="s">
        <v>2830</v>
      </c>
      <c r="J42" s="1209">
        <f>SUM(J40:J41)</f>
        <v>0</v>
      </c>
      <c r="K42" s="1209">
        <f t="shared" ref="K42:Q42" si="69">SUM(K40:K41)</f>
        <v>0</v>
      </c>
      <c r="L42" s="1209">
        <f t="shared" si="69"/>
        <v>2084.8972399999993</v>
      </c>
      <c r="M42" s="1209">
        <f t="shared" si="69"/>
        <v>0</v>
      </c>
      <c r="N42" s="1209">
        <f t="shared" si="69"/>
        <v>0</v>
      </c>
      <c r="O42" s="1209">
        <f t="shared" si="69"/>
        <v>0</v>
      </c>
      <c r="P42" s="1209">
        <f t="shared" si="69"/>
        <v>0</v>
      </c>
      <c r="Q42" s="1209">
        <f t="shared" si="69"/>
        <v>0</v>
      </c>
    </row>
    <row r="43" spans="2:17" outlineLevel="1"/>
    <row r="44" spans="2:17" ht="15" outlineLevel="1">
      <c r="B44" s="1197" t="s">
        <v>2802</v>
      </c>
      <c r="J44" s="1213"/>
      <c r="K44" s="1213"/>
    </row>
    <row r="45" spans="2:17" outlineLevel="1">
      <c r="B45" s="1198" t="s">
        <v>2798</v>
      </c>
      <c r="H45" s="1206" t="s">
        <v>2830</v>
      </c>
      <c r="J45" s="1207">
        <f>-IF(J$2=YEAR(Report!$A$3),Report!$F55,0)</f>
        <v>0</v>
      </c>
      <c r="K45" s="1207">
        <f>-IF(K$2=YEAR(Report!$A$3),Report!$F55,0)</f>
        <v>0</v>
      </c>
      <c r="L45" s="1207">
        <f>-IF(L$2=YEAR(Report!$A$3),Report!$F55,0)</f>
        <v>-867174.09407384624</v>
      </c>
      <c r="M45" s="1207">
        <f>-IF(M$2=YEAR(Report!$A$3),Report!$F55,0)</f>
        <v>0</v>
      </c>
      <c r="N45" s="1207">
        <f>-IF(N$2=YEAR(Report!$A$3),Report!$F55,0)</f>
        <v>0</v>
      </c>
      <c r="O45" s="1207">
        <f>-IF(O$2=YEAR(Report!$A$3),Report!$F55,0)</f>
        <v>0</v>
      </c>
      <c r="P45" s="1207">
        <f>-IF(P$2=YEAR(Report!$A$3),Report!$F55,0)</f>
        <v>0</v>
      </c>
      <c r="Q45" s="1207">
        <f>-IF(Q$2=YEAR(Report!$A$3),Report!$F55,0)</f>
        <v>0</v>
      </c>
    </row>
    <row r="46" spans="2:17" outlineLevel="1">
      <c r="B46" s="1214" t="s">
        <v>133</v>
      </c>
      <c r="H46" s="1206" t="s">
        <v>2830</v>
      </c>
      <c r="J46" s="1207">
        <f>-IF(J$2=YEAR(Report!$A$3),Report!$F63,0)</f>
        <v>0</v>
      </c>
      <c r="K46" s="1207">
        <f>-IF(K$2=YEAR(Report!$A$3),Report!$F63,0)</f>
        <v>0</v>
      </c>
      <c r="L46" s="1207">
        <f>-IF(L$2=YEAR(Report!$A$3),Report!$F63,0)</f>
        <v>419.40637115384629</v>
      </c>
      <c r="M46" s="1207">
        <f>-IF(M$2=YEAR(Report!$A$3),Report!$F63,0)</f>
        <v>0</v>
      </c>
      <c r="N46" s="1207">
        <f>-IF(N$2=YEAR(Report!$A$3),Report!$F63,0)</f>
        <v>0</v>
      </c>
      <c r="O46" s="1207">
        <f>-IF(O$2=YEAR(Report!$A$3),Report!$F63,0)</f>
        <v>0</v>
      </c>
      <c r="P46" s="1207">
        <f>-IF(P$2=YEAR(Report!$A$3),Report!$F63,0)</f>
        <v>0</v>
      </c>
      <c r="Q46" s="1207">
        <f>-IF(Q$2=YEAR(Report!$A$3),Report!$F63,0)</f>
        <v>0</v>
      </c>
    </row>
    <row r="47" spans="2:17" outlineLevel="1">
      <c r="B47" s="1198" t="s">
        <v>138</v>
      </c>
      <c r="H47" s="1206" t="s">
        <v>2830</v>
      </c>
      <c r="J47" s="1207">
        <f>-IF(J$2=YEAR(Report!$A$3),Report!$F72,0)</f>
        <v>0</v>
      </c>
      <c r="K47" s="1207">
        <f>-IF(K$2=YEAR(Report!$A$3),Report!$F72,0)</f>
        <v>0</v>
      </c>
      <c r="L47" s="1207">
        <f>-IF(L$2=YEAR(Report!$A$3),Report!$F72,0)</f>
        <v>2947</v>
      </c>
      <c r="M47" s="1207">
        <f>-IF(M$2=YEAR(Report!$A$3),Report!$F72,0)</f>
        <v>0</v>
      </c>
      <c r="N47" s="1207">
        <f>-IF(N$2=YEAR(Report!$A$3),Report!$F72,0)</f>
        <v>0</v>
      </c>
      <c r="O47" s="1207">
        <f>-IF(O$2=YEAR(Report!$A$3),Report!$F72,0)</f>
        <v>0</v>
      </c>
      <c r="P47" s="1207">
        <f>-IF(P$2=YEAR(Report!$A$3),Report!$F72,0)</f>
        <v>0</v>
      </c>
      <c r="Q47" s="1207">
        <f>-IF(Q$2=YEAR(Report!$A$3),Report!$F72,0)</f>
        <v>0</v>
      </c>
    </row>
    <row r="48" spans="2:17" outlineLevel="1">
      <c r="B48" s="1198" t="s">
        <v>534</v>
      </c>
      <c r="H48" s="1206" t="s">
        <v>2830</v>
      </c>
      <c r="J48" s="1208">
        <f>-IF(J$2=YEAR(Report!$A$3),Report!$F74,0)</f>
        <v>0</v>
      </c>
      <c r="K48" s="1208">
        <f>-IF(K$2=YEAR(Report!$A$3),Report!$F74,0)</f>
        <v>0</v>
      </c>
      <c r="L48" s="1208">
        <f>-IF(L$2=YEAR(Report!$A$3),Report!$F74,0)</f>
        <v>112.06761999999999</v>
      </c>
      <c r="M48" s="1208">
        <f>-IF(M$2=YEAR(Report!$A$3),Report!$F74,0)</f>
        <v>0</v>
      </c>
      <c r="N48" s="1208">
        <f>-IF(N$2=YEAR(Report!$A$3),Report!$F74,0)</f>
        <v>0</v>
      </c>
      <c r="O48" s="1208">
        <f>-IF(O$2=YEAR(Report!$A$3),Report!$F74,0)</f>
        <v>0</v>
      </c>
      <c r="P48" s="1208">
        <f>-IF(P$2=YEAR(Report!$A$3),Report!$F74,0)</f>
        <v>0</v>
      </c>
      <c r="Q48" s="1208">
        <f>-IF(Q$2=YEAR(Report!$A$3),Report!$F74,0)</f>
        <v>0</v>
      </c>
    </row>
    <row r="49" spans="2:17" outlineLevel="1">
      <c r="B49" s="1210" t="s">
        <v>2803</v>
      </c>
      <c r="C49" s="1211"/>
      <c r="F49" s="1212" cm="1">
        <f t="array" ref="F49">IF(ABS(INDEX($J49:$Q49,_xlfn.XMATCH(YEAR(Report!$A$3),$J$2:$Q$2))-(-Report!$F$79))&gt;Tolerance,1,0)</f>
        <v>0</v>
      </c>
      <c r="H49" s="1206" t="s">
        <v>2830</v>
      </c>
      <c r="J49" s="1209">
        <f>SUM(J45:J48)</f>
        <v>0</v>
      </c>
      <c r="K49" s="1209">
        <f t="shared" ref="K49:Q49" si="70">SUM(K45:K48)</f>
        <v>0</v>
      </c>
      <c r="L49" s="1209">
        <f t="shared" si="70"/>
        <v>-863695.62008269236</v>
      </c>
      <c r="M49" s="1209">
        <f t="shared" si="70"/>
        <v>0</v>
      </c>
      <c r="N49" s="1209">
        <f t="shared" si="70"/>
        <v>0</v>
      </c>
      <c r="O49" s="1209">
        <f t="shared" si="70"/>
        <v>0</v>
      </c>
      <c r="P49" s="1209">
        <f t="shared" si="70"/>
        <v>0</v>
      </c>
      <c r="Q49" s="1209">
        <f t="shared" si="70"/>
        <v>0</v>
      </c>
    </row>
    <row r="50" spans="2:17" outlineLevel="1"/>
    <row r="51" spans="2:17" ht="15" outlineLevel="1">
      <c r="B51" s="1197" t="s">
        <v>2804</v>
      </c>
      <c r="J51" s="1213"/>
      <c r="K51" s="1213"/>
    </row>
    <row r="52" spans="2:17" outlineLevel="1">
      <c r="B52" s="1198" t="s">
        <v>2798</v>
      </c>
      <c r="H52" s="1206" t="s">
        <v>2830</v>
      </c>
      <c r="J52" s="1207">
        <f>IF(J$2=YEAR(Report!$A$3),Report!$H55,0)</f>
        <v>0</v>
      </c>
      <c r="K52" s="1207">
        <f>IF(K$2=YEAR(Report!$A$3),Report!$H55,0)</f>
        <v>0</v>
      </c>
      <c r="L52" s="1207">
        <f>IF(L$2=YEAR(Report!$A$3),Report!$H55,0)</f>
        <v>20227.79474615385</v>
      </c>
      <c r="M52" s="1207">
        <f>IF(M$2=YEAR(Report!$A$3),Report!$H55,0)</f>
        <v>0</v>
      </c>
      <c r="N52" s="1207">
        <f>IF(N$2=YEAR(Report!$A$3),Report!$H55,0)</f>
        <v>0</v>
      </c>
      <c r="O52" s="1207">
        <f>IF(O$2=YEAR(Report!$A$3),Report!$H55,0)</f>
        <v>0</v>
      </c>
      <c r="P52" s="1207">
        <f>IF(P$2=YEAR(Report!$A$3),Report!$H55,0)</f>
        <v>0</v>
      </c>
      <c r="Q52" s="1207">
        <f>IF(Q$2=YEAR(Report!$A$3),Report!$H55,0)</f>
        <v>0</v>
      </c>
    </row>
    <row r="53" spans="2:17" outlineLevel="1">
      <c r="B53" s="1210" t="s">
        <v>2805</v>
      </c>
      <c r="C53" s="1211"/>
      <c r="F53" s="1212" cm="1">
        <f t="array" ref="F53">IF(ABS(INDEX($J53:$Q53,_xlfn.XMATCH(YEAR(Report!$A$3),$J$2:$Q$2))-(Report!$H$79))&gt;Tolerance,1,0)</f>
        <v>0</v>
      </c>
      <c r="H53" s="1206" t="s">
        <v>2830</v>
      </c>
      <c r="J53" s="1209">
        <f>SUM(J52)</f>
        <v>0</v>
      </c>
      <c r="K53" s="1209">
        <f t="shared" ref="K53:Q53" si="71">SUM(K52)</f>
        <v>0</v>
      </c>
      <c r="L53" s="1209">
        <f t="shared" si="71"/>
        <v>20227.79474615385</v>
      </c>
      <c r="M53" s="1209">
        <f t="shared" si="71"/>
        <v>0</v>
      </c>
      <c r="N53" s="1209">
        <f t="shared" si="71"/>
        <v>0</v>
      </c>
      <c r="O53" s="1209">
        <f t="shared" si="71"/>
        <v>0</v>
      </c>
      <c r="P53" s="1209">
        <f t="shared" si="71"/>
        <v>0</v>
      </c>
      <c r="Q53" s="1209">
        <f t="shared" si="71"/>
        <v>0</v>
      </c>
    </row>
    <row r="54" spans="2:17" outlineLevel="1"/>
    <row r="55" spans="2:17" ht="15" outlineLevel="1">
      <c r="B55" s="1197" t="s">
        <v>2806</v>
      </c>
      <c r="J55" s="1216"/>
      <c r="K55" s="1216"/>
    </row>
    <row r="56" spans="2:17" outlineLevel="1">
      <c r="B56" s="1198" t="s">
        <v>2798</v>
      </c>
      <c r="H56" s="1206" t="s">
        <v>2830</v>
      </c>
      <c r="J56" s="1207">
        <f>IF(J$2=YEAR(Report!$A$3),Report!$L55,0)</f>
        <v>0</v>
      </c>
      <c r="K56" s="1207">
        <f>IF(K$2=YEAR(Report!$A$3),Report!$L55,0)</f>
        <v>0</v>
      </c>
      <c r="L56" s="1207">
        <f>IF(L$2=YEAR(Report!$A$3),Report!$L55,0)</f>
        <v>1939.5515500000001</v>
      </c>
      <c r="M56" s="1207">
        <f>IF(M$2=YEAR(Report!$A$3),Report!$L55,0)</f>
        <v>0</v>
      </c>
      <c r="N56" s="1207">
        <f>IF(N$2=YEAR(Report!$A$3),Report!$L55,0)</f>
        <v>0</v>
      </c>
      <c r="O56" s="1207">
        <f>IF(O$2=YEAR(Report!$A$3),Report!$L55,0)</f>
        <v>0</v>
      </c>
      <c r="P56" s="1207">
        <f>IF(P$2=YEAR(Report!$A$3),Report!$L55,0)</f>
        <v>0</v>
      </c>
      <c r="Q56" s="1207">
        <f>IF(Q$2=YEAR(Report!$A$3),Report!$L55,0)</f>
        <v>0</v>
      </c>
    </row>
    <row r="57" spans="2:17" outlineLevel="1">
      <c r="B57" s="1214" t="s">
        <v>130</v>
      </c>
      <c r="H57" s="1206" t="s">
        <v>2830</v>
      </c>
      <c r="J57" s="1207">
        <f>IF(J$2=YEAR(Report!$A$3),Report!$L58,0)</f>
        <v>0</v>
      </c>
      <c r="K57" s="1207">
        <f>IF(K$2=YEAR(Report!$A$3),Report!$L58,0)</f>
        <v>0</v>
      </c>
      <c r="L57" s="1207">
        <f>IF(L$2=YEAR(Report!$A$3),Report!$L58,0)</f>
        <v>-1939.5515500000001</v>
      </c>
      <c r="M57" s="1207">
        <f>IF(M$2=YEAR(Report!$A$3),Report!$L58,0)</f>
        <v>0</v>
      </c>
      <c r="N57" s="1207">
        <f>IF(N$2=YEAR(Report!$A$3),Report!$L58,0)</f>
        <v>0</v>
      </c>
      <c r="O57" s="1207">
        <f>IF(O$2=YEAR(Report!$A$3),Report!$L58,0)</f>
        <v>0</v>
      </c>
      <c r="P57" s="1207">
        <f>IF(P$2=YEAR(Report!$A$3),Report!$L58,0)</f>
        <v>0</v>
      </c>
      <c r="Q57" s="1207">
        <f>IF(Q$2=YEAR(Report!$A$3),Report!$L58,0)</f>
        <v>0</v>
      </c>
    </row>
    <row r="58" spans="2:17" outlineLevel="1">
      <c r="B58" s="1210" t="s">
        <v>2807</v>
      </c>
      <c r="C58" s="1211"/>
      <c r="F58" s="1212" cm="1">
        <f t="array" ref="F58">IF(ABS(INDEX($J58:$Q58,_xlfn.XMATCH(YEAR(Report!$A$3),$J$2:$Q$2))-(Report!$L$79))&gt;Tolerance,1,0)</f>
        <v>0</v>
      </c>
      <c r="H58" s="1206" t="s">
        <v>2830</v>
      </c>
      <c r="J58" s="1209">
        <f>SUM(J56:J57)</f>
        <v>0</v>
      </c>
      <c r="K58" s="1209">
        <f t="shared" ref="K58:Q58" si="72">SUM(K56:K57)</f>
        <v>0</v>
      </c>
      <c r="L58" s="1209">
        <f t="shared" si="72"/>
        <v>0</v>
      </c>
      <c r="M58" s="1209">
        <f t="shared" si="72"/>
        <v>0</v>
      </c>
      <c r="N58" s="1209">
        <f t="shared" si="72"/>
        <v>0</v>
      </c>
      <c r="O58" s="1209">
        <f t="shared" si="72"/>
        <v>0</v>
      </c>
      <c r="P58" s="1209">
        <f t="shared" si="72"/>
        <v>0</v>
      </c>
      <c r="Q58" s="1209">
        <f t="shared" si="72"/>
        <v>0</v>
      </c>
    </row>
    <row r="59" spans="2:17" ht="15" outlineLevel="1">
      <c r="B59" s="1215"/>
      <c r="J59" s="1213"/>
      <c r="K59" s="1213"/>
    </row>
    <row r="60" spans="2:17" ht="15" outlineLevel="1">
      <c r="B60" s="1197" t="s">
        <v>2808</v>
      </c>
      <c r="J60" s="1205"/>
      <c r="K60" s="1205"/>
    </row>
    <row r="61" spans="2:17" outlineLevel="1">
      <c r="B61" s="1198" t="s">
        <v>2798</v>
      </c>
      <c r="H61" s="1206" t="s">
        <v>2830</v>
      </c>
      <c r="J61" s="1207">
        <f>IF(J$2=YEAR(Report!$A$3),Report!$N55,0)</f>
        <v>0</v>
      </c>
      <c r="K61" s="1207">
        <f>IF(K$2=YEAR(Report!$A$3),Report!$N55,0)</f>
        <v>0</v>
      </c>
      <c r="L61" s="1207">
        <f>IF(L$2=YEAR(Report!$A$3),Report!$N55,0)</f>
        <v>195971.74185307694</v>
      </c>
      <c r="M61" s="1207">
        <f>IF(M$2=YEAR(Report!$A$3),Report!$N55,0)</f>
        <v>0</v>
      </c>
      <c r="N61" s="1207">
        <f>IF(N$2=YEAR(Report!$A$3),Report!$N55,0)</f>
        <v>0</v>
      </c>
      <c r="O61" s="1207">
        <f>IF(O$2=YEAR(Report!$A$3),Report!$N55,0)</f>
        <v>0</v>
      </c>
      <c r="P61" s="1207">
        <f>IF(P$2=YEAR(Report!$A$3),Report!$N55,0)</f>
        <v>0</v>
      </c>
      <c r="Q61" s="1207">
        <f>IF(Q$2=YEAR(Report!$A$3),Report!$N55,0)</f>
        <v>0</v>
      </c>
    </row>
    <row r="62" spans="2:17" outlineLevel="1">
      <c r="B62" s="1214" t="s">
        <v>2414</v>
      </c>
      <c r="H62" s="1206" t="s">
        <v>2830</v>
      </c>
      <c r="J62" s="1207">
        <f>IF(J$2=YEAR(Report!$A$3),Report!$N75,0)</f>
        <v>0</v>
      </c>
      <c r="K62" s="1207">
        <f>IF(K$2=YEAR(Report!$A$3),Report!$N75,0)</f>
        <v>0</v>
      </c>
      <c r="L62" s="1207">
        <f>IF(L$2=YEAR(Report!$A$3),Report!$N75,0)</f>
        <v>-72252.881015384613</v>
      </c>
      <c r="M62" s="1207">
        <f>IF(M$2=YEAR(Report!$A$3),Report!$N75,0)</f>
        <v>0</v>
      </c>
      <c r="N62" s="1207">
        <f>IF(N$2=YEAR(Report!$A$3),Report!$N75,0)</f>
        <v>0</v>
      </c>
      <c r="O62" s="1207">
        <f>IF(O$2=YEAR(Report!$A$3),Report!$N75,0)</f>
        <v>0</v>
      </c>
      <c r="P62" s="1207">
        <f>IF(P$2=YEAR(Report!$A$3),Report!$N75,0)</f>
        <v>0</v>
      </c>
      <c r="Q62" s="1207">
        <f>IF(Q$2=YEAR(Report!$A$3),Report!$N75,0)</f>
        <v>0</v>
      </c>
    </row>
    <row r="63" spans="2:17" outlineLevel="1">
      <c r="B63" s="1214" t="s">
        <v>2809</v>
      </c>
      <c r="D63" s="151"/>
      <c r="E63" s="151"/>
      <c r="F63" s="1221" t="s">
        <v>2833</v>
      </c>
      <c r="G63" s="151" t="s">
        <v>2832</v>
      </c>
      <c r="H63" s="1206" t="s">
        <v>2830</v>
      </c>
      <c r="J63" s="1220"/>
      <c r="K63" s="1220"/>
      <c r="L63" s="1220"/>
      <c r="M63" s="1220"/>
      <c r="N63" s="1220"/>
      <c r="O63" s="1220"/>
      <c r="P63" s="1220"/>
      <c r="Q63" s="1220"/>
    </row>
    <row r="64" spans="2:17" outlineLevel="1">
      <c r="B64" s="1214" t="s">
        <v>534</v>
      </c>
      <c r="H64" s="1206" t="s">
        <v>2830</v>
      </c>
      <c r="J64" s="1207">
        <f>IF(J$2=YEAR(Report!$A$3),Report!$N74,0)</f>
        <v>0</v>
      </c>
      <c r="K64" s="1207">
        <f>IF(K$2=YEAR(Report!$A$3),Report!$N74,0)</f>
        <v>0</v>
      </c>
      <c r="L64" s="1207">
        <f>IF(L$2=YEAR(Report!$A$3),Report!$N74,0)</f>
        <v>-24998.807489999999</v>
      </c>
      <c r="M64" s="1207">
        <f>IF(M$2=YEAR(Report!$A$3),Report!$N74,0)</f>
        <v>0</v>
      </c>
      <c r="N64" s="1207">
        <f>IF(N$2=YEAR(Report!$A$3),Report!$N74,0)</f>
        <v>0</v>
      </c>
      <c r="O64" s="1207">
        <f>IF(O$2=YEAR(Report!$A$3),Report!$N74,0)</f>
        <v>0</v>
      </c>
      <c r="P64" s="1207">
        <f>IF(P$2=YEAR(Report!$A$3),Report!$N74,0)</f>
        <v>0</v>
      </c>
      <c r="Q64" s="1207">
        <f>IF(Q$2=YEAR(Report!$A$3),Report!$N74,0)</f>
        <v>0</v>
      </c>
    </row>
    <row r="65" spans="2:17" outlineLevel="1">
      <c r="B65" s="1210" t="s">
        <v>2810</v>
      </c>
      <c r="C65" s="1211"/>
      <c r="F65" s="1212" cm="1">
        <f t="array" ref="F65">IF(ABS(INDEX($J65:$Q65,_xlfn.XMATCH(YEAR(Report!$A$3),$J$2:$Q$2))-(Report!$N$79))&gt;Tolerance,1,0)</f>
        <v>0</v>
      </c>
      <c r="H65" s="1206" t="s">
        <v>2830</v>
      </c>
      <c r="J65" s="1217">
        <f>SUM(J61:J64)</f>
        <v>0</v>
      </c>
      <c r="K65" s="1217">
        <f t="shared" ref="K65:Q65" si="73">SUM(K61:K64)</f>
        <v>0</v>
      </c>
      <c r="L65" s="1217">
        <f t="shared" si="73"/>
        <v>98720.05334769233</v>
      </c>
      <c r="M65" s="1217">
        <f t="shared" si="73"/>
        <v>0</v>
      </c>
      <c r="N65" s="1217">
        <f t="shared" si="73"/>
        <v>0</v>
      </c>
      <c r="O65" s="1217">
        <f t="shared" si="73"/>
        <v>0</v>
      </c>
      <c r="P65" s="1217">
        <f t="shared" si="73"/>
        <v>0</v>
      </c>
      <c r="Q65" s="1217">
        <f t="shared" si="73"/>
        <v>0</v>
      </c>
    </row>
    <row r="66" spans="2:17" outlineLevel="1"/>
    <row r="67" spans="2:17" ht="15" outlineLevel="1">
      <c r="B67" s="1197" t="s">
        <v>2811</v>
      </c>
      <c r="J67" s="1216"/>
      <c r="K67" s="1216"/>
    </row>
    <row r="68" spans="2:17" outlineLevel="1">
      <c r="B68" s="1198" t="s">
        <v>2798</v>
      </c>
      <c r="H68" s="1206" t="s">
        <v>2830</v>
      </c>
      <c r="J68" s="1207">
        <f>IF(J$2=YEAR(Report!$A$3),Report!$R55,0)</f>
        <v>0</v>
      </c>
      <c r="K68" s="1207">
        <f>IF(K$2=YEAR(Report!$A$3),Report!$R55,0)</f>
        <v>0</v>
      </c>
      <c r="L68" s="1207">
        <f>IF(L$2=YEAR(Report!$A$3),Report!$R55,0)</f>
        <v>-8153.1584107692761</v>
      </c>
      <c r="M68" s="1207">
        <f>IF(M$2=YEAR(Report!$A$3),Report!$R55,0)</f>
        <v>0</v>
      </c>
      <c r="N68" s="1207">
        <f>IF(N$2=YEAR(Report!$A$3),Report!$R55,0)</f>
        <v>0</v>
      </c>
      <c r="O68" s="1207">
        <f>IF(O$2=YEAR(Report!$A$3),Report!$R55,0)</f>
        <v>0</v>
      </c>
      <c r="P68" s="1207">
        <f>IF(P$2=YEAR(Report!$A$3),Report!$R55,0)</f>
        <v>0</v>
      </c>
      <c r="Q68" s="1207">
        <f>IF(Q$2=YEAR(Report!$A$3),Report!$R55,0)</f>
        <v>0</v>
      </c>
    </row>
    <row r="69" spans="2:17" outlineLevel="1">
      <c r="B69" s="1214" t="s">
        <v>131</v>
      </c>
      <c r="H69" s="1206" t="s">
        <v>2830</v>
      </c>
      <c r="J69" s="1207" cm="1">
        <f t="array" ref="J69">IF(J$2=YEAR(Report!$A$3),INDEX(Report!$R$55:$R$77,_xlfn.XMATCH($B69,Report!$A$55:$A$77)),0)</f>
        <v>0</v>
      </c>
      <c r="K69" s="1207" cm="1">
        <f t="array" ref="K69">IF(K$2=YEAR(Report!$A$3),INDEX(Report!$R$55:$R$77,_xlfn.XMATCH($B69,Report!$A$55:$A$77)),0)</f>
        <v>0</v>
      </c>
      <c r="L69" s="1207" cm="1">
        <f t="array" ref="L69">IF(L$2=YEAR(Report!$A$3),INDEX(Report!$R$55:$R$77,_xlfn.XMATCH($B69,Report!$A$55:$A$77)),0)</f>
        <v>-2.95</v>
      </c>
      <c r="M69" s="1207" cm="1">
        <f t="array" ref="M69">IF(M$2=YEAR(Report!$A$3),INDEX(Report!$R$55:$R$77,_xlfn.XMATCH($B69,Report!$A$55:$A$77)),0)</f>
        <v>0</v>
      </c>
      <c r="N69" s="1207" cm="1">
        <f t="array" ref="N69">IF(N$2=YEAR(Report!$A$3),INDEX(Report!$R$55:$R$77,_xlfn.XMATCH($B69,Report!$A$55:$A$77)),0)</f>
        <v>0</v>
      </c>
      <c r="O69" s="1207" cm="1">
        <f t="array" ref="O69">IF(O$2=YEAR(Report!$A$3),INDEX(Report!$R$55:$R$77,_xlfn.XMATCH($B69,Report!$A$55:$A$77)),0)</f>
        <v>0</v>
      </c>
      <c r="P69" s="1207" cm="1">
        <f t="array" ref="P69">IF(P$2=YEAR(Report!$A$3),INDEX(Report!$R$55:$R$77,_xlfn.XMATCH($B69,Report!$A$55:$A$77)),0)</f>
        <v>0</v>
      </c>
      <c r="Q69" s="1207" cm="1">
        <f t="array" ref="Q69">IF(Q$2=YEAR(Report!$A$3),INDEX(Report!$R$55:$R$77,_xlfn.XMATCH($B69,Report!$A$55:$A$77)),0)</f>
        <v>0</v>
      </c>
    </row>
    <row r="70" spans="2:17" outlineLevel="1">
      <c r="B70" s="1214" t="s">
        <v>403</v>
      </c>
      <c r="H70" s="1206" t="s">
        <v>2830</v>
      </c>
      <c r="J70" s="1207" cm="1">
        <f t="array" ref="J70">IF(J$2=YEAR(Report!$A$3),INDEX(Report!$R$55:$R$77,_xlfn.XMATCH($B70,Report!$A$55:$A$77)),0)</f>
        <v>0</v>
      </c>
      <c r="K70" s="1207" cm="1">
        <f t="array" ref="K70">IF(K$2=YEAR(Report!$A$3),INDEX(Report!$R$55:$R$77,_xlfn.XMATCH($B70,Report!$A$55:$A$77)),0)</f>
        <v>0</v>
      </c>
      <c r="L70" s="1207" cm="1">
        <f t="array" ref="L70">IF(L$2=YEAR(Report!$A$3),INDEX(Report!$R$55:$R$77,_xlfn.XMATCH($B70,Report!$A$55:$A$77)),0)</f>
        <v>-9807.1821069230773</v>
      </c>
      <c r="M70" s="1207" cm="1">
        <f t="array" ref="M70">IF(M$2=YEAR(Report!$A$3),INDEX(Report!$R$55:$R$77,_xlfn.XMATCH($B70,Report!$A$55:$A$77)),0)</f>
        <v>0</v>
      </c>
      <c r="N70" s="1207" cm="1">
        <f t="array" ref="N70">IF(N$2=YEAR(Report!$A$3),INDEX(Report!$R$55:$R$77,_xlfn.XMATCH($B70,Report!$A$55:$A$77)),0)</f>
        <v>0</v>
      </c>
      <c r="O70" s="1207" cm="1">
        <f t="array" ref="O70">IF(O$2=YEAR(Report!$A$3),INDEX(Report!$R$55:$R$77,_xlfn.XMATCH($B70,Report!$A$55:$A$77)),0)</f>
        <v>0</v>
      </c>
      <c r="P70" s="1207" cm="1">
        <f t="array" ref="P70">IF(P$2=YEAR(Report!$A$3),INDEX(Report!$R$55:$R$77,_xlfn.XMATCH($B70,Report!$A$55:$A$77)),0)</f>
        <v>0</v>
      </c>
      <c r="Q70" s="1207" cm="1">
        <f t="array" ref="Q70">IF(Q$2=YEAR(Report!$A$3),INDEX(Report!$R$55:$R$77,_xlfn.XMATCH($B70,Report!$A$55:$A$77)),0)</f>
        <v>0</v>
      </c>
    </row>
    <row r="71" spans="2:17" outlineLevel="1">
      <c r="B71" s="1214" t="s">
        <v>404</v>
      </c>
      <c r="H71" s="1206" t="s">
        <v>2830</v>
      </c>
      <c r="J71" s="1207" cm="1">
        <f t="array" ref="J71">IF(J$2=YEAR(Report!$A$3),INDEX(Report!$R$55:$R$77,_xlfn.XMATCH($B71,Report!$A$55:$A$77)),0)</f>
        <v>0</v>
      </c>
      <c r="K71" s="1207" cm="1">
        <f t="array" ref="K71">IF(K$2=YEAR(Report!$A$3),INDEX(Report!$R$55:$R$77,_xlfn.XMATCH($B71,Report!$A$55:$A$77)),0)</f>
        <v>0</v>
      </c>
      <c r="L71" s="1207" cm="1">
        <f t="array" ref="L71">IF(L$2=YEAR(Report!$A$3),INDEX(Report!$R$55:$R$77,_xlfn.XMATCH($B71,Report!$A$55:$A$77)),0)</f>
        <v>-1591.8972207692309</v>
      </c>
      <c r="M71" s="1207" cm="1">
        <f t="array" ref="M71">IF(M$2=YEAR(Report!$A$3),INDEX(Report!$R$55:$R$77,_xlfn.XMATCH($B71,Report!$A$55:$A$77)),0)</f>
        <v>0</v>
      </c>
      <c r="N71" s="1207" cm="1">
        <f t="array" ref="N71">IF(N$2=YEAR(Report!$A$3),INDEX(Report!$R$55:$R$77,_xlfn.XMATCH($B71,Report!$A$55:$A$77)),0)</f>
        <v>0</v>
      </c>
      <c r="O71" s="1207" cm="1">
        <f t="array" ref="O71">IF(O$2=YEAR(Report!$A$3),INDEX(Report!$R$55:$R$77,_xlfn.XMATCH($B71,Report!$A$55:$A$77)),0)</f>
        <v>0</v>
      </c>
      <c r="P71" s="1207" cm="1">
        <f t="array" ref="P71">IF(P$2=YEAR(Report!$A$3),INDEX(Report!$R$55:$R$77,_xlfn.XMATCH($B71,Report!$A$55:$A$77)),0)</f>
        <v>0</v>
      </c>
      <c r="Q71" s="1207" cm="1">
        <f t="array" ref="Q71">IF(Q$2=YEAR(Report!$A$3),INDEX(Report!$R$55:$R$77,_xlfn.XMATCH($B71,Report!$A$55:$A$77)),0)</f>
        <v>0</v>
      </c>
    </row>
    <row r="72" spans="2:17" outlineLevel="1">
      <c r="B72" s="1214" t="s">
        <v>405</v>
      </c>
      <c r="H72" s="1206" t="s">
        <v>2830</v>
      </c>
      <c r="J72" s="1207" cm="1">
        <f t="array" ref="J72">IF(J$2=YEAR(Report!$A$3),INDEX(Report!$R$55:$R$77,_xlfn.XMATCH($B72,Report!$A$55:$A$77)),0)</f>
        <v>0</v>
      </c>
      <c r="K72" s="1207" cm="1">
        <f t="array" ref="K72">IF(K$2=YEAR(Report!$A$3),INDEX(Report!$R$55:$R$77,_xlfn.XMATCH($B72,Report!$A$55:$A$77)),0)</f>
        <v>0</v>
      </c>
      <c r="L72" s="1207" cm="1">
        <f t="array" ref="L72">IF(L$2=YEAR(Report!$A$3),INDEX(Report!$R$55:$R$77,_xlfn.XMATCH($B72,Report!$A$55:$A$77)),0)</f>
        <v>-4359.2748699999993</v>
      </c>
      <c r="M72" s="1207" cm="1">
        <f t="array" ref="M72">IF(M$2=YEAR(Report!$A$3),INDEX(Report!$R$55:$R$77,_xlfn.XMATCH($B72,Report!$A$55:$A$77)),0)</f>
        <v>0</v>
      </c>
      <c r="N72" s="1207" cm="1">
        <f t="array" ref="N72">IF(N$2=YEAR(Report!$A$3),INDEX(Report!$R$55:$R$77,_xlfn.XMATCH($B72,Report!$A$55:$A$77)),0)</f>
        <v>0</v>
      </c>
      <c r="O72" s="1207" cm="1">
        <f t="array" ref="O72">IF(O$2=YEAR(Report!$A$3),INDEX(Report!$R$55:$R$77,_xlfn.XMATCH($B72,Report!$A$55:$A$77)),0)</f>
        <v>0</v>
      </c>
      <c r="P72" s="1207" cm="1">
        <f t="array" ref="P72">IF(P$2=YEAR(Report!$A$3),INDEX(Report!$R$55:$R$77,_xlfn.XMATCH($B72,Report!$A$55:$A$77)),0)</f>
        <v>0</v>
      </c>
      <c r="Q72" s="1207" cm="1">
        <f t="array" ref="Q72">IF(Q$2=YEAR(Report!$A$3),INDEX(Report!$R$55:$R$77,_xlfn.XMATCH($B72,Report!$A$55:$A$77)),0)</f>
        <v>0</v>
      </c>
    </row>
    <row r="73" spans="2:17" outlineLevel="1">
      <c r="B73" s="1214" t="s">
        <v>134</v>
      </c>
      <c r="H73" s="1206" t="s">
        <v>2830</v>
      </c>
      <c r="J73" s="1207" cm="1">
        <f t="array" ref="J73">IF(J$2=YEAR(Report!$A$3),INDEX(Report!$R$55:$R$77,_xlfn.XMATCH($B73,Report!$A$55:$A$77)),0)</f>
        <v>0</v>
      </c>
      <c r="K73" s="1207" cm="1">
        <f t="array" ref="K73">IF(K$2=YEAR(Report!$A$3),INDEX(Report!$R$55:$R$77,_xlfn.XMATCH($B73,Report!$A$55:$A$77)),0)</f>
        <v>0</v>
      </c>
      <c r="L73" s="1207" cm="1">
        <f t="array" ref="L73">IF(L$2=YEAR(Report!$A$3),INDEX(Report!$R$55:$R$77,_xlfn.XMATCH($B73,Report!$A$55:$A$77)),0)</f>
        <v>0</v>
      </c>
      <c r="M73" s="1207" cm="1">
        <f t="array" ref="M73">IF(M$2=YEAR(Report!$A$3),INDEX(Report!$R$55:$R$77,_xlfn.XMATCH($B73,Report!$A$55:$A$77)),0)</f>
        <v>0</v>
      </c>
      <c r="N73" s="1207" cm="1">
        <f t="array" ref="N73">IF(N$2=YEAR(Report!$A$3),INDEX(Report!$R$55:$R$77,_xlfn.XMATCH($B73,Report!$A$55:$A$77)),0)</f>
        <v>0</v>
      </c>
      <c r="O73" s="1207" cm="1">
        <f t="array" ref="O73">IF(O$2=YEAR(Report!$A$3),INDEX(Report!$R$55:$R$77,_xlfn.XMATCH($B73,Report!$A$55:$A$77)),0)</f>
        <v>0</v>
      </c>
      <c r="P73" s="1207" cm="1">
        <f t="array" ref="P73">IF(P$2=YEAR(Report!$A$3),INDEX(Report!$R$55:$R$77,_xlfn.XMATCH($B73,Report!$A$55:$A$77)),0)</f>
        <v>0</v>
      </c>
      <c r="Q73" s="1207" cm="1">
        <f t="array" ref="Q73">IF(Q$2=YEAR(Report!$A$3),INDEX(Report!$R$55:$R$77,_xlfn.XMATCH($B73,Report!$A$55:$A$77)),0)</f>
        <v>0</v>
      </c>
    </row>
    <row r="74" spans="2:17" outlineLevel="1">
      <c r="B74" s="1214" t="s">
        <v>135</v>
      </c>
      <c r="H74" s="1206" t="s">
        <v>2830</v>
      </c>
      <c r="J74" s="1207" cm="1">
        <f t="array" ref="J74">IF(J$2=YEAR(Report!$A$3),INDEX(Report!$R$55:$R$77,_xlfn.XMATCH($B74,Report!$A$55:$A$77)),0)</f>
        <v>0</v>
      </c>
      <c r="K74" s="1207" cm="1">
        <f t="array" ref="K74">IF(K$2=YEAR(Report!$A$3),INDEX(Report!$R$55:$R$77,_xlfn.XMATCH($B74,Report!$A$55:$A$77)),0)</f>
        <v>0</v>
      </c>
      <c r="L74" s="1207" cm="1">
        <f t="array" ref="L74">IF(L$2=YEAR(Report!$A$3),INDEX(Report!$R$55:$R$77,_xlfn.XMATCH($B74,Report!$A$55:$A$77)),0)</f>
        <v>3520.7976153846153</v>
      </c>
      <c r="M74" s="1207" cm="1">
        <f t="array" ref="M74">IF(M$2=YEAR(Report!$A$3),INDEX(Report!$R$55:$R$77,_xlfn.XMATCH($B74,Report!$A$55:$A$77)),0)</f>
        <v>0</v>
      </c>
      <c r="N74" s="1207" cm="1">
        <f t="array" ref="N74">IF(N$2=YEAR(Report!$A$3),INDEX(Report!$R$55:$R$77,_xlfn.XMATCH($B74,Report!$A$55:$A$77)),0)</f>
        <v>0</v>
      </c>
      <c r="O74" s="1207" cm="1">
        <f t="array" ref="O74">IF(O$2=YEAR(Report!$A$3),INDEX(Report!$R$55:$R$77,_xlfn.XMATCH($B74,Report!$A$55:$A$77)),0)</f>
        <v>0</v>
      </c>
      <c r="P74" s="1207" cm="1">
        <f t="array" ref="P74">IF(P$2=YEAR(Report!$A$3),INDEX(Report!$R$55:$R$77,_xlfn.XMATCH($B74,Report!$A$55:$A$77)),0)</f>
        <v>0</v>
      </c>
      <c r="Q74" s="1207" cm="1">
        <f t="array" ref="Q74">IF(Q$2=YEAR(Report!$A$3),INDEX(Report!$R$55:$R$77,_xlfn.XMATCH($B74,Report!$A$55:$A$77)),0)</f>
        <v>0</v>
      </c>
    </row>
    <row r="75" spans="2:17" outlineLevel="1">
      <c r="B75" s="1214" t="s">
        <v>136</v>
      </c>
      <c r="H75" s="1206" t="s">
        <v>2830</v>
      </c>
      <c r="J75" s="1207" cm="1">
        <f t="array" ref="J75">IF(J$2=YEAR(Report!$A$3),INDEX(Report!$R$55:$R$77,_xlfn.XMATCH($B75,Report!$A$55:$A$77)),0)</f>
        <v>0</v>
      </c>
      <c r="K75" s="1207" cm="1">
        <f t="array" ref="K75">IF(K$2=YEAR(Report!$A$3),INDEX(Report!$R$55:$R$77,_xlfn.XMATCH($B75,Report!$A$55:$A$77)),0)</f>
        <v>0</v>
      </c>
      <c r="L75" s="1207" cm="1">
        <f t="array" ref="L75">IF(L$2=YEAR(Report!$A$3),INDEX(Report!$R$55:$R$77,_xlfn.XMATCH($B75,Report!$A$55:$A$77)),0)</f>
        <v>0</v>
      </c>
      <c r="M75" s="1207" cm="1">
        <f t="array" ref="M75">IF(M$2=YEAR(Report!$A$3),INDEX(Report!$R$55:$R$77,_xlfn.XMATCH($B75,Report!$A$55:$A$77)),0)</f>
        <v>0</v>
      </c>
      <c r="N75" s="1207" cm="1">
        <f t="array" ref="N75">IF(N$2=YEAR(Report!$A$3),INDEX(Report!$R$55:$R$77,_xlfn.XMATCH($B75,Report!$A$55:$A$77)),0)</f>
        <v>0</v>
      </c>
      <c r="O75" s="1207" cm="1">
        <f t="array" ref="O75">IF(O$2=YEAR(Report!$A$3),INDEX(Report!$R$55:$R$77,_xlfn.XMATCH($B75,Report!$A$55:$A$77)),0)</f>
        <v>0</v>
      </c>
      <c r="P75" s="1207" cm="1">
        <f t="array" ref="P75">IF(P$2=YEAR(Report!$A$3),INDEX(Report!$R$55:$R$77,_xlfn.XMATCH($B75,Report!$A$55:$A$77)),0)</f>
        <v>0</v>
      </c>
      <c r="Q75" s="1207" cm="1">
        <f t="array" ref="Q75">IF(Q$2=YEAR(Report!$A$3),INDEX(Report!$R$55:$R$77,_xlfn.XMATCH($B75,Report!$A$55:$A$77)),0)</f>
        <v>0</v>
      </c>
    </row>
    <row r="76" spans="2:17" outlineLevel="1">
      <c r="B76" s="1214" t="s">
        <v>1821</v>
      </c>
      <c r="H76" s="1206" t="s">
        <v>2830</v>
      </c>
      <c r="J76" s="1207" cm="1">
        <f t="array" ref="J76">IF(J$2=YEAR(Report!$A$3),INDEX(Report!$R$55:$R$77,_xlfn.XMATCH($B76,Report!$A$55:$A$77)),0)</f>
        <v>0</v>
      </c>
      <c r="K76" s="1207" cm="1">
        <f t="array" ref="K76">IF(K$2=YEAR(Report!$A$3),INDEX(Report!$R$55:$R$77,_xlfn.XMATCH($B76,Report!$A$55:$A$77)),0)</f>
        <v>0</v>
      </c>
      <c r="L76" s="1207" cm="1">
        <f t="array" ref="L76">IF(L$2=YEAR(Report!$A$3),INDEX(Report!$R$55:$R$77,_xlfn.XMATCH($B76,Report!$A$55:$A$77)),0)</f>
        <v>-189.99840538461538</v>
      </c>
      <c r="M76" s="1207" cm="1">
        <f t="array" ref="M76">IF(M$2=YEAR(Report!$A$3),INDEX(Report!$R$55:$R$77,_xlfn.XMATCH($B76,Report!$A$55:$A$77)),0)</f>
        <v>0</v>
      </c>
      <c r="N76" s="1207" cm="1">
        <f t="array" ref="N76">IF(N$2=YEAR(Report!$A$3),INDEX(Report!$R$55:$R$77,_xlfn.XMATCH($B76,Report!$A$55:$A$77)),0)</f>
        <v>0</v>
      </c>
      <c r="O76" s="1207" cm="1">
        <f t="array" ref="O76">IF(O$2=YEAR(Report!$A$3),INDEX(Report!$R$55:$R$77,_xlfn.XMATCH($B76,Report!$A$55:$A$77)),0)</f>
        <v>0</v>
      </c>
      <c r="P76" s="1207" cm="1">
        <f t="array" ref="P76">IF(P$2=YEAR(Report!$A$3),INDEX(Report!$R$55:$R$77,_xlfn.XMATCH($B76,Report!$A$55:$A$77)),0)</f>
        <v>0</v>
      </c>
      <c r="Q76" s="1207" cm="1">
        <f t="array" ref="Q76">IF(Q$2=YEAR(Report!$A$3),INDEX(Report!$R$55:$R$77,_xlfn.XMATCH($B76,Report!$A$55:$A$77)),0)</f>
        <v>0</v>
      </c>
    </row>
    <row r="77" spans="2:17" outlineLevel="1">
      <c r="B77" s="1214" t="s">
        <v>137</v>
      </c>
      <c r="H77" s="1206" t="s">
        <v>2830</v>
      </c>
      <c r="J77" s="1207" cm="1">
        <f t="array" ref="J77">IF(J$2=YEAR(Report!$A$3),INDEX(Report!$R$55:$R$77,_xlfn.XMATCH($B77,Report!$A$55:$A$77)),0)</f>
        <v>0</v>
      </c>
      <c r="K77" s="1207" cm="1">
        <f t="array" ref="K77">IF(K$2=YEAR(Report!$A$3),INDEX(Report!$R$55:$R$77,_xlfn.XMATCH($B77,Report!$A$55:$A$77)),0)</f>
        <v>0</v>
      </c>
      <c r="L77" s="1207" cm="1">
        <f t="array" ref="L77">IF(L$2=YEAR(Report!$A$3),INDEX(Report!$R$55:$R$77,_xlfn.XMATCH($B77,Report!$A$55:$A$77)),0)</f>
        <v>-3640.0323053846155</v>
      </c>
      <c r="M77" s="1207" cm="1">
        <f t="array" ref="M77">IF(M$2=YEAR(Report!$A$3),INDEX(Report!$R$55:$R$77,_xlfn.XMATCH($B77,Report!$A$55:$A$77)),0)</f>
        <v>0</v>
      </c>
      <c r="N77" s="1207" cm="1">
        <f t="array" ref="N77">IF(N$2=YEAR(Report!$A$3),INDEX(Report!$R$55:$R$77,_xlfn.XMATCH($B77,Report!$A$55:$A$77)),0)</f>
        <v>0</v>
      </c>
      <c r="O77" s="1207" cm="1">
        <f t="array" ref="O77">IF(O$2=YEAR(Report!$A$3),INDEX(Report!$R$55:$R$77,_xlfn.XMATCH($B77,Report!$A$55:$A$77)),0)</f>
        <v>0</v>
      </c>
      <c r="P77" s="1207" cm="1">
        <f t="array" ref="P77">IF(P$2=YEAR(Report!$A$3),INDEX(Report!$R$55:$R$77,_xlfn.XMATCH($B77,Report!$A$55:$A$77)),0)</f>
        <v>0</v>
      </c>
      <c r="Q77" s="1207" cm="1">
        <f t="array" ref="Q77">IF(Q$2=YEAR(Report!$A$3),INDEX(Report!$R$55:$R$77,_xlfn.XMATCH($B77,Report!$A$55:$A$77)),0)</f>
        <v>0</v>
      </c>
    </row>
    <row r="78" spans="2:17" outlineLevel="1">
      <c r="B78" s="1214" t="s">
        <v>406</v>
      </c>
      <c r="H78" s="1206" t="s">
        <v>2830</v>
      </c>
      <c r="J78" s="1207" cm="1">
        <f t="array" ref="J78">IF(J$2=YEAR(Report!$A$3),INDEX(Report!$R$55:$R$77,_xlfn.XMATCH($B78,Report!$A$55:$A$77)),0)</f>
        <v>0</v>
      </c>
      <c r="K78" s="1207" cm="1">
        <f t="array" ref="K78">IF(K$2=YEAR(Report!$A$3),INDEX(Report!$R$55:$R$77,_xlfn.XMATCH($B78,Report!$A$55:$A$77)),0)</f>
        <v>0</v>
      </c>
      <c r="L78" s="1207" cm="1">
        <f t="array" ref="L78">IF(L$2=YEAR(Report!$A$3),INDEX(Report!$R$55:$R$77,_xlfn.XMATCH($B78,Report!$A$55:$A$77)),0)</f>
        <v>-635.21463846153847</v>
      </c>
      <c r="M78" s="1207" cm="1">
        <f t="array" ref="M78">IF(M$2=YEAR(Report!$A$3),INDEX(Report!$R$55:$R$77,_xlfn.XMATCH($B78,Report!$A$55:$A$77)),0)</f>
        <v>0</v>
      </c>
      <c r="N78" s="1207" cm="1">
        <f t="array" ref="N78">IF(N$2=YEAR(Report!$A$3),INDEX(Report!$R$55:$R$77,_xlfn.XMATCH($B78,Report!$A$55:$A$77)),0)</f>
        <v>0</v>
      </c>
      <c r="O78" s="1207" cm="1">
        <f t="array" ref="O78">IF(O$2=YEAR(Report!$A$3),INDEX(Report!$R$55:$R$77,_xlfn.XMATCH($B78,Report!$A$55:$A$77)),0)</f>
        <v>0</v>
      </c>
      <c r="P78" s="1207" cm="1">
        <f t="array" ref="P78">IF(P$2=YEAR(Report!$A$3),INDEX(Report!$R$55:$R$77,_xlfn.XMATCH($B78,Report!$A$55:$A$77)),0)</f>
        <v>0</v>
      </c>
      <c r="Q78" s="1207" cm="1">
        <f t="array" ref="Q78">IF(Q$2=YEAR(Report!$A$3),INDEX(Report!$R$55:$R$77,_xlfn.XMATCH($B78,Report!$A$55:$A$77)),0)</f>
        <v>0</v>
      </c>
    </row>
    <row r="79" spans="2:17" outlineLevel="1">
      <c r="B79" s="1214" t="s">
        <v>470</v>
      </c>
      <c r="H79" s="1206" t="s">
        <v>2830</v>
      </c>
      <c r="J79" s="1207" cm="1">
        <f t="array" ref="J79">IF(J$2=YEAR(Report!$A$3),INDEX(Report!$R$55:$R$77,_xlfn.XMATCH($B79,Report!$A$55:$A$77)),0)</f>
        <v>0</v>
      </c>
      <c r="K79" s="1207" cm="1">
        <f t="array" ref="K79">IF(K$2=YEAR(Report!$A$3),INDEX(Report!$R$55:$R$77,_xlfn.XMATCH($B79,Report!$A$55:$A$77)),0)</f>
        <v>0</v>
      </c>
      <c r="L79" s="1207" cm="1">
        <f t="array" ref="L79">IF(L$2=YEAR(Report!$A$3),INDEX(Report!$R$55:$R$77,_xlfn.XMATCH($B79,Report!$A$55:$A$77)),0)</f>
        <v>-958.58977461538461</v>
      </c>
      <c r="M79" s="1207" cm="1">
        <f t="array" ref="M79">IF(M$2=YEAR(Report!$A$3),INDEX(Report!$R$55:$R$77,_xlfn.XMATCH($B79,Report!$A$55:$A$77)),0)</f>
        <v>0</v>
      </c>
      <c r="N79" s="1207" cm="1">
        <f t="array" ref="N79">IF(N$2=YEAR(Report!$A$3),INDEX(Report!$R$55:$R$77,_xlfn.XMATCH($B79,Report!$A$55:$A$77)),0)</f>
        <v>0</v>
      </c>
      <c r="O79" s="1207" cm="1">
        <f t="array" ref="O79">IF(O$2=YEAR(Report!$A$3),INDEX(Report!$R$55:$R$77,_xlfn.XMATCH($B79,Report!$A$55:$A$77)),0)</f>
        <v>0</v>
      </c>
      <c r="P79" s="1207" cm="1">
        <f t="array" ref="P79">IF(P$2=YEAR(Report!$A$3),INDEX(Report!$R$55:$R$77,_xlfn.XMATCH($B79,Report!$A$55:$A$77)),0)</f>
        <v>0</v>
      </c>
      <c r="Q79" s="1207" cm="1">
        <f t="array" ref="Q79">IF(Q$2=YEAR(Report!$A$3),INDEX(Report!$R$55:$R$77,_xlfn.XMATCH($B79,Report!$A$55:$A$77)),0)</f>
        <v>0</v>
      </c>
    </row>
    <row r="80" spans="2:17" outlineLevel="1">
      <c r="B80" s="1210" t="s">
        <v>2812</v>
      </c>
      <c r="C80" s="1211"/>
      <c r="F80" s="1212" cm="1">
        <f t="array" ref="F80">IF(ABS(INDEX($J80:$Q80,_xlfn.XMATCH(YEAR(Report!$A$3),$J$2:$Q$2))-(Report!$R$79))&gt;Tolerance,1,0)</f>
        <v>0</v>
      </c>
      <c r="H80" s="1206" t="s">
        <v>2830</v>
      </c>
      <c r="J80" s="1217">
        <f t="shared" ref="J80:Q80" si="74">SUM(J68:J79)</f>
        <v>0</v>
      </c>
      <c r="K80" s="1217">
        <f t="shared" si="74"/>
        <v>0</v>
      </c>
      <c r="L80" s="1217">
        <f t="shared" si="74"/>
        <v>-25817.500116923122</v>
      </c>
      <c r="M80" s="1217">
        <f t="shared" si="74"/>
        <v>0</v>
      </c>
      <c r="N80" s="1217">
        <f t="shared" si="74"/>
        <v>0</v>
      </c>
      <c r="O80" s="1217">
        <f t="shared" si="74"/>
        <v>0</v>
      </c>
      <c r="P80" s="1217">
        <f t="shared" si="74"/>
        <v>0</v>
      </c>
      <c r="Q80" s="1217">
        <f t="shared" si="74"/>
        <v>0</v>
      </c>
    </row>
    <row r="82" spans="1:114" ht="14.25">
      <c r="A82" t="s">
        <v>2831</v>
      </c>
      <c r="B82" s="1204" t="s">
        <v>2813</v>
      </c>
      <c r="C82" s="1204"/>
      <c r="D82" s="1204"/>
      <c r="E82" s="1204"/>
      <c r="F82" s="1204"/>
      <c r="G82" s="1204"/>
      <c r="H82" s="1204"/>
      <c r="I82" s="1204"/>
      <c r="J82" s="1204"/>
      <c r="K82" s="1204"/>
      <c r="L82" s="1204"/>
      <c r="M82" s="1204"/>
      <c r="N82" s="1204"/>
      <c r="O82" s="1204"/>
      <c r="P82" s="1204"/>
      <c r="Q82" s="1204"/>
      <c r="R82" s="1204"/>
      <c r="S82" s="1204"/>
      <c r="T82" s="1204"/>
      <c r="U82" s="1204"/>
      <c r="V82" s="1204"/>
      <c r="W82" s="1204"/>
      <c r="X82" s="1204"/>
      <c r="Y82" s="1204"/>
      <c r="Z82" s="1204"/>
      <c r="AA82" s="1204"/>
      <c r="AB82" s="1204"/>
      <c r="AC82" s="1204"/>
      <c r="AD82" s="1204"/>
      <c r="AE82" s="1204"/>
      <c r="AF82" s="1204"/>
      <c r="AG82" s="1204"/>
      <c r="AH82" s="1204"/>
      <c r="AI82" s="1204"/>
      <c r="AJ82" s="1204"/>
      <c r="AK82" s="1204"/>
      <c r="AL82" s="1204"/>
      <c r="AM82" s="1204"/>
      <c r="AN82" s="1204"/>
      <c r="AO82" s="1204"/>
      <c r="AP82" s="1204"/>
      <c r="AQ82" s="1204"/>
      <c r="AR82" s="1204"/>
      <c r="AS82" s="1204"/>
      <c r="AT82" s="1204"/>
      <c r="AU82" s="1204"/>
      <c r="AV82" s="1204"/>
      <c r="AW82" s="1204"/>
      <c r="AX82" s="1204"/>
      <c r="AY82" s="1204"/>
      <c r="AZ82" s="1204"/>
      <c r="BA82" s="1204"/>
      <c r="BB82" s="1204"/>
      <c r="BC82" s="1204"/>
      <c r="BD82" s="1204"/>
      <c r="BE82" s="1204"/>
      <c r="BF82" s="1204"/>
      <c r="BG82" s="1204"/>
      <c r="BH82" s="1204"/>
      <c r="BI82" s="1204"/>
      <c r="BJ82" s="1204"/>
      <c r="BK82" s="1204"/>
      <c r="BL82" s="1204"/>
      <c r="BM82" s="1204"/>
      <c r="BN82" s="1204"/>
      <c r="BO82" s="1204"/>
      <c r="BP82" s="1204"/>
      <c r="BQ82" s="1204"/>
      <c r="BR82" s="1204"/>
      <c r="BS82" s="1204"/>
      <c r="BT82" s="1204"/>
      <c r="BU82" s="1204"/>
      <c r="BV82" s="1204"/>
      <c r="BW82" s="1204"/>
      <c r="BX82" s="1204"/>
      <c r="BY82" s="1204"/>
      <c r="BZ82" s="1204"/>
      <c r="CA82" s="1204"/>
      <c r="CB82" s="1204"/>
      <c r="CC82" s="1204"/>
      <c r="CD82" s="1204"/>
      <c r="CE82" s="1204"/>
      <c r="CF82" s="1204"/>
      <c r="CG82" s="1204"/>
      <c r="CH82" s="1204"/>
      <c r="CI82" s="1204"/>
      <c r="CJ82" s="1204"/>
      <c r="CK82" s="1204"/>
      <c r="CL82" s="1204"/>
      <c r="CM82" s="1204"/>
      <c r="CN82" s="1204"/>
      <c r="CO82" s="1204"/>
      <c r="CP82" s="1204"/>
      <c r="CQ82" s="1204"/>
      <c r="CR82" s="1204"/>
      <c r="CS82" s="1204"/>
      <c r="CT82" s="1204"/>
      <c r="CU82" s="1204"/>
      <c r="CV82" s="1204"/>
      <c r="CW82" s="1204"/>
      <c r="CX82" s="1204"/>
      <c r="CY82" s="1204"/>
      <c r="CZ82" s="1204"/>
      <c r="DA82" s="1204"/>
      <c r="DB82" s="1204"/>
      <c r="DC82" s="1204"/>
      <c r="DD82" s="1204"/>
      <c r="DE82" s="1204"/>
      <c r="DF82" s="1204"/>
      <c r="DG82" s="1204"/>
      <c r="DH82" s="1204"/>
      <c r="DI82" s="1204"/>
      <c r="DJ82" s="1204"/>
    </row>
    <row r="83" spans="1:114" outlineLevel="1">
      <c r="B83" s="1202" t="s">
        <v>2814</v>
      </c>
    </row>
    <row r="84" spans="1:114" outlineLevel="1">
      <c r="B84" s="1202"/>
    </row>
    <row r="85" spans="1:114" ht="15" outlineLevel="1">
      <c r="B85" s="1197" t="s">
        <v>350</v>
      </c>
      <c r="J85" s="1218"/>
      <c r="K85" s="1218"/>
    </row>
    <row r="86" spans="1:114" outlineLevel="1">
      <c r="B86" s="1198" t="s">
        <v>2798</v>
      </c>
      <c r="H86" s="1206" t="s">
        <v>2830</v>
      </c>
      <c r="J86" s="1207">
        <f>IF(J$2=YEAR(Report!$A$3),Report!$B106,0)</f>
        <v>0</v>
      </c>
      <c r="K86" s="1207">
        <f>IF(K$2=YEAR(Report!$A$3),Report!$B106,0)</f>
        <v>0</v>
      </c>
      <c r="L86" s="1207">
        <f>IF(L$2=YEAR(Report!$A$3),Report!$B106,0)</f>
        <v>644223.42538000015</v>
      </c>
      <c r="M86" s="1207">
        <f>IF(M$2=YEAR(Report!$A$3),Report!$B106,0)</f>
        <v>0</v>
      </c>
      <c r="N86" s="1207">
        <f>IF(N$2=YEAR(Report!$A$3),Report!$B106,0)</f>
        <v>0</v>
      </c>
      <c r="O86" s="1207">
        <f>IF(O$2=YEAR(Report!$A$3),Report!$B106,0)</f>
        <v>0</v>
      </c>
      <c r="P86" s="1207">
        <f>IF(P$2=YEAR(Report!$A$3),Report!$B106,0)</f>
        <v>0</v>
      </c>
      <c r="Q86" s="1207">
        <f>IF(Q$2=YEAR(Report!$A$3),Report!$B106,0)</f>
        <v>0</v>
      </c>
    </row>
    <row r="87" spans="1:114" outlineLevel="1">
      <c r="B87" s="1214" t="s">
        <v>537</v>
      </c>
      <c r="H87" s="1206" t="s">
        <v>2830</v>
      </c>
      <c r="J87" s="1207" cm="1">
        <f t="array" ref="J87">IF(J$2=YEAR(Report!$A$3),INDEX(Report!$B$108:$B$126,_xlfn.XMATCH($B87,Report!$A$108:$A$126)),0)</f>
        <v>0</v>
      </c>
      <c r="K87" s="1207" cm="1">
        <f t="array" ref="K87">IF(K$2=YEAR(Report!$A$3),INDEX(Report!$B$108:$B$126,_xlfn.XMATCH($B87,Report!$A$108:$A$126)),0)</f>
        <v>0</v>
      </c>
      <c r="L87" s="1207" cm="1">
        <f t="array" ref="L87">IF(L$2=YEAR(Report!$A$3),INDEX(Report!$B$108:$B$126,_xlfn.XMATCH($B87,Report!$A$108:$A$126)),0)</f>
        <v>-29649.198960000002</v>
      </c>
      <c r="M87" s="1207" cm="1">
        <f t="array" ref="M87">IF(M$2=YEAR(Report!$A$3),INDEX(Report!$B$108:$B$126,_xlfn.XMATCH($B87,Report!$A$108:$A$126)),0)</f>
        <v>0</v>
      </c>
      <c r="N87" s="1207" cm="1">
        <f t="array" ref="N87">IF(N$2=YEAR(Report!$A$3),INDEX(Report!$B$108:$B$126,_xlfn.XMATCH($B87,Report!$A$108:$A$126)),0)</f>
        <v>0</v>
      </c>
      <c r="O87" s="1207" cm="1">
        <f t="array" ref="O87">IF(O$2=YEAR(Report!$A$3),INDEX(Report!$B$108:$B$126,_xlfn.XMATCH($B87,Report!$A$108:$A$126)),0)</f>
        <v>0</v>
      </c>
      <c r="P87" s="1207" cm="1">
        <f t="array" ref="P87">IF(P$2=YEAR(Report!$A$3),INDEX(Report!$B$108:$B$126,_xlfn.XMATCH($B87,Report!$A$108:$A$126)),0)</f>
        <v>0</v>
      </c>
      <c r="Q87" s="1207" cm="1">
        <f t="array" ref="Q87">IF(Q$2=YEAR(Report!$A$3),INDEX(Report!$B$108:$B$126,_xlfn.XMATCH($B87,Report!$A$108:$A$126)),0)</f>
        <v>0</v>
      </c>
    </row>
    <row r="88" spans="1:114" outlineLevel="1">
      <c r="B88" s="1214" t="s">
        <v>539</v>
      </c>
      <c r="H88" s="1206" t="s">
        <v>2830</v>
      </c>
      <c r="J88" s="1207" cm="1">
        <f t="array" ref="J88">IF(J$2=YEAR(Report!$A$3),INDEX(Report!$B$108:$B$126,_xlfn.XMATCH($B88,Report!$A$108:$A$126)),0)</f>
        <v>0</v>
      </c>
      <c r="K88" s="1207" cm="1">
        <f t="array" ref="K88">IF(K$2=YEAR(Report!$A$3),INDEX(Report!$B$108:$B$126,_xlfn.XMATCH($B88,Report!$A$108:$A$126)),0)</f>
        <v>0</v>
      </c>
      <c r="L88" s="1207" cm="1">
        <f t="array" ref="L88">IF(L$2=YEAR(Report!$A$3),INDEX(Report!$B$108:$B$126,_xlfn.XMATCH($B88,Report!$A$108:$A$126)),0)</f>
        <v>-264245.31910000002</v>
      </c>
      <c r="M88" s="1207" cm="1">
        <f t="array" ref="M88">IF(M$2=YEAR(Report!$A$3),INDEX(Report!$B$108:$B$126,_xlfn.XMATCH($B88,Report!$A$108:$A$126)),0)</f>
        <v>0</v>
      </c>
      <c r="N88" s="1207" cm="1">
        <f t="array" ref="N88">IF(N$2=YEAR(Report!$A$3),INDEX(Report!$B$108:$B$126,_xlfn.XMATCH($B88,Report!$A$108:$A$126)),0)</f>
        <v>0</v>
      </c>
      <c r="O88" s="1207" cm="1">
        <f t="array" ref="O88">IF(O$2=YEAR(Report!$A$3),INDEX(Report!$B$108:$B$126,_xlfn.XMATCH($B88,Report!$A$108:$A$126)),0)</f>
        <v>0</v>
      </c>
      <c r="P88" s="1207" cm="1">
        <f t="array" ref="P88">IF(P$2=YEAR(Report!$A$3),INDEX(Report!$B$108:$B$126,_xlfn.XMATCH($B88,Report!$A$108:$A$126)),0)</f>
        <v>0</v>
      </c>
      <c r="Q88" s="1207" cm="1">
        <f t="array" ref="Q88">IF(Q$2=YEAR(Report!$A$3),INDEX(Report!$B$108:$B$126,_xlfn.XMATCH($B88,Report!$A$108:$A$126)),0)</f>
        <v>0</v>
      </c>
    </row>
    <row r="89" spans="1:114" outlineLevel="1">
      <c r="B89" s="1214" t="s">
        <v>2433</v>
      </c>
      <c r="H89" s="1206" t="s">
        <v>2830</v>
      </c>
      <c r="J89" s="1207" cm="1">
        <f t="array" ref="J89">IF(J$2=YEAR(Report!$A$3),INDEX(Report!$B$108:$B$126,_xlfn.XMATCH($B89,Report!$A$108:$A$126)),0)</f>
        <v>0</v>
      </c>
      <c r="K89" s="1207" cm="1">
        <f t="array" ref="K89">IF(K$2=YEAR(Report!$A$3),INDEX(Report!$B$108:$B$126,_xlfn.XMATCH($B89,Report!$A$108:$A$126)),0)</f>
        <v>0</v>
      </c>
      <c r="L89" s="1207" cm="1">
        <f t="array" ref="L89">IF(L$2=YEAR(Report!$A$3),INDEX(Report!$B$108:$B$126,_xlfn.XMATCH($B89,Report!$A$108:$A$126)),0)</f>
        <v>-31246.949270000001</v>
      </c>
      <c r="M89" s="1207" cm="1">
        <f t="array" ref="M89">IF(M$2=YEAR(Report!$A$3),INDEX(Report!$B$108:$B$126,_xlfn.XMATCH($B89,Report!$A$108:$A$126)),0)</f>
        <v>0</v>
      </c>
      <c r="N89" s="1207" cm="1">
        <f t="array" ref="N89">IF(N$2=YEAR(Report!$A$3),INDEX(Report!$B$108:$B$126,_xlfn.XMATCH($B89,Report!$A$108:$A$126)),0)</f>
        <v>0</v>
      </c>
      <c r="O89" s="1207" cm="1">
        <f t="array" ref="O89">IF(O$2=YEAR(Report!$A$3),INDEX(Report!$B$108:$B$126,_xlfn.XMATCH($B89,Report!$A$108:$A$126)),0)</f>
        <v>0</v>
      </c>
      <c r="P89" s="1207" cm="1">
        <f t="array" ref="P89">IF(P$2=YEAR(Report!$A$3),INDEX(Report!$B$108:$B$126,_xlfn.XMATCH($B89,Report!$A$108:$A$126)),0)</f>
        <v>0</v>
      </c>
      <c r="Q89" s="1207" cm="1">
        <f t="array" ref="Q89">IF(Q$2=YEAR(Report!$A$3),INDEX(Report!$B$108:$B$126,_xlfn.XMATCH($B89,Report!$A$108:$A$126)),0)</f>
        <v>0</v>
      </c>
    </row>
    <row r="90" spans="1:114" outlineLevel="1">
      <c r="B90" s="1214" t="s">
        <v>536</v>
      </c>
      <c r="H90" s="1206" t="s">
        <v>2830</v>
      </c>
      <c r="J90" s="1207" cm="1">
        <f t="array" ref="J90">IF(J$2=YEAR(Report!$A$3),INDEX(Report!$B$108:$B$126,_xlfn.XMATCH($B90,Report!$A$108:$A$126)),0)</f>
        <v>0</v>
      </c>
      <c r="K90" s="1207" cm="1">
        <f t="array" ref="K90">IF(K$2=YEAR(Report!$A$3),INDEX(Report!$B$108:$B$126,_xlfn.XMATCH($B90,Report!$A$108:$A$126)),0)</f>
        <v>0</v>
      </c>
      <c r="L90" s="1207" cm="1">
        <f t="array" ref="L90">IF(L$2=YEAR(Report!$A$3),INDEX(Report!$B$108:$B$126,_xlfn.XMATCH($B90,Report!$A$108:$A$126)),0)</f>
        <v>-117.79600000000001</v>
      </c>
      <c r="M90" s="1207" cm="1">
        <f t="array" ref="M90">IF(M$2=YEAR(Report!$A$3),INDEX(Report!$B$108:$B$126,_xlfn.XMATCH($B90,Report!$A$108:$A$126)),0)</f>
        <v>0</v>
      </c>
      <c r="N90" s="1207" cm="1">
        <f t="array" ref="N90">IF(N$2=YEAR(Report!$A$3),INDEX(Report!$B$108:$B$126,_xlfn.XMATCH($B90,Report!$A$108:$A$126)),0)</f>
        <v>0</v>
      </c>
      <c r="O90" s="1207" cm="1">
        <f t="array" ref="O90">IF(O$2=YEAR(Report!$A$3),INDEX(Report!$B$108:$B$126,_xlfn.XMATCH($B90,Report!$A$108:$A$126)),0)</f>
        <v>0</v>
      </c>
      <c r="P90" s="1207" cm="1">
        <f t="array" ref="P90">IF(P$2=YEAR(Report!$A$3),INDEX(Report!$B$108:$B$126,_xlfn.XMATCH($B90,Report!$A$108:$A$126)),0)</f>
        <v>0</v>
      </c>
      <c r="Q90" s="1207" cm="1">
        <f t="array" ref="Q90">IF(Q$2=YEAR(Report!$A$3),INDEX(Report!$B$108:$B$126,_xlfn.XMATCH($B90,Report!$A$108:$A$126)),0)</f>
        <v>0</v>
      </c>
    </row>
    <row r="91" spans="1:114" outlineLevel="1">
      <c r="B91" s="1214" t="s">
        <v>532</v>
      </c>
      <c r="H91" s="1206" t="s">
        <v>2830</v>
      </c>
      <c r="J91" s="1207" cm="1">
        <f t="array" ref="J91">IF(J$2=YEAR(Report!$A$3),INDEX(Report!$B$108:$B$126,_xlfn.XMATCH($B91,Report!$A$108:$A$126)),0)</f>
        <v>0</v>
      </c>
      <c r="K91" s="1207" cm="1">
        <f t="array" ref="K91">IF(K$2=YEAR(Report!$A$3),INDEX(Report!$B$108:$B$126,_xlfn.XMATCH($B91,Report!$A$108:$A$126)),0)</f>
        <v>0</v>
      </c>
      <c r="L91" s="1207" cm="1">
        <f t="array" ref="L91">IF(L$2=YEAR(Report!$A$3),INDEX(Report!$B$108:$B$126,_xlfn.XMATCH($B91,Report!$A$108:$A$126)),0)</f>
        <v>-1712.4629999999997</v>
      </c>
      <c r="M91" s="1207" cm="1">
        <f t="array" ref="M91">IF(M$2=YEAR(Report!$A$3),INDEX(Report!$B$108:$B$126,_xlfn.XMATCH($B91,Report!$A$108:$A$126)),0)</f>
        <v>0</v>
      </c>
      <c r="N91" s="1207" cm="1">
        <f t="array" ref="N91">IF(N$2=YEAR(Report!$A$3),INDEX(Report!$B$108:$B$126,_xlfn.XMATCH($B91,Report!$A$108:$A$126)),0)</f>
        <v>0</v>
      </c>
      <c r="O91" s="1207" cm="1">
        <f t="array" ref="O91">IF(O$2=YEAR(Report!$A$3),INDEX(Report!$B$108:$B$126,_xlfn.XMATCH($B91,Report!$A$108:$A$126)),0)</f>
        <v>0</v>
      </c>
      <c r="P91" s="1207" cm="1">
        <f t="array" ref="P91">IF(P$2=YEAR(Report!$A$3),INDEX(Report!$B$108:$B$126,_xlfn.XMATCH($B91,Report!$A$108:$A$126)),0)</f>
        <v>0</v>
      </c>
      <c r="Q91" s="1207" cm="1">
        <f t="array" ref="Q91">IF(Q$2=YEAR(Report!$A$3),INDEX(Report!$B$108:$B$126,_xlfn.XMATCH($B91,Report!$A$108:$A$126)),0)</f>
        <v>0</v>
      </c>
    </row>
    <row r="92" spans="1:114" outlineLevel="1">
      <c r="B92" s="1214" t="s">
        <v>533</v>
      </c>
      <c r="H92" s="1206" t="s">
        <v>2830</v>
      </c>
      <c r="J92" s="1207" cm="1">
        <f t="array" ref="J92">IF(J$2=YEAR(Report!$A$3),INDEX(Report!$B$108:$B$126,_xlfn.XMATCH($B92,Report!$A$108:$A$126)),0)</f>
        <v>0</v>
      </c>
      <c r="K92" s="1207" cm="1">
        <f t="array" ref="K92">IF(K$2=YEAR(Report!$A$3),INDEX(Report!$B$108:$B$126,_xlfn.XMATCH($B92,Report!$A$108:$A$126)),0)</f>
        <v>0</v>
      </c>
      <c r="L92" s="1207" cm="1">
        <f t="array" ref="L92">IF(L$2=YEAR(Report!$A$3),INDEX(Report!$B$108:$B$126,_xlfn.XMATCH($B92,Report!$A$108:$A$126)),0)</f>
        <v>-4238.1660000000002</v>
      </c>
      <c r="M92" s="1207" cm="1">
        <f t="array" ref="M92">IF(M$2=YEAR(Report!$A$3),INDEX(Report!$B$108:$B$126,_xlfn.XMATCH($B92,Report!$A$108:$A$126)),0)</f>
        <v>0</v>
      </c>
      <c r="N92" s="1207" cm="1">
        <f t="array" ref="N92">IF(N$2=YEAR(Report!$A$3),INDEX(Report!$B$108:$B$126,_xlfn.XMATCH($B92,Report!$A$108:$A$126)),0)</f>
        <v>0</v>
      </c>
      <c r="O92" s="1207" cm="1">
        <f t="array" ref="O92">IF(O$2=YEAR(Report!$A$3),INDEX(Report!$B$108:$B$126,_xlfn.XMATCH($B92,Report!$A$108:$A$126)),0)</f>
        <v>0</v>
      </c>
      <c r="P92" s="1207" cm="1">
        <f t="array" ref="P92">IF(P$2=YEAR(Report!$A$3),INDEX(Report!$B$108:$B$126,_xlfn.XMATCH($B92,Report!$A$108:$A$126)),0)</f>
        <v>0</v>
      </c>
      <c r="Q92" s="1207" cm="1">
        <f t="array" ref="Q92">IF(Q$2=YEAR(Report!$A$3),INDEX(Report!$B$108:$B$126,_xlfn.XMATCH($B92,Report!$A$108:$A$126)),0)</f>
        <v>0</v>
      </c>
    </row>
    <row r="93" spans="1:114" outlineLevel="1">
      <c r="B93" s="1210" t="s">
        <v>2815</v>
      </c>
      <c r="C93" s="1211"/>
      <c r="F93" s="1212" cm="1">
        <f t="array" ref="F93">IF(ABS(INDEX($J93:$Q93,_xlfn.XMATCH(YEAR(Report!$A$3),$J$2:$Q$2))-(Report!$B$128))&gt;Tolerance,1,0)</f>
        <v>0</v>
      </c>
      <c r="H93" s="1206" t="s">
        <v>2830</v>
      </c>
      <c r="J93" s="1217">
        <f>SUM(J86:J92)</f>
        <v>0</v>
      </c>
      <c r="K93" s="1217">
        <f t="shared" ref="K93:Q93" si="75">SUM(K86:K92)</f>
        <v>0</v>
      </c>
      <c r="L93" s="1217">
        <f t="shared" si="75"/>
        <v>313013.5330500002</v>
      </c>
      <c r="M93" s="1217">
        <f t="shared" si="75"/>
        <v>0</v>
      </c>
      <c r="N93" s="1217">
        <f t="shared" si="75"/>
        <v>0</v>
      </c>
      <c r="O93" s="1217">
        <f t="shared" si="75"/>
        <v>0</v>
      </c>
      <c r="P93" s="1217">
        <f t="shared" si="75"/>
        <v>0</v>
      </c>
      <c r="Q93" s="1217">
        <f t="shared" si="75"/>
        <v>0</v>
      </c>
    </row>
    <row r="94" spans="1:114" ht="15" outlineLevel="1">
      <c r="B94" s="1215"/>
      <c r="J94" s="1213"/>
      <c r="K94" s="1213"/>
    </row>
    <row r="95" spans="1:114" ht="15" outlineLevel="1">
      <c r="B95" s="1197" t="s">
        <v>2816</v>
      </c>
      <c r="J95" s="1218"/>
      <c r="K95" s="1218"/>
    </row>
    <row r="96" spans="1:114" outlineLevel="1">
      <c r="B96" s="1198" t="s">
        <v>2798</v>
      </c>
      <c r="H96" s="1206" t="s">
        <v>2830</v>
      </c>
      <c r="J96" s="1207">
        <f>-IF(J$2=YEAR(Report!$A$3),Report!$D106,0)</f>
        <v>0</v>
      </c>
      <c r="K96" s="1207">
        <f>-IF(K$2=YEAR(Report!$A$3),Report!$D106,0)</f>
        <v>0</v>
      </c>
      <c r="L96" s="1207">
        <f>-IF(L$2=YEAR(Report!$A$3),Report!$D106,0)</f>
        <v>-263438.31910000002</v>
      </c>
      <c r="M96" s="1207">
        <f>-IF(M$2=YEAR(Report!$A$3),Report!$D106,0)</f>
        <v>0</v>
      </c>
      <c r="N96" s="1207">
        <f>-IF(N$2=YEAR(Report!$A$3),Report!$D106,0)</f>
        <v>0</v>
      </c>
      <c r="O96" s="1207">
        <f>-IF(O$2=YEAR(Report!$A$3),Report!$D106,0)</f>
        <v>0</v>
      </c>
      <c r="P96" s="1207">
        <f>-IF(P$2=YEAR(Report!$A$3),Report!$D106,0)</f>
        <v>0</v>
      </c>
      <c r="Q96" s="1207">
        <f>-IF(Q$2=YEAR(Report!$A$3),Report!$D106,0)</f>
        <v>0</v>
      </c>
    </row>
    <row r="97" spans="2:17" outlineLevel="1">
      <c r="B97" s="1214" t="s">
        <v>539</v>
      </c>
      <c r="H97" s="1206" t="s">
        <v>2830</v>
      </c>
      <c r="J97" s="1207" cm="1">
        <f t="array" ref="J97">-IF(J$2=YEAR(Report!$A$3),INDEX(Report!$D$108:$D$126,_xlfn.XMATCH($B97,Report!$A$108:$A$126)),0)</f>
        <v>0</v>
      </c>
      <c r="K97" s="1207" cm="1">
        <f t="array" ref="K97">-IF(K$2=YEAR(Report!$A$3),INDEX(Report!$D$108:$D$126,_xlfn.XMATCH($B97,Report!$A$108:$A$126)),0)</f>
        <v>0</v>
      </c>
      <c r="L97" s="1207" cm="1">
        <f t="array" ref="L97">-IF(L$2=YEAR(Report!$A$3),INDEX(Report!$D$108:$D$126,_xlfn.XMATCH($B97,Report!$A$108:$A$126)),0)</f>
        <v>263438.31910000002</v>
      </c>
      <c r="M97" s="1207" cm="1">
        <f t="array" ref="M97">-IF(M$2=YEAR(Report!$A$3),INDEX(Report!$D$108:$D$126,_xlfn.XMATCH($B97,Report!$A$108:$A$126)),0)</f>
        <v>0</v>
      </c>
      <c r="N97" s="1207" cm="1">
        <f t="array" ref="N97">-IF(N$2=YEAR(Report!$A$3),INDEX(Report!$D$108:$D$126,_xlfn.XMATCH($B97,Report!$A$108:$A$126)),0)</f>
        <v>0</v>
      </c>
      <c r="O97" s="1207" cm="1">
        <f t="array" ref="O97">-IF(O$2=YEAR(Report!$A$3),INDEX(Report!$D$108:$D$126,_xlfn.XMATCH($B97,Report!$A$108:$A$126)),0)</f>
        <v>0</v>
      </c>
      <c r="P97" s="1207" cm="1">
        <f t="array" ref="P97">-IF(P$2=YEAR(Report!$A$3),INDEX(Report!$D$108:$D$126,_xlfn.XMATCH($B97,Report!$A$108:$A$126)),0)</f>
        <v>0</v>
      </c>
      <c r="Q97" s="1207" cm="1">
        <f t="array" ref="Q97">-IF(Q$2=YEAR(Report!$A$3),INDEX(Report!$D$108:$D$126,_xlfn.XMATCH($B97,Report!$A$108:$A$126)),0)</f>
        <v>0</v>
      </c>
    </row>
    <row r="98" spans="2:17" outlineLevel="1">
      <c r="B98" s="1210" t="s">
        <v>2817</v>
      </c>
      <c r="C98" s="1211"/>
      <c r="F98" s="1212" cm="1">
        <f t="array" ref="F98">IF(ABS(INDEX($J98:$Q98,_xlfn.XMATCH(YEAR(Report!$A$3),$J$2:$Q$2))-(Report!$D$128))&gt;Tolerance,1,0)</f>
        <v>0</v>
      </c>
      <c r="H98" s="1206" t="s">
        <v>2830</v>
      </c>
      <c r="J98" s="1217">
        <f t="shared" ref="J98:Q98" si="76">SUM(J96:J97)</f>
        <v>0</v>
      </c>
      <c r="K98" s="1217">
        <f t="shared" si="76"/>
        <v>0</v>
      </c>
      <c r="L98" s="1217">
        <f t="shared" si="76"/>
        <v>0</v>
      </c>
      <c r="M98" s="1217">
        <f t="shared" si="76"/>
        <v>0</v>
      </c>
      <c r="N98" s="1217">
        <f t="shared" si="76"/>
        <v>0</v>
      </c>
      <c r="O98" s="1217">
        <f t="shared" si="76"/>
        <v>0</v>
      </c>
      <c r="P98" s="1217">
        <f t="shared" si="76"/>
        <v>0</v>
      </c>
      <c r="Q98" s="1217">
        <f t="shared" si="76"/>
        <v>0</v>
      </c>
    </row>
    <row r="99" spans="2:17" outlineLevel="1"/>
    <row r="100" spans="2:17" ht="15" outlineLevel="1">
      <c r="B100" s="1197" t="s">
        <v>2818</v>
      </c>
      <c r="J100" s="1219"/>
      <c r="K100" s="1219"/>
    </row>
    <row r="101" spans="2:17" outlineLevel="1">
      <c r="B101" s="1198" t="s">
        <v>2798</v>
      </c>
      <c r="H101" s="1206" t="s">
        <v>2830</v>
      </c>
      <c r="J101" s="1207">
        <f>-IF(J$2=YEAR(Report!$A$3),Report!$F106,0)</f>
        <v>0</v>
      </c>
      <c r="K101" s="1207">
        <f>-IF(K$2=YEAR(Report!$A$3),Report!$F106,0)</f>
        <v>0</v>
      </c>
      <c r="L101" s="1207">
        <f>-IF(L$2=YEAR(Report!$A$3),Report!$F106,0)</f>
        <v>-153041.29167999999</v>
      </c>
      <c r="M101" s="1207">
        <f>-IF(M$2=YEAR(Report!$A$3),Report!$F106,0)</f>
        <v>0</v>
      </c>
      <c r="N101" s="1207">
        <f>-IF(N$2=YEAR(Report!$A$3),Report!$F106,0)</f>
        <v>0</v>
      </c>
      <c r="O101" s="1207">
        <f>-IF(O$2=YEAR(Report!$A$3),Report!$F106,0)</f>
        <v>0</v>
      </c>
      <c r="P101" s="1207">
        <f>-IF(P$2=YEAR(Report!$A$3),Report!$F106,0)</f>
        <v>0</v>
      </c>
      <c r="Q101" s="1207">
        <f>-IF(Q$2=YEAR(Report!$A$3),Report!$F106,0)</f>
        <v>0</v>
      </c>
    </row>
    <row r="102" spans="2:17" outlineLevel="1">
      <c r="B102" s="1214" t="s">
        <v>537</v>
      </c>
      <c r="H102" s="1206" t="s">
        <v>2830</v>
      </c>
      <c r="J102" s="1207" cm="1">
        <f t="array" ref="J102">-IFERROR(IF(J$2=YEAR(Report!$A$3),INDEX(Report!$F$108:$F$126,_xlfn.XMATCH($B102,Report!$A$108:$A$126)),0),0)</f>
        <v>0</v>
      </c>
      <c r="K102" s="1207" cm="1">
        <f t="array" ref="K102">-IFERROR(IF(K$2=YEAR(Report!$A$3),INDEX(Report!$F$108:$F$126,_xlfn.XMATCH($B102,Report!$A$108:$A$126)),0),0)</f>
        <v>0</v>
      </c>
      <c r="L102" s="1207" cm="1">
        <f t="array" ref="L102">-IFERROR(IF(L$2=YEAR(Report!$A$3),INDEX(Report!$F$108:$F$126,_xlfn.XMATCH($B102,Report!$A$108:$A$126)),0),0)</f>
        <v>29649.198280000001</v>
      </c>
      <c r="M102" s="1207" cm="1">
        <f t="array" ref="M102">-IFERROR(IF(M$2=YEAR(Report!$A$3),INDEX(Report!$F$108:$F$126,_xlfn.XMATCH($B102,Report!$A$108:$A$126)),0),0)</f>
        <v>0</v>
      </c>
      <c r="N102" s="1207" cm="1">
        <f t="array" ref="N102">-IFERROR(IF(N$2=YEAR(Report!$A$3),INDEX(Report!$F$108:$F$126,_xlfn.XMATCH($B102,Report!$A$108:$A$126)),0),0)</f>
        <v>0</v>
      </c>
      <c r="O102" s="1207" cm="1">
        <f t="array" ref="O102">-IFERROR(IF(O$2=YEAR(Report!$A$3),INDEX(Report!$F$108:$F$126,_xlfn.XMATCH($B102,Report!$A$108:$A$126)),0),0)</f>
        <v>0</v>
      </c>
      <c r="P102" s="1207" cm="1">
        <f t="array" ref="P102">-IFERROR(IF(P$2=YEAR(Report!$A$3),INDEX(Report!$F$108:$F$126,_xlfn.XMATCH($B102,Report!$A$108:$A$126)),0),0)</f>
        <v>0</v>
      </c>
      <c r="Q102" s="1207" cm="1">
        <f t="array" ref="Q102">-IFERROR(IF(Q$2=YEAR(Report!$A$3),INDEX(Report!$F$108:$F$126,_xlfn.XMATCH($B102,Report!$A$108:$A$126)),0),0)</f>
        <v>0</v>
      </c>
    </row>
    <row r="103" spans="2:17" outlineLevel="1">
      <c r="B103" s="1214" t="s">
        <v>540</v>
      </c>
      <c r="H103" s="1206" t="s">
        <v>2830</v>
      </c>
      <c r="J103" s="1207" cm="1">
        <f t="array" ref="J103">-IFERROR(IF(J$2=YEAR(Report!$A$3),INDEX(Report!$F$108:$F$126,_xlfn.XMATCH($B103,Report!$A$108:$A$126)),0),0)</f>
        <v>0</v>
      </c>
      <c r="K103" s="1207" cm="1">
        <f t="array" ref="K103">-IFERROR(IF(K$2=YEAR(Report!$A$3),INDEX(Report!$F$108:$F$126,_xlfn.XMATCH($B103,Report!$A$108:$A$126)),0),0)</f>
        <v>0</v>
      </c>
      <c r="L103" s="1207" cm="1">
        <f t="array" ref="L103">-IFERROR(IF(L$2=YEAR(Report!$A$3),INDEX(Report!$F$108:$F$126,_xlfn.XMATCH($B103,Report!$A$108:$A$126)),0),0)</f>
        <v>16.0805975</v>
      </c>
      <c r="M103" s="1207" cm="1">
        <f t="array" ref="M103">-IFERROR(IF(M$2=YEAR(Report!$A$3),INDEX(Report!$F$108:$F$126,_xlfn.XMATCH($B103,Report!$A$108:$A$126)),0),0)</f>
        <v>0</v>
      </c>
      <c r="N103" s="1207" cm="1">
        <f t="array" ref="N103">-IFERROR(IF(N$2=YEAR(Report!$A$3),INDEX(Report!$F$108:$F$126,_xlfn.XMATCH($B103,Report!$A$108:$A$126)),0),0)</f>
        <v>0</v>
      </c>
      <c r="O103" s="1207" cm="1">
        <f t="array" ref="O103">-IFERROR(IF(O$2=YEAR(Report!$A$3),INDEX(Report!$F$108:$F$126,_xlfn.XMATCH($B103,Report!$A$108:$A$126)),0),0)</f>
        <v>0</v>
      </c>
      <c r="P103" s="1207" cm="1">
        <f t="array" ref="P103">-IFERROR(IF(P$2=YEAR(Report!$A$3),INDEX(Report!$F$108:$F$126,_xlfn.XMATCH($B103,Report!$A$108:$A$126)),0),0)</f>
        <v>0</v>
      </c>
      <c r="Q103" s="1207" cm="1">
        <f t="array" ref="Q103">-IFERROR(IF(Q$2=YEAR(Report!$A$3),INDEX(Report!$F$108:$F$126,_xlfn.XMATCH($B103,Report!$A$108:$A$126)),0),0)</f>
        <v>0</v>
      </c>
    </row>
    <row r="104" spans="2:17" outlineLevel="1">
      <c r="B104" s="1214" t="s">
        <v>541</v>
      </c>
      <c r="H104" s="1206" t="s">
        <v>2830</v>
      </c>
      <c r="J104" s="1207" cm="1">
        <f t="array" ref="J104">-IFERROR(IF(J$2=YEAR(Report!$A$3),INDEX(Report!$F$108:$F$126,_xlfn.XMATCH($B104,Report!$A$108:$A$126)),0),0)</f>
        <v>0</v>
      </c>
      <c r="K104" s="1207" cm="1">
        <f t="array" ref="K104">-IFERROR(IF(K$2=YEAR(Report!$A$3),INDEX(Report!$F$108:$F$126,_xlfn.XMATCH($B104,Report!$A$108:$A$126)),0),0)</f>
        <v>0</v>
      </c>
      <c r="L104" s="1207" cm="1">
        <f t="array" ref="L104">-IFERROR(IF(L$2=YEAR(Report!$A$3),INDEX(Report!$F$108:$F$126,_xlfn.XMATCH($B104,Report!$A$108:$A$126)),0),0)</f>
        <v>79.175509999999989</v>
      </c>
      <c r="M104" s="1207" cm="1">
        <f t="array" ref="M104">-IFERROR(IF(M$2=YEAR(Report!$A$3),INDEX(Report!$F$108:$F$126,_xlfn.XMATCH($B104,Report!$A$108:$A$126)),0),0)</f>
        <v>0</v>
      </c>
      <c r="N104" s="1207" cm="1">
        <f t="array" ref="N104">-IFERROR(IF(N$2=YEAR(Report!$A$3),INDEX(Report!$F$108:$F$126,_xlfn.XMATCH($B104,Report!$A$108:$A$126)),0),0)</f>
        <v>0</v>
      </c>
      <c r="O104" s="1207" cm="1">
        <f t="array" ref="O104">-IFERROR(IF(O$2=YEAR(Report!$A$3),INDEX(Report!$F$108:$F$126,_xlfn.XMATCH($B104,Report!$A$108:$A$126)),0),0)</f>
        <v>0</v>
      </c>
      <c r="P104" s="1207" cm="1">
        <f t="array" ref="P104">-IFERROR(IF(P$2=YEAR(Report!$A$3),INDEX(Report!$F$108:$F$126,_xlfn.XMATCH($B104,Report!$A$108:$A$126)),0),0)</f>
        <v>0</v>
      </c>
      <c r="Q104" s="1207" cm="1">
        <f t="array" ref="Q104">-IFERROR(IF(Q$2=YEAR(Report!$A$3),INDEX(Report!$F$108:$F$126,_xlfn.XMATCH($B104,Report!$A$108:$A$126)),0),0)</f>
        <v>0</v>
      </c>
    </row>
    <row r="105" spans="2:17" outlineLevel="1">
      <c r="B105" s="1214" t="s">
        <v>2819</v>
      </c>
      <c r="H105" s="1206" t="s">
        <v>2830</v>
      </c>
      <c r="J105" s="1207" cm="1">
        <f t="array" ref="J105">-IFERROR(IF(J$2=YEAR(Report!$A$3),INDEX(Report!$F$108:$F$126,_xlfn.XMATCH($B105,Report!$A$108:$A$126)),0),0)</f>
        <v>0</v>
      </c>
      <c r="K105" s="1207" cm="1">
        <f t="array" ref="K105">-IFERROR(IF(K$2=YEAR(Report!$A$3),INDEX(Report!$F$108:$F$126,_xlfn.XMATCH($B105,Report!$A$108:$A$126)),0),0)</f>
        <v>0</v>
      </c>
      <c r="L105" s="1207" cm="1">
        <f t="array" ref="L105">-IFERROR(IF(L$2=YEAR(Report!$A$3),INDEX(Report!$F$108:$F$126,_xlfn.XMATCH($B105,Report!$A$108:$A$126)),0),0)</f>
        <v>0</v>
      </c>
      <c r="M105" s="1207" cm="1">
        <f t="array" ref="M105">-IFERROR(IF(M$2=YEAR(Report!$A$3),INDEX(Report!$F$108:$F$126,_xlfn.XMATCH($B105,Report!$A$108:$A$126)),0),0)</f>
        <v>0</v>
      </c>
      <c r="N105" s="1207" cm="1">
        <f t="array" ref="N105">-IFERROR(IF(N$2=YEAR(Report!$A$3),INDEX(Report!$F$108:$F$126,_xlfn.XMATCH($B105,Report!$A$108:$A$126)),0),0)</f>
        <v>0</v>
      </c>
      <c r="O105" s="1207" cm="1">
        <f t="array" ref="O105">-IFERROR(IF(O$2=YEAR(Report!$A$3),INDEX(Report!$F$108:$F$126,_xlfn.XMATCH($B105,Report!$A$108:$A$126)),0),0)</f>
        <v>0</v>
      </c>
      <c r="P105" s="1207" cm="1">
        <f t="array" ref="P105">-IFERROR(IF(P$2=YEAR(Report!$A$3),INDEX(Report!$F$108:$F$126,_xlfn.XMATCH($B105,Report!$A$108:$A$126)),0),0)</f>
        <v>0</v>
      </c>
      <c r="Q105" s="1207" cm="1">
        <f t="array" ref="Q105">-IFERROR(IF(Q$2=YEAR(Report!$A$3),INDEX(Report!$F$108:$F$126,_xlfn.XMATCH($B105,Report!$A$108:$A$126)),0),0)</f>
        <v>0</v>
      </c>
    </row>
    <row r="106" spans="2:17" outlineLevel="1">
      <c r="B106" s="1214" t="s">
        <v>542</v>
      </c>
      <c r="H106" s="1206" t="s">
        <v>2830</v>
      </c>
      <c r="J106" s="1207" cm="1">
        <f t="array" ref="J106">-IFERROR(IF(J$2=YEAR(Report!$A$3),INDEX(Report!$F$108:$F$126,_xlfn.XMATCH($B106,Report!$A$108:$A$126)),0),0)</f>
        <v>0</v>
      </c>
      <c r="K106" s="1207" cm="1">
        <f t="array" ref="K106">-IFERROR(IF(K$2=YEAR(Report!$A$3),INDEX(Report!$F$108:$F$126,_xlfn.XMATCH($B106,Report!$A$108:$A$126)),0),0)</f>
        <v>0</v>
      </c>
      <c r="L106" s="1207" cm="1">
        <f t="array" ref="L106">-IFERROR(IF(L$2=YEAR(Report!$A$3),INDEX(Report!$F$108:$F$126,_xlfn.XMATCH($B106,Report!$A$108:$A$126)),0),0)</f>
        <v>58.709748543999993</v>
      </c>
      <c r="M106" s="1207" cm="1">
        <f t="array" ref="M106">-IFERROR(IF(M$2=YEAR(Report!$A$3),INDEX(Report!$F$108:$F$126,_xlfn.XMATCH($B106,Report!$A$108:$A$126)),0),0)</f>
        <v>0</v>
      </c>
      <c r="N106" s="1207" cm="1">
        <f t="array" ref="N106">-IFERROR(IF(N$2=YEAR(Report!$A$3),INDEX(Report!$F$108:$F$126,_xlfn.XMATCH($B106,Report!$A$108:$A$126)),0),0)</f>
        <v>0</v>
      </c>
      <c r="O106" s="1207" cm="1">
        <f t="array" ref="O106">-IFERROR(IF(O$2=YEAR(Report!$A$3),INDEX(Report!$F$108:$F$126,_xlfn.XMATCH($B106,Report!$A$108:$A$126)),0),0)</f>
        <v>0</v>
      </c>
      <c r="P106" s="1207" cm="1">
        <f t="array" ref="P106">-IFERROR(IF(P$2=YEAR(Report!$A$3),INDEX(Report!$F$108:$F$126,_xlfn.XMATCH($B106,Report!$A$108:$A$126)),0),0)</f>
        <v>0</v>
      </c>
      <c r="Q106" s="1207" cm="1">
        <f t="array" ref="Q106">-IFERROR(IF(Q$2=YEAR(Report!$A$3),INDEX(Report!$F$108:$F$126,_xlfn.XMATCH($B106,Report!$A$108:$A$126)),0),0)</f>
        <v>0</v>
      </c>
    </row>
    <row r="107" spans="2:17" outlineLevel="1">
      <c r="B107" s="1214" t="s">
        <v>543</v>
      </c>
      <c r="H107" s="1206" t="s">
        <v>2830</v>
      </c>
      <c r="J107" s="1207" cm="1">
        <f t="array" ref="J107">-IFERROR(IF(J$2=YEAR(Report!$A$3),INDEX(Report!$F$108:$F$126,_xlfn.XMATCH($B107,Report!$A$108:$A$126)),0),0)</f>
        <v>0</v>
      </c>
      <c r="K107" s="1207" cm="1">
        <f t="array" ref="K107">-IFERROR(IF(K$2=YEAR(Report!$A$3),INDEX(Report!$F$108:$F$126,_xlfn.XMATCH($B107,Report!$A$108:$A$126)),0),0)</f>
        <v>0</v>
      </c>
      <c r="L107" s="1207" cm="1">
        <f t="array" ref="L107">-IFERROR(IF(L$2=YEAR(Report!$A$3),INDEX(Report!$F$108:$F$126,_xlfn.XMATCH($B107,Report!$A$108:$A$126)),0),0)</f>
        <v>7.6618412699999991</v>
      </c>
      <c r="M107" s="1207" cm="1">
        <f t="array" ref="M107">-IFERROR(IF(M$2=YEAR(Report!$A$3),INDEX(Report!$F$108:$F$126,_xlfn.XMATCH($B107,Report!$A$108:$A$126)),0),0)</f>
        <v>0</v>
      </c>
      <c r="N107" s="1207" cm="1">
        <f t="array" ref="N107">-IFERROR(IF(N$2=YEAR(Report!$A$3),INDEX(Report!$F$108:$F$126,_xlfn.XMATCH($B107,Report!$A$108:$A$126)),0),0)</f>
        <v>0</v>
      </c>
      <c r="O107" s="1207" cm="1">
        <f t="array" ref="O107">-IFERROR(IF(O$2=YEAR(Report!$A$3),INDEX(Report!$F$108:$F$126,_xlfn.XMATCH($B107,Report!$A$108:$A$126)),0),0)</f>
        <v>0</v>
      </c>
      <c r="P107" s="1207" cm="1">
        <f t="array" ref="P107">-IFERROR(IF(P$2=YEAR(Report!$A$3),INDEX(Report!$F$108:$F$126,_xlfn.XMATCH($B107,Report!$A$108:$A$126)),0),0)</f>
        <v>0</v>
      </c>
      <c r="Q107" s="1207" cm="1">
        <f t="array" ref="Q107">-IFERROR(IF(Q$2=YEAR(Report!$A$3),INDEX(Report!$F$108:$F$126,_xlfn.XMATCH($B107,Report!$A$108:$A$126)),0),0)</f>
        <v>0</v>
      </c>
    </row>
    <row r="108" spans="2:17" outlineLevel="1">
      <c r="B108" s="1214" t="s">
        <v>2820</v>
      </c>
      <c r="H108" s="1206" t="s">
        <v>2830</v>
      </c>
      <c r="J108" s="1207" cm="1">
        <f t="array" ref="J108">-IFERROR(IF(J$2=YEAR(Report!$A$3),INDEX(Report!$F$108:$F$126,_xlfn.XMATCH($B108,Report!$A$108:$A$126)),0),0)</f>
        <v>0</v>
      </c>
      <c r="K108" s="1207" cm="1">
        <f t="array" ref="K108">-IFERROR(IF(K$2=YEAR(Report!$A$3),INDEX(Report!$F$108:$F$126,_xlfn.XMATCH($B108,Report!$A$108:$A$126)),0),0)</f>
        <v>0</v>
      </c>
      <c r="L108" s="1207" cm="1">
        <f t="array" ref="L108">-IFERROR(IF(L$2=YEAR(Report!$A$3),INDEX(Report!$F$108:$F$126,_xlfn.XMATCH($B108,Report!$A$108:$A$126)),0),0)</f>
        <v>0</v>
      </c>
      <c r="M108" s="1207" cm="1">
        <f t="array" ref="M108">-IFERROR(IF(M$2=YEAR(Report!$A$3),INDEX(Report!$F$108:$F$126,_xlfn.XMATCH($B108,Report!$A$108:$A$126)),0),0)</f>
        <v>0</v>
      </c>
      <c r="N108" s="1207" cm="1">
        <f t="array" ref="N108">-IFERROR(IF(N$2=YEAR(Report!$A$3),INDEX(Report!$F$108:$F$126,_xlfn.XMATCH($B108,Report!$A$108:$A$126)),0),0)</f>
        <v>0</v>
      </c>
      <c r="O108" s="1207" cm="1">
        <f t="array" ref="O108">-IFERROR(IF(O$2=YEAR(Report!$A$3),INDEX(Report!$F$108:$F$126,_xlfn.XMATCH($B108,Report!$A$108:$A$126)),0),0)</f>
        <v>0</v>
      </c>
      <c r="P108" s="1207" cm="1">
        <f t="array" ref="P108">-IFERROR(IF(P$2=YEAR(Report!$A$3),INDEX(Report!$F$108:$F$126,_xlfn.XMATCH($B108,Report!$A$108:$A$126)),0),0)</f>
        <v>0</v>
      </c>
      <c r="Q108" s="1207" cm="1">
        <f t="array" ref="Q108">-IFERROR(IF(Q$2=YEAR(Report!$A$3),INDEX(Report!$F$108:$F$126,_xlfn.XMATCH($B108,Report!$A$108:$A$126)),0),0)</f>
        <v>0</v>
      </c>
    </row>
    <row r="109" spans="2:17" outlineLevel="1">
      <c r="B109" s="1214" t="s">
        <v>2821</v>
      </c>
      <c r="H109" s="1206" t="s">
        <v>2830</v>
      </c>
      <c r="J109" s="1207" cm="1">
        <f t="array" ref="J109">-IFERROR(IF(J$2=YEAR(Report!$A$3),INDEX(Report!$F$108:$F$126,_xlfn.XMATCH($B109,Report!$A$108:$A$126)),0),0)</f>
        <v>0</v>
      </c>
      <c r="K109" s="1207" cm="1">
        <f t="array" ref="K109">-IFERROR(IF(K$2=YEAR(Report!$A$3),INDEX(Report!$F$108:$F$126,_xlfn.XMATCH($B109,Report!$A$108:$A$126)),0),0)</f>
        <v>0</v>
      </c>
      <c r="L109" s="1207" cm="1">
        <f t="array" ref="L109">-IFERROR(IF(L$2=YEAR(Report!$A$3),INDEX(Report!$F$108:$F$126,_xlfn.XMATCH($B109,Report!$A$108:$A$126)),0),0)</f>
        <v>0</v>
      </c>
      <c r="M109" s="1207" cm="1">
        <f t="array" ref="M109">-IFERROR(IF(M$2=YEAR(Report!$A$3),INDEX(Report!$F$108:$F$126,_xlfn.XMATCH($B109,Report!$A$108:$A$126)),0),0)</f>
        <v>0</v>
      </c>
      <c r="N109" s="1207" cm="1">
        <f t="array" ref="N109">-IFERROR(IF(N$2=YEAR(Report!$A$3),INDEX(Report!$F$108:$F$126,_xlfn.XMATCH($B109,Report!$A$108:$A$126)),0),0)</f>
        <v>0</v>
      </c>
      <c r="O109" s="1207" cm="1">
        <f t="array" ref="O109">-IFERROR(IF(O$2=YEAR(Report!$A$3),INDEX(Report!$F$108:$F$126,_xlfn.XMATCH($B109,Report!$A$108:$A$126)),0),0)</f>
        <v>0</v>
      </c>
      <c r="P109" s="1207" cm="1">
        <f t="array" ref="P109">-IFERROR(IF(P$2=YEAR(Report!$A$3),INDEX(Report!$F$108:$F$126,_xlfn.XMATCH($B109,Report!$A$108:$A$126)),0),0)</f>
        <v>0</v>
      </c>
      <c r="Q109" s="1207" cm="1">
        <f t="array" ref="Q109">-IFERROR(IF(Q$2=YEAR(Report!$A$3),INDEX(Report!$F$108:$F$126,_xlfn.XMATCH($B109,Report!$A$108:$A$126)),0),0)</f>
        <v>0</v>
      </c>
    </row>
    <row r="110" spans="2:17" outlineLevel="1">
      <c r="B110" s="1214" t="s">
        <v>532</v>
      </c>
      <c r="H110" s="1206" t="s">
        <v>2830</v>
      </c>
      <c r="J110" s="1207" cm="1">
        <f t="array" ref="J110">-IFERROR(IF(J$2=YEAR(Report!$A$3),INDEX(Report!$F$108:$F$126,_xlfn.XMATCH($B110,Report!$A$108:$A$126)),0),0)</f>
        <v>0</v>
      </c>
      <c r="K110" s="1207" cm="1">
        <f t="array" ref="K110">-IFERROR(IF(K$2=YEAR(Report!$A$3),INDEX(Report!$F$108:$F$126,_xlfn.XMATCH($B110,Report!$A$108:$A$126)),0),0)</f>
        <v>0</v>
      </c>
      <c r="L110" s="1207" cm="1">
        <f t="array" ref="L110">-IFERROR(IF(L$2=YEAR(Report!$A$3),INDEX(Report!$F$108:$F$126,_xlfn.XMATCH($B110,Report!$A$108:$A$126)),0),0)</f>
        <v>848.702</v>
      </c>
      <c r="M110" s="1207" cm="1">
        <f t="array" ref="M110">-IFERROR(IF(M$2=YEAR(Report!$A$3),INDEX(Report!$F$108:$F$126,_xlfn.XMATCH($B110,Report!$A$108:$A$126)),0),0)</f>
        <v>0</v>
      </c>
      <c r="N110" s="1207" cm="1">
        <f t="array" ref="N110">-IFERROR(IF(N$2=YEAR(Report!$A$3),INDEX(Report!$F$108:$F$126,_xlfn.XMATCH($B110,Report!$A$108:$A$126)),0),0)</f>
        <v>0</v>
      </c>
      <c r="O110" s="1207" cm="1">
        <f t="array" ref="O110">-IFERROR(IF(O$2=YEAR(Report!$A$3),INDEX(Report!$F$108:$F$126,_xlfn.XMATCH($B110,Report!$A$108:$A$126)),0),0)</f>
        <v>0</v>
      </c>
      <c r="P110" s="1207" cm="1">
        <f t="array" ref="P110">-IFERROR(IF(P$2=YEAR(Report!$A$3),INDEX(Report!$F$108:$F$126,_xlfn.XMATCH($B110,Report!$A$108:$A$126)),0),0)</f>
        <v>0</v>
      </c>
      <c r="Q110" s="1207" cm="1">
        <f t="array" ref="Q110">-IFERROR(IF(Q$2=YEAR(Report!$A$3),INDEX(Report!$F$108:$F$126,_xlfn.XMATCH($B110,Report!$A$108:$A$126)),0),0)</f>
        <v>0</v>
      </c>
    </row>
    <row r="111" spans="2:17" outlineLevel="1">
      <c r="B111" s="1210" t="s">
        <v>2822</v>
      </c>
      <c r="C111" s="1211"/>
      <c r="F111" s="1212" cm="1">
        <f t="array" ref="F111">IF(ABS(INDEX($J111:$Q111,_xlfn.XMATCH(YEAR(Report!$A$3),$J$2:$Q$2))+(Report!$F$128))&gt;Tolerance,1,0)</f>
        <v>0</v>
      </c>
      <c r="H111" s="1206" t="s">
        <v>2830</v>
      </c>
      <c r="J111" s="1217">
        <f t="shared" ref="J111:Q111" si="77">SUM(J101:J110)</f>
        <v>0</v>
      </c>
      <c r="K111" s="1217">
        <f t="shared" si="77"/>
        <v>0</v>
      </c>
      <c r="L111" s="1217">
        <f t="shared" si="77"/>
        <v>-122381.76370268599</v>
      </c>
      <c r="M111" s="1217">
        <f t="shared" si="77"/>
        <v>0</v>
      </c>
      <c r="N111" s="1217">
        <f t="shared" si="77"/>
        <v>0</v>
      </c>
      <c r="O111" s="1217">
        <f t="shared" si="77"/>
        <v>0</v>
      </c>
      <c r="P111" s="1217">
        <f t="shared" si="77"/>
        <v>0</v>
      </c>
      <c r="Q111" s="1217">
        <f t="shared" si="77"/>
        <v>0</v>
      </c>
    </row>
    <row r="112" spans="2:17" outlineLevel="1"/>
    <row r="113" spans="2:17" ht="15" outlineLevel="1">
      <c r="B113" s="1197" t="s">
        <v>2802</v>
      </c>
      <c r="J113" s="1218"/>
      <c r="K113" s="1218"/>
    </row>
    <row r="114" spans="2:17" outlineLevel="1">
      <c r="B114" s="1198" t="s">
        <v>2798</v>
      </c>
      <c r="H114" s="1206" t="s">
        <v>2830</v>
      </c>
      <c r="J114" s="1207">
        <f>-IF(J$2=YEAR(Report!$A$3),Report!$H106,0)</f>
        <v>0</v>
      </c>
      <c r="K114" s="1207">
        <f>-IF(K$2=YEAR(Report!$A$3),Report!$H106,0)</f>
        <v>0</v>
      </c>
      <c r="L114" s="1207">
        <f>-IF(L$2=YEAR(Report!$A$3),Report!$H106,0)</f>
        <v>-47035.836779999998</v>
      </c>
      <c r="M114" s="1207">
        <f>-IF(M$2=YEAR(Report!$A$3),Report!$H106,0)</f>
        <v>0</v>
      </c>
      <c r="N114" s="1207">
        <f>-IF(N$2=YEAR(Report!$A$3),Report!$H106,0)</f>
        <v>0</v>
      </c>
      <c r="O114" s="1207">
        <f>-IF(O$2=YEAR(Report!$A$3),Report!$H106,0)</f>
        <v>0</v>
      </c>
      <c r="P114" s="1207">
        <f>-IF(P$2=YEAR(Report!$A$3),Report!$H106,0)</f>
        <v>0</v>
      </c>
      <c r="Q114" s="1207">
        <f>-IF(Q$2=YEAR(Report!$A$3),Report!$H106,0)</f>
        <v>0</v>
      </c>
    </row>
    <row r="115" spans="2:17" outlineLevel="1">
      <c r="B115" s="1214" t="s">
        <v>538</v>
      </c>
      <c r="H115" s="1206" t="s">
        <v>2830</v>
      </c>
      <c r="J115" s="1207" cm="1">
        <f t="array" ref="J115">-IFERROR(IF(J$2=YEAR(Report!$A$3),INDEX(Report!$H$108:$H$126,_xlfn.XMATCH($B115,Report!$A$108:$A$126)),0),0)</f>
        <v>0</v>
      </c>
      <c r="K115" s="1207" cm="1">
        <f t="array" ref="K115">-IFERROR(IF(K$2=YEAR(Report!$A$3),INDEX(Report!$H$108:$H$126,_xlfn.XMATCH($B115,Report!$A$108:$A$126)),0),0)</f>
        <v>0</v>
      </c>
      <c r="L115" s="1207" cm="1">
        <f t="array" ref="L115">-IFERROR(IF(L$2=YEAR(Report!$A$3),INDEX(Report!$H$108:$H$126,_xlfn.XMATCH($B115,Report!$A$108:$A$126)),0),0)</f>
        <v>39.200481251330913</v>
      </c>
      <c r="M115" s="1207" cm="1">
        <f t="array" ref="M115">-IFERROR(IF(M$2=YEAR(Report!$A$3),INDEX(Report!$H$108:$H$126,_xlfn.XMATCH($B115,Report!$A$108:$A$126)),0),0)</f>
        <v>0</v>
      </c>
      <c r="N115" s="1207" cm="1">
        <f t="array" ref="N115">-IFERROR(IF(N$2=YEAR(Report!$A$3),INDEX(Report!$H$108:$H$126,_xlfn.XMATCH($B115,Report!$A$108:$A$126)),0),0)</f>
        <v>0</v>
      </c>
      <c r="O115" s="1207" cm="1">
        <f t="array" ref="O115">-IFERROR(IF(O$2=YEAR(Report!$A$3),INDEX(Report!$H$108:$H$126,_xlfn.XMATCH($B115,Report!$A$108:$A$126)),0),0)</f>
        <v>0</v>
      </c>
      <c r="P115" s="1207" cm="1">
        <f t="array" ref="P115">-IFERROR(IF(P$2=YEAR(Report!$A$3),INDEX(Report!$H$108:$H$126,_xlfn.XMATCH($B115,Report!$A$108:$A$126)),0),0)</f>
        <v>0</v>
      </c>
      <c r="Q115" s="1207" cm="1">
        <f t="array" ref="Q115">-IFERROR(IF(Q$2=YEAR(Report!$A$3),INDEX(Report!$H$108:$H$126,_xlfn.XMATCH($B115,Report!$A$108:$A$126)),0),0)</f>
        <v>0</v>
      </c>
    </row>
    <row r="116" spans="2:17" outlineLevel="1">
      <c r="B116" s="1214" t="s">
        <v>544</v>
      </c>
      <c r="H116" s="1206" t="s">
        <v>2830</v>
      </c>
      <c r="J116" s="1207" cm="1">
        <f t="array" ref="J116">-IFERROR(IF(J$2=YEAR(Report!$A$3),INDEX(Report!$H$108:$H$126,_xlfn.XMATCH($B116,Report!$A$108:$A$126)),0),0)</f>
        <v>0</v>
      </c>
      <c r="K116" s="1207" cm="1">
        <f t="array" ref="K116">-IFERROR(IF(K$2=YEAR(Report!$A$3),INDEX(Report!$H$108:$H$126,_xlfn.XMATCH($B116,Report!$A$108:$A$126)),0),0)</f>
        <v>0</v>
      </c>
      <c r="L116" s="1207" cm="1">
        <f t="array" ref="L116">-IFERROR(IF(L$2=YEAR(Report!$A$3),INDEX(Report!$H$108:$H$126,_xlfn.XMATCH($B116,Report!$A$108:$A$126)),0),0)</f>
        <v>0</v>
      </c>
      <c r="M116" s="1207" cm="1">
        <f t="array" ref="M116">-IFERROR(IF(M$2=YEAR(Report!$A$3),INDEX(Report!$H$108:$H$126,_xlfn.XMATCH($B116,Report!$A$108:$A$126)),0),0)</f>
        <v>0</v>
      </c>
      <c r="N116" s="1207" cm="1">
        <f t="array" ref="N116">-IFERROR(IF(N$2=YEAR(Report!$A$3),INDEX(Report!$H$108:$H$126,_xlfn.XMATCH($B116,Report!$A$108:$A$126)),0),0)</f>
        <v>0</v>
      </c>
      <c r="O116" s="1207" cm="1">
        <f t="array" ref="O116">-IFERROR(IF(O$2=YEAR(Report!$A$3),INDEX(Report!$H$108:$H$126,_xlfn.XMATCH($B116,Report!$A$108:$A$126)),0),0)</f>
        <v>0</v>
      </c>
      <c r="P116" s="1207" cm="1">
        <f t="array" ref="P116">-IFERROR(IF(P$2=YEAR(Report!$A$3),INDEX(Report!$H$108:$H$126,_xlfn.XMATCH($B116,Report!$A$108:$A$126)),0),0)</f>
        <v>0</v>
      </c>
      <c r="Q116" s="1207" cm="1">
        <f t="array" ref="Q116">-IFERROR(IF(Q$2=YEAR(Report!$A$3),INDEX(Report!$H$108:$H$126,_xlfn.XMATCH($B116,Report!$A$108:$A$126)),0),0)</f>
        <v>0</v>
      </c>
    </row>
    <row r="117" spans="2:17" outlineLevel="1">
      <c r="B117" s="1214" t="s">
        <v>532</v>
      </c>
      <c r="H117" s="1206" t="s">
        <v>2830</v>
      </c>
      <c r="J117" s="1207" cm="1">
        <f t="array" ref="J117">-IFERROR(IF(J$2=YEAR(Report!$A$3),INDEX(Report!$H$108:$H$126,_xlfn.XMATCH($B117,Report!$A$108:$A$126)),0),0)</f>
        <v>0</v>
      </c>
      <c r="K117" s="1207" cm="1">
        <f t="array" ref="K117">-IFERROR(IF(K$2=YEAR(Report!$A$3),INDEX(Report!$H$108:$H$126,_xlfn.XMATCH($B117,Report!$A$108:$A$126)),0),0)</f>
        <v>0</v>
      </c>
      <c r="L117" s="1207" cm="1">
        <f t="array" ref="L117">-IFERROR(IF(L$2=YEAR(Report!$A$3),INDEX(Report!$H$108:$H$126,_xlfn.XMATCH($B117,Report!$A$108:$A$126)),0),0)</f>
        <v>415.3586699999999</v>
      </c>
      <c r="M117" s="1207" cm="1">
        <f t="array" ref="M117">-IFERROR(IF(M$2=YEAR(Report!$A$3),INDEX(Report!$H$108:$H$126,_xlfn.XMATCH($B117,Report!$A$108:$A$126)),0),0)</f>
        <v>0</v>
      </c>
      <c r="N117" s="1207" cm="1">
        <f t="array" ref="N117">-IFERROR(IF(N$2=YEAR(Report!$A$3),INDEX(Report!$H$108:$H$126,_xlfn.XMATCH($B117,Report!$A$108:$A$126)),0),0)</f>
        <v>0</v>
      </c>
      <c r="O117" s="1207" cm="1">
        <f t="array" ref="O117">-IFERROR(IF(O$2=YEAR(Report!$A$3),INDEX(Report!$H$108:$H$126,_xlfn.XMATCH($B117,Report!$A$108:$A$126)),0),0)</f>
        <v>0</v>
      </c>
      <c r="P117" s="1207" cm="1">
        <f t="array" ref="P117">-IFERROR(IF(P$2=YEAR(Report!$A$3),INDEX(Report!$H$108:$H$126,_xlfn.XMATCH($B117,Report!$A$108:$A$126)),0),0)</f>
        <v>0</v>
      </c>
      <c r="Q117" s="1207" cm="1">
        <f t="array" ref="Q117">-IFERROR(IF(Q$2=YEAR(Report!$A$3),INDEX(Report!$H$108:$H$126,_xlfn.XMATCH($B117,Report!$A$108:$A$126)),0),0)</f>
        <v>0</v>
      </c>
    </row>
    <row r="118" spans="2:17" outlineLevel="1">
      <c r="B118" s="1210" t="s">
        <v>2823</v>
      </c>
      <c r="C118" s="1211"/>
      <c r="F118" s="1212" cm="1">
        <f t="array" ref="F118">IF(ABS(INDEX($J118:$Q118,_xlfn.XMATCH(YEAR(Report!$A$3),$J$2:$Q$2))+(Report!$H$128))&gt;Tolerance,1,0)</f>
        <v>0</v>
      </c>
      <c r="H118" s="1206" t="s">
        <v>2830</v>
      </c>
      <c r="J118" s="1217">
        <f t="shared" ref="J118:Q118" si="78">SUM(J114:J117)</f>
        <v>0</v>
      </c>
      <c r="K118" s="1217">
        <f t="shared" si="78"/>
        <v>0</v>
      </c>
      <c r="L118" s="1217">
        <f t="shared" si="78"/>
        <v>-46581.277628748663</v>
      </c>
      <c r="M118" s="1217">
        <f t="shared" si="78"/>
        <v>0</v>
      </c>
      <c r="N118" s="1217">
        <f t="shared" si="78"/>
        <v>0</v>
      </c>
      <c r="O118" s="1217">
        <f t="shared" si="78"/>
        <v>0</v>
      </c>
      <c r="P118" s="1217">
        <f t="shared" si="78"/>
        <v>0</v>
      </c>
      <c r="Q118" s="1217">
        <f t="shared" si="78"/>
        <v>0</v>
      </c>
    </row>
    <row r="119" spans="2:17" outlineLevel="1"/>
    <row r="120" spans="2:17" ht="15" outlineLevel="1">
      <c r="B120" s="1197" t="s">
        <v>2824</v>
      </c>
      <c r="J120" s="1218"/>
      <c r="K120" s="1218"/>
    </row>
    <row r="121" spans="2:17" outlineLevel="1">
      <c r="B121" s="1198" t="s">
        <v>2798</v>
      </c>
      <c r="H121" s="1206" t="s">
        <v>2830</v>
      </c>
      <c r="J121" s="1207">
        <f>-IF(J$2=YEAR(Report!$A$3),Report!$J106,0)</f>
        <v>0</v>
      </c>
      <c r="K121" s="1207">
        <f>-IF(K$2=YEAR(Report!$A$3),Report!$J106,0)</f>
        <v>0</v>
      </c>
      <c r="L121" s="1207">
        <f>-IF(L$2=YEAR(Report!$A$3),Report!$J106,0)</f>
        <v>-53866.712039999999</v>
      </c>
      <c r="M121" s="1207">
        <f>-IF(M$2=YEAR(Report!$A$3),Report!$J106,0)</f>
        <v>0</v>
      </c>
      <c r="N121" s="1207">
        <f>-IF(N$2=YEAR(Report!$A$3),Report!$J106,0)</f>
        <v>0</v>
      </c>
      <c r="O121" s="1207">
        <f>-IF(O$2=YEAR(Report!$A$3),Report!$J106,0)</f>
        <v>0</v>
      </c>
      <c r="P121" s="1207">
        <f>-IF(P$2=YEAR(Report!$A$3),Report!$J106,0)</f>
        <v>0</v>
      </c>
      <c r="Q121" s="1207">
        <f>-IF(Q$2=YEAR(Report!$A$3),Report!$J106,0)</f>
        <v>0</v>
      </c>
    </row>
    <row r="122" spans="2:17" outlineLevel="1">
      <c r="B122" s="1214" t="s">
        <v>539</v>
      </c>
      <c r="H122" s="1206" t="s">
        <v>2830</v>
      </c>
      <c r="J122" s="1207" cm="1">
        <f t="array" ref="J122">-IFERROR(IF(J$2=YEAR(Report!$A$3),INDEX(Report!$J$108:$J$126,_xlfn.XMATCH($B122,Report!$A$108:$A$126)),0),0)</f>
        <v>0</v>
      </c>
      <c r="K122" s="1207" cm="1">
        <f t="array" ref="K122">-IFERROR(IF(K$2=YEAR(Report!$A$3),INDEX(Report!$J$108:$J$126,_xlfn.XMATCH($B122,Report!$A$108:$A$126)),0),0)</f>
        <v>0</v>
      </c>
      <c r="L122" s="1207" cm="1">
        <f t="array" ref="L122">-IFERROR(IF(L$2=YEAR(Report!$A$3),INDEX(Report!$J$108:$J$126,_xlfn.XMATCH($B122,Report!$A$108:$A$126)),0),0)</f>
        <v>807</v>
      </c>
      <c r="M122" s="1207" cm="1">
        <f t="array" ref="M122">-IFERROR(IF(M$2=YEAR(Report!$A$3),INDEX(Report!$J$108:$J$126,_xlfn.XMATCH($B122,Report!$A$108:$A$126)),0),0)</f>
        <v>0</v>
      </c>
      <c r="N122" s="1207" cm="1">
        <f t="array" ref="N122">-IFERROR(IF(N$2=YEAR(Report!$A$3),INDEX(Report!$J$108:$J$126,_xlfn.XMATCH($B122,Report!$A$108:$A$126)),0),0)</f>
        <v>0</v>
      </c>
      <c r="O122" s="1207" cm="1">
        <f t="array" ref="O122">-IFERROR(IF(O$2=YEAR(Report!$A$3),INDEX(Report!$J$108:$J$126,_xlfn.XMATCH($B122,Report!$A$108:$A$126)),0),0)</f>
        <v>0</v>
      </c>
      <c r="P122" s="1207" cm="1">
        <f t="array" ref="P122">-IFERROR(IF(P$2=YEAR(Report!$A$3),INDEX(Report!$J$108:$J$126,_xlfn.XMATCH($B122,Report!$A$108:$A$126)),0),0)</f>
        <v>0</v>
      </c>
      <c r="Q122" s="1207" cm="1">
        <f t="array" ref="Q122">-IFERROR(IF(Q$2=YEAR(Report!$A$3),INDEX(Report!$J$108:$J$126,_xlfn.XMATCH($B122,Report!$A$108:$A$126)),0),0)</f>
        <v>0</v>
      </c>
    </row>
    <row r="123" spans="2:17" outlineLevel="1">
      <c r="B123" s="1214" t="s">
        <v>2433</v>
      </c>
      <c r="H123" s="1206" t="s">
        <v>2830</v>
      </c>
      <c r="J123" s="1207" cm="1">
        <f t="array" ref="J123">-IFERROR(IF(J$2=YEAR(Report!$A$3),INDEX(Report!$J$108:$J$126,_xlfn.XMATCH($B123,Report!$A$108:$A$126)),0),0)</f>
        <v>0</v>
      </c>
      <c r="K123" s="1207" cm="1">
        <f t="array" ref="K123">-IFERROR(IF(K$2=YEAR(Report!$A$3),INDEX(Report!$J$108:$J$126,_xlfn.XMATCH($B123,Report!$A$108:$A$126)),0),0)</f>
        <v>0</v>
      </c>
      <c r="L123" s="1207" cm="1">
        <f t="array" ref="L123">-IFERROR(IF(L$2=YEAR(Report!$A$3),INDEX(Report!$J$108:$J$126,_xlfn.XMATCH($B123,Report!$A$108:$A$126)),0),0)</f>
        <v>30953.375960000008</v>
      </c>
      <c r="M123" s="1207" cm="1">
        <f t="array" ref="M123">-IFERROR(IF(M$2=YEAR(Report!$A$3),INDEX(Report!$J$108:$J$126,_xlfn.XMATCH($B123,Report!$A$108:$A$126)),0),0)</f>
        <v>0</v>
      </c>
      <c r="N123" s="1207" cm="1">
        <f t="array" ref="N123">-IFERROR(IF(N$2=YEAR(Report!$A$3),INDEX(Report!$J$108:$J$126,_xlfn.XMATCH($B123,Report!$A$108:$A$126)),0),0)</f>
        <v>0</v>
      </c>
      <c r="O123" s="1207" cm="1">
        <f t="array" ref="O123">-IFERROR(IF(O$2=YEAR(Report!$A$3),INDEX(Report!$J$108:$J$126,_xlfn.XMATCH($B123,Report!$A$108:$A$126)),0),0)</f>
        <v>0</v>
      </c>
      <c r="P123" s="1207" cm="1">
        <f t="array" ref="P123">-IFERROR(IF(P$2=YEAR(Report!$A$3),INDEX(Report!$J$108:$J$126,_xlfn.XMATCH($B123,Report!$A$108:$A$126)),0),0)</f>
        <v>0</v>
      </c>
      <c r="Q123" s="1207" cm="1">
        <f t="array" ref="Q123">-IFERROR(IF(Q$2=YEAR(Report!$A$3),INDEX(Report!$J$108:$J$126,_xlfn.XMATCH($B123,Report!$A$108:$A$126)),0),0)</f>
        <v>0</v>
      </c>
    </row>
    <row r="124" spans="2:17" outlineLevel="1">
      <c r="B124" s="1214" t="s">
        <v>532</v>
      </c>
      <c r="H124" s="1206" t="s">
        <v>2830</v>
      </c>
      <c r="J124" s="1207" cm="1">
        <f t="array" ref="J124">-IFERROR(IF(J$2=YEAR(Report!$A$3),INDEX(Report!$J$108:$J$126,_xlfn.XMATCH($B124,Report!$A$108:$A$126)),0),0)</f>
        <v>0</v>
      </c>
      <c r="K124" s="1207" cm="1">
        <f t="array" ref="K124">-IFERROR(IF(K$2=YEAR(Report!$A$3),INDEX(Report!$J$108:$J$126,_xlfn.XMATCH($B124,Report!$A$108:$A$126)),0),0)</f>
        <v>0</v>
      </c>
      <c r="L124" s="1207" cm="1">
        <f t="array" ref="L124">-IFERROR(IF(L$2=YEAR(Report!$A$3),INDEX(Report!$J$108:$J$126,_xlfn.XMATCH($B124,Report!$A$108:$A$126)),0),0)</f>
        <v>448.40204</v>
      </c>
      <c r="M124" s="1207" cm="1">
        <f t="array" ref="M124">-IFERROR(IF(M$2=YEAR(Report!$A$3),INDEX(Report!$J$108:$J$126,_xlfn.XMATCH($B124,Report!$A$108:$A$126)),0),0)</f>
        <v>0</v>
      </c>
      <c r="N124" s="1207" cm="1">
        <f t="array" ref="N124">-IFERROR(IF(N$2=YEAR(Report!$A$3),INDEX(Report!$J$108:$J$126,_xlfn.XMATCH($B124,Report!$A$108:$A$126)),0),0)</f>
        <v>0</v>
      </c>
      <c r="O124" s="1207" cm="1">
        <f t="array" ref="O124">-IFERROR(IF(O$2=YEAR(Report!$A$3),INDEX(Report!$J$108:$J$126,_xlfn.XMATCH($B124,Report!$A$108:$A$126)),0),0)</f>
        <v>0</v>
      </c>
      <c r="P124" s="1207" cm="1">
        <f t="array" ref="P124">-IFERROR(IF(P$2=YEAR(Report!$A$3),INDEX(Report!$J$108:$J$126,_xlfn.XMATCH($B124,Report!$A$108:$A$126)),0),0)</f>
        <v>0</v>
      </c>
      <c r="Q124" s="1207" cm="1">
        <f t="array" ref="Q124">-IFERROR(IF(Q$2=YEAR(Report!$A$3),INDEX(Report!$J$108:$J$126,_xlfn.XMATCH($B124,Report!$A$108:$A$126)),0),0)</f>
        <v>0</v>
      </c>
    </row>
    <row r="125" spans="2:17" outlineLevel="1">
      <c r="B125" s="1210" t="s">
        <v>2825</v>
      </c>
      <c r="C125" s="1211"/>
      <c r="F125" s="1212" cm="1">
        <f t="array" ref="F125">IF(ABS(INDEX($J125:$Q125,_xlfn.XMATCH(YEAR(Report!$A$3),$J$2:$Q$2))+(Report!$J$128))&gt;Tolerance,1,0)</f>
        <v>0</v>
      </c>
      <c r="H125" s="1206" t="s">
        <v>2830</v>
      </c>
      <c r="J125" s="1217">
        <f t="shared" ref="J125:Q125" si="79">SUM(J121:J124)</f>
        <v>0</v>
      </c>
      <c r="K125" s="1217">
        <f t="shared" si="79"/>
        <v>0</v>
      </c>
      <c r="L125" s="1217">
        <f t="shared" si="79"/>
        <v>-21657.934039999989</v>
      </c>
      <c r="M125" s="1217">
        <f t="shared" si="79"/>
        <v>0</v>
      </c>
      <c r="N125" s="1217">
        <f t="shared" si="79"/>
        <v>0</v>
      </c>
      <c r="O125" s="1217">
        <f t="shared" si="79"/>
        <v>0</v>
      </c>
      <c r="P125" s="1217">
        <f t="shared" si="79"/>
        <v>0</v>
      </c>
      <c r="Q125" s="1217">
        <f t="shared" si="79"/>
        <v>0</v>
      </c>
    </row>
    <row r="126" spans="2:17" outlineLevel="1"/>
    <row r="127" spans="2:17" ht="15" outlineLevel="1">
      <c r="B127" s="1197" t="s">
        <v>2826</v>
      </c>
      <c r="J127" s="1218"/>
      <c r="K127" s="1218"/>
    </row>
    <row r="128" spans="2:17" outlineLevel="1">
      <c r="B128" s="1198" t="s">
        <v>2798</v>
      </c>
      <c r="H128" s="1206" t="s">
        <v>2830</v>
      </c>
      <c r="J128" s="1207">
        <f>-IF(J$2=YEAR(Report!$A$3),(Report!$L106+Report!$N106),0)</f>
        <v>0</v>
      </c>
      <c r="K128" s="1207">
        <f>-IF(K$2=YEAR(Report!$A$3),(Report!$L106+Report!$N106),0)</f>
        <v>0</v>
      </c>
      <c r="L128" s="1207">
        <f>-IF(L$2=YEAR(Report!$A$3),(Report!$L106+Report!$N106),0)</f>
        <v>-25897.961240000001</v>
      </c>
      <c r="M128" s="1207">
        <f>-IF(M$2=YEAR(Report!$A$3),(Report!$L106+Report!$N106),0)</f>
        <v>0</v>
      </c>
      <c r="N128" s="1207">
        <f>-IF(N$2=YEAR(Report!$A$3),(Report!$L106+Report!$N106),0)</f>
        <v>0</v>
      </c>
      <c r="O128" s="1207">
        <f>-IF(O$2=YEAR(Report!$A$3),(Report!$L106+Report!$N106),0)</f>
        <v>0</v>
      </c>
      <c r="P128" s="1207">
        <f>-IF(P$2=YEAR(Report!$A$3),(Report!$L106+Report!$N106),0)</f>
        <v>0</v>
      </c>
      <c r="Q128" s="1207">
        <f>-IF(Q$2=YEAR(Report!$A$3),(Report!$L106+Report!$N106),0)</f>
        <v>0</v>
      </c>
    </row>
    <row r="129" spans="2:17" outlineLevel="1">
      <c r="B129" s="1198" t="s">
        <v>537</v>
      </c>
      <c r="H129" s="1206" t="s">
        <v>2830</v>
      </c>
      <c r="J129" s="1207" cm="1">
        <f t="array" ref="J129">-IFERROR(IF(J$2=YEAR(Report!$A$3),INDEX(Report!$L$108:$L$126,_xlfn.XMATCH($B129,Report!$A$108:$A$126)),0),0)</f>
        <v>0</v>
      </c>
      <c r="K129" s="1207" cm="1">
        <f t="array" ref="K129">-IFERROR(IF(K$2=YEAR(Report!$A$3),INDEX(Report!$L$108:$L$126,_xlfn.XMATCH($B129,Report!$A$108:$A$126)),0),0)</f>
        <v>0</v>
      </c>
      <c r="L129" s="1207" cm="1">
        <f t="array" ref="L129">-IFERROR(IF(L$2=YEAR(Report!$A$3),INDEX(Report!$L$108:$L$126,_xlfn.XMATCH($B129,Report!$A$108:$A$126)),0),0)</f>
        <v>1.7234600025640249E-4</v>
      </c>
      <c r="M129" s="1207" cm="1">
        <f t="array" ref="M129">-IFERROR(IF(M$2=YEAR(Report!$A$3),INDEX(Report!$L$108:$L$126,_xlfn.XMATCH($B129,Report!$A$108:$A$126)),0),0)</f>
        <v>0</v>
      </c>
      <c r="N129" s="1207" cm="1">
        <f t="array" ref="N129">-IFERROR(IF(N$2=YEAR(Report!$A$3),INDEX(Report!$L$108:$L$126,_xlfn.XMATCH($B129,Report!$A$108:$A$126)),0),0)</f>
        <v>0</v>
      </c>
      <c r="O129" s="1207" cm="1">
        <f t="array" ref="O129">-IFERROR(IF(O$2=YEAR(Report!$A$3),INDEX(Report!$L$108:$L$126,_xlfn.XMATCH($B129,Report!$A$108:$A$126)),0),0)</f>
        <v>0</v>
      </c>
      <c r="P129" s="1207" cm="1">
        <f t="array" ref="P129">-IFERROR(IF(P$2=YEAR(Report!$A$3),INDEX(Report!$L$108:$L$126,_xlfn.XMATCH($B129,Report!$A$108:$A$126)),0),0)</f>
        <v>0</v>
      </c>
      <c r="Q129" s="1207" cm="1">
        <f t="array" ref="Q129">-IFERROR(IF(Q$2=YEAR(Report!$A$3),INDEX(Report!$L$108:$L$126,_xlfn.XMATCH($B129,Report!$A$108:$A$126)),0),0)</f>
        <v>0</v>
      </c>
    </row>
    <row r="130" spans="2:17" outlineLevel="1">
      <c r="B130" s="1198" t="s">
        <v>538</v>
      </c>
      <c r="H130" s="1206" t="s">
        <v>2830</v>
      </c>
      <c r="J130" s="1207" cm="1">
        <f t="array" ref="J130">-IFERROR(IF(J$2=YEAR(Report!$A$3),INDEX(Report!$L$108:$L$126,_xlfn.XMATCH($B130,Report!$A$108:$A$126)),0),0)</f>
        <v>0</v>
      </c>
      <c r="K130" s="1207" cm="1">
        <f t="array" ref="K130">-IFERROR(IF(K$2=YEAR(Report!$A$3),INDEX(Report!$L$108:$L$126,_xlfn.XMATCH($B130,Report!$A$108:$A$126)),0),0)</f>
        <v>0</v>
      </c>
      <c r="L130" s="1207" cm="1">
        <f t="array" ref="L130">-IFERROR(IF(L$2=YEAR(Report!$A$3),INDEX(Report!$L$108:$L$126,_xlfn.XMATCH($B130,Report!$A$108:$A$126)),0),0)</f>
        <v>-9.9353619731498206</v>
      </c>
      <c r="M130" s="1207" cm="1">
        <f t="array" ref="M130">-IFERROR(IF(M$2=YEAR(Report!$A$3),INDEX(Report!$L$108:$L$126,_xlfn.XMATCH($B130,Report!$A$108:$A$126)),0),0)</f>
        <v>0</v>
      </c>
      <c r="N130" s="1207" cm="1">
        <f t="array" ref="N130">-IFERROR(IF(N$2=YEAR(Report!$A$3),INDEX(Report!$L$108:$L$126,_xlfn.XMATCH($B130,Report!$A$108:$A$126)),0),0)</f>
        <v>0</v>
      </c>
      <c r="O130" s="1207" cm="1">
        <f t="array" ref="O130">-IFERROR(IF(O$2=YEAR(Report!$A$3),INDEX(Report!$L$108:$L$126,_xlfn.XMATCH($B130,Report!$A$108:$A$126)),0),0)</f>
        <v>0</v>
      </c>
      <c r="P130" s="1207" cm="1">
        <f t="array" ref="P130">-IFERROR(IF(P$2=YEAR(Report!$A$3),INDEX(Report!$L$108:$L$126,_xlfn.XMATCH($B130,Report!$A$108:$A$126)),0),0)</f>
        <v>0</v>
      </c>
      <c r="Q130" s="1207" cm="1">
        <f t="array" ref="Q130">-IFERROR(IF(Q$2=YEAR(Report!$A$3),INDEX(Report!$L$108:$L$126,_xlfn.XMATCH($B130,Report!$A$108:$A$126)),0),0)</f>
        <v>0</v>
      </c>
    </row>
    <row r="131" spans="2:17" outlineLevel="1">
      <c r="B131" s="1198" t="s">
        <v>486</v>
      </c>
      <c r="H131" s="1206" t="s">
        <v>2830</v>
      </c>
      <c r="J131" s="1207" cm="1">
        <f t="array" ref="J131">-IFERROR(IF(J$2=YEAR(Report!$A$3),INDEX(Report!$L$108:$L$126,_xlfn.XMATCH($B131,Report!$A$108:$A$126)),0),0)</f>
        <v>0</v>
      </c>
      <c r="K131" s="1207" cm="1">
        <f t="array" ref="K131">-IFERROR(IF(K$2=YEAR(Report!$A$3),INDEX(Report!$L$108:$L$126,_xlfn.XMATCH($B131,Report!$A$108:$A$126)),0),0)</f>
        <v>0</v>
      </c>
      <c r="L131" s="1207" cm="1">
        <f t="array" ref="L131">-IFERROR(IF(L$2=YEAR(Report!$A$3),INDEX(Report!$L$108:$L$126,_xlfn.XMATCH($B131,Report!$A$108:$A$126)),0),0)</f>
        <v>-117.20289195672966</v>
      </c>
      <c r="M131" s="1207" cm="1">
        <f t="array" ref="M131">-IFERROR(IF(M$2=YEAR(Report!$A$3),INDEX(Report!$L$108:$L$126,_xlfn.XMATCH($B131,Report!$A$108:$A$126)),0),0)</f>
        <v>0</v>
      </c>
      <c r="N131" s="1207" cm="1">
        <f t="array" ref="N131">-IFERROR(IF(N$2=YEAR(Report!$A$3),INDEX(Report!$L$108:$L$126,_xlfn.XMATCH($B131,Report!$A$108:$A$126)),0),0)</f>
        <v>0</v>
      </c>
      <c r="O131" s="1207" cm="1">
        <f t="array" ref="O131">-IFERROR(IF(O$2=YEAR(Report!$A$3),INDEX(Report!$L$108:$L$126,_xlfn.XMATCH($B131,Report!$A$108:$A$126)),0),0)</f>
        <v>0</v>
      </c>
      <c r="P131" s="1207" cm="1">
        <f t="array" ref="P131">-IFERROR(IF(P$2=YEAR(Report!$A$3),INDEX(Report!$L$108:$L$126,_xlfn.XMATCH($B131,Report!$A$108:$A$126)),0),0)</f>
        <v>0</v>
      </c>
      <c r="Q131" s="1207" cm="1">
        <f t="array" ref="Q131">-IFERROR(IF(Q$2=YEAR(Report!$A$3),INDEX(Report!$L$108:$L$126,_xlfn.XMATCH($B131,Report!$A$108:$A$126)),0),0)</f>
        <v>0</v>
      </c>
    </row>
    <row r="132" spans="2:17" outlineLevel="1">
      <c r="B132" s="1198" t="s">
        <v>485</v>
      </c>
      <c r="H132" s="1206" t="s">
        <v>2830</v>
      </c>
      <c r="J132" s="1207" cm="1">
        <f t="array" ref="J132">-IFERROR(IF(J$2=YEAR(Report!$A$3),INDEX(Report!$L$108:$L$126,_xlfn.XMATCH($B132,Report!$A$108:$A$126)),0),0)</f>
        <v>0</v>
      </c>
      <c r="K132" s="1207" cm="1">
        <f t="array" ref="K132">-IFERROR(IF(K$2=YEAR(Report!$A$3),INDEX(Report!$L$108:$L$126,_xlfn.XMATCH($B132,Report!$A$108:$A$126)),0),0)</f>
        <v>0</v>
      </c>
      <c r="L132" s="1207" cm="1">
        <f t="array" ref="L132">-IFERROR(IF(L$2=YEAR(Report!$A$3),INDEX(Report!$L$108:$L$126,_xlfn.XMATCH($B132,Report!$A$108:$A$126)),0),0)</f>
        <v>2099</v>
      </c>
      <c r="M132" s="1207" cm="1">
        <f t="array" ref="M132">-IFERROR(IF(M$2=YEAR(Report!$A$3),INDEX(Report!$L$108:$L$126,_xlfn.XMATCH($B132,Report!$A$108:$A$126)),0),0)</f>
        <v>0</v>
      </c>
      <c r="N132" s="1207" cm="1">
        <f t="array" ref="N132">-IFERROR(IF(N$2=YEAR(Report!$A$3),INDEX(Report!$L$108:$L$126,_xlfn.XMATCH($B132,Report!$A$108:$A$126)),0),0)</f>
        <v>0</v>
      </c>
      <c r="O132" s="1207" cm="1">
        <f t="array" ref="O132">-IFERROR(IF(O$2=YEAR(Report!$A$3),INDEX(Report!$L$108:$L$126,_xlfn.XMATCH($B132,Report!$A$108:$A$126)),0),0)</f>
        <v>0</v>
      </c>
      <c r="P132" s="1207" cm="1">
        <f t="array" ref="P132">-IFERROR(IF(P$2=YEAR(Report!$A$3),INDEX(Report!$L$108:$L$126,_xlfn.XMATCH($B132,Report!$A$108:$A$126)),0),0)</f>
        <v>0</v>
      </c>
      <c r="Q132" s="1207" cm="1">
        <f t="array" ref="Q132">-IFERROR(IF(Q$2=YEAR(Report!$A$3),INDEX(Report!$L$108:$L$126,_xlfn.XMATCH($B132,Report!$A$108:$A$126)),0),0)</f>
        <v>0</v>
      </c>
    </row>
    <row r="133" spans="2:17" outlineLevel="1">
      <c r="B133" s="1198" t="s">
        <v>539</v>
      </c>
      <c r="H133" s="1206" t="s">
        <v>2830</v>
      </c>
      <c r="J133" s="1207" cm="1">
        <f t="array" ref="J133">-IFERROR(IF(J$2=YEAR(Report!$A$3),INDEX(Report!$L$108:$L$126,_xlfn.XMATCH($B133,Report!$A$108:$A$126)),0),0)</f>
        <v>0</v>
      </c>
      <c r="K133" s="1207" cm="1">
        <f t="array" ref="K133">-IFERROR(IF(K$2=YEAR(Report!$A$3),INDEX(Report!$L$108:$L$126,_xlfn.XMATCH($B133,Report!$A$108:$A$126)),0),0)</f>
        <v>0</v>
      </c>
      <c r="L133" s="1207" cm="1">
        <f t="array" ref="L133">-IFERROR(IF(L$2=YEAR(Report!$A$3),INDEX(Report!$L$108:$L$126,_xlfn.XMATCH($B133,Report!$A$108:$A$126)),0),0)</f>
        <v>0</v>
      </c>
      <c r="M133" s="1207" cm="1">
        <f t="array" ref="M133">-IFERROR(IF(M$2=YEAR(Report!$A$3),INDEX(Report!$L$108:$L$126,_xlfn.XMATCH($B133,Report!$A$108:$A$126)),0),0)</f>
        <v>0</v>
      </c>
      <c r="N133" s="1207" cm="1">
        <f t="array" ref="N133">-IFERROR(IF(N$2=YEAR(Report!$A$3),INDEX(Report!$L$108:$L$126,_xlfn.XMATCH($B133,Report!$A$108:$A$126)),0),0)</f>
        <v>0</v>
      </c>
      <c r="O133" s="1207" cm="1">
        <f t="array" ref="O133">-IFERROR(IF(O$2=YEAR(Report!$A$3),INDEX(Report!$L$108:$L$126,_xlfn.XMATCH($B133,Report!$A$108:$A$126)),0),0)</f>
        <v>0</v>
      </c>
      <c r="P133" s="1207" cm="1">
        <f t="array" ref="P133">-IFERROR(IF(P$2=YEAR(Report!$A$3),INDEX(Report!$L$108:$L$126,_xlfn.XMATCH($B133,Report!$A$108:$A$126)),0),0)</f>
        <v>0</v>
      </c>
      <c r="Q133" s="1207" cm="1">
        <f t="array" ref="Q133">-IFERROR(IF(Q$2=YEAR(Report!$A$3),INDEX(Report!$L$108:$L$126,_xlfn.XMATCH($B133,Report!$A$108:$A$126)),0),0)</f>
        <v>0</v>
      </c>
    </row>
    <row r="134" spans="2:17" outlineLevel="1">
      <c r="B134" s="1214" t="s">
        <v>540</v>
      </c>
      <c r="H134" s="1206" t="s">
        <v>2830</v>
      </c>
      <c r="J134" s="1207" cm="1">
        <f t="array" ref="J134">-IFERROR(IF(J$2=YEAR(Report!$A$3),INDEX(Report!$L$108:$L$126,_xlfn.XMATCH($B134,Report!$A$108:$A$126)),0),0)</f>
        <v>0</v>
      </c>
      <c r="K134" s="1207" cm="1">
        <f t="array" ref="K134">-IFERROR(IF(K$2=YEAR(Report!$A$3),INDEX(Report!$L$108:$L$126,_xlfn.XMATCH($B134,Report!$A$108:$A$126)),0),0)</f>
        <v>0</v>
      </c>
      <c r="L134" s="1207" cm="1">
        <f t="array" ref="L134">-IFERROR(IF(L$2=YEAR(Report!$A$3),INDEX(Report!$L$108:$L$126,_xlfn.XMATCH($B134,Report!$A$108:$A$126)),0),0)</f>
        <v>-4.075627436375</v>
      </c>
      <c r="M134" s="1207" cm="1">
        <f t="array" ref="M134">-IFERROR(IF(M$2=YEAR(Report!$A$3),INDEX(Report!$L$108:$L$126,_xlfn.XMATCH($B134,Report!$A$108:$A$126)),0),0)</f>
        <v>0</v>
      </c>
      <c r="N134" s="1207" cm="1">
        <f t="array" ref="N134">-IFERROR(IF(N$2=YEAR(Report!$A$3),INDEX(Report!$L$108:$L$126,_xlfn.XMATCH($B134,Report!$A$108:$A$126)),0),0)</f>
        <v>0</v>
      </c>
      <c r="O134" s="1207" cm="1">
        <f t="array" ref="O134">-IFERROR(IF(O$2=YEAR(Report!$A$3),INDEX(Report!$L$108:$L$126,_xlfn.XMATCH($B134,Report!$A$108:$A$126)),0),0)</f>
        <v>0</v>
      </c>
      <c r="P134" s="1207" cm="1">
        <f t="array" ref="P134">-IFERROR(IF(P$2=YEAR(Report!$A$3),INDEX(Report!$L$108:$L$126,_xlfn.XMATCH($B134,Report!$A$108:$A$126)),0),0)</f>
        <v>0</v>
      </c>
      <c r="Q134" s="1207" cm="1">
        <f t="array" ref="Q134">-IFERROR(IF(Q$2=YEAR(Report!$A$3),INDEX(Report!$L$108:$L$126,_xlfn.XMATCH($B134,Report!$A$108:$A$126)),0),0)</f>
        <v>0</v>
      </c>
    </row>
    <row r="135" spans="2:17" outlineLevel="1">
      <c r="B135" s="1214" t="s">
        <v>541</v>
      </c>
      <c r="H135" s="1206" t="s">
        <v>2830</v>
      </c>
      <c r="J135" s="1207" cm="1">
        <f t="array" ref="J135">-IFERROR(IF(J$2=YEAR(Report!$A$3),INDEX(Report!$L$108:$L$126,_xlfn.XMATCH($B135,Report!$A$108:$A$126)),0),0)</f>
        <v>0</v>
      </c>
      <c r="K135" s="1207" cm="1">
        <f t="array" ref="K135">-IFERROR(IF(K$2=YEAR(Report!$A$3),INDEX(Report!$L$108:$L$126,_xlfn.XMATCH($B135,Report!$A$108:$A$126)),0),0)</f>
        <v>0</v>
      </c>
      <c r="L135" s="1207" cm="1">
        <f t="array" ref="L135">-IFERROR(IF(L$2=YEAR(Report!$A$3),INDEX(Report!$L$108:$L$126,_xlfn.XMATCH($B135,Report!$A$108:$A$126)),0),0)</f>
        <v>-20.067033009499998</v>
      </c>
      <c r="M135" s="1207" cm="1">
        <f t="array" ref="M135">-IFERROR(IF(M$2=YEAR(Report!$A$3),INDEX(Report!$L$108:$L$126,_xlfn.XMATCH($B135,Report!$A$108:$A$126)),0),0)</f>
        <v>0</v>
      </c>
      <c r="N135" s="1207" cm="1">
        <f t="array" ref="N135">-IFERROR(IF(N$2=YEAR(Report!$A$3),INDEX(Report!$L$108:$L$126,_xlfn.XMATCH($B135,Report!$A$108:$A$126)),0),0)</f>
        <v>0</v>
      </c>
      <c r="O135" s="1207" cm="1">
        <f t="array" ref="O135">-IFERROR(IF(O$2=YEAR(Report!$A$3),INDEX(Report!$L$108:$L$126,_xlfn.XMATCH($B135,Report!$A$108:$A$126)),0),0)</f>
        <v>0</v>
      </c>
      <c r="P135" s="1207" cm="1">
        <f t="array" ref="P135">-IFERROR(IF(P$2=YEAR(Report!$A$3),INDEX(Report!$L$108:$L$126,_xlfn.XMATCH($B135,Report!$A$108:$A$126)),0),0)</f>
        <v>0</v>
      </c>
      <c r="Q135" s="1207" cm="1">
        <f t="array" ref="Q135">-IFERROR(IF(Q$2=YEAR(Report!$A$3),INDEX(Report!$L$108:$L$126,_xlfn.XMATCH($B135,Report!$A$108:$A$126)),0),0)</f>
        <v>0</v>
      </c>
    </row>
    <row r="136" spans="2:17" outlineLevel="1">
      <c r="B136" s="1214" t="s">
        <v>2433</v>
      </c>
      <c r="H136" s="1206"/>
      <c r="J136" s="1207" cm="1">
        <f t="array" ref="J136">-IFERROR(IF(J$2=YEAR(Report!$A$3),INDEX(Report!$L$108:$L$126,_xlfn.XMATCH($B136,Report!$A$108:$A$126)),0),0)</f>
        <v>0</v>
      </c>
      <c r="K136" s="1207" cm="1">
        <f t="array" ref="K136">-IFERROR(IF(K$2=YEAR(Report!$A$3),INDEX(Report!$L$108:$L$126,_xlfn.XMATCH($B136,Report!$A$108:$A$126)),0),0)</f>
        <v>0</v>
      </c>
      <c r="L136" s="1207" cm="1">
        <f t="array" ref="L136">-IFERROR(IF(L$2=YEAR(Report!$A$3),INDEX(Report!$L$108:$L$126,_xlfn.XMATCH($B136,Report!$A$108:$A$126)),0),0)</f>
        <v>74.406155419498106</v>
      </c>
      <c r="M136" s="1207" cm="1">
        <f t="array" ref="M136">-IFERROR(IF(M$2=YEAR(Report!$A$3),INDEX(Report!$L$108:$L$126,_xlfn.XMATCH($B136,Report!$A$108:$A$126)),0),0)</f>
        <v>0</v>
      </c>
      <c r="N136" s="1207" cm="1">
        <f t="array" ref="N136">-IFERROR(IF(N$2=YEAR(Report!$A$3),INDEX(Report!$L$108:$L$126,_xlfn.XMATCH($B136,Report!$A$108:$A$126)),0),0)</f>
        <v>0</v>
      </c>
      <c r="O136" s="1207" cm="1">
        <f t="array" ref="O136">-IFERROR(IF(O$2=YEAR(Report!$A$3),INDEX(Report!$L$108:$L$126,_xlfn.XMATCH($B136,Report!$A$108:$A$126)),0),0)</f>
        <v>0</v>
      </c>
      <c r="P136" s="1207" cm="1">
        <f t="array" ref="P136">-IFERROR(IF(P$2=YEAR(Report!$A$3),INDEX(Report!$L$108:$L$126,_xlfn.XMATCH($B136,Report!$A$108:$A$126)),0),0)</f>
        <v>0</v>
      </c>
      <c r="Q136" s="1207" cm="1">
        <f t="array" ref="Q136">-IFERROR(IF(Q$2=YEAR(Report!$A$3),INDEX(Report!$L$108:$L$126,_xlfn.XMATCH($B136,Report!$A$108:$A$126)),0),0)</f>
        <v>0</v>
      </c>
    </row>
    <row r="137" spans="2:17" outlineLevel="1">
      <c r="B137" s="1214" t="s">
        <v>2819</v>
      </c>
      <c r="H137" s="1206" t="s">
        <v>2830</v>
      </c>
      <c r="J137" s="1207" cm="1">
        <f t="array" ref="J137">-IFERROR(IF(J$2=YEAR(Report!$A$3),INDEX(Report!$L$108:$L$126,_xlfn.XMATCH($B137,Report!$A$108:$A$126)),0),0)</f>
        <v>0</v>
      </c>
      <c r="K137" s="1207" cm="1">
        <f t="array" ref="K137">-IFERROR(IF(K$2=YEAR(Report!$A$3),INDEX(Report!$L$108:$L$126,_xlfn.XMATCH($B137,Report!$A$108:$A$126)),0),0)</f>
        <v>0</v>
      </c>
      <c r="L137" s="1207" cm="1">
        <f t="array" ref="L137">-IFERROR(IF(L$2=YEAR(Report!$A$3),INDEX(Report!$L$108:$L$126,_xlfn.XMATCH($B137,Report!$A$108:$A$126)),0),0)</f>
        <v>0</v>
      </c>
      <c r="M137" s="1207" cm="1">
        <f t="array" ref="M137">-IFERROR(IF(M$2=YEAR(Report!$A$3),INDEX(Report!$L$108:$L$126,_xlfn.XMATCH($B137,Report!$A$108:$A$126)),0),0)</f>
        <v>0</v>
      </c>
      <c r="N137" s="1207" cm="1">
        <f t="array" ref="N137">-IFERROR(IF(N$2=YEAR(Report!$A$3),INDEX(Report!$L$108:$L$126,_xlfn.XMATCH($B137,Report!$A$108:$A$126)),0),0)</f>
        <v>0</v>
      </c>
      <c r="O137" s="1207" cm="1">
        <f t="array" ref="O137">-IFERROR(IF(O$2=YEAR(Report!$A$3),INDEX(Report!$L$108:$L$126,_xlfn.XMATCH($B137,Report!$A$108:$A$126)),0),0)</f>
        <v>0</v>
      </c>
      <c r="P137" s="1207" cm="1">
        <f t="array" ref="P137">-IFERROR(IF(P$2=YEAR(Report!$A$3),INDEX(Report!$L$108:$L$126,_xlfn.XMATCH($B137,Report!$A$108:$A$126)),0),0)</f>
        <v>0</v>
      </c>
      <c r="Q137" s="1207" cm="1">
        <f t="array" ref="Q137">-IFERROR(IF(Q$2=YEAR(Report!$A$3),INDEX(Report!$L$108:$L$126,_xlfn.XMATCH($B137,Report!$A$108:$A$126)),0),0)</f>
        <v>0</v>
      </c>
    </row>
    <row r="138" spans="2:17" outlineLevel="1">
      <c r="B138" s="1214" t="s">
        <v>542</v>
      </c>
      <c r="H138" s="1206" t="s">
        <v>2830</v>
      </c>
      <c r="J138" s="1207" cm="1">
        <f t="array" ref="J138">-IFERROR(IF(J$2=YEAR(Report!$A$3),INDEX(Report!$L$108:$L$126,_xlfn.XMATCH($B138,Report!$A$108:$A$126)),0),0)</f>
        <v>0</v>
      </c>
      <c r="K138" s="1207" cm="1">
        <f t="array" ref="K138">-IFERROR(IF(K$2=YEAR(Report!$A$3),INDEX(Report!$L$108:$L$126,_xlfn.XMATCH($B138,Report!$A$108:$A$126)),0),0)</f>
        <v>0</v>
      </c>
      <c r="L138" s="1207" cm="1">
        <f t="array" ref="L138">-IFERROR(IF(L$2=YEAR(Report!$A$3),INDEX(Report!$L$108:$L$126,_xlfn.XMATCH($B138,Report!$A$108:$A$126)),0),0)</f>
        <v>-14.879985768476798</v>
      </c>
      <c r="M138" s="1207" cm="1">
        <f t="array" ref="M138">-IFERROR(IF(M$2=YEAR(Report!$A$3),INDEX(Report!$L$108:$L$126,_xlfn.XMATCH($B138,Report!$A$108:$A$126)),0),0)</f>
        <v>0</v>
      </c>
      <c r="N138" s="1207" cm="1">
        <f t="array" ref="N138">-IFERROR(IF(N$2=YEAR(Report!$A$3),INDEX(Report!$L$108:$L$126,_xlfn.XMATCH($B138,Report!$A$108:$A$126)),0),0)</f>
        <v>0</v>
      </c>
      <c r="O138" s="1207" cm="1">
        <f t="array" ref="O138">-IFERROR(IF(O$2=YEAR(Report!$A$3),INDEX(Report!$L$108:$L$126,_xlfn.XMATCH($B138,Report!$A$108:$A$126)),0),0)</f>
        <v>0</v>
      </c>
      <c r="P138" s="1207" cm="1">
        <f t="array" ref="P138">-IFERROR(IF(P$2=YEAR(Report!$A$3),INDEX(Report!$L$108:$L$126,_xlfn.XMATCH($B138,Report!$A$108:$A$126)),0),0)</f>
        <v>0</v>
      </c>
      <c r="Q138" s="1207" cm="1">
        <f t="array" ref="Q138">-IFERROR(IF(Q$2=YEAR(Report!$A$3),INDEX(Report!$L$108:$L$126,_xlfn.XMATCH($B138,Report!$A$108:$A$126)),0),0)</f>
        <v>0</v>
      </c>
    </row>
    <row r="139" spans="2:17" outlineLevel="1">
      <c r="B139" s="1214" t="s">
        <v>543</v>
      </c>
      <c r="H139" s="1206" t="s">
        <v>2830</v>
      </c>
      <c r="J139" s="1207" cm="1">
        <f t="array" ref="J139">-IFERROR(IF(J$2=YEAR(Report!$A$3),INDEX(Report!$L$108:$L$126,_xlfn.XMATCH($B139,Report!$A$108:$A$126)),0),0)</f>
        <v>0</v>
      </c>
      <c r="K139" s="1207" cm="1">
        <f t="array" ref="K139">-IFERROR(IF(K$2=YEAR(Report!$A$3),INDEX(Report!$L$108:$L$126,_xlfn.XMATCH($B139,Report!$A$108:$A$126)),0),0)</f>
        <v>0</v>
      </c>
      <c r="L139" s="1207" cm="1">
        <f t="array" ref="L139">-IFERROR(IF(L$2=YEAR(Report!$A$3),INDEX(Report!$L$108:$L$126,_xlfn.XMATCH($B139,Report!$A$108:$A$126)),0),0)</f>
        <v>-1.9418936698814999</v>
      </c>
      <c r="M139" s="1207" cm="1">
        <f t="array" ref="M139">-IFERROR(IF(M$2=YEAR(Report!$A$3),INDEX(Report!$L$108:$L$126,_xlfn.XMATCH($B139,Report!$A$108:$A$126)),0),0)</f>
        <v>0</v>
      </c>
      <c r="N139" s="1207" cm="1">
        <f t="array" ref="N139">-IFERROR(IF(N$2=YEAR(Report!$A$3),INDEX(Report!$L$108:$L$126,_xlfn.XMATCH($B139,Report!$A$108:$A$126)),0),0)</f>
        <v>0</v>
      </c>
      <c r="O139" s="1207" cm="1">
        <f t="array" ref="O139">-IFERROR(IF(O$2=YEAR(Report!$A$3),INDEX(Report!$L$108:$L$126,_xlfn.XMATCH($B139,Report!$A$108:$A$126)),0),0)</f>
        <v>0</v>
      </c>
      <c r="P139" s="1207" cm="1">
        <f t="array" ref="P139">-IFERROR(IF(P$2=YEAR(Report!$A$3),INDEX(Report!$L$108:$L$126,_xlfn.XMATCH($B139,Report!$A$108:$A$126)),0),0)</f>
        <v>0</v>
      </c>
      <c r="Q139" s="1207" cm="1">
        <f t="array" ref="Q139">-IFERROR(IF(Q$2=YEAR(Report!$A$3),INDEX(Report!$L$108:$L$126,_xlfn.XMATCH($B139,Report!$A$108:$A$126)),0),0)</f>
        <v>0</v>
      </c>
    </row>
    <row r="140" spans="2:17" outlineLevel="1">
      <c r="B140" s="1214" t="s">
        <v>2820</v>
      </c>
      <c r="H140" s="1206" t="s">
        <v>2830</v>
      </c>
      <c r="J140" s="1207" cm="1">
        <f t="array" ref="J140">-IFERROR(IF(J$2=YEAR(Report!$A$3),INDEX(Report!$L$108:$L$126,_xlfn.XMATCH($B140,Report!$A$108:$A$126)),0),0)</f>
        <v>0</v>
      </c>
      <c r="K140" s="1207" cm="1">
        <f t="array" ref="K140">-IFERROR(IF(K$2=YEAR(Report!$A$3),INDEX(Report!$L$108:$L$126,_xlfn.XMATCH($B140,Report!$A$108:$A$126)),0),0)</f>
        <v>0</v>
      </c>
      <c r="L140" s="1207" cm="1">
        <f t="array" ref="L140">-IFERROR(IF(L$2=YEAR(Report!$A$3),INDEX(Report!$L$108:$L$126,_xlfn.XMATCH($B140,Report!$A$108:$A$126)),0),0)</f>
        <v>0</v>
      </c>
      <c r="M140" s="1207" cm="1">
        <f t="array" ref="M140">-IFERROR(IF(M$2=YEAR(Report!$A$3),INDEX(Report!$L$108:$L$126,_xlfn.XMATCH($B140,Report!$A$108:$A$126)),0),0)</f>
        <v>0</v>
      </c>
      <c r="N140" s="1207" cm="1">
        <f t="array" ref="N140">-IFERROR(IF(N$2=YEAR(Report!$A$3),INDEX(Report!$L$108:$L$126,_xlfn.XMATCH($B140,Report!$A$108:$A$126)),0),0)</f>
        <v>0</v>
      </c>
      <c r="O140" s="1207" cm="1">
        <f t="array" ref="O140">-IFERROR(IF(O$2=YEAR(Report!$A$3),INDEX(Report!$L$108:$L$126,_xlfn.XMATCH($B140,Report!$A$108:$A$126)),0),0)</f>
        <v>0</v>
      </c>
      <c r="P140" s="1207" cm="1">
        <f t="array" ref="P140">-IFERROR(IF(P$2=YEAR(Report!$A$3),INDEX(Report!$L$108:$L$126,_xlfn.XMATCH($B140,Report!$A$108:$A$126)),0),0)</f>
        <v>0</v>
      </c>
      <c r="Q140" s="1207" cm="1">
        <f t="array" ref="Q140">-IFERROR(IF(Q$2=YEAR(Report!$A$3),INDEX(Report!$L$108:$L$126,_xlfn.XMATCH($B140,Report!$A$108:$A$126)),0),0)</f>
        <v>0</v>
      </c>
    </row>
    <row r="141" spans="2:17" outlineLevel="1">
      <c r="B141" s="1214" t="s">
        <v>2821</v>
      </c>
      <c r="H141" s="1206" t="s">
        <v>2830</v>
      </c>
      <c r="J141" s="1207" cm="1">
        <f t="array" ref="J141">-IFERROR(IF(J$2=YEAR(Report!$A$3),INDEX(Report!$L$108:$L$126,_xlfn.XMATCH($B141,Report!$A$108:$A$126)),0),0)</f>
        <v>0</v>
      </c>
      <c r="K141" s="1207" cm="1">
        <f t="array" ref="K141">-IFERROR(IF(K$2=YEAR(Report!$A$3),INDEX(Report!$L$108:$L$126,_xlfn.XMATCH($B141,Report!$A$108:$A$126)),0),0)</f>
        <v>0</v>
      </c>
      <c r="L141" s="1207" cm="1">
        <f t="array" ref="L141">-IFERROR(IF(L$2=YEAR(Report!$A$3),INDEX(Report!$L$108:$L$126,_xlfn.XMATCH($B141,Report!$A$108:$A$126)),0),0)</f>
        <v>0</v>
      </c>
      <c r="M141" s="1207" cm="1">
        <f t="array" ref="M141">-IFERROR(IF(M$2=YEAR(Report!$A$3),INDEX(Report!$L$108:$L$126,_xlfn.XMATCH($B141,Report!$A$108:$A$126)),0),0)</f>
        <v>0</v>
      </c>
      <c r="N141" s="1207" cm="1">
        <f t="array" ref="N141">-IFERROR(IF(N$2=YEAR(Report!$A$3),INDEX(Report!$L$108:$L$126,_xlfn.XMATCH($B141,Report!$A$108:$A$126)),0),0)</f>
        <v>0</v>
      </c>
      <c r="O141" s="1207" cm="1">
        <f t="array" ref="O141">-IFERROR(IF(O$2=YEAR(Report!$A$3),INDEX(Report!$L$108:$L$126,_xlfn.XMATCH($B141,Report!$A$108:$A$126)),0),0)</f>
        <v>0</v>
      </c>
      <c r="P141" s="1207" cm="1">
        <f t="array" ref="P141">-IFERROR(IF(P$2=YEAR(Report!$A$3),INDEX(Report!$L$108:$L$126,_xlfn.XMATCH($B141,Report!$A$108:$A$126)),0),0)</f>
        <v>0</v>
      </c>
      <c r="Q141" s="1207" cm="1">
        <f t="array" ref="Q141">-IFERROR(IF(Q$2=YEAR(Report!$A$3),INDEX(Report!$L$108:$L$126,_xlfn.XMATCH($B141,Report!$A$108:$A$126)),0),0)</f>
        <v>0</v>
      </c>
    </row>
    <row r="142" spans="2:17" outlineLevel="1">
      <c r="B142" s="1214" t="s">
        <v>544</v>
      </c>
      <c r="H142" s="1206" t="s">
        <v>2830</v>
      </c>
      <c r="J142" s="1207" cm="1">
        <f t="array" ref="J142">-IFERROR(IF(J$2=YEAR(Report!$A$3),INDEX(Report!$L$108:$L$126,_xlfn.XMATCH($B142,Report!$A$108:$A$126)),0),0)</f>
        <v>0</v>
      </c>
      <c r="K142" s="1207" cm="1">
        <f t="array" ref="K142">-IFERROR(IF(K$2=YEAR(Report!$A$3),INDEX(Report!$L$108:$L$126,_xlfn.XMATCH($B142,Report!$A$108:$A$126)),0),0)</f>
        <v>0</v>
      </c>
      <c r="L142" s="1207" cm="1">
        <f t="array" ref="L142">-IFERROR(IF(L$2=YEAR(Report!$A$3),INDEX(Report!$L$108:$L$126,_xlfn.XMATCH($B142,Report!$A$108:$A$126)),0),0)</f>
        <v>0</v>
      </c>
      <c r="M142" s="1207" cm="1">
        <f t="array" ref="M142">-IFERROR(IF(M$2=YEAR(Report!$A$3),INDEX(Report!$L$108:$L$126,_xlfn.XMATCH($B142,Report!$A$108:$A$126)),0),0)</f>
        <v>0</v>
      </c>
      <c r="N142" s="1207" cm="1">
        <f t="array" ref="N142">-IFERROR(IF(N$2=YEAR(Report!$A$3),INDEX(Report!$L$108:$L$126,_xlfn.XMATCH($B142,Report!$A$108:$A$126)),0),0)</f>
        <v>0</v>
      </c>
      <c r="O142" s="1207" cm="1">
        <f t="array" ref="O142">-IFERROR(IF(O$2=YEAR(Report!$A$3),INDEX(Report!$L$108:$L$126,_xlfn.XMATCH($B142,Report!$A$108:$A$126)),0),0)</f>
        <v>0</v>
      </c>
      <c r="P142" s="1207" cm="1">
        <f t="array" ref="P142">-IFERROR(IF(P$2=YEAR(Report!$A$3),INDEX(Report!$L$108:$L$126,_xlfn.XMATCH($B142,Report!$A$108:$A$126)),0),0)</f>
        <v>0</v>
      </c>
      <c r="Q142" s="1207" cm="1">
        <f t="array" ref="Q142">-IFERROR(IF(Q$2=YEAR(Report!$A$3),INDEX(Report!$L$108:$L$126,_xlfn.XMATCH($B142,Report!$A$108:$A$126)),0),0)</f>
        <v>0</v>
      </c>
    </row>
    <row r="143" spans="2:17" outlineLevel="1">
      <c r="B143" s="1214" t="s">
        <v>484</v>
      </c>
      <c r="H143" s="1206" t="s">
        <v>2830</v>
      </c>
      <c r="J143" s="1207" cm="1">
        <f t="array" ref="J143">-IFERROR(IF(J$2=YEAR(Report!$A$3),INDEX(Report!$L$108:$L$126,_xlfn.XMATCH($B143,Report!$A$108:$A$126)),0),0)</f>
        <v>0</v>
      </c>
      <c r="K143" s="1207" cm="1">
        <f t="array" ref="K143">-IFERROR(IF(K$2=YEAR(Report!$A$3),INDEX(Report!$L$108:$L$126,_xlfn.XMATCH($B143,Report!$A$108:$A$126)),0),0)</f>
        <v>0</v>
      </c>
      <c r="L143" s="1207" cm="1">
        <f t="array" ref="L143">-IFERROR(IF(L$2=YEAR(Report!$A$3),INDEX(Report!$L$108:$L$126,_xlfn.XMATCH($B143,Report!$A$108:$A$126)),0),0)</f>
        <v>0</v>
      </c>
      <c r="M143" s="1207" cm="1">
        <f t="array" ref="M143">-IFERROR(IF(M$2=YEAR(Report!$A$3),INDEX(Report!$L$108:$L$126,_xlfn.XMATCH($B143,Report!$A$108:$A$126)),0),0)</f>
        <v>0</v>
      </c>
      <c r="N143" s="1207" cm="1">
        <f t="array" ref="N143">-IFERROR(IF(N$2=YEAR(Report!$A$3),INDEX(Report!$L$108:$L$126,_xlfn.XMATCH($B143,Report!$A$108:$A$126)),0),0)</f>
        <v>0</v>
      </c>
      <c r="O143" s="1207" cm="1">
        <f t="array" ref="O143">-IFERROR(IF(O$2=YEAR(Report!$A$3),INDEX(Report!$L$108:$L$126,_xlfn.XMATCH($B143,Report!$A$108:$A$126)),0),0)</f>
        <v>0</v>
      </c>
      <c r="P143" s="1207" cm="1">
        <f t="array" ref="P143">-IFERROR(IF(P$2=YEAR(Report!$A$3),INDEX(Report!$L$108:$L$126,_xlfn.XMATCH($B143,Report!$A$108:$A$126)),0),0)</f>
        <v>0</v>
      </c>
      <c r="Q143" s="1207" cm="1">
        <f t="array" ref="Q143">-IFERROR(IF(Q$2=YEAR(Report!$A$3),INDEX(Report!$L$108:$L$126,_xlfn.XMATCH($B143,Report!$A$108:$A$126)),0),0)</f>
        <v>0</v>
      </c>
    </row>
    <row r="144" spans="2:17" outlineLevel="1">
      <c r="B144" s="1214" t="s">
        <v>536</v>
      </c>
      <c r="H144" s="1206" t="s">
        <v>2830</v>
      </c>
      <c r="J144" s="1207" cm="1">
        <f t="array" ref="J144">-IFERROR(IF(J$2=YEAR(Report!$A$3),INDEX(Report!$L$108:$L$126,_xlfn.XMATCH($B144,Report!$A$108:$A$126)),0),0)</f>
        <v>0</v>
      </c>
      <c r="K144" s="1207" cm="1">
        <f t="array" ref="K144">-IFERROR(IF(K$2=YEAR(Report!$A$3),INDEX(Report!$L$108:$L$126,_xlfn.XMATCH($B144,Report!$A$108:$A$126)),0),0)</f>
        <v>0</v>
      </c>
      <c r="L144" s="1207" cm="1">
        <f t="array" ref="L144">-IFERROR(IF(L$2=YEAR(Report!$A$3),INDEX(Report!$L$108:$L$126,_xlfn.XMATCH($B144,Report!$A$108:$A$126)),0),0)</f>
        <v>29.855396200000001</v>
      </c>
      <c r="M144" s="1207" cm="1">
        <f t="array" ref="M144">-IFERROR(IF(M$2=YEAR(Report!$A$3),INDEX(Report!$L$108:$L$126,_xlfn.XMATCH($B144,Report!$A$108:$A$126)),0),0)</f>
        <v>0</v>
      </c>
      <c r="N144" s="1207" cm="1">
        <f t="array" ref="N144">-IFERROR(IF(N$2=YEAR(Report!$A$3),INDEX(Report!$L$108:$L$126,_xlfn.XMATCH($B144,Report!$A$108:$A$126)),0),0)</f>
        <v>0</v>
      </c>
      <c r="O144" s="1207" cm="1">
        <f t="array" ref="O144">-IFERROR(IF(O$2=YEAR(Report!$A$3),INDEX(Report!$L$108:$L$126,_xlfn.XMATCH($B144,Report!$A$108:$A$126)),0),0)</f>
        <v>0</v>
      </c>
      <c r="P144" s="1207" cm="1">
        <f t="array" ref="P144">-IFERROR(IF(P$2=YEAR(Report!$A$3),INDEX(Report!$L$108:$L$126,_xlfn.XMATCH($B144,Report!$A$108:$A$126)),0),0)</f>
        <v>0</v>
      </c>
      <c r="Q144" s="1207" cm="1">
        <f t="array" ref="Q144">-IFERROR(IF(Q$2=YEAR(Report!$A$3),INDEX(Report!$L$108:$L$126,_xlfn.XMATCH($B144,Report!$A$108:$A$126)),0),0)</f>
        <v>0</v>
      </c>
    </row>
    <row r="145" spans="2:18" outlineLevel="1">
      <c r="B145" s="1214" t="s">
        <v>545</v>
      </c>
      <c r="H145" s="1206" t="s">
        <v>2830</v>
      </c>
      <c r="J145" s="1207" cm="1">
        <f t="array" ref="J145">-IFERROR(IF(J$2=YEAR(Report!$A$3),INDEX(Report!$L$108:$L$126,_xlfn.XMATCH($B145,Report!$A$108:$A$126)),0),0)</f>
        <v>0</v>
      </c>
      <c r="K145" s="1207" cm="1">
        <f t="array" ref="K145">-IFERROR(IF(K$2=YEAR(Report!$A$3),INDEX(Report!$L$108:$L$126,_xlfn.XMATCH($B145,Report!$A$108:$A$126)),0),0)</f>
        <v>0</v>
      </c>
      <c r="L145" s="1207" cm="1">
        <f t="array" ref="L145">-IFERROR(IF(L$2=YEAR(Report!$A$3),INDEX(Report!$L$108:$L$126,_xlfn.XMATCH($B145,Report!$A$108:$A$126)),0),0)</f>
        <v>0</v>
      </c>
      <c r="M145" s="1207" cm="1">
        <f t="array" ref="M145">-IFERROR(IF(M$2=YEAR(Report!$A$3),INDEX(Report!$L$108:$L$126,_xlfn.XMATCH($B145,Report!$A$108:$A$126)),0),0)</f>
        <v>0</v>
      </c>
      <c r="N145" s="1207" cm="1">
        <f t="array" ref="N145">-IFERROR(IF(N$2=YEAR(Report!$A$3),INDEX(Report!$L$108:$L$126,_xlfn.XMATCH($B145,Report!$A$108:$A$126)),0),0)</f>
        <v>0</v>
      </c>
      <c r="O145" s="1207" cm="1">
        <f t="array" ref="O145">-IFERROR(IF(O$2=YEAR(Report!$A$3),INDEX(Report!$L$108:$L$126,_xlfn.XMATCH($B145,Report!$A$108:$A$126)),0),0)</f>
        <v>0</v>
      </c>
      <c r="P145" s="1207" cm="1">
        <f t="array" ref="P145">-IFERROR(IF(P$2=YEAR(Report!$A$3),INDEX(Report!$L$108:$L$126,_xlfn.XMATCH($B145,Report!$A$108:$A$126)),0),0)</f>
        <v>0</v>
      </c>
      <c r="Q145" s="1207" cm="1">
        <f t="array" ref="Q145">-IFERROR(IF(Q$2=YEAR(Report!$A$3),INDEX(Report!$L$108:$L$126,_xlfn.XMATCH($B145,Report!$A$108:$A$126)),0),0)</f>
        <v>0</v>
      </c>
    </row>
    <row r="146" spans="2:18" outlineLevel="1">
      <c r="B146" s="1214" t="s">
        <v>532</v>
      </c>
      <c r="H146" s="1206" t="s">
        <v>2830</v>
      </c>
      <c r="J146" s="1207" cm="1">
        <f t="array" ref="J146">-IFERROR(IF(J$2=YEAR(Report!$A$3),INDEX(Report!$L$108:$L$126,_xlfn.XMATCH($B146,Report!$A$108:$A$126)),0),0)</f>
        <v>0</v>
      </c>
      <c r="K146" s="1207" cm="1">
        <f t="array" ref="K146">-IFERROR(IF(K$2=YEAR(Report!$A$3),INDEX(Report!$L$108:$L$126,_xlfn.XMATCH($B146,Report!$A$108:$A$126)),0),0)</f>
        <v>0</v>
      </c>
      <c r="L146" s="1207" cm="1">
        <f t="array" ref="L146">-IFERROR(IF(L$2=YEAR(Report!$A$3),INDEX(Report!$L$108:$L$126,_xlfn.XMATCH($B146,Report!$A$108:$A$126)),0),0)</f>
        <v>7.3500499958498725E-5</v>
      </c>
      <c r="M146" s="1207" cm="1">
        <f t="array" ref="M146">-IFERROR(IF(M$2=YEAR(Report!$A$3),INDEX(Report!$L$108:$L$126,_xlfn.XMATCH($B146,Report!$A$108:$A$126)),0),0)</f>
        <v>0</v>
      </c>
      <c r="N146" s="1207" cm="1">
        <f t="array" ref="N146">-IFERROR(IF(N$2=YEAR(Report!$A$3),INDEX(Report!$L$108:$L$126,_xlfn.XMATCH($B146,Report!$A$108:$A$126)),0),0)</f>
        <v>0</v>
      </c>
      <c r="O146" s="1207" cm="1">
        <f t="array" ref="O146">-IFERROR(IF(O$2=YEAR(Report!$A$3),INDEX(Report!$L$108:$L$126,_xlfn.XMATCH($B146,Report!$A$108:$A$126)),0),0)</f>
        <v>0</v>
      </c>
      <c r="P146" s="1207" cm="1">
        <f t="array" ref="P146">-IFERROR(IF(P$2=YEAR(Report!$A$3),INDEX(Report!$L$108:$L$126,_xlfn.XMATCH($B146,Report!$A$108:$A$126)),0),0)</f>
        <v>0</v>
      </c>
      <c r="Q146" s="1207" cm="1">
        <f t="array" ref="Q146">-IFERROR(IF(Q$2=YEAR(Report!$A$3),INDEX(Report!$L$108:$L$126,_xlfn.XMATCH($B146,Report!$A$108:$A$126)),0),0)</f>
        <v>0</v>
      </c>
    </row>
    <row r="147" spans="2:18" outlineLevel="1">
      <c r="B147" s="1214" t="s">
        <v>533</v>
      </c>
      <c r="H147" s="1206" t="s">
        <v>2830</v>
      </c>
      <c r="J147" s="1207" cm="1">
        <f t="array" ref="J147">-IFERROR(IF(J$2=YEAR(Report!$A$3),INDEX(Report!$L$108:$L$126,_xlfn.XMATCH($B147,Report!$A$108:$A$126)),0),0)</f>
        <v>0</v>
      </c>
      <c r="K147" s="1207" cm="1">
        <f t="array" ref="K147">-IFERROR(IF(K$2=YEAR(Report!$A$3),INDEX(Report!$L$108:$L$126,_xlfn.XMATCH($B147,Report!$A$108:$A$126)),0),0)</f>
        <v>0</v>
      </c>
      <c r="L147" s="1207" cm="1">
        <f t="array" ref="L147">-IFERROR(IF(L$2=YEAR(Report!$A$3),INDEX(Report!$L$108:$L$126,_xlfn.XMATCH($B147,Report!$A$108:$A$126)),0),0)</f>
        <v>1074.1631727000001</v>
      </c>
      <c r="M147" s="1207" cm="1">
        <f t="array" ref="M147">-IFERROR(IF(M$2=YEAR(Report!$A$3),INDEX(Report!$L$108:$L$126,_xlfn.XMATCH($B147,Report!$A$108:$A$126)),0),0)</f>
        <v>0</v>
      </c>
      <c r="N147" s="1207" cm="1">
        <f t="array" ref="N147">-IFERROR(IF(N$2=YEAR(Report!$A$3),INDEX(Report!$L$108:$L$126,_xlfn.XMATCH($B147,Report!$A$108:$A$126)),0),0)</f>
        <v>0</v>
      </c>
      <c r="O147" s="1207" cm="1">
        <f t="array" ref="O147">-IFERROR(IF(O$2=YEAR(Report!$A$3),INDEX(Report!$L$108:$L$126,_xlfn.XMATCH($B147,Report!$A$108:$A$126)),0),0)</f>
        <v>0</v>
      </c>
      <c r="P147" s="1207" cm="1">
        <f t="array" ref="P147">-IFERROR(IF(P$2=YEAR(Report!$A$3),INDEX(Report!$L$108:$L$126,_xlfn.XMATCH($B147,Report!$A$108:$A$126)),0),0)</f>
        <v>0</v>
      </c>
      <c r="Q147" s="1207" cm="1">
        <f t="array" ref="Q147">-IFERROR(IF(Q$2=YEAR(Report!$A$3),INDEX(Report!$L$108:$L$126,_xlfn.XMATCH($B147,Report!$A$108:$A$126)),0),0)</f>
        <v>0</v>
      </c>
    </row>
    <row r="148" spans="2:18" outlineLevel="1">
      <c r="B148" s="1210" t="s">
        <v>2827</v>
      </c>
      <c r="C148" s="1211"/>
      <c r="F148" s="1212" cm="1">
        <f t="array" ref="F148">IF(ABS(INDEX($J148:$Q148,_xlfn.XMATCH(YEAR(Report!$A$3),$J$2:$Q$2))+Report!$L$128+Report!$N$128)&gt;Tolerance,1,0)</f>
        <v>0</v>
      </c>
      <c r="H148" s="1206" t="s">
        <v>2830</v>
      </c>
      <c r="J148" s="1217">
        <f t="shared" ref="J148:Q148" si="80">SUM(J128:J147)</f>
        <v>0</v>
      </c>
      <c r="K148" s="1217">
        <f t="shared" si="80"/>
        <v>0</v>
      </c>
      <c r="L148" s="1217">
        <f t="shared" si="80"/>
        <v>-22788.639063648112</v>
      </c>
      <c r="M148" s="1217">
        <f t="shared" si="80"/>
        <v>0</v>
      </c>
      <c r="N148" s="1217">
        <f t="shared" si="80"/>
        <v>0</v>
      </c>
      <c r="O148" s="1217">
        <f t="shared" si="80"/>
        <v>0</v>
      </c>
      <c r="P148" s="1217">
        <f t="shared" si="80"/>
        <v>0</v>
      </c>
      <c r="Q148" s="1217">
        <f t="shared" si="80"/>
        <v>0</v>
      </c>
    </row>
    <row r="149" spans="2:18" outlineLevel="1"/>
    <row r="150" spans="2:18" ht="15" outlineLevel="1">
      <c r="B150" s="1197" t="s">
        <v>2828</v>
      </c>
      <c r="J150" s="1219"/>
      <c r="K150" s="1219"/>
    </row>
    <row r="151" spans="2:18" outlineLevel="1">
      <c r="B151" s="1198" t="s">
        <v>2798</v>
      </c>
      <c r="H151" s="1206" t="s">
        <v>2830</v>
      </c>
      <c r="J151" s="1207">
        <f>IF(J$2=YEAR(Report!$A$3),Report!$R106,0)</f>
        <v>0</v>
      </c>
      <c r="K151" s="1207">
        <f>IF(K$2=YEAR(Report!$A$3),Report!$R106,0)</f>
        <v>0</v>
      </c>
      <c r="L151" s="1207">
        <f>IF(L$2=YEAR(Report!$A$3),Report!$R106,0)</f>
        <v>-223.82619999999997</v>
      </c>
      <c r="M151" s="1207">
        <f>IF(M$2=YEAR(Report!$A$3),Report!$R106,0)</f>
        <v>0</v>
      </c>
      <c r="N151" s="1207">
        <f>IF(N$2=YEAR(Report!$A$3),Report!$R106,0)</f>
        <v>0</v>
      </c>
      <c r="O151" s="1207">
        <f>IF(O$2=YEAR(Report!$A$3),Report!$R106,0)</f>
        <v>0</v>
      </c>
      <c r="P151" s="1207">
        <f>IF(P$2=YEAR(Report!$A$3),Report!$R106,0)</f>
        <v>0</v>
      </c>
      <c r="Q151" s="1207">
        <f>IF(Q$2=YEAR(Report!$A$3),Report!$R106,0)</f>
        <v>0</v>
      </c>
    </row>
    <row r="152" spans="2:18" outlineLevel="1">
      <c r="B152" s="1210" t="s">
        <v>2829</v>
      </c>
      <c r="C152" s="1211"/>
      <c r="F152" s="1212" cm="1">
        <f t="array" ref="F152">IF(ABS(INDEX($J152:$Q152,_xlfn.XMATCH(YEAR(Report!$A$3),$J$2:$Q$2))-(Report!$R$128))&gt;Tolerance,1,0)</f>
        <v>0</v>
      </c>
      <c r="H152" s="1206" t="s">
        <v>2830</v>
      </c>
      <c r="J152" s="1217">
        <f>SUM(J151)</f>
        <v>0</v>
      </c>
      <c r="K152" s="1217">
        <f t="shared" ref="K152:Q152" si="81">SUM(K151)</f>
        <v>0</v>
      </c>
      <c r="L152" s="1217">
        <f t="shared" si="81"/>
        <v>-223.82619999999997</v>
      </c>
      <c r="M152" s="1217">
        <f t="shared" si="81"/>
        <v>0</v>
      </c>
      <c r="N152" s="1217">
        <f t="shared" si="81"/>
        <v>0</v>
      </c>
      <c r="O152" s="1217">
        <f t="shared" si="81"/>
        <v>0</v>
      </c>
      <c r="P152" s="1217">
        <f t="shared" si="81"/>
        <v>0</v>
      </c>
      <c r="Q152" s="1217">
        <f t="shared" si="81"/>
        <v>0</v>
      </c>
    </row>
    <row r="154" spans="2:18">
      <c r="B154" s="1227" t="s">
        <v>2835</v>
      </c>
      <c r="C154" s="1228"/>
      <c r="D154" s="1228"/>
      <c r="E154" s="1228"/>
      <c r="F154" s="1228"/>
      <c r="G154" s="1228"/>
      <c r="H154" s="1228"/>
      <c r="I154" s="1228"/>
      <c r="J154" s="1228"/>
      <c r="K154" s="1228"/>
      <c r="L154" s="1228"/>
      <c r="M154" s="1228"/>
      <c r="N154" s="1228"/>
      <c r="O154" s="1228"/>
      <c r="P154" s="1228"/>
      <c r="Q154" s="1228"/>
      <c r="R154" s="1229"/>
    </row>
  </sheetData>
  <conditionalFormatting sqref="J3:Q3">
    <cfRule type="expression" dxfId="23" priority="7">
      <formula>J3="Actual"</formula>
    </cfRule>
    <cfRule type="expression" dxfId="22" priority="8">
      <formula>J3="Budget"</formula>
    </cfRule>
  </conditionalFormatting>
  <conditionalFormatting sqref="D2:F2">
    <cfRule type="expression" dxfId="21" priority="5">
      <formula>$D$2=0</formula>
    </cfRule>
    <cfRule type="expression" dxfId="20" priority="6">
      <formula>$D$2=1</formula>
    </cfRule>
  </conditionalFormatting>
  <conditionalFormatting sqref="S3:DJ3">
    <cfRule type="expression" dxfId="19" priority="1">
      <formula>S3="Actual"</formula>
    </cfRule>
    <cfRule type="expression" dxfId="18" priority="2">
      <formula>S3="Budget"</formula>
    </cfRule>
  </conditionalFormatting>
  <pageMargins left="0.7" right="0.7" top="0.75" bottom="0.75" header="0.3" footer="0.3"/>
  <pageSetup orientation="portrait" r:id="rId1"/>
  <customProperties>
    <customPr name="Epm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24929" r:id="rId5" name="Button 1">
              <controlPr defaultSize="0" print="0" autoFill="0" autoPict="0" macro="[0]!CopyMacro">
                <anchor moveWithCells="1" sizeWithCells="1">
                  <from>
                    <xdr:col>1</xdr:col>
                    <xdr:colOff>0</xdr:colOff>
                    <xdr:row>3</xdr:row>
                    <xdr:rowOff>66675</xdr:rowOff>
                  </from>
                  <to>
                    <xdr:col>2</xdr:col>
                    <xdr:colOff>1685925</xdr:colOff>
                    <xdr:row>5</xdr:row>
                    <xdr:rowOff>104775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2060"/>
    <pageSetUpPr fitToPage="1"/>
  </sheetPr>
  <dimension ref="A1:DI530"/>
  <sheetViews>
    <sheetView zoomScaleNormal="100" workbookViewId="0">
      <pane xSplit="96" ySplit="4" topLeftCell="CY5" activePane="bottomRight" state="frozen"/>
      <selection pane="topRight" activeCell="CS1" sqref="CS1"/>
      <selection pane="bottomLeft" activeCell="A5" sqref="A5"/>
      <selection pane="bottomRight" activeCell="CV2" sqref="CV2:DG2"/>
    </sheetView>
  </sheetViews>
  <sheetFormatPr defaultColWidth="13.5703125" defaultRowHeight="12.75"/>
  <cols>
    <col min="1" max="1" width="15" bestFit="1" customWidth="1"/>
    <col min="2" max="2" width="14.42578125" customWidth="1"/>
    <col min="3" max="3" width="33.5703125" customWidth="1"/>
    <col min="4" max="15" width="21" hidden="1" customWidth="1"/>
    <col min="16" max="17" width="17" hidden="1" customWidth="1"/>
    <col min="18" max="18" width="17.5703125" hidden="1" customWidth="1"/>
    <col min="19" max="19" width="16.5703125" hidden="1" customWidth="1"/>
    <col min="20" max="20" width="17" hidden="1" customWidth="1"/>
    <col min="21" max="21" width="16.42578125" hidden="1" customWidth="1"/>
    <col min="22" max="22" width="16.85546875" hidden="1" customWidth="1"/>
    <col min="23" max="23" width="17.5703125" hidden="1" customWidth="1"/>
    <col min="24" max="70" width="17.42578125" hidden="1" customWidth="1"/>
    <col min="71" max="71" width="17.5703125" hidden="1" customWidth="1"/>
    <col min="72" max="79" width="17.42578125" hidden="1" customWidth="1"/>
    <col min="80" max="80" width="17.5703125" hidden="1" customWidth="1"/>
    <col min="81" max="81" width="17" hidden="1" customWidth="1"/>
    <col min="82" max="95" width="17.42578125" hidden="1" customWidth="1"/>
    <col min="96" max="96" width="18.42578125" hidden="1" customWidth="1"/>
    <col min="97" max="97" width="17.42578125" hidden="1" customWidth="1"/>
    <col min="98" max="98" width="17.5703125" hidden="1" customWidth="1"/>
    <col min="99" max="99" width="17.42578125" hidden="1" customWidth="1"/>
    <col min="100" max="111" width="17.42578125" customWidth="1"/>
    <col min="112" max="112" width="20.140625" bestFit="1" customWidth="1"/>
  </cols>
  <sheetData>
    <row r="1" spans="1:113" ht="15">
      <c r="A1" s="334"/>
      <c r="C1" s="334"/>
      <c r="W1" s="399"/>
    </row>
    <row r="2" spans="1:113" ht="15">
      <c r="W2" s="399"/>
      <c r="CV2">
        <f>COLUMN()</f>
        <v>100</v>
      </c>
      <c r="CW2">
        <f>COLUMN()</f>
        <v>101</v>
      </c>
      <c r="CX2">
        <f>COLUMN()</f>
        <v>102</v>
      </c>
      <c r="CY2">
        <f>COLUMN()</f>
        <v>103</v>
      </c>
      <c r="CZ2">
        <f>COLUMN()</f>
        <v>104</v>
      </c>
      <c r="DA2">
        <f>COLUMN()</f>
        <v>105</v>
      </c>
      <c r="DB2">
        <f>COLUMN()</f>
        <v>106</v>
      </c>
      <c r="DC2">
        <f>COLUMN()</f>
        <v>107</v>
      </c>
      <c r="DD2">
        <f>COLUMN()</f>
        <v>108</v>
      </c>
      <c r="DE2">
        <f>COLUMN()</f>
        <v>109</v>
      </c>
      <c r="DF2">
        <f>COLUMN()</f>
        <v>110</v>
      </c>
      <c r="DG2">
        <f>COLUMN()</f>
        <v>111</v>
      </c>
      <c r="DH2" s="1281" t="str">
        <f>+Input!A4</f>
        <v>(DEC 2021 - DEC 2022)</v>
      </c>
      <c r="DI2" s="1174"/>
    </row>
    <row r="3" spans="1:113" ht="15">
      <c r="D3" s="334" t="s">
        <v>571</v>
      </c>
      <c r="W3" s="399"/>
      <c r="DE3">
        <v>107</v>
      </c>
      <c r="DF3">
        <v>108</v>
      </c>
      <c r="DG3">
        <v>109</v>
      </c>
      <c r="DH3" s="1282"/>
    </row>
    <row r="4" spans="1:113" ht="15">
      <c r="A4" s="1020"/>
      <c r="B4" s="1020" t="s">
        <v>573</v>
      </c>
      <c r="C4" s="1020"/>
      <c r="D4" s="338" t="s">
        <v>940</v>
      </c>
      <c r="E4" s="338" t="s">
        <v>941</v>
      </c>
      <c r="F4" s="338" t="s">
        <v>942</v>
      </c>
      <c r="G4" s="338" t="s">
        <v>943</v>
      </c>
      <c r="H4" s="338" t="s">
        <v>944</v>
      </c>
      <c r="I4" s="338" t="s">
        <v>945</v>
      </c>
      <c r="J4" s="338" t="s">
        <v>946</v>
      </c>
      <c r="K4" s="338" t="s">
        <v>947</v>
      </c>
      <c r="L4" s="338" t="s">
        <v>948</v>
      </c>
      <c r="M4" s="338" t="s">
        <v>949</v>
      </c>
      <c r="N4" s="338" t="s">
        <v>950</v>
      </c>
      <c r="O4" s="339" t="s">
        <v>951</v>
      </c>
      <c r="P4" s="338" t="s">
        <v>1376</v>
      </c>
      <c r="Q4" s="338" t="s">
        <v>1377</v>
      </c>
      <c r="R4" s="339" t="s">
        <v>1378</v>
      </c>
      <c r="S4" s="397" t="s">
        <v>1384</v>
      </c>
      <c r="T4" s="398" t="s">
        <v>1385</v>
      </c>
      <c r="U4" s="397" t="s">
        <v>1386</v>
      </c>
      <c r="V4" s="397" t="s">
        <v>1399</v>
      </c>
      <c r="W4" s="397" t="s">
        <v>1400</v>
      </c>
      <c r="X4" s="397" t="s">
        <v>1401</v>
      </c>
      <c r="Y4" s="397" t="s">
        <v>1408</v>
      </c>
      <c r="Z4" s="397" t="s">
        <v>1409</v>
      </c>
      <c r="AA4" s="397" t="s">
        <v>1410</v>
      </c>
      <c r="AB4" s="397" t="s">
        <v>1426</v>
      </c>
      <c r="AC4" s="397" t="s">
        <v>1427</v>
      </c>
      <c r="AD4" s="397" t="s">
        <v>1428</v>
      </c>
      <c r="AE4" s="397" t="s">
        <v>1429</v>
      </c>
      <c r="AF4" s="397" t="s">
        <v>1430</v>
      </c>
      <c r="AG4" s="397" t="s">
        <v>1431</v>
      </c>
      <c r="AH4" s="397" t="s">
        <v>1688</v>
      </c>
      <c r="AI4" s="397" t="s">
        <v>1689</v>
      </c>
      <c r="AJ4" s="397" t="s">
        <v>1690</v>
      </c>
      <c r="AK4" s="397" t="s">
        <v>1710</v>
      </c>
      <c r="AL4" s="397" t="s">
        <v>1711</v>
      </c>
      <c r="AM4" s="397" t="s">
        <v>1712</v>
      </c>
      <c r="AN4" s="397" t="s">
        <v>1756</v>
      </c>
      <c r="AO4" s="397" t="s">
        <v>1757</v>
      </c>
      <c r="AP4" s="397" t="s">
        <v>1758</v>
      </c>
      <c r="AQ4" s="397" t="s">
        <v>1814</v>
      </c>
      <c r="AR4" s="397" t="s">
        <v>1815</v>
      </c>
      <c r="AS4" s="397" t="s">
        <v>1816</v>
      </c>
      <c r="AT4" s="397" t="s">
        <v>1823</v>
      </c>
      <c r="AU4" s="397" t="s">
        <v>1824</v>
      </c>
      <c r="AV4" s="397" t="s">
        <v>1825</v>
      </c>
      <c r="AW4" s="397" t="s">
        <v>1832</v>
      </c>
      <c r="AX4" s="397" t="s">
        <v>1833</v>
      </c>
      <c r="AY4" s="397" t="s">
        <v>1834</v>
      </c>
      <c r="AZ4" s="397" t="s">
        <v>1859</v>
      </c>
      <c r="BA4" s="397" t="s">
        <v>1860</v>
      </c>
      <c r="BB4" s="397" t="s">
        <v>1861</v>
      </c>
      <c r="BC4" s="397" t="s">
        <v>2226</v>
      </c>
      <c r="BD4" s="397" t="s">
        <v>2227</v>
      </c>
      <c r="BE4" s="397" t="s">
        <v>2228</v>
      </c>
      <c r="BF4" s="397" t="s">
        <v>2236</v>
      </c>
      <c r="BG4" s="397" t="s">
        <v>2237</v>
      </c>
      <c r="BH4" s="397" t="s">
        <v>2238</v>
      </c>
      <c r="BI4" s="397" t="s">
        <v>2246</v>
      </c>
      <c r="BJ4" s="397" t="s">
        <v>2247</v>
      </c>
      <c r="BK4" s="397" t="s">
        <v>2248</v>
      </c>
      <c r="BL4" s="397" t="s">
        <v>2257</v>
      </c>
      <c r="BM4" s="397" t="s">
        <v>2258</v>
      </c>
      <c r="BN4" s="397" t="s">
        <v>2259</v>
      </c>
      <c r="BO4" s="397" t="s">
        <v>2269</v>
      </c>
      <c r="BP4" s="397" t="s">
        <v>2270</v>
      </c>
      <c r="BQ4" s="397" t="s">
        <v>2271</v>
      </c>
      <c r="BR4" s="397" t="s">
        <v>2284</v>
      </c>
      <c r="BS4" s="397" t="s">
        <v>2285</v>
      </c>
      <c r="BT4" s="397" t="s">
        <v>2286</v>
      </c>
      <c r="BU4" s="397" t="s">
        <v>2337</v>
      </c>
      <c r="BV4" s="397" t="s">
        <v>2338</v>
      </c>
      <c r="BW4" s="397" t="s">
        <v>2339</v>
      </c>
      <c r="BX4" s="397" t="s">
        <v>2435</v>
      </c>
      <c r="BY4" s="397" t="s">
        <v>2436</v>
      </c>
      <c r="BZ4" s="397" t="s">
        <v>2437</v>
      </c>
      <c r="CA4" s="397" t="s">
        <v>2477</v>
      </c>
      <c r="CB4" s="397" t="s">
        <v>2481</v>
      </c>
      <c r="CC4" s="1021" t="s">
        <v>2502</v>
      </c>
      <c r="CD4" s="1021" t="s">
        <v>2513</v>
      </c>
      <c r="CE4" s="1021" t="s">
        <v>2514</v>
      </c>
      <c r="CF4" s="1021" t="s">
        <v>2515</v>
      </c>
      <c r="CG4" s="1021" t="s">
        <v>2532</v>
      </c>
      <c r="CH4" s="1021" t="s">
        <v>2533</v>
      </c>
      <c r="CI4" s="1021" t="s">
        <v>2534</v>
      </c>
      <c r="CJ4" s="1021" t="s">
        <v>2565</v>
      </c>
      <c r="CK4" s="1021" t="s">
        <v>2566</v>
      </c>
      <c r="CL4" s="1021" t="s">
        <v>2567</v>
      </c>
      <c r="CM4" s="1021" t="s">
        <v>2666</v>
      </c>
      <c r="CN4" s="1021" t="s">
        <v>2667</v>
      </c>
      <c r="CO4" s="1021" t="s">
        <v>2668</v>
      </c>
      <c r="CP4" s="1021" t="s">
        <v>2695</v>
      </c>
      <c r="CQ4" s="1021" t="s">
        <v>2696</v>
      </c>
      <c r="CR4" s="1021" t="s">
        <v>2697</v>
      </c>
      <c r="CS4" s="1021" t="s">
        <v>2744</v>
      </c>
      <c r="CT4" s="1021" t="s">
        <v>2745</v>
      </c>
      <c r="CU4" s="1021" t="s">
        <v>2746</v>
      </c>
      <c r="CV4" s="1230" t="s">
        <v>2843</v>
      </c>
      <c r="CW4" s="1230" t="s">
        <v>2844</v>
      </c>
      <c r="CX4" s="1230" t="s">
        <v>2845</v>
      </c>
      <c r="CY4" s="1230" t="s">
        <v>2865</v>
      </c>
      <c r="CZ4" s="1230" t="s">
        <v>2866</v>
      </c>
      <c r="DA4" s="1230" t="s">
        <v>2867</v>
      </c>
      <c r="DB4" s="1230" t="s">
        <v>2884</v>
      </c>
      <c r="DC4" s="1230" t="s">
        <v>2885</v>
      </c>
      <c r="DD4" s="1230" t="s">
        <v>2886</v>
      </c>
      <c r="DE4" s="1230" t="s">
        <v>2901</v>
      </c>
      <c r="DF4" s="1230" t="s">
        <v>2902</v>
      </c>
      <c r="DG4" s="1230" t="s">
        <v>2903</v>
      </c>
      <c r="DH4" s="1175" t="s">
        <v>511</v>
      </c>
      <c r="DI4" s="1176"/>
    </row>
    <row r="5" spans="1:113">
      <c r="A5" s="357" t="str">
        <f>+B5</f>
        <v>4073052</v>
      </c>
      <c r="B5" s="350" t="s">
        <v>1405</v>
      </c>
      <c r="C5" s="335" t="s">
        <v>1406</v>
      </c>
      <c r="D5" s="48">
        <v>0</v>
      </c>
      <c r="E5" s="48">
        <v>0</v>
      </c>
      <c r="F5" s="48">
        <v>0</v>
      </c>
      <c r="G5" s="48">
        <v>0</v>
      </c>
      <c r="H5" s="48">
        <v>0</v>
      </c>
      <c r="I5" s="48">
        <v>0</v>
      </c>
      <c r="J5" s="48">
        <v>0</v>
      </c>
      <c r="K5" s="48">
        <v>0</v>
      </c>
      <c r="L5" s="48">
        <v>0</v>
      </c>
      <c r="M5" s="48">
        <v>0</v>
      </c>
      <c r="N5" s="48">
        <v>0</v>
      </c>
      <c r="O5" s="48">
        <v>0</v>
      </c>
      <c r="P5" s="48">
        <v>0</v>
      </c>
      <c r="Q5" s="48">
        <v>0</v>
      </c>
      <c r="R5" s="48">
        <v>0</v>
      </c>
      <c r="S5" s="48">
        <v>0</v>
      </c>
      <c r="T5" s="48">
        <v>0</v>
      </c>
      <c r="U5" s="48">
        <v>0</v>
      </c>
      <c r="V5" s="48">
        <v>0</v>
      </c>
      <c r="W5" s="48">
        <v>511204</v>
      </c>
      <c r="X5" s="48">
        <v>0</v>
      </c>
      <c r="Y5" s="48">
        <v>0</v>
      </c>
      <c r="Z5" s="48">
        <v>0</v>
      </c>
      <c r="AA5" s="48">
        <v>0</v>
      </c>
      <c r="AB5" s="48">
        <v>0</v>
      </c>
      <c r="AC5" s="48">
        <v>0</v>
      </c>
      <c r="AD5" s="48">
        <v>0</v>
      </c>
      <c r="AE5" s="48">
        <v>0</v>
      </c>
      <c r="AF5" s="48">
        <v>0</v>
      </c>
      <c r="AG5" s="48">
        <v>-61344.480000000003</v>
      </c>
      <c r="AH5" s="48">
        <v>0</v>
      </c>
      <c r="AI5" s="48">
        <v>0</v>
      </c>
      <c r="AJ5" s="48">
        <v>0</v>
      </c>
      <c r="AK5" s="48">
        <v>0</v>
      </c>
      <c r="AL5" s="48">
        <v>0</v>
      </c>
      <c r="AM5" s="48">
        <v>0</v>
      </c>
      <c r="AN5" s="48">
        <v>0</v>
      </c>
      <c r="AO5" s="48">
        <v>0</v>
      </c>
      <c r="AP5" s="48">
        <v>0</v>
      </c>
      <c r="AQ5" s="48">
        <v>0</v>
      </c>
      <c r="AR5" s="48">
        <v>0</v>
      </c>
      <c r="AS5" s="48">
        <v>0</v>
      </c>
      <c r="AT5" s="48">
        <v>0</v>
      </c>
      <c r="AU5" s="48">
        <v>0</v>
      </c>
      <c r="AV5" s="48">
        <v>0</v>
      </c>
      <c r="AW5" s="48"/>
      <c r="AX5" s="48"/>
      <c r="AY5" s="48"/>
      <c r="AZ5" s="48">
        <v>0</v>
      </c>
      <c r="BA5" s="48">
        <v>0</v>
      </c>
      <c r="BB5" s="48">
        <v>0</v>
      </c>
      <c r="BC5" s="48">
        <v>0</v>
      </c>
      <c r="BD5" s="48">
        <v>0</v>
      </c>
      <c r="BE5" s="48">
        <v>0</v>
      </c>
      <c r="BF5" s="48">
        <v>0</v>
      </c>
      <c r="BG5" s="48">
        <v>0</v>
      </c>
      <c r="BH5" s="48">
        <v>0</v>
      </c>
      <c r="BI5" s="48">
        <v>0</v>
      </c>
      <c r="BJ5" s="48">
        <v>0</v>
      </c>
      <c r="BK5" s="48">
        <v>0</v>
      </c>
      <c r="BL5" s="48">
        <v>0</v>
      </c>
      <c r="BM5" s="48">
        <v>0</v>
      </c>
      <c r="BN5" s="48">
        <v>0</v>
      </c>
      <c r="BO5" s="48">
        <v>0</v>
      </c>
      <c r="BP5" s="48">
        <v>0</v>
      </c>
      <c r="BQ5" s="48">
        <v>0</v>
      </c>
      <c r="BR5" s="48">
        <v>0</v>
      </c>
      <c r="BS5" s="48">
        <v>0</v>
      </c>
      <c r="BT5" s="48">
        <v>0</v>
      </c>
      <c r="BU5" s="48">
        <v>0</v>
      </c>
      <c r="BV5" s="48">
        <v>0</v>
      </c>
      <c r="BW5" s="48">
        <v>0</v>
      </c>
      <c r="BX5" s="48">
        <v>0</v>
      </c>
      <c r="BY5" s="48">
        <v>0</v>
      </c>
      <c r="BZ5" s="48">
        <v>0</v>
      </c>
      <c r="CA5" s="48">
        <v>0</v>
      </c>
      <c r="CB5" s="48">
        <v>0</v>
      </c>
      <c r="CC5" s="48">
        <v>0</v>
      </c>
      <c r="CD5" s="48">
        <v>0</v>
      </c>
      <c r="CE5" s="48">
        <v>0</v>
      </c>
      <c r="CF5" s="48">
        <v>0</v>
      </c>
      <c r="CG5" s="48">
        <v>0</v>
      </c>
      <c r="CH5" s="48">
        <v>0</v>
      </c>
      <c r="CI5" s="48">
        <v>0</v>
      </c>
      <c r="CJ5" s="48">
        <v>0</v>
      </c>
      <c r="CK5" s="48">
        <v>0</v>
      </c>
      <c r="CL5" s="48">
        <v>0</v>
      </c>
      <c r="CM5" s="48">
        <v>0</v>
      </c>
      <c r="CN5" s="48">
        <v>0</v>
      </c>
      <c r="CO5" s="48">
        <v>0</v>
      </c>
      <c r="CP5" s="48">
        <v>0</v>
      </c>
      <c r="CQ5" s="48">
        <v>0</v>
      </c>
      <c r="CR5" s="48">
        <v>0</v>
      </c>
      <c r="CS5" s="48">
        <v>0</v>
      </c>
      <c r="CT5" s="48">
        <v>0</v>
      </c>
      <c r="CU5" s="48">
        <v>0</v>
      </c>
      <c r="CV5" s="48">
        <v>0</v>
      </c>
      <c r="CW5" s="48">
        <v>0</v>
      </c>
      <c r="CX5" s="48">
        <v>0</v>
      </c>
      <c r="CY5" s="48">
        <v>0</v>
      </c>
      <c r="CZ5" s="48">
        <v>0</v>
      </c>
      <c r="DA5" s="48">
        <v>0</v>
      </c>
      <c r="DB5" s="48">
        <v>0</v>
      </c>
      <c r="DC5" s="48">
        <v>0</v>
      </c>
      <c r="DD5" s="48">
        <v>0</v>
      </c>
      <c r="DE5" s="48">
        <f>VLOOKUP($C5,'[2]Analysis 1'!$C$5:$DG$1025,107,FALSE)</f>
        <v>0</v>
      </c>
      <c r="DF5" s="48">
        <f>VLOOKUP($C5,'[2]Analysis 1'!$C$5:$DG$1025,108,FALSE)</f>
        <v>0</v>
      </c>
      <c r="DG5" s="48">
        <f>VLOOKUP($C5,'[2]Analysis 1'!$C$5:$DG$1025,109,FALSE)</f>
        <v>0</v>
      </c>
      <c r="DH5" s="369">
        <f>SUM(CV5:DG5)</f>
        <v>0</v>
      </c>
    </row>
    <row r="6" spans="1:113">
      <c r="A6" s="357" t="str">
        <f t="shared" ref="A6:A77" si="0">+B6</f>
        <v>4073060</v>
      </c>
      <c r="B6" s="350" t="s">
        <v>1271</v>
      </c>
      <c r="C6" s="335" t="s">
        <v>952</v>
      </c>
      <c r="D6" s="340">
        <v>679986</v>
      </c>
      <c r="E6" s="340">
        <v>5019291</v>
      </c>
      <c r="F6" s="340">
        <v>-818714</v>
      </c>
      <c r="G6" s="340">
        <v>1885134</v>
      </c>
      <c r="H6" s="340">
        <v>-2013681</v>
      </c>
      <c r="I6" s="340">
        <v>1920726</v>
      </c>
      <c r="J6" s="340">
        <v>764503.05</v>
      </c>
      <c r="K6" s="340">
        <v>189971</v>
      </c>
      <c r="L6" s="340">
        <v>-269327</v>
      </c>
      <c r="M6" s="340">
        <v>-1988662</v>
      </c>
      <c r="N6" s="340">
        <v>-5688020</v>
      </c>
      <c r="O6" s="341">
        <v>2440143.9</v>
      </c>
      <c r="P6" s="48">
        <v>874005</v>
      </c>
      <c r="Q6" s="48">
        <v>-46942</v>
      </c>
      <c r="R6" s="48">
        <v>1692339</v>
      </c>
      <c r="S6" s="48">
        <v>0</v>
      </c>
      <c r="T6" s="48">
        <v>0</v>
      </c>
      <c r="U6" s="48">
        <v>2345723</v>
      </c>
      <c r="V6" s="48">
        <v>0</v>
      </c>
      <c r="W6" s="48">
        <v>532507</v>
      </c>
      <c r="X6" s="48">
        <v>0</v>
      </c>
      <c r="Y6" s="48">
        <v>0</v>
      </c>
      <c r="Z6" s="48">
        <v>0</v>
      </c>
      <c r="AA6" s="48">
        <v>0</v>
      </c>
      <c r="AB6" s="48">
        <v>1010190</v>
      </c>
      <c r="AC6" s="48">
        <v>5028710</v>
      </c>
      <c r="AD6" s="48">
        <v>1623436</v>
      </c>
      <c r="AE6" s="48">
        <v>777966</v>
      </c>
      <c r="AF6" s="48">
        <v>1592898</v>
      </c>
      <c r="AG6" s="48">
        <v>1972766</v>
      </c>
      <c r="AH6" s="48">
        <v>1264664</v>
      </c>
      <c r="AI6" s="48">
        <v>835184</v>
      </c>
      <c r="AJ6" s="48">
        <v>0</v>
      </c>
      <c r="AK6" s="48">
        <v>0</v>
      </c>
      <c r="AL6" s="48">
        <v>0</v>
      </c>
      <c r="AM6" s="48">
        <v>0</v>
      </c>
      <c r="AN6" s="48">
        <v>554769</v>
      </c>
      <c r="AO6" s="48">
        <v>3223761</v>
      </c>
      <c r="AP6" s="48">
        <v>0</v>
      </c>
      <c r="AQ6" s="48">
        <v>1044957</v>
      </c>
      <c r="AR6" s="48">
        <v>96188</v>
      </c>
      <c r="AS6" s="48">
        <v>0</v>
      </c>
      <c r="AT6" s="48">
        <v>0</v>
      </c>
      <c r="AU6" s="48">
        <v>0</v>
      </c>
      <c r="AV6" s="48">
        <v>1278299</v>
      </c>
      <c r="AW6" s="48">
        <v>0</v>
      </c>
      <c r="AX6" s="48">
        <v>0</v>
      </c>
      <c r="AY6" s="48">
        <v>765281</v>
      </c>
      <c r="AZ6" s="48">
        <v>4926984</v>
      </c>
      <c r="BA6" s="48">
        <v>5862451</v>
      </c>
      <c r="BB6" s="48">
        <v>0</v>
      </c>
      <c r="BC6" s="48">
        <v>3350938</v>
      </c>
      <c r="BD6" s="48">
        <v>0</v>
      </c>
      <c r="BE6" s="48">
        <v>172230</v>
      </c>
      <c r="BF6" s="48">
        <v>0</v>
      </c>
      <c r="BG6" s="48">
        <v>0</v>
      </c>
      <c r="BH6" s="48">
        <v>204507</v>
      </c>
      <c r="BI6" s="48">
        <v>0</v>
      </c>
      <c r="BJ6" s="48">
        <v>0</v>
      </c>
      <c r="BK6" s="48">
        <v>0</v>
      </c>
      <c r="BL6" s="48">
        <v>1935561</v>
      </c>
      <c r="BM6" s="48">
        <v>3580818</v>
      </c>
      <c r="BN6" s="48">
        <v>1224380</v>
      </c>
      <c r="BO6" s="48">
        <v>3105870</v>
      </c>
      <c r="BP6" s="48">
        <v>2591667</v>
      </c>
      <c r="BQ6" s="48">
        <v>1229044</v>
      </c>
      <c r="BR6" s="48">
        <v>330011</v>
      </c>
      <c r="BS6" s="48">
        <v>0</v>
      </c>
      <c r="BT6" s="48">
        <v>706367</v>
      </c>
      <c r="BU6" s="48">
        <v>0</v>
      </c>
      <c r="BV6" s="48">
        <v>0</v>
      </c>
      <c r="BW6" s="48">
        <v>1284764</v>
      </c>
      <c r="BX6" s="48">
        <v>3527066</v>
      </c>
      <c r="BY6" s="48">
        <v>3182845</v>
      </c>
      <c r="BZ6" s="48">
        <v>1357240</v>
      </c>
      <c r="CA6" s="48">
        <v>774904</v>
      </c>
      <c r="CB6" s="48">
        <v>0</v>
      </c>
      <c r="CC6" s="48">
        <v>746533</v>
      </c>
      <c r="CD6" s="48">
        <v>0</v>
      </c>
      <c r="CE6" s="48">
        <v>0</v>
      </c>
      <c r="CF6" s="48">
        <v>0</v>
      </c>
      <c r="CG6" s="48">
        <v>0</v>
      </c>
      <c r="CH6" s="48">
        <v>0</v>
      </c>
      <c r="CI6" s="48">
        <v>0</v>
      </c>
      <c r="CJ6" s="48">
        <v>3733943</v>
      </c>
      <c r="CK6" s="48">
        <v>0</v>
      </c>
      <c r="CL6" s="48">
        <v>0</v>
      </c>
      <c r="CM6" s="48">
        <v>3928902</v>
      </c>
      <c r="CN6" s="48">
        <v>503058</v>
      </c>
      <c r="CO6" s="48">
        <v>0</v>
      </c>
      <c r="CP6" s="48">
        <v>417974</v>
      </c>
      <c r="CQ6" s="48">
        <v>0</v>
      </c>
      <c r="CR6" s="48">
        <v>0</v>
      </c>
      <c r="CS6" s="48">
        <v>0</v>
      </c>
      <c r="CT6" s="48">
        <v>0</v>
      </c>
      <c r="CU6" s="48">
        <v>589453</v>
      </c>
      <c r="CV6" s="48">
        <v>3918226</v>
      </c>
      <c r="CW6" s="48">
        <v>4716521</v>
      </c>
      <c r="CX6" s="48">
        <v>0</v>
      </c>
      <c r="CY6" s="48">
        <v>0</v>
      </c>
      <c r="CZ6" s="48">
        <v>0</v>
      </c>
      <c r="DA6" s="48">
        <v>0</v>
      </c>
      <c r="DB6" s="48">
        <v>115510</v>
      </c>
      <c r="DC6" s="48">
        <v>2842822</v>
      </c>
      <c r="DD6" s="48">
        <v>4552641</v>
      </c>
      <c r="DE6" s="48">
        <f>VLOOKUP($C6,'[2]Analysis 1'!$C$5:$DG$1025,107,FALSE)</f>
        <v>2462288</v>
      </c>
      <c r="DF6" s="48">
        <f>VLOOKUP($C6,'[2]Analysis 1'!$C$5:$DG$1025,108,FALSE)</f>
        <v>0</v>
      </c>
      <c r="DG6" s="48">
        <f>VLOOKUP($C6,'[2]Analysis 1'!$C$5:$DG$1025,109,FALSE)</f>
        <v>0</v>
      </c>
      <c r="DH6" s="369">
        <f t="shared" ref="DH6:DH69" si="1">SUM(CV6:DG6)</f>
        <v>18608008</v>
      </c>
    </row>
    <row r="7" spans="1:113">
      <c r="A7" s="357" t="str">
        <f t="shared" si="0"/>
        <v>4073061</v>
      </c>
      <c r="B7" s="350" t="s">
        <v>1273</v>
      </c>
      <c r="C7" s="335" t="s">
        <v>2207</v>
      </c>
      <c r="D7" s="340"/>
      <c r="E7" s="340"/>
      <c r="F7" s="340"/>
      <c r="G7" s="340"/>
      <c r="H7" s="340"/>
      <c r="I7" s="340"/>
      <c r="J7" s="340"/>
      <c r="K7" s="340"/>
      <c r="L7" s="340"/>
      <c r="M7" s="340"/>
      <c r="N7" s="340"/>
      <c r="O7" s="341"/>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v>292032</v>
      </c>
      <c r="BA7" s="48">
        <v>292032</v>
      </c>
      <c r="BB7" s="48">
        <v>292032</v>
      </c>
      <c r="BC7" s="48">
        <v>292032</v>
      </c>
      <c r="BD7" s="48">
        <v>292032</v>
      </c>
      <c r="BE7" s="48">
        <v>292032</v>
      </c>
      <c r="BF7" s="48">
        <v>292032</v>
      </c>
      <c r="BG7" s="48">
        <v>292032</v>
      </c>
      <c r="BH7" s="48">
        <v>292032</v>
      </c>
      <c r="BI7" s="48">
        <v>292032</v>
      </c>
      <c r="BJ7" s="48">
        <v>292032</v>
      </c>
      <c r="BK7" s="48">
        <v>292029</v>
      </c>
      <c r="BL7" s="48">
        <v>0</v>
      </c>
      <c r="BM7" s="48">
        <v>0</v>
      </c>
      <c r="BN7" s="48">
        <v>0</v>
      </c>
      <c r="BO7" s="48">
        <v>0</v>
      </c>
      <c r="BP7" s="48">
        <v>0</v>
      </c>
      <c r="BQ7" s="48">
        <v>0</v>
      </c>
      <c r="BR7" s="48">
        <v>0</v>
      </c>
      <c r="BS7" s="48">
        <v>0</v>
      </c>
      <c r="BT7" s="48">
        <v>0</v>
      </c>
      <c r="BU7" s="48">
        <v>0</v>
      </c>
      <c r="BV7" s="48">
        <v>0</v>
      </c>
      <c r="BW7" s="48">
        <v>0</v>
      </c>
      <c r="BX7" s="48">
        <v>0</v>
      </c>
      <c r="BY7" s="48">
        <v>0</v>
      </c>
      <c r="BZ7" s="48">
        <v>0</v>
      </c>
      <c r="CA7" s="48">
        <v>0</v>
      </c>
      <c r="CB7" s="48">
        <v>0</v>
      </c>
      <c r="CC7" s="48">
        <v>0</v>
      </c>
      <c r="CD7" s="48">
        <v>0</v>
      </c>
      <c r="CE7" s="48">
        <v>0</v>
      </c>
      <c r="CF7" s="48">
        <v>0</v>
      </c>
      <c r="CG7" s="48">
        <v>0</v>
      </c>
      <c r="CH7" s="48">
        <v>0</v>
      </c>
      <c r="CI7" s="48">
        <v>0</v>
      </c>
      <c r="CJ7" s="48">
        <v>0</v>
      </c>
      <c r="CK7" s="48">
        <v>0</v>
      </c>
      <c r="CL7" s="48">
        <v>0</v>
      </c>
      <c r="CM7" s="48">
        <v>0</v>
      </c>
      <c r="CN7" s="48">
        <v>0</v>
      </c>
      <c r="CO7" s="48">
        <v>0</v>
      </c>
      <c r="CP7" s="48">
        <v>0</v>
      </c>
      <c r="CQ7" s="48">
        <v>0</v>
      </c>
      <c r="CR7" s="48">
        <v>0</v>
      </c>
      <c r="CS7" s="48">
        <v>0</v>
      </c>
      <c r="CT7" s="48">
        <v>0</v>
      </c>
      <c r="CU7" s="48">
        <v>0</v>
      </c>
      <c r="CV7" s="48">
        <v>644361</v>
      </c>
      <c r="CW7" s="48">
        <v>644361</v>
      </c>
      <c r="CX7" s="48">
        <v>644361</v>
      </c>
      <c r="CY7" s="48">
        <v>644361</v>
      </c>
      <c r="CZ7" s="48">
        <v>644361</v>
      </c>
      <c r="DA7" s="48">
        <v>644361</v>
      </c>
      <c r="DB7" s="48">
        <v>644361</v>
      </c>
      <c r="DC7" s="48">
        <v>644361</v>
      </c>
      <c r="DD7" s="48">
        <v>644361</v>
      </c>
      <c r="DE7" s="48">
        <f>VLOOKUP($C7,'[2]Analysis 1'!$C$5:$DG$1025,107,FALSE)</f>
        <v>644361</v>
      </c>
      <c r="DF7" s="48">
        <f>VLOOKUP($C7,'[2]Analysis 1'!$C$5:$DG$1025,108,FALSE)</f>
        <v>644361</v>
      </c>
      <c r="DG7" s="48">
        <f>VLOOKUP($C7,'[2]Analysis 1'!$C$5:$DG$1025,109,FALSE)</f>
        <v>644365</v>
      </c>
      <c r="DH7" s="369">
        <f t="shared" si="1"/>
        <v>7732336</v>
      </c>
    </row>
    <row r="8" spans="1:113">
      <c r="A8" s="357" t="str">
        <f t="shared" si="0"/>
        <v>4073071</v>
      </c>
      <c r="B8" s="350" t="s">
        <v>1360</v>
      </c>
      <c r="C8" s="335" t="s">
        <v>953</v>
      </c>
      <c r="D8" s="340">
        <v>135248</v>
      </c>
      <c r="E8" s="340">
        <v>125940</v>
      </c>
      <c r="F8" s="340">
        <v>67278</v>
      </c>
      <c r="G8" s="340">
        <v>44926</v>
      </c>
      <c r="H8" s="340">
        <v>1437</v>
      </c>
      <c r="I8" s="340">
        <v>-520</v>
      </c>
      <c r="J8" s="340">
        <v>0</v>
      </c>
      <c r="K8" s="340">
        <v>0</v>
      </c>
      <c r="L8" s="340">
        <v>0</v>
      </c>
      <c r="M8" s="340">
        <v>0</v>
      </c>
      <c r="N8" s="340">
        <v>0</v>
      </c>
      <c r="O8" s="341">
        <v>0</v>
      </c>
      <c r="P8" s="48">
        <v>211438</v>
      </c>
      <c r="Q8" s="48">
        <v>148838.45000000001</v>
      </c>
      <c r="R8" s="48">
        <v>123002.41</v>
      </c>
      <c r="S8" s="48">
        <v>14225.68</v>
      </c>
      <c r="T8" s="48">
        <v>-178</v>
      </c>
      <c r="U8" s="48">
        <v>0</v>
      </c>
      <c r="V8" s="48">
        <v>0</v>
      </c>
      <c r="W8" s="48">
        <v>0</v>
      </c>
      <c r="X8" s="48">
        <v>0</v>
      </c>
      <c r="Y8" s="48">
        <v>0</v>
      </c>
      <c r="Z8" s="48">
        <v>0</v>
      </c>
      <c r="AA8" s="48">
        <v>0</v>
      </c>
      <c r="AB8" s="48">
        <v>125650.52</v>
      </c>
      <c r="AC8" s="48">
        <v>176191</v>
      </c>
      <c r="AD8" s="48">
        <v>102005</v>
      </c>
      <c r="AE8" s="48">
        <v>31870</v>
      </c>
      <c r="AF8" s="48">
        <v>-136</v>
      </c>
      <c r="AG8" s="48">
        <v>0</v>
      </c>
      <c r="AH8" s="48">
        <v>0</v>
      </c>
      <c r="AI8" s="48">
        <v>0</v>
      </c>
      <c r="AJ8" s="48">
        <v>0</v>
      </c>
      <c r="AK8" s="48">
        <v>0</v>
      </c>
      <c r="AL8" s="48">
        <v>0</v>
      </c>
      <c r="AM8" s="48">
        <v>0</v>
      </c>
      <c r="AN8" s="48">
        <v>0</v>
      </c>
      <c r="AO8" s="48">
        <v>0</v>
      </c>
      <c r="AP8" s="48">
        <v>0</v>
      </c>
      <c r="AQ8" s="48">
        <v>0</v>
      </c>
      <c r="AR8" s="48">
        <v>0</v>
      </c>
      <c r="AS8" s="48">
        <v>0</v>
      </c>
      <c r="AT8" s="48">
        <v>0</v>
      </c>
      <c r="AU8" s="48">
        <v>0</v>
      </c>
      <c r="AV8" s="48">
        <v>0</v>
      </c>
      <c r="AW8" s="48"/>
      <c r="AX8" s="48"/>
      <c r="AY8" s="48"/>
      <c r="AZ8" s="48">
        <v>582327</v>
      </c>
      <c r="BA8" s="48">
        <v>418952</v>
      </c>
      <c r="BB8" s="48">
        <v>177031</v>
      </c>
      <c r="BC8" s="48">
        <v>190011</v>
      </c>
      <c r="BD8" s="48">
        <v>334292</v>
      </c>
      <c r="BE8" s="48">
        <v>-81651</v>
      </c>
      <c r="BF8" s="48">
        <v>0</v>
      </c>
      <c r="BG8" s="48">
        <v>0</v>
      </c>
      <c r="BH8" s="48">
        <v>0</v>
      </c>
      <c r="BI8" s="48">
        <v>0</v>
      </c>
      <c r="BJ8" s="48">
        <v>0</v>
      </c>
      <c r="BK8" s="48">
        <v>6390</v>
      </c>
      <c r="BL8" s="48">
        <v>367155</v>
      </c>
      <c r="BM8" s="48">
        <v>291525</v>
      </c>
      <c r="BN8" s="48">
        <v>104259</v>
      </c>
      <c r="BO8" s="48">
        <v>2319</v>
      </c>
      <c r="BP8" s="48">
        <v>153</v>
      </c>
      <c r="BQ8" s="48">
        <v>0</v>
      </c>
      <c r="BR8" s="48">
        <v>0</v>
      </c>
      <c r="BS8" s="48">
        <v>0</v>
      </c>
      <c r="BT8" s="48">
        <v>0</v>
      </c>
      <c r="BU8" s="48">
        <v>24577</v>
      </c>
      <c r="BV8" s="48">
        <v>0</v>
      </c>
      <c r="BW8" s="48">
        <v>-83264</v>
      </c>
      <c r="BX8" s="48">
        <v>459156</v>
      </c>
      <c r="BY8" s="48">
        <v>386397</v>
      </c>
      <c r="BZ8" s="48">
        <v>223176</v>
      </c>
      <c r="CA8" s="48">
        <v>0</v>
      </c>
      <c r="CB8" s="48">
        <v>0</v>
      </c>
      <c r="CC8" s="48">
        <v>0</v>
      </c>
      <c r="CD8" s="48">
        <v>0</v>
      </c>
      <c r="CE8" s="48">
        <v>0</v>
      </c>
      <c r="CF8" s="48">
        <v>0</v>
      </c>
      <c r="CG8" s="48">
        <v>0</v>
      </c>
      <c r="CH8" s="48">
        <v>0</v>
      </c>
      <c r="CI8" s="48">
        <v>0</v>
      </c>
      <c r="CJ8" s="48">
        <v>318354</v>
      </c>
      <c r="CK8" s="48">
        <v>234765</v>
      </c>
      <c r="CL8" s="48">
        <v>127008</v>
      </c>
      <c r="CM8" s="48">
        <v>89725</v>
      </c>
      <c r="CN8" s="48">
        <v>0</v>
      </c>
      <c r="CO8" s="48">
        <v>0</v>
      </c>
      <c r="CP8" s="48">
        <v>0</v>
      </c>
      <c r="CQ8" s="48">
        <v>0</v>
      </c>
      <c r="CR8" s="48">
        <v>823</v>
      </c>
      <c r="CS8" s="48">
        <v>0</v>
      </c>
      <c r="CT8" s="48">
        <v>0</v>
      </c>
      <c r="CU8" s="48">
        <v>0</v>
      </c>
      <c r="CV8" s="48">
        <v>176002</v>
      </c>
      <c r="CW8" s="48">
        <v>198667</v>
      </c>
      <c r="CX8" s="48">
        <v>98331</v>
      </c>
      <c r="CY8" s="48">
        <v>30832</v>
      </c>
      <c r="CZ8" s="48">
        <v>0</v>
      </c>
      <c r="DA8" s="48">
        <v>0</v>
      </c>
      <c r="DB8" s="48">
        <v>0</v>
      </c>
      <c r="DC8" s="48">
        <v>0</v>
      </c>
      <c r="DD8" s="48">
        <v>0</v>
      </c>
      <c r="DE8" s="48">
        <f>VLOOKUP($C8,'[2]Analysis 1'!$C$5:$DG$1025,107,FALSE)</f>
        <v>0</v>
      </c>
      <c r="DF8" s="48">
        <f>VLOOKUP($C8,'[2]Analysis 1'!$C$5:$DG$1025,108,FALSE)</f>
        <v>0</v>
      </c>
      <c r="DG8" s="48">
        <f>VLOOKUP($C8,'[2]Analysis 1'!$C$5:$DG$1025,109,FALSE)</f>
        <v>0</v>
      </c>
      <c r="DH8" s="369">
        <f t="shared" si="1"/>
        <v>503832</v>
      </c>
    </row>
    <row r="9" spans="1:113">
      <c r="A9" s="357" t="str">
        <f>+B9</f>
        <v>4073072</v>
      </c>
      <c r="B9" s="350" t="s">
        <v>2208</v>
      </c>
      <c r="C9" s="335" t="s">
        <v>2209</v>
      </c>
      <c r="D9" s="340"/>
      <c r="E9" s="340"/>
      <c r="F9" s="340"/>
      <c r="G9" s="340"/>
      <c r="H9" s="340"/>
      <c r="I9" s="340"/>
      <c r="J9" s="340"/>
      <c r="K9" s="340"/>
      <c r="L9" s="340"/>
      <c r="M9" s="340"/>
      <c r="N9" s="340"/>
      <c r="O9" s="341"/>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v>39660</v>
      </c>
      <c r="BA9" s="48">
        <v>39660</v>
      </c>
      <c r="BB9" s="48">
        <v>39660</v>
      </c>
      <c r="BC9" s="48">
        <v>39660</v>
      </c>
      <c r="BD9" s="48">
        <v>39660</v>
      </c>
      <c r="BE9" s="48">
        <v>39660</v>
      </c>
      <c r="BF9" s="48">
        <v>39660</v>
      </c>
      <c r="BG9" s="48">
        <v>39660</v>
      </c>
      <c r="BH9" s="48">
        <v>39660</v>
      </c>
      <c r="BI9" s="48">
        <v>39660</v>
      </c>
      <c r="BJ9" s="48">
        <v>39660</v>
      </c>
      <c r="BK9" s="48">
        <v>39659</v>
      </c>
      <c r="BL9" s="48">
        <v>0</v>
      </c>
      <c r="BM9" s="48">
        <v>0</v>
      </c>
      <c r="BN9" s="48">
        <v>0</v>
      </c>
      <c r="BO9" s="48">
        <v>0</v>
      </c>
      <c r="BP9" s="48">
        <v>0</v>
      </c>
      <c r="BQ9" s="48">
        <v>0</v>
      </c>
      <c r="BR9" s="48">
        <v>0</v>
      </c>
      <c r="BS9" s="48">
        <v>0</v>
      </c>
      <c r="BT9" s="48">
        <v>0</v>
      </c>
      <c r="BU9" s="48">
        <v>0</v>
      </c>
      <c r="BV9" s="48">
        <v>0</v>
      </c>
      <c r="BW9" s="48">
        <v>0</v>
      </c>
      <c r="BX9" s="48">
        <v>179433</v>
      </c>
      <c r="BY9" s="48">
        <v>179433</v>
      </c>
      <c r="BZ9" s="48">
        <v>179433</v>
      </c>
      <c r="CA9" s="48">
        <v>179433</v>
      </c>
      <c r="CB9" s="48">
        <v>179433</v>
      </c>
      <c r="CC9" s="48">
        <v>179433</v>
      </c>
      <c r="CD9" s="48">
        <v>179433</v>
      </c>
      <c r="CE9" s="48">
        <v>179433</v>
      </c>
      <c r="CF9" s="48">
        <v>179433</v>
      </c>
      <c r="CG9" s="48">
        <v>179433</v>
      </c>
      <c r="CH9" s="48">
        <v>179433</v>
      </c>
      <c r="CI9" s="48">
        <v>179433</v>
      </c>
      <c r="CJ9" s="48">
        <v>335362</v>
      </c>
      <c r="CK9" s="48">
        <v>335362</v>
      </c>
      <c r="CL9" s="48">
        <v>335362</v>
      </c>
      <c r="CM9" s="48">
        <v>335362</v>
      </c>
      <c r="CN9" s="48">
        <v>335362</v>
      </c>
      <c r="CO9" s="48">
        <v>335362</v>
      </c>
      <c r="CP9" s="48">
        <v>335362</v>
      </c>
      <c r="CQ9" s="48">
        <v>335362</v>
      </c>
      <c r="CR9" s="48">
        <v>335362</v>
      </c>
      <c r="CS9" s="48">
        <v>335362</v>
      </c>
      <c r="CT9" s="48">
        <v>335362</v>
      </c>
      <c r="CU9" s="48">
        <v>335359</v>
      </c>
      <c r="CV9" s="48">
        <v>28739</v>
      </c>
      <c r="CW9" s="48">
        <v>28739</v>
      </c>
      <c r="CX9" s="48">
        <v>28739</v>
      </c>
      <c r="CY9" s="48">
        <v>28739</v>
      </c>
      <c r="CZ9" s="48">
        <v>28739</v>
      </c>
      <c r="DA9" s="48">
        <v>28739</v>
      </c>
      <c r="DB9" s="48">
        <v>28739</v>
      </c>
      <c r="DC9" s="48">
        <v>28739</v>
      </c>
      <c r="DD9" s="48">
        <v>28739</v>
      </c>
      <c r="DE9" s="48">
        <f>VLOOKUP($C9,'[2]Analysis 1'!$C$5:$DG$1025,107,FALSE)</f>
        <v>28739</v>
      </c>
      <c r="DF9" s="48">
        <f>VLOOKUP($C9,'[2]Analysis 1'!$C$5:$DG$1025,108,FALSE)</f>
        <v>28739</v>
      </c>
      <c r="DG9" s="48">
        <f>VLOOKUP($C9,'[2]Analysis 1'!$C$5:$DG$1025,109,FALSE)</f>
        <v>28741</v>
      </c>
      <c r="DH9" s="369">
        <f t="shared" si="1"/>
        <v>344870</v>
      </c>
    </row>
    <row r="10" spans="1:113">
      <c r="A10" s="357" t="str">
        <f t="shared" si="0"/>
        <v>4073140</v>
      </c>
      <c r="B10" s="350" t="s">
        <v>1361</v>
      </c>
      <c r="C10" s="335" t="s">
        <v>954</v>
      </c>
      <c r="D10" s="367">
        <v>504151</v>
      </c>
      <c r="E10" s="367">
        <v>824850</v>
      </c>
      <c r="F10" s="367">
        <v>614473</v>
      </c>
      <c r="G10" s="367">
        <v>360330</v>
      </c>
      <c r="H10" s="367">
        <v>136686</v>
      </c>
      <c r="I10" s="367">
        <v>102776</v>
      </c>
      <c r="J10" s="367">
        <v>0</v>
      </c>
      <c r="K10" s="367">
        <v>0</v>
      </c>
      <c r="L10" s="367">
        <v>0</v>
      </c>
      <c r="M10" s="367">
        <v>0</v>
      </c>
      <c r="N10" s="367">
        <v>30078</v>
      </c>
      <c r="O10" s="368">
        <v>552794</v>
      </c>
      <c r="P10" s="48">
        <v>375692</v>
      </c>
      <c r="Q10" s="48">
        <v>842024</v>
      </c>
      <c r="R10" s="48">
        <v>591629</v>
      </c>
      <c r="S10" s="48">
        <v>449670</v>
      </c>
      <c r="T10" s="48">
        <v>0</v>
      </c>
      <c r="U10" s="48">
        <v>64343</v>
      </c>
      <c r="V10" s="48">
        <v>0</v>
      </c>
      <c r="W10" s="48">
        <v>0</v>
      </c>
      <c r="X10" s="48">
        <v>0</v>
      </c>
      <c r="Y10" s="48">
        <v>0</v>
      </c>
      <c r="Z10" s="48">
        <v>179226</v>
      </c>
      <c r="AA10" s="48">
        <v>396429</v>
      </c>
      <c r="AB10" s="48">
        <v>335438</v>
      </c>
      <c r="AC10" s="48">
        <v>586562</v>
      </c>
      <c r="AD10" s="48">
        <v>312201</v>
      </c>
      <c r="AE10" s="48">
        <v>271437</v>
      </c>
      <c r="AF10" s="48">
        <v>0</v>
      </c>
      <c r="AG10" s="48">
        <v>0</v>
      </c>
      <c r="AH10" s="48">
        <v>0</v>
      </c>
      <c r="AI10" s="48">
        <v>0</v>
      </c>
      <c r="AJ10" s="48">
        <v>0</v>
      </c>
      <c r="AK10" s="48">
        <v>0</v>
      </c>
      <c r="AL10" s="48">
        <v>156370</v>
      </c>
      <c r="AM10" s="48">
        <v>0</v>
      </c>
      <c r="AN10" s="48">
        <v>945491</v>
      </c>
      <c r="AO10" s="48">
        <v>534613</v>
      </c>
      <c r="AP10" s="48">
        <v>275023</v>
      </c>
      <c r="AQ10" s="48">
        <v>267436</v>
      </c>
      <c r="AR10" s="48">
        <v>0</v>
      </c>
      <c r="AS10" s="48">
        <v>0</v>
      </c>
      <c r="AT10" s="48">
        <v>0</v>
      </c>
      <c r="AU10" s="48">
        <v>0</v>
      </c>
      <c r="AV10" s="48">
        <v>0</v>
      </c>
      <c r="AW10" s="48">
        <v>0</v>
      </c>
      <c r="AX10" s="48">
        <v>0</v>
      </c>
      <c r="AY10" s="48">
        <v>126390</v>
      </c>
      <c r="AZ10" s="48">
        <v>720522</v>
      </c>
      <c r="BA10" s="48">
        <v>187450</v>
      </c>
      <c r="BB10" s="48">
        <v>0</v>
      </c>
      <c r="BC10" s="48">
        <v>0</v>
      </c>
      <c r="BD10" s="48">
        <v>73123</v>
      </c>
      <c r="BE10" s="48">
        <v>0</v>
      </c>
      <c r="BF10" s="48">
        <v>0</v>
      </c>
      <c r="BG10" s="48">
        <v>0</v>
      </c>
      <c r="BH10" s="48">
        <v>48580</v>
      </c>
      <c r="BI10" s="48">
        <v>0</v>
      </c>
      <c r="BJ10" s="48">
        <v>0</v>
      </c>
      <c r="BK10" s="48">
        <v>38871</v>
      </c>
      <c r="BL10" s="48">
        <v>287256</v>
      </c>
      <c r="BM10" s="48">
        <v>1211760</v>
      </c>
      <c r="BN10" s="48">
        <v>547925</v>
      </c>
      <c r="BO10" s="48">
        <v>129935</v>
      </c>
      <c r="BP10" s="48">
        <v>246320</v>
      </c>
      <c r="BQ10" s="48">
        <v>0</v>
      </c>
      <c r="BR10" s="48">
        <v>0</v>
      </c>
      <c r="BS10" s="48">
        <v>0</v>
      </c>
      <c r="BT10" s="48">
        <v>82058</v>
      </c>
      <c r="BU10" s="48">
        <v>0</v>
      </c>
      <c r="BV10" s="48">
        <v>0</v>
      </c>
      <c r="BW10" s="48">
        <v>313854</v>
      </c>
      <c r="BX10" s="48">
        <v>177286</v>
      </c>
      <c r="BY10" s="48">
        <v>691068</v>
      </c>
      <c r="BZ10" s="48">
        <v>609630</v>
      </c>
      <c r="CA10" s="48">
        <v>0</v>
      </c>
      <c r="CB10" s="48">
        <v>0</v>
      </c>
      <c r="CC10" s="48">
        <v>0</v>
      </c>
      <c r="CD10" s="48">
        <v>0</v>
      </c>
      <c r="CE10" s="48">
        <v>0</v>
      </c>
      <c r="CF10" s="48">
        <v>0</v>
      </c>
      <c r="CG10" s="48">
        <v>0</v>
      </c>
      <c r="CH10" s="48">
        <v>0</v>
      </c>
      <c r="CI10" s="48">
        <v>157880</v>
      </c>
      <c r="CJ10" s="48">
        <v>899651</v>
      </c>
      <c r="CK10" s="48">
        <v>143341</v>
      </c>
      <c r="CL10" s="48">
        <v>71595</v>
      </c>
      <c r="CM10" s="48">
        <v>190638</v>
      </c>
      <c r="CN10" s="48">
        <v>10003</v>
      </c>
      <c r="CO10" s="48">
        <v>0</v>
      </c>
      <c r="CP10" s="48">
        <v>0</v>
      </c>
      <c r="CQ10" s="48">
        <v>53608</v>
      </c>
      <c r="CR10" s="48">
        <v>0</v>
      </c>
      <c r="CS10" s="48">
        <v>0</v>
      </c>
      <c r="CT10" s="48">
        <v>0</v>
      </c>
      <c r="CU10" s="48">
        <v>111245</v>
      </c>
      <c r="CV10" s="48">
        <v>878881</v>
      </c>
      <c r="CW10" s="48">
        <v>1403738</v>
      </c>
      <c r="CX10" s="48">
        <v>0</v>
      </c>
      <c r="CY10" s="48">
        <v>541566</v>
      </c>
      <c r="CZ10" s="48">
        <v>485549</v>
      </c>
      <c r="DA10" s="48">
        <v>704037</v>
      </c>
      <c r="DB10" s="48">
        <v>0</v>
      </c>
      <c r="DC10" s="48">
        <v>0</v>
      </c>
      <c r="DD10" s="48">
        <v>0</v>
      </c>
      <c r="DE10" s="48">
        <f>VLOOKUP($C10,'[2]Analysis 1'!$C$5:$DG$1025,107,FALSE)</f>
        <v>0</v>
      </c>
      <c r="DF10" s="48">
        <f>VLOOKUP($C10,'[2]Analysis 1'!$C$5:$DG$1025,108,FALSE)</f>
        <v>0</v>
      </c>
      <c r="DG10" s="48">
        <f>VLOOKUP($C10,'[2]Analysis 1'!$C$5:$DG$1025,109,FALSE)</f>
        <v>0</v>
      </c>
      <c r="DH10" s="369">
        <f t="shared" si="1"/>
        <v>4013771</v>
      </c>
    </row>
    <row r="11" spans="1:113">
      <c r="A11" s="357" t="str">
        <f t="shared" si="0"/>
        <v>4073141</v>
      </c>
      <c r="B11" s="350" t="s">
        <v>1764</v>
      </c>
      <c r="C11" s="335" t="s">
        <v>1763</v>
      </c>
      <c r="D11" s="367"/>
      <c r="E11" s="367"/>
      <c r="F11" s="367"/>
      <c r="G11" s="367"/>
      <c r="H11" s="367"/>
      <c r="I11" s="367"/>
      <c r="J11" s="367"/>
      <c r="K11" s="367"/>
      <c r="L11" s="367"/>
      <c r="M11" s="367"/>
      <c r="N11" s="367"/>
      <c r="O11" s="36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v>15801</v>
      </c>
      <c r="AO11" s="48">
        <v>15801</v>
      </c>
      <c r="AP11" s="48">
        <v>15801</v>
      </c>
      <c r="AQ11" s="48">
        <v>15801</v>
      </c>
      <c r="AR11" s="48">
        <v>15801</v>
      </c>
      <c r="AS11" s="48">
        <v>15801</v>
      </c>
      <c r="AT11" s="48">
        <v>15801</v>
      </c>
      <c r="AU11" s="48">
        <v>15801</v>
      </c>
      <c r="AV11" s="48">
        <v>15801</v>
      </c>
      <c r="AW11" s="48">
        <v>15801</v>
      </c>
      <c r="AX11" s="48">
        <v>15801</v>
      </c>
      <c r="AY11" s="48">
        <v>15801</v>
      </c>
      <c r="AZ11" s="48">
        <v>181164</v>
      </c>
      <c r="BA11" s="48">
        <v>181164</v>
      </c>
      <c r="BB11" s="48">
        <v>181164</v>
      </c>
      <c r="BC11" s="48">
        <v>181164</v>
      </c>
      <c r="BD11" s="48">
        <v>181164</v>
      </c>
      <c r="BE11" s="48">
        <v>181164</v>
      </c>
      <c r="BF11" s="48">
        <v>181164</v>
      </c>
      <c r="BG11" s="48">
        <v>181164</v>
      </c>
      <c r="BH11" s="48">
        <v>181164</v>
      </c>
      <c r="BI11" s="48">
        <v>181164</v>
      </c>
      <c r="BJ11" s="48">
        <v>181164</v>
      </c>
      <c r="BK11" s="48">
        <v>181163</v>
      </c>
      <c r="BL11" s="48">
        <v>119556</v>
      </c>
      <c r="BM11" s="48">
        <v>119556</v>
      </c>
      <c r="BN11" s="48">
        <v>119556</v>
      </c>
      <c r="BO11" s="48">
        <v>119556</v>
      </c>
      <c r="BP11" s="48">
        <v>119556</v>
      </c>
      <c r="BQ11" s="48">
        <v>119556</v>
      </c>
      <c r="BR11" s="48">
        <v>119556</v>
      </c>
      <c r="BS11" s="48">
        <v>119556</v>
      </c>
      <c r="BT11" s="48">
        <v>119556</v>
      </c>
      <c r="BU11" s="48">
        <v>119556</v>
      </c>
      <c r="BV11" s="48">
        <v>119556</v>
      </c>
      <c r="BW11" s="48">
        <v>119550</v>
      </c>
      <c r="BX11" s="48">
        <v>229896</v>
      </c>
      <c r="BY11" s="48">
        <v>229896</v>
      </c>
      <c r="BZ11" s="48">
        <v>229896</v>
      </c>
      <c r="CA11" s="48">
        <v>229896</v>
      </c>
      <c r="CB11" s="48">
        <v>229896</v>
      </c>
      <c r="CC11" s="48">
        <v>229896</v>
      </c>
      <c r="CD11" s="48">
        <v>229896</v>
      </c>
      <c r="CE11" s="48">
        <v>229896</v>
      </c>
      <c r="CF11" s="48">
        <v>229896</v>
      </c>
      <c r="CG11" s="48">
        <v>229896</v>
      </c>
      <c r="CH11" s="48">
        <v>229896</v>
      </c>
      <c r="CI11" s="48">
        <v>229891</v>
      </c>
      <c r="CJ11" s="48">
        <v>95892</v>
      </c>
      <c r="CK11" s="48">
        <v>95892</v>
      </c>
      <c r="CL11" s="48">
        <v>95892</v>
      </c>
      <c r="CM11" s="48">
        <v>95892</v>
      </c>
      <c r="CN11" s="48">
        <v>95892</v>
      </c>
      <c r="CO11" s="48">
        <v>95892</v>
      </c>
      <c r="CP11" s="48">
        <v>95892</v>
      </c>
      <c r="CQ11" s="48">
        <v>95892</v>
      </c>
      <c r="CR11" s="48">
        <v>95892</v>
      </c>
      <c r="CS11" s="48">
        <v>95892</v>
      </c>
      <c r="CT11" s="48">
        <v>95892</v>
      </c>
      <c r="CU11" s="48">
        <v>95886</v>
      </c>
      <c r="CV11" s="48">
        <v>234232</v>
      </c>
      <c r="CW11" s="48">
        <v>234232</v>
      </c>
      <c r="CX11" s="48">
        <v>234232</v>
      </c>
      <c r="CY11" s="48">
        <v>234232</v>
      </c>
      <c r="CZ11" s="48">
        <v>234232</v>
      </c>
      <c r="DA11" s="48">
        <v>234232</v>
      </c>
      <c r="DB11" s="48">
        <v>234232</v>
      </c>
      <c r="DC11" s="48">
        <v>234232</v>
      </c>
      <c r="DD11" s="48">
        <v>234232</v>
      </c>
      <c r="DE11" s="48">
        <f>VLOOKUP($C11,'[2]Analysis 1'!$C$5:$DG$1025,107,FALSE)</f>
        <v>234232</v>
      </c>
      <c r="DF11" s="48">
        <f>VLOOKUP($C11,'[2]Analysis 1'!$C$5:$DG$1025,108,FALSE)</f>
        <v>234232</v>
      </c>
      <c r="DG11" s="48">
        <f>VLOOKUP($C11,'[2]Analysis 1'!$C$5:$DG$1025,109,FALSE)</f>
        <v>234226</v>
      </c>
      <c r="DH11" s="369">
        <f t="shared" si="1"/>
        <v>2810778</v>
      </c>
    </row>
    <row r="12" spans="1:113">
      <c r="A12" s="357" t="str">
        <f t="shared" si="0"/>
        <v>4074060</v>
      </c>
      <c r="B12" s="350" t="s">
        <v>1380</v>
      </c>
      <c r="C12" s="335" t="s">
        <v>1389</v>
      </c>
      <c r="D12" s="367"/>
      <c r="E12" s="367"/>
      <c r="F12" s="367"/>
      <c r="G12" s="367"/>
      <c r="H12" s="367"/>
      <c r="I12" s="367"/>
      <c r="J12" s="367"/>
      <c r="K12" s="367"/>
      <c r="L12" s="367"/>
      <c r="M12" s="367"/>
      <c r="N12" s="367"/>
      <c r="O12" s="368"/>
      <c r="P12" s="48">
        <v>0</v>
      </c>
      <c r="Q12" s="48">
        <v>-425567</v>
      </c>
      <c r="R12" s="48">
        <v>0</v>
      </c>
      <c r="S12" s="48">
        <v>-1620786</v>
      </c>
      <c r="T12" s="48">
        <v>-444631</v>
      </c>
      <c r="U12" s="48">
        <v>0</v>
      </c>
      <c r="V12" s="48">
        <v>-1162761</v>
      </c>
      <c r="W12" s="48">
        <v>-3</v>
      </c>
      <c r="X12" s="48">
        <v>-370308</v>
      </c>
      <c r="Y12" s="48">
        <v>-2364559</v>
      </c>
      <c r="Z12" s="48">
        <v>-2263247</v>
      </c>
      <c r="AA12" s="48">
        <v>-198332.01</v>
      </c>
      <c r="AB12" s="48">
        <v>0</v>
      </c>
      <c r="AC12" s="48">
        <v>0</v>
      </c>
      <c r="AD12" s="48">
        <v>0</v>
      </c>
      <c r="AE12" s="48">
        <v>0</v>
      </c>
      <c r="AF12" s="48">
        <v>0</v>
      </c>
      <c r="AG12" s="48">
        <v>0</v>
      </c>
      <c r="AH12" s="48">
        <v>0</v>
      </c>
      <c r="AI12" s="48">
        <v>0</v>
      </c>
      <c r="AJ12" s="48">
        <v>-473339</v>
      </c>
      <c r="AK12" s="48">
        <v>-2673097</v>
      </c>
      <c r="AL12" s="48">
        <v>-2821449</v>
      </c>
      <c r="AM12" s="48">
        <v>-414714.06</v>
      </c>
      <c r="AN12" s="48">
        <v>0</v>
      </c>
      <c r="AO12" s="48">
        <v>0</v>
      </c>
      <c r="AP12" s="48">
        <v>-3422244</v>
      </c>
      <c r="AQ12" s="48">
        <v>0</v>
      </c>
      <c r="AR12" s="48">
        <v>0</v>
      </c>
      <c r="AS12" s="48">
        <v>-837443</v>
      </c>
      <c r="AT12" s="48">
        <v>-1098212</v>
      </c>
      <c r="AU12" s="48">
        <v>-1113145</v>
      </c>
      <c r="AV12" s="48">
        <v>0</v>
      </c>
      <c r="AW12" s="48">
        <v>-3327711</v>
      </c>
      <c r="AX12" s="48">
        <v>-1118927</v>
      </c>
      <c r="AY12" s="48">
        <v>0</v>
      </c>
      <c r="AZ12" s="48">
        <v>0</v>
      </c>
      <c r="BA12" s="48">
        <v>0</v>
      </c>
      <c r="BB12" s="48">
        <v>-2979909</v>
      </c>
      <c r="BC12" s="48">
        <v>0</v>
      </c>
      <c r="BD12" s="48">
        <v>-429410</v>
      </c>
      <c r="BE12" s="48">
        <v>0</v>
      </c>
      <c r="BF12" s="48">
        <v>-167319</v>
      </c>
      <c r="BG12" s="48">
        <v>-714468</v>
      </c>
      <c r="BH12" s="48">
        <v>0</v>
      </c>
      <c r="BI12" s="48">
        <v>-3378428</v>
      </c>
      <c r="BJ12" s="48">
        <v>-6614016</v>
      </c>
      <c r="BK12" s="48">
        <v>-3537698.72</v>
      </c>
      <c r="BL12" s="48">
        <v>0</v>
      </c>
      <c r="BM12" s="48">
        <v>0</v>
      </c>
      <c r="BN12" s="48">
        <v>0</v>
      </c>
      <c r="BO12" s="48">
        <v>0</v>
      </c>
      <c r="BP12" s="48">
        <v>0</v>
      </c>
      <c r="BQ12" s="48">
        <v>0</v>
      </c>
      <c r="BR12" s="48">
        <v>0</v>
      </c>
      <c r="BS12" s="48">
        <v>-1387481</v>
      </c>
      <c r="BT12" s="48">
        <v>0</v>
      </c>
      <c r="BU12" s="48">
        <v>-2443733</v>
      </c>
      <c r="BV12" s="48">
        <v>-2146784</v>
      </c>
      <c r="BW12" s="48">
        <v>0</v>
      </c>
      <c r="BX12" s="48">
        <v>0</v>
      </c>
      <c r="BY12" s="48">
        <v>0</v>
      </c>
      <c r="BZ12" s="48">
        <v>0</v>
      </c>
      <c r="CA12" s="48">
        <v>0</v>
      </c>
      <c r="CB12" s="48">
        <v>-389749</v>
      </c>
      <c r="CC12" s="48">
        <v>0</v>
      </c>
      <c r="CD12" s="48">
        <v>-437706</v>
      </c>
      <c r="CE12" s="48">
        <v>-2362539</v>
      </c>
      <c r="CF12" s="48">
        <v>-657410</v>
      </c>
      <c r="CG12" s="48">
        <v>-3869236</v>
      </c>
      <c r="CH12" s="48">
        <v>-3349085</v>
      </c>
      <c r="CI12" s="48">
        <v>-638028.97</v>
      </c>
      <c r="CJ12" s="48">
        <v>0</v>
      </c>
      <c r="CK12" s="48">
        <v>-2433807</v>
      </c>
      <c r="CL12" s="48">
        <v>-1199460</v>
      </c>
      <c r="CM12" s="48">
        <v>0</v>
      </c>
      <c r="CN12" s="48">
        <v>0</v>
      </c>
      <c r="CO12" s="48">
        <v>-676221</v>
      </c>
      <c r="CP12" s="48">
        <v>0</v>
      </c>
      <c r="CQ12" s="48">
        <v>-903569</v>
      </c>
      <c r="CR12" s="48">
        <v>-1398453</v>
      </c>
      <c r="CS12" s="48">
        <v>-7609249</v>
      </c>
      <c r="CT12" s="48">
        <v>-7684861</v>
      </c>
      <c r="CU12" s="48">
        <v>0</v>
      </c>
      <c r="CV12" s="48">
        <v>0</v>
      </c>
      <c r="CW12" s="48">
        <v>0</v>
      </c>
      <c r="CX12" s="48">
        <v>-1265268</v>
      </c>
      <c r="CY12" s="48">
        <v>-803495</v>
      </c>
      <c r="CZ12" s="48">
        <v>-2238525</v>
      </c>
      <c r="DA12" s="48">
        <v>-345223</v>
      </c>
      <c r="DB12" s="48">
        <v>0</v>
      </c>
      <c r="DC12" s="48">
        <v>0</v>
      </c>
      <c r="DD12" s="48">
        <v>0</v>
      </c>
      <c r="DE12" s="48">
        <f>VLOOKUP($C12,'[2]Analysis 1'!$C$5:$DG$1025,107,FALSE)</f>
        <v>0</v>
      </c>
      <c r="DF12" s="48">
        <f>VLOOKUP($C12,'[2]Analysis 1'!$C$5:$DG$1025,108,FALSE)</f>
        <v>-10616934</v>
      </c>
      <c r="DG12" s="48">
        <f>VLOOKUP($C12,'[2]Analysis 1'!$C$5:$DG$1025,109,FALSE)</f>
        <v>-6128598</v>
      </c>
      <c r="DH12" s="369">
        <f t="shared" si="1"/>
        <v>-21398043</v>
      </c>
    </row>
    <row r="13" spans="1:113">
      <c r="A13" s="357" t="str">
        <f t="shared" si="0"/>
        <v>4074061</v>
      </c>
      <c r="B13" s="350" t="s">
        <v>1272</v>
      </c>
      <c r="C13" s="335" t="s">
        <v>955</v>
      </c>
      <c r="D13" s="367">
        <v>-603</v>
      </c>
      <c r="E13" s="367">
        <v>-603</v>
      </c>
      <c r="F13" s="367">
        <v>-603</v>
      </c>
      <c r="G13" s="367">
        <v>-603</v>
      </c>
      <c r="H13" s="367">
        <v>-603</v>
      </c>
      <c r="I13" s="367">
        <v>-603</v>
      </c>
      <c r="J13" s="367">
        <v>-603</v>
      </c>
      <c r="K13" s="367">
        <v>-603</v>
      </c>
      <c r="L13" s="367">
        <v>-603</v>
      </c>
      <c r="M13" s="367">
        <v>-603</v>
      </c>
      <c r="N13" s="367">
        <v>-603</v>
      </c>
      <c r="O13" s="368">
        <v>-603</v>
      </c>
      <c r="P13" s="48">
        <v>-51648</v>
      </c>
      <c r="Q13" s="48">
        <v>-51648</v>
      </c>
      <c r="R13" s="48">
        <v>-51648</v>
      </c>
      <c r="S13" s="48">
        <v>-51648</v>
      </c>
      <c r="T13" s="48">
        <v>-51648</v>
      </c>
      <c r="U13" s="48">
        <v>-51648</v>
      </c>
      <c r="V13" s="48">
        <v>-51648</v>
      </c>
      <c r="W13" s="48">
        <v>-51648</v>
      </c>
      <c r="X13" s="48">
        <v>-51648</v>
      </c>
      <c r="Y13" s="48">
        <v>-51648</v>
      </c>
      <c r="Z13" s="48">
        <v>-51648</v>
      </c>
      <c r="AA13" s="48">
        <v>-51642</v>
      </c>
      <c r="AB13" s="48">
        <v>-67872</v>
      </c>
      <c r="AC13" s="48">
        <v>-67872</v>
      </c>
      <c r="AD13" s="48">
        <v>-67872</v>
      </c>
      <c r="AE13" s="48">
        <v>-67872</v>
      </c>
      <c r="AF13" s="48">
        <v>-67872</v>
      </c>
      <c r="AG13" s="48">
        <v>-67872</v>
      </c>
      <c r="AH13" s="48">
        <v>-67872</v>
      </c>
      <c r="AI13" s="48">
        <v>-67872</v>
      </c>
      <c r="AJ13" s="48">
        <v>-67872</v>
      </c>
      <c r="AK13" s="48">
        <v>-67872</v>
      </c>
      <c r="AL13" s="48">
        <v>-67872</v>
      </c>
      <c r="AM13" s="48">
        <v>-67866</v>
      </c>
      <c r="AN13" s="48">
        <v>-90557</v>
      </c>
      <c r="AO13" s="48">
        <v>-90557</v>
      </c>
      <c r="AP13" s="48">
        <v>-90557</v>
      </c>
      <c r="AQ13" s="48">
        <v>-90557</v>
      </c>
      <c r="AR13" s="48">
        <v>-90557</v>
      </c>
      <c r="AS13" s="48">
        <v>-90557</v>
      </c>
      <c r="AT13" s="48">
        <v>-90557</v>
      </c>
      <c r="AU13" s="48">
        <v>-90557</v>
      </c>
      <c r="AV13" s="48">
        <v>-90557</v>
      </c>
      <c r="AW13" s="48">
        <v>-90557</v>
      </c>
      <c r="AX13" s="48">
        <v>-90557</v>
      </c>
      <c r="AY13" s="48">
        <v>-90558</v>
      </c>
      <c r="AZ13" s="48">
        <v>0</v>
      </c>
      <c r="BA13" s="48">
        <v>0</v>
      </c>
      <c r="BB13" s="48">
        <v>0</v>
      </c>
      <c r="BC13" s="48">
        <v>0</v>
      </c>
      <c r="BD13" s="48">
        <v>0</v>
      </c>
      <c r="BE13" s="48">
        <v>0</v>
      </c>
      <c r="BF13" s="48">
        <v>0</v>
      </c>
      <c r="BG13" s="48">
        <v>0</v>
      </c>
      <c r="BH13" s="48">
        <v>0</v>
      </c>
      <c r="BI13" s="48">
        <v>0</v>
      </c>
      <c r="BJ13" s="48">
        <v>0</v>
      </c>
      <c r="BK13" s="48">
        <v>0</v>
      </c>
      <c r="BL13" s="48">
        <v>-188849</v>
      </c>
      <c r="BM13" s="48">
        <v>-188849</v>
      </c>
      <c r="BN13" s="48">
        <v>-188849</v>
      </c>
      <c r="BO13" s="48">
        <v>-188849</v>
      </c>
      <c r="BP13" s="48">
        <v>-188849</v>
      </c>
      <c r="BQ13" s="48">
        <v>-188849</v>
      </c>
      <c r="BR13" s="48">
        <v>-188849</v>
      </c>
      <c r="BS13" s="48">
        <v>-188849</v>
      </c>
      <c r="BT13" s="48">
        <v>-188849</v>
      </c>
      <c r="BU13" s="48">
        <v>-188849</v>
      </c>
      <c r="BV13" s="48">
        <v>-188849</v>
      </c>
      <c r="BW13" s="48">
        <v>-188844</v>
      </c>
      <c r="BX13" s="48">
        <v>-147158</v>
      </c>
      <c r="BY13" s="48">
        <v>-147158</v>
      </c>
      <c r="BZ13" s="48">
        <v>-147158</v>
      </c>
      <c r="CA13" s="48">
        <v>-147158</v>
      </c>
      <c r="CB13" s="48">
        <v>-147158</v>
      </c>
      <c r="CC13" s="48">
        <v>-147158</v>
      </c>
      <c r="CD13" s="48">
        <v>-147158</v>
      </c>
      <c r="CE13" s="48">
        <v>-147158</v>
      </c>
      <c r="CF13" s="48">
        <v>-147158</v>
      </c>
      <c r="CG13" s="48">
        <v>-147158</v>
      </c>
      <c r="CH13" s="48">
        <v>-147158</v>
      </c>
      <c r="CI13" s="48">
        <v>-147162</v>
      </c>
      <c r="CJ13" s="48">
        <v>-107304</v>
      </c>
      <c r="CK13" s="48">
        <v>-107304</v>
      </c>
      <c r="CL13" s="48">
        <v>-107304</v>
      </c>
      <c r="CM13" s="48">
        <v>-107304</v>
      </c>
      <c r="CN13" s="48">
        <v>-107304</v>
      </c>
      <c r="CO13" s="48">
        <v>-107304</v>
      </c>
      <c r="CP13" s="48">
        <v>-107304</v>
      </c>
      <c r="CQ13" s="48">
        <v>-107304</v>
      </c>
      <c r="CR13" s="48">
        <v>-107304</v>
      </c>
      <c r="CS13" s="48">
        <v>-107304</v>
      </c>
      <c r="CT13" s="48">
        <v>-107304</v>
      </c>
      <c r="CU13" s="48">
        <v>-107299</v>
      </c>
      <c r="CV13" s="48">
        <v>0</v>
      </c>
      <c r="CW13" s="48">
        <v>0</v>
      </c>
      <c r="CX13" s="48">
        <v>0</v>
      </c>
      <c r="CY13" s="48">
        <v>0</v>
      </c>
      <c r="CZ13" s="48">
        <v>0</v>
      </c>
      <c r="DA13" s="48">
        <v>0</v>
      </c>
      <c r="DB13" s="48">
        <v>0</v>
      </c>
      <c r="DC13" s="48">
        <v>0</v>
      </c>
      <c r="DD13" s="48">
        <v>0</v>
      </c>
      <c r="DE13" s="48">
        <f>VLOOKUP($C13,'[2]Analysis 1'!$C$5:$DG$1025,107,FALSE)</f>
        <v>0</v>
      </c>
      <c r="DF13" s="48">
        <f>VLOOKUP($C13,'[2]Analysis 1'!$C$5:$DG$1025,108,FALSE)</f>
        <v>0</v>
      </c>
      <c r="DG13" s="48">
        <f>VLOOKUP($C13,'[2]Analysis 1'!$C$5:$DG$1025,109,FALSE)</f>
        <v>0</v>
      </c>
      <c r="DH13" s="369">
        <f t="shared" si="1"/>
        <v>0</v>
      </c>
    </row>
    <row r="14" spans="1:113">
      <c r="A14" s="357" t="str">
        <f t="shared" si="0"/>
        <v>4074071</v>
      </c>
      <c r="B14" s="350" t="s">
        <v>1270</v>
      </c>
      <c r="C14" s="335" t="s">
        <v>956</v>
      </c>
      <c r="D14" s="367">
        <v>-449</v>
      </c>
      <c r="E14" s="367">
        <v>0</v>
      </c>
      <c r="F14" s="367">
        <v>0</v>
      </c>
      <c r="G14" s="367">
        <v>120</v>
      </c>
      <c r="H14" s="367">
        <v>0</v>
      </c>
      <c r="I14" s="367">
        <v>-16168</v>
      </c>
      <c r="J14" s="367">
        <v>-39326</v>
      </c>
      <c r="K14" s="367">
        <v>-64938</v>
      </c>
      <c r="L14" s="367">
        <v>-69921</v>
      </c>
      <c r="M14" s="367">
        <v>-78854</v>
      </c>
      <c r="N14" s="367">
        <v>-71943</v>
      </c>
      <c r="O14" s="368">
        <v>-30478</v>
      </c>
      <c r="P14" s="48">
        <v>-322</v>
      </c>
      <c r="Q14" s="48">
        <v>0</v>
      </c>
      <c r="R14" s="48">
        <v>0</v>
      </c>
      <c r="S14" s="48">
        <v>0</v>
      </c>
      <c r="T14" s="48">
        <v>-48410.36</v>
      </c>
      <c r="U14" s="48">
        <v>-53010.63</v>
      </c>
      <c r="V14" s="48">
        <v>-85048.69</v>
      </c>
      <c r="W14" s="48">
        <v>-88295.52</v>
      </c>
      <c r="X14" s="48">
        <v>-102172.72</v>
      </c>
      <c r="Y14" s="48">
        <v>-103060.91</v>
      </c>
      <c r="Z14" s="48">
        <v>-91061.32</v>
      </c>
      <c r="AA14" s="48">
        <v>-61046.91</v>
      </c>
      <c r="AB14" s="48">
        <v>-436</v>
      </c>
      <c r="AC14" s="48">
        <v>0</v>
      </c>
      <c r="AD14" s="48">
        <v>0</v>
      </c>
      <c r="AE14" s="48">
        <v>0</v>
      </c>
      <c r="AF14" s="48">
        <v>-27493</v>
      </c>
      <c r="AG14" s="48">
        <v>-74489</v>
      </c>
      <c r="AH14" s="48">
        <v>-102321</v>
      </c>
      <c r="AI14" s="48">
        <v>-137545</v>
      </c>
      <c r="AJ14" s="48">
        <v>-124338</v>
      </c>
      <c r="AK14" s="48">
        <v>-176440</v>
      </c>
      <c r="AL14" s="48">
        <v>-128508</v>
      </c>
      <c r="AM14" s="48">
        <v>138494</v>
      </c>
      <c r="AN14" s="48">
        <v>-59322</v>
      </c>
      <c r="AO14" s="48">
        <v>-45253</v>
      </c>
      <c r="AP14" s="48">
        <v>-109905</v>
      </c>
      <c r="AQ14" s="48">
        <v>-137919</v>
      </c>
      <c r="AR14" s="48">
        <v>-214731</v>
      </c>
      <c r="AS14" s="48">
        <v>-259250</v>
      </c>
      <c r="AT14" s="48">
        <v>-295998</v>
      </c>
      <c r="AU14" s="48">
        <v>-316710</v>
      </c>
      <c r="AV14" s="48">
        <v>-298228</v>
      </c>
      <c r="AW14" s="48">
        <v>-353946</v>
      </c>
      <c r="AX14" s="48">
        <v>-315658</v>
      </c>
      <c r="AY14" s="48">
        <v>-337518</v>
      </c>
      <c r="AZ14" s="48">
        <v>0</v>
      </c>
      <c r="BA14" s="48">
        <v>0</v>
      </c>
      <c r="BB14" s="48">
        <v>0</v>
      </c>
      <c r="BC14" s="48">
        <v>0</v>
      </c>
      <c r="BD14" s="48">
        <v>0</v>
      </c>
      <c r="BE14" s="48">
        <v>-30851</v>
      </c>
      <c r="BF14" s="48">
        <v>-136031</v>
      </c>
      <c r="BG14" s="48">
        <v>-178782</v>
      </c>
      <c r="BH14" s="48">
        <v>-148132</v>
      </c>
      <c r="BI14" s="48">
        <v>-259413</v>
      </c>
      <c r="BJ14" s="48">
        <v>-216793</v>
      </c>
      <c r="BK14" s="48">
        <v>-7586</v>
      </c>
      <c r="BL14" s="48">
        <v>0</v>
      </c>
      <c r="BM14" s="48">
        <v>-55071</v>
      </c>
      <c r="BN14" s="48">
        <v>0</v>
      </c>
      <c r="BO14" s="48">
        <v>0</v>
      </c>
      <c r="BP14" s="48">
        <v>-117401</v>
      </c>
      <c r="BQ14" s="48">
        <v>-275453</v>
      </c>
      <c r="BR14" s="48">
        <v>-346744</v>
      </c>
      <c r="BS14" s="48">
        <v>-389234</v>
      </c>
      <c r="BT14" s="48">
        <v>-398114</v>
      </c>
      <c r="BU14" s="48">
        <v>-386221</v>
      </c>
      <c r="BV14" s="48">
        <v>-370016</v>
      </c>
      <c r="BW14" s="48">
        <v>-399518</v>
      </c>
      <c r="BX14" s="48">
        <v>0</v>
      </c>
      <c r="BY14" s="48">
        <v>0</v>
      </c>
      <c r="BZ14" s="48">
        <v>0</v>
      </c>
      <c r="CA14" s="48">
        <v>-280180</v>
      </c>
      <c r="CB14" s="48">
        <v>-459211</v>
      </c>
      <c r="CC14" s="48">
        <v>-484349</v>
      </c>
      <c r="CD14" s="48">
        <v>-616565</v>
      </c>
      <c r="CE14" s="48">
        <v>-651473</v>
      </c>
      <c r="CF14" s="48">
        <v>-688199</v>
      </c>
      <c r="CG14" s="48">
        <v>-636298</v>
      </c>
      <c r="CH14" s="48">
        <v>-473631</v>
      </c>
      <c r="CI14" s="48">
        <v>-115872</v>
      </c>
      <c r="CJ14" s="48">
        <v>0</v>
      </c>
      <c r="CK14" s="48">
        <v>0</v>
      </c>
      <c r="CL14" s="48">
        <v>0</v>
      </c>
      <c r="CM14" s="48">
        <v>0</v>
      </c>
      <c r="CN14" s="48">
        <v>-8166</v>
      </c>
      <c r="CO14" s="48">
        <v>-53038</v>
      </c>
      <c r="CP14" s="48">
        <v>-83304</v>
      </c>
      <c r="CQ14" s="48">
        <v>-133213</v>
      </c>
      <c r="CR14" s="48">
        <v>-129123</v>
      </c>
      <c r="CS14" s="48">
        <v>-168064</v>
      </c>
      <c r="CT14" s="48">
        <v>-138930</v>
      </c>
      <c r="CU14" s="48">
        <v>-61927</v>
      </c>
      <c r="CV14" s="48">
        <v>0</v>
      </c>
      <c r="CW14" s="48">
        <v>0</v>
      </c>
      <c r="CX14" s="48">
        <v>0</v>
      </c>
      <c r="CY14" s="48">
        <v>0</v>
      </c>
      <c r="CZ14" s="48">
        <v>-19463</v>
      </c>
      <c r="DA14" s="48">
        <v>-85175</v>
      </c>
      <c r="DB14" s="48">
        <v>-129179</v>
      </c>
      <c r="DC14" s="48">
        <v>-152449</v>
      </c>
      <c r="DD14" s="48">
        <v>-153110</v>
      </c>
      <c r="DE14" s="48">
        <f>VLOOKUP($C14,'[2]Analysis 1'!$C$5:$DG$1025,107,FALSE)</f>
        <v>-135564</v>
      </c>
      <c r="DF14" s="48">
        <f>VLOOKUP($C14,'[2]Analysis 1'!$C$5:$DG$1025,108,FALSE)</f>
        <v>-126151</v>
      </c>
      <c r="DG14" s="48">
        <f>VLOOKUP($C14,'[2]Analysis 1'!$C$5:$DG$1025,109,FALSE)</f>
        <v>-71532</v>
      </c>
      <c r="DH14" s="369">
        <f t="shared" si="1"/>
        <v>-872623</v>
      </c>
    </row>
    <row r="15" spans="1:113">
      <c r="A15" s="357" t="str">
        <f>+B15</f>
        <v>4074072</v>
      </c>
      <c r="B15" s="350" t="s">
        <v>2267</v>
      </c>
      <c r="C15" s="335" t="s">
        <v>2268</v>
      </c>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v>-119764</v>
      </c>
      <c r="BM15" s="48">
        <v>-119764</v>
      </c>
      <c r="BN15" s="48">
        <v>-119764</v>
      </c>
      <c r="BO15" s="48">
        <v>-119764</v>
      </c>
      <c r="BP15" s="48">
        <v>-119764</v>
      </c>
      <c r="BQ15" s="48">
        <v>-119764</v>
      </c>
      <c r="BR15" s="48">
        <v>-119764</v>
      </c>
      <c r="BS15" s="48">
        <v>-119764</v>
      </c>
      <c r="BT15" s="48">
        <v>-119764</v>
      </c>
      <c r="BU15" s="48">
        <v>-119764</v>
      </c>
      <c r="BV15" s="48">
        <v>-119764</v>
      </c>
      <c r="BW15" s="48">
        <v>-119760</v>
      </c>
      <c r="BX15" s="48">
        <v>0</v>
      </c>
      <c r="BY15" s="48">
        <v>0</v>
      </c>
      <c r="BZ15" s="48">
        <v>0</v>
      </c>
      <c r="CA15" s="48">
        <v>0</v>
      </c>
      <c r="CB15" s="48">
        <v>0</v>
      </c>
      <c r="CC15" s="48">
        <v>0</v>
      </c>
      <c r="CD15" s="48">
        <v>0</v>
      </c>
      <c r="CE15" s="48">
        <v>0</v>
      </c>
      <c r="CF15" s="48">
        <v>0</v>
      </c>
      <c r="CG15" s="48">
        <v>0</v>
      </c>
      <c r="CH15" s="48">
        <v>0</v>
      </c>
      <c r="CI15" s="48">
        <v>0</v>
      </c>
      <c r="CJ15" s="48">
        <v>0</v>
      </c>
      <c r="CK15" s="48">
        <v>0</v>
      </c>
      <c r="CL15" s="48">
        <v>0</v>
      </c>
      <c r="CM15" s="48">
        <v>0</v>
      </c>
      <c r="CN15" s="48">
        <v>0</v>
      </c>
      <c r="CO15" s="48">
        <v>0</v>
      </c>
      <c r="CP15" s="48">
        <v>0</v>
      </c>
      <c r="CQ15" s="48">
        <v>0</v>
      </c>
      <c r="CR15" s="48">
        <v>0</v>
      </c>
      <c r="CS15" s="48">
        <v>0</v>
      </c>
      <c r="CT15" s="48">
        <v>0</v>
      </c>
      <c r="CU15" s="48">
        <v>0</v>
      </c>
      <c r="CV15" s="48">
        <v>0</v>
      </c>
      <c r="CW15" s="48">
        <v>0</v>
      </c>
      <c r="CX15" s="48">
        <v>0</v>
      </c>
      <c r="CY15" s="48">
        <v>0</v>
      </c>
      <c r="CZ15" s="48">
        <v>0</v>
      </c>
      <c r="DA15" s="48">
        <v>0</v>
      </c>
      <c r="DB15" s="48">
        <v>0</v>
      </c>
      <c r="DC15" s="48">
        <v>0</v>
      </c>
      <c r="DD15" s="48">
        <v>0</v>
      </c>
      <c r="DE15" s="48">
        <f>VLOOKUP($C15,'[2]Analysis 1'!$C$5:$DG$1025,107,FALSE)</f>
        <v>0</v>
      </c>
      <c r="DF15" s="48">
        <f>VLOOKUP($C15,'[2]Analysis 1'!$C$5:$DG$1025,108,FALSE)</f>
        <v>0</v>
      </c>
      <c r="DG15" s="48">
        <f>VLOOKUP($C15,'[2]Analysis 1'!$C$5:$DG$1025,109,FALSE)</f>
        <v>0</v>
      </c>
      <c r="DH15" s="369">
        <f t="shared" si="1"/>
        <v>0</v>
      </c>
    </row>
    <row r="16" spans="1:113">
      <c r="A16" s="357" t="str">
        <f t="shared" si="0"/>
        <v>4074140</v>
      </c>
      <c r="B16" s="350" t="s">
        <v>1268</v>
      </c>
      <c r="C16" s="335" t="s">
        <v>957</v>
      </c>
      <c r="D16" s="340">
        <v>0</v>
      </c>
      <c r="E16" s="340">
        <v>0</v>
      </c>
      <c r="F16" s="340">
        <v>0</v>
      </c>
      <c r="G16" s="340">
        <v>0</v>
      </c>
      <c r="H16" s="340">
        <v>0</v>
      </c>
      <c r="I16" s="340">
        <v>0</v>
      </c>
      <c r="J16" s="340">
        <v>-512011</v>
      </c>
      <c r="K16" s="340">
        <v>-202925</v>
      </c>
      <c r="L16" s="340">
        <v>-291582</v>
      </c>
      <c r="M16" s="340">
        <v>-108285</v>
      </c>
      <c r="N16" s="340">
        <v>0</v>
      </c>
      <c r="O16" s="341">
        <v>0</v>
      </c>
      <c r="P16" s="48">
        <v>0</v>
      </c>
      <c r="Q16" s="48">
        <v>0</v>
      </c>
      <c r="R16" s="48">
        <v>0</v>
      </c>
      <c r="S16" s="48">
        <v>0</v>
      </c>
      <c r="T16" s="48">
        <v>-65065</v>
      </c>
      <c r="U16" s="48">
        <v>0</v>
      </c>
      <c r="V16" s="48">
        <v>-19797</v>
      </c>
      <c r="W16" s="48">
        <v>-208974</v>
      </c>
      <c r="X16" s="48">
        <v>-90502</v>
      </c>
      <c r="Y16" s="48">
        <v>-380393</v>
      </c>
      <c r="Z16" s="48">
        <v>0</v>
      </c>
      <c r="AA16" s="48">
        <v>0</v>
      </c>
      <c r="AB16" s="48">
        <v>0</v>
      </c>
      <c r="AC16" s="48">
        <v>0</v>
      </c>
      <c r="AD16" s="48">
        <v>0</v>
      </c>
      <c r="AE16" s="48">
        <v>0</v>
      </c>
      <c r="AF16" s="48">
        <v>-144189</v>
      </c>
      <c r="AG16" s="48">
        <v>-195014</v>
      </c>
      <c r="AH16" s="48">
        <v>-128184</v>
      </c>
      <c r="AI16" s="48">
        <v>-619807</v>
      </c>
      <c r="AJ16" s="48">
        <v>-41764</v>
      </c>
      <c r="AK16" s="48">
        <v>-427683</v>
      </c>
      <c r="AL16" s="48">
        <v>0</v>
      </c>
      <c r="AM16" s="48">
        <v>-302247</v>
      </c>
      <c r="AN16" s="48">
        <v>0</v>
      </c>
      <c r="AO16" s="48">
        <v>0</v>
      </c>
      <c r="AP16" s="48">
        <v>0</v>
      </c>
      <c r="AQ16" s="48">
        <v>0</v>
      </c>
      <c r="AR16" s="48">
        <v>-454094</v>
      </c>
      <c r="AS16" s="48">
        <v>-640424</v>
      </c>
      <c r="AT16" s="48">
        <v>-672190</v>
      </c>
      <c r="AU16" s="48">
        <v>-842391</v>
      </c>
      <c r="AV16" s="48">
        <v>-414828</v>
      </c>
      <c r="AW16" s="48">
        <v>-1213757</v>
      </c>
      <c r="AX16" s="48">
        <v>-407876</v>
      </c>
      <c r="AY16" s="48">
        <v>0</v>
      </c>
      <c r="AZ16" s="48">
        <v>0</v>
      </c>
      <c r="BA16" s="48">
        <v>0</v>
      </c>
      <c r="BB16" s="48">
        <v>-472880</v>
      </c>
      <c r="BC16" s="48">
        <v>-1178357</v>
      </c>
      <c r="BD16" s="48">
        <v>0</v>
      </c>
      <c r="BE16" s="48">
        <v>-111104</v>
      </c>
      <c r="BF16" s="48">
        <v>-1268349</v>
      </c>
      <c r="BG16" s="48">
        <v>-712465</v>
      </c>
      <c r="BH16" s="48">
        <v>0</v>
      </c>
      <c r="BI16" s="48">
        <v>-1217780</v>
      </c>
      <c r="BJ16" s="48">
        <v>-51668</v>
      </c>
      <c r="BK16" s="48">
        <v>0</v>
      </c>
      <c r="BL16" s="48">
        <v>0</v>
      </c>
      <c r="BM16" s="48">
        <v>0</v>
      </c>
      <c r="BN16" s="48">
        <v>0</v>
      </c>
      <c r="BO16" s="48">
        <v>0</v>
      </c>
      <c r="BP16" s="48">
        <v>0</v>
      </c>
      <c r="BQ16" s="48">
        <v>-677865</v>
      </c>
      <c r="BR16" s="48">
        <v>-1098139</v>
      </c>
      <c r="BS16" s="48">
        <v>-356143</v>
      </c>
      <c r="BT16" s="48">
        <v>0</v>
      </c>
      <c r="BU16" s="48">
        <v>-563046</v>
      </c>
      <c r="BV16" s="48">
        <v>-209982</v>
      </c>
      <c r="BW16" s="48">
        <v>0</v>
      </c>
      <c r="BX16" s="48">
        <v>0</v>
      </c>
      <c r="BY16" s="48">
        <v>0</v>
      </c>
      <c r="BZ16" s="48">
        <v>0</v>
      </c>
      <c r="CA16" s="48">
        <v>-260945</v>
      </c>
      <c r="CB16" s="48">
        <v>-254313</v>
      </c>
      <c r="CC16" s="48">
        <v>-315452</v>
      </c>
      <c r="CD16" s="48">
        <v>-263835</v>
      </c>
      <c r="CE16" s="48">
        <v>-496526</v>
      </c>
      <c r="CF16" s="48">
        <v>-790149</v>
      </c>
      <c r="CG16" s="48">
        <v>-903910</v>
      </c>
      <c r="CH16" s="48">
        <v>-133416</v>
      </c>
      <c r="CI16" s="48">
        <v>0</v>
      </c>
      <c r="CJ16" s="48">
        <v>0</v>
      </c>
      <c r="CK16" s="48">
        <v>0</v>
      </c>
      <c r="CL16" s="48">
        <v>0</v>
      </c>
      <c r="CM16" s="48">
        <v>1900</v>
      </c>
      <c r="CN16" s="48">
        <v>0</v>
      </c>
      <c r="CO16" s="48">
        <v>-12226</v>
      </c>
      <c r="CP16" s="48">
        <v>-300183</v>
      </c>
      <c r="CQ16" s="48">
        <v>0</v>
      </c>
      <c r="CR16" s="48">
        <v>-504358</v>
      </c>
      <c r="CS16" s="48">
        <v>-391595</v>
      </c>
      <c r="CT16" s="48">
        <v>-140516</v>
      </c>
      <c r="CU16" s="48">
        <v>0</v>
      </c>
      <c r="CV16" s="48">
        <v>0</v>
      </c>
      <c r="CW16" s="48">
        <v>0</v>
      </c>
      <c r="CX16" s="48">
        <v>-627335</v>
      </c>
      <c r="CY16" s="48">
        <v>0</v>
      </c>
      <c r="CZ16" s="48">
        <v>0</v>
      </c>
      <c r="DA16" s="48">
        <v>0</v>
      </c>
      <c r="DB16" s="48">
        <v>-1622951</v>
      </c>
      <c r="DC16" s="48">
        <v>-525365</v>
      </c>
      <c r="DD16" s="48">
        <v>-891790</v>
      </c>
      <c r="DE16" s="48">
        <f>VLOOKUP($C16,'[2]Analysis 1'!$C$5:$DG$1025,107,FALSE)</f>
        <v>-480159</v>
      </c>
      <c r="DF16" s="48">
        <f>VLOOKUP($C16,'[2]Analysis 1'!$C$5:$DG$1025,108,FALSE)</f>
        <v>-470477</v>
      </c>
      <c r="DG16" s="48">
        <f>VLOOKUP($C16,'[2]Analysis 1'!$C$5:$DG$1025,109,FALSE)</f>
        <v>-96049</v>
      </c>
      <c r="DH16" s="369">
        <f t="shared" si="1"/>
        <v>-4714126</v>
      </c>
    </row>
    <row r="17" spans="1:112">
      <c r="A17" s="357" t="str">
        <f t="shared" si="0"/>
        <v>4074141</v>
      </c>
      <c r="B17" s="350" t="s">
        <v>1269</v>
      </c>
      <c r="C17" s="335" t="s">
        <v>1390</v>
      </c>
      <c r="D17" s="340"/>
      <c r="E17" s="340"/>
      <c r="F17" s="340"/>
      <c r="G17" s="340"/>
      <c r="H17" s="340"/>
      <c r="I17" s="340"/>
      <c r="J17" s="340"/>
      <c r="K17" s="340"/>
      <c r="L17" s="340"/>
      <c r="M17" s="340"/>
      <c r="N17" s="340"/>
      <c r="O17" s="341"/>
      <c r="P17" s="48">
        <v>-25795</v>
      </c>
      <c r="Q17" s="48">
        <v>-25795</v>
      </c>
      <c r="R17" s="48">
        <v>-25795</v>
      </c>
      <c r="S17" s="48">
        <v>-25795</v>
      </c>
      <c r="T17" s="48">
        <v>-25795</v>
      </c>
      <c r="U17" s="48">
        <v>-25795</v>
      </c>
      <c r="V17" s="48">
        <v>-25795</v>
      </c>
      <c r="W17" s="48">
        <v>-25795</v>
      </c>
      <c r="X17" s="48">
        <v>-25795</v>
      </c>
      <c r="Y17" s="48">
        <v>-25795</v>
      </c>
      <c r="Z17" s="48">
        <v>-25795</v>
      </c>
      <c r="AA17" s="48">
        <v>-25799</v>
      </c>
      <c r="AB17" s="48">
        <v>-178038</v>
      </c>
      <c r="AC17" s="48">
        <v>-178038</v>
      </c>
      <c r="AD17" s="48">
        <v>-178038</v>
      </c>
      <c r="AE17" s="48">
        <v>-178038</v>
      </c>
      <c r="AF17" s="48">
        <v>-178038</v>
      </c>
      <c r="AG17" s="48">
        <v>-178038</v>
      </c>
      <c r="AH17" s="48">
        <v>-178038</v>
      </c>
      <c r="AI17" s="48">
        <v>-178038</v>
      </c>
      <c r="AJ17" s="48">
        <v>-178038</v>
      </c>
      <c r="AK17" s="48">
        <v>-178038</v>
      </c>
      <c r="AL17" s="48">
        <v>-178038</v>
      </c>
      <c r="AM17" s="48">
        <v>-178042</v>
      </c>
      <c r="AN17" s="48">
        <v>0</v>
      </c>
      <c r="AO17" s="48">
        <v>0</v>
      </c>
      <c r="AP17" s="48">
        <v>0</v>
      </c>
      <c r="AQ17" s="48">
        <v>0</v>
      </c>
      <c r="AR17" s="48">
        <v>0</v>
      </c>
      <c r="AS17" s="48">
        <v>0</v>
      </c>
      <c r="AT17" s="48">
        <v>0</v>
      </c>
      <c r="AU17" s="48">
        <v>0</v>
      </c>
      <c r="AV17" s="48">
        <v>0</v>
      </c>
      <c r="AW17" s="48"/>
      <c r="AX17" s="48"/>
      <c r="AY17" s="48"/>
      <c r="AZ17" s="48">
        <v>0</v>
      </c>
      <c r="BA17" s="48">
        <v>0</v>
      </c>
      <c r="BB17" s="48">
        <v>0</v>
      </c>
      <c r="BC17" s="48">
        <v>0</v>
      </c>
      <c r="BD17" s="48">
        <v>0</v>
      </c>
      <c r="BE17" s="48">
        <v>0</v>
      </c>
      <c r="BF17" s="48">
        <v>0</v>
      </c>
      <c r="BG17" s="48">
        <v>0</v>
      </c>
      <c r="BH17" s="48">
        <v>0</v>
      </c>
      <c r="BI17" s="48">
        <v>0</v>
      </c>
      <c r="BJ17" s="48">
        <v>0</v>
      </c>
      <c r="BK17" s="48">
        <v>0</v>
      </c>
      <c r="BL17" s="48">
        <v>0</v>
      </c>
      <c r="BM17" s="48">
        <v>0</v>
      </c>
      <c r="BN17" s="48">
        <v>0</v>
      </c>
      <c r="BO17" s="48">
        <v>0</v>
      </c>
      <c r="BP17" s="48">
        <v>0</v>
      </c>
      <c r="BQ17" s="48">
        <v>0</v>
      </c>
      <c r="BR17" s="48">
        <v>0</v>
      </c>
      <c r="BS17" s="48">
        <v>0</v>
      </c>
      <c r="BT17" s="48">
        <v>0</v>
      </c>
      <c r="BU17" s="48">
        <v>0</v>
      </c>
      <c r="BV17" s="48">
        <v>0</v>
      </c>
      <c r="BW17" s="48">
        <v>0</v>
      </c>
      <c r="BX17" s="48">
        <v>0</v>
      </c>
      <c r="BY17" s="48">
        <v>0</v>
      </c>
      <c r="BZ17" s="48">
        <v>0</v>
      </c>
      <c r="CA17" s="48">
        <v>0</v>
      </c>
      <c r="CB17" s="48">
        <v>0</v>
      </c>
      <c r="CC17" s="48">
        <v>0</v>
      </c>
      <c r="CD17" s="48">
        <v>0</v>
      </c>
      <c r="CE17" s="48">
        <v>0</v>
      </c>
      <c r="CF17" s="48">
        <v>0</v>
      </c>
      <c r="CG17" s="48">
        <v>0</v>
      </c>
      <c r="CH17" s="48">
        <v>0</v>
      </c>
      <c r="CI17" s="48">
        <v>0</v>
      </c>
      <c r="CJ17" s="48">
        <v>0</v>
      </c>
      <c r="CK17" s="48">
        <v>0</v>
      </c>
      <c r="CL17" s="48">
        <v>0</v>
      </c>
      <c r="CM17" s="48">
        <v>0</v>
      </c>
      <c r="CN17" s="48">
        <v>0</v>
      </c>
      <c r="CO17" s="48">
        <v>0</v>
      </c>
      <c r="CP17" s="48">
        <v>0</v>
      </c>
      <c r="CQ17" s="48">
        <v>0</v>
      </c>
      <c r="CR17" s="48">
        <v>0</v>
      </c>
      <c r="CS17" s="48">
        <v>0</v>
      </c>
      <c r="CT17" s="48">
        <v>0</v>
      </c>
      <c r="CU17" s="48">
        <v>0</v>
      </c>
      <c r="CV17" s="48">
        <v>0</v>
      </c>
      <c r="CW17" s="48">
        <v>0</v>
      </c>
      <c r="CX17" s="48">
        <v>0</v>
      </c>
      <c r="CY17" s="48">
        <v>0</v>
      </c>
      <c r="CZ17" s="48">
        <v>0</v>
      </c>
      <c r="DA17" s="48">
        <v>0</v>
      </c>
      <c r="DB17" s="48">
        <v>0</v>
      </c>
      <c r="DC17" s="48">
        <v>0</v>
      </c>
      <c r="DD17" s="48">
        <v>0</v>
      </c>
      <c r="DE17" s="48">
        <f>VLOOKUP($C17,'[2]Analysis 1'!$C$5:$DG$1025,107,FALSE)</f>
        <v>0</v>
      </c>
      <c r="DF17" s="48">
        <f>VLOOKUP($C17,'[2]Analysis 1'!$C$5:$DG$1025,108,FALSE)</f>
        <v>0</v>
      </c>
      <c r="DG17" s="48">
        <f>VLOOKUP($C17,'[2]Analysis 1'!$C$5:$DG$1025,109,FALSE)</f>
        <v>0</v>
      </c>
      <c r="DH17" s="369">
        <f t="shared" si="1"/>
        <v>0</v>
      </c>
    </row>
    <row r="18" spans="1:112">
      <c r="A18" s="357" t="str">
        <f>+B18</f>
        <v>4073212</v>
      </c>
      <c r="B18" s="350" t="s">
        <v>2220</v>
      </c>
      <c r="C18" s="335" t="s">
        <v>2210</v>
      </c>
      <c r="D18" s="340"/>
      <c r="E18" s="340"/>
      <c r="F18" s="340"/>
      <c r="G18" s="340"/>
      <c r="H18" s="340"/>
      <c r="I18" s="340"/>
      <c r="J18" s="340"/>
      <c r="K18" s="340"/>
      <c r="L18" s="340"/>
      <c r="M18" s="340"/>
      <c r="N18" s="340"/>
      <c r="O18" s="341"/>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v>0</v>
      </c>
      <c r="BA18" s="48">
        <v>1338154</v>
      </c>
      <c r="BB18" s="48">
        <v>1131555</v>
      </c>
      <c r="BC18" s="48">
        <v>1167235</v>
      </c>
      <c r="BD18" s="48">
        <v>283526</v>
      </c>
      <c r="BE18" s="48">
        <v>721436</v>
      </c>
      <c r="BF18" s="48">
        <v>711747</v>
      </c>
      <c r="BG18" s="48">
        <v>700410</v>
      </c>
      <c r="BH18" s="48">
        <v>-6054063</v>
      </c>
      <c r="BI18" s="48">
        <v>0</v>
      </c>
      <c r="BJ18" s="48">
        <v>0</v>
      </c>
      <c r="BK18" s="48">
        <v>0</v>
      </c>
      <c r="BL18" s="48">
        <v>0</v>
      </c>
      <c r="BM18" s="48">
        <v>0</v>
      </c>
      <c r="BN18" s="48">
        <v>0</v>
      </c>
      <c r="BO18" s="48">
        <v>0</v>
      </c>
      <c r="BP18" s="48">
        <v>0</v>
      </c>
      <c r="BQ18" s="48">
        <v>0</v>
      </c>
      <c r="BR18" s="48">
        <v>0</v>
      </c>
      <c r="BS18" s="48">
        <v>0</v>
      </c>
      <c r="BT18" s="48">
        <v>0</v>
      </c>
      <c r="BU18" s="48">
        <v>0</v>
      </c>
      <c r="BV18" s="48">
        <v>0</v>
      </c>
      <c r="BW18" s="48">
        <v>0</v>
      </c>
      <c r="BX18" s="48">
        <v>0</v>
      </c>
      <c r="BY18" s="48">
        <v>0</v>
      </c>
      <c r="BZ18" s="48">
        <v>0</v>
      </c>
      <c r="CA18" s="48">
        <v>0</v>
      </c>
      <c r="CB18" s="48">
        <v>0</v>
      </c>
      <c r="CC18" s="48">
        <v>0</v>
      </c>
      <c r="CD18" s="48">
        <v>0</v>
      </c>
      <c r="CE18" s="48">
        <v>0</v>
      </c>
      <c r="CF18" s="48">
        <v>0</v>
      </c>
      <c r="CG18" s="48">
        <v>0</v>
      </c>
      <c r="CH18" s="48">
        <v>0</v>
      </c>
      <c r="CI18" s="48">
        <v>0</v>
      </c>
      <c r="CJ18" s="48">
        <v>0</v>
      </c>
      <c r="CK18" s="48">
        <v>0</v>
      </c>
      <c r="CL18" s="48">
        <v>0</v>
      </c>
      <c r="CM18" s="48">
        <v>0</v>
      </c>
      <c r="CN18" s="48">
        <v>0</v>
      </c>
      <c r="CO18" s="48">
        <v>0</v>
      </c>
      <c r="CP18" s="48">
        <v>0</v>
      </c>
      <c r="CQ18" s="48">
        <v>0</v>
      </c>
      <c r="CR18" s="48">
        <v>720499.67</v>
      </c>
      <c r="CS18" s="48">
        <v>-31403.51</v>
      </c>
      <c r="CT18" s="48">
        <v>66485.61</v>
      </c>
      <c r="CU18" s="48">
        <v>96002.12</v>
      </c>
      <c r="CV18" s="48">
        <v>0</v>
      </c>
      <c r="CW18" s="48">
        <v>0</v>
      </c>
      <c r="CX18" s="48">
        <v>0</v>
      </c>
      <c r="CY18" s="48">
        <v>0</v>
      </c>
      <c r="CZ18" s="48">
        <v>-7833</v>
      </c>
      <c r="DA18" s="48">
        <v>0</v>
      </c>
      <c r="DB18" s="48">
        <v>0</v>
      </c>
      <c r="DC18" s="48">
        <v>0</v>
      </c>
      <c r="DD18" s="48">
        <v>0</v>
      </c>
      <c r="DE18" s="48">
        <f>VLOOKUP($C18,'[2]Analysis 1'!$C$5:$DG$1025,107,FALSE)</f>
        <v>0</v>
      </c>
      <c r="DF18" s="48">
        <f>VLOOKUP($C18,'[2]Analysis 1'!$C$5:$DG$1025,108,FALSE)</f>
        <v>0</v>
      </c>
      <c r="DG18" s="48">
        <f>VLOOKUP($C18,'[2]Analysis 1'!$C$5:$DG$1025,109,FALSE)</f>
        <v>7833</v>
      </c>
      <c r="DH18" s="369">
        <f t="shared" si="1"/>
        <v>0</v>
      </c>
    </row>
    <row r="19" spans="1:112">
      <c r="A19" s="357" t="str">
        <f>+B19</f>
        <v>4074212</v>
      </c>
      <c r="B19" s="1246" t="s">
        <v>2871</v>
      </c>
      <c r="C19" s="956" t="s">
        <v>2872</v>
      </c>
      <c r="D19" s="340"/>
      <c r="E19" s="340"/>
      <c r="F19" s="340"/>
      <c r="G19" s="340"/>
      <c r="H19" s="340"/>
      <c r="I19" s="340"/>
      <c r="J19" s="340"/>
      <c r="K19" s="340"/>
      <c r="L19" s="340"/>
      <c r="M19" s="340"/>
      <c r="N19" s="340"/>
      <c r="O19" s="341"/>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v>0</v>
      </c>
      <c r="CN19" s="48">
        <v>0</v>
      </c>
      <c r="CO19" s="48">
        <v>0</v>
      </c>
      <c r="CP19" s="48">
        <v>0</v>
      </c>
      <c r="CQ19" s="48">
        <v>0</v>
      </c>
      <c r="CR19" s="48">
        <v>0</v>
      </c>
      <c r="CS19" s="48">
        <v>0</v>
      </c>
      <c r="CT19" s="48">
        <v>0</v>
      </c>
      <c r="CU19" s="48">
        <v>0</v>
      </c>
      <c r="CV19" s="48">
        <v>0</v>
      </c>
      <c r="CW19" s="48">
        <v>0</v>
      </c>
      <c r="CX19" s="48">
        <v>0</v>
      </c>
      <c r="CY19" s="48">
        <v>0</v>
      </c>
      <c r="CZ19" s="48">
        <v>-457013</v>
      </c>
      <c r="DA19" s="48">
        <v>-91402</v>
      </c>
      <c r="DB19" s="48">
        <v>-91402.5</v>
      </c>
      <c r="DC19" s="48">
        <v>-91402.5</v>
      </c>
      <c r="DD19" s="48">
        <v>-91402.5</v>
      </c>
      <c r="DE19" s="48">
        <f>VLOOKUP($C19,'[2]Analysis 1'!$C$5:$DG$1025,107,FALSE)</f>
        <v>-91402.5</v>
      </c>
      <c r="DF19" s="48">
        <f>VLOOKUP($C19,'[2]Analysis 1'!$C$5:$DG$1025,108,FALSE)</f>
        <v>-91402.5</v>
      </c>
      <c r="DG19" s="48">
        <f>VLOOKUP($C19,'[2]Analysis 1'!$C$5:$DG$1025,109,FALSE)</f>
        <v>-99235.5</v>
      </c>
      <c r="DH19" s="369">
        <f t="shared" si="1"/>
        <v>-1104663</v>
      </c>
    </row>
    <row r="20" spans="1:112">
      <c r="A20" s="357" t="str">
        <f t="shared" si="0"/>
        <v>4120000</v>
      </c>
      <c r="B20" s="350" t="s">
        <v>1865</v>
      </c>
      <c r="C20" s="335" t="s">
        <v>1440</v>
      </c>
      <c r="D20" s="340"/>
      <c r="E20" s="340"/>
      <c r="F20" s="340"/>
      <c r="G20" s="340"/>
      <c r="H20" s="340"/>
      <c r="I20" s="340"/>
      <c r="J20" s="340"/>
      <c r="K20" s="340"/>
      <c r="L20" s="340"/>
      <c r="M20" s="340"/>
      <c r="N20" s="340"/>
      <c r="O20" s="341"/>
      <c r="P20" s="48"/>
      <c r="Q20" s="48"/>
      <c r="R20" s="48"/>
      <c r="S20" s="48"/>
      <c r="T20" s="48"/>
      <c r="U20" s="48"/>
      <c r="V20" s="48"/>
      <c r="W20" s="48"/>
      <c r="X20" s="48"/>
      <c r="Y20" s="48"/>
      <c r="Z20" s="48"/>
      <c r="AA20" s="48"/>
      <c r="AB20" s="48"/>
      <c r="AC20" s="48"/>
      <c r="AD20" s="48"/>
      <c r="AE20" s="48">
        <v>0</v>
      </c>
      <c r="AF20" s="457">
        <v>-235245.67</v>
      </c>
      <c r="AG20" s="457">
        <v>-84738.62</v>
      </c>
      <c r="AH20" s="457">
        <v>-84738.62</v>
      </c>
      <c r="AI20" s="457">
        <v>-84738.62</v>
      </c>
      <c r="AJ20" s="457">
        <v>-84738.62</v>
      </c>
      <c r="AK20" s="457">
        <v>-106698.62</v>
      </c>
      <c r="AL20" s="457">
        <v>-106698.62</v>
      </c>
      <c r="AM20" s="457">
        <v>-106698.62</v>
      </c>
      <c r="AN20" s="457">
        <v>-106698.62</v>
      </c>
      <c r="AO20" s="457">
        <v>-106698.62</v>
      </c>
      <c r="AP20" s="457">
        <v>-106735.81</v>
      </c>
      <c r="AQ20" s="457">
        <v>-193421.26</v>
      </c>
      <c r="AR20" s="457">
        <v>-193458.45</v>
      </c>
      <c r="AS20" s="457">
        <v>-193458.45</v>
      </c>
      <c r="AT20" s="457">
        <v>-193458.45</v>
      </c>
      <c r="AU20" s="457">
        <v>-193458.45</v>
      </c>
      <c r="AV20" s="457">
        <v>-193458.45</v>
      </c>
      <c r="AW20" s="457">
        <v>-223789.45</v>
      </c>
      <c r="AX20" s="457">
        <v>-223789.45</v>
      </c>
      <c r="AY20" s="457">
        <v>-223789.45</v>
      </c>
      <c r="AZ20" s="457">
        <v>-223789.45</v>
      </c>
      <c r="BA20" s="457">
        <v>-223789.45</v>
      </c>
      <c r="BB20" s="457">
        <v>-223789.45</v>
      </c>
      <c r="BC20" s="457">
        <v>-223789.45</v>
      </c>
      <c r="BD20" s="457">
        <v>-223789.45</v>
      </c>
      <c r="BE20" s="457">
        <v>-223789.45</v>
      </c>
      <c r="BF20" s="457">
        <v>-223789.45</v>
      </c>
      <c r="BG20" s="457">
        <v>-223789.45</v>
      </c>
      <c r="BH20" s="457">
        <v>-223789.45</v>
      </c>
      <c r="BI20" s="457">
        <v>-223789.45</v>
      </c>
      <c r="BJ20" s="457">
        <v>-223789.45</v>
      </c>
      <c r="BK20" s="457">
        <v>-223789.45</v>
      </c>
      <c r="BL20" s="457">
        <v>-223789.45</v>
      </c>
      <c r="BM20" s="457">
        <v>-223789.45</v>
      </c>
      <c r="BN20" s="457">
        <v>-255542.13</v>
      </c>
      <c r="BO20" s="457">
        <v>-239665.79</v>
      </c>
      <c r="BP20" s="457">
        <v>-239665.79</v>
      </c>
      <c r="BQ20" s="457">
        <v>-239665.79</v>
      </c>
      <c r="BR20" s="457">
        <v>-239665.79</v>
      </c>
      <c r="BS20" s="457">
        <v>-239665.79</v>
      </c>
      <c r="BT20" s="457">
        <v>-239665.79</v>
      </c>
      <c r="BU20" s="457">
        <v>-239665.79</v>
      </c>
      <c r="BV20" s="457">
        <v>-239665.79</v>
      </c>
      <c r="BW20" s="457">
        <v>-239665.79</v>
      </c>
      <c r="BX20" s="457">
        <v>-239665.79</v>
      </c>
      <c r="BY20" s="457">
        <v>-239665.79</v>
      </c>
      <c r="BZ20" s="457">
        <v>-239665.79</v>
      </c>
      <c r="CA20" s="457">
        <v>-239665.79</v>
      </c>
      <c r="CB20" s="457">
        <v>-191777.77</v>
      </c>
      <c r="CC20" s="457">
        <v>-215721.78</v>
      </c>
      <c r="CD20" s="457">
        <v>-215721.78</v>
      </c>
      <c r="CE20" s="457">
        <v>-215721.78</v>
      </c>
      <c r="CF20" s="457">
        <v>-215721.78</v>
      </c>
      <c r="CG20" s="457">
        <v>-207350.78</v>
      </c>
      <c r="CH20" s="457">
        <v>-207350.78</v>
      </c>
      <c r="CI20" s="457">
        <v>-207350.78</v>
      </c>
      <c r="CJ20" s="457">
        <v>-207350.78</v>
      </c>
      <c r="CK20" s="457">
        <v>-207350.78</v>
      </c>
      <c r="CL20" s="457">
        <v>-207350.78</v>
      </c>
      <c r="CM20" s="457">
        <v>-207350.78</v>
      </c>
      <c r="CN20" s="457">
        <v>-207350.78</v>
      </c>
      <c r="CO20" s="457">
        <v>-207350.78</v>
      </c>
      <c r="CP20" s="457">
        <v>-207350.78</v>
      </c>
      <c r="CQ20" s="457">
        <v>-207350.78</v>
      </c>
      <c r="CR20" s="457">
        <v>-207350.78</v>
      </c>
      <c r="CS20" s="457">
        <v>-207350.78</v>
      </c>
      <c r="CT20" s="457">
        <v>-207350.78</v>
      </c>
      <c r="CU20" s="457">
        <v>-207350.78</v>
      </c>
      <c r="CV20" s="457">
        <v>-207350.78</v>
      </c>
      <c r="CW20" s="457">
        <v>-207350.78</v>
      </c>
      <c r="CX20" s="457">
        <v>-207350.78</v>
      </c>
      <c r="CY20" s="457">
        <v>-163430.78</v>
      </c>
      <c r="CZ20" s="457">
        <v>-163430.78</v>
      </c>
      <c r="DA20" s="457">
        <v>-160597.23000000001</v>
      </c>
      <c r="DB20" s="457">
        <v>-139115.15</v>
      </c>
      <c r="DC20" s="457">
        <v>-37799.15</v>
      </c>
      <c r="DD20" s="457">
        <v>-37799.15</v>
      </c>
      <c r="DE20" s="457">
        <f>VLOOKUP($C20,'[2]Analysis 1'!$C$5:$DG$1025,107,FALSE)</f>
        <v>-37799.15</v>
      </c>
      <c r="DF20" s="457">
        <f>VLOOKUP($C20,'[2]Analysis 1'!$C$5:$DG$1025,108,FALSE)</f>
        <v>-37799.15</v>
      </c>
      <c r="DG20" s="457">
        <f>VLOOKUP($C20,'[2]Analysis 1'!$C$5:$DG$1025,109,FALSE)</f>
        <v>-37799.15</v>
      </c>
      <c r="DH20" s="369">
        <f t="shared" si="1"/>
        <v>-1437622.0299999996</v>
      </c>
    </row>
    <row r="21" spans="1:112">
      <c r="A21" s="357" t="str">
        <f t="shared" si="0"/>
        <v>4120001</v>
      </c>
      <c r="B21" s="350" t="s">
        <v>1866</v>
      </c>
      <c r="C21" s="335" t="s">
        <v>1441</v>
      </c>
      <c r="D21" s="340"/>
      <c r="E21" s="340"/>
      <c r="F21" s="340"/>
      <c r="G21" s="340"/>
      <c r="H21" s="340"/>
      <c r="I21" s="340"/>
      <c r="J21" s="340"/>
      <c r="K21" s="340"/>
      <c r="L21" s="340"/>
      <c r="M21" s="340"/>
      <c r="N21" s="340"/>
      <c r="O21" s="341"/>
      <c r="P21" s="48"/>
      <c r="Q21" s="48"/>
      <c r="R21" s="48"/>
      <c r="S21" s="48"/>
      <c r="T21" s="48"/>
      <c r="U21" s="48"/>
      <c r="V21" s="48"/>
      <c r="W21" s="48"/>
      <c r="X21" s="48"/>
      <c r="Y21" s="48"/>
      <c r="Z21" s="48"/>
      <c r="AA21" s="48"/>
      <c r="AB21" s="48"/>
      <c r="AC21" s="48"/>
      <c r="AD21" s="48"/>
      <c r="AE21" s="48">
        <v>0</v>
      </c>
      <c r="AF21" s="48">
        <v>0</v>
      </c>
      <c r="AG21" s="443">
        <v>188448</v>
      </c>
      <c r="AH21" s="443">
        <v>62816</v>
      </c>
      <c r="AI21" s="443">
        <v>62816</v>
      </c>
      <c r="AJ21" s="443">
        <v>62816</v>
      </c>
      <c r="AK21" s="443">
        <v>62816</v>
      </c>
      <c r="AL21" s="443">
        <v>106735</v>
      </c>
      <c r="AM21" s="443">
        <v>84776</v>
      </c>
      <c r="AN21" s="443">
        <v>84776</v>
      </c>
      <c r="AO21" s="443">
        <v>84776</v>
      </c>
      <c r="AP21" s="443">
        <v>84776</v>
      </c>
      <c r="AQ21" s="443">
        <v>171536</v>
      </c>
      <c r="AR21" s="443">
        <v>171536</v>
      </c>
      <c r="AS21" s="443">
        <v>171536</v>
      </c>
      <c r="AT21" s="443">
        <v>171536</v>
      </c>
      <c r="AU21" s="443">
        <v>171536</v>
      </c>
      <c r="AV21" s="443">
        <v>171536</v>
      </c>
      <c r="AW21" s="443">
        <v>201867</v>
      </c>
      <c r="AX21" s="443">
        <v>201867</v>
      </c>
      <c r="AY21" s="443">
        <v>201867</v>
      </c>
      <c r="AZ21" s="443">
        <v>201867</v>
      </c>
      <c r="BA21" s="443">
        <v>201867</v>
      </c>
      <c r="BB21" s="443">
        <v>201867</v>
      </c>
      <c r="BC21" s="443">
        <v>201867</v>
      </c>
      <c r="BD21" s="443">
        <v>201867</v>
      </c>
      <c r="BE21" s="443">
        <v>201867</v>
      </c>
      <c r="BF21" s="443">
        <v>201867</v>
      </c>
      <c r="BG21" s="443">
        <v>201867</v>
      </c>
      <c r="BH21" s="443">
        <v>201867</v>
      </c>
      <c r="BI21" s="443">
        <v>201867</v>
      </c>
      <c r="BJ21" s="443">
        <v>201867</v>
      </c>
      <c r="BK21" s="443">
        <v>201867</v>
      </c>
      <c r="BL21" s="443">
        <v>201867</v>
      </c>
      <c r="BM21" s="443">
        <v>201867</v>
      </c>
      <c r="BN21" s="443">
        <v>201867</v>
      </c>
      <c r="BO21" s="443">
        <v>201867</v>
      </c>
      <c r="BP21" s="443">
        <v>201867</v>
      </c>
      <c r="BQ21" s="443">
        <v>201867</v>
      </c>
      <c r="BR21" s="443">
        <v>201866</v>
      </c>
      <c r="BS21" s="443">
        <v>201866</v>
      </c>
      <c r="BT21" s="443">
        <v>201866</v>
      </c>
      <c r="BU21" s="443">
        <v>201866</v>
      </c>
      <c r="BV21" s="443">
        <v>201866</v>
      </c>
      <c r="BW21" s="443">
        <v>201866</v>
      </c>
      <c r="BX21" s="443">
        <v>201868</v>
      </c>
      <c r="BY21" s="443">
        <v>201868</v>
      </c>
      <c r="BZ21" s="443">
        <v>201869</v>
      </c>
      <c r="CA21" s="443">
        <v>177924</v>
      </c>
      <c r="CB21" s="443">
        <v>177923</v>
      </c>
      <c r="CC21" s="443">
        <v>177924</v>
      </c>
      <c r="CD21" s="443">
        <v>177924</v>
      </c>
      <c r="CE21" s="443">
        <v>177924</v>
      </c>
      <c r="CF21" s="443">
        <v>177924</v>
      </c>
      <c r="CG21" s="443">
        <v>169552</v>
      </c>
      <c r="CH21" s="443">
        <v>169552</v>
      </c>
      <c r="CI21" s="443">
        <v>169552</v>
      </c>
      <c r="CJ21" s="443">
        <v>169551</v>
      </c>
      <c r="CK21" s="443">
        <v>169552</v>
      </c>
      <c r="CL21" s="443">
        <v>169552</v>
      </c>
      <c r="CM21" s="443">
        <v>169552</v>
      </c>
      <c r="CN21" s="443">
        <v>169552</v>
      </c>
      <c r="CO21" s="443">
        <v>169552</v>
      </c>
      <c r="CP21" s="443">
        <v>169552</v>
      </c>
      <c r="CQ21" s="443">
        <v>169552</v>
      </c>
      <c r="CR21" s="443">
        <v>169552</v>
      </c>
      <c r="CS21" s="443">
        <v>169552</v>
      </c>
      <c r="CT21" s="443">
        <v>169552</v>
      </c>
      <c r="CU21" s="443">
        <v>169552</v>
      </c>
      <c r="CV21" s="443">
        <v>169552</v>
      </c>
      <c r="CW21" s="443">
        <v>169552</v>
      </c>
      <c r="CX21" s="443">
        <v>169552</v>
      </c>
      <c r="CY21" s="443">
        <v>125632</v>
      </c>
      <c r="CZ21" s="443">
        <v>125632</v>
      </c>
      <c r="DA21" s="443">
        <v>125632</v>
      </c>
      <c r="DB21" s="443">
        <v>125632</v>
      </c>
      <c r="DC21" s="443">
        <v>0</v>
      </c>
      <c r="DD21" s="443">
        <v>0</v>
      </c>
      <c r="DE21" s="443">
        <f>VLOOKUP($C21,'[2]Analysis 1'!$C$5:$DG$1025,107,FALSE)</f>
        <v>0</v>
      </c>
      <c r="DF21" s="443">
        <f>VLOOKUP($C21,'[2]Analysis 1'!$C$5:$DG$1025,108,FALSE)</f>
        <v>0</v>
      </c>
      <c r="DG21" s="443">
        <f>VLOOKUP($C21,'[2]Analysis 1'!$C$5:$DG$1025,109,FALSE)</f>
        <v>0</v>
      </c>
      <c r="DH21" s="369">
        <f t="shared" si="1"/>
        <v>1011184</v>
      </c>
    </row>
    <row r="22" spans="1:112">
      <c r="A22" s="357" t="str">
        <f t="shared" si="0"/>
        <v>4120002</v>
      </c>
      <c r="B22" s="350" t="s">
        <v>1867</v>
      </c>
      <c r="C22" s="335" t="s">
        <v>1442</v>
      </c>
      <c r="D22" s="340"/>
      <c r="E22" s="340"/>
      <c r="F22" s="340"/>
      <c r="G22" s="340"/>
      <c r="H22" s="340"/>
      <c r="I22" s="340"/>
      <c r="J22" s="340"/>
      <c r="K22" s="340"/>
      <c r="L22" s="340"/>
      <c r="M22" s="340"/>
      <c r="N22" s="340"/>
      <c r="O22" s="341"/>
      <c r="P22" s="48"/>
      <c r="Q22" s="48"/>
      <c r="R22" s="48"/>
      <c r="S22" s="48"/>
      <c r="T22" s="48"/>
      <c r="U22" s="48"/>
      <c r="V22" s="48"/>
      <c r="W22" s="48"/>
      <c r="X22" s="48"/>
      <c r="Y22" s="48"/>
      <c r="Z22" s="48"/>
      <c r="AA22" s="48"/>
      <c r="AB22" s="48"/>
      <c r="AC22" s="48"/>
      <c r="AD22" s="48"/>
      <c r="AE22" s="48">
        <v>0</v>
      </c>
      <c r="AF22" s="48">
        <v>0</v>
      </c>
      <c r="AG22" s="443">
        <v>4207</v>
      </c>
      <c r="AH22" s="443">
        <v>1402</v>
      </c>
      <c r="AI22" s="443">
        <v>1402</v>
      </c>
      <c r="AJ22" s="443">
        <v>1403</v>
      </c>
      <c r="AK22" s="443">
        <v>1403</v>
      </c>
      <c r="AL22" s="443">
        <v>2372</v>
      </c>
      <c r="AM22" s="443">
        <v>1887</v>
      </c>
      <c r="AN22" s="443">
        <v>1475</v>
      </c>
      <c r="AO22" s="443">
        <v>1476</v>
      </c>
      <c r="AP22" s="443">
        <v>1476</v>
      </c>
      <c r="AQ22" s="443">
        <v>-55332</v>
      </c>
      <c r="AR22" s="443">
        <v>-55331</v>
      </c>
      <c r="AS22" s="443">
        <v>-55331</v>
      </c>
      <c r="AT22" s="443">
        <v>-55331</v>
      </c>
      <c r="AU22" s="443">
        <v>-55331</v>
      </c>
      <c r="AV22" s="443">
        <v>-55331</v>
      </c>
      <c r="AW22" s="443">
        <v>-75198</v>
      </c>
      <c r="AX22" s="443">
        <v>-75199</v>
      </c>
      <c r="AY22" s="443">
        <v>-75198</v>
      </c>
      <c r="AZ22" s="443">
        <v>-75860</v>
      </c>
      <c r="BA22" s="443">
        <v>-75861</v>
      </c>
      <c r="BB22" s="443">
        <v>-75861</v>
      </c>
      <c r="BC22" s="443">
        <v>-75861</v>
      </c>
      <c r="BD22" s="443">
        <v>-75860</v>
      </c>
      <c r="BE22" s="443">
        <v>-75861</v>
      </c>
      <c r="BF22" s="443">
        <v>-75861</v>
      </c>
      <c r="BG22" s="443">
        <v>-75860</v>
      </c>
      <c r="BH22" s="443">
        <v>-75860</v>
      </c>
      <c r="BI22" s="443">
        <v>-75860</v>
      </c>
      <c r="BJ22" s="443">
        <v>-75860</v>
      </c>
      <c r="BK22" s="443">
        <v>-75860</v>
      </c>
      <c r="BL22" s="443">
        <v>-76523</v>
      </c>
      <c r="BM22" s="443">
        <v>-76523</v>
      </c>
      <c r="BN22" s="443">
        <v>-76523</v>
      </c>
      <c r="BO22" s="443">
        <v>-76523</v>
      </c>
      <c r="BP22" s="443">
        <v>-76523</v>
      </c>
      <c r="BQ22" s="443">
        <v>-76523</v>
      </c>
      <c r="BR22" s="443">
        <v>-76522</v>
      </c>
      <c r="BS22" s="443">
        <v>-76522</v>
      </c>
      <c r="BT22" s="443">
        <v>-76522</v>
      </c>
      <c r="BU22" s="443">
        <v>-76524</v>
      </c>
      <c r="BV22" s="443">
        <v>-76523</v>
      </c>
      <c r="BW22" s="443">
        <v>-76523</v>
      </c>
      <c r="BX22" s="443">
        <v>-77186</v>
      </c>
      <c r="BY22" s="443">
        <v>-77185</v>
      </c>
      <c r="BZ22" s="443">
        <v>-77186</v>
      </c>
      <c r="CA22" s="443">
        <v>-61508</v>
      </c>
      <c r="CB22" s="443">
        <v>-61507</v>
      </c>
      <c r="CC22" s="443">
        <v>-61508</v>
      </c>
      <c r="CD22" s="443">
        <v>-61507</v>
      </c>
      <c r="CE22" s="443">
        <v>-61508</v>
      </c>
      <c r="CF22" s="443">
        <v>-61508</v>
      </c>
      <c r="CG22" s="443">
        <v>-56024</v>
      </c>
      <c r="CH22" s="443">
        <v>-56024</v>
      </c>
      <c r="CI22" s="443">
        <v>-56024</v>
      </c>
      <c r="CJ22" s="443">
        <v>-56686</v>
      </c>
      <c r="CK22" s="443">
        <v>-56687</v>
      </c>
      <c r="CL22" s="443">
        <v>-56686</v>
      </c>
      <c r="CM22" s="443">
        <v>-56686</v>
      </c>
      <c r="CN22" s="443">
        <v>-56687</v>
      </c>
      <c r="CO22" s="443">
        <v>-56686</v>
      </c>
      <c r="CP22" s="443">
        <v>-56686</v>
      </c>
      <c r="CQ22" s="443">
        <v>-56686</v>
      </c>
      <c r="CR22" s="443">
        <v>-56686</v>
      </c>
      <c r="CS22" s="443">
        <v>-56686</v>
      </c>
      <c r="CT22" s="443">
        <v>-56686</v>
      </c>
      <c r="CU22" s="443">
        <v>-56686</v>
      </c>
      <c r="CV22" s="443">
        <v>-57348</v>
      </c>
      <c r="CW22" s="443">
        <v>-57348</v>
      </c>
      <c r="CX22" s="443">
        <v>-57348</v>
      </c>
      <c r="CY22" s="443">
        <v>-42549</v>
      </c>
      <c r="CZ22" s="443">
        <v>-42549</v>
      </c>
      <c r="DA22" s="443">
        <v>-42549</v>
      </c>
      <c r="DB22" s="443">
        <v>-42549</v>
      </c>
      <c r="DC22" s="443">
        <v>0</v>
      </c>
      <c r="DD22" s="443">
        <v>0</v>
      </c>
      <c r="DE22" s="443">
        <f>VLOOKUP($C22,'[2]Analysis 1'!$C$5:$DG$1025,107,FALSE)</f>
        <v>0</v>
      </c>
      <c r="DF22" s="443">
        <f>VLOOKUP($C22,'[2]Analysis 1'!$C$5:$DG$1025,108,FALSE)</f>
        <v>0</v>
      </c>
      <c r="DG22" s="443">
        <f>VLOOKUP($C22,'[2]Analysis 1'!$C$5:$DG$1025,109,FALSE)</f>
        <v>0</v>
      </c>
      <c r="DH22" s="369">
        <f t="shared" si="1"/>
        <v>-342240</v>
      </c>
    </row>
    <row r="23" spans="1:112">
      <c r="A23" s="357" t="str">
        <f t="shared" si="0"/>
        <v>4800010</v>
      </c>
      <c r="B23" s="350" t="s">
        <v>1868</v>
      </c>
      <c r="C23" s="335" t="s">
        <v>958</v>
      </c>
      <c r="D23" s="340">
        <v>-1123757.57</v>
      </c>
      <c r="E23" s="340">
        <v>-1108978.28</v>
      </c>
      <c r="F23" s="340">
        <v>-1034913.52</v>
      </c>
      <c r="G23" s="340">
        <v>-1000917.71</v>
      </c>
      <c r="H23" s="340">
        <v>-988763.96</v>
      </c>
      <c r="I23" s="340">
        <v>-983243.99</v>
      </c>
      <c r="J23" s="340">
        <v>-955649.02</v>
      </c>
      <c r="K23" s="340">
        <v>-962883.04</v>
      </c>
      <c r="L23" s="340">
        <v>-964213.07</v>
      </c>
      <c r="M23" s="340">
        <v>-977042.56</v>
      </c>
      <c r="N23" s="340">
        <v>-991025.68</v>
      </c>
      <c r="O23" s="341">
        <v>-1056258.95</v>
      </c>
      <c r="P23" s="48">
        <v>-1090069.98</v>
      </c>
      <c r="Q23" s="48">
        <v>-1092646.44</v>
      </c>
      <c r="R23" s="48">
        <v>-1082741.3400000001</v>
      </c>
      <c r="S23" s="48">
        <v>-1007301.09</v>
      </c>
      <c r="T23" s="48">
        <v>-978712.21</v>
      </c>
      <c r="U23" s="48">
        <v>-990341.05</v>
      </c>
      <c r="V23" s="48">
        <v>-1007297.72</v>
      </c>
      <c r="W23" s="48">
        <v>-996727.95</v>
      </c>
      <c r="X23" s="48">
        <v>-999472.18</v>
      </c>
      <c r="Y23" s="48">
        <v>-1009147.04</v>
      </c>
      <c r="Z23" s="48">
        <v>-1028063.33</v>
      </c>
      <c r="AA23" s="48">
        <v>-1066732.05</v>
      </c>
      <c r="AB23" s="48">
        <v>-1135715.8700000001</v>
      </c>
      <c r="AC23" s="48">
        <v>-1147514.45</v>
      </c>
      <c r="AD23" s="48">
        <v>-1102456.06</v>
      </c>
      <c r="AE23" s="48">
        <v>-1072272.92</v>
      </c>
      <c r="AF23" s="48">
        <v>-1041151.67</v>
      </c>
      <c r="AG23" s="48">
        <v>-1025289.49</v>
      </c>
      <c r="AH23" s="48">
        <v>-1198387.73</v>
      </c>
      <c r="AI23" s="48">
        <v>-1141902.45</v>
      </c>
      <c r="AJ23" s="48">
        <v>-1147790.9099999999</v>
      </c>
      <c r="AK23" s="48">
        <v>-1150771.1599999999</v>
      </c>
      <c r="AL23" s="48">
        <v>-1186605.78</v>
      </c>
      <c r="AM23" s="48">
        <v>-1239580.83</v>
      </c>
      <c r="AN23" s="48">
        <v>-1289449.42</v>
      </c>
      <c r="AO23" s="48">
        <v>-1258512.68</v>
      </c>
      <c r="AP23" s="48">
        <v>-1251539.02</v>
      </c>
      <c r="AQ23" s="48">
        <v>-1247043.1399999999</v>
      </c>
      <c r="AR23" s="48">
        <v>-1194248</v>
      </c>
      <c r="AS23" s="48">
        <v>-1170232.0900000001</v>
      </c>
      <c r="AT23" s="48">
        <v>-1421544.45</v>
      </c>
      <c r="AU23" s="48">
        <v>-1325841.24</v>
      </c>
      <c r="AV23" s="48">
        <v>-1357884.43</v>
      </c>
      <c r="AW23" s="48">
        <v>-1346338.45</v>
      </c>
      <c r="AX23" s="48">
        <v>-1393012.16</v>
      </c>
      <c r="AY23" s="48">
        <v>-1442612.78</v>
      </c>
      <c r="AZ23" s="48">
        <v>-1699603.85</v>
      </c>
      <c r="BA23" s="48">
        <v>-1516159.99</v>
      </c>
      <c r="BB23" s="48">
        <v>-1394358.8</v>
      </c>
      <c r="BC23" s="48">
        <v>-1454954.87</v>
      </c>
      <c r="BD23" s="48">
        <v>-1357513.53</v>
      </c>
      <c r="BE23" s="48">
        <v>-1361619.13</v>
      </c>
      <c r="BF23" s="48">
        <v>-1140248.82</v>
      </c>
      <c r="BG23" s="48">
        <v>-1207173.25</v>
      </c>
      <c r="BH23" s="48">
        <v>-1235488.28</v>
      </c>
      <c r="BI23" s="48">
        <v>-1229611.5</v>
      </c>
      <c r="BJ23" s="48">
        <v>-1235133.6200000001</v>
      </c>
      <c r="BK23" s="48">
        <v>-1312002.07</v>
      </c>
      <c r="BL23" s="48">
        <v>-1279160.02</v>
      </c>
      <c r="BM23" s="48">
        <v>-1259997.8400000001</v>
      </c>
      <c r="BN23" s="48">
        <v>-1244165.18</v>
      </c>
      <c r="BO23" s="48">
        <v>-1237461.5</v>
      </c>
      <c r="BP23" s="48">
        <v>-1190372.6499999999</v>
      </c>
      <c r="BQ23" s="48">
        <v>-1160059.42</v>
      </c>
      <c r="BR23" s="48">
        <v>-1249495.1299999999</v>
      </c>
      <c r="BS23" s="48">
        <v>-1227028.25</v>
      </c>
      <c r="BT23" s="48">
        <v>-1237025.74</v>
      </c>
      <c r="BU23" s="48">
        <v>-1232366.58</v>
      </c>
      <c r="BV23" s="48">
        <v>-1272527.83</v>
      </c>
      <c r="BW23" s="48">
        <v>-1332806.19</v>
      </c>
      <c r="BX23" s="48">
        <v>-1399845.78</v>
      </c>
      <c r="BY23" s="48">
        <v>-1351023.08</v>
      </c>
      <c r="BZ23" s="48">
        <v>-1317993.45</v>
      </c>
      <c r="CA23" s="48">
        <v>-1314006.42</v>
      </c>
      <c r="CB23" s="48">
        <v>-1297352.73</v>
      </c>
      <c r="CC23" s="48">
        <v>-1278766.0900000001</v>
      </c>
      <c r="CD23" s="48">
        <v>-1233667.2</v>
      </c>
      <c r="CE23" s="48">
        <v>-1246369.03</v>
      </c>
      <c r="CF23" s="48">
        <v>-1241044.3</v>
      </c>
      <c r="CG23" s="48">
        <v>-1255319.79</v>
      </c>
      <c r="CH23" s="48">
        <v>-1288495.03</v>
      </c>
      <c r="CI23" s="48">
        <v>-1405883.48</v>
      </c>
      <c r="CJ23" s="48">
        <v>-2060363.31</v>
      </c>
      <c r="CK23" s="48">
        <v>-1756566.78</v>
      </c>
      <c r="CL23" s="48">
        <v>-1745984.37</v>
      </c>
      <c r="CM23" s="48">
        <v>-1737212.25</v>
      </c>
      <c r="CN23" s="48">
        <v>-1646693.59</v>
      </c>
      <c r="CO23" s="48">
        <v>-1641667.89</v>
      </c>
      <c r="CP23" s="48">
        <v>-1723840.85</v>
      </c>
      <c r="CQ23" s="48">
        <v>-1687744.85</v>
      </c>
      <c r="CR23" s="48">
        <v>-1696247.71</v>
      </c>
      <c r="CS23" s="48">
        <v>-1694530.16</v>
      </c>
      <c r="CT23" s="48">
        <v>-1727752.61</v>
      </c>
      <c r="CU23" s="48">
        <v>-1812163.04</v>
      </c>
      <c r="CV23" s="48">
        <v>-1869175.01</v>
      </c>
      <c r="CW23" s="48">
        <v>-1852764.46</v>
      </c>
      <c r="CX23" s="48">
        <v>-1783221.62</v>
      </c>
      <c r="CY23" s="48">
        <v>-1761538.91</v>
      </c>
      <c r="CZ23" s="48">
        <v>-1728745.14</v>
      </c>
      <c r="DA23" s="48">
        <v>-1685993.79</v>
      </c>
      <c r="DB23" s="48">
        <v>-1932340.95</v>
      </c>
      <c r="DC23" s="48">
        <v>-1850379.74</v>
      </c>
      <c r="DD23" s="48">
        <v>-1844830.32</v>
      </c>
      <c r="DE23" s="48">
        <f>VLOOKUP($C23,'[2]Analysis 1'!$C$5:$DG$1025,107,FALSE)</f>
        <v>-1909712.7</v>
      </c>
      <c r="DF23" s="48">
        <f>VLOOKUP($C23,'[2]Analysis 1'!$C$5:$DG$1025,108,FALSE)</f>
        <v>-1876189.58</v>
      </c>
      <c r="DG23" s="48">
        <f>VLOOKUP($C23,'[2]Analysis 1'!$C$5:$DG$1025,109,FALSE)</f>
        <v>-1941871.02</v>
      </c>
      <c r="DH23" s="369">
        <f t="shared" si="1"/>
        <v>-22036763.239999998</v>
      </c>
    </row>
    <row r="24" spans="1:112">
      <c r="A24" s="357" t="str">
        <f t="shared" si="0"/>
        <v>4800011</v>
      </c>
      <c r="B24" s="350" t="s">
        <v>1869</v>
      </c>
      <c r="C24" s="335" t="s">
        <v>959</v>
      </c>
      <c r="D24" s="367">
        <v>-770758.2</v>
      </c>
      <c r="E24" s="367">
        <v>-714784.27</v>
      </c>
      <c r="F24" s="367">
        <v>-467538.42</v>
      </c>
      <c r="G24" s="367">
        <v>-360765.72</v>
      </c>
      <c r="H24" s="367">
        <v>-335996.29</v>
      </c>
      <c r="I24" s="367">
        <v>-340609.68</v>
      </c>
      <c r="J24" s="367">
        <v>-212973.16</v>
      </c>
      <c r="K24" s="367">
        <v>-256646.22</v>
      </c>
      <c r="L24" s="367">
        <v>-254303.69</v>
      </c>
      <c r="M24" s="367">
        <v>-295731.59000000003</v>
      </c>
      <c r="N24" s="367">
        <v>-352911.14</v>
      </c>
      <c r="O24" s="368">
        <v>-557220.78</v>
      </c>
      <c r="P24" s="48">
        <v>-649630.09</v>
      </c>
      <c r="Q24" s="48">
        <v>-565637.94999999995</v>
      </c>
      <c r="R24" s="48">
        <v>-570837.39</v>
      </c>
      <c r="S24" s="48">
        <v>-327177.26</v>
      </c>
      <c r="T24" s="48">
        <v>-282907.7</v>
      </c>
      <c r="U24" s="48">
        <v>-335317.49</v>
      </c>
      <c r="V24" s="48">
        <v>-241321.86</v>
      </c>
      <c r="W24" s="48">
        <v>-258891.94</v>
      </c>
      <c r="X24" s="48">
        <v>-271385.94</v>
      </c>
      <c r="Y24" s="48">
        <v>-292583.88</v>
      </c>
      <c r="Z24" s="48">
        <v>-354467.78</v>
      </c>
      <c r="AA24" s="48">
        <v>-459819.36</v>
      </c>
      <c r="AB24" s="48">
        <v>-693091.44</v>
      </c>
      <c r="AC24" s="48">
        <v>-716826.16</v>
      </c>
      <c r="AD24" s="48">
        <v>-566894.07999999996</v>
      </c>
      <c r="AE24" s="48">
        <v>-448734.6</v>
      </c>
      <c r="AF24" s="48">
        <v>-356876.49</v>
      </c>
      <c r="AG24" s="48">
        <v>-285805.38</v>
      </c>
      <c r="AH24" s="48">
        <v>-253603.74</v>
      </c>
      <c r="AI24" s="48">
        <v>-273331.32</v>
      </c>
      <c r="AJ24" s="48">
        <v>-276329.84000000003</v>
      </c>
      <c r="AK24" s="48">
        <v>-285907.21999999997</v>
      </c>
      <c r="AL24" s="48">
        <v>-361398.83</v>
      </c>
      <c r="AM24" s="48">
        <v>-503085.01</v>
      </c>
      <c r="AN24" s="48">
        <v>-657485.02</v>
      </c>
      <c r="AO24" s="48">
        <v>-587978.17000000004</v>
      </c>
      <c r="AP24" s="48">
        <v>-530932.98</v>
      </c>
      <c r="AQ24" s="48">
        <v>-536744.39</v>
      </c>
      <c r="AR24" s="48">
        <v>-370128.54</v>
      </c>
      <c r="AS24" s="48">
        <v>-287172.37</v>
      </c>
      <c r="AT24" s="48">
        <v>-318320.84000000003</v>
      </c>
      <c r="AU24" s="48">
        <v>-339120.38</v>
      </c>
      <c r="AV24" s="48">
        <v>-454287.71</v>
      </c>
      <c r="AW24" s="48">
        <v>-428977.04</v>
      </c>
      <c r="AX24" s="48">
        <v>-583741.73</v>
      </c>
      <c r="AY24" s="48">
        <v>-733524.36</v>
      </c>
      <c r="AZ24" s="48">
        <v>-1735749.97</v>
      </c>
      <c r="BA24" s="48">
        <v>-1082647.8500000001</v>
      </c>
      <c r="BB24" s="48">
        <v>-526643.89</v>
      </c>
      <c r="BC24" s="48">
        <v>-754315.93</v>
      </c>
      <c r="BD24" s="48">
        <v>-434722.68</v>
      </c>
      <c r="BE24" s="48">
        <v>-416253.57</v>
      </c>
      <c r="BF24" s="48">
        <v>-254097.03</v>
      </c>
      <c r="BG24" s="48">
        <v>-296455.69</v>
      </c>
      <c r="BH24" s="48">
        <v>-349032.51</v>
      </c>
      <c r="BI24" s="48">
        <v>-296844.2</v>
      </c>
      <c r="BJ24" s="48">
        <v>-405213.61</v>
      </c>
      <c r="BK24" s="48">
        <v>-578834.14</v>
      </c>
      <c r="BL24" s="48">
        <v>-794965.4</v>
      </c>
      <c r="BM24" s="48">
        <v>-672374.49</v>
      </c>
      <c r="BN24" s="48">
        <v>-685534.66</v>
      </c>
      <c r="BO24" s="48">
        <v>-705876.81</v>
      </c>
      <c r="BP24" s="48">
        <v>-503851.43</v>
      </c>
      <c r="BQ24" s="48">
        <v>-397916.69</v>
      </c>
      <c r="BR24" s="48">
        <v>-360560.58</v>
      </c>
      <c r="BS24" s="48">
        <v>-296601.46999999997</v>
      </c>
      <c r="BT24" s="48">
        <v>-366116.49</v>
      </c>
      <c r="BU24" s="48">
        <v>-347111.69</v>
      </c>
      <c r="BV24" s="48">
        <v>-494186.19</v>
      </c>
      <c r="BW24" s="48">
        <v>-677520.63</v>
      </c>
      <c r="BX24" s="48">
        <v>-826459.72</v>
      </c>
      <c r="BY24" s="48">
        <v>-683943.06</v>
      </c>
      <c r="BZ24" s="48">
        <v>-559976.63</v>
      </c>
      <c r="CA24" s="48">
        <v>-563285.15</v>
      </c>
      <c r="CB24" s="48">
        <v>-513848.38</v>
      </c>
      <c r="CC24" s="48">
        <v>-439630.55</v>
      </c>
      <c r="CD24" s="48">
        <v>-327503.69</v>
      </c>
      <c r="CE24" s="48">
        <v>-356799.91</v>
      </c>
      <c r="CF24" s="48">
        <v>-346085.9</v>
      </c>
      <c r="CG24" s="48">
        <v>-430128.5</v>
      </c>
      <c r="CH24" s="48">
        <v>-576679.09</v>
      </c>
      <c r="CI24" s="48">
        <v>-998888.69</v>
      </c>
      <c r="CJ24" s="48">
        <v>-1233709.33</v>
      </c>
      <c r="CK24" s="48">
        <v>-879972.06</v>
      </c>
      <c r="CL24" s="48">
        <v>-1017595.32</v>
      </c>
      <c r="CM24" s="48">
        <v>-923069.27</v>
      </c>
      <c r="CN24" s="48">
        <v>-584730.22</v>
      </c>
      <c r="CO24" s="48">
        <v>-554189.86</v>
      </c>
      <c r="CP24" s="48">
        <v>-382192.26</v>
      </c>
      <c r="CQ24" s="48">
        <v>-415539.11</v>
      </c>
      <c r="CR24" s="48">
        <v>-455325.18</v>
      </c>
      <c r="CS24" s="48">
        <v>-453587.7</v>
      </c>
      <c r="CT24" s="48">
        <v>-584175.04</v>
      </c>
      <c r="CU24" s="48">
        <v>-903150.13</v>
      </c>
      <c r="CV24" s="48">
        <v>-1271735.78</v>
      </c>
      <c r="CW24" s="48">
        <v>-1144855.78</v>
      </c>
      <c r="CX24" s="48">
        <v>-826585.5</v>
      </c>
      <c r="CY24" s="48">
        <v>-755428.6</v>
      </c>
      <c r="CZ24" s="48">
        <v>-633417.74</v>
      </c>
      <c r="DA24" s="48">
        <v>-471659.36</v>
      </c>
      <c r="DB24" s="48">
        <v>-454697.45</v>
      </c>
      <c r="DC24" s="48">
        <v>-783934.44</v>
      </c>
      <c r="DD24" s="48">
        <v>-682876.26</v>
      </c>
      <c r="DE24" s="48">
        <f>VLOOKUP($C24,'[2]Analysis 1'!$C$5:$DG$1025,107,FALSE)</f>
        <v>-1003428.2</v>
      </c>
      <c r="DF24" s="48">
        <f>VLOOKUP($C24,'[2]Analysis 1'!$C$5:$DG$1025,108,FALSE)</f>
        <v>-336322.11</v>
      </c>
      <c r="DG24" s="48">
        <f>VLOOKUP($C24,'[2]Analysis 1'!$C$5:$DG$1025,109,FALSE)</f>
        <v>-724281.58</v>
      </c>
      <c r="DH24" s="369">
        <f t="shared" si="1"/>
        <v>-9089222.8000000007</v>
      </c>
    </row>
    <row r="25" spans="1:112">
      <c r="A25" s="357" t="str">
        <f t="shared" si="0"/>
        <v>4800020</v>
      </c>
      <c r="B25" s="350" t="s">
        <v>1870</v>
      </c>
      <c r="C25" s="335" t="s">
        <v>960</v>
      </c>
      <c r="D25" s="340">
        <v>-3650840.93</v>
      </c>
      <c r="E25" s="340">
        <v>-3677647.53</v>
      </c>
      <c r="F25" s="340">
        <v>-2972908.65</v>
      </c>
      <c r="G25" s="340">
        <v>-2971772.45</v>
      </c>
      <c r="H25" s="340">
        <v>-2810926.02</v>
      </c>
      <c r="I25" s="340">
        <v>-2836539.01</v>
      </c>
      <c r="J25" s="340">
        <v>-2701163.3</v>
      </c>
      <c r="K25" s="340">
        <v>-2693952.56</v>
      </c>
      <c r="L25" s="340">
        <v>-2760352.52</v>
      </c>
      <c r="M25" s="340">
        <v>-2796087.8</v>
      </c>
      <c r="N25" s="340">
        <v>-2909400.92</v>
      </c>
      <c r="O25" s="341">
        <v>-3324127</v>
      </c>
      <c r="P25" s="48">
        <v>-3460385.14</v>
      </c>
      <c r="Q25" s="48">
        <v>-3530784.26</v>
      </c>
      <c r="R25" s="48">
        <v>-3324284.94</v>
      </c>
      <c r="S25" s="48">
        <v>-2777722.27</v>
      </c>
      <c r="T25" s="48">
        <v>-2797611.88</v>
      </c>
      <c r="U25" s="48">
        <v>-2846355.06</v>
      </c>
      <c r="V25" s="48">
        <v>-2626530.0499999998</v>
      </c>
      <c r="W25" s="48">
        <v>-2716254.15</v>
      </c>
      <c r="X25" s="48">
        <v>-2710252.78</v>
      </c>
      <c r="Y25" s="48">
        <v>-2731631.16</v>
      </c>
      <c r="Z25" s="48">
        <v>-2824199.01</v>
      </c>
      <c r="AA25" s="48">
        <v>-2942717.88</v>
      </c>
      <c r="AB25" s="48">
        <v>-3348226.74</v>
      </c>
      <c r="AC25" s="48">
        <v>-3529754.95</v>
      </c>
      <c r="AD25" s="48">
        <v>-3038086.41</v>
      </c>
      <c r="AE25" s="48">
        <v>-2866995.67</v>
      </c>
      <c r="AF25" s="48">
        <v>-2834519.84</v>
      </c>
      <c r="AG25" s="48">
        <v>-2793114.71</v>
      </c>
      <c r="AH25" s="48">
        <v>-2999184.04</v>
      </c>
      <c r="AI25" s="48">
        <v>-2926513.16</v>
      </c>
      <c r="AJ25" s="48">
        <v>-2970934.05</v>
      </c>
      <c r="AK25" s="48">
        <v>-2968329.67</v>
      </c>
      <c r="AL25" s="48">
        <v>-3093976.96</v>
      </c>
      <c r="AM25" s="48">
        <v>-3329210.97</v>
      </c>
      <c r="AN25" s="48">
        <v>-3557472.13</v>
      </c>
      <c r="AO25" s="48">
        <v>-3431936.76</v>
      </c>
      <c r="AP25" s="48">
        <v>-3237217.56</v>
      </c>
      <c r="AQ25" s="48">
        <v>-3224541.52</v>
      </c>
      <c r="AR25" s="48">
        <v>-3057622.32</v>
      </c>
      <c r="AS25" s="48">
        <v>-3033381.46</v>
      </c>
      <c r="AT25" s="48">
        <v>-2979018.25</v>
      </c>
      <c r="AU25" s="48">
        <v>-2961387.8</v>
      </c>
      <c r="AV25" s="48">
        <v>-3063338.64</v>
      </c>
      <c r="AW25" s="48">
        <v>-3017753.89</v>
      </c>
      <c r="AX25" s="48">
        <v>-3154432.45</v>
      </c>
      <c r="AY25" s="48">
        <v>-3460827.44</v>
      </c>
      <c r="AZ25" s="48">
        <v>-4485574.47</v>
      </c>
      <c r="BA25" s="48">
        <v>-3676223.9</v>
      </c>
      <c r="BB25" s="48">
        <v>-3110078.88</v>
      </c>
      <c r="BC25" s="48">
        <v>-3359639.28</v>
      </c>
      <c r="BD25" s="48">
        <v>-3044320.01</v>
      </c>
      <c r="BE25" s="48">
        <v>-3058209.74</v>
      </c>
      <c r="BF25" s="48">
        <v>-2897730.33</v>
      </c>
      <c r="BG25" s="48">
        <v>-2908617.5</v>
      </c>
      <c r="BH25" s="48">
        <v>-3005616.5</v>
      </c>
      <c r="BI25" s="48">
        <v>-2944287.06</v>
      </c>
      <c r="BJ25" s="48">
        <v>-3020568.92</v>
      </c>
      <c r="BK25" s="48">
        <v>-3415087.63</v>
      </c>
      <c r="BL25" s="48">
        <v>-3392815.14</v>
      </c>
      <c r="BM25" s="48">
        <v>-3334106.37</v>
      </c>
      <c r="BN25" s="48">
        <v>-2992659.11</v>
      </c>
      <c r="BO25" s="48">
        <v>-2974883.43</v>
      </c>
      <c r="BP25" s="48">
        <v>-2870009.36</v>
      </c>
      <c r="BQ25" s="48">
        <v>-2788627.64</v>
      </c>
      <c r="BR25" s="48">
        <v>-2836308.35</v>
      </c>
      <c r="BS25" s="48">
        <v>-2823005.96</v>
      </c>
      <c r="BT25" s="48">
        <v>-2880994.57</v>
      </c>
      <c r="BU25" s="48">
        <v>-2842735.31</v>
      </c>
      <c r="BV25" s="48">
        <v>-3010168.62</v>
      </c>
      <c r="BW25" s="48">
        <v>-3263560.11</v>
      </c>
      <c r="BX25" s="48">
        <v>-3443992.14</v>
      </c>
      <c r="BY25" s="48">
        <v>-3357032.31</v>
      </c>
      <c r="BZ25" s="48">
        <v>-3122587.6</v>
      </c>
      <c r="CA25" s="48">
        <v>-3038664.26</v>
      </c>
      <c r="CB25" s="48">
        <v>-3022112.46</v>
      </c>
      <c r="CC25" s="48">
        <v>-2979229.48</v>
      </c>
      <c r="CD25" s="48">
        <v>-2936592.37</v>
      </c>
      <c r="CE25" s="48">
        <v>-2952246.08</v>
      </c>
      <c r="CF25" s="48">
        <v>-2948571.11</v>
      </c>
      <c r="CG25" s="48">
        <v>-2978161.62</v>
      </c>
      <c r="CH25" s="48">
        <v>-3076992.17</v>
      </c>
      <c r="CI25" s="48">
        <v>-3578254.06</v>
      </c>
      <c r="CJ25" s="48">
        <v>-5110198.3099999996</v>
      </c>
      <c r="CK25" s="48">
        <v>-4169454.47</v>
      </c>
      <c r="CL25" s="48">
        <v>-3979312.58</v>
      </c>
      <c r="CM25" s="48">
        <v>-3956333.25</v>
      </c>
      <c r="CN25" s="48">
        <v>-3736932.5</v>
      </c>
      <c r="CO25" s="48">
        <v>-3728859.76</v>
      </c>
      <c r="CP25" s="48">
        <v>-3700434.73</v>
      </c>
      <c r="CQ25" s="48">
        <v>-3677722.72</v>
      </c>
      <c r="CR25" s="48">
        <v>-3732785.26</v>
      </c>
      <c r="CS25" s="48">
        <v>-3709848.29</v>
      </c>
      <c r="CT25" s="48">
        <v>-3834912.87</v>
      </c>
      <c r="CU25" s="48">
        <v>-4173628.76</v>
      </c>
      <c r="CV25" s="48">
        <v>-4379702.5</v>
      </c>
      <c r="CW25" s="48">
        <v>-4548536.16</v>
      </c>
      <c r="CX25" s="48">
        <v>-3856917.85</v>
      </c>
      <c r="CY25" s="48">
        <v>-3870970.26</v>
      </c>
      <c r="CZ25" s="48">
        <v>-3819385.93</v>
      </c>
      <c r="DA25" s="48">
        <v>-3726940.25</v>
      </c>
      <c r="DB25" s="48">
        <v>-3852880.37</v>
      </c>
      <c r="DC25" s="48">
        <v>-3829867.36</v>
      </c>
      <c r="DD25" s="48">
        <v>-3817165.88</v>
      </c>
      <c r="DE25" s="48">
        <f>VLOOKUP($C25,'[2]Analysis 1'!$C$5:$DG$1025,107,FALSE)</f>
        <v>-4016430.98</v>
      </c>
      <c r="DF25" s="48">
        <f>VLOOKUP($C25,'[2]Analysis 1'!$C$5:$DG$1025,108,FALSE)</f>
        <v>-3952089.92</v>
      </c>
      <c r="DG25" s="48">
        <f>VLOOKUP($C25,'[2]Analysis 1'!$C$5:$DG$1025,109,FALSE)</f>
        <v>-4187511.38</v>
      </c>
      <c r="DH25" s="369">
        <f t="shared" si="1"/>
        <v>-47858398.840000004</v>
      </c>
    </row>
    <row r="26" spans="1:112">
      <c r="A26" s="357" t="str">
        <f t="shared" si="0"/>
        <v>4800021</v>
      </c>
      <c r="B26" s="350" t="s">
        <v>1871</v>
      </c>
      <c r="C26" s="335" t="s">
        <v>961</v>
      </c>
      <c r="D26" s="367">
        <v>-4241828</v>
      </c>
      <c r="E26" s="367">
        <v>-4268146.91</v>
      </c>
      <c r="F26" s="367">
        <v>-1952911.05</v>
      </c>
      <c r="G26" s="367">
        <v>-1932921.97</v>
      </c>
      <c r="H26" s="367">
        <v>-1430202.7</v>
      </c>
      <c r="I26" s="367">
        <v>-1597812.13</v>
      </c>
      <c r="J26" s="367">
        <v>-1288744.1000000001</v>
      </c>
      <c r="K26" s="367">
        <v>-1204265.9099999999</v>
      </c>
      <c r="L26" s="367">
        <v>-1380276.73</v>
      </c>
      <c r="M26" s="367">
        <v>-1485531.85</v>
      </c>
      <c r="N26" s="367">
        <v>-1844626.27</v>
      </c>
      <c r="O26" s="368">
        <v>-3255707.26</v>
      </c>
      <c r="P26" s="48">
        <v>-3554300.79</v>
      </c>
      <c r="Q26" s="48">
        <v>-3308954.57</v>
      </c>
      <c r="R26" s="48">
        <v>-2830188</v>
      </c>
      <c r="S26" s="48">
        <v>-1148477.22</v>
      </c>
      <c r="T26" s="48">
        <v>-1357190.21</v>
      </c>
      <c r="U26" s="48">
        <v>-1559571.87</v>
      </c>
      <c r="V26" s="48">
        <v>-1175282.47</v>
      </c>
      <c r="W26" s="48">
        <v>-1327278.55</v>
      </c>
      <c r="X26" s="48">
        <v>-1318245.8799999999</v>
      </c>
      <c r="Y26" s="48">
        <v>-1354580.88</v>
      </c>
      <c r="Z26" s="48">
        <v>-1639862.71</v>
      </c>
      <c r="AA26" s="48">
        <v>-1965290.68</v>
      </c>
      <c r="AB26" s="48">
        <v>-3327589.59</v>
      </c>
      <c r="AC26" s="48">
        <v>-3882314.14</v>
      </c>
      <c r="AD26" s="48">
        <v>-2202942.4300000002</v>
      </c>
      <c r="AE26" s="48">
        <v>-1593092.86</v>
      </c>
      <c r="AF26" s="48">
        <v>-1497143.84</v>
      </c>
      <c r="AG26" s="48">
        <v>-1295145.26</v>
      </c>
      <c r="AH26" s="48">
        <v>-1230097.83</v>
      </c>
      <c r="AI26" s="48">
        <v>-1248929.77</v>
      </c>
      <c r="AJ26" s="48">
        <v>-1271987.47</v>
      </c>
      <c r="AK26" s="48">
        <v>-1279373.77</v>
      </c>
      <c r="AL26" s="48">
        <v>-1495421.59</v>
      </c>
      <c r="AM26" s="48">
        <v>-2160227.89</v>
      </c>
      <c r="AN26" s="48">
        <v>-2818524.69</v>
      </c>
      <c r="AO26" s="48">
        <v>-2605958.7200000002</v>
      </c>
      <c r="AP26" s="48">
        <v>-1929065.59</v>
      </c>
      <c r="AQ26" s="48">
        <v>-1936665.04</v>
      </c>
      <c r="AR26" s="48">
        <v>-1405874.41</v>
      </c>
      <c r="AS26" s="48">
        <v>-1283000.73</v>
      </c>
      <c r="AT26" s="48">
        <v>-1323055.1200000001</v>
      </c>
      <c r="AU26" s="48">
        <v>-1349625.64</v>
      </c>
      <c r="AV26" s="48">
        <v>-1781448.4</v>
      </c>
      <c r="AW26" s="48">
        <v>-1614282.53</v>
      </c>
      <c r="AX26" s="48">
        <v>-2031804.07</v>
      </c>
      <c r="AY26" s="48">
        <v>-3028470.43</v>
      </c>
      <c r="AZ26" s="48">
        <v>-7118368.5499999998</v>
      </c>
      <c r="BA26" s="48">
        <v>-4185348.5</v>
      </c>
      <c r="BB26" s="48">
        <v>-1722364.71</v>
      </c>
      <c r="BC26" s="48">
        <v>-2652915.7799999998</v>
      </c>
      <c r="BD26" s="48">
        <v>-1588186.62</v>
      </c>
      <c r="BE26" s="48">
        <v>-1544913.93</v>
      </c>
      <c r="BF26" s="48">
        <v>-1328141.83</v>
      </c>
      <c r="BG26" s="48">
        <v>-1281724.2</v>
      </c>
      <c r="BH26" s="48">
        <v>-1510062.52</v>
      </c>
      <c r="BI26" s="48">
        <v>-1246101.82</v>
      </c>
      <c r="BJ26" s="48">
        <v>-1574414.64</v>
      </c>
      <c r="BK26" s="48">
        <v>-2724438.62</v>
      </c>
      <c r="BL26" s="48">
        <v>-3565619.04</v>
      </c>
      <c r="BM26" s="48">
        <v>-3224154.6</v>
      </c>
      <c r="BN26" s="48">
        <v>-2304365.9700000002</v>
      </c>
      <c r="BO26" s="48">
        <v>-2374891.5099999998</v>
      </c>
      <c r="BP26" s="48">
        <v>-1865932.48</v>
      </c>
      <c r="BQ26" s="48">
        <v>-1567937.67</v>
      </c>
      <c r="BR26" s="48">
        <v>-1565824.43</v>
      </c>
      <c r="BS26" s="48">
        <v>-1212940.32</v>
      </c>
      <c r="BT26" s="48">
        <v>-1523928.93</v>
      </c>
      <c r="BU26" s="48">
        <v>-1386024.19</v>
      </c>
      <c r="BV26" s="48">
        <v>-1950176.29</v>
      </c>
      <c r="BW26" s="48">
        <v>-2765237.68</v>
      </c>
      <c r="BX26" s="48">
        <v>-3184360.41</v>
      </c>
      <c r="BY26" s="48">
        <v>-2832867.33</v>
      </c>
      <c r="BZ26" s="48">
        <v>-2027038.46</v>
      </c>
      <c r="CA26" s="48">
        <v>-1822756.63</v>
      </c>
      <c r="CB26" s="48">
        <v>-1752563.81</v>
      </c>
      <c r="CC26" s="48">
        <v>-1574642.9</v>
      </c>
      <c r="CD26" s="48">
        <v>-1251360.08</v>
      </c>
      <c r="CE26" s="48">
        <v>-1353756.44</v>
      </c>
      <c r="CF26" s="48">
        <v>-1327943.3500000001</v>
      </c>
      <c r="CG26" s="48">
        <v>-1561634.31</v>
      </c>
      <c r="CH26" s="48">
        <v>-1980925.3</v>
      </c>
      <c r="CI26" s="48">
        <v>-3774337.14</v>
      </c>
      <c r="CJ26" s="48">
        <v>-5075077.84</v>
      </c>
      <c r="CK26" s="48">
        <v>-3234834.73</v>
      </c>
      <c r="CL26" s="48">
        <v>-3175034.32</v>
      </c>
      <c r="CM26" s="48">
        <v>-2842560.43</v>
      </c>
      <c r="CN26" s="48">
        <v>-2001838.84</v>
      </c>
      <c r="CO26" s="48">
        <v>-1936450.4</v>
      </c>
      <c r="CP26" s="48">
        <v>-1789648.38</v>
      </c>
      <c r="CQ26" s="48">
        <v>-1697839.55</v>
      </c>
      <c r="CR26" s="48">
        <v>-1911031.37</v>
      </c>
      <c r="CS26" s="48">
        <v>-1812172.92</v>
      </c>
      <c r="CT26" s="48">
        <v>-2288483.29</v>
      </c>
      <c r="CU26" s="48">
        <v>-3563484.57</v>
      </c>
      <c r="CV26" s="48">
        <v>-4953632.05</v>
      </c>
      <c r="CW26" s="48">
        <v>-5410473.21</v>
      </c>
      <c r="CX26" s="48">
        <v>-2466258.96</v>
      </c>
      <c r="CY26" s="48">
        <v>-2530796.9500000002</v>
      </c>
      <c r="CZ26" s="48">
        <v>-2304976.6</v>
      </c>
      <c r="DA26" s="48">
        <v>-1918903.92</v>
      </c>
      <c r="DB26" s="48">
        <v>-1836702.06</v>
      </c>
      <c r="DC26" s="48">
        <v>-3209575.45</v>
      </c>
      <c r="DD26" s="48">
        <v>-2752011.36</v>
      </c>
      <c r="DE26" s="48">
        <f>VLOOKUP($C26,'[2]Analysis 1'!$C$5:$DG$1025,107,FALSE)</f>
        <v>-3692707.39</v>
      </c>
      <c r="DF26" s="48">
        <f>VLOOKUP($C26,'[2]Analysis 1'!$C$5:$DG$1025,108,FALSE)</f>
        <v>-1396520.3</v>
      </c>
      <c r="DG26" s="48">
        <f>VLOOKUP($C26,'[2]Analysis 1'!$C$5:$DG$1025,109,FALSE)</f>
        <v>-2839896.55</v>
      </c>
      <c r="DH26" s="369">
        <f t="shared" si="1"/>
        <v>-35312454.799999997</v>
      </c>
    </row>
    <row r="27" spans="1:112">
      <c r="A27" s="357" t="str">
        <f t="shared" si="0"/>
        <v>4800030</v>
      </c>
      <c r="B27" s="350" t="s">
        <v>1872</v>
      </c>
      <c r="C27" s="335" t="s">
        <v>962</v>
      </c>
      <c r="D27" s="340">
        <v>-3003917.18</v>
      </c>
      <c r="E27" s="340">
        <v>-2927497.48</v>
      </c>
      <c r="F27" s="340">
        <v>-2344904.16</v>
      </c>
      <c r="G27" s="340">
        <v>-2258801.17</v>
      </c>
      <c r="H27" s="340">
        <v>-1965259.48</v>
      </c>
      <c r="I27" s="340">
        <v>-1964483.37</v>
      </c>
      <c r="J27" s="340">
        <v>-1978925.39</v>
      </c>
      <c r="K27" s="340">
        <v>-1913618.14</v>
      </c>
      <c r="L27" s="340">
        <v>-1988247.54</v>
      </c>
      <c r="M27" s="340">
        <v>-2048002.19</v>
      </c>
      <c r="N27" s="340">
        <v>-2316874.75</v>
      </c>
      <c r="O27" s="341">
        <v>-2832867.6</v>
      </c>
      <c r="P27" s="48">
        <v>-2996645.28</v>
      </c>
      <c r="Q27" s="48">
        <v>-3001146.36</v>
      </c>
      <c r="R27" s="48">
        <v>-2820240.74</v>
      </c>
      <c r="S27" s="48">
        <v>-2100128.46</v>
      </c>
      <c r="T27" s="48">
        <v>-2034966.04</v>
      </c>
      <c r="U27" s="48">
        <v>-2083415.54</v>
      </c>
      <c r="V27" s="48">
        <v>-2087047.77</v>
      </c>
      <c r="W27" s="48">
        <v>-2099604.88</v>
      </c>
      <c r="X27" s="48">
        <v>-2098977.6</v>
      </c>
      <c r="Y27" s="48">
        <v>-2159089.61</v>
      </c>
      <c r="Z27" s="48">
        <v>-2323887.7000000002</v>
      </c>
      <c r="AA27" s="48">
        <v>-2540867.6800000002</v>
      </c>
      <c r="AB27" s="48">
        <v>-3113929.27</v>
      </c>
      <c r="AC27" s="48">
        <v>-3334982.14</v>
      </c>
      <c r="AD27" s="48">
        <v>-2698632.23</v>
      </c>
      <c r="AE27" s="48">
        <v>-2397498.2400000002</v>
      </c>
      <c r="AF27" s="48">
        <v>-2287868.66</v>
      </c>
      <c r="AG27" s="48">
        <v>-2170062.52</v>
      </c>
      <c r="AH27" s="48">
        <v>-1488762.42</v>
      </c>
      <c r="AI27" s="48">
        <v>-1726566.77</v>
      </c>
      <c r="AJ27" s="48">
        <v>-1788064.03</v>
      </c>
      <c r="AK27" s="48">
        <v>-1804713.55</v>
      </c>
      <c r="AL27" s="48">
        <v>-2071440.18</v>
      </c>
      <c r="AM27" s="48">
        <v>-2338465.85</v>
      </c>
      <c r="AN27" s="48">
        <v>-2577134.0699999998</v>
      </c>
      <c r="AO27" s="48">
        <v>-2367034.7200000002</v>
      </c>
      <c r="AP27" s="48">
        <v>-2278716.88</v>
      </c>
      <c r="AQ27" s="48">
        <v>-2281069.02</v>
      </c>
      <c r="AR27" s="48">
        <v>-1994058.67</v>
      </c>
      <c r="AS27" s="48">
        <v>-1900042.14</v>
      </c>
      <c r="AT27" s="48">
        <v>-1443405.54</v>
      </c>
      <c r="AU27" s="48">
        <v>-1593871.16</v>
      </c>
      <c r="AV27" s="48">
        <v>-1718104.67</v>
      </c>
      <c r="AW27" s="48">
        <v>-1704381.53</v>
      </c>
      <c r="AX27" s="48">
        <v>-1953745.19</v>
      </c>
      <c r="AY27" s="48">
        <v>-2257532.61</v>
      </c>
      <c r="AZ27" s="48">
        <v>-3038184.22</v>
      </c>
      <c r="BA27" s="48">
        <v>-2344555.35</v>
      </c>
      <c r="BB27" s="48">
        <v>-2147861.8199999998</v>
      </c>
      <c r="BC27" s="48">
        <v>-2377416.69</v>
      </c>
      <c r="BD27" s="48">
        <v>-1897601.82</v>
      </c>
      <c r="BE27" s="48">
        <v>-1874079.08</v>
      </c>
      <c r="BF27" s="48">
        <v>-2318452.91</v>
      </c>
      <c r="BG27" s="48">
        <v>-2153105.27</v>
      </c>
      <c r="BH27" s="48">
        <v>-2267015.77</v>
      </c>
      <c r="BI27" s="48">
        <v>-2239649.64</v>
      </c>
      <c r="BJ27" s="48">
        <v>-2491818.86</v>
      </c>
      <c r="BK27" s="48">
        <v>-3070957.6</v>
      </c>
      <c r="BL27" s="48">
        <v>-3253477.36</v>
      </c>
      <c r="BM27" s="48">
        <v>-2969919.7</v>
      </c>
      <c r="BN27" s="48">
        <v>-2709469.29</v>
      </c>
      <c r="BO27" s="48">
        <v>-2728394.4</v>
      </c>
      <c r="BP27" s="48">
        <v>-2396125.0099999998</v>
      </c>
      <c r="BQ27" s="48">
        <v>-2207677.84</v>
      </c>
      <c r="BR27" s="48">
        <v>-2006666.34</v>
      </c>
      <c r="BS27" s="48">
        <v>-2117019.21</v>
      </c>
      <c r="BT27" s="48">
        <v>-2182209.58</v>
      </c>
      <c r="BU27" s="48">
        <v>-2229680.0099999998</v>
      </c>
      <c r="BV27" s="48">
        <v>-2501978.66</v>
      </c>
      <c r="BW27" s="48">
        <v>-3041588.2</v>
      </c>
      <c r="BX27" s="48">
        <v>-3234378.44</v>
      </c>
      <c r="BY27" s="48">
        <v>-3039074.43</v>
      </c>
      <c r="BZ27" s="48">
        <v>-2877904.08</v>
      </c>
      <c r="CA27" s="48">
        <v>-2809083.5</v>
      </c>
      <c r="CB27" s="48">
        <v>-2690485.07</v>
      </c>
      <c r="CC27" s="48">
        <v>-2558907.13</v>
      </c>
      <c r="CD27" s="48">
        <v>-2361553.2599999998</v>
      </c>
      <c r="CE27" s="48">
        <v>-2460609.71</v>
      </c>
      <c r="CF27" s="48">
        <v>-2479758.39</v>
      </c>
      <c r="CG27" s="48">
        <v>-2611692.2000000002</v>
      </c>
      <c r="CH27" s="48">
        <v>-2856745.61</v>
      </c>
      <c r="CI27" s="48">
        <v>-3639926.15</v>
      </c>
      <c r="CJ27" s="48">
        <v>-5148943.25</v>
      </c>
      <c r="CK27" s="48">
        <v>-4072084.89</v>
      </c>
      <c r="CL27" s="48">
        <v>-4100457.71</v>
      </c>
      <c r="CM27" s="48">
        <v>-4128056.56</v>
      </c>
      <c r="CN27" s="48">
        <v>-3542530.83</v>
      </c>
      <c r="CO27" s="48">
        <v>-3573687.16</v>
      </c>
      <c r="CP27" s="48">
        <v>-3266435.47</v>
      </c>
      <c r="CQ27" s="48">
        <v>-3315235.63</v>
      </c>
      <c r="CR27" s="48">
        <v>-3436898.46</v>
      </c>
      <c r="CS27" s="48">
        <v>-3533330.31</v>
      </c>
      <c r="CT27" s="48">
        <v>-3920277.03</v>
      </c>
      <c r="CU27" s="48">
        <v>-4611249.84</v>
      </c>
      <c r="CV27" s="48">
        <v>-4954379.0999999996</v>
      </c>
      <c r="CW27" s="48">
        <v>-4870371.74</v>
      </c>
      <c r="CX27" s="48">
        <v>-4290662.6900000004</v>
      </c>
      <c r="CY27" s="48">
        <v>-4211643.7699999996</v>
      </c>
      <c r="CZ27" s="48">
        <v>-4012826.18</v>
      </c>
      <c r="DA27" s="48">
        <v>-3731671.06</v>
      </c>
      <c r="DB27" s="48">
        <v>-3064618.37</v>
      </c>
      <c r="DC27" s="48">
        <v>-3385419.81</v>
      </c>
      <c r="DD27" s="48">
        <v>-3426024.56</v>
      </c>
      <c r="DE27" s="48">
        <f>VLOOKUP($C27,'[2]Analysis 1'!$C$5:$DG$1025,107,FALSE)</f>
        <v>-3856332.33</v>
      </c>
      <c r="DF27" s="48">
        <f>VLOOKUP($C27,'[2]Analysis 1'!$C$5:$DG$1025,108,FALSE)</f>
        <v>-3928397.52</v>
      </c>
      <c r="DG27" s="48">
        <f>VLOOKUP($C27,'[2]Analysis 1'!$C$5:$DG$1025,109,FALSE)</f>
        <v>-4414846.87</v>
      </c>
      <c r="DH27" s="369">
        <f t="shared" si="1"/>
        <v>-48147194</v>
      </c>
    </row>
    <row r="28" spans="1:112">
      <c r="A28" s="357" t="str">
        <f t="shared" si="0"/>
        <v>4800031</v>
      </c>
      <c r="B28" s="350" t="s">
        <v>1873</v>
      </c>
      <c r="C28" s="335" t="s">
        <v>963</v>
      </c>
      <c r="D28" s="367">
        <v>-4889858.78</v>
      </c>
      <c r="E28" s="367">
        <v>-4577722.2300000004</v>
      </c>
      <c r="F28" s="367">
        <v>-2664808.54</v>
      </c>
      <c r="G28" s="367">
        <v>-2350455.69</v>
      </c>
      <c r="H28" s="367">
        <v>-1394585.89</v>
      </c>
      <c r="I28" s="367">
        <v>-1446309.31</v>
      </c>
      <c r="J28" s="367">
        <v>-1297688.6000000001</v>
      </c>
      <c r="K28" s="367">
        <v>-1130981.76</v>
      </c>
      <c r="L28" s="367">
        <v>-1318235.24</v>
      </c>
      <c r="M28" s="367">
        <v>-1514616.12</v>
      </c>
      <c r="N28" s="367">
        <v>-2385792.7999999998</v>
      </c>
      <c r="O28" s="368">
        <v>-4177449.17</v>
      </c>
      <c r="P28" s="48">
        <v>-4526055.6100000003</v>
      </c>
      <c r="Q28" s="48">
        <v>-3975966.03</v>
      </c>
      <c r="R28" s="48">
        <v>-3600211.42</v>
      </c>
      <c r="S28" s="48">
        <v>-1388281.39</v>
      </c>
      <c r="T28" s="48">
        <v>-1328868.5900000001</v>
      </c>
      <c r="U28" s="48">
        <v>-1490863.85</v>
      </c>
      <c r="V28" s="48">
        <v>-1239660.1499999999</v>
      </c>
      <c r="W28" s="48">
        <v>-1326903.1399999999</v>
      </c>
      <c r="X28" s="48">
        <v>-1321254.08</v>
      </c>
      <c r="Y28" s="48">
        <v>-1491199.52</v>
      </c>
      <c r="Z28" s="48">
        <v>-2023598.18</v>
      </c>
      <c r="AA28" s="48">
        <v>-2688150.33</v>
      </c>
      <c r="AB28" s="48">
        <v>-4614382.08</v>
      </c>
      <c r="AC28" s="48">
        <v>-5311641.12</v>
      </c>
      <c r="AD28" s="48">
        <v>-3164857.42</v>
      </c>
      <c r="AE28" s="48">
        <v>-2049301.37</v>
      </c>
      <c r="AF28" s="48">
        <v>-1693071.94</v>
      </c>
      <c r="AG28" s="48">
        <v>-1220629.99</v>
      </c>
      <c r="AH28" s="48">
        <v>-877376.1</v>
      </c>
      <c r="AI28" s="48">
        <v>-1008877.33</v>
      </c>
      <c r="AJ28" s="48">
        <v>-1088264.8999999999</v>
      </c>
      <c r="AK28" s="48">
        <v>-1132433.8999999999</v>
      </c>
      <c r="AL28" s="48">
        <v>-1753971.41</v>
      </c>
      <c r="AM28" s="48">
        <v>-2493288.37</v>
      </c>
      <c r="AN28" s="48">
        <v>-3178693.5</v>
      </c>
      <c r="AO28" s="48">
        <v>-2729167.15</v>
      </c>
      <c r="AP28" s="48">
        <v>-2340963.1800000002</v>
      </c>
      <c r="AQ28" s="48">
        <v>-2325773.98</v>
      </c>
      <c r="AR28" s="48">
        <v>-1410660.16</v>
      </c>
      <c r="AS28" s="48">
        <v>-1035027.16</v>
      </c>
      <c r="AT28" s="48">
        <v>-913709.86</v>
      </c>
      <c r="AU28" s="48">
        <v>-997039.76</v>
      </c>
      <c r="AV28" s="48">
        <v>-1394696.83</v>
      </c>
      <c r="AW28" s="48">
        <v>-1331919.1399999999</v>
      </c>
      <c r="AX28" s="48">
        <v>-2085118.72</v>
      </c>
      <c r="AY28" s="48">
        <v>-3009378.22</v>
      </c>
      <c r="AZ28" s="48">
        <v>-6058565.9500000002</v>
      </c>
      <c r="BA28" s="48">
        <v>-3541014.76</v>
      </c>
      <c r="BB28" s="48">
        <v>-2344767.87</v>
      </c>
      <c r="BC28" s="48">
        <v>-3132351.89</v>
      </c>
      <c r="BD28" s="48">
        <v>-1475808.63</v>
      </c>
      <c r="BE28" s="48">
        <v>-1217503.77</v>
      </c>
      <c r="BF28" s="48">
        <v>-1415446.15</v>
      </c>
      <c r="BG28" s="48">
        <v>-1235226.6200000001</v>
      </c>
      <c r="BH28" s="48">
        <v>-1499472.71</v>
      </c>
      <c r="BI28" s="48">
        <v>-1266829.8</v>
      </c>
      <c r="BJ28" s="48">
        <v>-2068130.42</v>
      </c>
      <c r="BK28" s="48">
        <v>-3747008.65</v>
      </c>
      <c r="BL28" s="48">
        <v>-5212320.2300000004</v>
      </c>
      <c r="BM28" s="48">
        <v>-4072976.1</v>
      </c>
      <c r="BN28" s="48">
        <v>-3480959.38</v>
      </c>
      <c r="BO28" s="48">
        <v>-3745581.75</v>
      </c>
      <c r="BP28" s="48">
        <v>-2236572.33</v>
      </c>
      <c r="BQ28" s="48">
        <v>-1427397.87</v>
      </c>
      <c r="BR28" s="48">
        <v>-1442436.63</v>
      </c>
      <c r="BS28" s="48">
        <v>-1180723.6599999999</v>
      </c>
      <c r="BT28" s="48">
        <v>-1463128.26</v>
      </c>
      <c r="BU28" s="48">
        <v>-1529065.35</v>
      </c>
      <c r="BV28" s="48">
        <v>-2384045.46</v>
      </c>
      <c r="BW28" s="48">
        <v>-4088378.1</v>
      </c>
      <c r="BX28" s="48">
        <v>-4570405.28</v>
      </c>
      <c r="BY28" s="48">
        <v>-3659445.24</v>
      </c>
      <c r="BZ28" s="48">
        <v>-2980431.52</v>
      </c>
      <c r="CA28" s="48">
        <v>-2760879.26</v>
      </c>
      <c r="CB28" s="48">
        <v>-2316953.0099999998</v>
      </c>
      <c r="CC28" s="48">
        <v>-1802490.65</v>
      </c>
      <c r="CD28" s="48">
        <v>-1147227.67</v>
      </c>
      <c r="CE28" s="48">
        <v>-1356427.73</v>
      </c>
      <c r="CF28" s="48">
        <v>-1347468.91</v>
      </c>
      <c r="CG28" s="48">
        <v>-1833625.78</v>
      </c>
      <c r="CH28" s="48">
        <v>-2682740.31</v>
      </c>
      <c r="CI28" s="48">
        <v>-5467712.4699999997</v>
      </c>
      <c r="CJ28" s="48">
        <v>-6798181.04</v>
      </c>
      <c r="CK28" s="48">
        <v>-4344107.63</v>
      </c>
      <c r="CL28" s="48">
        <v>-5203267.1500000004</v>
      </c>
      <c r="CM28" s="48">
        <v>-4875260.41</v>
      </c>
      <c r="CN28" s="48">
        <v>-2527972.7999999998</v>
      </c>
      <c r="CO28" s="48">
        <v>-2459181.06</v>
      </c>
      <c r="CP28" s="48">
        <v>-2190186.9300000002</v>
      </c>
      <c r="CQ28" s="48">
        <v>-1899548.07</v>
      </c>
      <c r="CR28" s="48">
        <v>-2271779.7999999998</v>
      </c>
      <c r="CS28" s="48">
        <v>-2428177.2599999998</v>
      </c>
      <c r="CT28" s="48">
        <v>-3811831.05</v>
      </c>
      <c r="CU28" s="48">
        <v>-6312915.1100000003</v>
      </c>
      <c r="CV28" s="48">
        <v>-8542997.4199999999</v>
      </c>
      <c r="CW28" s="48">
        <v>-7647708.21</v>
      </c>
      <c r="CX28" s="48">
        <v>-4976982.04</v>
      </c>
      <c r="CY28" s="48">
        <v>-4532973.1100000003</v>
      </c>
      <c r="CZ28" s="48">
        <v>-3499635.05</v>
      </c>
      <c r="DA28" s="48">
        <v>-2157575.63</v>
      </c>
      <c r="DB28" s="48">
        <v>-1815292.35</v>
      </c>
      <c r="DC28" s="48">
        <v>-3436436.06</v>
      </c>
      <c r="DD28" s="48">
        <v>-3033059.86</v>
      </c>
      <c r="DE28" s="48">
        <f>VLOOKUP($C28,'[2]Analysis 1'!$C$5:$DG$1025,107,FALSE)</f>
        <v>-4991683.1500000004</v>
      </c>
      <c r="DF28" s="48">
        <f>VLOOKUP($C28,'[2]Analysis 1'!$C$5:$DG$1025,108,FALSE)</f>
        <v>-2326095.65</v>
      </c>
      <c r="DG28" s="48">
        <f>VLOOKUP($C28,'[2]Analysis 1'!$C$5:$DG$1025,109,FALSE)</f>
        <v>-4683295.75</v>
      </c>
      <c r="DH28" s="369">
        <f t="shared" si="1"/>
        <v>-51643734.279999994</v>
      </c>
    </row>
    <row r="29" spans="1:112">
      <c r="A29" s="357" t="str">
        <f t="shared" si="0"/>
        <v>4800035</v>
      </c>
      <c r="B29" s="350" t="s">
        <v>1874</v>
      </c>
      <c r="C29" s="335" t="s">
        <v>964</v>
      </c>
      <c r="D29" s="340">
        <v>-16640.23</v>
      </c>
      <c r="E29" s="340">
        <v>-16499.59</v>
      </c>
      <c r="F29" s="340">
        <v>-16252.32</v>
      </c>
      <c r="G29" s="340">
        <v>-16418.45</v>
      </c>
      <c r="H29" s="340">
        <v>-16152.87</v>
      </c>
      <c r="I29" s="340">
        <v>-15784.68</v>
      </c>
      <c r="J29" s="340">
        <v>-15780.09</v>
      </c>
      <c r="K29" s="340">
        <v>-15465.55</v>
      </c>
      <c r="L29" s="340">
        <v>-15359.76</v>
      </c>
      <c r="M29" s="340">
        <v>-16329.51</v>
      </c>
      <c r="N29" s="340">
        <v>-16360.84</v>
      </c>
      <c r="O29" s="341">
        <v>-16215.5</v>
      </c>
      <c r="P29" s="48">
        <v>-16857.38</v>
      </c>
      <c r="Q29" s="48">
        <v>-16997.7</v>
      </c>
      <c r="R29" s="48">
        <v>-16338.06</v>
      </c>
      <c r="S29" s="48">
        <v>-16459.939999999999</v>
      </c>
      <c r="T29" s="48">
        <v>-16350.39</v>
      </c>
      <c r="U29" s="48">
        <v>-16532.060000000001</v>
      </c>
      <c r="V29" s="48">
        <v>-15731.88</v>
      </c>
      <c r="W29" s="48">
        <v>-16071.35</v>
      </c>
      <c r="X29" s="48">
        <v>-16253.03</v>
      </c>
      <c r="Y29" s="48">
        <v>-16162.84</v>
      </c>
      <c r="Z29" s="48">
        <v>-16616.23</v>
      </c>
      <c r="AA29" s="48">
        <v>-16331.15</v>
      </c>
      <c r="AB29" s="48">
        <v>-16593.93</v>
      </c>
      <c r="AC29" s="48">
        <v>-16570.63</v>
      </c>
      <c r="AD29" s="48">
        <v>-17483.68</v>
      </c>
      <c r="AE29" s="48">
        <v>-16102.21</v>
      </c>
      <c r="AF29" s="48">
        <v>-15804.87</v>
      </c>
      <c r="AG29" s="48">
        <v>-15697.93</v>
      </c>
      <c r="AH29" s="48">
        <v>-16342.6</v>
      </c>
      <c r="AI29" s="48">
        <v>-16473.2</v>
      </c>
      <c r="AJ29" s="48">
        <v>-16374.55</v>
      </c>
      <c r="AK29" s="48">
        <v>-16590.330000000002</v>
      </c>
      <c r="AL29" s="48">
        <v>-16724.900000000001</v>
      </c>
      <c r="AM29" s="48">
        <v>-16600</v>
      </c>
      <c r="AN29" s="48">
        <v>-16635.89</v>
      </c>
      <c r="AO29" s="48">
        <v>-16687.189999999999</v>
      </c>
      <c r="AP29" s="48">
        <v>-17454.66</v>
      </c>
      <c r="AQ29" s="48">
        <v>-17522.62</v>
      </c>
      <c r="AR29" s="48">
        <v>-16637.13</v>
      </c>
      <c r="AS29" s="48">
        <v>-17000.7</v>
      </c>
      <c r="AT29" s="48">
        <v>-17236.060000000001</v>
      </c>
      <c r="AU29" s="48">
        <v>-16708.29</v>
      </c>
      <c r="AV29" s="48">
        <v>-21051.91</v>
      </c>
      <c r="AW29" s="48">
        <v>-20084.36</v>
      </c>
      <c r="AX29" s="48">
        <v>-24875.98</v>
      </c>
      <c r="AY29" s="48">
        <v>-17019.55</v>
      </c>
      <c r="AZ29" s="48">
        <v>-18217.72</v>
      </c>
      <c r="BA29" s="48">
        <v>-17394.150000000001</v>
      </c>
      <c r="BB29" s="48">
        <v>-17038.900000000001</v>
      </c>
      <c r="BC29" s="48">
        <v>-17727.34</v>
      </c>
      <c r="BD29" s="48">
        <v>-16954.939999999999</v>
      </c>
      <c r="BE29" s="48">
        <v>-17744.599999999999</v>
      </c>
      <c r="BF29" s="48">
        <v>-16794.080000000002</v>
      </c>
      <c r="BG29" s="48">
        <v>-17169.02</v>
      </c>
      <c r="BH29" s="48">
        <v>-18128.55</v>
      </c>
      <c r="BI29" s="48">
        <v>-18450.990000000002</v>
      </c>
      <c r="BJ29" s="48">
        <v>-19254.03</v>
      </c>
      <c r="BK29" s="48">
        <v>-18769.849999999999</v>
      </c>
      <c r="BL29" s="48">
        <v>-17951.07</v>
      </c>
      <c r="BM29" s="48">
        <v>-18749.23</v>
      </c>
      <c r="BN29" s="48">
        <v>-18100.759999999998</v>
      </c>
      <c r="BO29" s="48">
        <v>-18244.82</v>
      </c>
      <c r="BP29" s="48">
        <v>-17882.830000000002</v>
      </c>
      <c r="BQ29" s="48">
        <v>-17380.68</v>
      </c>
      <c r="BR29" s="48">
        <v>-16987.189999999999</v>
      </c>
      <c r="BS29" s="48">
        <v>-17649.810000000001</v>
      </c>
      <c r="BT29" s="48">
        <v>-17282.599999999999</v>
      </c>
      <c r="BU29" s="48">
        <v>-17830.82</v>
      </c>
      <c r="BV29" s="48">
        <v>-17869.96</v>
      </c>
      <c r="BW29" s="48">
        <v>-19027.62</v>
      </c>
      <c r="BX29" s="48">
        <v>-19038.45</v>
      </c>
      <c r="BY29" s="48">
        <v>-18164.84</v>
      </c>
      <c r="BZ29" s="48">
        <v>-18766.48</v>
      </c>
      <c r="CA29" s="48">
        <v>-17882.72</v>
      </c>
      <c r="CB29" s="48">
        <v>-17906.07</v>
      </c>
      <c r="CC29" s="48">
        <v>-19021.72</v>
      </c>
      <c r="CD29" s="48">
        <v>-18577.79</v>
      </c>
      <c r="CE29" s="48">
        <v>-18465.96</v>
      </c>
      <c r="CF29" s="48">
        <v>-18912.650000000001</v>
      </c>
      <c r="CG29" s="48">
        <v>-18933.849999999999</v>
      </c>
      <c r="CH29" s="48">
        <v>-20050.45</v>
      </c>
      <c r="CI29" s="48">
        <v>-20803.23</v>
      </c>
      <c r="CJ29" s="48">
        <v>-26319.55</v>
      </c>
      <c r="CK29" s="48">
        <v>-26206.81</v>
      </c>
      <c r="CL29" s="48">
        <v>-26733</v>
      </c>
      <c r="CM29" s="48">
        <v>-26352.97</v>
      </c>
      <c r="CN29" s="48">
        <v>-26355.21</v>
      </c>
      <c r="CO29" s="48">
        <v>-25954.36</v>
      </c>
      <c r="CP29" s="48">
        <v>-25754.21</v>
      </c>
      <c r="CQ29" s="48">
        <v>-25111.29</v>
      </c>
      <c r="CR29" s="48">
        <v>-26211.82</v>
      </c>
      <c r="CS29" s="48">
        <v>-26455.05</v>
      </c>
      <c r="CT29" s="48">
        <v>-25961.11</v>
      </c>
      <c r="CU29" s="48">
        <v>-27514.42</v>
      </c>
      <c r="CV29" s="48">
        <v>-29180.78</v>
      </c>
      <c r="CW29" s="48">
        <v>-28246.78</v>
      </c>
      <c r="CX29" s="48">
        <v>-26837.35</v>
      </c>
      <c r="CY29" s="48">
        <v>-27270.9</v>
      </c>
      <c r="CZ29" s="48">
        <v>-26572.17</v>
      </c>
      <c r="DA29" s="48">
        <v>-25781.14</v>
      </c>
      <c r="DB29" s="48">
        <v>-25954.29</v>
      </c>
      <c r="DC29" s="48">
        <v>-26656.6</v>
      </c>
      <c r="DD29" s="48">
        <v>-26782.5</v>
      </c>
      <c r="DE29" s="48">
        <f>VLOOKUP($C29,'[2]Analysis 1'!$C$5:$DG$1025,107,FALSE)</f>
        <v>-27791.360000000001</v>
      </c>
      <c r="DF29" s="48">
        <f>VLOOKUP($C29,'[2]Analysis 1'!$C$5:$DG$1025,108,FALSE)</f>
        <v>-27193.57</v>
      </c>
      <c r="DG29" s="48">
        <f>VLOOKUP($C29,'[2]Analysis 1'!$C$5:$DG$1025,109,FALSE)</f>
        <v>-28920.13</v>
      </c>
      <c r="DH29" s="369">
        <f t="shared" si="1"/>
        <v>-327187.57</v>
      </c>
    </row>
    <row r="30" spans="1:112">
      <c r="A30" s="357" t="str">
        <f t="shared" si="0"/>
        <v>4800036</v>
      </c>
      <c r="B30" s="350" t="s">
        <v>1875</v>
      </c>
      <c r="C30" s="335" t="s">
        <v>965</v>
      </c>
      <c r="D30" s="367">
        <v>-4644.59</v>
      </c>
      <c r="E30" s="367">
        <v>-4642.13</v>
      </c>
      <c r="F30" s="367">
        <v>-3659.35</v>
      </c>
      <c r="G30" s="367">
        <v>-3907.93</v>
      </c>
      <c r="H30" s="367">
        <v>-3231.71</v>
      </c>
      <c r="I30" s="367">
        <v>-3015.36</v>
      </c>
      <c r="J30" s="367">
        <v>-2683.14</v>
      </c>
      <c r="K30" s="367">
        <v>-2061.9899999999998</v>
      </c>
      <c r="L30" s="367">
        <v>-2387.5700000000002</v>
      </c>
      <c r="M30" s="367">
        <v>-2861.19</v>
      </c>
      <c r="N30" s="367">
        <v>-3317.17</v>
      </c>
      <c r="O30" s="368">
        <v>-4172.32</v>
      </c>
      <c r="P30" s="48">
        <v>-5521.95</v>
      </c>
      <c r="Q30" s="48">
        <v>-3974.6</v>
      </c>
      <c r="R30" s="48">
        <v>-3781.2</v>
      </c>
      <c r="S30" s="48">
        <v>-3592.19</v>
      </c>
      <c r="T30" s="48">
        <v>-2543.9499999999998</v>
      </c>
      <c r="U30" s="48">
        <v>-2551.7199999999998</v>
      </c>
      <c r="V30" s="48">
        <v>-2372.7199999999998</v>
      </c>
      <c r="W30" s="48">
        <v>-2245.88</v>
      </c>
      <c r="X30" s="48">
        <v>-2451.21</v>
      </c>
      <c r="Y30" s="48">
        <v>-2570.1799999999998</v>
      </c>
      <c r="Z30" s="48">
        <v>-3136.56</v>
      </c>
      <c r="AA30" s="48">
        <v>-3874.35</v>
      </c>
      <c r="AB30" s="48">
        <v>-4890.96</v>
      </c>
      <c r="AC30" s="48">
        <v>-3724.22</v>
      </c>
      <c r="AD30" s="48">
        <v>-5151.7700000000004</v>
      </c>
      <c r="AE30" s="48">
        <v>-3663.31</v>
      </c>
      <c r="AF30" s="48">
        <v>-3563.78</v>
      </c>
      <c r="AG30" s="48">
        <v>-2654.98</v>
      </c>
      <c r="AH30" s="48">
        <v>-2596.84</v>
      </c>
      <c r="AI30" s="48">
        <v>-2022.95</v>
      </c>
      <c r="AJ30" s="48">
        <v>-2094.37</v>
      </c>
      <c r="AK30" s="48">
        <v>-3586.71</v>
      </c>
      <c r="AL30" s="48">
        <v>-3578.84</v>
      </c>
      <c r="AM30" s="48">
        <v>-4116.74</v>
      </c>
      <c r="AN30" s="48">
        <v>-4188.03</v>
      </c>
      <c r="AO30" s="48">
        <v>-4489.76</v>
      </c>
      <c r="AP30" s="48">
        <v>-4279.97</v>
      </c>
      <c r="AQ30" s="48">
        <v>-4011.47</v>
      </c>
      <c r="AR30" s="48">
        <v>-3357.62</v>
      </c>
      <c r="AS30" s="48">
        <v>-2428.5500000000002</v>
      </c>
      <c r="AT30" s="48">
        <v>-2206.9299999999998</v>
      </c>
      <c r="AU30" s="48">
        <v>-2145.38</v>
      </c>
      <c r="AV30" s="48">
        <v>-19496.53</v>
      </c>
      <c r="AW30" s="48">
        <v>-18956.45</v>
      </c>
      <c r="AX30" s="48">
        <v>-33021.21</v>
      </c>
      <c r="AY30" s="48">
        <v>-4926.6899999999996</v>
      </c>
      <c r="AZ30" s="48">
        <v>-7215.05</v>
      </c>
      <c r="BA30" s="48">
        <v>-4883.1899999999996</v>
      </c>
      <c r="BB30" s="48">
        <v>-4069.52</v>
      </c>
      <c r="BC30" s="48">
        <v>-4836.21</v>
      </c>
      <c r="BD30" s="48">
        <v>-3489.54</v>
      </c>
      <c r="BE30" s="48">
        <v>-3720.13</v>
      </c>
      <c r="BF30" s="48">
        <v>-2950.6</v>
      </c>
      <c r="BG30" s="48">
        <v>-2204.14</v>
      </c>
      <c r="BH30" s="48">
        <v>-2606.65</v>
      </c>
      <c r="BI30" s="48">
        <v>-4430.51</v>
      </c>
      <c r="BJ30" s="48">
        <v>-7803.1</v>
      </c>
      <c r="BK30" s="48">
        <v>-4757.6499999999996</v>
      </c>
      <c r="BL30" s="48">
        <v>-6169.18</v>
      </c>
      <c r="BM30" s="48">
        <v>-5790.13</v>
      </c>
      <c r="BN30" s="48">
        <v>-5581.73</v>
      </c>
      <c r="BO30" s="48">
        <v>-5691.5</v>
      </c>
      <c r="BP30" s="48">
        <v>-4194.55</v>
      </c>
      <c r="BQ30" s="48">
        <v>-3420.51</v>
      </c>
      <c r="BR30" s="48">
        <v>-2938.16</v>
      </c>
      <c r="BS30" s="48">
        <v>-2548.2600000000002</v>
      </c>
      <c r="BT30" s="48">
        <v>-2497.23</v>
      </c>
      <c r="BU30" s="48">
        <v>-2649.73</v>
      </c>
      <c r="BV30" s="48">
        <v>-3422.39</v>
      </c>
      <c r="BW30" s="48">
        <v>-5748.23</v>
      </c>
      <c r="BX30" s="48">
        <v>-6019.78</v>
      </c>
      <c r="BY30" s="48">
        <v>-4833.3</v>
      </c>
      <c r="BZ30" s="48">
        <v>-4180.74</v>
      </c>
      <c r="CA30" s="48">
        <v>-4317.58</v>
      </c>
      <c r="CB30" s="48">
        <v>-3626.71</v>
      </c>
      <c r="CC30" s="48">
        <v>-2988.67</v>
      </c>
      <c r="CD30" s="48">
        <v>-2552.9699999999998</v>
      </c>
      <c r="CE30" s="48">
        <v>-2632.17</v>
      </c>
      <c r="CF30" s="48">
        <v>-2387.5500000000002</v>
      </c>
      <c r="CG30" s="48">
        <v>-2744.69</v>
      </c>
      <c r="CH30" s="48">
        <v>-4131.78</v>
      </c>
      <c r="CI30" s="48">
        <v>-7527.67</v>
      </c>
      <c r="CJ30" s="48">
        <v>-10225.200000000001</v>
      </c>
      <c r="CK30" s="48">
        <v>-8782.58</v>
      </c>
      <c r="CL30" s="48">
        <v>-8672.23</v>
      </c>
      <c r="CM30" s="48">
        <v>-8448.5</v>
      </c>
      <c r="CN30" s="48">
        <v>-5744.81</v>
      </c>
      <c r="CO30" s="48">
        <v>-5291.77</v>
      </c>
      <c r="CP30" s="48">
        <v>-4116.25</v>
      </c>
      <c r="CQ30" s="48">
        <v>-3702.28</v>
      </c>
      <c r="CR30" s="48">
        <v>-3526.78</v>
      </c>
      <c r="CS30" s="48">
        <v>-4245.68</v>
      </c>
      <c r="CT30" s="48">
        <v>-5435.36</v>
      </c>
      <c r="CU30" s="48">
        <v>-11995.94</v>
      </c>
      <c r="CV30" s="48">
        <v>-16086.59</v>
      </c>
      <c r="CW30" s="48">
        <v>-11942.73</v>
      </c>
      <c r="CX30" s="48">
        <v>-9013.15</v>
      </c>
      <c r="CY30" s="48">
        <v>-9059.7900000000009</v>
      </c>
      <c r="CZ30" s="48">
        <v>-6260.48</v>
      </c>
      <c r="DA30" s="48">
        <v>-4841.51</v>
      </c>
      <c r="DB30" s="48">
        <v>-3954.09</v>
      </c>
      <c r="DC30" s="48">
        <v>-5126.43</v>
      </c>
      <c r="DD30" s="48">
        <v>-6916.11</v>
      </c>
      <c r="DE30" s="48">
        <f>VLOOKUP($C30,'[2]Analysis 1'!$C$5:$DG$1025,107,FALSE)</f>
        <v>-21823.41</v>
      </c>
      <c r="DF30" s="48">
        <f>VLOOKUP($C30,'[2]Analysis 1'!$C$5:$DG$1025,108,FALSE)</f>
        <v>-6389.23</v>
      </c>
      <c r="DG30" s="48">
        <f>VLOOKUP($C30,'[2]Analysis 1'!$C$5:$DG$1025,109,FALSE)</f>
        <v>-8948.4599999999991</v>
      </c>
      <c r="DH30" s="369">
        <f t="shared" si="1"/>
        <v>-110361.98000000001</v>
      </c>
    </row>
    <row r="31" spans="1:112">
      <c r="A31" s="357" t="str">
        <f>+B31</f>
        <v>4800037</v>
      </c>
      <c r="B31" s="350" t="s">
        <v>2484</v>
      </c>
      <c r="C31" s="335" t="s">
        <v>2486</v>
      </c>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v>-13.65</v>
      </c>
      <c r="CC31" s="48">
        <v>-67.569999999999993</v>
      </c>
      <c r="CD31" s="48">
        <v>-46.93</v>
      </c>
      <c r="CE31" s="48">
        <v>-60.77</v>
      </c>
      <c r="CF31" s="48">
        <v>107.7</v>
      </c>
      <c r="CG31" s="48">
        <v>0</v>
      </c>
      <c r="CH31" s="48">
        <v>0</v>
      </c>
      <c r="CI31" s="48">
        <v>0</v>
      </c>
      <c r="CJ31" s="48">
        <v>0</v>
      </c>
      <c r="CK31" s="48">
        <v>0</v>
      </c>
      <c r="CL31" s="48">
        <v>0</v>
      </c>
      <c r="CM31" s="48">
        <v>0</v>
      </c>
      <c r="CN31" s="48">
        <v>0</v>
      </c>
      <c r="CO31" s="48">
        <v>0</v>
      </c>
      <c r="CP31" s="48">
        <v>0</v>
      </c>
      <c r="CQ31" s="48">
        <v>0</v>
      </c>
      <c r="CR31" s="48">
        <v>0</v>
      </c>
      <c r="CS31" s="48">
        <v>0</v>
      </c>
      <c r="CT31" s="48">
        <v>0</v>
      </c>
      <c r="CU31" s="48">
        <v>0</v>
      </c>
      <c r="CV31" s="48">
        <v>0</v>
      </c>
      <c r="CW31" s="48">
        <v>0</v>
      </c>
      <c r="CX31" s="48">
        <v>0</v>
      </c>
      <c r="CY31" s="48">
        <v>0</v>
      </c>
      <c r="CZ31" s="48">
        <v>0</v>
      </c>
      <c r="DA31" s="48">
        <v>0</v>
      </c>
      <c r="DB31" s="48">
        <v>0</v>
      </c>
      <c r="DC31" s="48">
        <v>0</v>
      </c>
      <c r="DD31" s="48">
        <v>0</v>
      </c>
      <c r="DE31" s="48">
        <f>VLOOKUP($C31,'[2]Analysis 1'!$C$5:$DG$1025,107,FALSE)</f>
        <v>0</v>
      </c>
      <c r="DF31" s="48">
        <f>VLOOKUP($C31,'[2]Analysis 1'!$C$5:$DG$1025,108,FALSE)</f>
        <v>0</v>
      </c>
      <c r="DG31" s="48">
        <f>VLOOKUP($C31,'[2]Analysis 1'!$C$5:$DG$1025,109,FALSE)</f>
        <v>0</v>
      </c>
      <c r="DH31" s="369">
        <f t="shared" si="1"/>
        <v>0</v>
      </c>
    </row>
    <row r="32" spans="1:112">
      <c r="A32" s="357" t="str">
        <f>+B32</f>
        <v>4800038</v>
      </c>
      <c r="B32" s="350" t="s">
        <v>2485</v>
      </c>
      <c r="C32" s="335" t="s">
        <v>2487</v>
      </c>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v>-32.97</v>
      </c>
      <c r="CC32" s="48">
        <v>-311.26</v>
      </c>
      <c r="CD32" s="48">
        <v>-222.52</v>
      </c>
      <c r="CE32" s="48">
        <v>-332.83</v>
      </c>
      <c r="CF32" s="48">
        <v>555.35</v>
      </c>
      <c r="CG32" s="48">
        <v>0</v>
      </c>
      <c r="CH32" s="48">
        <v>0</v>
      </c>
      <c r="CI32" s="48">
        <v>0</v>
      </c>
      <c r="CJ32" s="48">
        <v>0</v>
      </c>
      <c r="CK32" s="48">
        <v>0</v>
      </c>
      <c r="CL32" s="48">
        <v>0</v>
      </c>
      <c r="CM32" s="48">
        <v>0</v>
      </c>
      <c r="CN32" s="48">
        <v>0</v>
      </c>
      <c r="CO32" s="48">
        <v>0</v>
      </c>
      <c r="CP32" s="48">
        <v>0</v>
      </c>
      <c r="CQ32" s="48">
        <v>0</v>
      </c>
      <c r="CR32" s="48">
        <v>0</v>
      </c>
      <c r="CS32" s="48">
        <v>0</v>
      </c>
      <c r="CT32" s="48">
        <v>0</v>
      </c>
      <c r="CU32" s="48">
        <v>0</v>
      </c>
      <c r="CV32" s="48">
        <v>0</v>
      </c>
      <c r="CW32" s="48">
        <v>0</v>
      </c>
      <c r="CX32" s="48">
        <v>0</v>
      </c>
      <c r="CY32" s="48">
        <v>0</v>
      </c>
      <c r="CZ32" s="48">
        <v>0</v>
      </c>
      <c r="DA32" s="48">
        <v>0</v>
      </c>
      <c r="DB32" s="48">
        <v>0</v>
      </c>
      <c r="DC32" s="48">
        <v>0</v>
      </c>
      <c r="DD32" s="48">
        <v>0</v>
      </c>
      <c r="DE32" s="48">
        <f>VLOOKUP($C32,'[2]Analysis 1'!$C$5:$DG$1025,107,FALSE)</f>
        <v>0</v>
      </c>
      <c r="DF32" s="48">
        <f>VLOOKUP($C32,'[2]Analysis 1'!$C$5:$DG$1025,108,FALSE)</f>
        <v>0</v>
      </c>
      <c r="DG32" s="48">
        <f>VLOOKUP($C32,'[2]Analysis 1'!$C$5:$DG$1025,109,FALSE)</f>
        <v>0</v>
      </c>
      <c r="DH32" s="369">
        <f t="shared" si="1"/>
        <v>0</v>
      </c>
    </row>
    <row r="33" spans="1:112">
      <c r="A33" s="357" t="str">
        <f t="shared" si="0"/>
        <v>4800040</v>
      </c>
      <c r="B33" s="350" t="s">
        <v>1876</v>
      </c>
      <c r="C33" s="335" t="s">
        <v>966</v>
      </c>
      <c r="D33" s="340">
        <v>-226738.43</v>
      </c>
      <c r="E33" s="340">
        <v>-160895.51</v>
      </c>
      <c r="F33" s="340">
        <v>-159257.88</v>
      </c>
      <c r="G33" s="340">
        <v>-147172.81</v>
      </c>
      <c r="H33" s="340">
        <v>-81873.08</v>
      </c>
      <c r="I33" s="340">
        <v>-69082.06</v>
      </c>
      <c r="J33" s="340">
        <v>-62109.07</v>
      </c>
      <c r="K33" s="340">
        <v>-59162.37</v>
      </c>
      <c r="L33" s="340">
        <v>-66969.95</v>
      </c>
      <c r="M33" s="340">
        <v>-85197.48</v>
      </c>
      <c r="N33" s="340">
        <v>-153183.92000000001</v>
      </c>
      <c r="O33" s="341">
        <v>-199343.8</v>
      </c>
      <c r="P33" s="48">
        <v>-191167.09</v>
      </c>
      <c r="Q33" s="48">
        <v>-190733.52</v>
      </c>
      <c r="R33" s="48">
        <v>-165651.94</v>
      </c>
      <c r="S33" s="48">
        <v>-101502.9</v>
      </c>
      <c r="T33" s="48">
        <v>-67486.91</v>
      </c>
      <c r="U33" s="48">
        <v>-71386.14</v>
      </c>
      <c r="V33" s="48">
        <v>-61899.19</v>
      </c>
      <c r="W33" s="48">
        <v>-70995.45</v>
      </c>
      <c r="X33" s="48">
        <v>-66342.06</v>
      </c>
      <c r="Y33" s="48">
        <v>-84890.17</v>
      </c>
      <c r="Z33" s="48">
        <v>-114359.24</v>
      </c>
      <c r="AA33" s="48">
        <v>-167859.1</v>
      </c>
      <c r="AB33" s="48">
        <v>-208515.78</v>
      </c>
      <c r="AC33" s="48">
        <v>-209091.64</v>
      </c>
      <c r="AD33" s="48">
        <v>-167781.78</v>
      </c>
      <c r="AE33" s="48">
        <v>-125668.68</v>
      </c>
      <c r="AF33" s="48">
        <v>-94338.59</v>
      </c>
      <c r="AG33" s="48">
        <v>-60407.83</v>
      </c>
      <c r="AH33" s="48">
        <v>-59382.69</v>
      </c>
      <c r="AI33" s="48">
        <v>-61573.64</v>
      </c>
      <c r="AJ33" s="48">
        <v>-69815.990000000005</v>
      </c>
      <c r="AK33" s="48">
        <v>-76949.679999999993</v>
      </c>
      <c r="AL33" s="48">
        <v>-150592.99</v>
      </c>
      <c r="AM33" s="48">
        <v>-187290.81</v>
      </c>
      <c r="AN33" s="48">
        <v>-191210.83</v>
      </c>
      <c r="AO33" s="48">
        <v>-188135.69</v>
      </c>
      <c r="AP33" s="48">
        <v>-160008.95000000001</v>
      </c>
      <c r="AQ33" s="48">
        <v>-149083.91</v>
      </c>
      <c r="AR33" s="48">
        <v>-94853.21</v>
      </c>
      <c r="AS33" s="48">
        <v>-64694.68</v>
      </c>
      <c r="AT33" s="48">
        <v>-78668.7</v>
      </c>
      <c r="AU33" s="48">
        <v>-74590.52</v>
      </c>
      <c r="AV33" s="48">
        <v>-89591.679999999993</v>
      </c>
      <c r="AW33" s="48">
        <v>-89682.38</v>
      </c>
      <c r="AX33" s="48">
        <v>-158640.35</v>
      </c>
      <c r="AY33" s="48">
        <v>-207567.3</v>
      </c>
      <c r="AZ33" s="48">
        <v>-258653.92</v>
      </c>
      <c r="BA33" s="48">
        <v>-190629.98</v>
      </c>
      <c r="BB33" s="48">
        <v>-170998.83</v>
      </c>
      <c r="BC33" s="48">
        <v>-187905.51</v>
      </c>
      <c r="BD33" s="48">
        <v>-96663.14</v>
      </c>
      <c r="BE33" s="48">
        <v>-84453.23</v>
      </c>
      <c r="BF33" s="48">
        <v>-77823.929999999993</v>
      </c>
      <c r="BG33" s="48">
        <v>-78292.509999999995</v>
      </c>
      <c r="BH33" s="48">
        <v>-90137.61</v>
      </c>
      <c r="BI33" s="48">
        <v>-87283.96</v>
      </c>
      <c r="BJ33" s="48">
        <v>-149441.38</v>
      </c>
      <c r="BK33" s="48">
        <v>-219856.55</v>
      </c>
      <c r="BL33" s="48">
        <v>-241974.19</v>
      </c>
      <c r="BM33" s="48">
        <v>-187412.55</v>
      </c>
      <c r="BN33" s="48">
        <v>-171941.54</v>
      </c>
      <c r="BO33" s="48">
        <v>-169125.13</v>
      </c>
      <c r="BP33" s="48">
        <v>-104825.93</v>
      </c>
      <c r="BQ33" s="48">
        <v>-68008.44</v>
      </c>
      <c r="BR33" s="48">
        <v>-111506.36</v>
      </c>
      <c r="BS33" s="48">
        <v>-57858.5</v>
      </c>
      <c r="BT33" s="48">
        <v>-75267.34</v>
      </c>
      <c r="BU33" s="48">
        <v>-48293.07</v>
      </c>
      <c r="BV33" s="48">
        <v>-140033.4</v>
      </c>
      <c r="BW33" s="48">
        <v>-213696.32</v>
      </c>
      <c r="BX33" s="48">
        <v>-232478.68</v>
      </c>
      <c r="BY33" s="48">
        <v>-185183.18</v>
      </c>
      <c r="BZ33" s="48">
        <v>-169355.24</v>
      </c>
      <c r="CA33" s="48">
        <v>-120441.83</v>
      </c>
      <c r="CB33" s="48">
        <v>-99703.65</v>
      </c>
      <c r="CC33" s="48">
        <v>-94205.31</v>
      </c>
      <c r="CD33" s="48">
        <v>-63071.040000000001</v>
      </c>
      <c r="CE33" s="48">
        <v>-70321.179999999993</v>
      </c>
      <c r="CF33" s="48">
        <v>-70474.94</v>
      </c>
      <c r="CG33" s="48">
        <v>-91616.07</v>
      </c>
      <c r="CH33" s="48">
        <v>-125918.83</v>
      </c>
      <c r="CI33" s="48">
        <v>-223658.81</v>
      </c>
      <c r="CJ33" s="48">
        <v>-308661.26</v>
      </c>
      <c r="CK33" s="48">
        <v>-218788.53</v>
      </c>
      <c r="CL33" s="48">
        <v>-221169.79</v>
      </c>
      <c r="CM33" s="48">
        <v>-201025.99</v>
      </c>
      <c r="CN33" s="48">
        <v>-109305.93</v>
      </c>
      <c r="CO33" s="48">
        <v>-114889.54</v>
      </c>
      <c r="CP33" s="48">
        <v>-184326.3</v>
      </c>
      <c r="CQ33" s="48">
        <v>-136147.42000000001</v>
      </c>
      <c r="CR33" s="48">
        <v>-150155.51</v>
      </c>
      <c r="CS33" s="48">
        <v>-169825.48</v>
      </c>
      <c r="CT33" s="48">
        <v>-279051.15999999997</v>
      </c>
      <c r="CU33" s="48">
        <v>-384845.16</v>
      </c>
      <c r="CV33" s="48">
        <v>-408467.67</v>
      </c>
      <c r="CW33" s="48">
        <v>-344737.18</v>
      </c>
      <c r="CX33" s="48">
        <v>-287125.93</v>
      </c>
      <c r="CY33" s="48">
        <v>-263781.71999999997</v>
      </c>
      <c r="CZ33" s="48">
        <v>-201170.73</v>
      </c>
      <c r="DA33" s="48">
        <v>-135445.6</v>
      </c>
      <c r="DB33" s="48">
        <v>-172415.81</v>
      </c>
      <c r="DC33" s="48">
        <v>-155030.5</v>
      </c>
      <c r="DD33" s="48">
        <v>-158954.4</v>
      </c>
      <c r="DE33" s="48">
        <f>VLOOKUP($C33,'[2]Analysis 1'!$C$5:$DG$1025,107,FALSE)</f>
        <v>-232315.07</v>
      </c>
      <c r="DF33" s="48">
        <f>VLOOKUP($C33,'[2]Analysis 1'!$C$5:$DG$1025,108,FALSE)</f>
        <v>-287686.26</v>
      </c>
      <c r="DG33" s="48">
        <f>VLOOKUP($C33,'[2]Analysis 1'!$C$5:$DG$1025,109,FALSE)</f>
        <v>-393454.3</v>
      </c>
      <c r="DH33" s="369">
        <f t="shared" si="1"/>
        <v>-3040585.17</v>
      </c>
    </row>
    <row r="34" spans="1:112">
      <c r="A34" s="357" t="str">
        <f t="shared" si="0"/>
        <v>4800041</v>
      </c>
      <c r="B34" s="350" t="s">
        <v>1877</v>
      </c>
      <c r="C34" s="335" t="s">
        <v>967</v>
      </c>
      <c r="D34" s="367">
        <v>-629150.1</v>
      </c>
      <c r="E34" s="367">
        <v>-362201.33</v>
      </c>
      <c r="F34" s="367">
        <v>-339176.58</v>
      </c>
      <c r="G34" s="367">
        <v>-348505.28</v>
      </c>
      <c r="H34" s="367">
        <v>-114894.59</v>
      </c>
      <c r="I34" s="367">
        <v>-90415.69</v>
      </c>
      <c r="J34" s="367">
        <v>-68571.13</v>
      </c>
      <c r="K34" s="367">
        <v>-60939.13</v>
      </c>
      <c r="L34" s="367">
        <v>-79337.2</v>
      </c>
      <c r="M34" s="367">
        <v>-128901.34</v>
      </c>
      <c r="N34" s="367">
        <v>-311668.34000000003</v>
      </c>
      <c r="O34" s="368">
        <v>-446256.36</v>
      </c>
      <c r="P34" s="48">
        <v>-491629.3</v>
      </c>
      <c r="Q34" s="48">
        <v>-445371.65</v>
      </c>
      <c r="R34" s="48">
        <v>-309310.98</v>
      </c>
      <c r="S34" s="48">
        <v>-178107.93</v>
      </c>
      <c r="T34" s="48">
        <v>-82203.960000000006</v>
      </c>
      <c r="U34" s="48">
        <v>-96294.23</v>
      </c>
      <c r="V34" s="48">
        <v>-59213.36</v>
      </c>
      <c r="W34" s="48">
        <v>-89579.66</v>
      </c>
      <c r="X34" s="48">
        <v>-75822.34</v>
      </c>
      <c r="Y34" s="48">
        <v>-125802.33</v>
      </c>
      <c r="Z34" s="48">
        <v>-218331.64</v>
      </c>
      <c r="AA34" s="48">
        <v>-385469.2</v>
      </c>
      <c r="AB34" s="48">
        <v>-565372.84</v>
      </c>
      <c r="AC34" s="48">
        <v>-563925.39</v>
      </c>
      <c r="AD34" s="48">
        <v>-396238.63</v>
      </c>
      <c r="AE34" s="48">
        <v>-283169.07</v>
      </c>
      <c r="AF34" s="48">
        <v>-175179.58</v>
      </c>
      <c r="AG34" s="48">
        <v>-57530.33</v>
      </c>
      <c r="AH34" s="48">
        <v>-54967.3</v>
      </c>
      <c r="AI34" s="48">
        <v>-62038.22</v>
      </c>
      <c r="AJ34" s="48">
        <v>-80987.09</v>
      </c>
      <c r="AK34" s="48">
        <v>-103745.89</v>
      </c>
      <c r="AL34" s="48">
        <v>-300844.21999999997</v>
      </c>
      <c r="AM34" s="48">
        <v>-406085.97</v>
      </c>
      <c r="AN34" s="48">
        <v>-422909.5</v>
      </c>
      <c r="AO34" s="48">
        <v>-437933.67</v>
      </c>
      <c r="AP34" s="48">
        <v>-348037.1</v>
      </c>
      <c r="AQ34" s="48">
        <v>-318716.65000000002</v>
      </c>
      <c r="AR34" s="48">
        <v>-159972.25</v>
      </c>
      <c r="AS34" s="48">
        <v>-65476.79</v>
      </c>
      <c r="AT34" s="48">
        <v>-77518.740000000005</v>
      </c>
      <c r="AU34" s="48">
        <v>-78679.28</v>
      </c>
      <c r="AV34" s="48">
        <v>-140206.31</v>
      </c>
      <c r="AW34" s="48">
        <v>-140376.1</v>
      </c>
      <c r="AX34" s="48">
        <v>-368427.61</v>
      </c>
      <c r="AY34" s="48">
        <v>-530497.65</v>
      </c>
      <c r="AZ34" s="48">
        <v>-793622.18</v>
      </c>
      <c r="BA34" s="48">
        <v>-530080.77</v>
      </c>
      <c r="BB34" s="48">
        <v>-400265.11</v>
      </c>
      <c r="BC34" s="48">
        <v>-467268.87</v>
      </c>
      <c r="BD34" s="48">
        <v>-161389.4</v>
      </c>
      <c r="BE34" s="48">
        <v>-109267.51</v>
      </c>
      <c r="BF34" s="48">
        <v>-76858.37</v>
      </c>
      <c r="BG34" s="48">
        <v>-83523.42</v>
      </c>
      <c r="BH34" s="48">
        <v>-111767.07</v>
      </c>
      <c r="BI34" s="48">
        <v>-101940.67</v>
      </c>
      <c r="BJ34" s="48">
        <v>-296301.76</v>
      </c>
      <c r="BK34" s="48">
        <v>-511362.66</v>
      </c>
      <c r="BL34" s="48">
        <v>-665692.77</v>
      </c>
      <c r="BM34" s="48">
        <v>-470554.65</v>
      </c>
      <c r="BN34" s="48">
        <v>-465084.79</v>
      </c>
      <c r="BO34" s="48">
        <v>-490211.31</v>
      </c>
      <c r="BP34" s="48">
        <v>-220552.3</v>
      </c>
      <c r="BQ34" s="48">
        <v>-74373.710000000006</v>
      </c>
      <c r="BR34" s="48">
        <v>-258981.31</v>
      </c>
      <c r="BS34" s="48">
        <v>-22472.9</v>
      </c>
      <c r="BT34" s="48">
        <v>-97829.08</v>
      </c>
      <c r="BU34" s="48">
        <v>8568.7000000000007</v>
      </c>
      <c r="BV34" s="48">
        <v>-311784.09999999998</v>
      </c>
      <c r="BW34" s="48">
        <v>-561662.99</v>
      </c>
      <c r="BX34" s="48">
        <v>-621132.6</v>
      </c>
      <c r="BY34" s="48">
        <v>-426827.85</v>
      </c>
      <c r="BZ34" s="48">
        <v>-370149.44</v>
      </c>
      <c r="CA34" s="48">
        <v>-227303.63</v>
      </c>
      <c r="CB34" s="48">
        <v>-163853.67000000001</v>
      </c>
      <c r="CC34" s="48">
        <v>-146547.16</v>
      </c>
      <c r="CD34" s="48">
        <v>-51817.03</v>
      </c>
      <c r="CE34" s="48">
        <v>-72913.600000000006</v>
      </c>
      <c r="CF34" s="48">
        <v>-73283.929999999993</v>
      </c>
      <c r="CG34" s="48">
        <v>-147202.42000000001</v>
      </c>
      <c r="CH34" s="48">
        <v>-276519.17</v>
      </c>
      <c r="CI34" s="48">
        <v>-633509.03</v>
      </c>
      <c r="CJ34" s="48">
        <v>-638205.56000000006</v>
      </c>
      <c r="CK34" s="48">
        <v>-457289.2</v>
      </c>
      <c r="CL34" s="48">
        <v>-563364.79</v>
      </c>
      <c r="CM34" s="48">
        <v>-464344.99</v>
      </c>
      <c r="CN34" s="48">
        <v>-158745.79999999999</v>
      </c>
      <c r="CO34" s="48">
        <v>-175959.45</v>
      </c>
      <c r="CP34" s="48">
        <v>-245511.46</v>
      </c>
      <c r="CQ34" s="48">
        <v>-138154.51999999999</v>
      </c>
      <c r="CR34" s="48">
        <v>-183569.78</v>
      </c>
      <c r="CS34" s="48">
        <v>-249827.06</v>
      </c>
      <c r="CT34" s="48">
        <v>-615792.06999999995</v>
      </c>
      <c r="CU34" s="48">
        <v>-968871.81</v>
      </c>
      <c r="CV34" s="48">
        <v>-1202552.01</v>
      </c>
      <c r="CW34" s="48">
        <v>-904859.82</v>
      </c>
      <c r="CX34" s="48">
        <v>-696518.21</v>
      </c>
      <c r="CY34" s="48">
        <v>-612618.27</v>
      </c>
      <c r="CZ34" s="48">
        <v>-384009.81</v>
      </c>
      <c r="DA34" s="48">
        <v>-144895.54999999999</v>
      </c>
      <c r="DB34" s="48">
        <v>-188241.51</v>
      </c>
      <c r="DC34" s="48">
        <v>-276705.08</v>
      </c>
      <c r="DD34" s="48">
        <v>-252024.52</v>
      </c>
      <c r="DE34" s="48">
        <f>VLOOKUP($C34,'[2]Analysis 1'!$C$5:$DG$1025,107,FALSE)</f>
        <v>-608016.43999999994</v>
      </c>
      <c r="DF34" s="48">
        <f>VLOOKUP($C34,'[2]Analysis 1'!$C$5:$DG$1025,108,FALSE)</f>
        <v>-442561.35</v>
      </c>
      <c r="DG34" s="48">
        <f>VLOOKUP($C34,'[2]Analysis 1'!$C$5:$DG$1025,109,FALSE)</f>
        <v>-856709.15</v>
      </c>
      <c r="DH34" s="369">
        <f t="shared" si="1"/>
        <v>-6569711.7199999988</v>
      </c>
    </row>
    <row r="35" spans="1:112">
      <c r="A35" s="357" t="str">
        <f t="shared" si="0"/>
        <v>4800042</v>
      </c>
      <c r="B35" s="350" t="s">
        <v>1878</v>
      </c>
      <c r="C35" s="335" t="s">
        <v>968</v>
      </c>
      <c r="D35" s="340">
        <v>-48981.08</v>
      </c>
      <c r="E35" s="340">
        <v>-36819.26</v>
      </c>
      <c r="F35" s="340">
        <v>-29328.83</v>
      </c>
      <c r="G35" s="340">
        <v>-27509.99</v>
      </c>
      <c r="H35" s="340">
        <v>-17054.79</v>
      </c>
      <c r="I35" s="340">
        <v>-14248.66</v>
      </c>
      <c r="J35" s="340">
        <v>-8234.14</v>
      </c>
      <c r="K35" s="340">
        <v>-10676.99</v>
      </c>
      <c r="L35" s="340">
        <v>-11878.51</v>
      </c>
      <c r="M35" s="340">
        <v>-14870.91</v>
      </c>
      <c r="N35" s="340">
        <v>-26855.61</v>
      </c>
      <c r="O35" s="341">
        <v>-36553.279999999999</v>
      </c>
      <c r="P35" s="48">
        <v>-34796.78</v>
      </c>
      <c r="Q35" s="48">
        <v>-38161.69</v>
      </c>
      <c r="R35" s="48">
        <v>-27411.47</v>
      </c>
      <c r="S35" s="48">
        <v>-15051.85</v>
      </c>
      <c r="T35" s="48">
        <v>-10864.66</v>
      </c>
      <c r="U35" s="48">
        <v>-10443.99</v>
      </c>
      <c r="V35" s="48">
        <v>-9186.17</v>
      </c>
      <c r="W35" s="48">
        <v>-9305.43</v>
      </c>
      <c r="X35" s="48">
        <v>-9077.2099999999991</v>
      </c>
      <c r="Y35" s="48">
        <v>-12476.38</v>
      </c>
      <c r="Z35" s="48">
        <v>-18153.39</v>
      </c>
      <c r="AA35" s="48">
        <v>-23160.53</v>
      </c>
      <c r="AB35" s="48">
        <v>-28369.49</v>
      </c>
      <c r="AC35" s="48">
        <v>-27811.46</v>
      </c>
      <c r="AD35" s="48">
        <v>-19752.900000000001</v>
      </c>
      <c r="AE35" s="48">
        <v>-16509.2</v>
      </c>
      <c r="AF35" s="48">
        <v>-11181.4</v>
      </c>
      <c r="AG35" s="48">
        <v>-5568.88</v>
      </c>
      <c r="AH35" s="48">
        <v>-6467.57</v>
      </c>
      <c r="AI35" s="48">
        <v>-6737.42</v>
      </c>
      <c r="AJ35" s="48">
        <v>-8462.8799999999992</v>
      </c>
      <c r="AK35" s="48">
        <v>-9261.8700000000008</v>
      </c>
      <c r="AL35" s="48">
        <v>-17949.509999999998</v>
      </c>
      <c r="AM35" s="48">
        <v>-19296.150000000001</v>
      </c>
      <c r="AN35" s="48">
        <v>-2462.8000000000002</v>
      </c>
      <c r="AO35" s="48">
        <v>-41036.620000000003</v>
      </c>
      <c r="AP35" s="48">
        <v>-15704.2</v>
      </c>
      <c r="AQ35" s="48">
        <v>-16080.89</v>
      </c>
      <c r="AR35" s="48">
        <v>-11478.17</v>
      </c>
      <c r="AS35" s="48">
        <v>-8639.82</v>
      </c>
      <c r="AT35" s="48">
        <v>-6896.48</v>
      </c>
      <c r="AU35" s="48">
        <v>-7819.82</v>
      </c>
      <c r="AV35" s="48">
        <v>-8047.37</v>
      </c>
      <c r="AW35" s="48">
        <v>-10461.799999999999</v>
      </c>
      <c r="AX35" s="48">
        <v>-11061.35</v>
      </c>
      <c r="AY35" s="48">
        <v>-16269.14</v>
      </c>
      <c r="AZ35" s="48">
        <v>-23812.53</v>
      </c>
      <c r="BA35" s="48">
        <v>-17439.060000000001</v>
      </c>
      <c r="BB35" s="48">
        <v>-14729.31</v>
      </c>
      <c r="BC35" s="48">
        <v>-11337.74</v>
      </c>
      <c r="BD35" s="48">
        <v>-10344.219999999999</v>
      </c>
      <c r="BE35" s="48">
        <v>-7540.16</v>
      </c>
      <c r="BF35" s="48">
        <v>-6166.76</v>
      </c>
      <c r="BG35" s="48">
        <v>-4184.83</v>
      </c>
      <c r="BH35" s="48">
        <v>-6733.99</v>
      </c>
      <c r="BI35" s="48">
        <v>-6581.46</v>
      </c>
      <c r="BJ35" s="48">
        <v>-14618.04</v>
      </c>
      <c r="BK35" s="48">
        <v>-12829.02</v>
      </c>
      <c r="BL35" s="48">
        <v>-16467.48</v>
      </c>
      <c r="BM35" s="48">
        <v>-11889.7</v>
      </c>
      <c r="BN35" s="48">
        <v>-11331.01</v>
      </c>
      <c r="BO35" s="48">
        <v>-10911.98</v>
      </c>
      <c r="BP35" s="48">
        <v>-8279.07</v>
      </c>
      <c r="BQ35" s="48">
        <v>-5567.53</v>
      </c>
      <c r="BR35" s="48">
        <v>-4173.87</v>
      </c>
      <c r="BS35" s="48">
        <v>-4410.83</v>
      </c>
      <c r="BT35" s="48">
        <v>-5633.67</v>
      </c>
      <c r="BU35" s="48">
        <v>-8786.06</v>
      </c>
      <c r="BV35" s="48">
        <v>-9614.76</v>
      </c>
      <c r="BW35" s="48">
        <v>-15527.95</v>
      </c>
      <c r="BX35" s="48">
        <v>-16512.330000000002</v>
      </c>
      <c r="BY35" s="48">
        <v>-13961.92</v>
      </c>
      <c r="BZ35" s="48">
        <v>-1028.1099999999999</v>
      </c>
      <c r="CA35" s="48">
        <v>-10018.44</v>
      </c>
      <c r="CB35" s="48">
        <v>-6131.34</v>
      </c>
      <c r="CC35" s="48">
        <v>-6972.28</v>
      </c>
      <c r="CD35" s="48">
        <v>-5023.49</v>
      </c>
      <c r="CE35" s="48">
        <v>-5884.21</v>
      </c>
      <c r="CF35" s="48">
        <v>-5301.44</v>
      </c>
      <c r="CG35" s="48">
        <v>-7814.74</v>
      </c>
      <c r="CH35" s="48">
        <v>-10709.32</v>
      </c>
      <c r="CI35" s="48">
        <v>-15573.7</v>
      </c>
      <c r="CJ35" s="48">
        <v>-21786.18</v>
      </c>
      <c r="CK35" s="48">
        <v>-12041.11</v>
      </c>
      <c r="CL35" s="48">
        <v>-12366.95</v>
      </c>
      <c r="CM35" s="48">
        <v>-12131.96</v>
      </c>
      <c r="CN35" s="48">
        <v>-8125.24</v>
      </c>
      <c r="CO35" s="48">
        <v>-7788.24</v>
      </c>
      <c r="CP35" s="48">
        <v>-12466.16</v>
      </c>
      <c r="CQ35" s="48">
        <v>-6931.91</v>
      </c>
      <c r="CR35" s="48">
        <v>-8443.17</v>
      </c>
      <c r="CS35" s="48">
        <v>-10100.280000000001</v>
      </c>
      <c r="CT35" s="48">
        <v>-19616.400000000001</v>
      </c>
      <c r="CU35" s="48">
        <v>-23576.49</v>
      </c>
      <c r="CV35" s="48">
        <v>-26719.52</v>
      </c>
      <c r="CW35" s="48">
        <v>-25073.09</v>
      </c>
      <c r="CX35" s="48">
        <v>-17343.43</v>
      </c>
      <c r="CY35" s="48">
        <v>-17171.23</v>
      </c>
      <c r="CZ35" s="48">
        <v>-14673.12</v>
      </c>
      <c r="DA35" s="48">
        <v>-8668.14</v>
      </c>
      <c r="DB35" s="48">
        <v>-12457.95</v>
      </c>
      <c r="DC35" s="48">
        <v>-10027.469999999999</v>
      </c>
      <c r="DD35" s="48">
        <v>-11377.05</v>
      </c>
      <c r="DE35" s="48">
        <f>VLOOKUP($C35,'[2]Analysis 1'!$C$5:$DG$1025,107,FALSE)</f>
        <v>-15410.49</v>
      </c>
      <c r="DF35" s="48">
        <f>VLOOKUP($C35,'[2]Analysis 1'!$C$5:$DG$1025,108,FALSE)</f>
        <v>-20787.41</v>
      </c>
      <c r="DG35" s="48">
        <f>VLOOKUP($C35,'[2]Analysis 1'!$C$5:$DG$1025,109,FALSE)</f>
        <v>-26022.85</v>
      </c>
      <c r="DH35" s="369">
        <f t="shared" si="1"/>
        <v>-205731.74999999997</v>
      </c>
    </row>
    <row r="36" spans="1:112">
      <c r="A36" s="357" t="str">
        <f t="shared" si="0"/>
        <v>4800043</v>
      </c>
      <c r="B36" s="350" t="s">
        <v>1879</v>
      </c>
      <c r="C36" s="335" t="s">
        <v>969</v>
      </c>
      <c r="D36" s="367">
        <v>-181955.78</v>
      </c>
      <c r="E36" s="367">
        <v>-118952.69</v>
      </c>
      <c r="F36" s="367">
        <v>-86809.91</v>
      </c>
      <c r="G36" s="367">
        <v>-93462.17</v>
      </c>
      <c r="H36" s="367">
        <v>-45507.71</v>
      </c>
      <c r="I36" s="367">
        <v>-39796.980000000003</v>
      </c>
      <c r="J36" s="367">
        <v>-19994.599999999999</v>
      </c>
      <c r="K36" s="367">
        <v>-28341.25</v>
      </c>
      <c r="L36" s="367">
        <v>-31119.11</v>
      </c>
      <c r="M36" s="367">
        <v>-39983.769999999997</v>
      </c>
      <c r="N36" s="367">
        <v>-77598.84</v>
      </c>
      <c r="O36" s="368">
        <v>-110874.36</v>
      </c>
      <c r="P36" s="48">
        <v>-123434.14</v>
      </c>
      <c r="Q36" s="48">
        <v>-123498.75</v>
      </c>
      <c r="R36" s="48">
        <v>-70377.539999999994</v>
      </c>
      <c r="S36" s="48">
        <v>-42242.42</v>
      </c>
      <c r="T36" s="48">
        <v>-27958.85</v>
      </c>
      <c r="U36" s="48">
        <v>-28488.38</v>
      </c>
      <c r="V36" s="48">
        <v>-23309.94</v>
      </c>
      <c r="W36" s="48">
        <v>-24804.6</v>
      </c>
      <c r="X36" s="48">
        <v>-24197.22</v>
      </c>
      <c r="Y36" s="48">
        <v>-34343.03</v>
      </c>
      <c r="Z36" s="48">
        <v>-55324.3</v>
      </c>
      <c r="AA36" s="48">
        <v>-74907.25</v>
      </c>
      <c r="AB36" s="48">
        <v>-104143.06</v>
      </c>
      <c r="AC36" s="48">
        <v>-101305.88</v>
      </c>
      <c r="AD36" s="48">
        <v>-64328.03</v>
      </c>
      <c r="AE36" s="48">
        <v>-56748.800000000003</v>
      </c>
      <c r="AF36" s="48">
        <v>-35338.14</v>
      </c>
      <c r="AG36" s="48">
        <v>-12616.08</v>
      </c>
      <c r="AH36" s="48">
        <v>-16386.740000000002</v>
      </c>
      <c r="AI36" s="48">
        <v>-17495.330000000002</v>
      </c>
      <c r="AJ36" s="48">
        <v>-21744.68</v>
      </c>
      <c r="AK36" s="48">
        <v>-25359.68</v>
      </c>
      <c r="AL36" s="48">
        <v>-52030.19</v>
      </c>
      <c r="AM36" s="48">
        <v>-56706.31</v>
      </c>
      <c r="AN36" s="48">
        <v>-7723.56</v>
      </c>
      <c r="AO36" s="48">
        <v>-127308.26</v>
      </c>
      <c r="AP36" s="48">
        <v>-42925.09</v>
      </c>
      <c r="AQ36" s="48">
        <v>-43668.53</v>
      </c>
      <c r="AR36" s="48">
        <v>-24832.7</v>
      </c>
      <c r="AS36" s="48">
        <v>-22897.18</v>
      </c>
      <c r="AT36" s="48">
        <v>-14640.56</v>
      </c>
      <c r="AU36" s="48">
        <v>-18210.39</v>
      </c>
      <c r="AV36" s="48">
        <v>-20762.240000000002</v>
      </c>
      <c r="AW36" s="48">
        <v>-30816.65</v>
      </c>
      <c r="AX36" s="48">
        <v>-33680.22</v>
      </c>
      <c r="AY36" s="48">
        <v>-52558.8</v>
      </c>
      <c r="AZ36" s="48">
        <v>-88884</v>
      </c>
      <c r="BA36" s="48">
        <v>-62855.29</v>
      </c>
      <c r="BB36" s="48">
        <v>-44841.31</v>
      </c>
      <c r="BC36" s="48">
        <v>-33685.61</v>
      </c>
      <c r="BD36" s="48">
        <v>-28900.45</v>
      </c>
      <c r="BE36" s="48">
        <v>-19859.8</v>
      </c>
      <c r="BF36" s="48">
        <v>-18553.47</v>
      </c>
      <c r="BG36" s="48">
        <v>-11086.49</v>
      </c>
      <c r="BH36" s="48">
        <v>-17806.72</v>
      </c>
      <c r="BI36" s="48">
        <v>-16620.900000000001</v>
      </c>
      <c r="BJ36" s="48">
        <v>-44899.360000000001</v>
      </c>
      <c r="BK36" s="48">
        <v>-40588.65</v>
      </c>
      <c r="BL36" s="48">
        <v>-60524.36</v>
      </c>
      <c r="BM36" s="48">
        <v>-41180.120000000003</v>
      </c>
      <c r="BN36" s="48">
        <v>-42963.48</v>
      </c>
      <c r="BO36" s="48">
        <v>-44890.05</v>
      </c>
      <c r="BP36" s="48">
        <v>-31001.040000000001</v>
      </c>
      <c r="BQ36" s="48">
        <v>-18572.71</v>
      </c>
      <c r="BR36" s="48">
        <v>-12570.72</v>
      </c>
      <c r="BS36" s="48">
        <v>-10500.17</v>
      </c>
      <c r="BT36" s="48">
        <v>-16380.8</v>
      </c>
      <c r="BU36" s="48">
        <v>-26935.64</v>
      </c>
      <c r="BV36" s="48">
        <v>-31345.040000000001</v>
      </c>
      <c r="BW36" s="48">
        <v>-54590.03</v>
      </c>
      <c r="BX36" s="48">
        <v>-58689.57</v>
      </c>
      <c r="BY36" s="48">
        <v>-44070.31</v>
      </c>
      <c r="BZ36" s="48">
        <v>2015.58</v>
      </c>
      <c r="CA36" s="48">
        <v>-29949.17</v>
      </c>
      <c r="CB36" s="48">
        <v>-16005.24</v>
      </c>
      <c r="CC36" s="48">
        <v>-18539.32</v>
      </c>
      <c r="CD36" s="48">
        <v>-12310.58</v>
      </c>
      <c r="CE36" s="48">
        <v>-14721.16</v>
      </c>
      <c r="CF36" s="48">
        <v>-12483.41</v>
      </c>
      <c r="CG36" s="48">
        <v>-22652.48</v>
      </c>
      <c r="CH36" s="48">
        <v>-36054.75</v>
      </c>
      <c r="CI36" s="48">
        <v>-58086.67</v>
      </c>
      <c r="CJ36" s="48">
        <v>-55306.09</v>
      </c>
      <c r="CK36" s="48">
        <v>-30865.09</v>
      </c>
      <c r="CL36" s="48">
        <v>-39095.800000000003</v>
      </c>
      <c r="CM36" s="48">
        <v>-35466.68</v>
      </c>
      <c r="CN36" s="48">
        <v>-20204.75</v>
      </c>
      <c r="CO36" s="48">
        <v>-18923.41</v>
      </c>
      <c r="CP36" s="48">
        <v>-36579.660000000003</v>
      </c>
      <c r="CQ36" s="48">
        <v>-15505.44</v>
      </c>
      <c r="CR36" s="48">
        <v>-20621.43</v>
      </c>
      <c r="CS36" s="48">
        <v>-27378.27</v>
      </c>
      <c r="CT36" s="48">
        <v>-62664.41</v>
      </c>
      <c r="CU36" s="48">
        <v>-79135.11</v>
      </c>
      <c r="CV36" s="48">
        <v>-104561.71</v>
      </c>
      <c r="CW36" s="48">
        <v>-91773.8</v>
      </c>
      <c r="CX36" s="48">
        <v>-58849.31</v>
      </c>
      <c r="CY36" s="48">
        <v>-58833.03</v>
      </c>
      <c r="CZ36" s="48">
        <v>-48012.22</v>
      </c>
      <c r="DA36" s="48">
        <v>-22330.720000000001</v>
      </c>
      <c r="DB36" s="48">
        <v>-32943.15</v>
      </c>
      <c r="DC36" s="48">
        <v>-42832.92</v>
      </c>
      <c r="DD36" s="48">
        <v>-43723.64</v>
      </c>
      <c r="DE36" s="48">
        <f>VLOOKUP($C36,'[2]Analysis 1'!$C$5:$DG$1025,107,FALSE)</f>
        <v>-64684.59</v>
      </c>
      <c r="DF36" s="48">
        <f>VLOOKUP($C36,'[2]Analysis 1'!$C$5:$DG$1025,108,FALSE)</f>
        <v>-48050.71</v>
      </c>
      <c r="DG36" s="48">
        <f>VLOOKUP($C36,'[2]Analysis 1'!$C$5:$DG$1025,109,FALSE)</f>
        <v>-77847.58</v>
      </c>
      <c r="DH36" s="369">
        <f t="shared" si="1"/>
        <v>-694443.37999999989</v>
      </c>
    </row>
    <row r="37" spans="1:112">
      <c r="A37" s="357" t="str">
        <f t="shared" si="0"/>
        <v>4800044</v>
      </c>
      <c r="B37" s="350" t="s">
        <v>1880</v>
      </c>
      <c r="C37" s="335" t="s">
        <v>970</v>
      </c>
      <c r="D37" s="340">
        <v>0</v>
      </c>
      <c r="E37" s="340">
        <v>0</v>
      </c>
      <c r="F37" s="340">
        <v>75</v>
      </c>
      <c r="G37" s="340">
        <v>0</v>
      </c>
      <c r="H37" s="340">
        <v>0</v>
      </c>
      <c r="I37" s="340">
        <v>-75</v>
      </c>
      <c r="J37" s="340">
        <v>-1183.26</v>
      </c>
      <c r="K37" s="340">
        <v>-704.1</v>
      </c>
      <c r="L37" s="340">
        <v>-832.6</v>
      </c>
      <c r="M37" s="340">
        <v>-253.7</v>
      </c>
      <c r="N37" s="340">
        <v>-708.66</v>
      </c>
      <c r="O37" s="341">
        <v>-1396.44</v>
      </c>
      <c r="P37" s="48">
        <v>-1232.75</v>
      </c>
      <c r="Q37" s="48">
        <v>-2995.95</v>
      </c>
      <c r="R37" s="48">
        <v>-161.72999999999999</v>
      </c>
      <c r="S37" s="48">
        <v>-1062.3499999999999</v>
      </c>
      <c r="T37" s="48">
        <v>395</v>
      </c>
      <c r="U37" s="48">
        <v>-75</v>
      </c>
      <c r="V37" s="48">
        <v>150</v>
      </c>
      <c r="W37" s="48">
        <v>0</v>
      </c>
      <c r="X37" s="48">
        <v>0</v>
      </c>
      <c r="Y37" s="48">
        <v>0</v>
      </c>
      <c r="Z37" s="48">
        <v>0</v>
      </c>
      <c r="AA37" s="48">
        <v>0</v>
      </c>
      <c r="AB37" s="48">
        <v>0</v>
      </c>
      <c r="AC37" s="48">
        <v>-150</v>
      </c>
      <c r="AD37" s="48">
        <v>0</v>
      </c>
      <c r="AE37" s="48">
        <v>-498.37</v>
      </c>
      <c r="AF37" s="48">
        <v>-215.61</v>
      </c>
      <c r="AG37" s="48">
        <v>-2433.2600000000002</v>
      </c>
      <c r="AH37" s="48">
        <v>-1552.28</v>
      </c>
      <c r="AI37" s="48">
        <v>-1223.99</v>
      </c>
      <c r="AJ37" s="48">
        <v>-1516.72</v>
      </c>
      <c r="AK37" s="48">
        <v>-1320.29</v>
      </c>
      <c r="AL37" s="48">
        <v>-1239.69</v>
      </c>
      <c r="AM37" s="48">
        <v>-1958.65</v>
      </c>
      <c r="AN37" s="48">
        <v>943</v>
      </c>
      <c r="AO37" s="48">
        <v>-8457.16</v>
      </c>
      <c r="AP37" s="48">
        <v>-15143.16</v>
      </c>
      <c r="AQ37" s="48">
        <v>-16131.44</v>
      </c>
      <c r="AR37" s="48">
        <v>-23237.82</v>
      </c>
      <c r="AS37" s="48">
        <v>-11139.26</v>
      </c>
      <c r="AT37" s="48">
        <v>3881.38</v>
      </c>
      <c r="AU37" s="48">
        <v>-7849.87</v>
      </c>
      <c r="AV37" s="48">
        <v>-12515.76</v>
      </c>
      <c r="AW37" s="48">
        <v>-5383.18</v>
      </c>
      <c r="AX37" s="48">
        <v>-7143.69</v>
      </c>
      <c r="AY37" s="48">
        <v>-9898.9599999999991</v>
      </c>
      <c r="AZ37" s="48">
        <v>22841.18</v>
      </c>
      <c r="BA37" s="48">
        <v>2545.1799999999998</v>
      </c>
      <c r="BB37" s="48">
        <v>-4813.54</v>
      </c>
      <c r="BC37" s="48">
        <v>-7124.74</v>
      </c>
      <c r="BD37" s="48">
        <v>-6639.76</v>
      </c>
      <c r="BE37" s="48">
        <v>-1550.59</v>
      </c>
      <c r="BF37" s="48">
        <v>-3017.81</v>
      </c>
      <c r="BG37" s="48">
        <v>-3386.88</v>
      </c>
      <c r="BH37" s="48">
        <v>-4224.7</v>
      </c>
      <c r="BI37" s="48">
        <v>-2936.59</v>
      </c>
      <c r="BJ37" s="48">
        <v>-3582.19</v>
      </c>
      <c r="BK37" s="48">
        <v>-1689.09</v>
      </c>
      <c r="BL37" s="48">
        <v>-733.68</v>
      </c>
      <c r="BM37" s="48">
        <v>-2917.87</v>
      </c>
      <c r="BN37" s="48">
        <v>-2942.58</v>
      </c>
      <c r="BO37" s="48">
        <v>-3066.76</v>
      </c>
      <c r="BP37" s="48">
        <v>-3061.1</v>
      </c>
      <c r="BQ37" s="48">
        <v>-3241.46</v>
      </c>
      <c r="BR37" s="48">
        <v>-1245.24</v>
      </c>
      <c r="BS37" s="48">
        <v>-680.02</v>
      </c>
      <c r="BT37" s="48">
        <v>-5281.6</v>
      </c>
      <c r="BU37" s="48">
        <v>413.64</v>
      </c>
      <c r="BV37" s="48">
        <v>-2414.91</v>
      </c>
      <c r="BW37" s="48">
        <v>-4571.57</v>
      </c>
      <c r="BX37" s="48">
        <v>-4758.22</v>
      </c>
      <c r="BY37" s="48">
        <v>-3827.73</v>
      </c>
      <c r="BZ37" s="48">
        <v>-4472.09</v>
      </c>
      <c r="CA37" s="48">
        <v>-3694.42</v>
      </c>
      <c r="CB37" s="48">
        <v>-3869.92</v>
      </c>
      <c r="CC37" s="48">
        <v>-3792.27</v>
      </c>
      <c r="CD37" s="48">
        <v>-4041.1</v>
      </c>
      <c r="CE37" s="48">
        <v>-4198.91</v>
      </c>
      <c r="CF37" s="48">
        <v>-3974.53</v>
      </c>
      <c r="CG37" s="48">
        <v>-4126.49</v>
      </c>
      <c r="CH37" s="48">
        <v>-4104.01</v>
      </c>
      <c r="CI37" s="48">
        <v>-4212.1499999999996</v>
      </c>
      <c r="CJ37" s="48">
        <v>28653.98</v>
      </c>
      <c r="CK37" s="48">
        <v>25566.81</v>
      </c>
      <c r="CL37" s="48">
        <v>-1465.57</v>
      </c>
      <c r="CM37" s="48">
        <v>-176</v>
      </c>
      <c r="CN37" s="48">
        <v>-420</v>
      </c>
      <c r="CO37" s="48">
        <v>-420</v>
      </c>
      <c r="CP37" s="48">
        <v>-210</v>
      </c>
      <c r="CQ37" s="48">
        <v>-39270.239999999998</v>
      </c>
      <c r="CR37" s="48">
        <v>-35070.720000000001</v>
      </c>
      <c r="CS37" s="48">
        <v>9235.7199999999993</v>
      </c>
      <c r="CT37" s="48">
        <v>3359.39</v>
      </c>
      <c r="CU37" s="48">
        <v>-293.38</v>
      </c>
      <c r="CV37" s="48">
        <v>-874.1</v>
      </c>
      <c r="CW37" s="48">
        <v>-310.91000000000003</v>
      </c>
      <c r="CX37" s="48">
        <v>-2530.6999999999998</v>
      </c>
      <c r="CY37" s="48">
        <v>-1266.01</v>
      </c>
      <c r="CZ37" s="48">
        <v>-1053.54</v>
      </c>
      <c r="DA37" s="48">
        <v>1489.88</v>
      </c>
      <c r="DB37" s="48">
        <v>-639.5</v>
      </c>
      <c r="DC37" s="48">
        <v>-2522.5500000000002</v>
      </c>
      <c r="DD37" s="48">
        <v>1143.01</v>
      </c>
      <c r="DE37" s="48">
        <f>VLOOKUP($C37,'[2]Analysis 1'!$C$5:$DG$1025,107,FALSE)</f>
        <v>-1568.74</v>
      </c>
      <c r="DF37" s="48">
        <f>VLOOKUP($C37,'[2]Analysis 1'!$C$5:$DG$1025,108,FALSE)</f>
        <v>-631.28</v>
      </c>
      <c r="DG37" s="48">
        <f>VLOOKUP($C37,'[2]Analysis 1'!$C$5:$DG$1025,109,FALSE)</f>
        <v>0.54</v>
      </c>
      <c r="DH37" s="369">
        <f t="shared" si="1"/>
        <v>-8763.9</v>
      </c>
    </row>
    <row r="38" spans="1:112">
      <c r="A38" s="357" t="str">
        <f t="shared" si="0"/>
        <v>4800045</v>
      </c>
      <c r="B38" s="350" t="s">
        <v>1881</v>
      </c>
      <c r="C38" s="335" t="s">
        <v>971</v>
      </c>
      <c r="D38" s="367">
        <v>0</v>
      </c>
      <c r="E38" s="367">
        <v>0</v>
      </c>
      <c r="F38" s="367">
        <v>0</v>
      </c>
      <c r="G38" s="367">
        <v>0</v>
      </c>
      <c r="H38" s="367">
        <v>0</v>
      </c>
      <c r="I38" s="367">
        <v>0</v>
      </c>
      <c r="J38" s="367">
        <v>-3109.49</v>
      </c>
      <c r="K38" s="367">
        <v>-1772.86</v>
      </c>
      <c r="L38" s="367">
        <v>-2498.94</v>
      </c>
      <c r="M38" s="367">
        <v>-1924.73</v>
      </c>
      <c r="N38" s="367">
        <v>-2376.98</v>
      </c>
      <c r="O38" s="368">
        <v>-4768.74</v>
      </c>
      <c r="P38" s="48">
        <v>-4835.84</v>
      </c>
      <c r="Q38" s="48">
        <v>-11229.51</v>
      </c>
      <c r="R38" s="48">
        <v>117.85</v>
      </c>
      <c r="S38" s="48">
        <v>-3793.57</v>
      </c>
      <c r="T38" s="48">
        <v>1727</v>
      </c>
      <c r="U38" s="48">
        <v>0</v>
      </c>
      <c r="V38" s="48">
        <v>0</v>
      </c>
      <c r="W38" s="48">
        <v>0</v>
      </c>
      <c r="X38" s="48">
        <v>0</v>
      </c>
      <c r="Y38" s="48">
        <v>0</v>
      </c>
      <c r="Z38" s="48">
        <v>0</v>
      </c>
      <c r="AA38" s="48">
        <v>0</v>
      </c>
      <c r="AB38" s="48">
        <v>0</v>
      </c>
      <c r="AC38" s="48">
        <v>0</v>
      </c>
      <c r="AD38" s="48">
        <v>0</v>
      </c>
      <c r="AE38" s="48">
        <v>-1212.67</v>
      </c>
      <c r="AF38" s="48">
        <v>-974.72</v>
      </c>
      <c r="AG38" s="48">
        <v>-9163.64</v>
      </c>
      <c r="AH38" s="48">
        <v>-6512.7</v>
      </c>
      <c r="AI38" s="48">
        <v>-4577.5200000000004</v>
      </c>
      <c r="AJ38" s="48">
        <v>-5027.83</v>
      </c>
      <c r="AK38" s="48">
        <v>-4392.58</v>
      </c>
      <c r="AL38" s="48">
        <v>-4605.9399999999996</v>
      </c>
      <c r="AM38" s="48">
        <v>-6577.72</v>
      </c>
      <c r="AN38" s="48">
        <v>2923</v>
      </c>
      <c r="AO38" s="48">
        <v>-22792.959999999999</v>
      </c>
      <c r="AP38" s="48">
        <v>-750.26</v>
      </c>
      <c r="AQ38" s="48">
        <v>262</v>
      </c>
      <c r="AR38" s="48">
        <v>-3473.38</v>
      </c>
      <c r="AS38" s="48">
        <v>-19554</v>
      </c>
      <c r="AT38" s="48">
        <v>-91.5</v>
      </c>
      <c r="AU38" s="48">
        <v>-6683.32</v>
      </c>
      <c r="AV38" s="48">
        <v>-5358.42</v>
      </c>
      <c r="AW38" s="48">
        <v>-5486.94</v>
      </c>
      <c r="AX38" s="48">
        <v>-7706.62</v>
      </c>
      <c r="AY38" s="48">
        <v>-7939.78</v>
      </c>
      <c r="AZ38" s="48">
        <v>-4573.5200000000004</v>
      </c>
      <c r="BA38" s="48">
        <v>-7851.39</v>
      </c>
      <c r="BB38" s="48">
        <v>-8538.93</v>
      </c>
      <c r="BC38" s="48">
        <v>-8591.5400000000009</v>
      </c>
      <c r="BD38" s="48">
        <v>-6713.16</v>
      </c>
      <c r="BE38" s="48">
        <v>11782.02</v>
      </c>
      <c r="BF38" s="48">
        <v>-2746.25</v>
      </c>
      <c r="BG38" s="48">
        <v>-53.62</v>
      </c>
      <c r="BH38" s="48">
        <v>-174.23</v>
      </c>
      <c r="BI38" s="48">
        <v>-44.41</v>
      </c>
      <c r="BJ38" s="48">
        <v>-234.91</v>
      </c>
      <c r="BK38" s="48">
        <v>-791.52</v>
      </c>
      <c r="BL38" s="48">
        <v>-1178.43</v>
      </c>
      <c r="BM38" s="48">
        <v>-323.12</v>
      </c>
      <c r="BN38" s="48">
        <v>-1182.5899999999999</v>
      </c>
      <c r="BO38" s="48">
        <v>-829.31</v>
      </c>
      <c r="BP38" s="48">
        <v>-753.91</v>
      </c>
      <c r="BQ38" s="48">
        <v>-953.67</v>
      </c>
      <c r="BR38" s="48">
        <v>-86.72</v>
      </c>
      <c r="BS38" s="48">
        <v>52.82</v>
      </c>
      <c r="BT38" s="48">
        <v>-236.68</v>
      </c>
      <c r="BU38" s="48">
        <v>-187.72</v>
      </c>
      <c r="BV38" s="48">
        <v>-284.61</v>
      </c>
      <c r="BW38" s="48">
        <v>-694.48</v>
      </c>
      <c r="BX38" s="48">
        <v>-1011.12</v>
      </c>
      <c r="BY38" s="48">
        <v>-346.1</v>
      </c>
      <c r="BZ38" s="48">
        <v>-798.15</v>
      </c>
      <c r="CA38" s="48">
        <v>-258.83</v>
      </c>
      <c r="CB38" s="48">
        <v>-388.65</v>
      </c>
      <c r="CC38" s="48">
        <v>-302.26</v>
      </c>
      <c r="CD38" s="48">
        <v>-212.56</v>
      </c>
      <c r="CE38" s="48">
        <v>-267.98</v>
      </c>
      <c r="CF38" s="48">
        <v>-228.74</v>
      </c>
      <c r="CG38" s="48">
        <v>-536.07000000000005</v>
      </c>
      <c r="CH38" s="48">
        <v>-547.73</v>
      </c>
      <c r="CI38" s="48">
        <v>-1077.69</v>
      </c>
      <c r="CJ38" s="48">
        <v>901.98</v>
      </c>
      <c r="CK38" s="48">
        <v>1378.33</v>
      </c>
      <c r="CL38" s="48">
        <v>-3881.7</v>
      </c>
      <c r="CM38" s="48">
        <v>1128</v>
      </c>
      <c r="CN38" s="48">
        <v>0</v>
      </c>
      <c r="CO38" s="48">
        <v>0</v>
      </c>
      <c r="CP38" s="48">
        <v>0</v>
      </c>
      <c r="CQ38" s="48">
        <v>-2.15</v>
      </c>
      <c r="CR38" s="48">
        <v>-4.45</v>
      </c>
      <c r="CS38" s="48">
        <v>-14</v>
      </c>
      <c r="CT38" s="48">
        <v>-6.75</v>
      </c>
      <c r="CU38" s="48">
        <v>-1390.29</v>
      </c>
      <c r="CV38" s="48">
        <v>1881.34</v>
      </c>
      <c r="CW38" s="48">
        <v>-536.48</v>
      </c>
      <c r="CX38" s="48">
        <v>-59.69</v>
      </c>
      <c r="CY38" s="48">
        <v>-24.06</v>
      </c>
      <c r="CZ38" s="48">
        <v>-21.56</v>
      </c>
      <c r="DA38" s="48">
        <v>105.58</v>
      </c>
      <c r="DB38" s="48">
        <v>-52.03</v>
      </c>
      <c r="DC38" s="48">
        <v>-7936.5</v>
      </c>
      <c r="DD38" s="48">
        <v>10190.1</v>
      </c>
      <c r="DE38" s="48">
        <f>VLOOKUP($C38,'[2]Analysis 1'!$C$5:$DG$1025,107,FALSE)</f>
        <v>-2310.7399999999998</v>
      </c>
      <c r="DF38" s="48">
        <f>VLOOKUP($C38,'[2]Analysis 1'!$C$5:$DG$1025,108,FALSE)</f>
        <v>-4.88</v>
      </c>
      <c r="DG38" s="48">
        <f>VLOOKUP($C38,'[2]Analysis 1'!$C$5:$DG$1025,109,FALSE)</f>
        <v>2.02</v>
      </c>
      <c r="DH38" s="369">
        <f t="shared" si="1"/>
        <v>1233.1000000000008</v>
      </c>
    </row>
    <row r="39" spans="1:112">
      <c r="A39" s="357" t="str">
        <f t="shared" si="0"/>
        <v>4810001</v>
      </c>
      <c r="B39" s="350" t="s">
        <v>1882</v>
      </c>
      <c r="C39" s="335" t="s">
        <v>972</v>
      </c>
      <c r="D39" s="367">
        <v>-683.2</v>
      </c>
      <c r="E39" s="367">
        <v>-1841.39</v>
      </c>
      <c r="F39" s="367">
        <v>-1189.25</v>
      </c>
      <c r="G39" s="367">
        <v>-1978.35</v>
      </c>
      <c r="H39" s="367">
        <v>-3762.37</v>
      </c>
      <c r="I39" s="367">
        <v>-6539.25</v>
      </c>
      <c r="J39" s="367">
        <v>-56.35</v>
      </c>
      <c r="K39" s="367">
        <v>-11451.61</v>
      </c>
      <c r="L39" s="367">
        <v>-6944.5</v>
      </c>
      <c r="M39" s="367">
        <v>-2620.15</v>
      </c>
      <c r="N39" s="367">
        <v>-985.59</v>
      </c>
      <c r="O39" s="368">
        <v>-917.96</v>
      </c>
      <c r="P39" s="48">
        <v>-2687.53</v>
      </c>
      <c r="Q39" s="48">
        <v>-1504.33</v>
      </c>
      <c r="R39" s="48">
        <v>332.11</v>
      </c>
      <c r="S39" s="48">
        <v>-119.28</v>
      </c>
      <c r="T39" s="48">
        <v>-136.79</v>
      </c>
      <c r="U39" s="48">
        <v>-143.86000000000001</v>
      </c>
      <c r="V39" s="48">
        <v>-2738.31</v>
      </c>
      <c r="W39" s="48">
        <v>-137.5</v>
      </c>
      <c r="X39" s="48">
        <v>-111.5</v>
      </c>
      <c r="Y39" s="48">
        <v>-67</v>
      </c>
      <c r="Z39" s="48">
        <v>-109.37</v>
      </c>
      <c r="AA39" s="48">
        <v>-147.04</v>
      </c>
      <c r="AB39" s="48">
        <v>-171.44</v>
      </c>
      <c r="AC39" s="48">
        <v>-458.78</v>
      </c>
      <c r="AD39" s="48">
        <v>-255.3</v>
      </c>
      <c r="AE39" s="48">
        <v>-310.75</v>
      </c>
      <c r="AF39" s="48">
        <v>2462.87</v>
      </c>
      <c r="AG39" s="48">
        <v>-131.53</v>
      </c>
      <c r="AH39" s="48">
        <v>-2</v>
      </c>
      <c r="AI39" s="48">
        <v>-45</v>
      </c>
      <c r="AJ39" s="48">
        <v>-45</v>
      </c>
      <c r="AK39" s="48">
        <v>-45</v>
      </c>
      <c r="AL39" s="48">
        <v>-45</v>
      </c>
      <c r="AM39" s="48">
        <v>-45</v>
      </c>
      <c r="AN39" s="48">
        <v>-45</v>
      </c>
      <c r="AO39" s="48">
        <v>-67.5</v>
      </c>
      <c r="AP39" s="48">
        <v>23</v>
      </c>
      <c r="AQ39" s="48">
        <v>0</v>
      </c>
      <c r="AR39" s="48">
        <v>0</v>
      </c>
      <c r="AS39" s="48">
        <v>0</v>
      </c>
      <c r="AT39" s="48">
        <v>0</v>
      </c>
      <c r="AU39" s="48">
        <v>0</v>
      </c>
      <c r="AV39" s="48">
        <v>0</v>
      </c>
      <c r="AW39" s="48">
        <v>0</v>
      </c>
      <c r="AX39" s="48">
        <v>0</v>
      </c>
      <c r="AY39" s="48">
        <v>0</v>
      </c>
      <c r="AZ39" s="48">
        <v>0</v>
      </c>
      <c r="BA39" s="48">
        <v>0</v>
      </c>
      <c r="BB39" s="48">
        <v>0</v>
      </c>
      <c r="BC39" s="48">
        <v>0</v>
      </c>
      <c r="BD39" s="48">
        <v>0</v>
      </c>
      <c r="BE39" s="48">
        <v>0</v>
      </c>
      <c r="BF39" s="48">
        <v>0</v>
      </c>
      <c r="BG39" s="48">
        <v>0</v>
      </c>
      <c r="BH39" s="48">
        <v>0</v>
      </c>
      <c r="BI39" s="48">
        <v>0</v>
      </c>
      <c r="BJ39" s="48">
        <v>0</v>
      </c>
      <c r="BK39" s="48">
        <v>0</v>
      </c>
      <c r="BL39" s="48">
        <v>0</v>
      </c>
      <c r="BM39" s="48">
        <v>0</v>
      </c>
      <c r="BN39" s="48">
        <v>0</v>
      </c>
      <c r="BO39" s="48">
        <v>0</v>
      </c>
      <c r="BP39" s="48">
        <v>0</v>
      </c>
      <c r="BQ39" s="48">
        <v>0</v>
      </c>
      <c r="BR39" s="48">
        <v>0</v>
      </c>
      <c r="BS39" s="48">
        <v>0</v>
      </c>
      <c r="BT39" s="48">
        <v>0</v>
      </c>
      <c r="BU39" s="48">
        <v>0</v>
      </c>
      <c r="BV39" s="48">
        <v>0</v>
      </c>
      <c r="BW39" s="48">
        <v>0</v>
      </c>
      <c r="BX39" s="48">
        <v>0</v>
      </c>
      <c r="BY39" s="48">
        <v>0</v>
      </c>
      <c r="BZ39" s="48">
        <v>0</v>
      </c>
      <c r="CA39" s="48">
        <v>0</v>
      </c>
      <c r="CB39" s="48">
        <v>0</v>
      </c>
      <c r="CC39" s="48">
        <v>0</v>
      </c>
      <c r="CD39" s="48">
        <v>0</v>
      </c>
      <c r="CE39" s="48">
        <v>0</v>
      </c>
      <c r="CF39" s="48">
        <v>0</v>
      </c>
      <c r="CG39" s="48">
        <v>0</v>
      </c>
      <c r="CH39" s="48">
        <v>0</v>
      </c>
      <c r="CI39" s="48">
        <v>-134.63</v>
      </c>
      <c r="CJ39" s="48">
        <v>-103.62</v>
      </c>
      <c r="CK39" s="48">
        <v>238.25</v>
      </c>
      <c r="CL39" s="48">
        <v>0</v>
      </c>
      <c r="CM39" s="48">
        <v>0</v>
      </c>
      <c r="CN39" s="48">
        <v>0</v>
      </c>
      <c r="CO39" s="48">
        <v>0</v>
      </c>
      <c r="CP39" s="48">
        <v>0</v>
      </c>
      <c r="CQ39" s="48">
        <v>0</v>
      </c>
      <c r="CR39" s="48">
        <v>0</v>
      </c>
      <c r="CS39" s="48">
        <v>0</v>
      </c>
      <c r="CT39" s="48">
        <v>0</v>
      </c>
      <c r="CU39" s="48">
        <v>0</v>
      </c>
      <c r="CV39" s="48">
        <v>0</v>
      </c>
      <c r="CW39" s="48">
        <v>0</v>
      </c>
      <c r="CX39" s="48">
        <v>0</v>
      </c>
      <c r="CY39" s="48">
        <v>0</v>
      </c>
      <c r="CZ39" s="48">
        <v>0</v>
      </c>
      <c r="DA39" s="48">
        <v>0</v>
      </c>
      <c r="DB39" s="48">
        <v>0</v>
      </c>
      <c r="DC39" s="48">
        <v>0</v>
      </c>
      <c r="DD39" s="48">
        <v>0</v>
      </c>
      <c r="DE39" s="48">
        <f>VLOOKUP($C39,'[2]Analysis 1'!$C$5:$DG$1025,107,FALSE)</f>
        <v>0</v>
      </c>
      <c r="DF39" s="48">
        <f>VLOOKUP($C39,'[2]Analysis 1'!$C$5:$DG$1025,108,FALSE)</f>
        <v>0</v>
      </c>
      <c r="DG39" s="48">
        <f>VLOOKUP($C39,'[2]Analysis 1'!$C$5:$DG$1025,109,FALSE)</f>
        <v>0</v>
      </c>
      <c r="DH39" s="369">
        <f t="shared" si="1"/>
        <v>0</v>
      </c>
    </row>
    <row r="40" spans="1:112">
      <c r="A40" s="357" t="str">
        <f t="shared" si="0"/>
        <v>4810002</v>
      </c>
      <c r="B40" s="350" t="s">
        <v>1883</v>
      </c>
      <c r="C40" s="335" t="s">
        <v>973</v>
      </c>
      <c r="D40" s="340">
        <v>28.97</v>
      </c>
      <c r="E40" s="340">
        <v>-3484.71</v>
      </c>
      <c r="F40" s="340">
        <v>-93.06</v>
      </c>
      <c r="G40" s="340">
        <v>-2040.75</v>
      </c>
      <c r="H40" s="340">
        <v>-4887.21</v>
      </c>
      <c r="I40" s="340">
        <v>-6879.48</v>
      </c>
      <c r="J40" s="340">
        <v>3567.96</v>
      </c>
      <c r="K40" s="340">
        <v>-3955.6</v>
      </c>
      <c r="L40" s="340">
        <v>1376.58</v>
      </c>
      <c r="M40" s="340">
        <v>1724.83</v>
      </c>
      <c r="N40" s="340">
        <v>737.94</v>
      </c>
      <c r="O40" s="341">
        <v>78.95</v>
      </c>
      <c r="P40" s="48">
        <v>-665.11</v>
      </c>
      <c r="Q40" s="48">
        <v>-5666.72</v>
      </c>
      <c r="R40" s="48">
        <v>2181.62</v>
      </c>
      <c r="S40" s="48">
        <v>-48.37</v>
      </c>
      <c r="T40" s="48">
        <v>-91.67</v>
      </c>
      <c r="U40" s="48">
        <v>-39.020000000000003</v>
      </c>
      <c r="V40" s="48">
        <v>-0.38</v>
      </c>
      <c r="W40" s="48">
        <v>-4.83</v>
      </c>
      <c r="X40" s="48">
        <v>3</v>
      </c>
      <c r="Y40" s="48">
        <v>0</v>
      </c>
      <c r="Z40" s="48">
        <v>-87.7</v>
      </c>
      <c r="AA40" s="48">
        <v>-252.07</v>
      </c>
      <c r="AB40" s="48">
        <v>-186.65</v>
      </c>
      <c r="AC40" s="48">
        <v>-1349.64</v>
      </c>
      <c r="AD40" s="48">
        <v>-657.02</v>
      </c>
      <c r="AE40" s="48">
        <v>-640.79</v>
      </c>
      <c r="AF40" s="48">
        <v>-570.86</v>
      </c>
      <c r="AG40" s="48">
        <v>-290.33</v>
      </c>
      <c r="AH40" s="48">
        <v>195</v>
      </c>
      <c r="AI40" s="48">
        <v>0</v>
      </c>
      <c r="AJ40" s="48">
        <v>0</v>
      </c>
      <c r="AK40" s="48">
        <v>0</v>
      </c>
      <c r="AL40" s="48">
        <v>0</v>
      </c>
      <c r="AM40" s="48">
        <v>0</v>
      </c>
      <c r="AN40" s="48">
        <v>0</v>
      </c>
      <c r="AO40" s="48">
        <v>0</v>
      </c>
      <c r="AP40" s="48">
        <v>0</v>
      </c>
      <c r="AQ40" s="48">
        <v>0</v>
      </c>
      <c r="AR40" s="48">
        <v>0</v>
      </c>
      <c r="AS40" s="48">
        <v>0</v>
      </c>
      <c r="AT40" s="48">
        <v>0</v>
      </c>
      <c r="AU40" s="48">
        <v>0</v>
      </c>
      <c r="AV40" s="48">
        <v>0</v>
      </c>
      <c r="AW40" s="48"/>
      <c r="AX40" s="48"/>
      <c r="AY40" s="48"/>
      <c r="AZ40" s="48">
        <v>0</v>
      </c>
      <c r="BA40" s="48">
        <v>0</v>
      </c>
      <c r="BB40" s="48">
        <v>0</v>
      </c>
      <c r="BC40" s="48">
        <v>0</v>
      </c>
      <c r="BD40" s="48">
        <v>0</v>
      </c>
      <c r="BE40" s="48">
        <v>0</v>
      </c>
      <c r="BF40" s="48">
        <v>0</v>
      </c>
      <c r="BG40" s="48">
        <v>0</v>
      </c>
      <c r="BH40" s="48">
        <v>0</v>
      </c>
      <c r="BI40" s="48">
        <v>0</v>
      </c>
      <c r="BJ40" s="48">
        <v>0</v>
      </c>
      <c r="BK40" s="48">
        <v>0</v>
      </c>
      <c r="BL40" s="48">
        <v>0</v>
      </c>
      <c r="BM40" s="48">
        <v>0</v>
      </c>
      <c r="BN40" s="48">
        <v>0</v>
      </c>
      <c r="BO40" s="48">
        <v>0</v>
      </c>
      <c r="BP40" s="48">
        <v>0</v>
      </c>
      <c r="BQ40" s="48">
        <v>0</v>
      </c>
      <c r="BR40" s="48">
        <v>0</v>
      </c>
      <c r="BS40" s="48">
        <v>0</v>
      </c>
      <c r="BT40" s="48">
        <v>0</v>
      </c>
      <c r="BU40" s="48">
        <v>0</v>
      </c>
      <c r="BV40" s="48">
        <v>0</v>
      </c>
      <c r="BW40" s="48">
        <v>0</v>
      </c>
      <c r="BX40" s="48">
        <v>0</v>
      </c>
      <c r="BY40" s="48">
        <v>0</v>
      </c>
      <c r="BZ40" s="48">
        <v>0</v>
      </c>
      <c r="CA40" s="48">
        <v>0</v>
      </c>
      <c r="CB40" s="48">
        <v>0</v>
      </c>
      <c r="CC40" s="48">
        <v>0</v>
      </c>
      <c r="CD40" s="48">
        <v>0</v>
      </c>
      <c r="CE40" s="48">
        <v>0</v>
      </c>
      <c r="CF40" s="48">
        <v>0</v>
      </c>
      <c r="CG40" s="48">
        <v>0</v>
      </c>
      <c r="CH40" s="48">
        <v>0</v>
      </c>
      <c r="CI40" s="48">
        <v>-254.87</v>
      </c>
      <c r="CJ40" s="48">
        <v>-317.05</v>
      </c>
      <c r="CK40" s="48">
        <v>571.91999999999996</v>
      </c>
      <c r="CL40" s="48">
        <v>0</v>
      </c>
      <c r="CM40" s="48">
        <v>0</v>
      </c>
      <c r="CN40" s="48">
        <v>0</v>
      </c>
      <c r="CO40" s="48">
        <v>0</v>
      </c>
      <c r="CP40" s="48">
        <v>0</v>
      </c>
      <c r="CQ40" s="48">
        <v>0</v>
      </c>
      <c r="CR40" s="48">
        <v>0</v>
      </c>
      <c r="CS40" s="48">
        <v>0</v>
      </c>
      <c r="CT40" s="48">
        <v>0</v>
      </c>
      <c r="CU40" s="48">
        <v>0</v>
      </c>
      <c r="CV40" s="48">
        <v>0</v>
      </c>
      <c r="CW40" s="48">
        <v>0</v>
      </c>
      <c r="CX40" s="48">
        <v>0</v>
      </c>
      <c r="CY40" s="48">
        <v>0</v>
      </c>
      <c r="CZ40" s="48">
        <v>0</v>
      </c>
      <c r="DA40" s="48">
        <v>0</v>
      </c>
      <c r="DB40" s="48">
        <v>0</v>
      </c>
      <c r="DC40" s="48">
        <v>0</v>
      </c>
      <c r="DD40" s="48">
        <v>0</v>
      </c>
      <c r="DE40" s="48">
        <f>VLOOKUP($C40,'[2]Analysis 1'!$C$5:$DG$1025,107,FALSE)</f>
        <v>0</v>
      </c>
      <c r="DF40" s="48">
        <f>VLOOKUP($C40,'[2]Analysis 1'!$C$5:$DG$1025,108,FALSE)</f>
        <v>0</v>
      </c>
      <c r="DG40" s="48">
        <f>VLOOKUP($C40,'[2]Analysis 1'!$C$5:$DG$1025,109,FALSE)</f>
        <v>0</v>
      </c>
      <c r="DH40" s="369">
        <f t="shared" si="1"/>
        <v>0</v>
      </c>
    </row>
    <row r="41" spans="1:112">
      <c r="A41" s="357" t="str">
        <f t="shared" si="0"/>
        <v>4810004</v>
      </c>
      <c r="B41" s="350" t="s">
        <v>1884</v>
      </c>
      <c r="C41" s="335" t="s">
        <v>974</v>
      </c>
      <c r="D41" s="367">
        <v>-1223.76</v>
      </c>
      <c r="E41" s="367">
        <v>-895.08</v>
      </c>
      <c r="F41" s="367">
        <v>-831.56</v>
      </c>
      <c r="G41" s="367">
        <v>-1021.13</v>
      </c>
      <c r="H41" s="367">
        <v>-997.63</v>
      </c>
      <c r="I41" s="367">
        <v>-924.03</v>
      </c>
      <c r="J41" s="367">
        <v>-886.3</v>
      </c>
      <c r="K41" s="367">
        <v>-899.27</v>
      </c>
      <c r="L41" s="367">
        <v>-839.12</v>
      </c>
      <c r="M41" s="367">
        <v>-867.7</v>
      </c>
      <c r="N41" s="367">
        <v>-774.96</v>
      </c>
      <c r="O41" s="368">
        <v>-986.8</v>
      </c>
      <c r="P41" s="48">
        <v>-893.89</v>
      </c>
      <c r="Q41" s="48">
        <v>-603.83000000000004</v>
      </c>
      <c r="R41" s="48">
        <v>-871.63</v>
      </c>
      <c r="S41" s="48">
        <v>-689.86</v>
      </c>
      <c r="T41" s="48">
        <v>-647.54999999999995</v>
      </c>
      <c r="U41" s="48">
        <v>-1029.8</v>
      </c>
      <c r="V41" s="48">
        <v>-682.48</v>
      </c>
      <c r="W41" s="48">
        <v>-849.22</v>
      </c>
      <c r="X41" s="48">
        <v>-827.66</v>
      </c>
      <c r="Y41" s="48">
        <v>-741.75</v>
      </c>
      <c r="Z41" s="48">
        <v>-696.62</v>
      </c>
      <c r="AA41" s="48">
        <v>-630.73</v>
      </c>
      <c r="AB41" s="48">
        <v>-632.44000000000005</v>
      </c>
      <c r="AC41" s="48">
        <v>-642.4</v>
      </c>
      <c r="AD41" s="48">
        <v>-564.58000000000004</v>
      </c>
      <c r="AE41" s="48">
        <v>-698.32</v>
      </c>
      <c r="AF41" s="48">
        <v>-590.44000000000005</v>
      </c>
      <c r="AG41" s="48">
        <v>-746.49</v>
      </c>
      <c r="AH41" s="48">
        <v>-660.01</v>
      </c>
      <c r="AI41" s="48">
        <v>-643.83000000000004</v>
      </c>
      <c r="AJ41" s="48">
        <v>-682.25</v>
      </c>
      <c r="AK41" s="48">
        <v>-470.05</v>
      </c>
      <c r="AL41" s="48">
        <v>-639.6</v>
      </c>
      <c r="AM41" s="48">
        <v>-702.68</v>
      </c>
      <c r="AN41" s="48">
        <v>-856.46</v>
      </c>
      <c r="AO41" s="48">
        <v>-477.01</v>
      </c>
      <c r="AP41" s="48">
        <v>-532.16999999999996</v>
      </c>
      <c r="AQ41" s="48">
        <v>-547.92999999999995</v>
      </c>
      <c r="AR41" s="48">
        <v>-539.19000000000005</v>
      </c>
      <c r="AS41" s="48">
        <v>-551.30999999999995</v>
      </c>
      <c r="AT41" s="48">
        <v>-568.12</v>
      </c>
      <c r="AU41" s="48">
        <v>-1040.5</v>
      </c>
      <c r="AV41" s="48">
        <v>-469.46</v>
      </c>
      <c r="AW41" s="48">
        <v>-524.49</v>
      </c>
      <c r="AX41" s="48">
        <v>-522.27</v>
      </c>
      <c r="AY41" s="48">
        <v>-466.63</v>
      </c>
      <c r="AZ41" s="48">
        <v>-566.66</v>
      </c>
      <c r="BA41" s="48">
        <v>-384.6</v>
      </c>
      <c r="BB41" s="48">
        <v>-514.36</v>
      </c>
      <c r="BC41" s="48">
        <v>-490.54</v>
      </c>
      <c r="BD41" s="48">
        <v>-473.95</v>
      </c>
      <c r="BE41" s="48">
        <v>-486.51</v>
      </c>
      <c r="BF41" s="48">
        <v>-580.71</v>
      </c>
      <c r="BG41" s="48">
        <v>-590.03</v>
      </c>
      <c r="BH41" s="48">
        <v>-614.64</v>
      </c>
      <c r="BI41" s="48">
        <v>-537.5</v>
      </c>
      <c r="BJ41" s="48">
        <v>-651.32000000000005</v>
      </c>
      <c r="BK41" s="48">
        <v>-594.70000000000005</v>
      </c>
      <c r="BL41" s="48">
        <v>-606.54</v>
      </c>
      <c r="BM41" s="48">
        <v>-531.01</v>
      </c>
      <c r="BN41" s="48">
        <v>-584.5</v>
      </c>
      <c r="BO41" s="48">
        <v>-542.98</v>
      </c>
      <c r="BP41" s="48">
        <v>-503.35</v>
      </c>
      <c r="BQ41" s="48">
        <v>-535.29</v>
      </c>
      <c r="BR41" s="48">
        <v>-493.3</v>
      </c>
      <c r="BS41" s="48">
        <v>-488.14</v>
      </c>
      <c r="BT41" s="48">
        <v>-549.41</v>
      </c>
      <c r="BU41" s="48">
        <v>-431.98</v>
      </c>
      <c r="BV41" s="48">
        <v>-551.88</v>
      </c>
      <c r="BW41" s="48">
        <v>-563.70000000000005</v>
      </c>
      <c r="BX41" s="48">
        <v>-563.61</v>
      </c>
      <c r="BY41" s="48">
        <v>-489.11</v>
      </c>
      <c r="BZ41" s="48">
        <v>-431.48</v>
      </c>
      <c r="CA41" s="48">
        <v>-450.35</v>
      </c>
      <c r="CB41" s="48">
        <v>-465.17</v>
      </c>
      <c r="CC41" s="48">
        <v>-468.61</v>
      </c>
      <c r="CD41" s="48">
        <v>-428.6</v>
      </c>
      <c r="CE41" s="48">
        <v>-428.27</v>
      </c>
      <c r="CF41" s="48">
        <v>-424.01</v>
      </c>
      <c r="CG41" s="48">
        <v>-389.5</v>
      </c>
      <c r="CH41" s="48">
        <v>-405.59</v>
      </c>
      <c r="CI41" s="48">
        <v>-594.28</v>
      </c>
      <c r="CJ41" s="48">
        <v>-1016.44</v>
      </c>
      <c r="CK41" s="48">
        <v>-656.41</v>
      </c>
      <c r="CL41" s="48">
        <v>-887.87</v>
      </c>
      <c r="CM41" s="48">
        <v>-750.47</v>
      </c>
      <c r="CN41" s="48">
        <v>-610.26</v>
      </c>
      <c r="CO41" s="48">
        <v>-706.95</v>
      </c>
      <c r="CP41" s="48">
        <v>-609.53</v>
      </c>
      <c r="CQ41" s="48">
        <v>-659.08</v>
      </c>
      <c r="CR41" s="48">
        <v>-795.86</v>
      </c>
      <c r="CS41" s="48">
        <v>-673.57</v>
      </c>
      <c r="CT41" s="48">
        <v>-825.26</v>
      </c>
      <c r="CU41" s="48">
        <v>-926.59</v>
      </c>
      <c r="CV41" s="48">
        <v>-1016.08</v>
      </c>
      <c r="CW41" s="48">
        <v>-637.28</v>
      </c>
      <c r="CX41" s="48">
        <v>-837.7</v>
      </c>
      <c r="CY41" s="48">
        <v>-739.84</v>
      </c>
      <c r="CZ41" s="48">
        <v>-698.46</v>
      </c>
      <c r="DA41" s="48">
        <v>-739.12</v>
      </c>
      <c r="DB41" s="48">
        <v>-738.21</v>
      </c>
      <c r="DC41" s="48">
        <v>-655.68</v>
      </c>
      <c r="DD41" s="48">
        <v>-699.25</v>
      </c>
      <c r="DE41" s="48">
        <f>VLOOKUP($C41,'[2]Analysis 1'!$C$5:$DG$1025,107,FALSE)</f>
        <v>-695.44</v>
      </c>
      <c r="DF41" s="48">
        <f>VLOOKUP($C41,'[2]Analysis 1'!$C$5:$DG$1025,108,FALSE)</f>
        <v>-618.42999999999995</v>
      </c>
      <c r="DG41" s="48">
        <f>VLOOKUP($C41,'[2]Analysis 1'!$C$5:$DG$1025,109,FALSE)</f>
        <v>-733.15</v>
      </c>
      <c r="DH41" s="369">
        <f t="shared" si="1"/>
        <v>-8808.6400000000012</v>
      </c>
    </row>
    <row r="42" spans="1:112">
      <c r="A42" s="357" t="str">
        <f t="shared" si="0"/>
        <v>4810005</v>
      </c>
      <c r="B42" s="350" t="s">
        <v>1885</v>
      </c>
      <c r="C42" s="335" t="s">
        <v>975</v>
      </c>
      <c r="D42" s="340">
        <v>-6012.12</v>
      </c>
      <c r="E42" s="340">
        <v>-3873.9</v>
      </c>
      <c r="F42" s="340">
        <v>-3411.97</v>
      </c>
      <c r="G42" s="340">
        <v>-4747.46</v>
      </c>
      <c r="H42" s="340">
        <v>-4179.24</v>
      </c>
      <c r="I42" s="340">
        <v>-4193.3100000000004</v>
      </c>
      <c r="J42" s="340">
        <v>-3961.03</v>
      </c>
      <c r="K42" s="340">
        <v>-4113.33</v>
      </c>
      <c r="L42" s="340">
        <v>-3574.25</v>
      </c>
      <c r="M42" s="340">
        <v>-3534.63</v>
      </c>
      <c r="N42" s="340">
        <v>-3022.48</v>
      </c>
      <c r="O42" s="341">
        <v>-3952.95</v>
      </c>
      <c r="P42" s="48">
        <v>-4182.41</v>
      </c>
      <c r="Q42" s="48">
        <v>-2543.2600000000002</v>
      </c>
      <c r="R42" s="48">
        <v>-3125.28</v>
      </c>
      <c r="S42" s="48">
        <v>-2793.83</v>
      </c>
      <c r="T42" s="48">
        <v>-2688.9</v>
      </c>
      <c r="U42" s="48">
        <v>-4440.2299999999996</v>
      </c>
      <c r="V42" s="48">
        <v>-2970.93</v>
      </c>
      <c r="W42" s="48">
        <v>-3789.16</v>
      </c>
      <c r="X42" s="48">
        <v>-3682.59</v>
      </c>
      <c r="Y42" s="48">
        <v>-3059.5</v>
      </c>
      <c r="Z42" s="48">
        <v>-3005.38</v>
      </c>
      <c r="AA42" s="48">
        <v>-2780.39</v>
      </c>
      <c r="AB42" s="48">
        <v>-3113.58</v>
      </c>
      <c r="AC42" s="48">
        <v>-3092.1</v>
      </c>
      <c r="AD42" s="48">
        <v>-2536.88</v>
      </c>
      <c r="AE42" s="48">
        <v>-3295.92</v>
      </c>
      <c r="AF42" s="48">
        <v>-2783.59</v>
      </c>
      <c r="AG42" s="48">
        <v>-3323.88</v>
      </c>
      <c r="AH42" s="48">
        <v>-2887.78</v>
      </c>
      <c r="AI42" s="48">
        <v>-2851.45</v>
      </c>
      <c r="AJ42" s="48">
        <v>-2770.09</v>
      </c>
      <c r="AK42" s="48">
        <v>-1975.55</v>
      </c>
      <c r="AL42" s="48">
        <v>-2479.17</v>
      </c>
      <c r="AM42" s="48">
        <v>-2783.57</v>
      </c>
      <c r="AN42" s="48">
        <v>-3402.35</v>
      </c>
      <c r="AO42" s="48">
        <v>-2093.36</v>
      </c>
      <c r="AP42" s="48">
        <v>-2226.56</v>
      </c>
      <c r="AQ42" s="48">
        <v>-2297.5300000000002</v>
      </c>
      <c r="AR42" s="48">
        <v>-2255.36</v>
      </c>
      <c r="AS42" s="48">
        <v>-2220.77</v>
      </c>
      <c r="AT42" s="48">
        <v>-2403.52</v>
      </c>
      <c r="AU42" s="48">
        <v>-4572.07</v>
      </c>
      <c r="AV42" s="48">
        <v>-2447.54</v>
      </c>
      <c r="AW42" s="48">
        <v>-2525.2399999999998</v>
      </c>
      <c r="AX42" s="48">
        <v>-2511.14</v>
      </c>
      <c r="AY42" s="48">
        <v>-2246.3200000000002</v>
      </c>
      <c r="AZ42" s="48">
        <v>-3085.46</v>
      </c>
      <c r="BA42" s="48">
        <v>-2053.81</v>
      </c>
      <c r="BB42" s="48">
        <v>-2420.75</v>
      </c>
      <c r="BC42" s="48">
        <v>-2344.52</v>
      </c>
      <c r="BD42" s="48">
        <v>-2271.52</v>
      </c>
      <c r="BE42" s="48">
        <v>-2194.54</v>
      </c>
      <c r="BF42" s="48">
        <v>-2678.39</v>
      </c>
      <c r="BG42" s="48">
        <v>-2720.19</v>
      </c>
      <c r="BH42" s="48">
        <v>-2834.77</v>
      </c>
      <c r="BI42" s="48">
        <v>-2257.94</v>
      </c>
      <c r="BJ42" s="48">
        <v>-2832.69</v>
      </c>
      <c r="BK42" s="48">
        <v>-2579.9</v>
      </c>
      <c r="BL42" s="48">
        <v>-3015.16</v>
      </c>
      <c r="BM42" s="48">
        <v>-2593.54</v>
      </c>
      <c r="BN42" s="48">
        <v>-3131.62</v>
      </c>
      <c r="BO42" s="48">
        <v>-3189.55</v>
      </c>
      <c r="BP42" s="48">
        <v>-2851.94</v>
      </c>
      <c r="BQ42" s="48">
        <v>-3017.86</v>
      </c>
      <c r="BR42" s="48">
        <v>-2794.82</v>
      </c>
      <c r="BS42" s="48">
        <v>-2150.84</v>
      </c>
      <c r="BT42" s="48">
        <v>-2638.8</v>
      </c>
      <c r="BU42" s="48">
        <v>-2094.42</v>
      </c>
      <c r="BV42" s="48">
        <v>-2637.35</v>
      </c>
      <c r="BW42" s="48">
        <v>-2720.7</v>
      </c>
      <c r="BX42" s="48">
        <v>-2708.26</v>
      </c>
      <c r="BY42" s="48">
        <v>-2140.2199999999998</v>
      </c>
      <c r="BZ42" s="48">
        <v>-1847.23</v>
      </c>
      <c r="CA42" s="48">
        <v>-1961.92</v>
      </c>
      <c r="CB42" s="48">
        <v>-2019.11</v>
      </c>
      <c r="CC42" s="48">
        <v>-2039.49</v>
      </c>
      <c r="CD42" s="48">
        <v>-1875.27</v>
      </c>
      <c r="CE42" s="48">
        <v>-1862.61</v>
      </c>
      <c r="CF42" s="48">
        <v>-1848.73</v>
      </c>
      <c r="CG42" s="48">
        <v>-1869.24</v>
      </c>
      <c r="CH42" s="48">
        <v>-2040.99</v>
      </c>
      <c r="CI42" s="48">
        <v>-3054.72</v>
      </c>
      <c r="CJ42" s="48">
        <v>-2827.85</v>
      </c>
      <c r="CK42" s="48">
        <v>-2184.65</v>
      </c>
      <c r="CL42" s="48">
        <v>-3524.35</v>
      </c>
      <c r="CM42" s="48">
        <v>-2857.97</v>
      </c>
      <c r="CN42" s="48">
        <v>-2330.62</v>
      </c>
      <c r="CO42" s="48">
        <v>-2685.05</v>
      </c>
      <c r="CP42" s="48">
        <v>-2323.9699999999998</v>
      </c>
      <c r="CQ42" s="48">
        <v>-2508.33</v>
      </c>
      <c r="CR42" s="48">
        <v>-3025.79</v>
      </c>
      <c r="CS42" s="48">
        <v>-2559.4</v>
      </c>
      <c r="CT42" s="48">
        <v>-3135.75</v>
      </c>
      <c r="CU42" s="48">
        <v>-3524.3</v>
      </c>
      <c r="CV42" s="48">
        <v>-4433.78</v>
      </c>
      <c r="CW42" s="48">
        <v>-2612.7600000000002</v>
      </c>
      <c r="CX42" s="48">
        <v>-3445.1</v>
      </c>
      <c r="CY42" s="48">
        <v>-3048.31</v>
      </c>
      <c r="CZ42" s="48">
        <v>-2871.27</v>
      </c>
      <c r="DA42" s="48">
        <v>-3044.31</v>
      </c>
      <c r="DB42" s="48">
        <v>-3046.21</v>
      </c>
      <c r="DC42" s="48">
        <v>-4582.24</v>
      </c>
      <c r="DD42" s="48">
        <v>-4185.8900000000003</v>
      </c>
      <c r="DE42" s="48">
        <f>VLOOKUP($C42,'[2]Analysis 1'!$C$5:$DG$1025,107,FALSE)</f>
        <v>-3873.03</v>
      </c>
      <c r="DF42" s="48">
        <f>VLOOKUP($C42,'[2]Analysis 1'!$C$5:$DG$1025,108,FALSE)</f>
        <v>-1368.72</v>
      </c>
      <c r="DG42" s="48">
        <f>VLOOKUP($C42,'[2]Analysis 1'!$C$5:$DG$1025,109,FALSE)</f>
        <v>-2513.29</v>
      </c>
      <c r="DH42" s="369">
        <f t="shared" si="1"/>
        <v>-39024.909999999996</v>
      </c>
    </row>
    <row r="43" spans="1:112">
      <c r="A43" s="357" t="str">
        <f t="shared" si="0"/>
        <v>4810008</v>
      </c>
      <c r="B43" s="350" t="s">
        <v>1886</v>
      </c>
      <c r="C43" s="335" t="s">
        <v>976</v>
      </c>
      <c r="D43" s="367">
        <v>-427744.7</v>
      </c>
      <c r="E43" s="367">
        <v>-428746.82</v>
      </c>
      <c r="F43" s="367">
        <v>-347089.15</v>
      </c>
      <c r="G43" s="367">
        <v>-338523.72</v>
      </c>
      <c r="H43" s="367">
        <v>-314767.2</v>
      </c>
      <c r="I43" s="367">
        <v>-313600.05</v>
      </c>
      <c r="J43" s="367">
        <v>-298277.83</v>
      </c>
      <c r="K43" s="367">
        <v>-285995.21000000002</v>
      </c>
      <c r="L43" s="367">
        <v>-307859.01</v>
      </c>
      <c r="M43" s="367">
        <v>-303123.42</v>
      </c>
      <c r="N43" s="367">
        <v>-316036.01</v>
      </c>
      <c r="O43" s="368">
        <v>-371777.26</v>
      </c>
      <c r="P43" s="48">
        <v>-379536.13</v>
      </c>
      <c r="Q43" s="48">
        <v>-393481.42</v>
      </c>
      <c r="R43" s="48">
        <v>-376548.02</v>
      </c>
      <c r="S43" s="48">
        <v>-305252.15999999997</v>
      </c>
      <c r="T43" s="48">
        <v>-287186.7</v>
      </c>
      <c r="U43" s="48">
        <v>-313191.09000000003</v>
      </c>
      <c r="V43" s="48">
        <v>-286111.53000000003</v>
      </c>
      <c r="W43" s="48">
        <v>-296212.45</v>
      </c>
      <c r="X43" s="48">
        <v>-287623.42</v>
      </c>
      <c r="Y43" s="48">
        <v>-301128.14</v>
      </c>
      <c r="Z43" s="48">
        <v>-307092.65000000002</v>
      </c>
      <c r="AA43" s="48">
        <v>-331046.71000000002</v>
      </c>
      <c r="AB43" s="48">
        <v>-370625.01</v>
      </c>
      <c r="AC43" s="48">
        <v>-396280.57</v>
      </c>
      <c r="AD43" s="48">
        <v>-342217.73</v>
      </c>
      <c r="AE43" s="48">
        <v>-310966.46000000002</v>
      </c>
      <c r="AF43" s="48">
        <v>-302101.56</v>
      </c>
      <c r="AG43" s="48">
        <v>-294726.39</v>
      </c>
      <c r="AH43" s="48">
        <v>-275789.51</v>
      </c>
      <c r="AI43" s="48">
        <v>-278852.92</v>
      </c>
      <c r="AJ43" s="48">
        <v>-285377.42</v>
      </c>
      <c r="AK43" s="48">
        <v>-283351.03000000003</v>
      </c>
      <c r="AL43" s="48">
        <v>-299486.63</v>
      </c>
      <c r="AM43" s="48">
        <v>-327259.45</v>
      </c>
      <c r="AN43" s="48">
        <v>-342734.97</v>
      </c>
      <c r="AO43" s="48">
        <v>-329356.28000000003</v>
      </c>
      <c r="AP43" s="48">
        <v>-317465.06</v>
      </c>
      <c r="AQ43" s="48">
        <v>-311636.75</v>
      </c>
      <c r="AR43" s="48">
        <v>-290823.56</v>
      </c>
      <c r="AS43" s="48">
        <v>-283622.63</v>
      </c>
      <c r="AT43" s="48">
        <v>-277801.33</v>
      </c>
      <c r="AU43" s="48">
        <v>-278660.19</v>
      </c>
      <c r="AV43" s="48">
        <v>-386631.9</v>
      </c>
      <c r="AW43" s="48">
        <v>-164067.74</v>
      </c>
      <c r="AX43" s="48">
        <v>-343144.76</v>
      </c>
      <c r="AY43" s="48">
        <v>-361844.38</v>
      </c>
      <c r="AZ43" s="48">
        <v>-460618.68</v>
      </c>
      <c r="BA43" s="48">
        <v>-390713.59999999998</v>
      </c>
      <c r="BB43" s="48">
        <v>-304618.46999999997</v>
      </c>
      <c r="BC43" s="48">
        <v>-335179.86</v>
      </c>
      <c r="BD43" s="48">
        <v>-289866.95</v>
      </c>
      <c r="BE43" s="48">
        <v>-293450.18</v>
      </c>
      <c r="BF43" s="48">
        <v>-289550.89</v>
      </c>
      <c r="BG43" s="48">
        <v>-281826.5</v>
      </c>
      <c r="BH43" s="48">
        <v>-307560.73</v>
      </c>
      <c r="BI43" s="48">
        <v>-302892.65999999997</v>
      </c>
      <c r="BJ43" s="48">
        <v>-310698.96999999997</v>
      </c>
      <c r="BK43" s="48">
        <v>-319591.28999999998</v>
      </c>
      <c r="BL43" s="48">
        <v>-337807.41</v>
      </c>
      <c r="BM43" s="48">
        <v>-339255.68</v>
      </c>
      <c r="BN43" s="48">
        <v>-320061.96999999997</v>
      </c>
      <c r="BO43" s="48">
        <v>-302594.5</v>
      </c>
      <c r="BP43" s="48">
        <v>-290821.34999999998</v>
      </c>
      <c r="BQ43" s="48">
        <v>-280405.56</v>
      </c>
      <c r="BR43" s="48">
        <v>-249484.19</v>
      </c>
      <c r="BS43" s="48">
        <v>-261198.44</v>
      </c>
      <c r="BT43" s="48">
        <v>-276743.15999999997</v>
      </c>
      <c r="BU43" s="48">
        <v>-254104.24</v>
      </c>
      <c r="BV43" s="48">
        <v>-288688.33</v>
      </c>
      <c r="BW43" s="48">
        <v>-299825.84999999998</v>
      </c>
      <c r="BX43" s="48">
        <v>-324960.31</v>
      </c>
      <c r="BY43" s="48">
        <v>-318712.65000000002</v>
      </c>
      <c r="BZ43" s="48">
        <v>-294312.67</v>
      </c>
      <c r="CA43" s="48">
        <v>-253074.24</v>
      </c>
      <c r="CB43" s="48">
        <v>-249669.54</v>
      </c>
      <c r="CC43" s="48">
        <v>-267683.61</v>
      </c>
      <c r="CD43" s="48">
        <v>-253659.68</v>
      </c>
      <c r="CE43" s="48">
        <v>-259222.72</v>
      </c>
      <c r="CF43" s="48">
        <v>-254430.45</v>
      </c>
      <c r="CG43" s="48">
        <v>-263651.67</v>
      </c>
      <c r="CH43" s="48">
        <v>-274490.99</v>
      </c>
      <c r="CI43" s="48">
        <v>-312427.46000000002</v>
      </c>
      <c r="CJ43" s="48">
        <v>-456030.56</v>
      </c>
      <c r="CK43" s="48">
        <v>-382644.42</v>
      </c>
      <c r="CL43" s="48">
        <v>-376886.3</v>
      </c>
      <c r="CM43" s="48">
        <v>-367759.69</v>
      </c>
      <c r="CN43" s="48">
        <v>-339393.39</v>
      </c>
      <c r="CO43" s="48">
        <v>-335028.46999999997</v>
      </c>
      <c r="CP43" s="48">
        <v>-342380.14</v>
      </c>
      <c r="CQ43" s="48">
        <v>-333261.81</v>
      </c>
      <c r="CR43" s="48">
        <v>-470327.86</v>
      </c>
      <c r="CS43" s="48">
        <v>-176321.15</v>
      </c>
      <c r="CT43" s="48">
        <v>-398309.61</v>
      </c>
      <c r="CU43" s="48">
        <v>-405643.61</v>
      </c>
      <c r="CV43" s="48">
        <v>-425048.38</v>
      </c>
      <c r="CW43" s="48">
        <v>-432496.1</v>
      </c>
      <c r="CX43" s="48">
        <v>-380575.36</v>
      </c>
      <c r="CY43" s="48">
        <v>-368154.05</v>
      </c>
      <c r="CZ43" s="48">
        <v>-363048.46</v>
      </c>
      <c r="DA43" s="48">
        <v>-349372.38</v>
      </c>
      <c r="DB43" s="48">
        <v>-332452.58</v>
      </c>
      <c r="DC43" s="48">
        <v>-332650.64</v>
      </c>
      <c r="DD43" s="48">
        <v>-345668.54</v>
      </c>
      <c r="DE43" s="48">
        <f>VLOOKUP($C43,'[2]Analysis 1'!$C$5:$DG$1025,107,FALSE)</f>
        <v>-371932.82</v>
      </c>
      <c r="DF43" s="48">
        <f>VLOOKUP($C43,'[2]Analysis 1'!$C$5:$DG$1025,108,FALSE)</f>
        <v>-358637.24</v>
      </c>
      <c r="DG43" s="48">
        <f>VLOOKUP($C43,'[2]Analysis 1'!$C$5:$DG$1025,109,FALSE)</f>
        <v>-394264.75</v>
      </c>
      <c r="DH43" s="369">
        <f t="shared" si="1"/>
        <v>-4454301.3</v>
      </c>
    </row>
    <row r="44" spans="1:112">
      <c r="A44" s="357" t="str">
        <f t="shared" si="0"/>
        <v>4810009</v>
      </c>
      <c r="B44" s="350" t="s">
        <v>1887</v>
      </c>
      <c r="C44" s="335" t="s">
        <v>977</v>
      </c>
      <c r="D44" s="340">
        <v>-629383.47</v>
      </c>
      <c r="E44" s="340">
        <v>-571235.17000000004</v>
      </c>
      <c r="F44" s="340">
        <v>-349287.87</v>
      </c>
      <c r="G44" s="340">
        <v>-380897.29</v>
      </c>
      <c r="H44" s="340">
        <v>-286213.93</v>
      </c>
      <c r="I44" s="340">
        <v>-309521.48</v>
      </c>
      <c r="J44" s="340">
        <v>-262200.7</v>
      </c>
      <c r="K44" s="340">
        <v>-242344.32000000001</v>
      </c>
      <c r="L44" s="340">
        <v>-279383.25</v>
      </c>
      <c r="M44" s="340">
        <v>-256871.96</v>
      </c>
      <c r="N44" s="340">
        <v>-274988.96999999997</v>
      </c>
      <c r="O44" s="341">
        <v>-403439.88</v>
      </c>
      <c r="P44" s="48">
        <v>-490375.53</v>
      </c>
      <c r="Q44" s="48">
        <v>-479035.44</v>
      </c>
      <c r="R44" s="48">
        <v>-369641.49</v>
      </c>
      <c r="S44" s="48">
        <v>-266559.95</v>
      </c>
      <c r="T44" s="48">
        <v>-232094.13</v>
      </c>
      <c r="U44" s="48">
        <v>-306542.5</v>
      </c>
      <c r="V44" s="48">
        <v>-230818.1</v>
      </c>
      <c r="W44" s="48">
        <v>-268749.94</v>
      </c>
      <c r="X44" s="48">
        <v>-250878.91</v>
      </c>
      <c r="Y44" s="48">
        <v>-260509.42</v>
      </c>
      <c r="Z44" s="48">
        <v>-296656.43</v>
      </c>
      <c r="AA44" s="48">
        <v>-345059.66</v>
      </c>
      <c r="AB44" s="48">
        <v>-497628.94</v>
      </c>
      <c r="AC44" s="48">
        <v>-558925.14</v>
      </c>
      <c r="AD44" s="48">
        <v>-385935.3</v>
      </c>
      <c r="AE44" s="48">
        <v>-337242.17</v>
      </c>
      <c r="AF44" s="48">
        <v>-308389.77</v>
      </c>
      <c r="AG44" s="48">
        <v>-276275.78000000003</v>
      </c>
      <c r="AH44" s="48">
        <v>-214287.78</v>
      </c>
      <c r="AI44" s="48">
        <v>-232312.45</v>
      </c>
      <c r="AJ44" s="48">
        <v>-229622.29</v>
      </c>
      <c r="AK44" s="48">
        <v>-230542.13</v>
      </c>
      <c r="AL44" s="48">
        <v>-251110.26</v>
      </c>
      <c r="AM44" s="48">
        <v>-314360.86</v>
      </c>
      <c r="AN44" s="48">
        <v>-355604.84</v>
      </c>
      <c r="AO44" s="48">
        <v>-347577.44</v>
      </c>
      <c r="AP44" s="48">
        <v>-313369.46000000002</v>
      </c>
      <c r="AQ44" s="48">
        <v>-305029.25</v>
      </c>
      <c r="AR44" s="48">
        <v>-251933.59</v>
      </c>
      <c r="AS44" s="48">
        <v>-229440.06</v>
      </c>
      <c r="AT44" s="48">
        <v>-215646.46</v>
      </c>
      <c r="AU44" s="48">
        <v>-239618.81</v>
      </c>
      <c r="AV44" s="48">
        <v>-541916.64</v>
      </c>
      <c r="AW44" s="48">
        <v>46926.53</v>
      </c>
      <c r="AX44" s="48">
        <v>-418441.59</v>
      </c>
      <c r="AY44" s="48">
        <v>-455906.44</v>
      </c>
      <c r="AZ44" s="48">
        <v>-811729.77</v>
      </c>
      <c r="BA44" s="48">
        <v>-606627.83999999997</v>
      </c>
      <c r="BB44" s="48">
        <v>-307416.95</v>
      </c>
      <c r="BC44" s="48">
        <v>-406831.82</v>
      </c>
      <c r="BD44" s="48">
        <v>-288257.63</v>
      </c>
      <c r="BE44" s="48">
        <v>-277192.25</v>
      </c>
      <c r="BF44" s="48">
        <v>-264752.46999999997</v>
      </c>
      <c r="BG44" s="48">
        <v>-252849.31</v>
      </c>
      <c r="BH44" s="48">
        <v>-316054.86</v>
      </c>
      <c r="BI44" s="48">
        <v>-281837.68</v>
      </c>
      <c r="BJ44" s="48">
        <v>-309509.2</v>
      </c>
      <c r="BK44" s="48">
        <v>-333702.94</v>
      </c>
      <c r="BL44" s="48">
        <v>-462712.08</v>
      </c>
      <c r="BM44" s="48">
        <v>-452040.11</v>
      </c>
      <c r="BN44" s="48">
        <v>-444503.92</v>
      </c>
      <c r="BO44" s="48">
        <v>-430016.99</v>
      </c>
      <c r="BP44" s="48">
        <v>-373860.01</v>
      </c>
      <c r="BQ44" s="48">
        <v>-352727.63</v>
      </c>
      <c r="BR44" s="48">
        <v>-258467.51</v>
      </c>
      <c r="BS44" s="48">
        <v>-227121.95</v>
      </c>
      <c r="BT44" s="48">
        <v>-286168.46000000002</v>
      </c>
      <c r="BU44" s="48">
        <v>-230887.63</v>
      </c>
      <c r="BV44" s="48">
        <v>-320531.32</v>
      </c>
      <c r="BW44" s="48">
        <v>-352382.59</v>
      </c>
      <c r="BX44" s="48">
        <v>-407826.69</v>
      </c>
      <c r="BY44" s="48">
        <v>-372106.28</v>
      </c>
      <c r="BZ44" s="48">
        <v>-303060.34000000003</v>
      </c>
      <c r="CA44" s="48">
        <v>-211291.28</v>
      </c>
      <c r="CB44" s="48">
        <v>-200168.6</v>
      </c>
      <c r="CC44" s="48">
        <v>-243330.7</v>
      </c>
      <c r="CD44" s="48">
        <v>-211906.81</v>
      </c>
      <c r="CE44" s="48">
        <v>-222282.64</v>
      </c>
      <c r="CF44" s="48">
        <v>-208996.44</v>
      </c>
      <c r="CG44" s="48">
        <v>-255967.33</v>
      </c>
      <c r="CH44" s="48">
        <v>-301029.96000000002</v>
      </c>
      <c r="CI44" s="48">
        <v>-416799.47</v>
      </c>
      <c r="CJ44" s="48">
        <v>-468534.66</v>
      </c>
      <c r="CK44" s="48">
        <v>-393033.29</v>
      </c>
      <c r="CL44" s="48">
        <v>-463685.05</v>
      </c>
      <c r="CM44" s="48">
        <v>-412246.02</v>
      </c>
      <c r="CN44" s="48">
        <v>-340158.92</v>
      </c>
      <c r="CO44" s="48">
        <v>-327697.23</v>
      </c>
      <c r="CP44" s="48">
        <v>-296359.56</v>
      </c>
      <c r="CQ44" s="48">
        <v>-287366.76</v>
      </c>
      <c r="CR44" s="48">
        <v>-654062.79</v>
      </c>
      <c r="CS44" s="48">
        <v>123257.36</v>
      </c>
      <c r="CT44" s="48">
        <v>-457334.98</v>
      </c>
      <c r="CU44" s="48">
        <v>-475629.01</v>
      </c>
      <c r="CV44" s="48">
        <v>-602612.07999999996</v>
      </c>
      <c r="CW44" s="48">
        <v>-600195.71</v>
      </c>
      <c r="CX44" s="48">
        <v>-446158.76</v>
      </c>
      <c r="CY44" s="48">
        <v>-409064.65</v>
      </c>
      <c r="CZ44" s="48">
        <v>-400810.68</v>
      </c>
      <c r="DA44" s="48">
        <v>-353756.58</v>
      </c>
      <c r="DB44" s="48">
        <v>-297075.37</v>
      </c>
      <c r="DC44" s="48">
        <v>-510654.98</v>
      </c>
      <c r="DD44" s="48">
        <v>-492371.23</v>
      </c>
      <c r="DE44" s="48">
        <f>VLOOKUP($C44,'[2]Analysis 1'!$C$5:$DG$1025,107,FALSE)</f>
        <v>-565409.31000000006</v>
      </c>
      <c r="DF44" s="48">
        <f>VLOOKUP($C44,'[2]Analysis 1'!$C$5:$DG$1025,108,FALSE)</f>
        <v>-213140.87</v>
      </c>
      <c r="DG44" s="48">
        <f>VLOOKUP($C44,'[2]Analysis 1'!$C$5:$DG$1025,109,FALSE)</f>
        <v>-402403.17</v>
      </c>
      <c r="DH44" s="369">
        <f t="shared" si="1"/>
        <v>-5293653.3900000006</v>
      </c>
    </row>
    <row r="45" spans="1:112">
      <c r="A45" s="357" t="str">
        <f>+B45</f>
        <v>4810033</v>
      </c>
      <c r="B45" s="350" t="s">
        <v>2373</v>
      </c>
      <c r="C45" s="335" t="s">
        <v>2374</v>
      </c>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v>0</v>
      </c>
      <c r="BV45" s="48">
        <v>-149.66999999999999</v>
      </c>
      <c r="BW45" s="48">
        <v>-36.51</v>
      </c>
      <c r="BX45" s="48">
        <v>-45</v>
      </c>
      <c r="BY45" s="48">
        <v>-64.040000000000006</v>
      </c>
      <c r="BZ45" s="48">
        <v>-73.47</v>
      </c>
      <c r="CA45" s="48">
        <v>-70.2</v>
      </c>
      <c r="CB45" s="48">
        <v>-85.66</v>
      </c>
      <c r="CC45" s="48">
        <v>-102.72</v>
      </c>
      <c r="CD45" s="48">
        <v>-92.06</v>
      </c>
      <c r="CE45" s="48">
        <v>-107.64</v>
      </c>
      <c r="CF45" s="48">
        <v>-94.82</v>
      </c>
      <c r="CG45" s="48">
        <v>-85.57</v>
      </c>
      <c r="CH45" s="48">
        <v>-113.73</v>
      </c>
      <c r="CI45" s="48">
        <v>-76.260000000000005</v>
      </c>
      <c r="CJ45" s="48">
        <v>-50.27</v>
      </c>
      <c r="CK45" s="48">
        <v>-58.02</v>
      </c>
      <c r="CL45" s="48">
        <v>-68.569999999999993</v>
      </c>
      <c r="CM45" s="48">
        <v>-75.09</v>
      </c>
      <c r="CN45" s="48">
        <v>-88.39</v>
      </c>
      <c r="CO45" s="48">
        <v>-110.56</v>
      </c>
      <c r="CP45" s="48">
        <v>-118.38</v>
      </c>
      <c r="CQ45" s="48">
        <v>-103.83</v>
      </c>
      <c r="CR45" s="48">
        <v>-74.66</v>
      </c>
      <c r="CS45" s="48">
        <v>-79.86</v>
      </c>
      <c r="CT45" s="48">
        <v>-45</v>
      </c>
      <c r="CU45" s="48">
        <v>-60.43</v>
      </c>
      <c r="CV45" s="48">
        <v>-52.69</v>
      </c>
      <c r="CW45" s="48">
        <v>-58.76</v>
      </c>
      <c r="CX45" s="48">
        <v>-66.06</v>
      </c>
      <c r="CY45" s="48">
        <v>-82.23</v>
      </c>
      <c r="CZ45" s="48">
        <v>-94.33</v>
      </c>
      <c r="DA45" s="48">
        <v>-114.87</v>
      </c>
      <c r="DB45" s="48">
        <v>-109.62</v>
      </c>
      <c r="DC45" s="48">
        <v>-112.52</v>
      </c>
      <c r="DD45" s="48">
        <v>-113.52</v>
      </c>
      <c r="DE45" s="48">
        <f>VLOOKUP($C45,'[2]Analysis 1'!$C$5:$DG$1025,107,FALSE)</f>
        <v>-97.4</v>
      </c>
      <c r="DF45" s="48">
        <f>VLOOKUP($C45,'[2]Analysis 1'!$C$5:$DG$1025,108,FALSE)</f>
        <v>-96.23</v>
      </c>
      <c r="DG45" s="48">
        <f>VLOOKUP($C45,'[2]Analysis 1'!$C$5:$DG$1025,109,FALSE)</f>
        <v>-69.72</v>
      </c>
      <c r="DH45" s="369">
        <f t="shared" si="1"/>
        <v>-1067.9499999999998</v>
      </c>
    </row>
    <row r="46" spans="1:112">
      <c r="A46" s="357" t="str">
        <f>+B46</f>
        <v>4810034</v>
      </c>
      <c r="B46" s="350" t="s">
        <v>2375</v>
      </c>
      <c r="C46" s="335" t="s">
        <v>2376</v>
      </c>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v>0</v>
      </c>
      <c r="BV46" s="48">
        <v>0</v>
      </c>
      <c r="BW46" s="48">
        <v>-14.03</v>
      </c>
      <c r="BX46" s="48">
        <v>-51.55</v>
      </c>
      <c r="BY46" s="48">
        <v>-127.26</v>
      </c>
      <c r="BZ46" s="48">
        <v>-160.09</v>
      </c>
      <c r="CA46" s="48">
        <v>-147.06</v>
      </c>
      <c r="CB46" s="48">
        <v>-209.31</v>
      </c>
      <c r="CC46" s="48">
        <v>-282.89999999999998</v>
      </c>
      <c r="CD46" s="48">
        <v>-238.63</v>
      </c>
      <c r="CE46" s="48">
        <v>-297.01</v>
      </c>
      <c r="CF46" s="48">
        <v>-233.76</v>
      </c>
      <c r="CG46" s="48">
        <v>-221.59</v>
      </c>
      <c r="CH46" s="48">
        <v>-212.04</v>
      </c>
      <c r="CI46" s="48">
        <v>-45.51</v>
      </c>
      <c r="CJ46" s="48">
        <v>-24.49</v>
      </c>
      <c r="CK46" s="48">
        <v>-60.46</v>
      </c>
      <c r="CL46" s="48">
        <v>-125.84</v>
      </c>
      <c r="CM46" s="48">
        <v>-160.71</v>
      </c>
      <c r="CN46" s="48">
        <v>-231.69</v>
      </c>
      <c r="CO46" s="48">
        <v>-350.1</v>
      </c>
      <c r="CP46" s="48">
        <v>-391.87</v>
      </c>
      <c r="CQ46" s="48">
        <v>-314.19</v>
      </c>
      <c r="CR46" s="48">
        <v>-158.4</v>
      </c>
      <c r="CS46" s="48">
        <v>-186.15</v>
      </c>
      <c r="CT46" s="48">
        <v>0</v>
      </c>
      <c r="CU46" s="48">
        <v>-82.39</v>
      </c>
      <c r="CV46" s="48">
        <v>-44.42</v>
      </c>
      <c r="CW46" s="48">
        <v>-79.55</v>
      </c>
      <c r="CX46" s="48">
        <v>-121.7</v>
      </c>
      <c r="CY46" s="48">
        <v>-215.18</v>
      </c>
      <c r="CZ46" s="48">
        <v>-285.08999999999997</v>
      </c>
      <c r="DA46" s="48">
        <v>-403.84</v>
      </c>
      <c r="DB46" s="48">
        <v>-373.48</v>
      </c>
      <c r="DC46" s="48">
        <v>-567.02</v>
      </c>
      <c r="DD46" s="48">
        <v>-575.41999999999996</v>
      </c>
      <c r="DE46" s="48">
        <f>VLOOKUP($C46,'[2]Analysis 1'!$C$5:$DG$1025,107,FALSE)</f>
        <v>-418.7</v>
      </c>
      <c r="DF46" s="48">
        <f>VLOOKUP($C46,'[2]Analysis 1'!$C$5:$DG$1025,108,FALSE)</f>
        <v>-246.01</v>
      </c>
      <c r="DG46" s="48">
        <f>VLOOKUP($C46,'[2]Analysis 1'!$C$5:$DG$1025,109,FALSE)</f>
        <v>-118.72</v>
      </c>
      <c r="DH46" s="369">
        <f t="shared" si="1"/>
        <v>-3449.1299999999997</v>
      </c>
    </row>
    <row r="47" spans="1:112">
      <c r="A47" s="357" t="str">
        <f t="shared" si="0"/>
        <v>4810035</v>
      </c>
      <c r="B47" s="350" t="s">
        <v>1888</v>
      </c>
      <c r="C47" s="335" t="s">
        <v>978</v>
      </c>
      <c r="D47" s="367">
        <v>-33578.800000000003</v>
      </c>
      <c r="E47" s="367">
        <v>-31810.82</v>
      </c>
      <c r="F47" s="367">
        <v>-31323.78</v>
      </c>
      <c r="G47" s="367">
        <v>-31677.81</v>
      </c>
      <c r="H47" s="367">
        <v>-31438.35</v>
      </c>
      <c r="I47" s="367">
        <v>-30803.64</v>
      </c>
      <c r="J47" s="367">
        <v>-32243.88</v>
      </c>
      <c r="K47" s="367">
        <v>-31380.44</v>
      </c>
      <c r="L47" s="367">
        <v>-31160.62</v>
      </c>
      <c r="M47" s="367">
        <v>-30457.47</v>
      </c>
      <c r="N47" s="367">
        <v>-30982.69</v>
      </c>
      <c r="O47" s="368">
        <v>-31372.91</v>
      </c>
      <c r="P47" s="48">
        <v>-31809.23</v>
      </c>
      <c r="Q47" s="48">
        <v>-31830.42</v>
      </c>
      <c r="R47" s="48">
        <v>-32285.08</v>
      </c>
      <c r="S47" s="48">
        <v>-31753.91</v>
      </c>
      <c r="T47" s="48">
        <v>-31318.63</v>
      </c>
      <c r="U47" s="48">
        <v>-31992.89</v>
      </c>
      <c r="V47" s="48">
        <v>-30732.89</v>
      </c>
      <c r="W47" s="48">
        <v>-31388.35</v>
      </c>
      <c r="X47" s="48">
        <v>-33162.11</v>
      </c>
      <c r="Y47" s="48">
        <v>-34703.97</v>
      </c>
      <c r="Z47" s="48">
        <v>-30137.3</v>
      </c>
      <c r="AA47" s="48">
        <v>-30453.96</v>
      </c>
      <c r="AB47" s="48">
        <v>-33282.14</v>
      </c>
      <c r="AC47" s="48">
        <v>-30803.040000000001</v>
      </c>
      <c r="AD47" s="48">
        <v>-29854.06</v>
      </c>
      <c r="AE47" s="48">
        <v>-30220.18</v>
      </c>
      <c r="AF47" s="48">
        <v>-31544.959999999999</v>
      </c>
      <c r="AG47" s="48">
        <v>-35991.660000000003</v>
      </c>
      <c r="AH47" s="48">
        <v>-30360.26</v>
      </c>
      <c r="AI47" s="48">
        <v>-31706.720000000001</v>
      </c>
      <c r="AJ47" s="48">
        <v>-31537.16</v>
      </c>
      <c r="AK47" s="48">
        <v>-30974.74</v>
      </c>
      <c r="AL47" s="48">
        <v>-30374</v>
      </c>
      <c r="AM47" s="48">
        <v>-30283.3</v>
      </c>
      <c r="AN47" s="48">
        <v>-29767.67</v>
      </c>
      <c r="AO47" s="48">
        <v>-30246.73</v>
      </c>
      <c r="AP47" s="48">
        <v>-30316.16</v>
      </c>
      <c r="AQ47" s="48">
        <v>-30224.94</v>
      </c>
      <c r="AR47" s="48">
        <v>-30215.66</v>
      </c>
      <c r="AS47" s="48">
        <v>-30509.49</v>
      </c>
      <c r="AT47" s="48">
        <v>-30247.07</v>
      </c>
      <c r="AU47" s="48">
        <v>-31082.49</v>
      </c>
      <c r="AV47" s="48">
        <v>-40314.57</v>
      </c>
      <c r="AW47" s="48">
        <v>-42276.42</v>
      </c>
      <c r="AX47" s="48">
        <v>-42406.55</v>
      </c>
      <c r="AY47" s="48">
        <v>-31622.51</v>
      </c>
      <c r="AZ47" s="48">
        <v>-32297.360000000001</v>
      </c>
      <c r="BA47" s="48">
        <v>-33184.519999999997</v>
      </c>
      <c r="BB47" s="48">
        <v>-33816.36</v>
      </c>
      <c r="BC47" s="48">
        <v>-31785.86</v>
      </c>
      <c r="BD47" s="48">
        <v>-31545.69</v>
      </c>
      <c r="BE47" s="48">
        <v>-32872.239999999998</v>
      </c>
      <c r="BF47" s="48">
        <v>-31708.03</v>
      </c>
      <c r="BG47" s="48">
        <v>-32027.91</v>
      </c>
      <c r="BH47" s="48">
        <v>-33220.21</v>
      </c>
      <c r="BI47" s="48">
        <v>-32810.480000000003</v>
      </c>
      <c r="BJ47" s="48">
        <v>-37515.42</v>
      </c>
      <c r="BK47" s="48">
        <v>-35524.43</v>
      </c>
      <c r="BL47" s="48">
        <v>-32288.67</v>
      </c>
      <c r="BM47" s="48">
        <v>-31027.67</v>
      </c>
      <c r="BN47" s="48">
        <v>-31742.880000000001</v>
      </c>
      <c r="BO47" s="48">
        <v>-32776.71</v>
      </c>
      <c r="BP47" s="48">
        <v>-31696.38</v>
      </c>
      <c r="BQ47" s="48">
        <v>-31617.46</v>
      </c>
      <c r="BR47" s="48">
        <v>-32326.13</v>
      </c>
      <c r="BS47" s="48">
        <v>-32170.99</v>
      </c>
      <c r="BT47" s="48">
        <v>-34513.69</v>
      </c>
      <c r="BU47" s="48">
        <v>-35577.269999999997</v>
      </c>
      <c r="BV47" s="48">
        <v>-35289.870000000003</v>
      </c>
      <c r="BW47" s="48">
        <v>-35345.870000000003</v>
      </c>
      <c r="BX47" s="48">
        <v>-34910.050000000003</v>
      </c>
      <c r="BY47" s="48">
        <v>-35994.39</v>
      </c>
      <c r="BZ47" s="48">
        <v>-35953.449999999997</v>
      </c>
      <c r="CA47" s="48">
        <v>-34022.639999999999</v>
      </c>
      <c r="CB47" s="48">
        <v>-33264.519999999997</v>
      </c>
      <c r="CC47" s="48">
        <v>-34566.839999999997</v>
      </c>
      <c r="CD47" s="48">
        <v>-34208.46</v>
      </c>
      <c r="CE47" s="48">
        <v>-34551.96</v>
      </c>
      <c r="CF47" s="48">
        <v>-34661.839999999997</v>
      </c>
      <c r="CG47" s="48">
        <v>-35552.300000000003</v>
      </c>
      <c r="CH47" s="48">
        <v>-36038.29</v>
      </c>
      <c r="CI47" s="48">
        <v>-35661.69</v>
      </c>
      <c r="CJ47" s="48">
        <v>-49657.19</v>
      </c>
      <c r="CK47" s="48">
        <v>-48347.05</v>
      </c>
      <c r="CL47" s="48">
        <v>-49743.46</v>
      </c>
      <c r="CM47" s="48">
        <v>-49420.26</v>
      </c>
      <c r="CN47" s="48">
        <v>-48063.519999999997</v>
      </c>
      <c r="CO47" s="48">
        <v>-49764.92</v>
      </c>
      <c r="CP47" s="48">
        <v>-47157.35</v>
      </c>
      <c r="CQ47" s="48">
        <v>-48443.199999999997</v>
      </c>
      <c r="CR47" s="48">
        <v>-48899.53</v>
      </c>
      <c r="CS47" s="48">
        <v>-49523.45</v>
      </c>
      <c r="CT47" s="48">
        <v>-50595.53</v>
      </c>
      <c r="CU47" s="48">
        <v>-49034.63</v>
      </c>
      <c r="CV47" s="48">
        <v>-47454.73</v>
      </c>
      <c r="CW47" s="48">
        <v>-48417.93</v>
      </c>
      <c r="CX47" s="48">
        <v>-51155.45</v>
      </c>
      <c r="CY47" s="48">
        <v>-49536.86</v>
      </c>
      <c r="CZ47" s="48">
        <v>-50698.93</v>
      </c>
      <c r="DA47" s="48">
        <v>-48370.16</v>
      </c>
      <c r="DB47" s="48">
        <v>-47796.91</v>
      </c>
      <c r="DC47" s="48">
        <v>-47808.39</v>
      </c>
      <c r="DD47" s="48">
        <v>-48023.35</v>
      </c>
      <c r="DE47" s="48">
        <f>VLOOKUP($C47,'[2]Analysis 1'!$C$5:$DG$1025,107,FALSE)</f>
        <v>-55205.85</v>
      </c>
      <c r="DF47" s="48">
        <f>VLOOKUP($C47,'[2]Analysis 1'!$C$5:$DG$1025,108,FALSE)</f>
        <v>-58271.1</v>
      </c>
      <c r="DG47" s="48">
        <f>VLOOKUP($C47,'[2]Analysis 1'!$C$5:$DG$1025,109,FALSE)</f>
        <v>-50269.46</v>
      </c>
      <c r="DH47" s="369">
        <f t="shared" si="1"/>
        <v>-603009.11999999988</v>
      </c>
    </row>
    <row r="48" spans="1:112">
      <c r="A48" s="357" t="str">
        <f t="shared" si="0"/>
        <v>4810036</v>
      </c>
      <c r="B48" s="350" t="s">
        <v>1889</v>
      </c>
      <c r="C48" s="335" t="s">
        <v>979</v>
      </c>
      <c r="D48" s="340">
        <v>-8497.65</v>
      </c>
      <c r="E48" s="340">
        <v>-7445.92</v>
      </c>
      <c r="F48" s="340">
        <v>-6342.15</v>
      </c>
      <c r="G48" s="340">
        <v>-7047.43</v>
      </c>
      <c r="H48" s="340">
        <v>-5749.5</v>
      </c>
      <c r="I48" s="340">
        <v>-6608.48</v>
      </c>
      <c r="J48" s="340">
        <v>-8919.74</v>
      </c>
      <c r="K48" s="340">
        <v>-7053.2</v>
      </c>
      <c r="L48" s="340">
        <v>-6922.81</v>
      </c>
      <c r="M48" s="340">
        <v>-4944.2299999999996</v>
      </c>
      <c r="N48" s="340">
        <v>-5135.38</v>
      </c>
      <c r="O48" s="341">
        <v>-5722.67</v>
      </c>
      <c r="P48" s="48">
        <v>-7486.43</v>
      </c>
      <c r="Q48" s="48">
        <v>-7031.26</v>
      </c>
      <c r="R48" s="48">
        <v>-6370</v>
      </c>
      <c r="S48" s="48">
        <v>-6566.88</v>
      </c>
      <c r="T48" s="48">
        <v>-5949.62</v>
      </c>
      <c r="U48" s="48">
        <v>-7198.06</v>
      </c>
      <c r="V48" s="48">
        <v>-4298.22</v>
      </c>
      <c r="W48" s="48">
        <v>-5459.77</v>
      </c>
      <c r="X48" s="48">
        <v>-11717.28</v>
      </c>
      <c r="Y48" s="48">
        <v>-6730.51</v>
      </c>
      <c r="Z48" s="48">
        <v>-5751.63</v>
      </c>
      <c r="AA48" s="48">
        <v>-4599.1000000000004</v>
      </c>
      <c r="AB48" s="48">
        <v>-13917.34</v>
      </c>
      <c r="AC48" s="48">
        <v>-7155.62</v>
      </c>
      <c r="AD48" s="48">
        <v>-4967.62</v>
      </c>
      <c r="AE48" s="48">
        <v>-6455.74</v>
      </c>
      <c r="AF48" s="48">
        <v>-9266.99</v>
      </c>
      <c r="AG48" s="48">
        <v>-12763.13</v>
      </c>
      <c r="AH48" s="48">
        <v>-6185.13</v>
      </c>
      <c r="AI48" s="48">
        <v>-7719.86</v>
      </c>
      <c r="AJ48" s="48">
        <v>-8944.44</v>
      </c>
      <c r="AK48" s="48">
        <v>-6525.97</v>
      </c>
      <c r="AL48" s="48">
        <v>-5156.84</v>
      </c>
      <c r="AM48" s="48">
        <v>-3988.99</v>
      </c>
      <c r="AN48" s="48">
        <v>-4137.57</v>
      </c>
      <c r="AO48" s="48">
        <v>-5592.35</v>
      </c>
      <c r="AP48" s="48">
        <v>-4999.3599999999997</v>
      </c>
      <c r="AQ48" s="48">
        <v>-6690.22</v>
      </c>
      <c r="AR48" s="48">
        <v>-4745.29</v>
      </c>
      <c r="AS48" s="48">
        <v>-5263.11</v>
      </c>
      <c r="AT48" s="48">
        <v>-7425.33</v>
      </c>
      <c r="AU48" s="48">
        <v>-6868.21</v>
      </c>
      <c r="AV48" s="48">
        <v>-33758.53</v>
      </c>
      <c r="AW48" s="48">
        <v>-41459.57</v>
      </c>
      <c r="AX48" s="48">
        <v>-39413.58</v>
      </c>
      <c r="AY48" s="48">
        <v>-6321.98</v>
      </c>
      <c r="AZ48" s="48">
        <v>-9112.17</v>
      </c>
      <c r="BA48" s="48">
        <v>-13370.81</v>
      </c>
      <c r="BB48" s="48">
        <v>-12282.37</v>
      </c>
      <c r="BC48" s="48">
        <v>-8131.96</v>
      </c>
      <c r="BD48" s="48">
        <v>-10203.75</v>
      </c>
      <c r="BE48" s="48">
        <v>-10526.12</v>
      </c>
      <c r="BF48" s="48">
        <v>-6183.54</v>
      </c>
      <c r="BG48" s="48">
        <v>-7128.79</v>
      </c>
      <c r="BH48" s="48">
        <v>-8504.6299999999992</v>
      </c>
      <c r="BI48" s="48">
        <v>-8146.05</v>
      </c>
      <c r="BJ48" s="48">
        <v>-19448.18</v>
      </c>
      <c r="BK48" s="48">
        <v>-10254.52</v>
      </c>
      <c r="BL48" s="48">
        <v>-10012.11</v>
      </c>
      <c r="BM48" s="48">
        <v>-10148.959999999999</v>
      </c>
      <c r="BN48" s="48">
        <v>-11130.13</v>
      </c>
      <c r="BO48" s="48">
        <v>-11415.81</v>
      </c>
      <c r="BP48" s="48">
        <v>-11693.3</v>
      </c>
      <c r="BQ48" s="48">
        <v>-10564.4</v>
      </c>
      <c r="BR48" s="48">
        <v>-11494.5</v>
      </c>
      <c r="BS48" s="48">
        <v>-9471.9699999999993</v>
      </c>
      <c r="BT48" s="48">
        <v>-11396.47</v>
      </c>
      <c r="BU48" s="48">
        <v>-10238.1</v>
      </c>
      <c r="BV48" s="48">
        <v>-11935.43</v>
      </c>
      <c r="BW48" s="48">
        <v>-11555.68</v>
      </c>
      <c r="BX48" s="48">
        <v>-11285.71</v>
      </c>
      <c r="BY48" s="48">
        <v>-11449.19</v>
      </c>
      <c r="BZ48" s="48">
        <v>-11549.33</v>
      </c>
      <c r="CA48" s="48">
        <v>-8276.64</v>
      </c>
      <c r="CB48" s="48">
        <v>-5934.78</v>
      </c>
      <c r="CC48" s="48">
        <v>-8221.0300000000007</v>
      </c>
      <c r="CD48" s="48">
        <v>-7936.38</v>
      </c>
      <c r="CE48" s="48">
        <v>-9480.7900000000009</v>
      </c>
      <c r="CF48" s="48">
        <v>-9446.0300000000007</v>
      </c>
      <c r="CG48" s="48">
        <v>-10759.51</v>
      </c>
      <c r="CH48" s="48">
        <v>-13188.52</v>
      </c>
      <c r="CI48" s="48">
        <v>-12994.66</v>
      </c>
      <c r="CJ48" s="48">
        <v>-13373.64</v>
      </c>
      <c r="CK48" s="48">
        <v>-13395.21</v>
      </c>
      <c r="CL48" s="48">
        <v>-16399.400000000001</v>
      </c>
      <c r="CM48" s="48">
        <v>-15934.4</v>
      </c>
      <c r="CN48" s="48">
        <v>-14455.51</v>
      </c>
      <c r="CO48" s="48">
        <v>-13585</v>
      </c>
      <c r="CP48" s="48">
        <v>-13199.18</v>
      </c>
      <c r="CQ48" s="48">
        <v>-13707.52</v>
      </c>
      <c r="CR48" s="48">
        <v>-13449.98</v>
      </c>
      <c r="CS48" s="48">
        <v>-15218.32</v>
      </c>
      <c r="CT48" s="48">
        <v>-14609.31</v>
      </c>
      <c r="CU48" s="48">
        <v>-14787.73</v>
      </c>
      <c r="CV48" s="48">
        <v>-15603.85</v>
      </c>
      <c r="CW48" s="48">
        <v>-16886.900000000001</v>
      </c>
      <c r="CX48" s="48">
        <v>-21791.56</v>
      </c>
      <c r="CY48" s="48">
        <v>-16817.169999999998</v>
      </c>
      <c r="CZ48" s="48">
        <v>-18436.73</v>
      </c>
      <c r="DA48" s="48">
        <v>-14301.18</v>
      </c>
      <c r="DB48" s="48">
        <v>-14176.46</v>
      </c>
      <c r="DC48" s="48">
        <v>-22812.1</v>
      </c>
      <c r="DD48" s="48">
        <v>-21925.26</v>
      </c>
      <c r="DE48" s="48">
        <f>VLOOKUP($C48,'[2]Analysis 1'!$C$5:$DG$1025,107,FALSE)</f>
        <v>-57951.199999999997</v>
      </c>
      <c r="DF48" s="48">
        <f>VLOOKUP($C48,'[2]Analysis 1'!$C$5:$DG$1025,108,FALSE)</f>
        <v>-37788.07</v>
      </c>
      <c r="DG48" s="48">
        <f>VLOOKUP($C48,'[2]Analysis 1'!$C$5:$DG$1025,109,FALSE)</f>
        <v>-18826.919999999998</v>
      </c>
      <c r="DH48" s="369">
        <f t="shared" si="1"/>
        <v>-277317.39999999997</v>
      </c>
    </row>
    <row r="49" spans="1:112">
      <c r="A49" s="357" t="str">
        <f t="shared" si="0"/>
        <v>4810050</v>
      </c>
      <c r="B49" s="350" t="s">
        <v>1890</v>
      </c>
      <c r="C49" s="335" t="s">
        <v>980</v>
      </c>
      <c r="D49" s="367">
        <v>-619018.44999999995</v>
      </c>
      <c r="E49" s="367">
        <v>-572101.93000000005</v>
      </c>
      <c r="F49" s="367">
        <v>-492344.06</v>
      </c>
      <c r="G49" s="367">
        <v>-496938.94</v>
      </c>
      <c r="H49" s="367">
        <v>-428869.08</v>
      </c>
      <c r="I49" s="367">
        <v>-439232.25</v>
      </c>
      <c r="J49" s="367">
        <v>-409937.04</v>
      </c>
      <c r="K49" s="367">
        <v>-388666.61</v>
      </c>
      <c r="L49" s="367">
        <v>-432645.12</v>
      </c>
      <c r="M49" s="367">
        <v>-419023.66</v>
      </c>
      <c r="N49" s="367">
        <v>-429086.11</v>
      </c>
      <c r="O49" s="368">
        <v>-517949.4</v>
      </c>
      <c r="P49" s="48">
        <v>-551319.48</v>
      </c>
      <c r="Q49" s="48">
        <v>-551138.07999999996</v>
      </c>
      <c r="R49" s="48">
        <v>-517466.72</v>
      </c>
      <c r="S49" s="48">
        <v>-407729.54</v>
      </c>
      <c r="T49" s="48">
        <v>-362377.06</v>
      </c>
      <c r="U49" s="48">
        <v>-546809.30000000005</v>
      </c>
      <c r="V49" s="48">
        <v>-299701.59000000003</v>
      </c>
      <c r="W49" s="48">
        <v>-362568.86</v>
      </c>
      <c r="X49" s="48">
        <v>-344496.04</v>
      </c>
      <c r="Y49" s="48">
        <v>-357919.41</v>
      </c>
      <c r="Z49" s="48">
        <v>-362258.45</v>
      </c>
      <c r="AA49" s="48">
        <v>-438186.17</v>
      </c>
      <c r="AB49" s="48">
        <v>-494599.18</v>
      </c>
      <c r="AC49" s="48">
        <v>-493995.57</v>
      </c>
      <c r="AD49" s="48">
        <v>-428147.59</v>
      </c>
      <c r="AE49" s="48">
        <v>-408596.34</v>
      </c>
      <c r="AF49" s="48">
        <v>-360585.41</v>
      </c>
      <c r="AG49" s="48">
        <v>-341291.81</v>
      </c>
      <c r="AH49" s="48">
        <v>-320350.95</v>
      </c>
      <c r="AI49" s="48">
        <v>-329169.55</v>
      </c>
      <c r="AJ49" s="48">
        <v>-338724.26</v>
      </c>
      <c r="AK49" s="48">
        <v>-315806.95</v>
      </c>
      <c r="AL49" s="48">
        <v>-373091.23</v>
      </c>
      <c r="AM49" s="48">
        <v>-431427.21</v>
      </c>
      <c r="AN49" s="48">
        <v>-437552.21</v>
      </c>
      <c r="AO49" s="48">
        <v>-419468.64</v>
      </c>
      <c r="AP49" s="48">
        <v>-409163.93</v>
      </c>
      <c r="AQ49" s="48">
        <v>-409706.27</v>
      </c>
      <c r="AR49" s="48">
        <v>-384356.47</v>
      </c>
      <c r="AS49" s="48">
        <v>-375859.35</v>
      </c>
      <c r="AT49" s="48">
        <v>-283756.45</v>
      </c>
      <c r="AU49" s="48">
        <v>-330326.84000000003</v>
      </c>
      <c r="AV49" s="48">
        <v>-365108.2</v>
      </c>
      <c r="AW49" s="48">
        <v>-340297.54</v>
      </c>
      <c r="AX49" s="48">
        <v>-367903.54</v>
      </c>
      <c r="AY49" s="48">
        <v>-567930.56999999995</v>
      </c>
      <c r="AZ49" s="48">
        <v>-453852.51</v>
      </c>
      <c r="BA49" s="48">
        <v>-462722.67</v>
      </c>
      <c r="BB49" s="48">
        <v>-432857.45</v>
      </c>
      <c r="BC49" s="48">
        <v>-429482.19</v>
      </c>
      <c r="BD49" s="48">
        <v>-376525.62</v>
      </c>
      <c r="BE49" s="48">
        <v>-371302.84</v>
      </c>
      <c r="BF49" s="48">
        <v>-359816.74</v>
      </c>
      <c r="BG49" s="48">
        <v>-352971.65</v>
      </c>
      <c r="BH49" s="48">
        <v>-383840.87</v>
      </c>
      <c r="BI49" s="48">
        <v>-368672.33</v>
      </c>
      <c r="BJ49" s="48">
        <v>-394106.68</v>
      </c>
      <c r="BK49" s="48">
        <v>-449997.77</v>
      </c>
      <c r="BL49" s="48">
        <v>-450541.91</v>
      </c>
      <c r="BM49" s="48">
        <v>-413483.83</v>
      </c>
      <c r="BN49" s="48">
        <v>-443998.64</v>
      </c>
      <c r="BO49" s="48">
        <v>-426712.35</v>
      </c>
      <c r="BP49" s="48">
        <v>-358483.21</v>
      </c>
      <c r="BQ49" s="48">
        <v>-372043.02</v>
      </c>
      <c r="BR49" s="48">
        <v>-335248.63</v>
      </c>
      <c r="BS49" s="48">
        <v>-342980.7</v>
      </c>
      <c r="BT49" s="48">
        <v>-369421.81</v>
      </c>
      <c r="BU49" s="48">
        <v>-344739.61</v>
      </c>
      <c r="BV49" s="48">
        <v>-425531.07</v>
      </c>
      <c r="BW49" s="48">
        <v>-444415.5</v>
      </c>
      <c r="BX49" s="48">
        <v>-494880.85</v>
      </c>
      <c r="BY49" s="48">
        <v>-461203.63</v>
      </c>
      <c r="BZ49" s="48">
        <v>-420381.54</v>
      </c>
      <c r="CA49" s="48">
        <v>-301408.61</v>
      </c>
      <c r="CB49" s="48">
        <v>-292824.45</v>
      </c>
      <c r="CC49" s="48">
        <v>-372316.1</v>
      </c>
      <c r="CD49" s="48">
        <v>-348702.89</v>
      </c>
      <c r="CE49" s="48">
        <v>-371351.58</v>
      </c>
      <c r="CF49" s="48">
        <v>-387776.95</v>
      </c>
      <c r="CG49" s="48">
        <v>-350305.53</v>
      </c>
      <c r="CH49" s="48">
        <v>-435209.18</v>
      </c>
      <c r="CI49" s="48">
        <v>-500600.82</v>
      </c>
      <c r="CJ49" s="48">
        <v>-722318.24</v>
      </c>
      <c r="CK49" s="48">
        <v>-582107.81999999995</v>
      </c>
      <c r="CL49" s="48">
        <v>-622228.31999999995</v>
      </c>
      <c r="CM49" s="48">
        <v>-607742.31000000006</v>
      </c>
      <c r="CN49" s="48">
        <v>-553260.51</v>
      </c>
      <c r="CO49" s="48">
        <v>-532537.62</v>
      </c>
      <c r="CP49" s="48">
        <v>-557505.32999999996</v>
      </c>
      <c r="CQ49" s="48">
        <v>-525395.55000000005</v>
      </c>
      <c r="CR49" s="48">
        <v>-566536.68999999994</v>
      </c>
      <c r="CS49" s="48">
        <v>-512652.89</v>
      </c>
      <c r="CT49" s="48">
        <v>-564108.14</v>
      </c>
      <c r="CU49" s="48">
        <v>-683968.06</v>
      </c>
      <c r="CV49" s="48">
        <v>-717306.5</v>
      </c>
      <c r="CW49" s="48">
        <v>-622316.39</v>
      </c>
      <c r="CX49" s="48">
        <v>-618851.25</v>
      </c>
      <c r="CY49" s="48">
        <v>-612421.86</v>
      </c>
      <c r="CZ49" s="48">
        <v>-603546.77</v>
      </c>
      <c r="DA49" s="48">
        <v>-548348.87</v>
      </c>
      <c r="DB49" s="48">
        <v>-514085.26</v>
      </c>
      <c r="DC49" s="48">
        <v>-520706.68</v>
      </c>
      <c r="DD49" s="48">
        <v>-533898.93999999994</v>
      </c>
      <c r="DE49" s="48">
        <f>VLOOKUP($C49,'[2]Analysis 1'!$C$5:$DG$1025,107,FALSE)</f>
        <v>-577339.34</v>
      </c>
      <c r="DF49" s="48">
        <f>VLOOKUP($C49,'[2]Analysis 1'!$C$5:$DG$1025,108,FALSE)</f>
        <v>-588102.27</v>
      </c>
      <c r="DG49" s="48">
        <f>VLOOKUP($C49,'[2]Analysis 1'!$C$5:$DG$1025,109,FALSE)</f>
        <v>-655814.01</v>
      </c>
      <c r="DH49" s="369">
        <f t="shared" si="1"/>
        <v>-7112738.1399999987</v>
      </c>
    </row>
    <row r="50" spans="1:112">
      <c r="A50" s="357" t="str">
        <f t="shared" si="0"/>
        <v>4810051</v>
      </c>
      <c r="B50" s="350" t="s">
        <v>1891</v>
      </c>
      <c r="C50" s="335" t="s">
        <v>981</v>
      </c>
      <c r="D50" s="340">
        <v>-1675890.12</v>
      </c>
      <c r="E50" s="340">
        <v>-1349822.34</v>
      </c>
      <c r="F50" s="340">
        <v>-1044824.94</v>
      </c>
      <c r="G50" s="340">
        <v>-1212610.51</v>
      </c>
      <c r="H50" s="340">
        <v>-884320.71</v>
      </c>
      <c r="I50" s="340">
        <v>-993146.4</v>
      </c>
      <c r="J50" s="340">
        <v>-901728.9</v>
      </c>
      <c r="K50" s="340">
        <v>-853799.45</v>
      </c>
      <c r="L50" s="340">
        <v>-932244.91</v>
      </c>
      <c r="M50" s="340">
        <v>-851257.32</v>
      </c>
      <c r="N50" s="340">
        <v>-843499.1</v>
      </c>
      <c r="O50" s="341">
        <v>-1114399.77</v>
      </c>
      <c r="P50" s="48">
        <v>-1399803.3</v>
      </c>
      <c r="Q50" s="48">
        <v>-1274621.81</v>
      </c>
      <c r="R50" s="48">
        <v>-987233.65</v>
      </c>
      <c r="S50" s="48">
        <v>-832573.52</v>
      </c>
      <c r="T50" s="48">
        <v>-721102.32</v>
      </c>
      <c r="U50" s="48">
        <v>-1308773.08</v>
      </c>
      <c r="V50" s="48">
        <v>-597024.97</v>
      </c>
      <c r="W50" s="48">
        <v>-799105.44</v>
      </c>
      <c r="X50" s="48">
        <v>-742367.59</v>
      </c>
      <c r="Y50" s="48">
        <v>-727027.4</v>
      </c>
      <c r="Z50" s="48">
        <v>-820631.65</v>
      </c>
      <c r="AA50" s="48">
        <v>-972391.32</v>
      </c>
      <c r="AB50" s="48">
        <v>-1323826.69</v>
      </c>
      <c r="AC50" s="48">
        <v>-1302433.31</v>
      </c>
      <c r="AD50" s="48">
        <v>-1007751.17</v>
      </c>
      <c r="AE50" s="48">
        <v>-1006387.22</v>
      </c>
      <c r="AF50" s="48">
        <v>-839592.33</v>
      </c>
      <c r="AG50" s="48">
        <v>-739668.88</v>
      </c>
      <c r="AH50" s="48">
        <v>-672593.35</v>
      </c>
      <c r="AI50" s="48">
        <v>-706111.86</v>
      </c>
      <c r="AJ50" s="48">
        <v>-674654.3</v>
      </c>
      <c r="AK50" s="48">
        <v>-631530.98</v>
      </c>
      <c r="AL50" s="48">
        <v>-738349.33</v>
      </c>
      <c r="AM50" s="48">
        <v>-917845.07</v>
      </c>
      <c r="AN50" s="48">
        <v>-945021.31</v>
      </c>
      <c r="AO50" s="48">
        <v>-945889.26</v>
      </c>
      <c r="AP50" s="48">
        <v>-887544.48</v>
      </c>
      <c r="AQ50" s="48">
        <v>-890567.65</v>
      </c>
      <c r="AR50" s="48">
        <v>-795343.81</v>
      </c>
      <c r="AS50" s="48">
        <v>-742168.47</v>
      </c>
      <c r="AT50" s="48">
        <v>-580112.72</v>
      </c>
      <c r="AU50" s="48">
        <v>-740521.83</v>
      </c>
      <c r="AV50" s="48">
        <v>-914106.88</v>
      </c>
      <c r="AW50" s="48">
        <v>-806944.24</v>
      </c>
      <c r="AX50" s="48">
        <v>-886955.32</v>
      </c>
      <c r="AY50" s="48">
        <v>-1467633.14</v>
      </c>
      <c r="AZ50" s="48">
        <v>-1318168.04</v>
      </c>
      <c r="BA50" s="48">
        <v>-1328191.54</v>
      </c>
      <c r="BB50" s="48">
        <v>-1060003.1599999999</v>
      </c>
      <c r="BC50" s="48">
        <v>-1077285.1599999999</v>
      </c>
      <c r="BD50" s="48">
        <v>-910873.39</v>
      </c>
      <c r="BE50" s="48">
        <v>-835826.31</v>
      </c>
      <c r="BF50" s="48">
        <v>-830196.81</v>
      </c>
      <c r="BG50" s="48">
        <v>-797054.28</v>
      </c>
      <c r="BH50" s="48">
        <v>-886253.25</v>
      </c>
      <c r="BI50" s="48">
        <v>-764519.57</v>
      </c>
      <c r="BJ50" s="48">
        <v>-865712.24</v>
      </c>
      <c r="BK50" s="48">
        <v>-1033331.81</v>
      </c>
      <c r="BL50" s="48">
        <v>-1210111.8899999999</v>
      </c>
      <c r="BM50" s="48">
        <v>-1050827.17</v>
      </c>
      <c r="BN50" s="48">
        <v>-1272507.6599999999</v>
      </c>
      <c r="BO50" s="48">
        <v>-1304969.27</v>
      </c>
      <c r="BP50" s="48">
        <v>-1008152.37</v>
      </c>
      <c r="BQ50" s="48">
        <v>-1044020.27</v>
      </c>
      <c r="BR50" s="48">
        <v>-922520.88</v>
      </c>
      <c r="BS50" s="48">
        <v>-738480.06</v>
      </c>
      <c r="BT50" s="48">
        <v>-880216.6</v>
      </c>
      <c r="BU50" s="48">
        <v>-797882.19</v>
      </c>
      <c r="BV50" s="48">
        <v>-1058590.82</v>
      </c>
      <c r="BW50" s="48">
        <v>-1124268.48</v>
      </c>
      <c r="BX50" s="48">
        <v>-1281209.52</v>
      </c>
      <c r="BY50" s="48">
        <v>-1073689.72</v>
      </c>
      <c r="BZ50" s="48">
        <v>-918962.76</v>
      </c>
      <c r="CA50" s="48">
        <v>-572056.75</v>
      </c>
      <c r="CB50" s="48">
        <v>-538626.02</v>
      </c>
      <c r="CC50" s="48">
        <v>-770135.98</v>
      </c>
      <c r="CD50" s="48">
        <v>-698796.45</v>
      </c>
      <c r="CE50" s="48">
        <v>-761868.27</v>
      </c>
      <c r="CF50" s="48">
        <v>-804387.54</v>
      </c>
      <c r="CG50" s="48">
        <v>-761136.23</v>
      </c>
      <c r="CH50" s="48">
        <v>-1088796.8899999999</v>
      </c>
      <c r="CI50" s="48">
        <v>-1360044.9</v>
      </c>
      <c r="CJ50" s="48">
        <v>-1389458.23</v>
      </c>
      <c r="CK50" s="48">
        <v>-1195580.5900000001</v>
      </c>
      <c r="CL50" s="48">
        <v>-1591808.95</v>
      </c>
      <c r="CM50" s="48">
        <v>-1457542.99</v>
      </c>
      <c r="CN50" s="48">
        <v>-1264723.5</v>
      </c>
      <c r="CO50" s="48">
        <v>-1202940.21</v>
      </c>
      <c r="CP50" s="48">
        <v>-1344273.35</v>
      </c>
      <c r="CQ50" s="48">
        <v>-1214170.3799999999</v>
      </c>
      <c r="CR50" s="48">
        <v>-1349048.18</v>
      </c>
      <c r="CS50" s="48">
        <v>-1165052.1000000001</v>
      </c>
      <c r="CT50" s="48">
        <v>-1331961.77</v>
      </c>
      <c r="CU50" s="48">
        <v>-1726476.56</v>
      </c>
      <c r="CV50" s="48">
        <v>-2110521.5299999998</v>
      </c>
      <c r="CW50" s="48">
        <v>-1631164.13</v>
      </c>
      <c r="CX50" s="48">
        <v>-1625384</v>
      </c>
      <c r="CY50" s="48">
        <v>-1580886.49</v>
      </c>
      <c r="CZ50" s="48">
        <v>-1558645.11</v>
      </c>
      <c r="DA50" s="48">
        <v>-1355753.96</v>
      </c>
      <c r="DB50" s="48">
        <v>-1266136.8700000001</v>
      </c>
      <c r="DC50" s="48">
        <v>-2151593.41</v>
      </c>
      <c r="DD50" s="48">
        <v>-1914180.57</v>
      </c>
      <c r="DE50" s="48">
        <f>VLOOKUP($C50,'[2]Analysis 1'!$C$5:$DG$1025,107,FALSE)</f>
        <v>-1992713.06</v>
      </c>
      <c r="DF50" s="48">
        <f>VLOOKUP($C50,'[2]Analysis 1'!$C$5:$DG$1025,108,FALSE)</f>
        <v>-871360.55</v>
      </c>
      <c r="DG50" s="48">
        <f>VLOOKUP($C50,'[2]Analysis 1'!$C$5:$DG$1025,109,FALSE)</f>
        <v>-1465436.38</v>
      </c>
      <c r="DH50" s="369">
        <f t="shared" si="1"/>
        <v>-19523776.059999999</v>
      </c>
    </row>
    <row r="51" spans="1:112">
      <c r="A51" s="357" t="str">
        <f t="shared" si="0"/>
        <v>4810052</v>
      </c>
      <c r="B51" s="350" t="s">
        <v>1892</v>
      </c>
      <c r="C51" s="335" t="s">
        <v>982</v>
      </c>
      <c r="D51" s="367">
        <v>-336652.22</v>
      </c>
      <c r="E51" s="367">
        <v>-310869.46000000002</v>
      </c>
      <c r="F51" s="367">
        <v>-259738.13</v>
      </c>
      <c r="G51" s="367">
        <v>-249733.88</v>
      </c>
      <c r="H51" s="367">
        <v>-204175.47</v>
      </c>
      <c r="I51" s="367">
        <v>-217637.23</v>
      </c>
      <c r="J51" s="367">
        <v>-207765.34</v>
      </c>
      <c r="K51" s="367">
        <v>-179200</v>
      </c>
      <c r="L51" s="367">
        <v>-211255.63</v>
      </c>
      <c r="M51" s="367">
        <v>-199895.36</v>
      </c>
      <c r="N51" s="367">
        <v>-223111.66</v>
      </c>
      <c r="O51" s="368">
        <v>-268054.65999999997</v>
      </c>
      <c r="P51" s="48">
        <v>-282875.92</v>
      </c>
      <c r="Q51" s="48">
        <v>-279159.8</v>
      </c>
      <c r="R51" s="48">
        <v>-255545.85</v>
      </c>
      <c r="S51" s="48">
        <v>-207350.53</v>
      </c>
      <c r="T51" s="48">
        <v>-166151.04000000001</v>
      </c>
      <c r="U51" s="48">
        <v>-204278.89</v>
      </c>
      <c r="V51" s="48">
        <v>-179821.49</v>
      </c>
      <c r="W51" s="48">
        <v>-179523.97</v>
      </c>
      <c r="X51" s="48">
        <v>-164993.49</v>
      </c>
      <c r="Y51" s="48">
        <v>-172629.87</v>
      </c>
      <c r="Z51" s="48">
        <v>-179974.08</v>
      </c>
      <c r="AA51" s="48">
        <v>-226009.57</v>
      </c>
      <c r="AB51" s="48">
        <v>-242098.53</v>
      </c>
      <c r="AC51" s="48">
        <v>-231533.86</v>
      </c>
      <c r="AD51" s="48">
        <v>-210031.91</v>
      </c>
      <c r="AE51" s="48">
        <v>-249560.31</v>
      </c>
      <c r="AF51" s="48">
        <v>-121974.18</v>
      </c>
      <c r="AG51" s="48">
        <v>-139107.96</v>
      </c>
      <c r="AH51" s="48">
        <v>-154810.82999999999</v>
      </c>
      <c r="AI51" s="48">
        <v>-151611.59</v>
      </c>
      <c r="AJ51" s="48">
        <v>-151135.94</v>
      </c>
      <c r="AK51" s="48">
        <v>-146911.1</v>
      </c>
      <c r="AL51" s="48">
        <v>-163257.04</v>
      </c>
      <c r="AM51" s="48">
        <v>-195914.61</v>
      </c>
      <c r="AN51" s="48">
        <v>-217357.78</v>
      </c>
      <c r="AO51" s="48">
        <v>-198283.25</v>
      </c>
      <c r="AP51" s="48">
        <v>-187932.6</v>
      </c>
      <c r="AQ51" s="48">
        <v>-174383.6</v>
      </c>
      <c r="AR51" s="48">
        <v>-173844.86</v>
      </c>
      <c r="AS51" s="48">
        <v>-151004.07999999999</v>
      </c>
      <c r="AT51" s="48">
        <v>-150435.18</v>
      </c>
      <c r="AU51" s="48">
        <v>-146474.23999999999</v>
      </c>
      <c r="AV51" s="48">
        <v>-182930.46</v>
      </c>
      <c r="AW51" s="48">
        <v>-149866.37</v>
      </c>
      <c r="AX51" s="48">
        <v>-212633.01</v>
      </c>
      <c r="AY51" s="48">
        <v>-256680.66</v>
      </c>
      <c r="AZ51" s="48">
        <v>-307926.31</v>
      </c>
      <c r="BA51" s="48">
        <v>-229388.68</v>
      </c>
      <c r="BB51" s="48">
        <v>-176641.71</v>
      </c>
      <c r="BC51" s="48">
        <v>-200101.41</v>
      </c>
      <c r="BD51" s="48">
        <v>-181418.73</v>
      </c>
      <c r="BE51" s="48">
        <v>-181546.25</v>
      </c>
      <c r="BF51" s="48">
        <v>-165454.01999999999</v>
      </c>
      <c r="BG51" s="48">
        <v>-150216.99</v>
      </c>
      <c r="BH51" s="48">
        <v>-176120.09</v>
      </c>
      <c r="BI51" s="48">
        <v>-157723.32999999999</v>
      </c>
      <c r="BJ51" s="48">
        <v>-182277.82</v>
      </c>
      <c r="BK51" s="48">
        <v>-238303.95</v>
      </c>
      <c r="BL51" s="48">
        <v>-207137.95</v>
      </c>
      <c r="BM51" s="48">
        <v>-215007.16</v>
      </c>
      <c r="BN51" s="48">
        <v>-210733.22</v>
      </c>
      <c r="BO51" s="48">
        <v>-212619.53</v>
      </c>
      <c r="BP51" s="48">
        <v>-158122.26</v>
      </c>
      <c r="BQ51" s="48">
        <v>-156686.96</v>
      </c>
      <c r="BR51" s="48">
        <v>-195217.08</v>
      </c>
      <c r="BS51" s="48">
        <v>-122521</v>
      </c>
      <c r="BT51" s="48">
        <v>-200887.78</v>
      </c>
      <c r="BU51" s="48">
        <v>-160743.39000000001</v>
      </c>
      <c r="BV51" s="48">
        <v>-232860.81</v>
      </c>
      <c r="BW51" s="48">
        <v>-242929.08</v>
      </c>
      <c r="BX51" s="48">
        <v>-284043.11</v>
      </c>
      <c r="BY51" s="48">
        <v>-238675.36</v>
      </c>
      <c r="BZ51" s="48">
        <v>-230342.57</v>
      </c>
      <c r="CA51" s="48">
        <v>-130655.91</v>
      </c>
      <c r="CB51" s="48">
        <v>-116417.85</v>
      </c>
      <c r="CC51" s="48">
        <v>-174184.71</v>
      </c>
      <c r="CD51" s="48">
        <v>-169340.53</v>
      </c>
      <c r="CE51" s="48">
        <v>-171220.83</v>
      </c>
      <c r="CF51" s="48">
        <v>-181914.72</v>
      </c>
      <c r="CG51" s="48">
        <v>-185274.83</v>
      </c>
      <c r="CH51" s="48">
        <v>-218619.24</v>
      </c>
      <c r="CI51" s="48">
        <v>-294851.14</v>
      </c>
      <c r="CJ51" s="48">
        <v>-445148.63</v>
      </c>
      <c r="CK51" s="48">
        <v>-351189.59</v>
      </c>
      <c r="CL51" s="48">
        <v>-342525.03</v>
      </c>
      <c r="CM51" s="48">
        <v>-346089</v>
      </c>
      <c r="CN51" s="48">
        <v>-283532.59000000003</v>
      </c>
      <c r="CO51" s="48">
        <v>-293155.44</v>
      </c>
      <c r="CP51" s="48">
        <v>-280938.39</v>
      </c>
      <c r="CQ51" s="48">
        <v>-267543.27</v>
      </c>
      <c r="CR51" s="48">
        <v>-264872.12</v>
      </c>
      <c r="CS51" s="48">
        <v>-264608.51</v>
      </c>
      <c r="CT51" s="48">
        <v>-306436.82</v>
      </c>
      <c r="CU51" s="48">
        <v>-384647.9</v>
      </c>
      <c r="CV51" s="48">
        <v>-427720.05</v>
      </c>
      <c r="CW51" s="48">
        <v>-373284.7</v>
      </c>
      <c r="CX51" s="48">
        <v>-357455.96</v>
      </c>
      <c r="CY51" s="48">
        <v>-341420.26</v>
      </c>
      <c r="CZ51" s="48">
        <v>-327479.95</v>
      </c>
      <c r="DA51" s="48">
        <v>-293471.64</v>
      </c>
      <c r="DB51" s="48">
        <v>-307794.12</v>
      </c>
      <c r="DC51" s="48">
        <v>-306653.53999999998</v>
      </c>
      <c r="DD51" s="48">
        <v>-308236.81</v>
      </c>
      <c r="DE51" s="48">
        <f>VLOOKUP($C51,'[2]Analysis 1'!$C$5:$DG$1025,107,FALSE)</f>
        <v>-344133.53</v>
      </c>
      <c r="DF51" s="48">
        <f>VLOOKUP($C51,'[2]Analysis 1'!$C$5:$DG$1025,108,FALSE)</f>
        <v>-375129.37</v>
      </c>
      <c r="DG51" s="48">
        <f>VLOOKUP($C51,'[2]Analysis 1'!$C$5:$DG$1025,109,FALSE)</f>
        <v>-415482.13</v>
      </c>
      <c r="DH51" s="369">
        <f t="shared" si="1"/>
        <v>-4178262.0600000005</v>
      </c>
    </row>
    <row r="52" spans="1:112">
      <c r="A52" s="357" t="str">
        <f t="shared" si="0"/>
        <v>4810053</v>
      </c>
      <c r="B52" s="350" t="s">
        <v>1893</v>
      </c>
      <c r="C52" s="335" t="s">
        <v>983</v>
      </c>
      <c r="D52" s="340">
        <v>-1228261.3</v>
      </c>
      <c r="E52" s="340">
        <v>-1002180.76</v>
      </c>
      <c r="F52" s="340">
        <v>-772167.43</v>
      </c>
      <c r="G52" s="340">
        <v>-847108.63</v>
      </c>
      <c r="H52" s="340">
        <v>-595852.78</v>
      </c>
      <c r="I52" s="340">
        <v>-698182.22</v>
      </c>
      <c r="J52" s="340">
        <v>-661025.98</v>
      </c>
      <c r="K52" s="340">
        <v>-570756.75</v>
      </c>
      <c r="L52" s="340">
        <v>-643519.54</v>
      </c>
      <c r="M52" s="340">
        <v>-573520.17000000004</v>
      </c>
      <c r="N52" s="340">
        <v>-627897.39</v>
      </c>
      <c r="O52" s="341">
        <v>-794798.51</v>
      </c>
      <c r="P52" s="48">
        <v>-977693.73</v>
      </c>
      <c r="Q52" s="48">
        <v>-874036.04</v>
      </c>
      <c r="R52" s="48">
        <v>-666124.21</v>
      </c>
      <c r="S52" s="48">
        <v>-605273.47</v>
      </c>
      <c r="T52" s="48">
        <v>-479876.88</v>
      </c>
      <c r="U52" s="48">
        <v>-637147.19999999995</v>
      </c>
      <c r="V52" s="48">
        <v>-551299.31999999995</v>
      </c>
      <c r="W52" s="48">
        <v>-569422.54</v>
      </c>
      <c r="X52" s="48">
        <v>-516977.3</v>
      </c>
      <c r="Y52" s="48">
        <v>-504083.56</v>
      </c>
      <c r="Z52" s="48">
        <v>-581627.22</v>
      </c>
      <c r="AA52" s="48">
        <v>-695496.48</v>
      </c>
      <c r="AB52" s="48">
        <v>-872549.06</v>
      </c>
      <c r="AC52" s="48">
        <v>-819495.3</v>
      </c>
      <c r="AD52" s="48">
        <v>-682651.45</v>
      </c>
      <c r="AE52" s="48">
        <v>-869169.03</v>
      </c>
      <c r="AF52" s="48">
        <v>-378848.1</v>
      </c>
      <c r="AG52" s="48">
        <v>-423512.75</v>
      </c>
      <c r="AH52" s="48">
        <v>-480616.43</v>
      </c>
      <c r="AI52" s="48">
        <v>-470666.43</v>
      </c>
      <c r="AJ52" s="48">
        <v>-429091.72</v>
      </c>
      <c r="AK52" s="48">
        <v>-429493.91</v>
      </c>
      <c r="AL52" s="48">
        <v>-450044.19</v>
      </c>
      <c r="AM52" s="48">
        <v>-564316.13</v>
      </c>
      <c r="AN52" s="48">
        <v>-644634.88</v>
      </c>
      <c r="AO52" s="48">
        <v>-612098.99</v>
      </c>
      <c r="AP52" s="48">
        <v>-560465.71</v>
      </c>
      <c r="AQ52" s="48">
        <v>-516498.47</v>
      </c>
      <c r="AR52" s="48">
        <v>-505110.22</v>
      </c>
      <c r="AS52" s="48">
        <v>-416712.9</v>
      </c>
      <c r="AT52" s="48">
        <v>-450875.24</v>
      </c>
      <c r="AU52" s="48">
        <v>-461539.88</v>
      </c>
      <c r="AV52" s="48">
        <v>-638153.07999999996</v>
      </c>
      <c r="AW52" s="48">
        <v>-496579.45</v>
      </c>
      <c r="AX52" s="48">
        <v>-726107.63</v>
      </c>
      <c r="AY52" s="48">
        <v>-879051.57</v>
      </c>
      <c r="AZ52" s="48">
        <v>-1231480.3899999999</v>
      </c>
      <c r="BA52" s="48">
        <v>-884776.46</v>
      </c>
      <c r="BB52" s="48">
        <v>-578951.71</v>
      </c>
      <c r="BC52" s="48">
        <v>-689867.06</v>
      </c>
      <c r="BD52" s="48">
        <v>-607981.09</v>
      </c>
      <c r="BE52" s="48">
        <v>-578771.07999999996</v>
      </c>
      <c r="BF52" s="48">
        <v>-528192.93999999994</v>
      </c>
      <c r="BG52" s="48">
        <v>-480571.87</v>
      </c>
      <c r="BH52" s="48">
        <v>-567044.43999999994</v>
      </c>
      <c r="BI52" s="48">
        <v>-454915.1</v>
      </c>
      <c r="BJ52" s="48">
        <v>-557755.82999999996</v>
      </c>
      <c r="BK52" s="48">
        <v>-758436.63</v>
      </c>
      <c r="BL52" s="48">
        <v>-754248.87</v>
      </c>
      <c r="BM52" s="48">
        <v>-757027.07</v>
      </c>
      <c r="BN52" s="48">
        <v>-819824.29</v>
      </c>
      <c r="BO52" s="48">
        <v>-841510.25</v>
      </c>
      <c r="BP52" s="48">
        <v>-667597.51</v>
      </c>
      <c r="BQ52" s="48">
        <v>-604805.12</v>
      </c>
      <c r="BR52" s="48">
        <v>-781483.47</v>
      </c>
      <c r="BS52" s="48">
        <v>-310650.45</v>
      </c>
      <c r="BT52" s="48">
        <v>-679445.26</v>
      </c>
      <c r="BU52" s="48">
        <v>-524612.38</v>
      </c>
      <c r="BV52" s="48">
        <v>-801690.28</v>
      </c>
      <c r="BW52" s="48">
        <v>-846791.31</v>
      </c>
      <c r="BX52" s="48">
        <v>-1004279.72</v>
      </c>
      <c r="BY52" s="48">
        <v>-762476.54</v>
      </c>
      <c r="BZ52" s="48">
        <v>-710142.55</v>
      </c>
      <c r="CA52" s="48">
        <v>-361786.79</v>
      </c>
      <c r="CB52" s="48">
        <v>-308499.07</v>
      </c>
      <c r="CC52" s="48">
        <v>-502104.74</v>
      </c>
      <c r="CD52" s="48">
        <v>-480792.85</v>
      </c>
      <c r="CE52" s="48">
        <v>-484371.04</v>
      </c>
      <c r="CF52" s="48">
        <v>-518225.91</v>
      </c>
      <c r="CG52" s="48">
        <v>-583354.25</v>
      </c>
      <c r="CH52" s="48">
        <v>-746783.25</v>
      </c>
      <c r="CI52" s="48">
        <v>-1094298.01</v>
      </c>
      <c r="CJ52" s="48">
        <v>-1130879.04</v>
      </c>
      <c r="CK52" s="48">
        <v>-971693.29</v>
      </c>
      <c r="CL52" s="48">
        <v>-1148802.0900000001</v>
      </c>
      <c r="CM52" s="48">
        <v>-1090347.4099999999</v>
      </c>
      <c r="CN52" s="48">
        <v>-855983.22</v>
      </c>
      <c r="CO52" s="48">
        <v>-882985.05</v>
      </c>
      <c r="CP52" s="48">
        <v>-883659.27</v>
      </c>
      <c r="CQ52" s="48">
        <v>-813415.47</v>
      </c>
      <c r="CR52" s="48">
        <v>-810183.49</v>
      </c>
      <c r="CS52" s="48">
        <v>-799977.08</v>
      </c>
      <c r="CT52" s="48">
        <v>-960808.24</v>
      </c>
      <c r="CU52" s="48">
        <v>-1264192.82</v>
      </c>
      <c r="CV52" s="48">
        <v>-1628077.79</v>
      </c>
      <c r="CW52" s="48">
        <v>-1316156.43</v>
      </c>
      <c r="CX52" s="48">
        <v>-1234135.22</v>
      </c>
      <c r="CY52" s="48">
        <v>-1180244.49</v>
      </c>
      <c r="CZ52" s="48">
        <v>-1107097.9099999999</v>
      </c>
      <c r="DA52" s="48">
        <v>-958153.6</v>
      </c>
      <c r="DB52" s="48">
        <v>-1026668.95</v>
      </c>
      <c r="DC52" s="48">
        <v>-1700473.47</v>
      </c>
      <c r="DD52" s="48">
        <v>-1477062.01</v>
      </c>
      <c r="DE52" s="48">
        <f>VLOOKUP($C52,'[2]Analysis 1'!$C$5:$DG$1025,107,FALSE)</f>
        <v>-1584726.05</v>
      </c>
      <c r="DF52" s="48">
        <f>VLOOKUP($C52,'[2]Analysis 1'!$C$5:$DG$1025,108,FALSE)</f>
        <v>-783284.38</v>
      </c>
      <c r="DG52" s="48">
        <f>VLOOKUP($C52,'[2]Analysis 1'!$C$5:$DG$1025,109,FALSE)</f>
        <v>-1223181.3799999999</v>
      </c>
      <c r="DH52" s="369">
        <f t="shared" si="1"/>
        <v>-15219261.68</v>
      </c>
    </row>
    <row r="53" spans="1:112">
      <c r="A53" s="357" t="str">
        <f t="shared" si="0"/>
        <v>4810054</v>
      </c>
      <c r="B53" s="350" t="s">
        <v>1894</v>
      </c>
      <c r="C53" s="335" t="s">
        <v>984</v>
      </c>
      <c r="D53" s="367">
        <v>-90938.86</v>
      </c>
      <c r="E53" s="367">
        <v>-75128.7</v>
      </c>
      <c r="F53" s="367">
        <v>-68514.649999999994</v>
      </c>
      <c r="G53" s="367">
        <v>-54286.71</v>
      </c>
      <c r="H53" s="367">
        <v>-27577.53</v>
      </c>
      <c r="I53" s="367">
        <v>-51102.83</v>
      </c>
      <c r="J53" s="367">
        <v>-64304.65</v>
      </c>
      <c r="K53" s="367">
        <v>-43973.279999999999</v>
      </c>
      <c r="L53" s="367">
        <v>-53488.14</v>
      </c>
      <c r="M53" s="367">
        <v>-45022.21</v>
      </c>
      <c r="N53" s="367">
        <v>-69797.039999999994</v>
      </c>
      <c r="O53" s="368">
        <v>-69353.509999999995</v>
      </c>
      <c r="P53" s="48">
        <v>-84412.05</v>
      </c>
      <c r="Q53" s="48">
        <v>-95393.34</v>
      </c>
      <c r="R53" s="48">
        <v>-83336.81</v>
      </c>
      <c r="S53" s="48">
        <v>-46759.54</v>
      </c>
      <c r="T53" s="48">
        <v>-41521.72</v>
      </c>
      <c r="U53" s="48">
        <v>-55811.360000000001</v>
      </c>
      <c r="V53" s="48">
        <v>-64091.47</v>
      </c>
      <c r="W53" s="48">
        <v>-39302.839999999997</v>
      </c>
      <c r="X53" s="48">
        <v>-48795.81</v>
      </c>
      <c r="Y53" s="48">
        <v>-45166.57</v>
      </c>
      <c r="Z53" s="48">
        <v>-35022.449999999997</v>
      </c>
      <c r="AA53" s="48">
        <v>-59090.82</v>
      </c>
      <c r="AB53" s="48">
        <v>-70908.12</v>
      </c>
      <c r="AC53" s="48">
        <v>-77797.33</v>
      </c>
      <c r="AD53" s="48">
        <v>-56812.2</v>
      </c>
      <c r="AE53" s="48">
        <v>-52101.46</v>
      </c>
      <c r="AF53" s="48">
        <v>-36364.879999999997</v>
      </c>
      <c r="AG53" s="48">
        <v>-38533.089999999997</v>
      </c>
      <c r="AH53" s="48">
        <v>-43764.4</v>
      </c>
      <c r="AI53" s="48">
        <v>-49089.39</v>
      </c>
      <c r="AJ53" s="48">
        <v>-45116.46</v>
      </c>
      <c r="AK53" s="48">
        <v>-42361.98</v>
      </c>
      <c r="AL53" s="48">
        <v>-58618.83</v>
      </c>
      <c r="AM53" s="48">
        <v>-56477.06</v>
      </c>
      <c r="AN53" s="48">
        <v>-74295.73</v>
      </c>
      <c r="AO53" s="48">
        <v>-79164.479999999996</v>
      </c>
      <c r="AP53" s="48">
        <v>-29697.73</v>
      </c>
      <c r="AQ53" s="48">
        <v>-66487.91</v>
      </c>
      <c r="AR53" s="48">
        <v>-88955.57</v>
      </c>
      <c r="AS53" s="48">
        <v>-54004.41</v>
      </c>
      <c r="AT53" s="48">
        <v>-64674.91</v>
      </c>
      <c r="AU53" s="48">
        <v>-35227.129999999997</v>
      </c>
      <c r="AV53" s="48">
        <v>-70885.39</v>
      </c>
      <c r="AW53" s="48">
        <v>-54286.11</v>
      </c>
      <c r="AX53" s="48">
        <v>-111041.62</v>
      </c>
      <c r="AY53" s="48">
        <v>-43606.34</v>
      </c>
      <c r="AZ53" s="48">
        <v>-98780.29</v>
      </c>
      <c r="BA53" s="48">
        <v>-48579.26</v>
      </c>
      <c r="BB53" s="48">
        <v>-52066.34</v>
      </c>
      <c r="BC53" s="48">
        <v>-91688.18</v>
      </c>
      <c r="BD53" s="48">
        <v>-29982.92</v>
      </c>
      <c r="BE53" s="48">
        <v>-102221.43</v>
      </c>
      <c r="BF53" s="48">
        <v>-43036.28</v>
      </c>
      <c r="BG53" s="48">
        <v>-51609.64</v>
      </c>
      <c r="BH53" s="48">
        <v>-47711.23</v>
      </c>
      <c r="BI53" s="48">
        <v>-61517.85</v>
      </c>
      <c r="BJ53" s="48">
        <v>-61374.51</v>
      </c>
      <c r="BK53" s="48">
        <v>-55502.38</v>
      </c>
      <c r="BL53" s="48">
        <v>-56489.96</v>
      </c>
      <c r="BM53" s="48">
        <v>-95634.66</v>
      </c>
      <c r="BN53" s="48">
        <v>-82092.62</v>
      </c>
      <c r="BO53" s="48">
        <v>-15504.96</v>
      </c>
      <c r="BP53" s="48">
        <v>-70581.8</v>
      </c>
      <c r="BQ53" s="48">
        <v>8522</v>
      </c>
      <c r="BR53" s="48">
        <v>-43872.91</v>
      </c>
      <c r="BS53" s="48">
        <v>-55906.01</v>
      </c>
      <c r="BT53" s="48">
        <v>-21881.67</v>
      </c>
      <c r="BU53" s="48">
        <v>-63070.17</v>
      </c>
      <c r="BV53" s="48">
        <v>-35694.589999999997</v>
      </c>
      <c r="BW53" s="48">
        <v>-76599.12</v>
      </c>
      <c r="BX53" s="48">
        <v>-77290.13</v>
      </c>
      <c r="BY53" s="48">
        <v>-73344.38</v>
      </c>
      <c r="BZ53" s="48">
        <v>-53376.07</v>
      </c>
      <c r="CA53" s="48">
        <v>-27169.68</v>
      </c>
      <c r="CB53" s="48">
        <v>-30895.93</v>
      </c>
      <c r="CC53" s="48">
        <v>-26352.09</v>
      </c>
      <c r="CD53" s="48">
        <v>-35371.1</v>
      </c>
      <c r="CE53" s="48">
        <v>-42699.28</v>
      </c>
      <c r="CF53" s="48">
        <v>-27859.13</v>
      </c>
      <c r="CG53" s="48">
        <v>-36403.56</v>
      </c>
      <c r="CH53" s="48">
        <v>-45018.720000000001</v>
      </c>
      <c r="CI53" s="48">
        <v>39822.29</v>
      </c>
      <c r="CJ53" s="48">
        <v>-134905.99</v>
      </c>
      <c r="CK53" s="48">
        <v>-72075.179999999993</v>
      </c>
      <c r="CL53" s="48">
        <v>-68332.36</v>
      </c>
      <c r="CM53" s="48">
        <v>-73726.899999999994</v>
      </c>
      <c r="CN53" s="48">
        <v>-56320.959999999999</v>
      </c>
      <c r="CO53" s="48">
        <v>-53135.69</v>
      </c>
      <c r="CP53" s="48">
        <v>-68005.08</v>
      </c>
      <c r="CQ53" s="48">
        <v>-51565.32</v>
      </c>
      <c r="CR53" s="48">
        <v>-65039.56</v>
      </c>
      <c r="CS53" s="48">
        <v>-64169.95</v>
      </c>
      <c r="CT53" s="48">
        <v>-81730.710000000006</v>
      </c>
      <c r="CU53" s="48">
        <v>-112714.14</v>
      </c>
      <c r="CV53" s="48">
        <v>-103541.35</v>
      </c>
      <c r="CW53" s="48">
        <v>-100470.23</v>
      </c>
      <c r="CX53" s="48">
        <v>-77633.320000000007</v>
      </c>
      <c r="CY53" s="48">
        <v>-86831.34</v>
      </c>
      <c r="CZ53" s="48">
        <v>-88117.35</v>
      </c>
      <c r="DA53" s="48">
        <v>-49031.92</v>
      </c>
      <c r="DB53" s="48">
        <v>-49647.14</v>
      </c>
      <c r="DC53" s="48">
        <v>-46754.1</v>
      </c>
      <c r="DD53" s="48">
        <v>-51101.01</v>
      </c>
      <c r="DE53" s="48">
        <f>VLOOKUP($C53,'[2]Analysis 1'!$C$5:$DG$1025,107,FALSE)</f>
        <v>-51724.7</v>
      </c>
      <c r="DF53" s="48">
        <f>VLOOKUP($C53,'[2]Analysis 1'!$C$5:$DG$1025,108,FALSE)</f>
        <v>-42948.77</v>
      </c>
      <c r="DG53" s="48">
        <f>VLOOKUP($C53,'[2]Analysis 1'!$C$5:$DG$1025,109,FALSE)</f>
        <v>-72464.100000000006</v>
      </c>
      <c r="DH53" s="369">
        <f t="shared" si="1"/>
        <v>-820265.32999999984</v>
      </c>
    </row>
    <row r="54" spans="1:112">
      <c r="A54" s="357" t="str">
        <f t="shared" si="0"/>
        <v>4810055</v>
      </c>
      <c r="B54" s="350" t="s">
        <v>1895</v>
      </c>
      <c r="C54" s="335" t="s">
        <v>985</v>
      </c>
      <c r="D54" s="340">
        <v>-389235.69</v>
      </c>
      <c r="E54" s="340">
        <v>-279755.15999999997</v>
      </c>
      <c r="F54" s="340">
        <v>-240136.47</v>
      </c>
      <c r="G54" s="340">
        <v>-214225.97</v>
      </c>
      <c r="H54" s="340">
        <v>-77303.48</v>
      </c>
      <c r="I54" s="340">
        <v>-186793.36</v>
      </c>
      <c r="J54" s="340">
        <v>-211922.79</v>
      </c>
      <c r="K54" s="340">
        <v>-166724.94</v>
      </c>
      <c r="L54" s="340">
        <v>-194499.68</v>
      </c>
      <c r="M54" s="340">
        <v>-154155.25</v>
      </c>
      <c r="N54" s="340">
        <v>-237185.67</v>
      </c>
      <c r="O54" s="341">
        <v>-244190.95</v>
      </c>
      <c r="P54" s="48">
        <v>-347324.41</v>
      </c>
      <c r="Q54" s="48">
        <v>-351714.83</v>
      </c>
      <c r="R54" s="48">
        <v>-262073.66</v>
      </c>
      <c r="S54" s="48">
        <v>-162380.10999999999</v>
      </c>
      <c r="T54" s="48">
        <v>-142221.93</v>
      </c>
      <c r="U54" s="48">
        <v>-198425.19</v>
      </c>
      <c r="V54" s="48">
        <v>-232133.97</v>
      </c>
      <c r="W54" s="48">
        <v>-141041.62</v>
      </c>
      <c r="X54" s="48">
        <v>-183779.95</v>
      </c>
      <c r="Y54" s="48">
        <v>-153075.73000000001</v>
      </c>
      <c r="Z54" s="48">
        <v>-127192.53</v>
      </c>
      <c r="AA54" s="48">
        <v>-209810.31</v>
      </c>
      <c r="AB54" s="48">
        <v>-299911.46999999997</v>
      </c>
      <c r="AC54" s="48">
        <v>-322746.77</v>
      </c>
      <c r="AD54" s="48">
        <v>-215976.05</v>
      </c>
      <c r="AE54" s="48">
        <v>-207975.75</v>
      </c>
      <c r="AF54" s="48">
        <v>-143604.99</v>
      </c>
      <c r="AG54" s="48">
        <v>-137249.17000000001</v>
      </c>
      <c r="AH54" s="48">
        <v>-166661.81</v>
      </c>
      <c r="AI54" s="48">
        <v>-175880.88</v>
      </c>
      <c r="AJ54" s="48">
        <v>-153579.46</v>
      </c>
      <c r="AK54" s="48">
        <v>-148029.04</v>
      </c>
      <c r="AL54" s="48">
        <v>-199643.84</v>
      </c>
      <c r="AM54" s="48">
        <v>-195165.21</v>
      </c>
      <c r="AN54" s="48">
        <v>-210390.31</v>
      </c>
      <c r="AO54" s="48">
        <v>-298738.42</v>
      </c>
      <c r="AP54" s="48">
        <v>-95987.16</v>
      </c>
      <c r="AQ54" s="48">
        <v>-241350.32</v>
      </c>
      <c r="AR54" s="48">
        <v>-322816.44</v>
      </c>
      <c r="AS54" s="48">
        <v>-179860.05</v>
      </c>
      <c r="AT54" s="48">
        <v>-230149.16</v>
      </c>
      <c r="AU54" s="48">
        <v>-139229.06</v>
      </c>
      <c r="AV54" s="48">
        <v>-292359.69</v>
      </c>
      <c r="AW54" s="48">
        <v>-229061.45</v>
      </c>
      <c r="AX54" s="48">
        <v>-474125.93</v>
      </c>
      <c r="AY54" s="48">
        <v>-160821.15</v>
      </c>
      <c r="AZ54" s="48">
        <v>-467151.53</v>
      </c>
      <c r="BA54" s="48">
        <v>-211667.55</v>
      </c>
      <c r="BB54" s="48">
        <v>-204606.1</v>
      </c>
      <c r="BC54" s="48">
        <v>-385447.77</v>
      </c>
      <c r="BD54" s="48">
        <v>-109595.88</v>
      </c>
      <c r="BE54" s="48">
        <v>-423836.8</v>
      </c>
      <c r="BF54" s="48">
        <v>-168184.83</v>
      </c>
      <c r="BG54" s="48">
        <v>-204807.52</v>
      </c>
      <c r="BH54" s="48">
        <v>-188289.1</v>
      </c>
      <c r="BI54" s="48">
        <v>-229425.98</v>
      </c>
      <c r="BJ54" s="48">
        <v>-226618.91</v>
      </c>
      <c r="BK54" s="48">
        <v>-194363.4</v>
      </c>
      <c r="BL54" s="48">
        <v>-248808.94</v>
      </c>
      <c r="BM54" s="48">
        <v>-408057.05</v>
      </c>
      <c r="BN54" s="48">
        <v>-392023.4</v>
      </c>
      <c r="BO54" s="48">
        <v>-76657.960000000006</v>
      </c>
      <c r="BP54" s="48">
        <v>-343037.16</v>
      </c>
      <c r="BQ54" s="48">
        <v>53478.12</v>
      </c>
      <c r="BR54" s="48">
        <v>-219529.60000000001</v>
      </c>
      <c r="BS54" s="48">
        <v>-220861.19</v>
      </c>
      <c r="BT54" s="48">
        <v>-65992.39</v>
      </c>
      <c r="BU54" s="48">
        <v>-254385.66</v>
      </c>
      <c r="BV54" s="48">
        <v>-137205.85</v>
      </c>
      <c r="BW54" s="48">
        <v>-312889.46000000002</v>
      </c>
      <c r="BX54" s="48">
        <v>-318441.01</v>
      </c>
      <c r="BY54" s="48">
        <v>-275499.25</v>
      </c>
      <c r="BZ54" s="48">
        <v>-188551.7</v>
      </c>
      <c r="CA54" s="48">
        <v>-81707.179999999993</v>
      </c>
      <c r="CB54" s="48">
        <v>-99929.600000000006</v>
      </c>
      <c r="CC54" s="48">
        <v>-81581.070000000007</v>
      </c>
      <c r="CD54" s="48">
        <v>-116176.97</v>
      </c>
      <c r="CE54" s="48">
        <v>-135794.25</v>
      </c>
      <c r="CF54" s="48">
        <v>-81781.990000000005</v>
      </c>
      <c r="CG54" s="48">
        <v>-127388.18</v>
      </c>
      <c r="CH54" s="48">
        <v>-174165.36</v>
      </c>
      <c r="CI54" s="48">
        <v>198208.78</v>
      </c>
      <c r="CJ54" s="48">
        <v>-430055.79</v>
      </c>
      <c r="CK54" s="48">
        <v>-185739.09</v>
      </c>
      <c r="CL54" s="48">
        <v>-232601.32</v>
      </c>
      <c r="CM54" s="48">
        <v>-230731.56</v>
      </c>
      <c r="CN54" s="48">
        <v>-158534.47</v>
      </c>
      <c r="CO54" s="48">
        <v>-143837.04999999999</v>
      </c>
      <c r="CP54" s="48">
        <v>-244966.11</v>
      </c>
      <c r="CQ54" s="48">
        <v>-154773.25</v>
      </c>
      <c r="CR54" s="48">
        <v>-209421.87</v>
      </c>
      <c r="CS54" s="48">
        <v>-209392.79</v>
      </c>
      <c r="CT54" s="48">
        <v>-291815.90999999997</v>
      </c>
      <c r="CU54" s="48">
        <v>-435570.93</v>
      </c>
      <c r="CV54" s="48">
        <v>-453938.92</v>
      </c>
      <c r="CW54" s="48">
        <v>-405365.2</v>
      </c>
      <c r="CX54" s="48">
        <v>-284993.32</v>
      </c>
      <c r="CY54" s="48">
        <v>-330408.37</v>
      </c>
      <c r="CZ54" s="48">
        <v>-355928.22</v>
      </c>
      <c r="DA54" s="48">
        <v>-140148.31</v>
      </c>
      <c r="DB54" s="48">
        <v>-164022.45000000001</v>
      </c>
      <c r="DC54" s="48">
        <v>-257721.34</v>
      </c>
      <c r="DD54" s="48">
        <v>-217993.87</v>
      </c>
      <c r="DE54" s="48">
        <f>VLOOKUP($C54,'[2]Analysis 1'!$C$5:$DG$1025,107,FALSE)</f>
        <v>-261097.97</v>
      </c>
      <c r="DF54" s="48">
        <f>VLOOKUP($C54,'[2]Analysis 1'!$C$5:$DG$1025,108,FALSE)</f>
        <v>-38278.9</v>
      </c>
      <c r="DG54" s="48">
        <f>VLOOKUP($C54,'[2]Analysis 1'!$C$5:$DG$1025,109,FALSE)</f>
        <v>-243802.5</v>
      </c>
      <c r="DH54" s="369">
        <f t="shared" si="1"/>
        <v>-3153699.37</v>
      </c>
    </row>
    <row r="55" spans="1:112">
      <c r="A55" s="357" t="str">
        <f t="shared" si="0"/>
        <v>4810056</v>
      </c>
      <c r="B55" s="350" t="s">
        <v>1896</v>
      </c>
      <c r="C55" s="335" t="s">
        <v>986</v>
      </c>
      <c r="D55" s="367">
        <v>-4811.1099999999997</v>
      </c>
      <c r="E55" s="367">
        <v>-4735.33</v>
      </c>
      <c r="F55" s="367">
        <v>-8284.2000000000007</v>
      </c>
      <c r="G55" s="367">
        <v>-11401.26</v>
      </c>
      <c r="H55" s="367">
        <v>-9491.98</v>
      </c>
      <c r="I55" s="367">
        <v>-10712.02</v>
      </c>
      <c r="J55" s="367">
        <v>-12202.71</v>
      </c>
      <c r="K55" s="367">
        <v>-4803.49</v>
      </c>
      <c r="L55" s="367">
        <v>-13258.45</v>
      </c>
      <c r="M55" s="367">
        <v>-13705.09</v>
      </c>
      <c r="N55" s="367">
        <v>-13058.87</v>
      </c>
      <c r="O55" s="368">
        <v>-18011.47</v>
      </c>
      <c r="P55" s="48">
        <v>-19784.61</v>
      </c>
      <c r="Q55" s="48">
        <v>-24933.58</v>
      </c>
      <c r="R55" s="48">
        <v>-20626.72</v>
      </c>
      <c r="S55" s="48">
        <v>-21539.65</v>
      </c>
      <c r="T55" s="48">
        <v>-23951.08</v>
      </c>
      <c r="U55" s="48">
        <v>-25507.32</v>
      </c>
      <c r="V55" s="48">
        <v>-12683.62</v>
      </c>
      <c r="W55" s="48">
        <v>-14189.79</v>
      </c>
      <c r="X55" s="48">
        <v>-13371.53</v>
      </c>
      <c r="Y55" s="48">
        <v>-13344.03</v>
      </c>
      <c r="Z55" s="48">
        <v>-12858.07</v>
      </c>
      <c r="AA55" s="48">
        <v>-17201.900000000001</v>
      </c>
      <c r="AB55" s="48">
        <v>-18790.3</v>
      </c>
      <c r="AC55" s="48">
        <v>-21207.52</v>
      </c>
      <c r="AD55" s="48">
        <v>-24151.17</v>
      </c>
      <c r="AE55" s="48">
        <v>-19818.63</v>
      </c>
      <c r="AF55" s="48">
        <v>-23217.4</v>
      </c>
      <c r="AG55" s="48">
        <v>-19094.490000000002</v>
      </c>
      <c r="AH55" s="48">
        <v>-17710.86</v>
      </c>
      <c r="AI55" s="48">
        <v>-17706.560000000001</v>
      </c>
      <c r="AJ55" s="48">
        <v>-17684.16</v>
      </c>
      <c r="AK55" s="48">
        <v>-20208.759999999998</v>
      </c>
      <c r="AL55" s="48">
        <v>-19050.490000000002</v>
      </c>
      <c r="AM55" s="48">
        <v>-20151.45</v>
      </c>
      <c r="AN55" s="48">
        <v>-23862.01</v>
      </c>
      <c r="AO55" s="48">
        <v>-28029.57</v>
      </c>
      <c r="AP55" s="48">
        <v>-21777.16</v>
      </c>
      <c r="AQ55" s="48">
        <v>-26416.52</v>
      </c>
      <c r="AR55" s="48">
        <v>-22373.279999999999</v>
      </c>
      <c r="AS55" s="48">
        <v>-31241.1</v>
      </c>
      <c r="AT55" s="48">
        <v>-17335.8</v>
      </c>
      <c r="AU55" s="48">
        <v>0</v>
      </c>
      <c r="AV55" s="48">
        <v>-5288.21</v>
      </c>
      <c r="AW55" s="48">
        <v>-5413.21</v>
      </c>
      <c r="AX55" s="48">
        <v>5256</v>
      </c>
      <c r="AY55" s="48">
        <v>-2258.13</v>
      </c>
      <c r="AZ55" s="48">
        <v>0</v>
      </c>
      <c r="BA55" s="48">
        <v>-594.41</v>
      </c>
      <c r="BB55" s="48">
        <v>0</v>
      </c>
      <c r="BC55" s="48">
        <v>0</v>
      </c>
      <c r="BD55" s="48">
        <v>-250</v>
      </c>
      <c r="BE55" s="48">
        <v>-301.20999999999998</v>
      </c>
      <c r="BF55" s="48">
        <v>-8200.81</v>
      </c>
      <c r="BG55" s="48">
        <v>-1529.28</v>
      </c>
      <c r="BH55" s="48">
        <v>-251.58</v>
      </c>
      <c r="BI55" s="48">
        <v>-500</v>
      </c>
      <c r="BJ55" s="48">
        <v>-14799.18</v>
      </c>
      <c r="BK55" s="48">
        <v>-5856.22</v>
      </c>
      <c r="BL55" s="48">
        <v>-2837.6</v>
      </c>
      <c r="BM55" s="48">
        <v>-4803.3500000000004</v>
      </c>
      <c r="BN55" s="48">
        <v>-2924.52</v>
      </c>
      <c r="BO55" s="48">
        <v>-21547.4</v>
      </c>
      <c r="BP55" s="48">
        <v>-421.28</v>
      </c>
      <c r="BQ55" s="48">
        <v>-283.33</v>
      </c>
      <c r="BR55" s="48">
        <v>-3248.73</v>
      </c>
      <c r="BS55" s="48">
        <v>208.44</v>
      </c>
      <c r="BT55" s="48">
        <v>-1460.05</v>
      </c>
      <c r="BU55" s="48">
        <v>-2704.85</v>
      </c>
      <c r="BV55" s="48">
        <v>-13747.47</v>
      </c>
      <c r="BW55" s="48">
        <v>-9293.77</v>
      </c>
      <c r="BX55" s="48">
        <v>-20776.2</v>
      </c>
      <c r="BY55" s="48">
        <v>-17713.29</v>
      </c>
      <c r="BZ55" s="48">
        <v>-18029.900000000001</v>
      </c>
      <c r="CA55" s="48">
        <v>-17244.02</v>
      </c>
      <c r="CB55" s="48">
        <v>-16945.150000000001</v>
      </c>
      <c r="CC55" s="48">
        <v>-5387.37</v>
      </c>
      <c r="CD55" s="48">
        <v>-9602.86</v>
      </c>
      <c r="CE55" s="48">
        <v>-10635.59</v>
      </c>
      <c r="CF55" s="48">
        <v>-7411.54</v>
      </c>
      <c r="CG55" s="48">
        <v>-8912.1200000000008</v>
      </c>
      <c r="CH55" s="48">
        <v>-23354.55</v>
      </c>
      <c r="CI55" s="48">
        <v>-16856.95</v>
      </c>
      <c r="CJ55" s="48">
        <v>-2319.7800000000002</v>
      </c>
      <c r="CK55" s="48">
        <v>-7992.95</v>
      </c>
      <c r="CL55" s="48">
        <v>-34684.04</v>
      </c>
      <c r="CM55" s="48">
        <v>-9129</v>
      </c>
      <c r="CN55" s="48">
        <v>-8863.8700000000008</v>
      </c>
      <c r="CO55" s="48">
        <v>-7372.7</v>
      </c>
      <c r="CP55" s="48">
        <v>-1984.3</v>
      </c>
      <c r="CQ55" s="48">
        <v>-1751.14</v>
      </c>
      <c r="CR55" s="48">
        <v>-12194.51</v>
      </c>
      <c r="CS55" s="48">
        <v>-2450.09</v>
      </c>
      <c r="CT55" s="48">
        <v>-1780.47</v>
      </c>
      <c r="CU55" s="48">
        <v>-5802.17</v>
      </c>
      <c r="CV55" s="48">
        <v>-5564.34</v>
      </c>
      <c r="CW55" s="48">
        <v>-9543.77</v>
      </c>
      <c r="CX55" s="48">
        <v>-2577.75</v>
      </c>
      <c r="CY55" s="48">
        <v>-40986.65</v>
      </c>
      <c r="CZ55" s="48">
        <v>-5177.95</v>
      </c>
      <c r="DA55" s="48">
        <v>-10541.78</v>
      </c>
      <c r="DB55" s="48">
        <v>-8984.07</v>
      </c>
      <c r="DC55" s="48">
        <v>-11729.85</v>
      </c>
      <c r="DD55" s="48">
        <v>-8743.49</v>
      </c>
      <c r="DE55" s="48">
        <f>VLOOKUP($C55,'[2]Analysis 1'!$C$5:$DG$1025,107,FALSE)</f>
        <v>-13807.41</v>
      </c>
      <c r="DF55" s="48">
        <f>VLOOKUP($C55,'[2]Analysis 1'!$C$5:$DG$1025,108,FALSE)</f>
        <v>-7494.19</v>
      </c>
      <c r="DG55" s="48">
        <f>VLOOKUP($C55,'[2]Analysis 1'!$C$5:$DG$1025,109,FALSE)</f>
        <v>-18064.79</v>
      </c>
      <c r="DH55" s="369">
        <f t="shared" si="1"/>
        <v>-143216.04</v>
      </c>
    </row>
    <row r="56" spans="1:112">
      <c r="A56" s="357" t="str">
        <f t="shared" si="0"/>
        <v>4810057</v>
      </c>
      <c r="B56" s="350" t="s">
        <v>1897</v>
      </c>
      <c r="C56" s="335" t="s">
        <v>987</v>
      </c>
      <c r="D56" s="340">
        <v>-24938.13</v>
      </c>
      <c r="E56" s="340">
        <v>-24133</v>
      </c>
      <c r="F56" s="340">
        <v>-37417.589999999997</v>
      </c>
      <c r="G56" s="340">
        <v>-58371.48</v>
      </c>
      <c r="H56" s="340">
        <v>-44602.6</v>
      </c>
      <c r="I56" s="340">
        <v>-54315.98</v>
      </c>
      <c r="J56" s="340">
        <v>-63054.14</v>
      </c>
      <c r="K56" s="340">
        <v>-23407.26</v>
      </c>
      <c r="L56" s="340">
        <v>-68942.899999999994</v>
      </c>
      <c r="M56" s="340">
        <v>-66368.92</v>
      </c>
      <c r="N56" s="340">
        <v>-60407.8</v>
      </c>
      <c r="O56" s="341">
        <v>-86168</v>
      </c>
      <c r="P56" s="48">
        <v>-105150.91</v>
      </c>
      <c r="Q56" s="48">
        <v>-116650.97</v>
      </c>
      <c r="R56" s="48">
        <v>-94528.4</v>
      </c>
      <c r="S56" s="48">
        <v>-101709.41</v>
      </c>
      <c r="T56" s="48">
        <v>-117212.68</v>
      </c>
      <c r="U56" s="48">
        <v>-132297.97</v>
      </c>
      <c r="V56" s="48">
        <v>-65727.929999999993</v>
      </c>
      <c r="W56" s="48">
        <v>-74943.38</v>
      </c>
      <c r="X56" s="48">
        <v>-71525.77</v>
      </c>
      <c r="Y56" s="48">
        <v>-68703.42</v>
      </c>
      <c r="Z56" s="48">
        <v>-67567.7</v>
      </c>
      <c r="AA56" s="48">
        <v>-88284.36</v>
      </c>
      <c r="AB56" s="48">
        <v>-107356.8</v>
      </c>
      <c r="AC56" s="48">
        <v>-119119.05</v>
      </c>
      <c r="AD56" s="48">
        <v>-124214.64</v>
      </c>
      <c r="AE56" s="48">
        <v>-110932.65</v>
      </c>
      <c r="AF56" s="48">
        <v>-128523.56</v>
      </c>
      <c r="AG56" s="48">
        <v>-101697.86</v>
      </c>
      <c r="AH56" s="48">
        <v>-91112.16</v>
      </c>
      <c r="AI56" s="48">
        <v>-92387.19</v>
      </c>
      <c r="AJ56" s="48">
        <v>-87672.52</v>
      </c>
      <c r="AK56" s="48">
        <v>-99514.6</v>
      </c>
      <c r="AL56" s="48">
        <v>-90050.71</v>
      </c>
      <c r="AM56" s="48">
        <v>-94956.97</v>
      </c>
      <c r="AN56" s="48">
        <v>-114100.27</v>
      </c>
      <c r="AO56" s="48">
        <v>-130681.14</v>
      </c>
      <c r="AP56" s="48">
        <v>-109086.95</v>
      </c>
      <c r="AQ56" s="48">
        <v>-121661.9</v>
      </c>
      <c r="AR56" s="48">
        <v>-112088.8</v>
      </c>
      <c r="AS56" s="48">
        <v>-148144.20000000001</v>
      </c>
      <c r="AT56" s="48">
        <v>-86116.15</v>
      </c>
      <c r="AU56" s="48">
        <v>0</v>
      </c>
      <c r="AV56" s="48">
        <v>-28463.33</v>
      </c>
      <c r="AW56" s="48">
        <v>-28463.33</v>
      </c>
      <c r="AX56" s="48">
        <v>28372.02</v>
      </c>
      <c r="AY56" s="48">
        <v>-8923.0499999999993</v>
      </c>
      <c r="AZ56" s="48">
        <v>0</v>
      </c>
      <c r="BA56" s="48">
        <v>-2392.7399999999998</v>
      </c>
      <c r="BB56" s="48">
        <v>0</v>
      </c>
      <c r="BC56" s="48">
        <v>0</v>
      </c>
      <c r="BD56" s="48">
        <v>0</v>
      </c>
      <c r="BE56" s="48">
        <v>-292.54000000000002</v>
      </c>
      <c r="BF56" s="48">
        <v>-43988.52</v>
      </c>
      <c r="BG56" s="48">
        <v>-7307.48</v>
      </c>
      <c r="BH56" s="48">
        <v>-6.25</v>
      </c>
      <c r="BI56" s="48">
        <v>0</v>
      </c>
      <c r="BJ56" s="48">
        <v>-15957.27</v>
      </c>
      <c r="BK56" s="48">
        <v>-48291.9</v>
      </c>
      <c r="BL56" s="48">
        <v>-12681.57</v>
      </c>
      <c r="BM56" s="48">
        <v>-19078.810000000001</v>
      </c>
      <c r="BN56" s="48">
        <v>-11953.74</v>
      </c>
      <c r="BO56" s="48">
        <v>-17354.72</v>
      </c>
      <c r="BP56" s="48">
        <v>-66.489999999999995</v>
      </c>
      <c r="BQ56" s="48">
        <v>-977.53</v>
      </c>
      <c r="BR56" s="48">
        <v>17007.63</v>
      </c>
      <c r="BS56" s="48">
        <v>4856.72</v>
      </c>
      <c r="BT56" s="48">
        <v>-3753.94</v>
      </c>
      <c r="BU56" s="48">
        <v>-11898.2</v>
      </c>
      <c r="BV56" s="48">
        <v>-71042.8</v>
      </c>
      <c r="BW56" s="48">
        <v>-47701.22</v>
      </c>
      <c r="BX56" s="48">
        <v>-112814.03</v>
      </c>
      <c r="BY56" s="48">
        <v>-90313.62</v>
      </c>
      <c r="BZ56" s="48">
        <v>-89936.06</v>
      </c>
      <c r="CA56" s="48">
        <v>-84753.06</v>
      </c>
      <c r="CB56" s="48">
        <v>-69877.5</v>
      </c>
      <c r="CC56" s="48">
        <v>-22546.560000000001</v>
      </c>
      <c r="CD56" s="48">
        <v>-29398.34</v>
      </c>
      <c r="CE56" s="48">
        <v>-43815.25</v>
      </c>
      <c r="CF56" s="48">
        <v>-32956.22</v>
      </c>
      <c r="CG56" s="48">
        <v>-39859.82</v>
      </c>
      <c r="CH56" s="48">
        <v>-109195.82</v>
      </c>
      <c r="CI56" s="48">
        <v>-81091.98</v>
      </c>
      <c r="CJ56" s="48">
        <v>46282.6</v>
      </c>
      <c r="CK56" s="48">
        <v>-28210.79</v>
      </c>
      <c r="CL56" s="48">
        <v>-124654.11</v>
      </c>
      <c r="CM56" s="48">
        <v>-33677.339999999997</v>
      </c>
      <c r="CN56" s="48">
        <v>-35266.74</v>
      </c>
      <c r="CO56" s="48">
        <v>-30448.6</v>
      </c>
      <c r="CP56" s="48">
        <v>-3792.75</v>
      </c>
      <c r="CQ56" s="48">
        <v>-2420.21</v>
      </c>
      <c r="CR56" s="48">
        <v>-40066.449999999997</v>
      </c>
      <c r="CS56" s="48">
        <v>-4765.0200000000004</v>
      </c>
      <c r="CT56" s="48">
        <v>-2592.85</v>
      </c>
      <c r="CU56" s="48">
        <v>-16980.150000000001</v>
      </c>
      <c r="CV56" s="48">
        <v>-17051.96</v>
      </c>
      <c r="CW56" s="48">
        <v>-38532.86</v>
      </c>
      <c r="CX56" s="48">
        <v>-3617.27</v>
      </c>
      <c r="CY56" s="48">
        <v>-170856.51</v>
      </c>
      <c r="CZ56" s="48">
        <v>-18222.849999999999</v>
      </c>
      <c r="DA56" s="48">
        <v>-44268.33</v>
      </c>
      <c r="DB56" s="48">
        <v>-44433.26</v>
      </c>
      <c r="DC56" s="48">
        <v>-28976.84</v>
      </c>
      <c r="DD56" s="48">
        <v>-59232.73</v>
      </c>
      <c r="DE56" s="48">
        <f>VLOOKUP($C56,'[2]Analysis 1'!$C$5:$DG$1025,107,FALSE)</f>
        <v>-91734.73</v>
      </c>
      <c r="DF56" s="48">
        <f>VLOOKUP($C56,'[2]Analysis 1'!$C$5:$DG$1025,108,FALSE)</f>
        <v>-9445</v>
      </c>
      <c r="DG56" s="48">
        <f>VLOOKUP($C56,'[2]Analysis 1'!$C$5:$DG$1025,109,FALSE)</f>
        <v>-77407.72</v>
      </c>
      <c r="DH56" s="369">
        <f t="shared" si="1"/>
        <v>-603780.06000000006</v>
      </c>
    </row>
    <row r="57" spans="1:112">
      <c r="A57" s="357" t="str">
        <f t="shared" si="0"/>
        <v>4810058</v>
      </c>
      <c r="B57" s="350" t="s">
        <v>1898</v>
      </c>
      <c r="C57" s="335" t="s">
        <v>988</v>
      </c>
      <c r="D57" s="367">
        <v>-3669.97</v>
      </c>
      <c r="E57" s="367">
        <v>-3595.61</v>
      </c>
      <c r="F57" s="367">
        <v>-3329.02</v>
      </c>
      <c r="G57" s="367">
        <v>-5372</v>
      </c>
      <c r="H57" s="367">
        <v>-2247.1999999999998</v>
      </c>
      <c r="I57" s="367">
        <v>-2786.77</v>
      </c>
      <c r="J57" s="367">
        <v>-2519.61</v>
      </c>
      <c r="K57" s="367">
        <v>-5494.08</v>
      </c>
      <c r="L57" s="367">
        <v>-2817.53</v>
      </c>
      <c r="M57" s="367">
        <v>0</v>
      </c>
      <c r="N57" s="367">
        <v>-6589.65</v>
      </c>
      <c r="O57" s="368">
        <v>-8227.4500000000007</v>
      </c>
      <c r="P57" s="48">
        <v>-7011.7</v>
      </c>
      <c r="Q57" s="48">
        <v>-4298.9399999999996</v>
      </c>
      <c r="R57" s="48">
        <v>-3964.99</v>
      </c>
      <c r="S57" s="48">
        <v>-2420.17</v>
      </c>
      <c r="T57" s="48">
        <v>-5507.13</v>
      </c>
      <c r="U57" s="48">
        <v>-2714.7</v>
      </c>
      <c r="V57" s="48">
        <v>-24975.5</v>
      </c>
      <c r="W57" s="48">
        <v>-8503.86</v>
      </c>
      <c r="X57" s="48">
        <v>-9100.35</v>
      </c>
      <c r="Y57" s="48">
        <v>-11566.56</v>
      </c>
      <c r="Z57" s="48">
        <v>-15079.25</v>
      </c>
      <c r="AA57" s="48">
        <v>-18217.41</v>
      </c>
      <c r="AB57" s="48">
        <v>-14329.62</v>
      </c>
      <c r="AC57" s="48">
        <v>-13469.93</v>
      </c>
      <c r="AD57" s="48">
        <v>-11065.4</v>
      </c>
      <c r="AE57" s="48">
        <v>-2211.25</v>
      </c>
      <c r="AF57" s="48">
        <v>-3774.53</v>
      </c>
      <c r="AG57" s="48">
        <v>-4595.49</v>
      </c>
      <c r="AH57" s="48">
        <v>-5519.99</v>
      </c>
      <c r="AI57" s="48">
        <v>-2692.64</v>
      </c>
      <c r="AJ57" s="48">
        <v>0</v>
      </c>
      <c r="AK57" s="48">
        <v>-7766.28</v>
      </c>
      <c r="AL57" s="48">
        <v>-3943.64</v>
      </c>
      <c r="AM57" s="48">
        <v>-4062.18</v>
      </c>
      <c r="AN57" s="48">
        <v>-3551.55</v>
      </c>
      <c r="AO57" s="48">
        <v>-4656.6099999999997</v>
      </c>
      <c r="AP57" s="48">
        <v>-4803.6499999999996</v>
      </c>
      <c r="AQ57" s="48">
        <v>-6969.46</v>
      </c>
      <c r="AR57" s="48">
        <v>-2644.61</v>
      </c>
      <c r="AS57" s="48">
        <v>-2647.92</v>
      </c>
      <c r="AT57" s="48">
        <v>-6052.49</v>
      </c>
      <c r="AU57" s="48">
        <v>-15321.8</v>
      </c>
      <c r="AV57" s="48">
        <v>-14898.17</v>
      </c>
      <c r="AW57" s="48">
        <v>-17578.509999999998</v>
      </c>
      <c r="AX57" s="48">
        <v>-33407.83</v>
      </c>
      <c r="AY57" s="48">
        <v>-49647.1</v>
      </c>
      <c r="AZ57" s="48">
        <v>5035.26</v>
      </c>
      <c r="BA57" s="48">
        <v>-19422.27</v>
      </c>
      <c r="BB57" s="48">
        <v>-18335.13</v>
      </c>
      <c r="BC57" s="48">
        <v>-19578.169999999998</v>
      </c>
      <c r="BD57" s="48">
        <v>-27626.880000000001</v>
      </c>
      <c r="BE57" s="48">
        <v>-5732.15</v>
      </c>
      <c r="BF57" s="48">
        <v>-2707.46</v>
      </c>
      <c r="BG57" s="48">
        <v>-3395.06</v>
      </c>
      <c r="BH57" s="48">
        <v>-437.19</v>
      </c>
      <c r="BI57" s="48">
        <v>-385.65</v>
      </c>
      <c r="BJ57" s="48">
        <v>-2955.46</v>
      </c>
      <c r="BK57" s="48">
        <v>-21762.42</v>
      </c>
      <c r="BL57" s="48">
        <v>-4315.05</v>
      </c>
      <c r="BM57" s="48">
        <v>-3675.9</v>
      </c>
      <c r="BN57" s="48">
        <v>-6521.56</v>
      </c>
      <c r="BO57" s="48">
        <v>-4329.57</v>
      </c>
      <c r="BP57" s="48">
        <v>-296.36</v>
      </c>
      <c r="BQ57" s="48">
        <v>-2685.06</v>
      </c>
      <c r="BR57" s="48">
        <v>-7055.58</v>
      </c>
      <c r="BS57" s="48">
        <v>-328.99</v>
      </c>
      <c r="BT57" s="48">
        <v>-17982.23</v>
      </c>
      <c r="BU57" s="48">
        <v>-4462</v>
      </c>
      <c r="BV57" s="48">
        <v>-7088.93</v>
      </c>
      <c r="BW57" s="48">
        <v>-11295.2</v>
      </c>
      <c r="BX57" s="48">
        <v>-15026.47</v>
      </c>
      <c r="BY57" s="48">
        <v>-21012.66</v>
      </c>
      <c r="BZ57" s="48">
        <v>-17619.009999999998</v>
      </c>
      <c r="CA57" s="48">
        <v>-18963.060000000001</v>
      </c>
      <c r="CB57" s="48">
        <v>-19589.23</v>
      </c>
      <c r="CC57" s="48">
        <v>-24569.01</v>
      </c>
      <c r="CD57" s="48">
        <v>-19851.13</v>
      </c>
      <c r="CE57" s="48">
        <v>-19268.560000000001</v>
      </c>
      <c r="CF57" s="48">
        <v>-15870.46</v>
      </c>
      <c r="CG57" s="48">
        <v>-17174.560000000001</v>
      </c>
      <c r="CH57" s="48">
        <v>-18484.36</v>
      </c>
      <c r="CI57" s="48">
        <v>-9004.18</v>
      </c>
      <c r="CJ57" s="48">
        <v>-66451.08</v>
      </c>
      <c r="CK57" s="48">
        <v>-83318.25</v>
      </c>
      <c r="CL57" s="48">
        <v>-67469.899999999994</v>
      </c>
      <c r="CM57" s="48">
        <v>-62184.4</v>
      </c>
      <c r="CN57" s="48">
        <v>-55039.57</v>
      </c>
      <c r="CO57" s="48">
        <v>-49382.49</v>
      </c>
      <c r="CP57" s="48">
        <v>-49729.57</v>
      </c>
      <c r="CQ57" s="48">
        <v>-44175.199999999997</v>
      </c>
      <c r="CR57" s="48">
        <v>-63635.95</v>
      </c>
      <c r="CS57" s="48">
        <v>-57157.85</v>
      </c>
      <c r="CT57" s="48">
        <v>-34556.17</v>
      </c>
      <c r="CU57" s="48">
        <v>-48308.28</v>
      </c>
      <c r="CV57" s="48">
        <v>-87336.86</v>
      </c>
      <c r="CW57" s="48">
        <v>11471.84</v>
      </c>
      <c r="CX57" s="48">
        <v>-49376.21</v>
      </c>
      <c r="CY57" s="48">
        <v>-60494.46</v>
      </c>
      <c r="CZ57" s="48">
        <v>-58697.440000000002</v>
      </c>
      <c r="DA57" s="48">
        <v>-133161.29</v>
      </c>
      <c r="DB57" s="48">
        <v>59825.15</v>
      </c>
      <c r="DC57" s="48">
        <v>-45988.160000000003</v>
      </c>
      <c r="DD57" s="48">
        <v>-37922.25</v>
      </c>
      <c r="DE57" s="48">
        <f>VLOOKUP($C57,'[2]Analysis 1'!$C$5:$DG$1025,107,FALSE)</f>
        <v>-42004.33</v>
      </c>
      <c r="DF57" s="48">
        <f>VLOOKUP($C57,'[2]Analysis 1'!$C$5:$DG$1025,108,FALSE)</f>
        <v>-38054.050000000003</v>
      </c>
      <c r="DG57" s="48">
        <f>VLOOKUP($C57,'[2]Analysis 1'!$C$5:$DG$1025,109,FALSE)</f>
        <v>-35500.67</v>
      </c>
      <c r="DH57" s="369">
        <f t="shared" si="1"/>
        <v>-517238.73000000004</v>
      </c>
    </row>
    <row r="58" spans="1:112">
      <c r="A58" s="357" t="str">
        <f t="shared" si="0"/>
        <v>4810059</v>
      </c>
      <c r="B58" s="350" t="s">
        <v>1899</v>
      </c>
      <c r="C58" s="335" t="s">
        <v>989</v>
      </c>
      <c r="D58" s="340">
        <v>-28349.75</v>
      </c>
      <c r="E58" s="340">
        <v>-25919.71</v>
      </c>
      <c r="F58" s="340">
        <v>-23077.94</v>
      </c>
      <c r="G58" s="340">
        <v>-34664.5</v>
      </c>
      <c r="H58" s="340">
        <v>-15065.79</v>
      </c>
      <c r="I58" s="340">
        <v>-19548.560000000001</v>
      </c>
      <c r="J58" s="340">
        <v>-17869.59</v>
      </c>
      <c r="K58" s="340">
        <v>-35586.14</v>
      </c>
      <c r="L58" s="340">
        <v>-19779.55</v>
      </c>
      <c r="M58" s="340">
        <v>0</v>
      </c>
      <c r="N58" s="340">
        <v>-40747.410000000003</v>
      </c>
      <c r="O58" s="341">
        <v>-52175.199999999997</v>
      </c>
      <c r="P58" s="48">
        <v>-44021.88</v>
      </c>
      <c r="Q58" s="48">
        <v>-31153.91</v>
      </c>
      <c r="R58" s="48">
        <v>-24135.75</v>
      </c>
      <c r="S58" s="48">
        <v>-15182.64</v>
      </c>
      <c r="T58" s="48">
        <v>-34838.74</v>
      </c>
      <c r="U58" s="48">
        <v>-17168.669999999998</v>
      </c>
      <c r="V58" s="48">
        <v>-173361.5</v>
      </c>
      <c r="W58" s="48">
        <v>-49249.27</v>
      </c>
      <c r="X58" s="48">
        <v>-73978.75</v>
      </c>
      <c r="Y58" s="48">
        <v>-77719.63</v>
      </c>
      <c r="Z58" s="48">
        <v>-102059.06</v>
      </c>
      <c r="AA58" s="48">
        <v>-106660.81</v>
      </c>
      <c r="AB58" s="48">
        <v>-101836.36</v>
      </c>
      <c r="AC58" s="48">
        <v>-99553.18</v>
      </c>
      <c r="AD58" s="48">
        <v>-77262.8</v>
      </c>
      <c r="AE58" s="48">
        <v>-16646.47</v>
      </c>
      <c r="AF58" s="48">
        <v>-11691.14</v>
      </c>
      <c r="AG58" s="48">
        <v>-24982.75</v>
      </c>
      <c r="AH58" s="48">
        <v>-35174.89</v>
      </c>
      <c r="AI58" s="48">
        <v>-17640.98</v>
      </c>
      <c r="AJ58" s="48">
        <v>0</v>
      </c>
      <c r="AK58" s="48">
        <v>-44042.61</v>
      </c>
      <c r="AL58" s="48">
        <v>-21049.55</v>
      </c>
      <c r="AM58" s="48">
        <v>-22096.03</v>
      </c>
      <c r="AN58" s="48">
        <v>-19301.13</v>
      </c>
      <c r="AO58" s="48">
        <v>-26721.040000000001</v>
      </c>
      <c r="AP58" s="48">
        <v>-29219.08</v>
      </c>
      <c r="AQ58" s="48">
        <v>-34321.39</v>
      </c>
      <c r="AR58" s="48">
        <v>-15962.09</v>
      </c>
      <c r="AS58" s="48">
        <v>-15649.53</v>
      </c>
      <c r="AT58" s="48">
        <v>-30775.13</v>
      </c>
      <c r="AU58" s="48">
        <v>-108467.5</v>
      </c>
      <c r="AV58" s="48">
        <v>-113687.82</v>
      </c>
      <c r="AW58" s="48">
        <v>-133643.32999999999</v>
      </c>
      <c r="AX58" s="48">
        <v>-209694.74</v>
      </c>
      <c r="AY58" s="48">
        <v>-310950.90999999997</v>
      </c>
      <c r="AZ58" s="48">
        <v>-38084.68</v>
      </c>
      <c r="BA58" s="48">
        <v>-158031.63</v>
      </c>
      <c r="BB58" s="48">
        <v>-138858.66</v>
      </c>
      <c r="BC58" s="48">
        <v>-151095.10999999999</v>
      </c>
      <c r="BD58" s="48">
        <v>-215338.92</v>
      </c>
      <c r="BE58" s="48">
        <v>-35516.89</v>
      </c>
      <c r="BF58" s="48">
        <v>-15641.6</v>
      </c>
      <c r="BG58" s="48">
        <v>-14819.91</v>
      </c>
      <c r="BH58" s="48">
        <v>-1136.69</v>
      </c>
      <c r="BI58" s="48">
        <v>-345.21</v>
      </c>
      <c r="BJ58" s="48">
        <v>-12038.11</v>
      </c>
      <c r="BK58" s="48">
        <v>-128743.62</v>
      </c>
      <c r="BL58" s="48">
        <v>-26477.17</v>
      </c>
      <c r="BM58" s="48">
        <v>-9626.27</v>
      </c>
      <c r="BN58" s="48">
        <v>-45638.94</v>
      </c>
      <c r="BO58" s="48">
        <v>-70292.31</v>
      </c>
      <c r="BP58" s="48">
        <v>-1356.15</v>
      </c>
      <c r="BQ58" s="48">
        <v>-10884.1</v>
      </c>
      <c r="BR58" s="48">
        <v>-28009.27</v>
      </c>
      <c r="BS58" s="48">
        <v>-352.43</v>
      </c>
      <c r="BT58" s="48">
        <v>-144427.99</v>
      </c>
      <c r="BU58" s="48">
        <v>-31241.32</v>
      </c>
      <c r="BV58" s="48">
        <v>-45168.62</v>
      </c>
      <c r="BW58" s="48">
        <v>-70161.33</v>
      </c>
      <c r="BX58" s="48">
        <v>-88543.15</v>
      </c>
      <c r="BY58" s="48">
        <v>-149068.54999999999</v>
      </c>
      <c r="BZ58" s="48">
        <v>-119561.29</v>
      </c>
      <c r="CA58" s="48">
        <v>-129313.09</v>
      </c>
      <c r="CB58" s="48">
        <v>-131787.99</v>
      </c>
      <c r="CC58" s="48">
        <v>-161332.46</v>
      </c>
      <c r="CD58" s="48">
        <v>-132029.51999999999</v>
      </c>
      <c r="CE58" s="48">
        <v>-109928.41</v>
      </c>
      <c r="CF58" s="48">
        <v>-104268.86</v>
      </c>
      <c r="CG58" s="48">
        <v>-119698.18</v>
      </c>
      <c r="CH58" s="48">
        <v>-130293.01</v>
      </c>
      <c r="CI58" s="48">
        <v>-39545.58</v>
      </c>
      <c r="CJ58" s="48">
        <v>-367436.11</v>
      </c>
      <c r="CK58" s="48">
        <v>-506615.34</v>
      </c>
      <c r="CL58" s="48">
        <v>-489984.36</v>
      </c>
      <c r="CM58" s="48">
        <v>-425273.78</v>
      </c>
      <c r="CN58" s="48">
        <v>-309068.88</v>
      </c>
      <c r="CO58" s="48">
        <v>-361411.72</v>
      </c>
      <c r="CP58" s="48">
        <v>-296723.52</v>
      </c>
      <c r="CQ58" s="48">
        <v>-328492.40999999997</v>
      </c>
      <c r="CR58" s="48">
        <v>-466885.97</v>
      </c>
      <c r="CS58" s="48">
        <v>-397354.72</v>
      </c>
      <c r="CT58" s="48">
        <v>-255304.72</v>
      </c>
      <c r="CU58" s="48">
        <v>-359323.55</v>
      </c>
      <c r="CV58" s="48">
        <v>-683115.55</v>
      </c>
      <c r="CW58" s="48">
        <v>90677.69</v>
      </c>
      <c r="CX58" s="48">
        <v>-405140.04</v>
      </c>
      <c r="CY58" s="48">
        <v>-464569.98</v>
      </c>
      <c r="CZ58" s="48">
        <v>-373929.75</v>
      </c>
      <c r="DA58" s="48">
        <v>-1064698.1499999999</v>
      </c>
      <c r="DB58" s="48">
        <v>368143.61</v>
      </c>
      <c r="DC58" s="48">
        <v>-390083.52</v>
      </c>
      <c r="DD58" s="48">
        <v>-342207.94</v>
      </c>
      <c r="DE58" s="48">
        <f>VLOOKUP($C58,'[2]Analysis 1'!$C$5:$DG$1025,107,FALSE)</f>
        <v>-441535.64</v>
      </c>
      <c r="DF58" s="48">
        <f>VLOOKUP($C58,'[2]Analysis 1'!$C$5:$DG$1025,108,FALSE)</f>
        <v>-235959.33</v>
      </c>
      <c r="DG58" s="48">
        <f>VLOOKUP($C58,'[2]Analysis 1'!$C$5:$DG$1025,109,FALSE)</f>
        <v>-235237.85</v>
      </c>
      <c r="DH58" s="369">
        <f t="shared" si="1"/>
        <v>-4177656.4500000007</v>
      </c>
    </row>
    <row r="59" spans="1:112">
      <c r="A59" s="357" t="str">
        <f t="shared" si="0"/>
        <v>4810060</v>
      </c>
      <c r="B59" s="350" t="s">
        <v>1900</v>
      </c>
      <c r="C59" s="335" t="s">
        <v>990</v>
      </c>
      <c r="D59" s="340">
        <v>-3565.88</v>
      </c>
      <c r="E59" s="340">
        <v>-7376.13</v>
      </c>
      <c r="F59" s="340">
        <v>-4169.6499999999996</v>
      </c>
      <c r="G59" s="340">
        <v>-6643.39</v>
      </c>
      <c r="H59" s="340">
        <v>-304.7</v>
      </c>
      <c r="I59" s="340">
        <v>0</v>
      </c>
      <c r="J59" s="340">
        <v>-4081.91</v>
      </c>
      <c r="K59" s="340">
        <v>0</v>
      </c>
      <c r="L59" s="340">
        <v>-6048.42</v>
      </c>
      <c r="M59" s="340">
        <v>-300</v>
      </c>
      <c r="N59" s="340">
        <v>-113.03</v>
      </c>
      <c r="O59" s="341">
        <v>-8802.81</v>
      </c>
      <c r="P59" s="48">
        <v>-1498.17</v>
      </c>
      <c r="Q59" s="48">
        <v>-2430.37</v>
      </c>
      <c r="R59" s="48">
        <v>-12239.28</v>
      </c>
      <c r="S59" s="48">
        <v>-3180.92</v>
      </c>
      <c r="T59" s="48">
        <v>-2573.15</v>
      </c>
      <c r="U59" s="48">
        <v>-466.98</v>
      </c>
      <c r="V59" s="48">
        <v>-6667.96</v>
      </c>
      <c r="W59" s="48">
        <v>-3629.1</v>
      </c>
      <c r="X59" s="48">
        <v>-1057.43</v>
      </c>
      <c r="Y59" s="48">
        <v>-300</v>
      </c>
      <c r="Z59" s="48">
        <v>-1167.18</v>
      </c>
      <c r="AA59" s="48">
        <v>-307.24</v>
      </c>
      <c r="AB59" s="48">
        <v>-1478.15</v>
      </c>
      <c r="AC59" s="48">
        <v>-9730.94</v>
      </c>
      <c r="AD59" s="48">
        <v>-2484.04</v>
      </c>
      <c r="AE59" s="48">
        <v>-2836.03</v>
      </c>
      <c r="AF59" s="48">
        <v>0</v>
      </c>
      <c r="AG59" s="48">
        <v>-2671.51</v>
      </c>
      <c r="AH59" s="48">
        <v>-9163.34</v>
      </c>
      <c r="AI59" s="48">
        <v>-18612.89</v>
      </c>
      <c r="AJ59" s="48">
        <v>-87.86</v>
      </c>
      <c r="AK59" s="48">
        <v>-3931.39</v>
      </c>
      <c r="AL59" s="48">
        <v>-8297.9</v>
      </c>
      <c r="AM59" s="48">
        <v>-6805.8</v>
      </c>
      <c r="AN59" s="48">
        <v>-7956.87</v>
      </c>
      <c r="AO59" s="48">
        <v>-3460.37</v>
      </c>
      <c r="AP59" s="48">
        <v>-4860.3500000000004</v>
      </c>
      <c r="AQ59" s="48">
        <v>-3657.85</v>
      </c>
      <c r="AR59" s="48">
        <v>-2373.5100000000002</v>
      </c>
      <c r="AS59" s="48">
        <v>-300</v>
      </c>
      <c r="AT59" s="48">
        <v>-1065.58</v>
      </c>
      <c r="AU59" s="48">
        <v>-2814.13</v>
      </c>
      <c r="AV59" s="48">
        <v>-1674.43</v>
      </c>
      <c r="AW59" s="48">
        <v>-14905.45</v>
      </c>
      <c r="AX59" s="48">
        <v>-6791.85</v>
      </c>
      <c r="AY59" s="48">
        <v>-3858.31</v>
      </c>
      <c r="AZ59" s="48">
        <v>-4556.78</v>
      </c>
      <c r="BA59" s="48">
        <v>-908.83</v>
      </c>
      <c r="BB59" s="48">
        <v>-304.43</v>
      </c>
      <c r="BC59" s="48">
        <v>-799.34</v>
      </c>
      <c r="BD59" s="48">
        <v>-1575.7</v>
      </c>
      <c r="BE59" s="48">
        <v>-318.01</v>
      </c>
      <c r="BF59" s="48">
        <v>-308.58</v>
      </c>
      <c r="BG59" s="48">
        <v>-36.340000000000003</v>
      </c>
      <c r="BH59" s="48">
        <v>0</v>
      </c>
      <c r="BI59" s="48">
        <v>-93.86</v>
      </c>
      <c r="BJ59" s="48">
        <v>-357.83</v>
      </c>
      <c r="BK59" s="48">
        <v>-14223.88</v>
      </c>
      <c r="BL59" s="48">
        <v>-633.22</v>
      </c>
      <c r="BM59" s="48">
        <v>-1422.89</v>
      </c>
      <c r="BN59" s="48">
        <v>0</v>
      </c>
      <c r="BO59" s="48">
        <v>-1025.94</v>
      </c>
      <c r="BP59" s="48">
        <v>0</v>
      </c>
      <c r="BQ59" s="48">
        <v>0</v>
      </c>
      <c r="BR59" s="48">
        <v>-437.35</v>
      </c>
      <c r="BS59" s="48">
        <v>0</v>
      </c>
      <c r="BT59" s="48">
        <v>0</v>
      </c>
      <c r="BU59" s="48">
        <v>0</v>
      </c>
      <c r="BV59" s="48">
        <v>0</v>
      </c>
      <c r="BW59" s="48">
        <v>-2302.5500000000002</v>
      </c>
      <c r="BX59" s="48">
        <v>0</v>
      </c>
      <c r="BY59" s="48">
        <v>0</v>
      </c>
      <c r="BZ59" s="48">
        <v>0</v>
      </c>
      <c r="CA59" s="48">
        <v>0</v>
      </c>
      <c r="CB59" s="48">
        <v>0</v>
      </c>
      <c r="CC59" s="48">
        <v>0</v>
      </c>
      <c r="CD59" s="48">
        <v>0</v>
      </c>
      <c r="CE59" s="48">
        <v>0</v>
      </c>
      <c r="CF59" s="48">
        <v>0</v>
      </c>
      <c r="CG59" s="48">
        <v>0</v>
      </c>
      <c r="CH59" s="48">
        <v>-3336.05</v>
      </c>
      <c r="CI59" s="48">
        <v>0</v>
      </c>
      <c r="CJ59" s="48">
        <v>-3083.7</v>
      </c>
      <c r="CK59" s="48">
        <v>0</v>
      </c>
      <c r="CL59" s="48">
        <v>0</v>
      </c>
      <c r="CM59" s="48">
        <v>0</v>
      </c>
      <c r="CN59" s="48">
        <v>-449.53</v>
      </c>
      <c r="CO59" s="48">
        <v>0</v>
      </c>
      <c r="CP59" s="48">
        <v>-157.44999999999999</v>
      </c>
      <c r="CQ59" s="48">
        <v>157.44999999999999</v>
      </c>
      <c r="CR59" s="48">
        <v>-2144.85</v>
      </c>
      <c r="CS59" s="48">
        <v>-4701.42</v>
      </c>
      <c r="CT59" s="48">
        <v>-456.73</v>
      </c>
      <c r="CU59" s="48">
        <v>-3535.43</v>
      </c>
      <c r="CV59" s="48">
        <v>0.05</v>
      </c>
      <c r="CW59" s="48">
        <v>-18655.099999999999</v>
      </c>
      <c r="CX59" s="48">
        <v>0</v>
      </c>
      <c r="CY59" s="48">
        <v>0</v>
      </c>
      <c r="CZ59" s="48">
        <v>-24057.22</v>
      </c>
      <c r="DA59" s="48">
        <v>0</v>
      </c>
      <c r="DB59" s="48">
        <v>0</v>
      </c>
      <c r="DC59" s="48">
        <v>-3097.61</v>
      </c>
      <c r="DD59" s="48">
        <v>0</v>
      </c>
      <c r="DE59" s="48">
        <f>VLOOKUP($C59,'[2]Analysis 1'!$C$5:$DG$1025,107,FALSE)</f>
        <v>-26000.55</v>
      </c>
      <c r="DF59" s="48">
        <f>VLOOKUP($C59,'[2]Analysis 1'!$C$5:$DG$1025,108,FALSE)</f>
        <v>0</v>
      </c>
      <c r="DG59" s="48">
        <f>VLOOKUP($C59,'[2]Analysis 1'!$C$5:$DG$1025,109,FALSE)</f>
        <v>0</v>
      </c>
      <c r="DH59" s="369">
        <f t="shared" si="1"/>
        <v>-71810.430000000008</v>
      </c>
    </row>
    <row r="60" spans="1:112">
      <c r="A60" s="357" t="str">
        <f t="shared" si="0"/>
        <v>4810061</v>
      </c>
      <c r="B60" s="350" t="s">
        <v>1901</v>
      </c>
      <c r="C60" s="335" t="s">
        <v>991</v>
      </c>
      <c r="D60" s="367">
        <v>-40522.01</v>
      </c>
      <c r="E60" s="367">
        <v>-69973.929999999993</v>
      </c>
      <c r="F60" s="367">
        <v>-43225.49</v>
      </c>
      <c r="G60" s="367">
        <v>-56383.199999999997</v>
      </c>
      <c r="H60" s="367">
        <v>-53.45</v>
      </c>
      <c r="I60" s="367">
        <v>0</v>
      </c>
      <c r="J60" s="367">
        <v>-41098.65</v>
      </c>
      <c r="K60" s="367">
        <v>0</v>
      </c>
      <c r="L60" s="367">
        <v>-62760.35</v>
      </c>
      <c r="M60" s="367">
        <v>-3524.86</v>
      </c>
      <c r="N60" s="367">
        <v>-708.26</v>
      </c>
      <c r="O60" s="368">
        <v>-71054.59</v>
      </c>
      <c r="P60" s="48">
        <v>-14143.17</v>
      </c>
      <c r="Q60" s="48">
        <v>-24224.62</v>
      </c>
      <c r="R60" s="48">
        <v>-82533.81</v>
      </c>
      <c r="S60" s="48">
        <v>-30119.55</v>
      </c>
      <c r="T60" s="48">
        <v>-24487.59</v>
      </c>
      <c r="U60" s="48">
        <v>-1882.01</v>
      </c>
      <c r="V60" s="48">
        <v>-48851.18</v>
      </c>
      <c r="W60" s="48">
        <v>-32339.97</v>
      </c>
      <c r="X60" s="48">
        <v>-16800.37</v>
      </c>
      <c r="Y60" s="48">
        <v>0</v>
      </c>
      <c r="Z60" s="48">
        <v>-4249.54</v>
      </c>
      <c r="AA60" s="48">
        <v>-76.92</v>
      </c>
      <c r="AB60" s="48">
        <v>-14017.64</v>
      </c>
      <c r="AC60" s="48">
        <v>-65974.03</v>
      </c>
      <c r="AD60" s="48">
        <v>-28328.59</v>
      </c>
      <c r="AE60" s="48">
        <v>-31478.59</v>
      </c>
      <c r="AF60" s="48">
        <v>0</v>
      </c>
      <c r="AG60" s="48">
        <v>-79822.48</v>
      </c>
      <c r="AH60" s="48">
        <v>-93360.71</v>
      </c>
      <c r="AI60" s="48">
        <v>-99240.39</v>
      </c>
      <c r="AJ60" s="48">
        <v>-432.74</v>
      </c>
      <c r="AK60" s="48">
        <v>-40113.85</v>
      </c>
      <c r="AL60" s="48">
        <v>-76067.94</v>
      </c>
      <c r="AM60" s="48">
        <v>-34268.28</v>
      </c>
      <c r="AN60" s="48">
        <v>-70497.81</v>
      </c>
      <c r="AO60" s="48">
        <v>-132775.82</v>
      </c>
      <c r="AP60" s="48">
        <v>-32584.74</v>
      </c>
      <c r="AQ60" s="48">
        <v>-34609.300000000003</v>
      </c>
      <c r="AR60" s="48">
        <v>-22951.98</v>
      </c>
      <c r="AS60" s="48">
        <v>0</v>
      </c>
      <c r="AT60" s="48">
        <v>-8474.2800000000007</v>
      </c>
      <c r="AU60" s="48">
        <v>-29407.63</v>
      </c>
      <c r="AV60" s="48">
        <v>-16713.3</v>
      </c>
      <c r="AW60" s="48">
        <v>-2812.38</v>
      </c>
      <c r="AX60" s="48">
        <v>-58351.7</v>
      </c>
      <c r="AY60" s="48">
        <v>-31247.1</v>
      </c>
      <c r="AZ60" s="48">
        <v>-51036.959999999999</v>
      </c>
      <c r="BA60" s="48">
        <v>-9769.34</v>
      </c>
      <c r="BB60" s="48">
        <v>-56.11</v>
      </c>
      <c r="BC60" s="48">
        <v>-2551.98</v>
      </c>
      <c r="BD60" s="48">
        <v>-16136.51</v>
      </c>
      <c r="BE60" s="48">
        <v>-219.45</v>
      </c>
      <c r="BF60" s="48">
        <v>-104.55</v>
      </c>
      <c r="BG60" s="48">
        <v>-296.31</v>
      </c>
      <c r="BH60" s="48">
        <v>0</v>
      </c>
      <c r="BI60" s="48">
        <v>-599.42999999999995</v>
      </c>
      <c r="BJ60" s="48">
        <v>-2986.47</v>
      </c>
      <c r="BK60" s="48">
        <v>-104716.09</v>
      </c>
      <c r="BL60" s="48">
        <v>-5238.54</v>
      </c>
      <c r="BM60" s="48">
        <v>-9905.57</v>
      </c>
      <c r="BN60" s="48">
        <v>0</v>
      </c>
      <c r="BO60" s="48">
        <v>-7243.21</v>
      </c>
      <c r="BP60" s="48">
        <v>0</v>
      </c>
      <c r="BQ60" s="48">
        <v>0</v>
      </c>
      <c r="BR60" s="48">
        <v>-2630.6</v>
      </c>
      <c r="BS60" s="48">
        <v>0</v>
      </c>
      <c r="BT60" s="48">
        <v>0</v>
      </c>
      <c r="BU60" s="48">
        <v>0</v>
      </c>
      <c r="BV60" s="48">
        <v>0</v>
      </c>
      <c r="BW60" s="48">
        <v>-15055.62</v>
      </c>
      <c r="BX60" s="48">
        <v>0</v>
      </c>
      <c r="BY60" s="48">
        <v>0</v>
      </c>
      <c r="BZ60" s="48">
        <v>0</v>
      </c>
      <c r="CA60" s="48">
        <v>0</v>
      </c>
      <c r="CB60" s="48">
        <v>0</v>
      </c>
      <c r="CC60" s="48">
        <v>-0.02</v>
      </c>
      <c r="CD60" s="48">
        <v>0</v>
      </c>
      <c r="CE60" s="48">
        <v>0</v>
      </c>
      <c r="CF60" s="48">
        <v>0</v>
      </c>
      <c r="CG60" s="48">
        <v>0</v>
      </c>
      <c r="CH60" s="48">
        <v>-18808</v>
      </c>
      <c r="CI60" s="48">
        <v>0</v>
      </c>
      <c r="CJ60" s="48">
        <v>-19220.259999999998</v>
      </c>
      <c r="CK60" s="48">
        <v>0</v>
      </c>
      <c r="CL60" s="48">
        <v>0</v>
      </c>
      <c r="CM60" s="48">
        <v>0</v>
      </c>
      <c r="CN60" s="48">
        <v>-2174.3200000000002</v>
      </c>
      <c r="CO60" s="48">
        <v>0</v>
      </c>
      <c r="CP60" s="48">
        <v>-1194.78</v>
      </c>
      <c r="CQ60" s="48">
        <v>1194.78</v>
      </c>
      <c r="CR60" s="48">
        <v>-13395.81</v>
      </c>
      <c r="CS60" s="48">
        <v>-43093.33</v>
      </c>
      <c r="CT60" s="48">
        <v>-3888.07</v>
      </c>
      <c r="CU60" s="48">
        <v>-33660.43</v>
      </c>
      <c r="CV60" s="48">
        <v>0.33</v>
      </c>
      <c r="CW60" s="48">
        <v>-158226.07</v>
      </c>
      <c r="CX60" s="48">
        <v>0</v>
      </c>
      <c r="CY60" s="48">
        <v>0</v>
      </c>
      <c r="CZ60" s="48">
        <v>-176597.62</v>
      </c>
      <c r="DA60" s="48">
        <v>0</v>
      </c>
      <c r="DB60" s="48">
        <v>0</v>
      </c>
      <c r="DC60" s="48">
        <v>-50387.73</v>
      </c>
      <c r="DD60" s="48">
        <v>0</v>
      </c>
      <c r="DE60" s="48">
        <f>VLOOKUP($C60,'[2]Analysis 1'!$C$5:$DG$1025,107,FALSE)</f>
        <v>-295158.42</v>
      </c>
      <c r="DF60" s="48">
        <f>VLOOKUP($C60,'[2]Analysis 1'!$C$5:$DG$1025,108,FALSE)</f>
        <v>0</v>
      </c>
      <c r="DG60" s="48">
        <f>VLOOKUP($C60,'[2]Analysis 1'!$C$5:$DG$1025,109,FALSE)</f>
        <v>0</v>
      </c>
      <c r="DH60" s="369">
        <f t="shared" si="1"/>
        <v>-680369.51</v>
      </c>
    </row>
    <row r="61" spans="1:112">
      <c r="A61" s="357" t="str">
        <f t="shared" si="0"/>
        <v>4810070</v>
      </c>
      <c r="B61" s="350" t="s">
        <v>1902</v>
      </c>
      <c r="C61" s="335" t="s">
        <v>992</v>
      </c>
      <c r="D61" s="340">
        <v>0</v>
      </c>
      <c r="E61" s="340">
        <v>0</v>
      </c>
      <c r="F61" s="340">
        <v>-179.43</v>
      </c>
      <c r="G61" s="340">
        <v>-872.06</v>
      </c>
      <c r="H61" s="340">
        <v>-2714.57</v>
      </c>
      <c r="I61" s="340">
        <v>0</v>
      </c>
      <c r="J61" s="340">
        <v>-386.85</v>
      </c>
      <c r="K61" s="340">
        <v>-2495.41</v>
      </c>
      <c r="L61" s="340">
        <v>0</v>
      </c>
      <c r="M61" s="340">
        <v>-3764.32</v>
      </c>
      <c r="N61" s="340">
        <v>-250.39</v>
      </c>
      <c r="O61" s="341">
        <v>-8166.58</v>
      </c>
      <c r="P61" s="48">
        <v>0</v>
      </c>
      <c r="Q61" s="48">
        <v>0</v>
      </c>
      <c r="R61" s="48">
        <v>-5046.88</v>
      </c>
      <c r="S61" s="48">
        <v>5046.88</v>
      </c>
      <c r="T61" s="48">
        <v>0</v>
      </c>
      <c r="U61" s="48">
        <v>-3066.06</v>
      </c>
      <c r="V61" s="48">
        <v>-119.83</v>
      </c>
      <c r="W61" s="48">
        <v>0</v>
      </c>
      <c r="X61" s="48">
        <v>0</v>
      </c>
      <c r="Y61" s="48">
        <v>-2689.08</v>
      </c>
      <c r="Z61" s="48">
        <v>0</v>
      </c>
      <c r="AA61" s="48">
        <v>-1135.8599999999999</v>
      </c>
      <c r="AB61" s="48">
        <v>-51</v>
      </c>
      <c r="AC61" s="48">
        <v>0</v>
      </c>
      <c r="AD61" s="48">
        <v>-77.040000000000006</v>
      </c>
      <c r="AE61" s="48">
        <v>-1484.3</v>
      </c>
      <c r="AF61" s="48">
        <v>-347.14</v>
      </c>
      <c r="AG61" s="48">
        <v>-6376.31</v>
      </c>
      <c r="AH61" s="48">
        <v>-673.67</v>
      </c>
      <c r="AI61" s="48">
        <v>-5438.06</v>
      </c>
      <c r="AJ61" s="48">
        <v>0</v>
      </c>
      <c r="AK61" s="48">
        <v>-3677.17</v>
      </c>
      <c r="AL61" s="48">
        <v>-990.64</v>
      </c>
      <c r="AM61" s="48">
        <v>-8120.17</v>
      </c>
      <c r="AN61" s="48">
        <v>0</v>
      </c>
      <c r="AO61" s="48">
        <v>-7444.03</v>
      </c>
      <c r="AP61" s="48">
        <v>-331.12</v>
      </c>
      <c r="AQ61" s="48">
        <v>-4711.2700000000004</v>
      </c>
      <c r="AR61" s="48">
        <v>-649.04</v>
      </c>
      <c r="AS61" s="48">
        <v>-1031.83</v>
      </c>
      <c r="AT61" s="48">
        <v>-1709.06</v>
      </c>
      <c r="AU61" s="48">
        <v>-227.63</v>
      </c>
      <c r="AV61" s="48">
        <v>-1098.0999999999999</v>
      </c>
      <c r="AW61" s="48">
        <v>4154.5200000000004</v>
      </c>
      <c r="AX61" s="48">
        <v>-2056.19</v>
      </c>
      <c r="AY61" s="48">
        <v>-7217.55</v>
      </c>
      <c r="AZ61" s="48">
        <v>-11655.37</v>
      </c>
      <c r="BA61" s="48">
        <v>-1677.72</v>
      </c>
      <c r="BB61" s="48">
        <v>-537.29999999999995</v>
      </c>
      <c r="BC61" s="48">
        <v>-4793.24</v>
      </c>
      <c r="BD61" s="48">
        <v>-5931.54</v>
      </c>
      <c r="BE61" s="48">
        <v>0</v>
      </c>
      <c r="BF61" s="48">
        <v>0</v>
      </c>
      <c r="BG61" s="48">
        <v>-1482.3</v>
      </c>
      <c r="BH61" s="48">
        <v>-3464.92</v>
      </c>
      <c r="BI61" s="48">
        <v>-4844.83</v>
      </c>
      <c r="BJ61" s="48">
        <v>-11042.32</v>
      </c>
      <c r="BK61" s="48">
        <v>-580.37</v>
      </c>
      <c r="BL61" s="48">
        <v>-2700.66</v>
      </c>
      <c r="BM61" s="48">
        <v>0</v>
      </c>
      <c r="BN61" s="48">
        <v>-246.66</v>
      </c>
      <c r="BO61" s="48">
        <v>449.67</v>
      </c>
      <c r="BP61" s="48">
        <v>-846.91</v>
      </c>
      <c r="BQ61" s="48">
        <v>-1087.94</v>
      </c>
      <c r="BR61" s="48">
        <v>0</v>
      </c>
      <c r="BS61" s="48">
        <v>-228.35</v>
      </c>
      <c r="BT61" s="48">
        <v>0</v>
      </c>
      <c r="BU61" s="48">
        <v>0</v>
      </c>
      <c r="BV61" s="48">
        <v>-443.01</v>
      </c>
      <c r="BW61" s="48">
        <v>-1942.57</v>
      </c>
      <c r="BX61" s="48">
        <v>-0.2</v>
      </c>
      <c r="BY61" s="48">
        <v>-7088.86</v>
      </c>
      <c r="BZ61" s="48">
        <v>-12632.28</v>
      </c>
      <c r="CA61" s="48">
        <v>0</v>
      </c>
      <c r="CB61" s="48">
        <v>0</v>
      </c>
      <c r="CC61" s="48">
        <v>0</v>
      </c>
      <c r="CD61" s="48">
        <v>-2003.92</v>
      </c>
      <c r="CE61" s="48">
        <v>0</v>
      </c>
      <c r="CF61" s="48">
        <v>-870.92</v>
      </c>
      <c r="CG61" s="48">
        <v>-764.29</v>
      </c>
      <c r="CH61" s="48">
        <v>-305</v>
      </c>
      <c r="CI61" s="48">
        <v>-21.72</v>
      </c>
      <c r="CJ61" s="48">
        <v>-13469.96</v>
      </c>
      <c r="CK61" s="48">
        <v>-4555.75</v>
      </c>
      <c r="CL61" s="48">
        <v>-0.13</v>
      </c>
      <c r="CM61" s="48">
        <v>0</v>
      </c>
      <c r="CN61" s="48">
        <v>-1054.5</v>
      </c>
      <c r="CO61" s="48">
        <v>-1477.51</v>
      </c>
      <c r="CP61" s="48">
        <v>-1763.71</v>
      </c>
      <c r="CQ61" s="48">
        <v>-234.36</v>
      </c>
      <c r="CR61" s="48">
        <v>-7253.03</v>
      </c>
      <c r="CS61" s="48">
        <v>-5210.3100000000004</v>
      </c>
      <c r="CT61" s="48">
        <v>-8568.68</v>
      </c>
      <c r="CU61" s="48">
        <v>-3011.88</v>
      </c>
      <c r="CV61" s="48">
        <v>-2084.42</v>
      </c>
      <c r="CW61" s="48">
        <v>-4483.2700000000004</v>
      </c>
      <c r="CX61" s="48">
        <v>-5855.55</v>
      </c>
      <c r="CY61" s="48">
        <v>0</v>
      </c>
      <c r="CZ61" s="48">
        <v>-2827.68</v>
      </c>
      <c r="DA61" s="48">
        <v>0</v>
      </c>
      <c r="DB61" s="48">
        <v>-6130.88</v>
      </c>
      <c r="DC61" s="48">
        <v>-198.17</v>
      </c>
      <c r="DD61" s="48">
        <v>-208.26</v>
      </c>
      <c r="DE61" s="48">
        <f>VLOOKUP($C61,'[2]Analysis 1'!$C$5:$DG$1025,107,FALSE)</f>
        <v>0</v>
      </c>
      <c r="DF61" s="48">
        <f>VLOOKUP($C61,'[2]Analysis 1'!$C$5:$DG$1025,108,FALSE)</f>
        <v>-1310.3499999999999</v>
      </c>
      <c r="DG61" s="48">
        <f>VLOOKUP($C61,'[2]Analysis 1'!$C$5:$DG$1025,109,FALSE)</f>
        <v>-4680.62</v>
      </c>
      <c r="DH61" s="369">
        <f t="shared" si="1"/>
        <v>-27779.199999999997</v>
      </c>
    </row>
    <row r="62" spans="1:112">
      <c r="A62" s="357" t="str">
        <f t="shared" si="0"/>
        <v>4810071</v>
      </c>
      <c r="B62" s="350" t="s">
        <v>1903</v>
      </c>
      <c r="C62" s="335" t="s">
        <v>993</v>
      </c>
      <c r="D62" s="367">
        <v>0</v>
      </c>
      <c r="E62" s="367">
        <v>0</v>
      </c>
      <c r="F62" s="367">
        <v>-3471.48</v>
      </c>
      <c r="G62" s="367">
        <v>-13965.47</v>
      </c>
      <c r="H62" s="367">
        <v>-41269.629999999997</v>
      </c>
      <c r="I62" s="367">
        <v>6088.25</v>
      </c>
      <c r="J62" s="367">
        <v>-5931.58</v>
      </c>
      <c r="K62" s="367">
        <v>-34382.25</v>
      </c>
      <c r="L62" s="367">
        <v>-17285.27</v>
      </c>
      <c r="M62" s="367">
        <v>-33965.72</v>
      </c>
      <c r="N62" s="367">
        <v>-3245.42</v>
      </c>
      <c r="O62" s="368">
        <v>-113221.29</v>
      </c>
      <c r="P62" s="48">
        <v>0</v>
      </c>
      <c r="Q62" s="48">
        <v>0</v>
      </c>
      <c r="R62" s="48">
        <v>0</v>
      </c>
      <c r="S62" s="48">
        <v>0</v>
      </c>
      <c r="T62" s="48">
        <v>0</v>
      </c>
      <c r="U62" s="48">
        <v>-32618.71</v>
      </c>
      <c r="V62" s="48">
        <v>-1227.99</v>
      </c>
      <c r="W62" s="48">
        <v>0</v>
      </c>
      <c r="X62" s="48">
        <v>0</v>
      </c>
      <c r="Y62" s="48">
        <v>-26131.65</v>
      </c>
      <c r="Z62" s="48">
        <v>0</v>
      </c>
      <c r="AA62" s="48">
        <v>-8931.91</v>
      </c>
      <c r="AB62" s="48">
        <v>-432.91</v>
      </c>
      <c r="AC62" s="48">
        <v>0</v>
      </c>
      <c r="AD62" s="48">
        <v>-604.49</v>
      </c>
      <c r="AE62" s="48">
        <v>-10316.719999999999</v>
      </c>
      <c r="AF62" s="48">
        <v>-2523.91</v>
      </c>
      <c r="AG62" s="48">
        <v>0</v>
      </c>
      <c r="AH62" s="48">
        <v>-2437.6</v>
      </c>
      <c r="AI62" s="48">
        <v>-61228.78</v>
      </c>
      <c r="AJ62" s="48">
        <v>0</v>
      </c>
      <c r="AK62" s="48">
        <v>-42694.79</v>
      </c>
      <c r="AL62" s="48">
        <v>0</v>
      </c>
      <c r="AM62" s="48">
        <v>-69406.19</v>
      </c>
      <c r="AN62" s="48">
        <v>0</v>
      </c>
      <c r="AO62" s="48">
        <v>-7143.27</v>
      </c>
      <c r="AP62" s="48">
        <v>-4007.77</v>
      </c>
      <c r="AQ62" s="48">
        <v>-63835.86</v>
      </c>
      <c r="AR62" s="48">
        <v>-8472.49</v>
      </c>
      <c r="AS62" s="48">
        <v>-13723.54</v>
      </c>
      <c r="AT62" s="48">
        <v>-22484.560000000001</v>
      </c>
      <c r="AU62" s="48">
        <v>-2932.82</v>
      </c>
      <c r="AV62" s="48">
        <v>-13813.57</v>
      </c>
      <c r="AW62" s="48">
        <v>-38440.230000000003</v>
      </c>
      <c r="AX62" s="48">
        <v>-27104.69</v>
      </c>
      <c r="AY62" s="48">
        <v>-97993.63</v>
      </c>
      <c r="AZ62" s="48">
        <v>-151996.53</v>
      </c>
      <c r="BA62" s="48">
        <v>-27649.24</v>
      </c>
      <c r="BB62" s="48">
        <v>-7783.33</v>
      </c>
      <c r="BC62" s="48">
        <v>-64969.62</v>
      </c>
      <c r="BD62" s="48">
        <v>-77277.960000000006</v>
      </c>
      <c r="BE62" s="48">
        <v>0</v>
      </c>
      <c r="BF62" s="48">
        <v>0</v>
      </c>
      <c r="BG62" s="48">
        <v>-19658.169999999998</v>
      </c>
      <c r="BH62" s="48">
        <v>-46377.01</v>
      </c>
      <c r="BI62" s="48">
        <v>-64469.05</v>
      </c>
      <c r="BJ62" s="48">
        <v>-166704.07999999999</v>
      </c>
      <c r="BK62" s="48">
        <v>-9536.83</v>
      </c>
      <c r="BL62" s="48">
        <v>-47954.46</v>
      </c>
      <c r="BM62" s="48">
        <v>0</v>
      </c>
      <c r="BN62" s="48">
        <v>-3081.29</v>
      </c>
      <c r="BO62" s="48">
        <v>-6065.5</v>
      </c>
      <c r="BP62" s="48">
        <v>-23838.42</v>
      </c>
      <c r="BQ62" s="48">
        <v>10425.370000000001</v>
      </c>
      <c r="BR62" s="48">
        <v>0</v>
      </c>
      <c r="BS62" s="48">
        <v>-1819.32</v>
      </c>
      <c r="BT62" s="48">
        <v>-803.29</v>
      </c>
      <c r="BU62" s="48">
        <v>0</v>
      </c>
      <c r="BV62" s="48">
        <v>-5133.91</v>
      </c>
      <c r="BW62" s="48">
        <v>-24327.55</v>
      </c>
      <c r="BX62" s="48">
        <v>0</v>
      </c>
      <c r="BY62" s="48">
        <v>-79051.039999999994</v>
      </c>
      <c r="BZ62" s="48">
        <v>-136633.73000000001</v>
      </c>
      <c r="CA62" s="48">
        <v>0</v>
      </c>
      <c r="CB62" s="48">
        <v>0</v>
      </c>
      <c r="CC62" s="48">
        <v>0</v>
      </c>
      <c r="CD62" s="48">
        <v>-18273.189999999999</v>
      </c>
      <c r="CE62" s="48">
        <v>0</v>
      </c>
      <c r="CF62" s="48">
        <v>-9709.17</v>
      </c>
      <c r="CG62" s="48">
        <v>-8520.4699999999993</v>
      </c>
      <c r="CH62" s="48">
        <v>-3316.11</v>
      </c>
      <c r="CI62" s="48">
        <v>-236.16</v>
      </c>
      <c r="CJ62" s="48">
        <v>-204143.41</v>
      </c>
      <c r="CK62" s="48">
        <v>-44954.52</v>
      </c>
      <c r="CL62" s="48">
        <v>-4.2699999999999996</v>
      </c>
      <c r="CM62" s="48">
        <v>0</v>
      </c>
      <c r="CN62" s="48">
        <v>-9875.9</v>
      </c>
      <c r="CO62" s="48">
        <v>-13793.61</v>
      </c>
      <c r="CP62" s="48">
        <v>-18697.57</v>
      </c>
      <c r="CQ62" s="48">
        <v>-2862.56</v>
      </c>
      <c r="CR62" s="48">
        <v>-98615.84</v>
      </c>
      <c r="CS62" s="48">
        <v>-75999.81</v>
      </c>
      <c r="CT62" s="48">
        <v>-149584.63</v>
      </c>
      <c r="CU62" s="48">
        <v>-45090.05</v>
      </c>
      <c r="CV62" s="48">
        <v>-26125.07</v>
      </c>
      <c r="CW62" s="48">
        <v>-66236.47</v>
      </c>
      <c r="CX62" s="48">
        <v>-95623.9</v>
      </c>
      <c r="CY62" s="48">
        <v>0</v>
      </c>
      <c r="CZ62" s="48">
        <v>-56213.25</v>
      </c>
      <c r="DA62" s="48">
        <v>41.68</v>
      </c>
      <c r="DB62" s="48">
        <v>-157792.01</v>
      </c>
      <c r="DC62" s="48">
        <v>-6172.41</v>
      </c>
      <c r="DD62" s="48">
        <v>-5507.2</v>
      </c>
      <c r="DE62" s="48">
        <f>VLOOKUP($C62,'[2]Analysis 1'!$C$5:$DG$1025,107,FALSE)</f>
        <v>0</v>
      </c>
      <c r="DF62" s="48">
        <f>VLOOKUP($C62,'[2]Analysis 1'!$C$5:$DG$1025,108,FALSE)</f>
        <v>-22139.82</v>
      </c>
      <c r="DG62" s="48">
        <f>VLOOKUP($C62,'[2]Analysis 1'!$C$5:$DG$1025,109,FALSE)</f>
        <v>-146425.10999999999</v>
      </c>
      <c r="DH62" s="369">
        <f t="shared" si="1"/>
        <v>-582193.56000000006</v>
      </c>
    </row>
    <row r="63" spans="1:112">
      <c r="A63" s="357" t="str">
        <f t="shared" si="0"/>
        <v>4810080</v>
      </c>
      <c r="B63" s="350" t="s">
        <v>1904</v>
      </c>
      <c r="C63" s="335" t="s">
        <v>994</v>
      </c>
      <c r="D63" s="340">
        <v>-895.72</v>
      </c>
      <c r="E63" s="340">
        <v>0</v>
      </c>
      <c r="F63" s="340">
        <v>-304.75</v>
      </c>
      <c r="G63" s="340">
        <v>0</v>
      </c>
      <c r="H63" s="340">
        <v>-1088.24</v>
      </c>
      <c r="I63" s="340">
        <v>0</v>
      </c>
      <c r="J63" s="340">
        <v>-585.04999999999995</v>
      </c>
      <c r="K63" s="340">
        <v>0</v>
      </c>
      <c r="L63" s="340">
        <v>0</v>
      </c>
      <c r="M63" s="340">
        <v>-57.19</v>
      </c>
      <c r="N63" s="340">
        <v>0</v>
      </c>
      <c r="O63" s="341">
        <v>0</v>
      </c>
      <c r="P63" s="48">
        <v>0</v>
      </c>
      <c r="Q63" s="48">
        <v>0</v>
      </c>
      <c r="R63" s="48">
        <v>-175.93</v>
      </c>
      <c r="S63" s="48">
        <v>-1168.42</v>
      </c>
      <c r="T63" s="48">
        <v>0</v>
      </c>
      <c r="U63" s="48">
        <v>0</v>
      </c>
      <c r="V63" s="48">
        <v>-2357.4699999999998</v>
      </c>
      <c r="W63" s="48">
        <v>0</v>
      </c>
      <c r="X63" s="48">
        <v>-232.82</v>
      </c>
      <c r="Y63" s="48">
        <v>-1063.1300000000001</v>
      </c>
      <c r="Z63" s="48">
        <v>0</v>
      </c>
      <c r="AA63" s="48">
        <v>-392.44</v>
      </c>
      <c r="AB63" s="48">
        <v>-538.05999999999995</v>
      </c>
      <c r="AC63" s="48">
        <v>-2660.61</v>
      </c>
      <c r="AD63" s="48">
        <v>-1511.43</v>
      </c>
      <c r="AE63" s="48">
        <v>-18.23</v>
      </c>
      <c r="AF63" s="48">
        <v>0</v>
      </c>
      <c r="AG63" s="48">
        <v>0</v>
      </c>
      <c r="AH63" s="48">
        <v>0</v>
      </c>
      <c r="AI63" s="48">
        <v>0</v>
      </c>
      <c r="AJ63" s="48">
        <v>0</v>
      </c>
      <c r="AK63" s="48">
        <v>-49.45</v>
      </c>
      <c r="AL63" s="48">
        <v>0</v>
      </c>
      <c r="AM63" s="48">
        <v>0</v>
      </c>
      <c r="AN63" s="48">
        <v>-138.05000000000001</v>
      </c>
      <c r="AO63" s="48">
        <v>0</v>
      </c>
      <c r="AP63" s="48">
        <v>0</v>
      </c>
      <c r="AQ63" s="48">
        <v>0</v>
      </c>
      <c r="AR63" s="48">
        <v>0</v>
      </c>
      <c r="AS63" s="48">
        <v>0</v>
      </c>
      <c r="AT63" s="48">
        <v>0</v>
      </c>
      <c r="AU63" s="48">
        <v>-2387.61</v>
      </c>
      <c r="AV63" s="48">
        <v>-890.39</v>
      </c>
      <c r="AW63" s="48">
        <v>2387.61</v>
      </c>
      <c r="AX63" s="48">
        <v>-1980.84</v>
      </c>
      <c r="AY63" s="48">
        <v>1980.84</v>
      </c>
      <c r="AZ63" s="48">
        <v>0</v>
      </c>
      <c r="BA63" s="48">
        <v>-120.91</v>
      </c>
      <c r="BB63" s="48">
        <v>0</v>
      </c>
      <c r="BC63" s="48">
        <v>0</v>
      </c>
      <c r="BD63" s="48">
        <v>0</v>
      </c>
      <c r="BE63" s="48">
        <v>0</v>
      </c>
      <c r="BF63" s="48">
        <v>0</v>
      </c>
      <c r="BG63" s="48">
        <v>0</v>
      </c>
      <c r="BH63" s="48">
        <v>0</v>
      </c>
      <c r="BI63" s="48">
        <v>0</v>
      </c>
      <c r="BJ63" s="48">
        <v>-465.16</v>
      </c>
      <c r="BK63" s="48">
        <v>-216.06</v>
      </c>
      <c r="BL63" s="48">
        <v>0</v>
      </c>
      <c r="BM63" s="48">
        <v>0</v>
      </c>
      <c r="BN63" s="48">
        <v>0</v>
      </c>
      <c r="BO63" s="48">
        <v>0</v>
      </c>
      <c r="BP63" s="48">
        <v>0</v>
      </c>
      <c r="BQ63" s="48">
        <v>0</v>
      </c>
      <c r="BR63" s="48">
        <v>0</v>
      </c>
      <c r="BS63" s="48">
        <v>0</v>
      </c>
      <c r="BT63" s="48">
        <v>0</v>
      </c>
      <c r="BU63" s="48">
        <v>0</v>
      </c>
      <c r="BV63" s="48">
        <v>0</v>
      </c>
      <c r="BW63" s="48">
        <v>0</v>
      </c>
      <c r="BX63" s="48">
        <v>0</v>
      </c>
      <c r="BY63" s="48">
        <v>0</v>
      </c>
      <c r="BZ63" s="48">
        <v>0</v>
      </c>
      <c r="CA63" s="48">
        <v>0</v>
      </c>
      <c r="CB63" s="48">
        <v>0</v>
      </c>
      <c r="CC63" s="48">
        <v>0</v>
      </c>
      <c r="CD63" s="48">
        <v>0</v>
      </c>
      <c r="CE63" s="48">
        <v>0</v>
      </c>
      <c r="CF63" s="48">
        <v>0</v>
      </c>
      <c r="CG63" s="48">
        <v>0</v>
      </c>
      <c r="CH63" s="48">
        <v>0</v>
      </c>
      <c r="CI63" s="48">
        <v>0</v>
      </c>
      <c r="CJ63" s="48">
        <v>0</v>
      </c>
      <c r="CK63" s="48">
        <v>0</v>
      </c>
      <c r="CL63" s="48">
        <v>0</v>
      </c>
      <c r="CM63" s="48">
        <v>0</v>
      </c>
      <c r="CN63" s="48">
        <v>0</v>
      </c>
      <c r="CO63" s="48">
        <v>0</v>
      </c>
      <c r="CP63" s="48">
        <v>0</v>
      </c>
      <c r="CQ63" s="48">
        <v>0</v>
      </c>
      <c r="CR63" s="48">
        <v>0</v>
      </c>
      <c r="CS63" s="48">
        <v>0</v>
      </c>
      <c r="CT63" s="48">
        <v>0</v>
      </c>
      <c r="CU63" s="48">
        <v>0</v>
      </c>
      <c r="CV63" s="48">
        <v>0</v>
      </c>
      <c r="CW63" s="48">
        <v>0</v>
      </c>
      <c r="CX63" s="48">
        <v>0</v>
      </c>
      <c r="CY63" s="48">
        <v>0</v>
      </c>
      <c r="CZ63" s="48">
        <v>0</v>
      </c>
      <c r="DA63" s="48">
        <v>0</v>
      </c>
      <c r="DB63" s="48">
        <v>0</v>
      </c>
      <c r="DC63" s="48">
        <v>0</v>
      </c>
      <c r="DD63" s="48">
        <v>0</v>
      </c>
      <c r="DE63" s="48">
        <f>VLOOKUP($C63,'[2]Analysis 1'!$C$5:$DG$1025,107,FALSE)</f>
        <v>0</v>
      </c>
      <c r="DF63" s="48">
        <f>VLOOKUP($C63,'[2]Analysis 1'!$C$5:$DG$1025,108,FALSE)</f>
        <v>0</v>
      </c>
      <c r="DG63" s="48">
        <f>VLOOKUP($C63,'[2]Analysis 1'!$C$5:$DG$1025,109,FALSE)</f>
        <v>0</v>
      </c>
      <c r="DH63" s="369">
        <f t="shared" si="1"/>
        <v>0</v>
      </c>
    </row>
    <row r="64" spans="1:112">
      <c r="A64" s="357" t="str">
        <f t="shared" si="0"/>
        <v>4810081</v>
      </c>
      <c r="B64" s="350" t="s">
        <v>1905</v>
      </c>
      <c r="C64" s="335" t="s">
        <v>995</v>
      </c>
      <c r="D64" s="367">
        <v>10022.32</v>
      </c>
      <c r="E64" s="367">
        <v>55000</v>
      </c>
      <c r="F64" s="367">
        <v>34407.19</v>
      </c>
      <c r="G64" s="367">
        <v>55000</v>
      </c>
      <c r="H64" s="367">
        <v>-2785.72</v>
      </c>
      <c r="I64" s="367">
        <v>55000</v>
      </c>
      <c r="J64" s="367">
        <v>23668.45</v>
      </c>
      <c r="K64" s="367">
        <v>55000</v>
      </c>
      <c r="L64" s="367">
        <v>55000</v>
      </c>
      <c r="M64" s="367">
        <v>52378.55</v>
      </c>
      <c r="N64" s="367">
        <v>55000</v>
      </c>
      <c r="O64" s="368">
        <v>55000</v>
      </c>
      <c r="P64" s="48">
        <v>55000</v>
      </c>
      <c r="Q64" s="48">
        <v>55000</v>
      </c>
      <c r="R64" s="48">
        <v>48416.23</v>
      </c>
      <c r="S64" s="48">
        <v>14477.73</v>
      </c>
      <c r="T64" s="48">
        <v>55000</v>
      </c>
      <c r="U64" s="48">
        <v>55000</v>
      </c>
      <c r="V64" s="48">
        <v>-36415.94</v>
      </c>
      <c r="W64" s="48">
        <v>55000</v>
      </c>
      <c r="X64" s="48">
        <v>46608.4</v>
      </c>
      <c r="Y64" s="48">
        <v>18915.669999999998</v>
      </c>
      <c r="Z64" s="48">
        <v>55000</v>
      </c>
      <c r="AA64" s="48">
        <v>44221.43</v>
      </c>
      <c r="AB64" s="48">
        <v>39047.69</v>
      </c>
      <c r="AC64" s="48">
        <v>-30037.759999999998</v>
      </c>
      <c r="AD64" s="48">
        <v>13576.61</v>
      </c>
      <c r="AE64" s="48">
        <v>54557.46</v>
      </c>
      <c r="AF64" s="48">
        <v>55000</v>
      </c>
      <c r="AG64" s="48">
        <v>55000</v>
      </c>
      <c r="AH64" s="48">
        <v>55000</v>
      </c>
      <c r="AI64" s="48">
        <v>55000</v>
      </c>
      <c r="AJ64" s="48">
        <v>55000</v>
      </c>
      <c r="AK64" s="48">
        <v>53147.75</v>
      </c>
      <c r="AL64" s="48">
        <v>55000</v>
      </c>
      <c r="AM64" s="48">
        <v>55000</v>
      </c>
      <c r="AN64" s="48">
        <v>3085.86</v>
      </c>
      <c r="AO64" s="48">
        <v>16914.14</v>
      </c>
      <c r="AP64" s="48">
        <v>10000</v>
      </c>
      <c r="AQ64" s="48">
        <v>10000</v>
      </c>
      <c r="AR64" s="48">
        <v>10000</v>
      </c>
      <c r="AS64" s="48">
        <v>10000</v>
      </c>
      <c r="AT64" s="48">
        <v>10000</v>
      </c>
      <c r="AU64" s="48">
        <v>10000</v>
      </c>
      <c r="AV64" s="48">
        <v>10000</v>
      </c>
      <c r="AW64" s="48">
        <v>10000</v>
      </c>
      <c r="AX64" s="48">
        <v>10000</v>
      </c>
      <c r="AY64" s="48">
        <v>10000</v>
      </c>
      <c r="AZ64" s="48">
        <v>10000</v>
      </c>
      <c r="BA64" s="48">
        <v>1946.82</v>
      </c>
      <c r="BB64" s="48">
        <v>10000</v>
      </c>
      <c r="BC64" s="48">
        <v>10000</v>
      </c>
      <c r="BD64" s="48">
        <v>10000</v>
      </c>
      <c r="BE64" s="48">
        <v>10000</v>
      </c>
      <c r="BF64" s="48">
        <v>10000</v>
      </c>
      <c r="BG64" s="48">
        <v>10000</v>
      </c>
      <c r="BH64" s="48">
        <v>10000</v>
      </c>
      <c r="BI64" s="48">
        <v>10000</v>
      </c>
      <c r="BJ64" s="48">
        <v>-12446.53</v>
      </c>
      <c r="BK64" s="48">
        <v>-2443.84</v>
      </c>
      <c r="BL64" s="48">
        <v>10000</v>
      </c>
      <c r="BM64" s="48">
        <v>0</v>
      </c>
      <c r="BN64" s="48">
        <v>0</v>
      </c>
      <c r="BO64" s="48">
        <v>0</v>
      </c>
      <c r="BP64" s="48">
        <v>0</v>
      </c>
      <c r="BQ64" s="48">
        <v>0</v>
      </c>
      <c r="BR64" s="48">
        <v>0</v>
      </c>
      <c r="BS64" s="48">
        <v>0</v>
      </c>
      <c r="BT64" s="48">
        <v>0</v>
      </c>
      <c r="BU64" s="48">
        <v>0</v>
      </c>
      <c r="BV64" s="48">
        <v>0</v>
      </c>
      <c r="BW64" s="48">
        <v>0</v>
      </c>
      <c r="BX64" s="48">
        <v>0</v>
      </c>
      <c r="BY64" s="48">
        <v>0</v>
      </c>
      <c r="BZ64" s="48">
        <v>0</v>
      </c>
      <c r="CA64" s="48">
        <v>0</v>
      </c>
      <c r="CB64" s="48">
        <v>0</v>
      </c>
      <c r="CC64" s="48">
        <v>0</v>
      </c>
      <c r="CD64" s="48">
        <v>0</v>
      </c>
      <c r="CE64" s="48">
        <v>0</v>
      </c>
      <c r="CF64" s="48">
        <v>0</v>
      </c>
      <c r="CG64" s="48">
        <v>0</v>
      </c>
      <c r="CH64" s="48">
        <v>0</v>
      </c>
      <c r="CI64" s="48">
        <v>0</v>
      </c>
      <c r="CJ64" s="48">
        <v>0</v>
      </c>
      <c r="CK64" s="48">
        <v>0</v>
      </c>
      <c r="CL64" s="48">
        <v>0</v>
      </c>
      <c r="CM64" s="48">
        <v>0</v>
      </c>
      <c r="CN64" s="48">
        <v>0</v>
      </c>
      <c r="CO64" s="48">
        <v>0</v>
      </c>
      <c r="CP64" s="48">
        <v>0</v>
      </c>
      <c r="CQ64" s="48">
        <v>0</v>
      </c>
      <c r="CR64" s="48">
        <v>0</v>
      </c>
      <c r="CS64" s="48">
        <v>0</v>
      </c>
      <c r="CT64" s="48">
        <v>0</v>
      </c>
      <c r="CU64" s="48">
        <v>0</v>
      </c>
      <c r="CV64" s="48">
        <v>0</v>
      </c>
      <c r="CW64" s="48">
        <v>0</v>
      </c>
      <c r="CX64" s="48">
        <v>0</v>
      </c>
      <c r="CY64" s="48">
        <v>0</v>
      </c>
      <c r="CZ64" s="48">
        <v>0</v>
      </c>
      <c r="DA64" s="48">
        <v>0</v>
      </c>
      <c r="DB64" s="48">
        <v>0</v>
      </c>
      <c r="DC64" s="48">
        <v>0</v>
      </c>
      <c r="DD64" s="48">
        <v>0</v>
      </c>
      <c r="DE64" s="48">
        <f>VLOOKUP($C64,'[2]Analysis 1'!$C$5:$DG$1025,107,FALSE)</f>
        <v>0</v>
      </c>
      <c r="DF64" s="48">
        <f>VLOOKUP($C64,'[2]Analysis 1'!$C$5:$DG$1025,108,FALSE)</f>
        <v>0</v>
      </c>
      <c r="DG64" s="48">
        <f>VLOOKUP($C64,'[2]Analysis 1'!$C$5:$DG$1025,109,FALSE)</f>
        <v>0</v>
      </c>
      <c r="DH64" s="369">
        <f t="shared" si="1"/>
        <v>0</v>
      </c>
    </row>
    <row r="65" spans="1:112">
      <c r="A65" s="357" t="str">
        <f t="shared" si="0"/>
        <v>4810090</v>
      </c>
      <c r="B65" s="350" t="s">
        <v>1906</v>
      </c>
      <c r="C65" s="335" t="s">
        <v>1838</v>
      </c>
      <c r="D65" s="48">
        <v>0</v>
      </c>
      <c r="E65" s="48">
        <v>0</v>
      </c>
      <c r="F65" s="48">
        <v>0</v>
      </c>
      <c r="G65" s="48">
        <v>0</v>
      </c>
      <c r="H65" s="48">
        <v>0</v>
      </c>
      <c r="I65" s="48">
        <v>0</v>
      </c>
      <c r="J65" s="48">
        <v>0</v>
      </c>
      <c r="K65" s="48">
        <v>0</v>
      </c>
      <c r="L65" s="48">
        <v>0</v>
      </c>
      <c r="M65" s="48">
        <v>0</v>
      </c>
      <c r="N65" s="48">
        <v>0</v>
      </c>
      <c r="O65" s="48">
        <v>0</v>
      </c>
      <c r="P65" s="48">
        <v>0</v>
      </c>
      <c r="Q65" s="48">
        <v>0</v>
      </c>
      <c r="R65" s="48">
        <v>0</v>
      </c>
      <c r="S65" s="48">
        <v>0</v>
      </c>
      <c r="T65" s="48">
        <v>0</v>
      </c>
      <c r="U65" s="48">
        <v>0</v>
      </c>
      <c r="V65" s="48">
        <v>0</v>
      </c>
      <c r="W65" s="48">
        <v>0</v>
      </c>
      <c r="X65" s="48">
        <v>0</v>
      </c>
      <c r="Y65" s="48">
        <v>0</v>
      </c>
      <c r="Z65" s="48">
        <v>0</v>
      </c>
      <c r="AA65" s="48">
        <v>0</v>
      </c>
      <c r="AB65" s="48">
        <v>0</v>
      </c>
      <c r="AC65" s="48">
        <v>0</v>
      </c>
      <c r="AD65" s="48">
        <v>0</v>
      </c>
      <c r="AE65" s="48">
        <v>0</v>
      </c>
      <c r="AF65" s="48">
        <v>0</v>
      </c>
      <c r="AG65" s="48">
        <v>0</v>
      </c>
      <c r="AH65" s="48">
        <v>0</v>
      </c>
      <c r="AI65" s="48">
        <v>0</v>
      </c>
      <c r="AJ65" s="48">
        <v>0</v>
      </c>
      <c r="AK65" s="48">
        <v>0</v>
      </c>
      <c r="AL65" s="48">
        <v>0</v>
      </c>
      <c r="AM65" s="48">
        <v>0</v>
      </c>
      <c r="AN65" s="48">
        <v>0</v>
      </c>
      <c r="AO65" s="48">
        <v>0</v>
      </c>
      <c r="AP65" s="48">
        <v>0</v>
      </c>
      <c r="AQ65" s="48">
        <v>0</v>
      </c>
      <c r="AR65" s="48">
        <v>0</v>
      </c>
      <c r="AS65" s="48">
        <v>0</v>
      </c>
      <c r="AT65" s="48">
        <v>0</v>
      </c>
      <c r="AU65" s="48">
        <v>0</v>
      </c>
      <c r="AV65" s="48">
        <v>0</v>
      </c>
      <c r="AW65" s="48">
        <v>-1519.7</v>
      </c>
      <c r="AX65" s="48">
        <v>0</v>
      </c>
      <c r="AY65" s="48">
        <v>-2824.45</v>
      </c>
      <c r="AZ65" s="48">
        <v>0</v>
      </c>
      <c r="BA65" s="48">
        <v>0</v>
      </c>
      <c r="BB65" s="48">
        <v>0</v>
      </c>
      <c r="BC65" s="48">
        <v>0</v>
      </c>
      <c r="BD65" s="48">
        <v>0</v>
      </c>
      <c r="BE65" s="48">
        <v>0</v>
      </c>
      <c r="BF65" s="48">
        <v>-574.19000000000005</v>
      </c>
      <c r="BG65" s="48">
        <v>0</v>
      </c>
      <c r="BH65" s="48">
        <v>0</v>
      </c>
      <c r="BI65" s="48">
        <v>-242.03</v>
      </c>
      <c r="BJ65" s="48">
        <v>0</v>
      </c>
      <c r="BK65" s="48">
        <v>-6257.7</v>
      </c>
      <c r="BL65" s="48">
        <v>-2118.4899999999998</v>
      </c>
      <c r="BM65" s="48">
        <v>-93.82</v>
      </c>
      <c r="BN65" s="48">
        <v>-3854.33</v>
      </c>
      <c r="BO65" s="48">
        <v>-2634.32</v>
      </c>
      <c r="BP65" s="48">
        <v>0</v>
      </c>
      <c r="BQ65" s="48">
        <v>-386.95</v>
      </c>
      <c r="BR65" s="48">
        <v>-1.94</v>
      </c>
      <c r="BS65" s="48">
        <v>-42464.1</v>
      </c>
      <c r="BT65" s="48">
        <v>-8818.6299999999992</v>
      </c>
      <c r="BU65" s="48">
        <v>23801.759999999998</v>
      </c>
      <c r="BV65" s="48">
        <v>-2346.81</v>
      </c>
      <c r="BW65" s="48">
        <v>-1049.69</v>
      </c>
      <c r="BX65" s="48">
        <v>-381.94</v>
      </c>
      <c r="BY65" s="48">
        <v>-19000.39</v>
      </c>
      <c r="BZ65" s="48">
        <v>-895.75</v>
      </c>
      <c r="CA65" s="48">
        <v>0</v>
      </c>
      <c r="CB65" s="48">
        <v>-112.97</v>
      </c>
      <c r="CC65" s="48">
        <v>-84.55</v>
      </c>
      <c r="CD65" s="48">
        <v>-27299.07</v>
      </c>
      <c r="CE65" s="48">
        <v>-1416.84</v>
      </c>
      <c r="CF65" s="48">
        <v>-2438.7800000000002</v>
      </c>
      <c r="CG65" s="48">
        <v>-748.78</v>
      </c>
      <c r="CH65" s="48">
        <v>-197.7</v>
      </c>
      <c r="CI65" s="48">
        <v>-1987.7</v>
      </c>
      <c r="CJ65" s="48">
        <v>-13695.05</v>
      </c>
      <c r="CK65" s="48">
        <v>0</v>
      </c>
      <c r="CL65" s="48">
        <v>0</v>
      </c>
      <c r="CM65" s="48">
        <v>0</v>
      </c>
      <c r="CN65" s="48">
        <v>0</v>
      </c>
      <c r="CO65" s="48">
        <v>-486.59</v>
      </c>
      <c r="CP65" s="48">
        <v>0</v>
      </c>
      <c r="CQ65" s="48">
        <v>0</v>
      </c>
      <c r="CR65" s="48">
        <v>0</v>
      </c>
      <c r="CS65" s="48">
        <v>-1448.13</v>
      </c>
      <c r="CT65" s="48">
        <v>-907.54</v>
      </c>
      <c r="CU65" s="48">
        <v>-230.08</v>
      </c>
      <c r="CV65" s="48">
        <v>0.11</v>
      </c>
      <c r="CW65" s="48">
        <v>-320.47000000000003</v>
      </c>
      <c r="CX65" s="48">
        <v>-2209.8200000000002</v>
      </c>
      <c r="CY65" s="48">
        <v>0</v>
      </c>
      <c r="CZ65" s="48">
        <v>-147.27000000000001</v>
      </c>
      <c r="DA65" s="48">
        <v>0</v>
      </c>
      <c r="DB65" s="48">
        <v>-312.41000000000003</v>
      </c>
      <c r="DC65" s="48">
        <v>0</v>
      </c>
      <c r="DD65" s="48">
        <v>-89.37</v>
      </c>
      <c r="DE65" s="48">
        <f>VLOOKUP($C65,'[2]Analysis 1'!$C$5:$DG$1025,107,FALSE)</f>
        <v>0</v>
      </c>
      <c r="DF65" s="48">
        <f>VLOOKUP($C65,'[2]Analysis 1'!$C$5:$DG$1025,108,FALSE)</f>
        <v>-2585.63</v>
      </c>
      <c r="DG65" s="48">
        <f>VLOOKUP($C65,'[2]Analysis 1'!$C$5:$DG$1025,109,FALSE)</f>
        <v>0</v>
      </c>
      <c r="DH65" s="369">
        <f t="shared" si="1"/>
        <v>-5664.8600000000006</v>
      </c>
    </row>
    <row r="66" spans="1:112">
      <c r="A66" s="357" t="str">
        <f t="shared" si="0"/>
        <v>4810091</v>
      </c>
      <c r="B66" s="350" t="s">
        <v>1778</v>
      </c>
      <c r="C66" s="335" t="s">
        <v>1765</v>
      </c>
      <c r="D66" s="367"/>
      <c r="E66" s="367"/>
      <c r="F66" s="367"/>
      <c r="G66" s="367"/>
      <c r="H66" s="367"/>
      <c r="I66" s="367"/>
      <c r="J66" s="367"/>
      <c r="K66" s="367"/>
      <c r="L66" s="367"/>
      <c r="M66" s="367"/>
      <c r="N66" s="367"/>
      <c r="O66" s="36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v>53786.91</v>
      </c>
      <c r="AO66" s="48">
        <v>103333.35</v>
      </c>
      <c r="AP66" s="48">
        <v>103333.34</v>
      </c>
      <c r="AQ66" s="48">
        <v>100313.86</v>
      </c>
      <c r="AR66" s="48">
        <v>103333.34</v>
      </c>
      <c r="AS66" s="48">
        <v>103333.34</v>
      </c>
      <c r="AT66" s="48">
        <v>103333.34</v>
      </c>
      <c r="AU66" s="48">
        <v>-12228.4</v>
      </c>
      <c r="AV66" s="48">
        <v>64212.04</v>
      </c>
      <c r="AW66" s="48">
        <v>144999.64000000001</v>
      </c>
      <c r="AX66" s="48">
        <v>17849.91</v>
      </c>
      <c r="AY66" s="48">
        <v>65703.19</v>
      </c>
      <c r="AZ66" s="48">
        <v>103333.34</v>
      </c>
      <c r="BA66" s="48">
        <v>103333.34</v>
      </c>
      <c r="BB66" s="48">
        <v>103333.34</v>
      </c>
      <c r="BC66" s="48">
        <v>103333.34</v>
      </c>
      <c r="BD66" s="48">
        <v>103333.34</v>
      </c>
      <c r="BE66" s="48">
        <v>103333.34</v>
      </c>
      <c r="BF66" s="48">
        <v>77679.740000000005</v>
      </c>
      <c r="BG66" s="48">
        <v>103333.34</v>
      </c>
      <c r="BH66" s="48">
        <v>103333.34</v>
      </c>
      <c r="BI66" s="48">
        <v>92305.15</v>
      </c>
      <c r="BJ66" s="48">
        <v>103333.34</v>
      </c>
      <c r="BK66" s="48">
        <v>-311751.57</v>
      </c>
      <c r="BL66" s="48">
        <v>-20389.11</v>
      </c>
      <c r="BM66" s="48">
        <v>98513.919999999998</v>
      </c>
      <c r="BN66" s="48">
        <v>-66166.62</v>
      </c>
      <c r="BO66" s="48">
        <v>-19761.810000000001</v>
      </c>
      <c r="BP66" s="48">
        <v>123333.34</v>
      </c>
      <c r="BQ66" s="48">
        <v>110997.65</v>
      </c>
      <c r="BR66" s="48">
        <v>113328.1</v>
      </c>
      <c r="BS66" s="48">
        <v>-155716.6</v>
      </c>
      <c r="BT66" s="48">
        <v>76535.67</v>
      </c>
      <c r="BU66" s="48">
        <v>340717.09</v>
      </c>
      <c r="BV66" s="48">
        <v>100018.02</v>
      </c>
      <c r="BW66" s="48">
        <v>106924.86</v>
      </c>
      <c r="BX66" s="48">
        <v>111230.37</v>
      </c>
      <c r="BY66" s="48">
        <v>77622.679999999993</v>
      </c>
      <c r="BZ66" s="48">
        <v>65429.33</v>
      </c>
      <c r="CA66" s="48">
        <v>148704.6</v>
      </c>
      <c r="CB66" s="48">
        <v>109736.15</v>
      </c>
      <c r="CC66" s="48">
        <v>110533.32</v>
      </c>
      <c r="CD66" s="48">
        <v>68130.78</v>
      </c>
      <c r="CE66" s="48">
        <v>106123.87</v>
      </c>
      <c r="CF66" s="48">
        <v>87320.02</v>
      </c>
      <c r="CG66" s="48">
        <v>84072.61</v>
      </c>
      <c r="CH66" s="48">
        <v>112818.27</v>
      </c>
      <c r="CI66" s="48">
        <v>109016.23</v>
      </c>
      <c r="CJ66" s="48">
        <v>104008.58</v>
      </c>
      <c r="CK66" s="48">
        <v>87538.559999999998</v>
      </c>
      <c r="CL66" s="48">
        <v>106292.24</v>
      </c>
      <c r="CM66" s="48">
        <v>103333.34</v>
      </c>
      <c r="CN66" s="48">
        <v>103333.34</v>
      </c>
      <c r="CO66" s="48">
        <v>101560.72</v>
      </c>
      <c r="CP66" s="48">
        <v>97219.85</v>
      </c>
      <c r="CQ66" s="48">
        <v>103333.34</v>
      </c>
      <c r="CR66" s="48">
        <v>103333.34</v>
      </c>
      <c r="CS66" s="48">
        <v>11371.54</v>
      </c>
      <c r="CT66" s="48">
        <v>11893.84</v>
      </c>
      <c r="CU66" s="48">
        <v>90687.72</v>
      </c>
      <c r="CV66" s="48">
        <v>102400.42</v>
      </c>
      <c r="CW66" s="48">
        <v>85805.15</v>
      </c>
      <c r="CX66" s="48">
        <v>86540.479999999996</v>
      </c>
      <c r="CY66" s="48">
        <v>22262.61</v>
      </c>
      <c r="CZ66" s="48">
        <v>89537.65</v>
      </c>
      <c r="DA66" s="48">
        <v>103344.11</v>
      </c>
      <c r="DB66" s="48">
        <v>74438.63</v>
      </c>
      <c r="DC66" s="48">
        <v>73587.02</v>
      </c>
      <c r="DD66" s="48">
        <v>94218.04</v>
      </c>
      <c r="DE66" s="48">
        <f>VLOOKUP($C66,'[2]Analysis 1'!$C$5:$DG$1025,107,FALSE)</f>
        <v>-84685.38</v>
      </c>
      <c r="DF66" s="48">
        <f>VLOOKUP($C66,'[2]Analysis 1'!$C$5:$DG$1025,108,FALSE)</f>
        <v>-65174.42</v>
      </c>
      <c r="DG66" s="48">
        <f>VLOOKUP($C66,'[2]Analysis 1'!$C$5:$DG$1025,109,FALSE)</f>
        <v>103333.34</v>
      </c>
      <c r="DH66" s="369">
        <f t="shared" si="1"/>
        <v>685607.64999999991</v>
      </c>
    </row>
    <row r="67" spans="1:112">
      <c r="A67" s="357" t="str">
        <f t="shared" si="0"/>
        <v>4810500</v>
      </c>
      <c r="B67" s="350" t="s">
        <v>1907</v>
      </c>
      <c r="C67" s="335" t="s">
        <v>996</v>
      </c>
      <c r="D67" s="340">
        <v>-697975.33</v>
      </c>
      <c r="E67" s="340">
        <v>-31668.17</v>
      </c>
      <c r="F67" s="340">
        <v>-356025</v>
      </c>
      <c r="G67" s="340">
        <v>-1909918.9</v>
      </c>
      <c r="H67" s="340">
        <v>-1070387.6599999999</v>
      </c>
      <c r="I67" s="340">
        <v>-1219047.94</v>
      </c>
      <c r="J67" s="340">
        <v>-1128094.53</v>
      </c>
      <c r="K67" s="340">
        <v>-1513926.17</v>
      </c>
      <c r="L67" s="340">
        <v>-18488.150000000001</v>
      </c>
      <c r="M67" s="340">
        <v>10318.5</v>
      </c>
      <c r="N67" s="340">
        <v>0</v>
      </c>
      <c r="O67" s="341">
        <v>0</v>
      </c>
      <c r="P67" s="48">
        <v>-3110.04</v>
      </c>
      <c r="Q67" s="48">
        <v>-10726.8</v>
      </c>
      <c r="R67" s="48">
        <v>-744.75</v>
      </c>
      <c r="S67" s="48">
        <v>-20792.34</v>
      </c>
      <c r="T67" s="48">
        <v>2.68</v>
      </c>
      <c r="U67" s="48">
        <v>-357029.05</v>
      </c>
      <c r="V67" s="48">
        <v>25875</v>
      </c>
      <c r="W67" s="48">
        <v>0</v>
      </c>
      <c r="X67" s="48">
        <v>-33650.660000000003</v>
      </c>
      <c r="Y67" s="48">
        <v>0</v>
      </c>
      <c r="Z67" s="48">
        <v>0</v>
      </c>
      <c r="AA67" s="48">
        <v>0</v>
      </c>
      <c r="AB67" s="48">
        <v>-170477.75</v>
      </c>
      <c r="AC67" s="48">
        <v>-20496</v>
      </c>
      <c r="AD67" s="48">
        <v>0</v>
      </c>
      <c r="AE67" s="48">
        <v>0</v>
      </c>
      <c r="AF67" s="48">
        <v>-34410</v>
      </c>
      <c r="AG67" s="48">
        <v>-69916.289999999994</v>
      </c>
      <c r="AH67" s="48">
        <v>-42928.26</v>
      </c>
      <c r="AI67" s="48">
        <v>-87752.37</v>
      </c>
      <c r="AJ67" s="48">
        <v>0</v>
      </c>
      <c r="AK67" s="48">
        <v>0</v>
      </c>
      <c r="AL67" s="48">
        <v>0</v>
      </c>
      <c r="AM67" s="48">
        <v>0</v>
      </c>
      <c r="AN67" s="48">
        <v>0</v>
      </c>
      <c r="AO67" s="48">
        <v>-392257.45</v>
      </c>
      <c r="AP67" s="48">
        <v>-11780.03</v>
      </c>
      <c r="AQ67" s="48">
        <v>0</v>
      </c>
      <c r="AR67" s="48">
        <v>-97310.05</v>
      </c>
      <c r="AS67" s="48">
        <v>0</v>
      </c>
      <c r="AT67" s="48">
        <v>-11906.4</v>
      </c>
      <c r="AU67" s="48">
        <v>0</v>
      </c>
      <c r="AV67" s="48">
        <v>-62986.11</v>
      </c>
      <c r="AW67" s="48">
        <v>-139738.5</v>
      </c>
      <c r="AX67" s="48">
        <v>-794169.76</v>
      </c>
      <c r="AY67" s="48">
        <v>-3668.96</v>
      </c>
      <c r="AZ67" s="48">
        <v>0</v>
      </c>
      <c r="BA67" s="48">
        <v>-1212.96</v>
      </c>
      <c r="BB67" s="48">
        <v>0</v>
      </c>
      <c r="BC67" s="48">
        <v>-1183.5999999999999</v>
      </c>
      <c r="BD67" s="48">
        <v>0</v>
      </c>
      <c r="BE67" s="48">
        <v>-975</v>
      </c>
      <c r="BF67" s="48">
        <v>-316924.71000000002</v>
      </c>
      <c r="BG67" s="48">
        <v>-40874.730000000003</v>
      </c>
      <c r="BH67" s="48">
        <v>0</v>
      </c>
      <c r="BI67" s="48">
        <v>0</v>
      </c>
      <c r="BJ67" s="48">
        <v>0</v>
      </c>
      <c r="BK67" s="48">
        <v>0</v>
      </c>
      <c r="BL67" s="48">
        <v>-440000</v>
      </c>
      <c r="BM67" s="48">
        <v>0</v>
      </c>
      <c r="BN67" s="48">
        <v>0</v>
      </c>
      <c r="BO67" s="48">
        <v>0</v>
      </c>
      <c r="BP67" s="48">
        <v>0</v>
      </c>
      <c r="BQ67" s="48">
        <v>0</v>
      </c>
      <c r="BR67" s="48">
        <v>0</v>
      </c>
      <c r="BS67" s="48">
        <v>0</v>
      </c>
      <c r="BT67" s="48">
        <v>0</v>
      </c>
      <c r="BU67" s="48">
        <v>0</v>
      </c>
      <c r="BV67" s="48">
        <v>0</v>
      </c>
      <c r="BW67" s="48">
        <v>0</v>
      </c>
      <c r="BX67" s="48">
        <v>0</v>
      </c>
      <c r="BY67" s="48">
        <v>0</v>
      </c>
      <c r="BZ67" s="48">
        <v>0</v>
      </c>
      <c r="CA67" s="48">
        <v>0</v>
      </c>
      <c r="CB67" s="48">
        <v>-939847.09</v>
      </c>
      <c r="CC67" s="48">
        <v>-462368.03</v>
      </c>
      <c r="CD67" s="48">
        <v>-890245.97</v>
      </c>
      <c r="CE67" s="48">
        <v>0</v>
      </c>
      <c r="CF67" s="48">
        <v>0</v>
      </c>
      <c r="CG67" s="48">
        <v>-16453.16</v>
      </c>
      <c r="CH67" s="48">
        <v>0</v>
      </c>
      <c r="CI67" s="48">
        <v>0</v>
      </c>
      <c r="CJ67" s="48">
        <v>0</v>
      </c>
      <c r="CK67" s="48">
        <v>-284314.19</v>
      </c>
      <c r="CL67" s="48">
        <v>-13501.6</v>
      </c>
      <c r="CM67" s="48">
        <v>-25465</v>
      </c>
      <c r="CN67" s="48">
        <v>0</v>
      </c>
      <c r="CO67" s="48">
        <v>0</v>
      </c>
      <c r="CP67" s="48">
        <v>0</v>
      </c>
      <c r="CQ67" s="48">
        <v>0</v>
      </c>
      <c r="CR67" s="48">
        <v>-204155.14</v>
      </c>
      <c r="CS67" s="48">
        <v>0</v>
      </c>
      <c r="CT67" s="48">
        <v>0</v>
      </c>
      <c r="CU67" s="48">
        <v>0</v>
      </c>
      <c r="CV67" s="48">
        <v>0</v>
      </c>
      <c r="CW67" s="48">
        <v>0</v>
      </c>
      <c r="CX67" s="48">
        <v>0</v>
      </c>
      <c r="CY67" s="48">
        <v>0</v>
      </c>
      <c r="CZ67" s="48">
        <v>0</v>
      </c>
      <c r="DA67" s="48">
        <v>-18812.18</v>
      </c>
      <c r="DB67" s="48">
        <v>-7391.67</v>
      </c>
      <c r="DC67" s="48">
        <v>-82928.45</v>
      </c>
      <c r="DD67" s="48">
        <v>-12479.4</v>
      </c>
      <c r="DE67" s="48">
        <f>VLOOKUP($C67,'[2]Analysis 1'!$C$5:$DG$1025,107,FALSE)</f>
        <v>0</v>
      </c>
      <c r="DF67" s="48">
        <f>VLOOKUP($C67,'[2]Analysis 1'!$C$5:$DG$1025,108,FALSE)</f>
        <v>0</v>
      </c>
      <c r="DG67" s="48">
        <f>VLOOKUP($C67,'[2]Analysis 1'!$C$5:$DG$1025,109,FALSE)</f>
        <v>0</v>
      </c>
      <c r="DH67" s="369">
        <f t="shared" si="1"/>
        <v>-121611.69999999998</v>
      </c>
    </row>
    <row r="68" spans="1:112">
      <c r="A68" s="357" t="str">
        <f t="shared" si="0"/>
        <v>4810600</v>
      </c>
      <c r="B68" s="350" t="s">
        <v>1362</v>
      </c>
      <c r="C68" s="335" t="s">
        <v>997</v>
      </c>
      <c r="D68" s="340">
        <v>-2960101.84</v>
      </c>
      <c r="E68" s="340">
        <v>-1006812.2</v>
      </c>
      <c r="F68" s="340">
        <v>-2100955.4300000002</v>
      </c>
      <c r="G68" s="340">
        <v>-3847841.15</v>
      </c>
      <c r="H68" s="340">
        <v>569043.78</v>
      </c>
      <c r="I68" s="340">
        <v>192166.28</v>
      </c>
      <c r="J68" s="340">
        <v>-2488342.86</v>
      </c>
      <c r="K68" s="340">
        <v>-4551295.17</v>
      </c>
      <c r="L68" s="340">
        <v>-2729809.2</v>
      </c>
      <c r="M68" s="340">
        <v>-3286319.65</v>
      </c>
      <c r="N68" s="340">
        <v>-2685982.12</v>
      </c>
      <c r="O68" s="341">
        <v>6884389.1200000001</v>
      </c>
      <c r="P68" s="48">
        <v>-1192954.74</v>
      </c>
      <c r="Q68" s="48">
        <v>-1463246.26</v>
      </c>
      <c r="R68" s="48">
        <v>-880261.24</v>
      </c>
      <c r="S68" s="48">
        <v>-5458941.4199999999</v>
      </c>
      <c r="T68" s="48">
        <v>1210999.5900000001</v>
      </c>
      <c r="U68" s="48">
        <v>-3602090.94</v>
      </c>
      <c r="V68" s="48">
        <v>-1642659.8400000001</v>
      </c>
      <c r="W68" s="48">
        <v>-4710306.9400000004</v>
      </c>
      <c r="X68" s="48">
        <v>-874199.14</v>
      </c>
      <c r="Y68" s="48">
        <v>-2270685.38</v>
      </c>
      <c r="Z68" s="48">
        <v>-5054804.8600000003</v>
      </c>
      <c r="AA68" s="48">
        <v>2526459.5499999998</v>
      </c>
      <c r="AB68" s="48">
        <v>-3143793.38</v>
      </c>
      <c r="AC68" s="48">
        <v>-3303712.4</v>
      </c>
      <c r="AD68" s="48">
        <v>-4147901.99</v>
      </c>
      <c r="AE68" s="48">
        <v>-4952470.47</v>
      </c>
      <c r="AF68" s="48">
        <v>-512821.38</v>
      </c>
      <c r="AG68" s="48">
        <v>-2886229.81</v>
      </c>
      <c r="AH68" s="48">
        <v>-5567031.8799999999</v>
      </c>
      <c r="AI68" s="48">
        <v>-995251.71</v>
      </c>
      <c r="AJ68" s="48">
        <v>-918980.19</v>
      </c>
      <c r="AK68" s="48">
        <v>-1960396.63</v>
      </c>
      <c r="AL68" s="48">
        <v>1692219.78</v>
      </c>
      <c r="AM68" s="48">
        <v>-2336523.15</v>
      </c>
      <c r="AN68" s="48">
        <v>-3136818.11</v>
      </c>
      <c r="AO68" s="48">
        <v>-1806265.82</v>
      </c>
      <c r="AP68" s="48">
        <v>-2524413.23</v>
      </c>
      <c r="AQ68" s="48">
        <v>-4898465.49</v>
      </c>
      <c r="AR68" s="48">
        <v>-4217242.3499999996</v>
      </c>
      <c r="AS68" s="48">
        <v>-2168530.61</v>
      </c>
      <c r="AT68" s="48">
        <v>-5110199.37</v>
      </c>
      <c r="AU68" s="48">
        <v>-9367992.5500000007</v>
      </c>
      <c r="AV68" s="48">
        <v>-7142139.79</v>
      </c>
      <c r="AW68" s="48">
        <v>-2385673.9900000002</v>
      </c>
      <c r="AX68" s="48">
        <v>-1318042.05</v>
      </c>
      <c r="AY68" s="48">
        <v>-4010891.38</v>
      </c>
      <c r="AZ68" s="48">
        <v>-7235523.1100000003</v>
      </c>
      <c r="BA68" s="48">
        <v>-1551145.2</v>
      </c>
      <c r="BB68" s="48">
        <v>-2477322.9700000002</v>
      </c>
      <c r="BC68" s="48">
        <v>-3167035.4</v>
      </c>
      <c r="BD68" s="48">
        <v>-4290901.74</v>
      </c>
      <c r="BE68" s="48">
        <v>-6203315.8899999997</v>
      </c>
      <c r="BF68" s="48">
        <v>-7298364.5899999999</v>
      </c>
      <c r="BG68" s="48">
        <v>-2220540.2200000002</v>
      </c>
      <c r="BH68" s="48">
        <v>-5079355.62</v>
      </c>
      <c r="BI68" s="48">
        <v>-8476893.8699999992</v>
      </c>
      <c r="BJ68" s="48">
        <v>-3994055.83</v>
      </c>
      <c r="BK68" s="48">
        <v>-2892368.16</v>
      </c>
      <c r="BL68" s="48">
        <v>-4718673.55</v>
      </c>
      <c r="BM68" s="48">
        <v>-2365626.79</v>
      </c>
      <c r="BN68" s="48">
        <v>-3742122.22</v>
      </c>
      <c r="BO68" s="48">
        <v>-3628534.08</v>
      </c>
      <c r="BP68" s="48">
        <v>-5516300.9699999997</v>
      </c>
      <c r="BQ68" s="48">
        <v>-1930938.51</v>
      </c>
      <c r="BR68" s="48">
        <v>-1995341.15</v>
      </c>
      <c r="BS68" s="48">
        <v>-2780807.59</v>
      </c>
      <c r="BT68" s="48">
        <v>-5757290.1799999997</v>
      </c>
      <c r="BU68" s="48">
        <v>-3646795.87</v>
      </c>
      <c r="BV68" s="48">
        <v>-1772617.2</v>
      </c>
      <c r="BW68" s="48">
        <v>-1681102.87</v>
      </c>
      <c r="BX68" s="48">
        <v>-3750683.19</v>
      </c>
      <c r="BY68" s="48">
        <v>-2230016.41</v>
      </c>
      <c r="BZ68" s="48">
        <v>-2585747.5099999998</v>
      </c>
      <c r="CA68" s="48">
        <v>-1286578.3400000001</v>
      </c>
      <c r="CB68" s="48">
        <v>-1668.67</v>
      </c>
      <c r="CC68" s="48">
        <v>-1889489.61</v>
      </c>
      <c r="CD68" s="48">
        <v>-1209050.73</v>
      </c>
      <c r="CE68" s="48">
        <v>-73981.100000000006</v>
      </c>
      <c r="CF68" s="48">
        <v>-1903661.84</v>
      </c>
      <c r="CG68" s="48">
        <v>-890394.53</v>
      </c>
      <c r="CH68" s="48">
        <v>-1499788.72</v>
      </c>
      <c r="CI68" s="48">
        <v>-2024936.52</v>
      </c>
      <c r="CJ68" s="48">
        <v>-1384063.25</v>
      </c>
      <c r="CK68" s="48">
        <v>-1699253.1</v>
      </c>
      <c r="CL68" s="48">
        <v>-1373227.09</v>
      </c>
      <c r="CM68" s="48">
        <v>-536911.77</v>
      </c>
      <c r="CN68" s="48">
        <v>-1048843.8</v>
      </c>
      <c r="CO68" s="48">
        <v>-691384.48</v>
      </c>
      <c r="CP68" s="48">
        <v>-2358873.1800000002</v>
      </c>
      <c r="CQ68" s="48">
        <v>-2519350.4700000002</v>
      </c>
      <c r="CR68" s="48">
        <v>-1183878.04</v>
      </c>
      <c r="CS68" s="48">
        <v>-4844834.05</v>
      </c>
      <c r="CT68" s="48">
        <v>3032790.76</v>
      </c>
      <c r="CU68" s="48">
        <v>-27435.7</v>
      </c>
      <c r="CV68" s="48">
        <v>-5199706.53</v>
      </c>
      <c r="CW68" s="48">
        <v>-119414.94</v>
      </c>
      <c r="CX68" s="48">
        <v>-1567222.31</v>
      </c>
      <c r="CY68" s="48">
        <v>-867797.2</v>
      </c>
      <c r="CZ68" s="48">
        <v>-7941351.79</v>
      </c>
      <c r="DA68" s="48">
        <v>-6527326.2800000003</v>
      </c>
      <c r="DB68" s="48">
        <v>-7689383.4500000002</v>
      </c>
      <c r="DC68" s="48">
        <v>-2609000.9300000002</v>
      </c>
      <c r="DD68" s="48">
        <v>-153713.79</v>
      </c>
      <c r="DE68" s="48">
        <f>VLOOKUP($C68,'[2]Analysis 1'!$C$5:$DG$1025,107,FALSE)</f>
        <v>1690628.4</v>
      </c>
      <c r="DF68" s="48">
        <f>VLOOKUP($C68,'[2]Analysis 1'!$C$5:$DG$1025,108,FALSE)</f>
        <v>-194558.45</v>
      </c>
      <c r="DG68" s="48">
        <f>VLOOKUP($C68,'[2]Analysis 1'!$C$5:$DG$1025,109,FALSE)</f>
        <v>-2021779.48</v>
      </c>
      <c r="DH68" s="369">
        <f t="shared" si="1"/>
        <v>-33200626.75</v>
      </c>
    </row>
    <row r="69" spans="1:112">
      <c r="A69" s="357" t="str">
        <f t="shared" si="0"/>
        <v>4810601</v>
      </c>
      <c r="B69" s="350" t="s">
        <v>1363</v>
      </c>
      <c r="C69" s="335" t="s">
        <v>998</v>
      </c>
      <c r="D69" s="367">
        <v>0</v>
      </c>
      <c r="E69" s="367">
        <v>-1100618.1100000001</v>
      </c>
      <c r="F69" s="367">
        <v>0</v>
      </c>
      <c r="G69" s="367">
        <v>-42589.16</v>
      </c>
      <c r="H69" s="367">
        <v>-1370351.33</v>
      </c>
      <c r="I69" s="367">
        <v>0</v>
      </c>
      <c r="J69" s="367">
        <v>-246032.92</v>
      </c>
      <c r="K69" s="367">
        <v>0</v>
      </c>
      <c r="L69" s="367">
        <v>0</v>
      </c>
      <c r="M69" s="367">
        <v>0</v>
      </c>
      <c r="N69" s="367">
        <v>0</v>
      </c>
      <c r="O69" s="368">
        <v>-8786642.0899999999</v>
      </c>
      <c r="P69" s="48">
        <v>-919239.31</v>
      </c>
      <c r="Q69" s="48">
        <v>-1242955.5900000001</v>
      </c>
      <c r="R69" s="48">
        <v>-943938.54</v>
      </c>
      <c r="S69" s="48">
        <v>-18503.650000000001</v>
      </c>
      <c r="T69" s="48">
        <v>-4417517.07</v>
      </c>
      <c r="U69" s="48">
        <v>-1109691.9099999999</v>
      </c>
      <c r="V69" s="48">
        <v>-1456089.48</v>
      </c>
      <c r="W69" s="48">
        <v>-1069964.6200000001</v>
      </c>
      <c r="X69" s="48">
        <v>-3357849.47</v>
      </c>
      <c r="Y69" s="48">
        <v>-2267449.5299999998</v>
      </c>
      <c r="Z69" s="48">
        <v>-2084395.7</v>
      </c>
      <c r="AA69" s="48">
        <v>-4507608.57</v>
      </c>
      <c r="AB69" s="48">
        <v>-628417.53</v>
      </c>
      <c r="AC69" s="48">
        <v>-475110.38</v>
      </c>
      <c r="AD69" s="48">
        <v>-580176.25</v>
      </c>
      <c r="AE69" s="48">
        <v>-1797717.79</v>
      </c>
      <c r="AF69" s="48">
        <v>-4033798.23</v>
      </c>
      <c r="AG69" s="48">
        <v>-3318090.06</v>
      </c>
      <c r="AH69" s="48">
        <v>-4605756.21</v>
      </c>
      <c r="AI69" s="48">
        <v>-7897457.46</v>
      </c>
      <c r="AJ69" s="48">
        <v>-6539169.9699999997</v>
      </c>
      <c r="AK69" s="48">
        <v>-5803758.0999999996</v>
      </c>
      <c r="AL69" s="48">
        <v>-4304687.46</v>
      </c>
      <c r="AM69" s="48">
        <v>-623602.86</v>
      </c>
      <c r="AN69" s="48">
        <v>-624123.12</v>
      </c>
      <c r="AO69" s="48">
        <v>-907239.75</v>
      </c>
      <c r="AP69" s="48">
        <v>-525942.62</v>
      </c>
      <c r="AQ69" s="48">
        <v>-519468.45</v>
      </c>
      <c r="AR69" s="48">
        <v>-2023226.36</v>
      </c>
      <c r="AS69" s="48">
        <v>-2387836.81</v>
      </c>
      <c r="AT69" s="48">
        <v>-1745048.69</v>
      </c>
      <c r="AU69" s="48">
        <v>-2487358.96</v>
      </c>
      <c r="AV69" s="48">
        <v>-2025158.98</v>
      </c>
      <c r="AW69" s="48">
        <v>-2078420.95</v>
      </c>
      <c r="AX69" s="48">
        <v>-1536882.3</v>
      </c>
      <c r="AY69" s="48">
        <v>-1492422.08</v>
      </c>
      <c r="AZ69" s="48">
        <v>-884711.27</v>
      </c>
      <c r="BA69" s="48">
        <v>-2245333.0499999998</v>
      </c>
      <c r="BB69" s="48">
        <v>0</v>
      </c>
      <c r="BC69" s="48">
        <v>-112321.46</v>
      </c>
      <c r="BD69" s="48">
        <v>-448281.99</v>
      </c>
      <c r="BE69" s="48">
        <v>-1603135.15</v>
      </c>
      <c r="BF69" s="48">
        <v>-2160233.2999999998</v>
      </c>
      <c r="BG69" s="48">
        <v>-4608732.4000000004</v>
      </c>
      <c r="BH69" s="48">
        <v>-3041675.1</v>
      </c>
      <c r="BI69" s="48">
        <v>-2035339.21</v>
      </c>
      <c r="BJ69" s="48">
        <v>-2743306.74</v>
      </c>
      <c r="BK69" s="48">
        <v>-983535.89</v>
      </c>
      <c r="BL69" s="48">
        <v>-476081.36</v>
      </c>
      <c r="BM69" s="48">
        <v>-584373.06000000006</v>
      </c>
      <c r="BN69" s="48">
        <v>0</v>
      </c>
      <c r="BO69" s="48">
        <v>-226101.28</v>
      </c>
      <c r="BP69" s="48">
        <v>-965912.7</v>
      </c>
      <c r="BQ69" s="48">
        <v>-2020746.46</v>
      </c>
      <c r="BR69" s="48">
        <v>-1603333.36</v>
      </c>
      <c r="BS69" s="48">
        <v>-1062501.24</v>
      </c>
      <c r="BT69" s="48">
        <v>-1231996.04</v>
      </c>
      <c r="BU69" s="48">
        <v>-2429141.4500000002</v>
      </c>
      <c r="BV69" s="48">
        <v>-1936601.4</v>
      </c>
      <c r="BW69" s="48">
        <v>-1417597.66</v>
      </c>
      <c r="BX69" s="48">
        <v>-199010.44</v>
      </c>
      <c r="BY69" s="48">
        <v>-193144.94</v>
      </c>
      <c r="BZ69" s="48">
        <v>-318370.65999999997</v>
      </c>
      <c r="CA69" s="48">
        <v>-767481.33</v>
      </c>
      <c r="CB69" s="48">
        <v>-1019898</v>
      </c>
      <c r="CC69" s="48">
        <v>-885211.04</v>
      </c>
      <c r="CD69" s="48">
        <v>-1444712.59</v>
      </c>
      <c r="CE69" s="48">
        <v>-1607795.18</v>
      </c>
      <c r="CF69" s="48">
        <v>-161435.69</v>
      </c>
      <c r="CG69" s="48">
        <v>-554884.9</v>
      </c>
      <c r="CH69" s="48">
        <v>-174565.93</v>
      </c>
      <c r="CI69" s="48">
        <v>-0.43</v>
      </c>
      <c r="CJ69" s="48">
        <v>-257332.47</v>
      </c>
      <c r="CK69" s="48">
        <v>-194793.88</v>
      </c>
      <c r="CL69" s="48">
        <v>-339288.73</v>
      </c>
      <c r="CM69" s="48">
        <v>-13170</v>
      </c>
      <c r="CN69" s="48">
        <v>-406157.37</v>
      </c>
      <c r="CO69" s="48">
        <v>-966677.15</v>
      </c>
      <c r="CP69" s="48">
        <v>-164416.32999999999</v>
      </c>
      <c r="CQ69" s="48">
        <v>0</v>
      </c>
      <c r="CR69" s="48">
        <v>-179135.51</v>
      </c>
      <c r="CS69" s="48">
        <v>-218918.45</v>
      </c>
      <c r="CT69" s="48">
        <v>-3449897.36</v>
      </c>
      <c r="CU69" s="48">
        <v>-202767</v>
      </c>
      <c r="CV69" s="48">
        <v>0</v>
      </c>
      <c r="CW69" s="48">
        <v>-2937389.71</v>
      </c>
      <c r="CX69" s="48">
        <v>-2717783.86</v>
      </c>
      <c r="CY69" s="48">
        <v>-3193265.89</v>
      </c>
      <c r="CZ69" s="48">
        <v>-3910769.5</v>
      </c>
      <c r="DA69" s="48">
        <v>-7333681.1200000001</v>
      </c>
      <c r="DB69" s="48">
        <v>-7143329.8600000003</v>
      </c>
      <c r="DC69" s="48">
        <v>-10400496.460000001</v>
      </c>
      <c r="DD69" s="48">
        <v>-8359855.2599999998</v>
      </c>
      <c r="DE69" s="48">
        <f>VLOOKUP($C69,'[2]Analysis 1'!$C$5:$DG$1025,107,FALSE)</f>
        <v>-5463363.6399999997</v>
      </c>
      <c r="DF69" s="48">
        <f>VLOOKUP($C69,'[2]Analysis 1'!$C$5:$DG$1025,108,FALSE)</f>
        <v>-3445277.75</v>
      </c>
      <c r="DG69" s="48">
        <f>VLOOKUP($C69,'[2]Analysis 1'!$C$5:$DG$1025,109,FALSE)</f>
        <v>-3303314.79</v>
      </c>
      <c r="DH69" s="369">
        <f t="shared" si="1"/>
        <v>-58208527.840000004</v>
      </c>
    </row>
    <row r="70" spans="1:112">
      <c r="A70" s="357" t="str">
        <f t="shared" si="0"/>
        <v>4810602</v>
      </c>
      <c r="B70" s="350" t="s">
        <v>1364</v>
      </c>
      <c r="C70" s="335" t="s">
        <v>999</v>
      </c>
      <c r="D70" s="367">
        <v>0</v>
      </c>
      <c r="E70" s="367">
        <v>-34438.94</v>
      </c>
      <c r="F70" s="367">
        <v>0</v>
      </c>
      <c r="G70" s="367">
        <v>0</v>
      </c>
      <c r="H70" s="367">
        <v>-10255.25</v>
      </c>
      <c r="I70" s="367">
        <v>-629850</v>
      </c>
      <c r="J70" s="367">
        <v>0</v>
      </c>
      <c r="K70" s="367">
        <v>-154572.67000000001</v>
      </c>
      <c r="L70" s="367">
        <v>-12759.64</v>
      </c>
      <c r="M70" s="367">
        <v>0</v>
      </c>
      <c r="N70" s="367">
        <v>-319290.15999999997</v>
      </c>
      <c r="O70" s="368">
        <v>-269035.38</v>
      </c>
      <c r="P70" s="48">
        <v>-331941.21999999997</v>
      </c>
      <c r="Q70" s="48">
        <v>-341092.52</v>
      </c>
      <c r="R70" s="48">
        <v>-245638.21</v>
      </c>
      <c r="S70" s="48">
        <v>-90214.84</v>
      </c>
      <c r="T70" s="48">
        <v>0</v>
      </c>
      <c r="U70" s="48">
        <v>-22376.38</v>
      </c>
      <c r="V70" s="48">
        <v>0</v>
      </c>
      <c r="W70" s="48">
        <v>0</v>
      </c>
      <c r="X70" s="48">
        <v>0</v>
      </c>
      <c r="Y70" s="48">
        <v>0</v>
      </c>
      <c r="Z70" s="48">
        <v>0</v>
      </c>
      <c r="AA70" s="48">
        <v>0</v>
      </c>
      <c r="AB70" s="48">
        <v>0</v>
      </c>
      <c r="AC70" s="48">
        <v>0</v>
      </c>
      <c r="AD70" s="48">
        <v>0</v>
      </c>
      <c r="AE70" s="48">
        <v>0</v>
      </c>
      <c r="AF70" s="48">
        <v>0</v>
      </c>
      <c r="AG70" s="48">
        <v>0</v>
      </c>
      <c r="AH70" s="48">
        <v>0</v>
      </c>
      <c r="AI70" s="48">
        <v>0</v>
      </c>
      <c r="AJ70" s="48">
        <v>0</v>
      </c>
      <c r="AK70" s="48">
        <v>0</v>
      </c>
      <c r="AL70" s="48">
        <v>0</v>
      </c>
      <c r="AM70" s="48">
        <v>0</v>
      </c>
      <c r="AN70" s="48">
        <v>0</v>
      </c>
      <c r="AO70" s="48">
        <v>0</v>
      </c>
      <c r="AP70" s="48">
        <v>0</v>
      </c>
      <c r="AQ70" s="48">
        <v>-45700.52</v>
      </c>
      <c r="AR70" s="48">
        <v>0</v>
      </c>
      <c r="AS70" s="48">
        <v>0</v>
      </c>
      <c r="AT70" s="48">
        <v>0</v>
      </c>
      <c r="AU70" s="48">
        <v>0</v>
      </c>
      <c r="AV70" s="48">
        <v>0</v>
      </c>
      <c r="AW70" s="48">
        <v>0</v>
      </c>
      <c r="AX70" s="48">
        <v>0</v>
      </c>
      <c r="AY70" s="48">
        <v>0</v>
      </c>
      <c r="AZ70" s="48">
        <v>0</v>
      </c>
      <c r="BA70" s="48">
        <v>-54521.53</v>
      </c>
      <c r="BB70" s="48">
        <v>0</v>
      </c>
      <c r="BC70" s="48">
        <v>0</v>
      </c>
      <c r="BD70" s="48">
        <v>0</v>
      </c>
      <c r="BE70" s="48">
        <v>0</v>
      </c>
      <c r="BF70" s="48">
        <v>0</v>
      </c>
      <c r="BG70" s="48">
        <v>0</v>
      </c>
      <c r="BH70" s="48">
        <v>0</v>
      </c>
      <c r="BI70" s="48">
        <v>-15077.56</v>
      </c>
      <c r="BJ70" s="48">
        <v>0</v>
      </c>
      <c r="BK70" s="48">
        <v>-96.52</v>
      </c>
      <c r="BL70" s="48">
        <v>0</v>
      </c>
      <c r="BM70" s="48">
        <v>0</v>
      </c>
      <c r="BN70" s="48">
        <v>0</v>
      </c>
      <c r="BO70" s="48">
        <v>0</v>
      </c>
      <c r="BP70" s="48">
        <v>0</v>
      </c>
      <c r="BQ70" s="48">
        <v>0</v>
      </c>
      <c r="BR70" s="48">
        <v>0</v>
      </c>
      <c r="BS70" s="48">
        <v>0</v>
      </c>
      <c r="BT70" s="48">
        <v>0</v>
      </c>
      <c r="BU70" s="48">
        <v>0</v>
      </c>
      <c r="BV70" s="48">
        <v>0</v>
      </c>
      <c r="BW70" s="48">
        <v>0</v>
      </c>
      <c r="BX70" s="48">
        <v>0</v>
      </c>
      <c r="BY70" s="48">
        <v>0</v>
      </c>
      <c r="BZ70" s="48">
        <v>0</v>
      </c>
      <c r="CA70" s="48">
        <v>0</v>
      </c>
      <c r="CB70" s="48">
        <v>0</v>
      </c>
      <c r="CC70" s="48">
        <v>0</v>
      </c>
      <c r="CD70" s="48">
        <v>0</v>
      </c>
      <c r="CE70" s="48">
        <v>0</v>
      </c>
      <c r="CF70" s="48">
        <v>0</v>
      </c>
      <c r="CG70" s="48">
        <v>0</v>
      </c>
      <c r="CH70" s="48">
        <v>0</v>
      </c>
      <c r="CI70" s="48">
        <v>0</v>
      </c>
      <c r="CJ70" s="48">
        <v>0</v>
      </c>
      <c r="CK70" s="48">
        <v>0</v>
      </c>
      <c r="CL70" s="48">
        <v>0</v>
      </c>
      <c r="CM70" s="48">
        <v>0</v>
      </c>
      <c r="CN70" s="48">
        <v>0</v>
      </c>
      <c r="CO70" s="48">
        <v>0</v>
      </c>
      <c r="CP70" s="48">
        <v>0</v>
      </c>
      <c r="CQ70" s="48">
        <v>0</v>
      </c>
      <c r="CR70" s="48">
        <v>0</v>
      </c>
      <c r="CS70" s="48">
        <v>0</v>
      </c>
      <c r="CT70" s="48">
        <v>0</v>
      </c>
      <c r="CU70" s="48">
        <v>0</v>
      </c>
      <c r="CV70" s="48">
        <v>-47640.14</v>
      </c>
      <c r="CW70" s="48">
        <v>-930643.9</v>
      </c>
      <c r="CX70" s="48">
        <v>-659351</v>
      </c>
      <c r="CY70" s="48">
        <v>0</v>
      </c>
      <c r="CZ70" s="48">
        <v>0</v>
      </c>
      <c r="DA70" s="48">
        <v>0</v>
      </c>
      <c r="DB70" s="48">
        <v>0</v>
      </c>
      <c r="DC70" s="48">
        <v>0</v>
      </c>
      <c r="DD70" s="48">
        <v>0</v>
      </c>
      <c r="DE70" s="48">
        <f>VLOOKUP($C70,'[2]Analysis 1'!$C$5:$DG$1025,107,FALSE)</f>
        <v>0</v>
      </c>
      <c r="DF70" s="48">
        <f>VLOOKUP($C70,'[2]Analysis 1'!$C$5:$DG$1025,108,FALSE)</f>
        <v>0</v>
      </c>
      <c r="DG70" s="48">
        <f>VLOOKUP($C70,'[2]Analysis 1'!$C$5:$DG$1025,109,FALSE)</f>
        <v>0</v>
      </c>
      <c r="DH70" s="369">
        <f t="shared" ref="DH70:DH133" si="2">SUM(CV70:DG70)</f>
        <v>-1637635.04</v>
      </c>
    </row>
    <row r="71" spans="1:112">
      <c r="A71" s="357" t="str">
        <f t="shared" si="0"/>
        <v>4810610</v>
      </c>
      <c r="B71" s="350" t="s">
        <v>1365</v>
      </c>
      <c r="C71" s="335" t="s">
        <v>1000</v>
      </c>
      <c r="D71" s="340">
        <v>-79762.490000000005</v>
      </c>
      <c r="E71" s="340">
        <v>-22325.69</v>
      </c>
      <c r="F71" s="340">
        <v>-33190.81</v>
      </c>
      <c r="G71" s="340">
        <v>-35887.61</v>
      </c>
      <c r="H71" s="340">
        <v>21720.17</v>
      </c>
      <c r="I71" s="340">
        <v>-341.14</v>
      </c>
      <c r="J71" s="340">
        <v>-40951.94</v>
      </c>
      <c r="K71" s="340">
        <v>-83223.02</v>
      </c>
      <c r="L71" s="340">
        <v>-28235.919999999998</v>
      </c>
      <c r="M71" s="340">
        <v>-31409.53</v>
      </c>
      <c r="N71" s="340">
        <v>-29777.79</v>
      </c>
      <c r="O71" s="341">
        <v>75488.53</v>
      </c>
      <c r="P71" s="48">
        <v>-36665.870000000003</v>
      </c>
      <c r="Q71" s="48">
        <v>-66069.69</v>
      </c>
      <c r="R71" s="48">
        <v>9336.91</v>
      </c>
      <c r="S71" s="48">
        <v>-192674.69</v>
      </c>
      <c r="T71" s="48">
        <v>88452.15</v>
      </c>
      <c r="U71" s="48">
        <v>-192179.07</v>
      </c>
      <c r="V71" s="48">
        <v>-34270.629999999997</v>
      </c>
      <c r="W71" s="48">
        <v>-156225.5</v>
      </c>
      <c r="X71" s="48">
        <v>-58836.56</v>
      </c>
      <c r="Y71" s="48">
        <v>-41409.24</v>
      </c>
      <c r="Z71" s="48">
        <v>-268875.36</v>
      </c>
      <c r="AA71" s="48">
        <v>150686.18</v>
      </c>
      <c r="AB71" s="48">
        <v>-96563.13</v>
      </c>
      <c r="AC71" s="48">
        <v>-118517.79</v>
      </c>
      <c r="AD71" s="48">
        <v>-161934.60999999999</v>
      </c>
      <c r="AE71" s="48">
        <v>-191345.68</v>
      </c>
      <c r="AF71" s="48">
        <v>-83402.399999999994</v>
      </c>
      <c r="AG71" s="48">
        <v>-158601.09</v>
      </c>
      <c r="AH71" s="48">
        <v>-240429.32</v>
      </c>
      <c r="AI71" s="48">
        <v>-17627.48</v>
      </c>
      <c r="AJ71" s="48">
        <v>50339.05</v>
      </c>
      <c r="AK71" s="48">
        <v>-57307.79</v>
      </c>
      <c r="AL71" s="48">
        <v>37409.129999999997</v>
      </c>
      <c r="AM71" s="48">
        <v>-61994.11</v>
      </c>
      <c r="AN71" s="48">
        <v>-106230.12</v>
      </c>
      <c r="AO71" s="48">
        <v>-81512</v>
      </c>
      <c r="AP71" s="48">
        <v>-87399.12</v>
      </c>
      <c r="AQ71" s="48">
        <v>-106188.93</v>
      </c>
      <c r="AR71" s="48">
        <v>-145275.15</v>
      </c>
      <c r="AS71" s="48">
        <v>-74552.929999999993</v>
      </c>
      <c r="AT71" s="48">
        <v>-134915.99</v>
      </c>
      <c r="AU71" s="48">
        <v>-228125.6</v>
      </c>
      <c r="AV71" s="48">
        <v>-165703.92000000001</v>
      </c>
      <c r="AW71" s="48">
        <v>-106773.92</v>
      </c>
      <c r="AX71" s="48">
        <v>-19630.61</v>
      </c>
      <c r="AY71" s="48">
        <v>-132013.9</v>
      </c>
      <c r="AZ71" s="48">
        <v>-443321.58</v>
      </c>
      <c r="BA71" s="48">
        <v>13367.43</v>
      </c>
      <c r="BB71" s="48">
        <v>-74617.91</v>
      </c>
      <c r="BC71" s="48">
        <v>-75802.91</v>
      </c>
      <c r="BD71" s="48">
        <v>-120529.23</v>
      </c>
      <c r="BE71" s="48">
        <v>-165561.26999999999</v>
      </c>
      <c r="BF71" s="48">
        <v>-205041.79</v>
      </c>
      <c r="BG71" s="48">
        <v>-96156.67</v>
      </c>
      <c r="BH71" s="48">
        <v>-206455.6</v>
      </c>
      <c r="BI71" s="48">
        <v>-236894.72</v>
      </c>
      <c r="BJ71" s="48">
        <v>17124.71</v>
      </c>
      <c r="BK71" s="48">
        <v>-51906.39</v>
      </c>
      <c r="BL71" s="48">
        <v>-79679.06</v>
      </c>
      <c r="BM71" s="48">
        <v>-50769.53</v>
      </c>
      <c r="BN71" s="48">
        <v>-75137.490000000005</v>
      </c>
      <c r="BO71" s="48">
        <v>-71912.490000000005</v>
      </c>
      <c r="BP71" s="48">
        <v>-173857.47</v>
      </c>
      <c r="BQ71" s="48">
        <v>-74509.66</v>
      </c>
      <c r="BR71" s="48">
        <v>-58902.2</v>
      </c>
      <c r="BS71" s="48">
        <v>-50547.24</v>
      </c>
      <c r="BT71" s="48">
        <v>-137057.75</v>
      </c>
      <c r="BU71" s="48">
        <v>-97155.08</v>
      </c>
      <c r="BV71" s="48">
        <v>-36407.19</v>
      </c>
      <c r="BW71" s="48">
        <v>-89735.98</v>
      </c>
      <c r="BX71" s="48">
        <v>-87654.94</v>
      </c>
      <c r="BY71" s="48">
        <v>-80933.53</v>
      </c>
      <c r="BZ71" s="48">
        <v>-62951.839999999997</v>
      </c>
      <c r="CA71" s="48">
        <v>-46665.9</v>
      </c>
      <c r="CB71" s="48">
        <v>-56972.17</v>
      </c>
      <c r="CC71" s="48">
        <v>-102829.58</v>
      </c>
      <c r="CD71" s="48">
        <v>-40303.68</v>
      </c>
      <c r="CE71" s="48">
        <v>-42611.82</v>
      </c>
      <c r="CF71" s="48">
        <v>-97756.77</v>
      </c>
      <c r="CG71" s="48">
        <v>-69689.81</v>
      </c>
      <c r="CH71" s="48">
        <v>-105608.9</v>
      </c>
      <c r="CI71" s="48">
        <v>-119559.55</v>
      </c>
      <c r="CJ71" s="48">
        <v>-84356.3</v>
      </c>
      <c r="CK71" s="48">
        <v>-121443.33</v>
      </c>
      <c r="CL71" s="48">
        <v>-97206.86</v>
      </c>
      <c r="CM71" s="48">
        <v>-60487.39</v>
      </c>
      <c r="CN71" s="48">
        <v>-68703.47</v>
      </c>
      <c r="CO71" s="48">
        <v>-62842.81</v>
      </c>
      <c r="CP71" s="48">
        <v>-82875.039999999994</v>
      </c>
      <c r="CQ71" s="48">
        <v>-89557.81</v>
      </c>
      <c r="CR71" s="48">
        <v>-79649.570000000007</v>
      </c>
      <c r="CS71" s="48">
        <v>-121428.09</v>
      </c>
      <c r="CT71" s="48">
        <v>-48627.46</v>
      </c>
      <c r="CU71" s="48">
        <v>-59742.71</v>
      </c>
      <c r="CV71" s="48">
        <v>-299104.86</v>
      </c>
      <c r="CW71" s="48">
        <v>-67929.41</v>
      </c>
      <c r="CX71" s="48">
        <v>-155727.35</v>
      </c>
      <c r="CY71" s="48">
        <v>-41827.64</v>
      </c>
      <c r="CZ71" s="48">
        <v>-133846.75</v>
      </c>
      <c r="DA71" s="48">
        <v>-294726.48</v>
      </c>
      <c r="DB71" s="48">
        <v>-275521.49</v>
      </c>
      <c r="DC71" s="48">
        <v>-1244598.98</v>
      </c>
      <c r="DD71" s="48">
        <v>217346.63</v>
      </c>
      <c r="DE71" s="48">
        <f>VLOOKUP($C71,'[2]Analysis 1'!$C$5:$DG$1025,107,FALSE)</f>
        <v>-29030.09</v>
      </c>
      <c r="DF71" s="48">
        <f>VLOOKUP($C71,'[2]Analysis 1'!$C$5:$DG$1025,108,FALSE)</f>
        <v>-99960.04</v>
      </c>
      <c r="DG71" s="48">
        <f>VLOOKUP($C71,'[2]Analysis 1'!$C$5:$DG$1025,109,FALSE)</f>
        <v>-241894.89</v>
      </c>
      <c r="DH71" s="369">
        <f t="shared" si="2"/>
        <v>-2666821.35</v>
      </c>
    </row>
    <row r="72" spans="1:112">
      <c r="A72" s="357" t="str">
        <f t="shared" si="0"/>
        <v>4810611</v>
      </c>
      <c r="B72" s="350" t="s">
        <v>1366</v>
      </c>
      <c r="C72" s="335" t="s">
        <v>1001</v>
      </c>
      <c r="D72" s="367">
        <v>0</v>
      </c>
      <c r="E72" s="367">
        <v>-25481.89</v>
      </c>
      <c r="F72" s="367">
        <v>0</v>
      </c>
      <c r="G72" s="367">
        <v>-387.08</v>
      </c>
      <c r="H72" s="367">
        <v>-23375.17</v>
      </c>
      <c r="I72" s="367">
        <v>0</v>
      </c>
      <c r="J72" s="367">
        <v>-979.58</v>
      </c>
      <c r="K72" s="367">
        <v>0</v>
      </c>
      <c r="L72" s="367">
        <v>0</v>
      </c>
      <c r="M72" s="367">
        <v>0</v>
      </c>
      <c r="N72" s="367">
        <v>0</v>
      </c>
      <c r="O72" s="368">
        <v>-93253.77</v>
      </c>
      <c r="P72" s="48">
        <v>-53670.74</v>
      </c>
      <c r="Q72" s="48">
        <v>-32452.89</v>
      </c>
      <c r="R72" s="48">
        <v>-46636.27</v>
      </c>
      <c r="S72" s="48">
        <v>-288.35000000000002</v>
      </c>
      <c r="T72" s="48">
        <v>-169372.38</v>
      </c>
      <c r="U72" s="48">
        <v>-23660.98</v>
      </c>
      <c r="V72" s="48">
        <v>-40020.53</v>
      </c>
      <c r="W72" s="48">
        <v>-13450.21</v>
      </c>
      <c r="X72" s="48">
        <v>-97678.48</v>
      </c>
      <c r="Y72" s="48">
        <v>-83068.320000000007</v>
      </c>
      <c r="Z72" s="48">
        <v>-67487.42</v>
      </c>
      <c r="AA72" s="48">
        <v>-154896.95999999999</v>
      </c>
      <c r="AB72" s="48">
        <v>-11399</v>
      </c>
      <c r="AC72" s="48">
        <v>-8838.27</v>
      </c>
      <c r="AD72" s="48">
        <v>-14957.36</v>
      </c>
      <c r="AE72" s="48">
        <v>-62125.93</v>
      </c>
      <c r="AF72" s="48">
        <v>-137469.35</v>
      </c>
      <c r="AG72" s="48">
        <v>-154242.60999999999</v>
      </c>
      <c r="AH72" s="48">
        <v>-218013.41</v>
      </c>
      <c r="AI72" s="48">
        <v>-361209.47</v>
      </c>
      <c r="AJ72" s="48">
        <v>-256102.94</v>
      </c>
      <c r="AK72" s="48">
        <v>-169100.02</v>
      </c>
      <c r="AL72" s="48">
        <v>-126300.92</v>
      </c>
      <c r="AM72" s="48">
        <v>-16687.14</v>
      </c>
      <c r="AN72" s="48">
        <v>-13436.88</v>
      </c>
      <c r="AO72" s="48">
        <v>-19494.55</v>
      </c>
      <c r="AP72" s="48">
        <v>-14597.38</v>
      </c>
      <c r="AQ72" s="48">
        <v>-18383.55</v>
      </c>
      <c r="AR72" s="48">
        <v>-30220.97</v>
      </c>
      <c r="AS72" s="48">
        <v>-60618.7</v>
      </c>
      <c r="AT72" s="48">
        <v>-47376.23</v>
      </c>
      <c r="AU72" s="48">
        <v>-58032.07</v>
      </c>
      <c r="AV72" s="48">
        <v>-37632.93</v>
      </c>
      <c r="AW72" s="48">
        <v>-36464.699999999997</v>
      </c>
      <c r="AX72" s="48">
        <v>-49050.44</v>
      </c>
      <c r="AY72" s="48">
        <v>-20827.919999999998</v>
      </c>
      <c r="AZ72" s="48">
        <v>-23238.73</v>
      </c>
      <c r="BA72" s="48">
        <v>-118246.12</v>
      </c>
      <c r="BB72" s="48">
        <v>0</v>
      </c>
      <c r="BC72" s="48">
        <v>-1778.54</v>
      </c>
      <c r="BD72" s="48">
        <v>-4159.55</v>
      </c>
      <c r="BE72" s="48">
        <v>-17005.259999999998</v>
      </c>
      <c r="BF72" s="48">
        <v>-37272.03</v>
      </c>
      <c r="BG72" s="48">
        <v>-84479.41</v>
      </c>
      <c r="BH72" s="48">
        <v>-60345.71</v>
      </c>
      <c r="BI72" s="48">
        <v>-63467.4</v>
      </c>
      <c r="BJ72" s="48">
        <v>-93810.62</v>
      </c>
      <c r="BK72" s="48">
        <v>-7563.86</v>
      </c>
      <c r="BL72" s="48">
        <v>-6076.39</v>
      </c>
      <c r="BM72" s="48">
        <v>-8999.1299999999992</v>
      </c>
      <c r="BN72" s="48">
        <v>0</v>
      </c>
      <c r="BO72" s="48">
        <v>-2822.23</v>
      </c>
      <c r="BP72" s="48">
        <v>-12301.22</v>
      </c>
      <c r="BQ72" s="48">
        <v>-59896.22</v>
      </c>
      <c r="BR72" s="48">
        <v>-51816.09</v>
      </c>
      <c r="BS72" s="48">
        <v>-28979.48</v>
      </c>
      <c r="BT72" s="48">
        <v>-21806.14</v>
      </c>
      <c r="BU72" s="48">
        <v>-61399.78</v>
      </c>
      <c r="BV72" s="48">
        <v>-44642.22</v>
      </c>
      <c r="BW72" s="48">
        <v>-18303.63</v>
      </c>
      <c r="BX72" s="48">
        <v>-2243.56</v>
      </c>
      <c r="BY72" s="48">
        <v>-3322.44</v>
      </c>
      <c r="BZ72" s="48">
        <v>-2935.72</v>
      </c>
      <c r="CA72" s="48">
        <v>-4232.8999999999996</v>
      </c>
      <c r="CB72" s="48">
        <v>-9360.67</v>
      </c>
      <c r="CC72" s="48">
        <v>-6938.97</v>
      </c>
      <c r="CD72" s="48">
        <v>-45157.63</v>
      </c>
      <c r="CE72" s="48">
        <v>-42181.56</v>
      </c>
      <c r="CF72" s="48">
        <v>-3060.04</v>
      </c>
      <c r="CG72" s="48">
        <v>-6091.77</v>
      </c>
      <c r="CH72" s="48">
        <v>-1169.28</v>
      </c>
      <c r="CI72" s="48">
        <v>0.43</v>
      </c>
      <c r="CJ72" s="48">
        <v>-1753.17</v>
      </c>
      <c r="CK72" s="48">
        <v>-4676.12</v>
      </c>
      <c r="CL72" s="48">
        <v>-2966.67</v>
      </c>
      <c r="CM72" s="48">
        <v>-130</v>
      </c>
      <c r="CN72" s="48">
        <v>-3126.98</v>
      </c>
      <c r="CO72" s="48">
        <v>-7778.58</v>
      </c>
      <c r="CP72" s="48">
        <v>-2083.67</v>
      </c>
      <c r="CQ72" s="48">
        <v>0</v>
      </c>
      <c r="CR72" s="48">
        <v>-944.76</v>
      </c>
      <c r="CS72" s="48">
        <v>-456.55</v>
      </c>
      <c r="CT72" s="48">
        <v>-18830.61</v>
      </c>
      <c r="CU72" s="48">
        <v>-1043</v>
      </c>
      <c r="CV72" s="48">
        <v>0</v>
      </c>
      <c r="CW72" s="48">
        <v>-91577.9</v>
      </c>
      <c r="CX72" s="48">
        <v>-68481.67</v>
      </c>
      <c r="CY72" s="48">
        <v>-132857.91</v>
      </c>
      <c r="CZ72" s="48">
        <v>-84947.33</v>
      </c>
      <c r="DA72" s="48">
        <v>-100655.63</v>
      </c>
      <c r="DB72" s="48">
        <v>-137891.53</v>
      </c>
      <c r="DC72" s="48">
        <v>-223728.46</v>
      </c>
      <c r="DD72" s="48">
        <v>-570688.39</v>
      </c>
      <c r="DE72" s="48">
        <f>VLOOKUP($C72,'[2]Analysis 1'!$C$5:$DG$1025,107,FALSE)</f>
        <v>-145749.63</v>
      </c>
      <c r="DF72" s="48">
        <f>VLOOKUP($C72,'[2]Analysis 1'!$C$5:$DG$1025,108,FALSE)</f>
        <v>-81025.919999999998</v>
      </c>
      <c r="DG72" s="48">
        <f>VLOOKUP($C72,'[2]Analysis 1'!$C$5:$DG$1025,109,FALSE)</f>
        <v>-88727.3</v>
      </c>
      <c r="DH72" s="369">
        <f t="shared" si="2"/>
        <v>-1726331.6699999997</v>
      </c>
    </row>
    <row r="73" spans="1:112">
      <c r="A73" s="357" t="str">
        <f t="shared" si="0"/>
        <v>4810612</v>
      </c>
      <c r="B73" s="350" t="s">
        <v>1367</v>
      </c>
      <c r="C73" s="335" t="s">
        <v>1002</v>
      </c>
      <c r="D73" s="340">
        <v>0</v>
      </c>
      <c r="E73" s="340">
        <v>-1214.31</v>
      </c>
      <c r="F73" s="340">
        <v>0</v>
      </c>
      <c r="G73" s="340">
        <v>0</v>
      </c>
      <c r="H73" s="340">
        <v>-4.75</v>
      </c>
      <c r="I73" s="340">
        <v>-1300</v>
      </c>
      <c r="J73" s="340">
        <v>0</v>
      </c>
      <c r="K73" s="340">
        <v>-53.33</v>
      </c>
      <c r="L73" s="340">
        <v>-12.36</v>
      </c>
      <c r="M73" s="340">
        <v>0</v>
      </c>
      <c r="N73" s="340">
        <v>-349.91</v>
      </c>
      <c r="O73" s="341">
        <v>-101.28</v>
      </c>
      <c r="P73" s="48">
        <v>-97.73</v>
      </c>
      <c r="Q73" s="48">
        <v>-267.61</v>
      </c>
      <c r="R73" s="48">
        <v>-641.11</v>
      </c>
      <c r="S73" s="48">
        <v>-271.24</v>
      </c>
      <c r="T73" s="48">
        <v>0</v>
      </c>
      <c r="U73" s="48">
        <v>-10.89</v>
      </c>
      <c r="V73" s="48">
        <v>0</v>
      </c>
      <c r="W73" s="48">
        <v>0</v>
      </c>
      <c r="X73" s="48">
        <v>0</v>
      </c>
      <c r="Y73" s="48">
        <v>0</v>
      </c>
      <c r="Z73" s="48">
        <v>0</v>
      </c>
      <c r="AA73" s="48">
        <v>0</v>
      </c>
      <c r="AB73" s="48">
        <v>0</v>
      </c>
      <c r="AC73" s="48">
        <v>0</v>
      </c>
      <c r="AD73" s="48">
        <v>0</v>
      </c>
      <c r="AE73" s="48">
        <v>0</v>
      </c>
      <c r="AF73" s="48">
        <v>0</v>
      </c>
      <c r="AG73" s="48">
        <v>0</v>
      </c>
      <c r="AH73" s="48">
        <v>0</v>
      </c>
      <c r="AI73" s="48">
        <v>0</v>
      </c>
      <c r="AJ73" s="48">
        <v>0</v>
      </c>
      <c r="AK73" s="48">
        <v>0</v>
      </c>
      <c r="AL73" s="48">
        <v>0</v>
      </c>
      <c r="AM73" s="48">
        <v>0</v>
      </c>
      <c r="AN73" s="48">
        <v>0</v>
      </c>
      <c r="AO73" s="48">
        <v>0</v>
      </c>
      <c r="AP73" s="48">
        <v>0</v>
      </c>
      <c r="AQ73" s="48">
        <v>-49.48</v>
      </c>
      <c r="AR73" s="48">
        <v>0</v>
      </c>
      <c r="AS73" s="48">
        <v>0</v>
      </c>
      <c r="AT73" s="48">
        <v>0</v>
      </c>
      <c r="AU73" s="48">
        <v>0</v>
      </c>
      <c r="AV73" s="48">
        <v>0</v>
      </c>
      <c r="AW73" s="48">
        <v>0</v>
      </c>
      <c r="AX73" s="48">
        <v>0</v>
      </c>
      <c r="AY73" s="48">
        <v>0</v>
      </c>
      <c r="AZ73" s="48">
        <v>0</v>
      </c>
      <c r="BA73" s="48">
        <v>-9.9499999999999993</v>
      </c>
      <c r="BB73" s="48">
        <v>0</v>
      </c>
      <c r="BC73" s="48">
        <v>0</v>
      </c>
      <c r="BD73" s="48">
        <v>0</v>
      </c>
      <c r="BE73" s="48">
        <v>0</v>
      </c>
      <c r="BF73" s="48">
        <v>0</v>
      </c>
      <c r="BG73" s="48">
        <v>0</v>
      </c>
      <c r="BH73" s="48">
        <v>0</v>
      </c>
      <c r="BI73" s="48">
        <v>-33.14</v>
      </c>
      <c r="BJ73" s="48">
        <v>0</v>
      </c>
      <c r="BK73" s="48">
        <v>-0.98</v>
      </c>
      <c r="BL73" s="48">
        <v>0</v>
      </c>
      <c r="BM73" s="48">
        <v>0</v>
      </c>
      <c r="BN73" s="48">
        <v>0</v>
      </c>
      <c r="BO73" s="48">
        <v>0</v>
      </c>
      <c r="BP73" s="48">
        <v>0</v>
      </c>
      <c r="BQ73" s="48">
        <v>0</v>
      </c>
      <c r="BR73" s="48">
        <v>0</v>
      </c>
      <c r="BS73" s="48">
        <v>0</v>
      </c>
      <c r="BT73" s="48">
        <v>0</v>
      </c>
      <c r="BU73" s="48">
        <v>0</v>
      </c>
      <c r="BV73" s="48">
        <v>0</v>
      </c>
      <c r="BW73" s="48">
        <v>0</v>
      </c>
      <c r="BX73" s="48">
        <v>0</v>
      </c>
      <c r="BY73" s="48">
        <v>0</v>
      </c>
      <c r="BZ73" s="48">
        <v>0</v>
      </c>
      <c r="CA73" s="48">
        <v>0</v>
      </c>
      <c r="CB73" s="48">
        <v>0</v>
      </c>
      <c r="CC73" s="48">
        <v>0</v>
      </c>
      <c r="CD73" s="48">
        <v>0</v>
      </c>
      <c r="CE73" s="48">
        <v>0</v>
      </c>
      <c r="CF73" s="48">
        <v>0</v>
      </c>
      <c r="CG73" s="48">
        <v>0</v>
      </c>
      <c r="CH73" s="48">
        <v>0</v>
      </c>
      <c r="CI73" s="48">
        <v>0</v>
      </c>
      <c r="CJ73" s="48">
        <v>0</v>
      </c>
      <c r="CK73" s="48">
        <v>0</v>
      </c>
      <c r="CL73" s="48">
        <v>0</v>
      </c>
      <c r="CM73" s="48">
        <v>0</v>
      </c>
      <c r="CN73" s="48">
        <v>0</v>
      </c>
      <c r="CO73" s="48">
        <v>0</v>
      </c>
      <c r="CP73" s="48">
        <v>0</v>
      </c>
      <c r="CQ73" s="48">
        <v>0</v>
      </c>
      <c r="CR73" s="48">
        <v>0</v>
      </c>
      <c r="CS73" s="48">
        <v>0</v>
      </c>
      <c r="CT73" s="48">
        <v>0</v>
      </c>
      <c r="CU73" s="48">
        <v>0</v>
      </c>
      <c r="CV73" s="48">
        <v>-64.86</v>
      </c>
      <c r="CW73" s="48">
        <v>-66974.3</v>
      </c>
      <c r="CX73" s="48">
        <v>46</v>
      </c>
      <c r="CY73" s="48">
        <v>0</v>
      </c>
      <c r="CZ73" s="48">
        <v>0</v>
      </c>
      <c r="DA73" s="48">
        <v>0</v>
      </c>
      <c r="DB73" s="48">
        <v>0</v>
      </c>
      <c r="DC73" s="48">
        <v>0</v>
      </c>
      <c r="DD73" s="48">
        <v>0</v>
      </c>
      <c r="DE73" s="48">
        <f>VLOOKUP($C73,'[2]Analysis 1'!$C$5:$DG$1025,107,FALSE)</f>
        <v>0</v>
      </c>
      <c r="DF73" s="48">
        <f>VLOOKUP($C73,'[2]Analysis 1'!$C$5:$DG$1025,108,FALSE)</f>
        <v>0</v>
      </c>
      <c r="DG73" s="48">
        <f>VLOOKUP($C73,'[2]Analysis 1'!$C$5:$DG$1025,109,FALSE)</f>
        <v>0</v>
      </c>
      <c r="DH73" s="369">
        <f t="shared" si="2"/>
        <v>-66993.16</v>
      </c>
    </row>
    <row r="74" spans="1:112">
      <c r="A74" s="357" t="str">
        <f t="shared" si="0"/>
        <v>4830091</v>
      </c>
      <c r="B74" s="350" t="s">
        <v>1908</v>
      </c>
      <c r="C74" s="335" t="s">
        <v>1003</v>
      </c>
      <c r="D74" s="367">
        <v>-21717.45</v>
      </c>
      <c r="E74" s="367">
        <v>-22831.200000000001</v>
      </c>
      <c r="F74" s="367">
        <v>-16632.11</v>
      </c>
      <c r="G74" s="367">
        <v>-14818.73</v>
      </c>
      <c r="H74" s="367">
        <v>-11830.95</v>
      </c>
      <c r="I74" s="367">
        <v>-13421.83</v>
      </c>
      <c r="J74" s="367">
        <v>-10372.18</v>
      </c>
      <c r="K74" s="367">
        <v>-9677.58</v>
      </c>
      <c r="L74" s="367">
        <v>-10937.04</v>
      </c>
      <c r="M74" s="367">
        <v>-9949.44</v>
      </c>
      <c r="N74" s="367">
        <v>-11966.81</v>
      </c>
      <c r="O74" s="368">
        <v>-18629.82</v>
      </c>
      <c r="P74" s="48">
        <v>-21372.05</v>
      </c>
      <c r="Q74" s="48">
        <v>-23403.08</v>
      </c>
      <c r="R74" s="48">
        <v>-22368.32</v>
      </c>
      <c r="S74" s="48">
        <v>-13395.28</v>
      </c>
      <c r="T74" s="48">
        <v>-7623.44</v>
      </c>
      <c r="U74" s="48">
        <v>-8296.82</v>
      </c>
      <c r="V74" s="48">
        <v>-8301.4699999999993</v>
      </c>
      <c r="W74" s="48">
        <v>-15477.14</v>
      </c>
      <c r="X74" s="48">
        <v>-9442.3700000000008</v>
      </c>
      <c r="Y74" s="48">
        <v>-12352.09</v>
      </c>
      <c r="Z74" s="48">
        <v>-10668.59</v>
      </c>
      <c r="AA74" s="48">
        <v>-13801.37</v>
      </c>
      <c r="AB74" s="48">
        <v>-19903.990000000002</v>
      </c>
      <c r="AC74" s="48">
        <v>-24880.41</v>
      </c>
      <c r="AD74" s="48">
        <v>-17784.04</v>
      </c>
      <c r="AE74" s="48">
        <v>-16215.14</v>
      </c>
      <c r="AF74" s="48">
        <v>-14635.46</v>
      </c>
      <c r="AG74" s="48">
        <v>-10694.15</v>
      </c>
      <c r="AH74" s="48">
        <v>-9689.64</v>
      </c>
      <c r="AI74" s="48">
        <v>-12211.45</v>
      </c>
      <c r="AJ74" s="48">
        <v>-12941.36</v>
      </c>
      <c r="AK74" s="48">
        <v>-16319.19</v>
      </c>
      <c r="AL74" s="48">
        <v>-11871.12</v>
      </c>
      <c r="AM74" s="48">
        <v>-12111.75</v>
      </c>
      <c r="AN74" s="48">
        <v>-30366.21</v>
      </c>
      <c r="AO74" s="48">
        <v>-1906.51</v>
      </c>
      <c r="AP74" s="48">
        <v>-26330.47</v>
      </c>
      <c r="AQ74" s="48">
        <v>-10320.209999999999</v>
      </c>
      <c r="AR74" s="48">
        <v>-10552.95</v>
      </c>
      <c r="AS74" s="48">
        <v>-10291.58</v>
      </c>
      <c r="AT74" s="48">
        <v>-23841.98</v>
      </c>
      <c r="AU74" s="48">
        <v>38562.379999999997</v>
      </c>
      <c r="AV74" s="48">
        <v>-51133.35</v>
      </c>
      <c r="AW74" s="48">
        <v>-10419.81</v>
      </c>
      <c r="AX74" s="48">
        <v>-15829.37</v>
      </c>
      <c r="AY74" s="48">
        <v>-18632.55</v>
      </c>
      <c r="AZ74" s="48">
        <v>-35718.699999999997</v>
      </c>
      <c r="BA74" s="48">
        <v>-24685.360000000001</v>
      </c>
      <c r="BB74" s="48">
        <v>-14417.56</v>
      </c>
      <c r="BC74" s="48">
        <v>-19440.55</v>
      </c>
      <c r="BD74" s="48">
        <v>-14692.28</v>
      </c>
      <c r="BE74" s="48">
        <v>-13649.38</v>
      </c>
      <c r="BF74" s="48">
        <v>-11404.46</v>
      </c>
      <c r="BG74" s="48">
        <v>-2664</v>
      </c>
      <c r="BH74" s="48">
        <v>-8620.6299999999992</v>
      </c>
      <c r="BI74" s="48">
        <v>-7887.7</v>
      </c>
      <c r="BJ74" s="48">
        <v>-296.38</v>
      </c>
      <c r="BK74" s="48">
        <v>-35035.870000000003</v>
      </c>
      <c r="BL74" s="48">
        <v>-18947.37</v>
      </c>
      <c r="BM74" s="48">
        <v>-22529.38</v>
      </c>
      <c r="BN74" s="48">
        <v>-11598.88</v>
      </c>
      <c r="BO74" s="48">
        <v>-11314.5</v>
      </c>
      <c r="BP74" s="48">
        <v>-9508.84</v>
      </c>
      <c r="BQ74" s="48">
        <v>-7911.68</v>
      </c>
      <c r="BR74" s="48">
        <v>-7227.45</v>
      </c>
      <c r="BS74" s="48">
        <v>-6546.7</v>
      </c>
      <c r="BT74" s="48">
        <v>-11602.69</v>
      </c>
      <c r="BU74" s="48">
        <v>-7679.78</v>
      </c>
      <c r="BV74" s="48">
        <v>-9417.41</v>
      </c>
      <c r="BW74" s="48">
        <v>-40019.72</v>
      </c>
      <c r="BX74" s="48">
        <v>-23403.69</v>
      </c>
      <c r="BY74" s="48">
        <v>-31655.54</v>
      </c>
      <c r="BZ74" s="48">
        <v>-24297.25</v>
      </c>
      <c r="CA74" s="48">
        <v>-15616.06</v>
      </c>
      <c r="CB74" s="48">
        <v>-15655.27</v>
      </c>
      <c r="CC74" s="48">
        <v>-13872.08</v>
      </c>
      <c r="CD74" s="48">
        <v>-13565.74</v>
      </c>
      <c r="CE74" s="48">
        <v>-13841.94</v>
      </c>
      <c r="CF74" s="48">
        <v>-15568.16</v>
      </c>
      <c r="CG74" s="48">
        <v>-16398.41</v>
      </c>
      <c r="CH74" s="48">
        <v>-23805.57</v>
      </c>
      <c r="CI74" s="48">
        <v>-26258.18</v>
      </c>
      <c r="CJ74" s="48">
        <v>-53387.94</v>
      </c>
      <c r="CK74" s="48">
        <v>-48066.67</v>
      </c>
      <c r="CL74" s="48">
        <v>-29713.65</v>
      </c>
      <c r="CM74" s="48">
        <v>-37203.32</v>
      </c>
      <c r="CN74" s="48">
        <v>-31498.02</v>
      </c>
      <c r="CO74" s="48">
        <v>-26319.69</v>
      </c>
      <c r="CP74" s="48">
        <v>-18917.419999999998</v>
      </c>
      <c r="CQ74" s="48">
        <v>-32849.089999999997</v>
      </c>
      <c r="CR74" s="48">
        <v>-27587.54</v>
      </c>
      <c r="CS74" s="48">
        <v>-27818.66</v>
      </c>
      <c r="CT74" s="48">
        <v>-29404.71</v>
      </c>
      <c r="CU74" s="48">
        <v>-33557.86</v>
      </c>
      <c r="CV74" s="48">
        <v>-36283.24</v>
      </c>
      <c r="CW74" s="48">
        <v>-81376.289999999994</v>
      </c>
      <c r="CX74" s="48">
        <v>-36266.36</v>
      </c>
      <c r="CY74" s="48">
        <v>-38376.79</v>
      </c>
      <c r="CZ74" s="48">
        <v>-28921.69</v>
      </c>
      <c r="DA74" s="48">
        <v>-27113.62</v>
      </c>
      <c r="DB74" s="48">
        <v>-19905.77</v>
      </c>
      <c r="DC74" s="48">
        <v>-19896.78</v>
      </c>
      <c r="DD74" s="48">
        <v>-22663.759999999998</v>
      </c>
      <c r="DE74" s="48">
        <f>VLOOKUP($C74,'[2]Analysis 1'!$C$5:$DG$1025,107,FALSE)</f>
        <v>-28267.68</v>
      </c>
      <c r="DF74" s="48">
        <f>VLOOKUP($C74,'[2]Analysis 1'!$C$5:$DG$1025,108,FALSE)</f>
        <v>-38061.43</v>
      </c>
      <c r="DG74" s="48">
        <f>VLOOKUP($C74,'[2]Analysis 1'!$C$5:$DG$1025,109,FALSE)</f>
        <v>-35440.699999999997</v>
      </c>
      <c r="DH74" s="369">
        <f t="shared" si="2"/>
        <v>-412574.11000000004</v>
      </c>
    </row>
    <row r="75" spans="1:112">
      <c r="A75" s="357" t="str">
        <f t="shared" si="0"/>
        <v>4830092</v>
      </c>
      <c r="B75" s="350" t="s">
        <v>1909</v>
      </c>
      <c r="C75" s="335" t="s">
        <v>1004</v>
      </c>
      <c r="D75" s="340">
        <v>-122347.1</v>
      </c>
      <c r="E75" s="340">
        <v>-125397.66</v>
      </c>
      <c r="F75" s="340">
        <v>-83613.06</v>
      </c>
      <c r="G75" s="340">
        <v>-79399.5</v>
      </c>
      <c r="H75" s="340">
        <v>-59284.84</v>
      </c>
      <c r="I75" s="340">
        <v>-84221.96</v>
      </c>
      <c r="J75" s="340">
        <v>-53577.79</v>
      </c>
      <c r="K75" s="340">
        <v>-50639.37</v>
      </c>
      <c r="L75" s="340">
        <v>-55870.14</v>
      </c>
      <c r="M75" s="340">
        <v>-47384.88</v>
      </c>
      <c r="N75" s="340">
        <v>-55759.08</v>
      </c>
      <c r="O75" s="341">
        <v>-89565.43</v>
      </c>
      <c r="P75" s="48">
        <v>-115388.95</v>
      </c>
      <c r="Q75" s="48">
        <v>-122429.48</v>
      </c>
      <c r="R75" s="48">
        <v>-103381.17</v>
      </c>
      <c r="S75" s="48">
        <v>-62557.89</v>
      </c>
      <c r="T75" s="48">
        <v>-34815.08</v>
      </c>
      <c r="U75" s="48">
        <v>-40163.93</v>
      </c>
      <c r="V75" s="48">
        <v>-40173.25</v>
      </c>
      <c r="W75" s="48">
        <v>-81254.820000000007</v>
      </c>
      <c r="X75" s="48">
        <v>-47758.73</v>
      </c>
      <c r="Y75" s="48">
        <v>-61015.22</v>
      </c>
      <c r="Z75" s="48">
        <v>-52655.68</v>
      </c>
      <c r="AA75" s="48">
        <v>-70834.47</v>
      </c>
      <c r="AB75" s="48">
        <v>-112861.47</v>
      </c>
      <c r="AC75" s="48">
        <v>-144487.29999999999</v>
      </c>
      <c r="AD75" s="48">
        <v>-97359.34</v>
      </c>
      <c r="AE75" s="48">
        <v>-90351.69</v>
      </c>
      <c r="AF75" s="48">
        <v>-80688.27</v>
      </c>
      <c r="AG75" s="48">
        <v>-55803.75</v>
      </c>
      <c r="AH75" s="48">
        <v>-48909.17</v>
      </c>
      <c r="AI75" s="48">
        <v>-62932.57</v>
      </c>
      <c r="AJ75" s="48">
        <v>-63198.98</v>
      </c>
      <c r="AK75" s="48">
        <v>-80931.289999999994</v>
      </c>
      <c r="AL75" s="48">
        <v>-54733.84</v>
      </c>
      <c r="AM75" s="48">
        <v>-54630.92</v>
      </c>
      <c r="AN75" s="48">
        <v>-145513.70000000001</v>
      </c>
      <c r="AO75" s="48">
        <v>-10002.1</v>
      </c>
      <c r="AP75" s="48">
        <v>-130908.62</v>
      </c>
      <c r="AQ75" s="48">
        <v>-51360.15</v>
      </c>
      <c r="AR75" s="48">
        <v>-52185.55</v>
      </c>
      <c r="AS75" s="48">
        <v>-48094.59</v>
      </c>
      <c r="AT75" s="48">
        <v>-121049.34</v>
      </c>
      <c r="AU75" s="48">
        <v>191292.34</v>
      </c>
      <c r="AV75" s="48">
        <v>-259208.07</v>
      </c>
      <c r="AW75" s="48">
        <v>-57389.38</v>
      </c>
      <c r="AX75" s="48">
        <v>-89283.89</v>
      </c>
      <c r="AY75" s="48">
        <v>-106218.25</v>
      </c>
      <c r="AZ75" s="48">
        <v>-227660.9</v>
      </c>
      <c r="BA75" s="48">
        <v>-160197.32</v>
      </c>
      <c r="BB75" s="48">
        <v>-81327.55</v>
      </c>
      <c r="BC75" s="48">
        <v>-110521.77</v>
      </c>
      <c r="BD75" s="48">
        <v>-81986.16</v>
      </c>
      <c r="BE75" s="48">
        <v>-72924.350000000006</v>
      </c>
      <c r="BF75" s="48">
        <v>-59920.74</v>
      </c>
      <c r="BG75" s="48">
        <v>-10214.56</v>
      </c>
      <c r="BH75" s="48">
        <v>-42969.5</v>
      </c>
      <c r="BI75" s="48">
        <v>-37316.04</v>
      </c>
      <c r="BJ75" s="48">
        <v>-1881.49</v>
      </c>
      <c r="BK75" s="48">
        <v>-187698.16</v>
      </c>
      <c r="BL75" s="48">
        <v>-111874.25</v>
      </c>
      <c r="BM75" s="48">
        <v>-133724.71</v>
      </c>
      <c r="BN75" s="48">
        <v>-72573.84</v>
      </c>
      <c r="BO75" s="48">
        <v>-76351.73</v>
      </c>
      <c r="BP75" s="48">
        <v>-63016.02</v>
      </c>
      <c r="BQ75" s="48">
        <v>-52170.54</v>
      </c>
      <c r="BR75" s="48">
        <v>-47308.06</v>
      </c>
      <c r="BS75" s="48">
        <v>-36185.31</v>
      </c>
      <c r="BT75" s="48">
        <v>-56479.09</v>
      </c>
      <c r="BU75" s="48">
        <v>-41885.65</v>
      </c>
      <c r="BV75" s="48">
        <v>-53566.38</v>
      </c>
      <c r="BW75" s="48">
        <v>-237125.17</v>
      </c>
      <c r="BX75" s="48">
        <v>-136259.73000000001</v>
      </c>
      <c r="BY75" s="48">
        <v>-175838.86</v>
      </c>
      <c r="BZ75" s="48">
        <v>-129063.36</v>
      </c>
      <c r="CA75" s="48">
        <v>-81269.73</v>
      </c>
      <c r="CB75" s="48">
        <v>-81771.11</v>
      </c>
      <c r="CC75" s="48">
        <v>-71804.86</v>
      </c>
      <c r="CD75" s="48">
        <v>-70492.429999999993</v>
      </c>
      <c r="CE75" s="48">
        <v>-71847.97</v>
      </c>
      <c r="CF75" s="48">
        <v>-81294.41</v>
      </c>
      <c r="CG75" s="48">
        <v>-91336.26</v>
      </c>
      <c r="CH75" s="48">
        <v>-133473.60000000001</v>
      </c>
      <c r="CI75" s="48">
        <v>-163603.73000000001</v>
      </c>
      <c r="CJ75" s="48">
        <v>-272469.07</v>
      </c>
      <c r="CK75" s="48">
        <v>-244199.62</v>
      </c>
      <c r="CL75" s="48">
        <v>-168670.92</v>
      </c>
      <c r="CM75" s="48">
        <v>-214419.68</v>
      </c>
      <c r="CN75" s="48">
        <v>-171019.38</v>
      </c>
      <c r="CO75" s="48">
        <v>-138628.84</v>
      </c>
      <c r="CP75" s="48">
        <v>-100986.53</v>
      </c>
      <c r="CQ75" s="48">
        <v>-187822.88</v>
      </c>
      <c r="CR75" s="48">
        <v>-155655.59</v>
      </c>
      <c r="CS75" s="48">
        <v>-157095.85999999999</v>
      </c>
      <c r="CT75" s="48">
        <v>-166783.76</v>
      </c>
      <c r="CU75" s="48">
        <v>-192152.4</v>
      </c>
      <c r="CV75" s="48">
        <v>-225987.44</v>
      </c>
      <c r="CW75" s="48">
        <v>-517726.13</v>
      </c>
      <c r="CX75" s="48">
        <v>-225875.93</v>
      </c>
      <c r="CY75" s="48">
        <v>-239466.18</v>
      </c>
      <c r="CZ75" s="48">
        <v>-176716.76</v>
      </c>
      <c r="DA75" s="48">
        <v>-169443.42</v>
      </c>
      <c r="DB75" s="48">
        <v>-121661.68</v>
      </c>
      <c r="DC75" s="48">
        <v>-170700.93</v>
      </c>
      <c r="DD75" s="48">
        <v>-193822.02</v>
      </c>
      <c r="DE75" s="48">
        <f>VLOOKUP($C75,'[2]Analysis 1'!$C$5:$DG$1025,107,FALSE)</f>
        <v>-230336.54</v>
      </c>
      <c r="DF75" s="48">
        <f>VLOOKUP($C75,'[2]Analysis 1'!$C$5:$DG$1025,108,FALSE)</f>
        <v>-193446.06</v>
      </c>
      <c r="DG75" s="48">
        <f>VLOOKUP($C75,'[2]Analysis 1'!$C$5:$DG$1025,109,FALSE)</f>
        <v>-183053.3</v>
      </c>
      <c r="DH75" s="369">
        <f t="shared" si="2"/>
        <v>-2648236.3899999997</v>
      </c>
    </row>
    <row r="76" spans="1:112">
      <c r="A76" s="357" t="str">
        <f t="shared" si="0"/>
        <v>4833091</v>
      </c>
      <c r="B76" s="350" t="s">
        <v>1910</v>
      </c>
      <c r="C76" s="335" t="s">
        <v>1005</v>
      </c>
      <c r="D76" s="367">
        <v>-21883.94</v>
      </c>
      <c r="E76" s="367">
        <v>-18653.25</v>
      </c>
      <c r="F76" s="367">
        <v>-21064.37</v>
      </c>
      <c r="G76" s="367">
        <v>-18023.66</v>
      </c>
      <c r="H76" s="367">
        <v>-16939.95</v>
      </c>
      <c r="I76" s="367">
        <v>-15589.49</v>
      </c>
      <c r="J76" s="367">
        <v>-15668.39</v>
      </c>
      <c r="K76" s="367">
        <v>-15255.51</v>
      </c>
      <c r="L76" s="367">
        <v>-14564.19</v>
      </c>
      <c r="M76" s="367">
        <v>-17293.3</v>
      </c>
      <c r="N76" s="367">
        <v>-19693.8</v>
      </c>
      <c r="O76" s="368">
        <v>-20331.84</v>
      </c>
      <c r="P76" s="48">
        <v>-22601.96</v>
      </c>
      <c r="Q76" s="48">
        <v>-21078.83</v>
      </c>
      <c r="R76" s="48">
        <v>-20184.12</v>
      </c>
      <c r="S76" s="48">
        <v>-17822.34</v>
      </c>
      <c r="T76" s="48">
        <v>-17403.689999999999</v>
      </c>
      <c r="U76" s="48">
        <v>-15810.03</v>
      </c>
      <c r="V76" s="48">
        <v>-16304.6</v>
      </c>
      <c r="W76" s="48">
        <v>-16134.22</v>
      </c>
      <c r="X76" s="48">
        <v>-15611.63</v>
      </c>
      <c r="Y76" s="48">
        <v>-18169.47</v>
      </c>
      <c r="Z76" s="48">
        <v>-18110.89</v>
      </c>
      <c r="AA76" s="48">
        <v>-19573.169999999998</v>
      </c>
      <c r="AB76" s="48">
        <v>-24128.63</v>
      </c>
      <c r="AC76" s="48">
        <v>-22204.05</v>
      </c>
      <c r="AD76" s="48">
        <v>-20705.21</v>
      </c>
      <c r="AE76" s="48">
        <v>-19513.43</v>
      </c>
      <c r="AF76" s="48">
        <v>-18266.14</v>
      </c>
      <c r="AG76" s="48">
        <v>-16656.59</v>
      </c>
      <c r="AH76" s="48">
        <v>-16731.45</v>
      </c>
      <c r="AI76" s="48">
        <v>-16264.15</v>
      </c>
      <c r="AJ76" s="48">
        <v>-15910.62</v>
      </c>
      <c r="AK76" s="48">
        <v>-16984.830000000002</v>
      </c>
      <c r="AL76" s="48">
        <v>-19334.95</v>
      </c>
      <c r="AM76" s="48">
        <v>-20919.55</v>
      </c>
      <c r="AN76" s="48">
        <v>-22685.19</v>
      </c>
      <c r="AO76" s="48">
        <v>-19221.09</v>
      </c>
      <c r="AP76" s="48">
        <v>-22663.53</v>
      </c>
      <c r="AQ76" s="48">
        <v>-18990.38</v>
      </c>
      <c r="AR76" s="48">
        <v>-17901.71</v>
      </c>
      <c r="AS76" s="48">
        <v>-16661.64</v>
      </c>
      <c r="AT76" s="48">
        <v>-18374.669999999998</v>
      </c>
      <c r="AU76" s="48">
        <v>-15617.18</v>
      </c>
      <c r="AV76" s="48">
        <v>-14843.49</v>
      </c>
      <c r="AW76" s="48">
        <v>-19111.46</v>
      </c>
      <c r="AX76" s="48">
        <v>-20227.91</v>
      </c>
      <c r="AY76" s="48">
        <v>-24379.42</v>
      </c>
      <c r="AZ76" s="48">
        <v>-25354.05</v>
      </c>
      <c r="BA76" s="48">
        <v>-19653.240000000002</v>
      </c>
      <c r="BB76" s="48">
        <v>-23521.52</v>
      </c>
      <c r="BC76" s="48">
        <v>-20175.22</v>
      </c>
      <c r="BD76" s="48">
        <v>-18808.150000000001</v>
      </c>
      <c r="BE76" s="48">
        <v>-17332.580000000002</v>
      </c>
      <c r="BF76" s="48">
        <v>-17791.14</v>
      </c>
      <c r="BG76" s="48">
        <v>-16456.59</v>
      </c>
      <c r="BH76" s="48">
        <v>-16115.17</v>
      </c>
      <c r="BI76" s="48">
        <v>-18339.5</v>
      </c>
      <c r="BJ76" s="48">
        <v>-26818.400000000001</v>
      </c>
      <c r="BK76" s="48">
        <v>-29473.200000000001</v>
      </c>
      <c r="BL76" s="48">
        <v>-30389.88</v>
      </c>
      <c r="BM76" s="48">
        <v>-26515.14</v>
      </c>
      <c r="BN76" s="48">
        <v>-28336.85</v>
      </c>
      <c r="BO76" s="48">
        <v>-25632.959999999999</v>
      </c>
      <c r="BP76" s="48">
        <v>-23177.8</v>
      </c>
      <c r="BQ76" s="48">
        <v>-22277.919999999998</v>
      </c>
      <c r="BR76" s="48">
        <v>-22006.6</v>
      </c>
      <c r="BS76" s="48">
        <v>-21749.7</v>
      </c>
      <c r="BT76" s="48">
        <v>-20855.490000000002</v>
      </c>
      <c r="BU76" s="48">
        <v>-22983.360000000001</v>
      </c>
      <c r="BV76" s="48">
        <v>-24254.95</v>
      </c>
      <c r="BW76" s="48">
        <v>-29401.4</v>
      </c>
      <c r="BX76" s="48">
        <v>-28762.09</v>
      </c>
      <c r="BY76" s="48">
        <v>-26980.71</v>
      </c>
      <c r="BZ76" s="48">
        <v>-22578.97</v>
      </c>
      <c r="CA76" s="48">
        <v>-17452.13</v>
      </c>
      <c r="CB76" s="48">
        <v>-19436.509999999998</v>
      </c>
      <c r="CC76" s="48">
        <v>-19704.009999999998</v>
      </c>
      <c r="CD76" s="48">
        <v>-18783.560000000001</v>
      </c>
      <c r="CE76" s="48">
        <v>-19300.73</v>
      </c>
      <c r="CF76" s="48">
        <v>-19422.32</v>
      </c>
      <c r="CG76" s="48">
        <v>-22695.58</v>
      </c>
      <c r="CH76" s="48">
        <v>-20343.810000000001</v>
      </c>
      <c r="CI76" s="48">
        <v>-33321.230000000003</v>
      </c>
      <c r="CJ76" s="48">
        <v>-23913.52</v>
      </c>
      <c r="CK76" s="48">
        <v>-30235.87</v>
      </c>
      <c r="CL76" s="48">
        <v>-32172.63</v>
      </c>
      <c r="CM76" s="48">
        <v>-33513.31</v>
      </c>
      <c r="CN76" s="48">
        <v>-27958.95</v>
      </c>
      <c r="CO76" s="48">
        <v>-18843.16</v>
      </c>
      <c r="CP76" s="48">
        <v>-20378.8</v>
      </c>
      <c r="CQ76" s="48">
        <v>-21184.400000000001</v>
      </c>
      <c r="CR76" s="48">
        <v>-19744.060000000001</v>
      </c>
      <c r="CS76" s="48">
        <v>-21823.15</v>
      </c>
      <c r="CT76" s="48">
        <v>-25095.11</v>
      </c>
      <c r="CU76" s="48">
        <v>-25768.59</v>
      </c>
      <c r="CV76" s="48">
        <v>-28753.27</v>
      </c>
      <c r="CW76" s="48">
        <v>-18611.599999999999</v>
      </c>
      <c r="CX76" s="48">
        <v>-33443.22</v>
      </c>
      <c r="CY76" s="48">
        <v>-27248.54</v>
      </c>
      <c r="CZ76" s="48">
        <v>-22448.37</v>
      </c>
      <c r="DA76" s="48">
        <v>-19332.48</v>
      </c>
      <c r="DB76" s="48">
        <v>-17835.509999999998</v>
      </c>
      <c r="DC76" s="48">
        <v>-19021.990000000002</v>
      </c>
      <c r="DD76" s="48">
        <v>-18212.13</v>
      </c>
      <c r="DE76" s="48">
        <f>VLOOKUP($C76,'[2]Analysis 1'!$C$5:$DG$1025,107,FALSE)</f>
        <v>-20767.849999999999</v>
      </c>
      <c r="DF76" s="48">
        <f>VLOOKUP($C76,'[2]Analysis 1'!$C$5:$DG$1025,108,FALSE)</f>
        <v>-20890.07</v>
      </c>
      <c r="DG76" s="48">
        <f>VLOOKUP($C76,'[2]Analysis 1'!$C$5:$DG$1025,109,FALSE)</f>
        <v>-29583.57</v>
      </c>
      <c r="DH76" s="369">
        <f t="shared" si="2"/>
        <v>-276148.60000000003</v>
      </c>
    </row>
    <row r="77" spans="1:112">
      <c r="A77" s="357" t="str">
        <f t="shared" si="0"/>
        <v>4870000</v>
      </c>
      <c r="B77" s="350" t="s">
        <v>1911</v>
      </c>
      <c r="C77" s="335" t="s">
        <v>1006</v>
      </c>
      <c r="D77" s="367">
        <v>-87247.01</v>
      </c>
      <c r="E77" s="367">
        <v>-96255.7</v>
      </c>
      <c r="F77" s="367">
        <v>-92056.61</v>
      </c>
      <c r="G77" s="367">
        <v>-89213.83</v>
      </c>
      <c r="H77" s="367">
        <v>-77492.5</v>
      </c>
      <c r="I77" s="367">
        <v>-61370.03</v>
      </c>
      <c r="J77" s="367">
        <v>-83041.899999999994</v>
      </c>
      <c r="K77" s="367">
        <v>-63714.47</v>
      </c>
      <c r="L77" s="367">
        <v>-66933.72</v>
      </c>
      <c r="M77" s="367">
        <v>-65930.600000000006</v>
      </c>
      <c r="N77" s="367">
        <v>-55364.42</v>
      </c>
      <c r="O77" s="368">
        <v>-84632.61</v>
      </c>
      <c r="P77" s="48">
        <v>-87423.9</v>
      </c>
      <c r="Q77" s="48">
        <v>-89152.35</v>
      </c>
      <c r="R77" s="48">
        <v>-84691.04</v>
      </c>
      <c r="S77" s="48">
        <v>-80392.259999999995</v>
      </c>
      <c r="T77" s="48">
        <v>-72940.820000000007</v>
      </c>
      <c r="U77" s="48">
        <v>-61978.98</v>
      </c>
      <c r="V77" s="48">
        <v>-67374.3</v>
      </c>
      <c r="W77" s="48">
        <v>-65541.210000000006</v>
      </c>
      <c r="X77" s="48">
        <v>-64531.85</v>
      </c>
      <c r="Y77" s="48">
        <v>-67554.8</v>
      </c>
      <c r="Z77" s="48">
        <v>-55547.86</v>
      </c>
      <c r="AA77" s="48">
        <v>-85259.37</v>
      </c>
      <c r="AB77" s="48">
        <v>-83397.03</v>
      </c>
      <c r="AC77" s="48">
        <v>-83231.009999999995</v>
      </c>
      <c r="AD77" s="48">
        <v>-101891.83</v>
      </c>
      <c r="AE77" s="48">
        <v>-82907.240000000005</v>
      </c>
      <c r="AF77" s="48">
        <v>-74399.78</v>
      </c>
      <c r="AG77" s="48">
        <v>-88287.29</v>
      </c>
      <c r="AH77" s="48">
        <v>-71623.55</v>
      </c>
      <c r="AI77" s="48">
        <v>-67213.05</v>
      </c>
      <c r="AJ77" s="48">
        <v>-66750.03</v>
      </c>
      <c r="AK77" s="48">
        <v>-72295.350000000006</v>
      </c>
      <c r="AL77" s="48">
        <v>-72659.210000000006</v>
      </c>
      <c r="AM77" s="48">
        <v>-77624.399999999994</v>
      </c>
      <c r="AN77" s="48">
        <v>-59316.46</v>
      </c>
      <c r="AO77" s="48">
        <v>-151333.35999999999</v>
      </c>
      <c r="AP77" s="48">
        <v>-128907.76</v>
      </c>
      <c r="AQ77" s="48">
        <v>-124259.41</v>
      </c>
      <c r="AR77" s="48">
        <v>-124490.84</v>
      </c>
      <c r="AS77" s="48">
        <v>-113303.96</v>
      </c>
      <c r="AT77" s="48">
        <v>-96809.73</v>
      </c>
      <c r="AU77" s="48">
        <v>-85436.47</v>
      </c>
      <c r="AV77" s="48">
        <v>-58089.18</v>
      </c>
      <c r="AW77" s="48">
        <v>-87568.86</v>
      </c>
      <c r="AX77" s="48">
        <v>-92341.759999999995</v>
      </c>
      <c r="AY77" s="48">
        <v>-100712.94</v>
      </c>
      <c r="AZ77" s="48">
        <v>-136915.21</v>
      </c>
      <c r="BA77" s="48">
        <v>-152350.26</v>
      </c>
      <c r="BB77" s="48">
        <v>-135306.41</v>
      </c>
      <c r="BC77" s="48">
        <v>-120362.92</v>
      </c>
      <c r="BD77" s="48">
        <v>-107479.67999999999</v>
      </c>
      <c r="BE77" s="48">
        <v>-108178.03</v>
      </c>
      <c r="BF77" s="48">
        <v>-81021.48</v>
      </c>
      <c r="BG77" s="48">
        <v>-93145.66</v>
      </c>
      <c r="BH77" s="48">
        <v>-93797.8</v>
      </c>
      <c r="BI77" s="48">
        <v>-92860.57</v>
      </c>
      <c r="BJ77" s="48">
        <v>-92318.16</v>
      </c>
      <c r="BK77" s="48">
        <v>-102418.29</v>
      </c>
      <c r="BL77" s="48">
        <v>-122474.71</v>
      </c>
      <c r="BM77" s="48">
        <v>-104745.17</v>
      </c>
      <c r="BN77" s="48">
        <v>-101191.82</v>
      </c>
      <c r="BO77" s="48">
        <v>-90192.52</v>
      </c>
      <c r="BP77" s="48">
        <v>-95436.56</v>
      </c>
      <c r="BQ77" s="48">
        <v>-81788.81</v>
      </c>
      <c r="BR77" s="48">
        <v>-79095.179999999993</v>
      </c>
      <c r="BS77" s="48">
        <v>-82562.100000000006</v>
      </c>
      <c r="BT77" s="48">
        <v>-80215.199999999997</v>
      </c>
      <c r="BU77" s="48">
        <v>-78789.2</v>
      </c>
      <c r="BV77" s="48">
        <v>-75675.8</v>
      </c>
      <c r="BW77" s="48">
        <v>-86066.92</v>
      </c>
      <c r="BX77" s="48">
        <v>-109351.41</v>
      </c>
      <c r="BY77" s="48">
        <v>-96150.71</v>
      </c>
      <c r="BZ77" s="48">
        <v>-95243.34</v>
      </c>
      <c r="CA77" s="48">
        <v>-125154.01</v>
      </c>
      <c r="CB77" s="48">
        <v>-125404.42</v>
      </c>
      <c r="CC77" s="48">
        <v>-118230.31</v>
      </c>
      <c r="CD77" s="48">
        <v>-111280.65</v>
      </c>
      <c r="CE77" s="48">
        <v>-107101.89</v>
      </c>
      <c r="CF77" s="48">
        <v>-77071.8</v>
      </c>
      <c r="CG77" s="48">
        <v>-100031.24</v>
      </c>
      <c r="CH77" s="48">
        <v>-96374.31</v>
      </c>
      <c r="CI77" s="48">
        <v>-96654.77</v>
      </c>
      <c r="CJ77" s="48">
        <v>-119228.77</v>
      </c>
      <c r="CK77" s="48">
        <v>-130606.05</v>
      </c>
      <c r="CL77" s="48">
        <v>-133259.43</v>
      </c>
      <c r="CM77" s="48">
        <v>-103588.7</v>
      </c>
      <c r="CN77" s="48">
        <v>-116765.87</v>
      </c>
      <c r="CO77" s="48">
        <v>-114304.89</v>
      </c>
      <c r="CP77" s="48">
        <v>-88348.87</v>
      </c>
      <c r="CQ77" s="48">
        <v>-97463.65</v>
      </c>
      <c r="CR77" s="48">
        <v>-98512.4</v>
      </c>
      <c r="CS77" s="48">
        <v>-86061.9</v>
      </c>
      <c r="CT77" s="48">
        <v>-95425.25</v>
      </c>
      <c r="CU77" s="48">
        <v>-112683.27</v>
      </c>
      <c r="CV77" s="48">
        <v>-129742.77</v>
      </c>
      <c r="CW77" s="48">
        <v>-126915.26</v>
      </c>
      <c r="CX77" s="48">
        <v>-129695.91</v>
      </c>
      <c r="CY77" s="48">
        <v>-110652.56</v>
      </c>
      <c r="CZ77" s="48">
        <v>-113565.37</v>
      </c>
      <c r="DA77" s="48">
        <v>-112833.55</v>
      </c>
      <c r="DB77" s="48">
        <v>-108117.42</v>
      </c>
      <c r="DC77" s="48">
        <v>-105940.48</v>
      </c>
      <c r="DD77" s="48">
        <v>-117793.88</v>
      </c>
      <c r="DE77" s="48">
        <f>VLOOKUP($C77,'[2]Analysis 1'!$C$5:$DG$1025,107,FALSE)</f>
        <v>-111403.97</v>
      </c>
      <c r="DF77" s="48">
        <f>VLOOKUP($C77,'[2]Analysis 1'!$C$5:$DG$1025,108,FALSE)</f>
        <v>-118920.17</v>
      </c>
      <c r="DG77" s="48">
        <f>VLOOKUP($C77,'[2]Analysis 1'!$C$5:$DG$1025,109,FALSE)</f>
        <v>-118443.07</v>
      </c>
      <c r="DH77" s="369">
        <f t="shared" si="2"/>
        <v>-1404024.4100000001</v>
      </c>
    </row>
    <row r="78" spans="1:112">
      <c r="A78" s="357" t="str">
        <f t="shared" ref="A78:A149" si="3">+B78</f>
        <v>4880101</v>
      </c>
      <c r="B78" s="350" t="s">
        <v>1912</v>
      </c>
      <c r="C78" s="335" t="s">
        <v>1007</v>
      </c>
      <c r="D78" s="367">
        <v>-168080</v>
      </c>
      <c r="E78" s="367">
        <v>-178935</v>
      </c>
      <c r="F78" s="367">
        <v>-161149</v>
      </c>
      <c r="G78" s="367">
        <v>-149500</v>
      </c>
      <c r="H78" s="367">
        <v>-133854</v>
      </c>
      <c r="I78" s="367">
        <v>-156498</v>
      </c>
      <c r="J78" s="367">
        <v>-156827</v>
      </c>
      <c r="K78" s="367">
        <v>-156588</v>
      </c>
      <c r="L78" s="367">
        <v>-164014</v>
      </c>
      <c r="M78" s="367">
        <v>-184115</v>
      </c>
      <c r="N78" s="367">
        <v>-194620</v>
      </c>
      <c r="O78" s="368">
        <v>-167467</v>
      </c>
      <c r="P78" s="48">
        <v>-148441</v>
      </c>
      <c r="Q78" s="48">
        <v>-172306</v>
      </c>
      <c r="R78" s="48">
        <v>-151190</v>
      </c>
      <c r="S78" s="48">
        <v>-133400</v>
      </c>
      <c r="T78" s="48">
        <v>-134342</v>
      </c>
      <c r="U78" s="48">
        <v>-148043</v>
      </c>
      <c r="V78" s="48">
        <v>-144408</v>
      </c>
      <c r="W78" s="48">
        <v>-159878.5</v>
      </c>
      <c r="X78" s="48">
        <v>-147367</v>
      </c>
      <c r="Y78" s="48">
        <v>-168114</v>
      </c>
      <c r="Z78" s="48">
        <v>-165254</v>
      </c>
      <c r="AA78" s="48">
        <v>-159111</v>
      </c>
      <c r="AB78" s="48">
        <v>-140982</v>
      </c>
      <c r="AC78" s="48">
        <v>-152279</v>
      </c>
      <c r="AD78" s="48">
        <v>-144915</v>
      </c>
      <c r="AE78" s="48">
        <v>-126819</v>
      </c>
      <c r="AF78" s="48">
        <v>-140271</v>
      </c>
      <c r="AG78" s="48">
        <v>-139381</v>
      </c>
      <c r="AH78" s="48">
        <v>-147642.12</v>
      </c>
      <c r="AI78" s="48">
        <v>-152780</v>
      </c>
      <c r="AJ78" s="48">
        <v>-142345</v>
      </c>
      <c r="AK78" s="48">
        <v>-147621</v>
      </c>
      <c r="AL78" s="48">
        <v>-168511</v>
      </c>
      <c r="AM78" s="48">
        <v>-166487.95000000001</v>
      </c>
      <c r="AN78" s="48">
        <v>-183513.75</v>
      </c>
      <c r="AO78" s="48">
        <v>-200948</v>
      </c>
      <c r="AP78" s="48">
        <v>-297045</v>
      </c>
      <c r="AQ78" s="48">
        <v>-290126</v>
      </c>
      <c r="AR78" s="48">
        <v>-343949</v>
      </c>
      <c r="AS78" s="48">
        <v>-360254</v>
      </c>
      <c r="AT78" s="48">
        <v>-312453.46999999997</v>
      </c>
      <c r="AU78" s="48">
        <v>-339317</v>
      </c>
      <c r="AV78" s="48">
        <v>-212107.83</v>
      </c>
      <c r="AW78" s="48">
        <v>-304069</v>
      </c>
      <c r="AX78" s="48">
        <v>-305808</v>
      </c>
      <c r="AY78" s="48">
        <v>-288234</v>
      </c>
      <c r="AZ78" s="48">
        <v>-293501</v>
      </c>
      <c r="BA78" s="48">
        <v>-300335</v>
      </c>
      <c r="BB78" s="48">
        <v>-357282</v>
      </c>
      <c r="BC78" s="48">
        <v>-326040</v>
      </c>
      <c r="BD78" s="48">
        <v>-337061</v>
      </c>
      <c r="BE78" s="48">
        <v>-348710</v>
      </c>
      <c r="BF78" s="48">
        <v>-353783</v>
      </c>
      <c r="BG78" s="48">
        <v>-371700</v>
      </c>
      <c r="BH78" s="48">
        <v>-285574.34000000003</v>
      </c>
      <c r="BI78" s="48">
        <v>-321772.44</v>
      </c>
      <c r="BJ78" s="48">
        <v>-306494</v>
      </c>
      <c r="BK78" s="48">
        <v>-287027.34000000003</v>
      </c>
      <c r="BL78" s="48">
        <v>-363135.5</v>
      </c>
      <c r="BM78" s="48">
        <v>-346695</v>
      </c>
      <c r="BN78" s="48">
        <v>-377137</v>
      </c>
      <c r="BO78" s="48">
        <v>-347337</v>
      </c>
      <c r="BP78" s="48">
        <v>-352342</v>
      </c>
      <c r="BQ78" s="48">
        <v>-248049</v>
      </c>
      <c r="BR78" s="48">
        <v>-261755</v>
      </c>
      <c r="BS78" s="48">
        <v>-269635</v>
      </c>
      <c r="BT78" s="48">
        <v>-220137</v>
      </c>
      <c r="BU78" s="48">
        <v>-272617</v>
      </c>
      <c r="BV78" s="48">
        <v>-237675</v>
      </c>
      <c r="BW78" s="48">
        <v>-221017</v>
      </c>
      <c r="BX78" s="48">
        <v>-231138.39</v>
      </c>
      <c r="BY78" s="48">
        <v>-243915</v>
      </c>
      <c r="BZ78" s="48">
        <v>-235889</v>
      </c>
      <c r="CA78" s="48">
        <v>-159902</v>
      </c>
      <c r="CB78" s="48">
        <v>-158420</v>
      </c>
      <c r="CC78" s="48">
        <v>-167550</v>
      </c>
      <c r="CD78" s="48">
        <v>-172082</v>
      </c>
      <c r="CE78" s="48">
        <v>-166410</v>
      </c>
      <c r="CF78" s="48">
        <v>-182935</v>
      </c>
      <c r="CG78" s="48">
        <v>-216865</v>
      </c>
      <c r="CH78" s="48">
        <v>-179693.35</v>
      </c>
      <c r="CI78" s="48">
        <v>-209355</v>
      </c>
      <c r="CJ78" s="48">
        <v>-250411</v>
      </c>
      <c r="CK78" s="48">
        <v>-268527.94</v>
      </c>
      <c r="CL78" s="48">
        <v>-301065</v>
      </c>
      <c r="CM78" s="48">
        <v>-257501.5</v>
      </c>
      <c r="CN78" s="48">
        <v>-255770</v>
      </c>
      <c r="CO78" s="48">
        <v>-272964.5</v>
      </c>
      <c r="CP78" s="48">
        <v>-252084</v>
      </c>
      <c r="CQ78" s="48">
        <v>-281769</v>
      </c>
      <c r="CR78" s="48">
        <v>-267606.5</v>
      </c>
      <c r="CS78" s="48">
        <v>-285745</v>
      </c>
      <c r="CT78" s="48">
        <v>-290448.5</v>
      </c>
      <c r="CU78" s="48">
        <v>-247672</v>
      </c>
      <c r="CV78" s="48">
        <v>-259798</v>
      </c>
      <c r="CW78" s="48">
        <v>-304454</v>
      </c>
      <c r="CX78" s="48">
        <v>-333004</v>
      </c>
      <c r="CY78" s="48">
        <v>-304855</v>
      </c>
      <c r="CZ78" s="48">
        <v>-285831</v>
      </c>
      <c r="DA78" s="48">
        <v>-335489.5</v>
      </c>
      <c r="DB78" s="48">
        <v>-305636.5</v>
      </c>
      <c r="DC78" s="48">
        <v>-331911.5</v>
      </c>
      <c r="DD78" s="48">
        <v>-288352</v>
      </c>
      <c r="DE78" s="48">
        <f>VLOOKUP($C78,'[2]Analysis 1'!$C$5:$DG$1025,107,FALSE)</f>
        <v>-341053.5</v>
      </c>
      <c r="DF78" s="48">
        <f>VLOOKUP($C78,'[2]Analysis 1'!$C$5:$DG$1025,108,FALSE)</f>
        <v>-344285.5</v>
      </c>
      <c r="DG78" s="48">
        <f>VLOOKUP($C78,'[2]Analysis 1'!$C$5:$DG$1025,109,FALSE)</f>
        <v>-288225.5</v>
      </c>
      <c r="DH78" s="369">
        <f t="shared" si="2"/>
        <v>-3722896</v>
      </c>
    </row>
    <row r="79" spans="1:112">
      <c r="A79" s="357" t="str">
        <f t="shared" si="3"/>
        <v>4880102</v>
      </c>
      <c r="B79" s="350" t="s">
        <v>1913</v>
      </c>
      <c r="C79" s="335" t="s">
        <v>1008</v>
      </c>
      <c r="D79" s="340">
        <v>-17516.5</v>
      </c>
      <c r="E79" s="340">
        <v>-15855</v>
      </c>
      <c r="F79" s="340">
        <v>-14550</v>
      </c>
      <c r="G79" s="340">
        <v>-17670</v>
      </c>
      <c r="H79" s="340">
        <v>-14250</v>
      </c>
      <c r="I79" s="340">
        <v>-17025</v>
      </c>
      <c r="J79" s="340">
        <v>-13380</v>
      </c>
      <c r="K79" s="340">
        <v>-16117.5</v>
      </c>
      <c r="L79" s="340">
        <v>-18187.5</v>
      </c>
      <c r="M79" s="340">
        <v>-19042.5</v>
      </c>
      <c r="N79" s="340">
        <v>-21075</v>
      </c>
      <c r="O79" s="341">
        <v>-14730</v>
      </c>
      <c r="P79" s="48">
        <v>-13980</v>
      </c>
      <c r="Q79" s="48">
        <v>-15862.5</v>
      </c>
      <c r="R79" s="48">
        <v>-12984.5</v>
      </c>
      <c r="S79" s="48">
        <v>-12375</v>
      </c>
      <c r="T79" s="48">
        <v>-13155</v>
      </c>
      <c r="U79" s="48">
        <v>-12797</v>
      </c>
      <c r="V79" s="48">
        <v>-14212.5</v>
      </c>
      <c r="W79" s="48">
        <v>-13930</v>
      </c>
      <c r="X79" s="48">
        <v>-14947.5</v>
      </c>
      <c r="Y79" s="48">
        <v>-17850</v>
      </c>
      <c r="Z79" s="48">
        <v>-16935</v>
      </c>
      <c r="AA79" s="48">
        <v>-14180</v>
      </c>
      <c r="AB79" s="48">
        <v>-14647.5</v>
      </c>
      <c r="AC79" s="48">
        <v>-14212.5</v>
      </c>
      <c r="AD79" s="48">
        <v>-12669.5</v>
      </c>
      <c r="AE79" s="48">
        <v>-12337.5</v>
      </c>
      <c r="AF79" s="48">
        <v>-13887.5</v>
      </c>
      <c r="AG79" s="48">
        <v>-15191.5</v>
      </c>
      <c r="AH79" s="48">
        <v>-14337</v>
      </c>
      <c r="AI79" s="48">
        <v>-14110</v>
      </c>
      <c r="AJ79" s="48">
        <v>-12405</v>
      </c>
      <c r="AK79" s="48">
        <v>-15862.5</v>
      </c>
      <c r="AL79" s="48">
        <v>-17732</v>
      </c>
      <c r="AM79" s="48">
        <v>-16761</v>
      </c>
      <c r="AN79" s="48">
        <v>-13188</v>
      </c>
      <c r="AO79" s="48">
        <v>-15778</v>
      </c>
      <c r="AP79" s="48">
        <v>-27329.5</v>
      </c>
      <c r="AQ79" s="48">
        <v>-23577.5</v>
      </c>
      <c r="AR79" s="48">
        <v>-24875.5</v>
      </c>
      <c r="AS79" s="48">
        <v>-28866.5</v>
      </c>
      <c r="AT79" s="48">
        <v>-24171</v>
      </c>
      <c r="AU79" s="48">
        <v>-29294.5</v>
      </c>
      <c r="AV79" s="48">
        <v>-12828</v>
      </c>
      <c r="AW79" s="48">
        <v>-27715</v>
      </c>
      <c r="AX79" s="48">
        <v>-18998</v>
      </c>
      <c r="AY79" s="48">
        <v>-21020</v>
      </c>
      <c r="AZ79" s="48">
        <v>-31608.5</v>
      </c>
      <c r="BA79" s="48">
        <v>-20799</v>
      </c>
      <c r="BB79" s="48">
        <v>-28179.5</v>
      </c>
      <c r="BC79" s="48">
        <v>-27918.5</v>
      </c>
      <c r="BD79" s="48">
        <v>-23689</v>
      </c>
      <c r="BE79" s="48">
        <v>-22846.5</v>
      </c>
      <c r="BF79" s="48">
        <v>-24395</v>
      </c>
      <c r="BG79" s="48">
        <v>-26008</v>
      </c>
      <c r="BH79" s="48">
        <v>-22683.5</v>
      </c>
      <c r="BI79" s="48">
        <v>-25803</v>
      </c>
      <c r="BJ79" s="48">
        <v>-22844</v>
      </c>
      <c r="BK79" s="48">
        <v>-23790.5</v>
      </c>
      <c r="BL79" s="48">
        <v>-61154</v>
      </c>
      <c r="BM79" s="48">
        <v>-40440</v>
      </c>
      <c r="BN79" s="48">
        <v>-43447.5</v>
      </c>
      <c r="BO79" s="48">
        <v>-38340.5</v>
      </c>
      <c r="BP79" s="48">
        <v>-34620.5</v>
      </c>
      <c r="BQ79" s="48">
        <v>-26237</v>
      </c>
      <c r="BR79" s="48">
        <v>-24429.5</v>
      </c>
      <c r="BS79" s="48">
        <v>-26019</v>
      </c>
      <c r="BT79" s="48">
        <v>-25670</v>
      </c>
      <c r="BU79" s="48">
        <v>-30997.5</v>
      </c>
      <c r="BV79" s="48">
        <v>-29567.5</v>
      </c>
      <c r="BW79" s="48">
        <v>-24460</v>
      </c>
      <c r="BX79" s="48">
        <v>-22442.5</v>
      </c>
      <c r="BY79" s="48">
        <v>-24205</v>
      </c>
      <c r="BZ79" s="48">
        <v>-17322.5</v>
      </c>
      <c r="CA79" s="48">
        <v>-10350</v>
      </c>
      <c r="CB79" s="48">
        <v>-16550</v>
      </c>
      <c r="CC79" s="48">
        <v>-16727.5</v>
      </c>
      <c r="CD79" s="48">
        <v>-14140</v>
      </c>
      <c r="CE79" s="48">
        <v>-15180</v>
      </c>
      <c r="CF79" s="48">
        <v>-20555</v>
      </c>
      <c r="CG79" s="48">
        <v>-30920</v>
      </c>
      <c r="CH79" s="48">
        <v>-24545</v>
      </c>
      <c r="CI79" s="48">
        <v>-23605</v>
      </c>
      <c r="CJ79" s="48">
        <v>-25530</v>
      </c>
      <c r="CK79" s="48">
        <v>-22975</v>
      </c>
      <c r="CL79" s="48">
        <v>-28900</v>
      </c>
      <c r="CM79" s="48">
        <v>-19210</v>
      </c>
      <c r="CN79" s="48">
        <v>-22975</v>
      </c>
      <c r="CO79" s="48">
        <v>-29920</v>
      </c>
      <c r="CP79" s="48">
        <v>-25168</v>
      </c>
      <c r="CQ79" s="48">
        <v>-28715</v>
      </c>
      <c r="CR79" s="48">
        <v>-28615</v>
      </c>
      <c r="CS79" s="48">
        <v>-28840</v>
      </c>
      <c r="CT79" s="48">
        <v>-23448</v>
      </c>
      <c r="CU79" s="48">
        <v>-23415</v>
      </c>
      <c r="CV79" s="48">
        <v>-22665</v>
      </c>
      <c r="CW79" s="48">
        <v>-24400</v>
      </c>
      <c r="CX79" s="48">
        <v>-29760</v>
      </c>
      <c r="CY79" s="48">
        <v>-29180</v>
      </c>
      <c r="CZ79" s="48">
        <v>-27168</v>
      </c>
      <c r="DA79" s="48">
        <v>-25728</v>
      </c>
      <c r="DB79" s="48">
        <v>-20145</v>
      </c>
      <c r="DC79" s="48">
        <v>-24640</v>
      </c>
      <c r="DD79" s="48">
        <v>-23574</v>
      </c>
      <c r="DE79" s="48">
        <f>VLOOKUP($C79,'[2]Analysis 1'!$C$5:$DG$1025,107,FALSE)</f>
        <v>-25920</v>
      </c>
      <c r="DF79" s="48">
        <f>VLOOKUP($C79,'[2]Analysis 1'!$C$5:$DG$1025,108,FALSE)</f>
        <v>-28640</v>
      </c>
      <c r="DG79" s="48">
        <f>VLOOKUP($C79,'[2]Analysis 1'!$C$5:$DG$1025,109,FALSE)</f>
        <v>-21299</v>
      </c>
      <c r="DH79" s="369">
        <f t="shared" si="2"/>
        <v>-303119</v>
      </c>
    </row>
    <row r="80" spans="1:112">
      <c r="A80" s="357" t="str">
        <f t="shared" si="3"/>
        <v>4880103</v>
      </c>
      <c r="B80" s="350" t="s">
        <v>1914</v>
      </c>
      <c r="C80" s="335" t="s">
        <v>1009</v>
      </c>
      <c r="D80" s="367">
        <v>-55046</v>
      </c>
      <c r="E80" s="367">
        <v>-58632</v>
      </c>
      <c r="F80" s="367">
        <v>-68043</v>
      </c>
      <c r="G80" s="367">
        <v>-67928</v>
      </c>
      <c r="H80" s="367">
        <v>-66640</v>
      </c>
      <c r="I80" s="367">
        <v>-77989</v>
      </c>
      <c r="J80" s="367">
        <v>-77028</v>
      </c>
      <c r="K80" s="367">
        <v>-72091</v>
      </c>
      <c r="L80" s="367">
        <v>-69972</v>
      </c>
      <c r="M80" s="367">
        <v>-75273</v>
      </c>
      <c r="N80" s="367">
        <v>-60711.95</v>
      </c>
      <c r="O80" s="368">
        <v>-65668</v>
      </c>
      <c r="P80" s="48">
        <v>-54294.05</v>
      </c>
      <c r="Q80" s="48">
        <v>-62698</v>
      </c>
      <c r="R80" s="48">
        <v>-74730</v>
      </c>
      <c r="S80" s="48">
        <v>-70448</v>
      </c>
      <c r="T80" s="48">
        <v>-82731.22</v>
      </c>
      <c r="U80" s="48">
        <v>-89855</v>
      </c>
      <c r="V80" s="48">
        <v>-82793</v>
      </c>
      <c r="W80" s="48">
        <v>-85635</v>
      </c>
      <c r="X80" s="48">
        <v>-72514</v>
      </c>
      <c r="Y80" s="48">
        <v>-67458</v>
      </c>
      <c r="Z80" s="48">
        <v>-67623</v>
      </c>
      <c r="AA80" s="48">
        <v>-70778.210000000006</v>
      </c>
      <c r="AB80" s="48">
        <v>-57969</v>
      </c>
      <c r="AC80" s="48">
        <v>-68695.47</v>
      </c>
      <c r="AD80" s="48">
        <v>-87086</v>
      </c>
      <c r="AE80" s="48">
        <v>-79492</v>
      </c>
      <c r="AF80" s="48">
        <v>-89186</v>
      </c>
      <c r="AG80" s="48">
        <v>-90160</v>
      </c>
      <c r="AH80" s="48">
        <v>-98396.77</v>
      </c>
      <c r="AI80" s="48">
        <v>-84289</v>
      </c>
      <c r="AJ80" s="48">
        <v>-80548</v>
      </c>
      <c r="AK80" s="48">
        <v>-75740</v>
      </c>
      <c r="AL80" s="48">
        <v>-77694</v>
      </c>
      <c r="AM80" s="48">
        <v>-71459</v>
      </c>
      <c r="AN80" s="48">
        <v>0</v>
      </c>
      <c r="AO80" s="48">
        <v>0</v>
      </c>
      <c r="AP80" s="48">
        <v>0</v>
      </c>
      <c r="AQ80" s="48">
        <v>0</v>
      </c>
      <c r="AR80" s="48">
        <v>0</v>
      </c>
      <c r="AS80" s="48">
        <v>0</v>
      </c>
      <c r="AT80" s="48">
        <v>0</v>
      </c>
      <c r="AU80" s="48">
        <v>0</v>
      </c>
      <c r="AV80" s="48">
        <v>0</v>
      </c>
      <c r="AW80" s="48"/>
      <c r="AX80" s="48"/>
      <c r="AY80" s="48"/>
      <c r="AZ80" s="48">
        <v>0</v>
      </c>
      <c r="BA80" s="48">
        <v>0</v>
      </c>
      <c r="BB80" s="48">
        <v>0</v>
      </c>
      <c r="BC80" s="48">
        <v>0</v>
      </c>
      <c r="BD80" s="48">
        <v>0</v>
      </c>
      <c r="BE80" s="48">
        <v>0</v>
      </c>
      <c r="BF80" s="48">
        <v>0</v>
      </c>
      <c r="BG80" s="48">
        <v>0</v>
      </c>
      <c r="BH80" s="48">
        <v>0</v>
      </c>
      <c r="BI80" s="48">
        <v>0</v>
      </c>
      <c r="BJ80" s="48">
        <v>-29736</v>
      </c>
      <c r="BK80" s="48">
        <v>224</v>
      </c>
      <c r="BL80" s="48">
        <v>56</v>
      </c>
      <c r="BM80" s="48">
        <v>28</v>
      </c>
      <c r="BN80" s="48">
        <v>0</v>
      </c>
      <c r="BO80" s="48">
        <v>0</v>
      </c>
      <c r="BP80" s="48">
        <v>-18424</v>
      </c>
      <c r="BQ80" s="48">
        <v>-100128</v>
      </c>
      <c r="BR80" s="48">
        <v>-105896</v>
      </c>
      <c r="BS80" s="48">
        <v>-104356</v>
      </c>
      <c r="BT80" s="48">
        <v>-80396</v>
      </c>
      <c r="BU80" s="48">
        <v>-89516</v>
      </c>
      <c r="BV80" s="48">
        <v>-82320</v>
      </c>
      <c r="BW80" s="48">
        <v>-94388</v>
      </c>
      <c r="BX80" s="48">
        <v>-80024</v>
      </c>
      <c r="BY80" s="48">
        <v>-78456</v>
      </c>
      <c r="BZ80" s="48">
        <v>-95088</v>
      </c>
      <c r="CA80" s="48">
        <v>-85288</v>
      </c>
      <c r="CB80" s="48">
        <v>-88291.13</v>
      </c>
      <c r="CC80" s="48">
        <v>-116256</v>
      </c>
      <c r="CD80" s="48">
        <v>-141260</v>
      </c>
      <c r="CE80" s="48">
        <v>-125272</v>
      </c>
      <c r="CF80" s="48">
        <v>-121100</v>
      </c>
      <c r="CG80" s="48">
        <v>-124768</v>
      </c>
      <c r="CH80" s="48">
        <v>-110796</v>
      </c>
      <c r="CI80" s="48">
        <v>-132216</v>
      </c>
      <c r="CJ80" s="48">
        <v>-79856</v>
      </c>
      <c r="CK80" s="48">
        <v>-90984</v>
      </c>
      <c r="CL80" s="48">
        <v>-113412</v>
      </c>
      <c r="CM80" s="48">
        <v>-118918.68</v>
      </c>
      <c r="CN80" s="48">
        <v>-115248</v>
      </c>
      <c r="CO80" s="48">
        <v>-128152</v>
      </c>
      <c r="CP80" s="48">
        <v>-105236</v>
      </c>
      <c r="CQ80" s="48">
        <v>-110816</v>
      </c>
      <c r="CR80" s="48">
        <v>-95776</v>
      </c>
      <c r="CS80" s="48">
        <v>-99836</v>
      </c>
      <c r="CT80" s="48">
        <v>-97440</v>
      </c>
      <c r="CU80" s="48">
        <v>-110616</v>
      </c>
      <c r="CV80" s="48">
        <v>-91416</v>
      </c>
      <c r="CW80" s="48">
        <v>-89976</v>
      </c>
      <c r="CX80" s="48">
        <v>-108192</v>
      </c>
      <c r="CY80" s="48">
        <v>-110952</v>
      </c>
      <c r="CZ80" s="48">
        <v>-114572</v>
      </c>
      <c r="DA80" s="48">
        <v>-118796</v>
      </c>
      <c r="DB80" s="48">
        <v>-113712</v>
      </c>
      <c r="DC80" s="48">
        <v>-108264</v>
      </c>
      <c r="DD80" s="48">
        <v>-91776</v>
      </c>
      <c r="DE80" s="48">
        <f>VLOOKUP($C80,'[2]Analysis 1'!$C$5:$DG$1025,107,FALSE)</f>
        <v>-87336</v>
      </c>
      <c r="DF80" s="48">
        <f>VLOOKUP($C80,'[2]Analysis 1'!$C$5:$DG$1025,108,FALSE)</f>
        <v>-85820</v>
      </c>
      <c r="DG80" s="48">
        <f>VLOOKUP($C80,'[2]Analysis 1'!$C$5:$DG$1025,109,FALSE)</f>
        <v>-104208</v>
      </c>
      <c r="DH80" s="369">
        <f t="shared" si="2"/>
        <v>-1225020</v>
      </c>
    </row>
    <row r="81" spans="1:112">
      <c r="A81" s="357" t="str">
        <f t="shared" si="3"/>
        <v>4880104</v>
      </c>
      <c r="B81" s="350" t="s">
        <v>1915</v>
      </c>
      <c r="C81" s="335" t="s">
        <v>1010</v>
      </c>
      <c r="D81" s="340">
        <v>-109140</v>
      </c>
      <c r="E81" s="340">
        <v>-148320</v>
      </c>
      <c r="F81" s="340">
        <v>-154795</v>
      </c>
      <c r="G81" s="340">
        <v>-121001.05</v>
      </c>
      <c r="H81" s="340">
        <v>-131550</v>
      </c>
      <c r="I81" s="340">
        <v>-140074</v>
      </c>
      <c r="J81" s="340">
        <v>-105727</v>
      </c>
      <c r="K81" s="340">
        <v>-113990</v>
      </c>
      <c r="L81" s="340">
        <v>-114040</v>
      </c>
      <c r="M81" s="340">
        <v>-107714.5</v>
      </c>
      <c r="N81" s="340">
        <v>-78074.5</v>
      </c>
      <c r="O81" s="341">
        <v>-80359.149999999994</v>
      </c>
      <c r="P81" s="48">
        <v>-133237</v>
      </c>
      <c r="Q81" s="48">
        <v>-127717.5</v>
      </c>
      <c r="R81" s="48">
        <v>-116206</v>
      </c>
      <c r="S81" s="48">
        <v>-116226</v>
      </c>
      <c r="T81" s="48">
        <v>-125200.55</v>
      </c>
      <c r="U81" s="48">
        <v>-102492</v>
      </c>
      <c r="V81" s="48">
        <v>-102033</v>
      </c>
      <c r="W81" s="48">
        <v>-95900</v>
      </c>
      <c r="X81" s="48">
        <v>-81298</v>
      </c>
      <c r="Y81" s="48">
        <v>-93501</v>
      </c>
      <c r="Z81" s="48">
        <v>-79369</v>
      </c>
      <c r="AA81" s="48">
        <v>-65750.5</v>
      </c>
      <c r="AB81" s="48">
        <v>-80515</v>
      </c>
      <c r="AC81" s="48">
        <v>-78733.5</v>
      </c>
      <c r="AD81" s="48">
        <v>-97792</v>
      </c>
      <c r="AE81" s="48">
        <v>-96841.59</v>
      </c>
      <c r="AF81" s="48">
        <v>-82624</v>
      </c>
      <c r="AG81" s="48">
        <v>-80754</v>
      </c>
      <c r="AH81" s="48">
        <v>-84057</v>
      </c>
      <c r="AI81" s="48">
        <v>-87145</v>
      </c>
      <c r="AJ81" s="48">
        <v>-71674</v>
      </c>
      <c r="AK81" s="48">
        <v>-71195</v>
      </c>
      <c r="AL81" s="48">
        <v>-76887</v>
      </c>
      <c r="AM81" s="48">
        <v>-39625</v>
      </c>
      <c r="AN81" s="48">
        <v>40</v>
      </c>
      <c r="AO81" s="48">
        <v>0</v>
      </c>
      <c r="AP81" s="48">
        <v>-1480</v>
      </c>
      <c r="AQ81" s="48">
        <v>-2000</v>
      </c>
      <c r="AR81" s="48">
        <v>-5040</v>
      </c>
      <c r="AS81" s="48">
        <v>-6260</v>
      </c>
      <c r="AT81" s="48">
        <v>-4180</v>
      </c>
      <c r="AU81" s="48">
        <v>-6340</v>
      </c>
      <c r="AV81" s="48">
        <v>-360</v>
      </c>
      <c r="AW81" s="48">
        <v>-2660</v>
      </c>
      <c r="AX81" s="48">
        <v>-1220</v>
      </c>
      <c r="AY81" s="48">
        <v>-780</v>
      </c>
      <c r="AZ81" s="48">
        <v>-2760</v>
      </c>
      <c r="BA81" s="48">
        <v>-2560</v>
      </c>
      <c r="BB81" s="48">
        <v>-3440</v>
      </c>
      <c r="BC81" s="48">
        <v>-2900</v>
      </c>
      <c r="BD81" s="48">
        <v>-3800</v>
      </c>
      <c r="BE81" s="48">
        <v>-3840</v>
      </c>
      <c r="BF81" s="48">
        <v>-2860</v>
      </c>
      <c r="BG81" s="48">
        <v>-2640</v>
      </c>
      <c r="BH81" s="48">
        <v>-3300</v>
      </c>
      <c r="BI81" s="48">
        <v>-2580</v>
      </c>
      <c r="BJ81" s="48">
        <v>-1320</v>
      </c>
      <c r="BK81" s="48">
        <v>-2200</v>
      </c>
      <c r="BL81" s="48">
        <v>-8060</v>
      </c>
      <c r="BM81" s="48">
        <v>-8980</v>
      </c>
      <c r="BN81" s="48">
        <v>-6460</v>
      </c>
      <c r="BO81" s="48">
        <v>-6580</v>
      </c>
      <c r="BP81" s="48">
        <v>-6700</v>
      </c>
      <c r="BQ81" s="48">
        <v>-4480</v>
      </c>
      <c r="BR81" s="48">
        <v>-2260</v>
      </c>
      <c r="BS81" s="48">
        <v>-2500</v>
      </c>
      <c r="BT81" s="48">
        <v>-2360</v>
      </c>
      <c r="BU81" s="48">
        <v>-4420</v>
      </c>
      <c r="BV81" s="48">
        <v>-2320</v>
      </c>
      <c r="BW81" s="48">
        <v>-3680</v>
      </c>
      <c r="BX81" s="48">
        <v>-2840</v>
      </c>
      <c r="BY81" s="48">
        <v>-6320</v>
      </c>
      <c r="BZ81" s="48">
        <v>-1360</v>
      </c>
      <c r="CA81" s="48">
        <v>60</v>
      </c>
      <c r="CB81" s="48">
        <v>0</v>
      </c>
      <c r="CC81" s="48">
        <v>0</v>
      </c>
      <c r="CD81" s="48">
        <v>0</v>
      </c>
      <c r="CE81" s="48">
        <v>0</v>
      </c>
      <c r="CF81" s="48">
        <v>-480</v>
      </c>
      <c r="CG81" s="48">
        <v>-240</v>
      </c>
      <c r="CH81" s="48">
        <v>-640</v>
      </c>
      <c r="CI81" s="48">
        <v>-300</v>
      </c>
      <c r="CJ81" s="48">
        <v>-875</v>
      </c>
      <c r="CK81" s="48">
        <v>-1050</v>
      </c>
      <c r="CL81" s="48">
        <v>-1530</v>
      </c>
      <c r="CM81" s="48">
        <v>-675</v>
      </c>
      <c r="CN81" s="48">
        <v>-1325</v>
      </c>
      <c r="CO81" s="48">
        <v>-1825</v>
      </c>
      <c r="CP81" s="48">
        <v>-1375</v>
      </c>
      <c r="CQ81" s="48">
        <v>-1100</v>
      </c>
      <c r="CR81" s="48">
        <v>-1800</v>
      </c>
      <c r="CS81" s="48">
        <v>-2325</v>
      </c>
      <c r="CT81" s="48">
        <v>-1725</v>
      </c>
      <c r="CU81" s="48">
        <v>-980</v>
      </c>
      <c r="CV81" s="48">
        <v>-2150</v>
      </c>
      <c r="CW81" s="48">
        <v>-3950</v>
      </c>
      <c r="CX81" s="48">
        <v>-5650</v>
      </c>
      <c r="CY81" s="48">
        <v>-3350</v>
      </c>
      <c r="CZ81" s="48">
        <v>-4350</v>
      </c>
      <c r="DA81" s="48">
        <v>-4100</v>
      </c>
      <c r="DB81" s="48">
        <v>-3025</v>
      </c>
      <c r="DC81" s="48">
        <v>-4575</v>
      </c>
      <c r="DD81" s="48">
        <v>-5225</v>
      </c>
      <c r="DE81" s="48">
        <f>VLOOKUP($C81,'[2]Analysis 1'!$C$5:$DG$1025,107,FALSE)</f>
        <v>-7075</v>
      </c>
      <c r="DF81" s="48">
        <f>VLOOKUP($C81,'[2]Analysis 1'!$C$5:$DG$1025,108,FALSE)</f>
        <v>-6250</v>
      </c>
      <c r="DG81" s="48">
        <f>VLOOKUP($C81,'[2]Analysis 1'!$C$5:$DG$1025,109,FALSE)</f>
        <v>-6750</v>
      </c>
      <c r="DH81" s="369">
        <f t="shared" si="2"/>
        <v>-56450</v>
      </c>
    </row>
    <row r="82" spans="1:112">
      <c r="A82" s="357" t="str">
        <f t="shared" si="3"/>
        <v>4880105</v>
      </c>
      <c r="B82" s="350" t="s">
        <v>1916</v>
      </c>
      <c r="C82" s="335" t="s">
        <v>1011</v>
      </c>
      <c r="D82" s="340">
        <v>-18777.830000000002</v>
      </c>
      <c r="E82" s="340">
        <v>-18166.349999999999</v>
      </c>
      <c r="F82" s="340">
        <v>-15035.4</v>
      </c>
      <c r="G82" s="340">
        <v>-16875.23</v>
      </c>
      <c r="H82" s="340">
        <v>-16193.32</v>
      </c>
      <c r="I82" s="340">
        <v>-18991.64</v>
      </c>
      <c r="J82" s="340">
        <v>-17500.71</v>
      </c>
      <c r="K82" s="340">
        <v>-19087.32</v>
      </c>
      <c r="L82" s="340">
        <v>-19321.560000000001</v>
      </c>
      <c r="M82" s="340">
        <v>-19248.7</v>
      </c>
      <c r="N82" s="340">
        <v>-18749.3</v>
      </c>
      <c r="O82" s="341">
        <v>-19966.099999999999</v>
      </c>
      <c r="P82" s="48">
        <v>-18845.849999999999</v>
      </c>
      <c r="Q82" s="48">
        <v>-18656.330000000002</v>
      </c>
      <c r="R82" s="48">
        <v>-18485.240000000002</v>
      </c>
      <c r="S82" s="48">
        <v>-17388.52</v>
      </c>
      <c r="T82" s="48">
        <v>-15709.4</v>
      </c>
      <c r="U82" s="48">
        <v>-17152.79</v>
      </c>
      <c r="V82" s="48">
        <v>-17676.84</v>
      </c>
      <c r="W82" s="48">
        <v>-17067.97</v>
      </c>
      <c r="X82" s="48">
        <v>-19544.16</v>
      </c>
      <c r="Y82" s="48">
        <v>-18756.66</v>
      </c>
      <c r="Z82" s="48">
        <v>-19905.72</v>
      </c>
      <c r="AA82" s="48">
        <v>-19733.84</v>
      </c>
      <c r="AB82" s="48">
        <v>-21853.9</v>
      </c>
      <c r="AC82" s="48">
        <v>-19058.71</v>
      </c>
      <c r="AD82" s="48">
        <v>-18778.05</v>
      </c>
      <c r="AE82" s="48">
        <v>-16710.560000000001</v>
      </c>
      <c r="AF82" s="48">
        <v>-17469.86</v>
      </c>
      <c r="AG82" s="48">
        <v>-20207.060000000001</v>
      </c>
      <c r="AH82" s="48">
        <v>-17938.57</v>
      </c>
      <c r="AI82" s="48">
        <v>-20711.23</v>
      </c>
      <c r="AJ82" s="48">
        <v>-20405.330000000002</v>
      </c>
      <c r="AK82" s="48">
        <v>-17596.54</v>
      </c>
      <c r="AL82" s="48">
        <v>-19380.240000000002</v>
      </c>
      <c r="AM82" s="48">
        <v>-26086.14</v>
      </c>
      <c r="AN82" s="48">
        <v>-21363</v>
      </c>
      <c r="AO82" s="48">
        <v>-15040.64</v>
      </c>
      <c r="AP82" s="48">
        <v>-9411.41</v>
      </c>
      <c r="AQ82" s="48">
        <v>-13341.25</v>
      </c>
      <c r="AR82" s="48">
        <v>-13699.85</v>
      </c>
      <c r="AS82" s="48">
        <v>-17195.39</v>
      </c>
      <c r="AT82" s="48">
        <v>-16052.34</v>
      </c>
      <c r="AU82" s="48">
        <v>-14922.44</v>
      </c>
      <c r="AV82" s="48">
        <v>-11911.87</v>
      </c>
      <c r="AW82" s="48">
        <v>-14980.95</v>
      </c>
      <c r="AX82" s="48">
        <v>-17140.05</v>
      </c>
      <c r="AY82" s="48">
        <v>-7175.06</v>
      </c>
      <c r="AZ82" s="48">
        <v>-16507.080000000002</v>
      </c>
      <c r="BA82" s="48">
        <v>-15825.7</v>
      </c>
      <c r="BB82" s="48">
        <v>-16037.63</v>
      </c>
      <c r="BC82" s="48">
        <v>-13416.9</v>
      </c>
      <c r="BD82" s="48">
        <v>-17107.650000000001</v>
      </c>
      <c r="BE82" s="48">
        <v>-14521.51</v>
      </c>
      <c r="BF82" s="48">
        <v>-17082.05</v>
      </c>
      <c r="BG82" s="48">
        <v>-16848.29</v>
      </c>
      <c r="BH82" s="48">
        <v>-15027.48</v>
      </c>
      <c r="BI82" s="48">
        <v>-18418.95</v>
      </c>
      <c r="BJ82" s="48">
        <v>-12486.04</v>
      </c>
      <c r="BK82" s="48">
        <v>-15140.78</v>
      </c>
      <c r="BL82" s="48">
        <v>-18595.259999999998</v>
      </c>
      <c r="BM82" s="48">
        <v>-17093.14</v>
      </c>
      <c r="BN82" s="48">
        <v>-12896.52</v>
      </c>
      <c r="BO82" s="48">
        <v>-12843.94</v>
      </c>
      <c r="BP82" s="48">
        <v>-15596.65</v>
      </c>
      <c r="BQ82" s="48">
        <v>-15654.17</v>
      </c>
      <c r="BR82" s="48">
        <v>-18864.54</v>
      </c>
      <c r="BS82" s="48">
        <v>-15242.28</v>
      </c>
      <c r="BT82" s="48">
        <v>-15403.24</v>
      </c>
      <c r="BU82" s="48">
        <v>-19309.38</v>
      </c>
      <c r="BV82" s="48">
        <v>-14429.89</v>
      </c>
      <c r="BW82" s="48">
        <v>-20890.91</v>
      </c>
      <c r="BX82" s="48">
        <v>-19362.68</v>
      </c>
      <c r="BY82" s="48">
        <v>-16902.810000000001</v>
      </c>
      <c r="BZ82" s="48">
        <v>-15658.44</v>
      </c>
      <c r="CA82" s="48">
        <v>-15000.56</v>
      </c>
      <c r="CB82" s="48">
        <v>-9837.09</v>
      </c>
      <c r="CC82" s="48">
        <v>-9094.69</v>
      </c>
      <c r="CD82" s="48">
        <v>-11052.97</v>
      </c>
      <c r="CE82" s="48">
        <v>-8229.6299999999992</v>
      </c>
      <c r="CF82" s="48">
        <v>-11184.87</v>
      </c>
      <c r="CG82" s="48">
        <v>-13906.26</v>
      </c>
      <c r="CH82" s="48">
        <v>-14102.69</v>
      </c>
      <c r="CI82" s="48">
        <v>-16740.11</v>
      </c>
      <c r="CJ82" s="48">
        <v>-13290.81</v>
      </c>
      <c r="CK82" s="48">
        <v>-13374.89</v>
      </c>
      <c r="CL82" s="48">
        <v>-14618.87</v>
      </c>
      <c r="CM82" s="48">
        <v>-13548.39</v>
      </c>
      <c r="CN82" s="48">
        <v>-12712.41</v>
      </c>
      <c r="CO82" s="48">
        <v>-15053.43</v>
      </c>
      <c r="CP82" s="48">
        <v>-14449.93</v>
      </c>
      <c r="CQ82" s="48">
        <v>-16590</v>
      </c>
      <c r="CR82" s="48">
        <v>-16221.17</v>
      </c>
      <c r="CS82" s="48">
        <v>-16417.099999999999</v>
      </c>
      <c r="CT82" s="48">
        <v>-17005.490000000002</v>
      </c>
      <c r="CU82" s="48">
        <v>-19413.47</v>
      </c>
      <c r="CV82" s="48">
        <v>-21359.42</v>
      </c>
      <c r="CW82" s="48">
        <v>-22998.76</v>
      </c>
      <c r="CX82" s="48">
        <v>-21489.81</v>
      </c>
      <c r="CY82" s="48">
        <v>-26172.37</v>
      </c>
      <c r="CZ82" s="48">
        <v>-19752.27</v>
      </c>
      <c r="DA82" s="48">
        <v>-22988.23</v>
      </c>
      <c r="DB82" s="48">
        <v>-24755.25</v>
      </c>
      <c r="DC82" s="48">
        <v>-21781.67</v>
      </c>
      <c r="DD82" s="48">
        <v>-25449.439999999999</v>
      </c>
      <c r="DE82" s="48">
        <f>VLOOKUP($C82,'[2]Analysis 1'!$C$5:$DG$1025,107,FALSE)</f>
        <v>-23804.77</v>
      </c>
      <c r="DF82" s="48">
        <f>VLOOKUP($C82,'[2]Analysis 1'!$C$5:$DG$1025,108,FALSE)</f>
        <v>-27564.04</v>
      </c>
      <c r="DG82" s="48">
        <f>VLOOKUP($C82,'[2]Analysis 1'!$C$5:$DG$1025,109,FALSE)</f>
        <v>-25783.01</v>
      </c>
      <c r="DH82" s="369">
        <f t="shared" si="2"/>
        <v>-283899.03999999998</v>
      </c>
    </row>
    <row r="83" spans="1:112">
      <c r="A83" s="357" t="str">
        <f t="shared" si="3"/>
        <v>4880106</v>
      </c>
      <c r="B83" s="350" t="s">
        <v>1917</v>
      </c>
      <c r="C83" s="335" t="s">
        <v>1012</v>
      </c>
      <c r="D83" s="340">
        <v>-5750</v>
      </c>
      <c r="E83" s="340">
        <v>-7460</v>
      </c>
      <c r="F83" s="340">
        <v>-6655</v>
      </c>
      <c r="G83" s="340">
        <v>-5710</v>
      </c>
      <c r="H83" s="340">
        <v>-7250</v>
      </c>
      <c r="I83" s="340">
        <v>-8250</v>
      </c>
      <c r="J83" s="340">
        <v>-7405</v>
      </c>
      <c r="K83" s="340">
        <v>-8375</v>
      </c>
      <c r="L83" s="340">
        <v>-6575</v>
      </c>
      <c r="M83" s="340">
        <v>-8175</v>
      </c>
      <c r="N83" s="340">
        <v>-6150</v>
      </c>
      <c r="O83" s="341">
        <v>-7450</v>
      </c>
      <c r="P83" s="48">
        <v>-6225</v>
      </c>
      <c r="Q83" s="48">
        <v>-8275</v>
      </c>
      <c r="R83" s="48">
        <v>-7825</v>
      </c>
      <c r="S83" s="48">
        <v>-5925</v>
      </c>
      <c r="T83" s="48">
        <v>-6580</v>
      </c>
      <c r="U83" s="48">
        <v>-5935</v>
      </c>
      <c r="V83" s="48">
        <v>-5900</v>
      </c>
      <c r="W83" s="48">
        <v>-6350</v>
      </c>
      <c r="X83" s="48">
        <v>-6925</v>
      </c>
      <c r="Y83" s="48">
        <v>-8010</v>
      </c>
      <c r="Z83" s="48">
        <v>-6100</v>
      </c>
      <c r="AA83" s="48">
        <v>-6000</v>
      </c>
      <c r="AB83" s="48">
        <v>-5925</v>
      </c>
      <c r="AC83" s="48">
        <v>-6700</v>
      </c>
      <c r="AD83" s="48">
        <v>-6875</v>
      </c>
      <c r="AE83" s="48">
        <v>-6025</v>
      </c>
      <c r="AF83" s="48">
        <v>-6150</v>
      </c>
      <c r="AG83" s="48">
        <v>-7247</v>
      </c>
      <c r="AH83" s="48">
        <v>-5645</v>
      </c>
      <c r="AI83" s="48">
        <v>-7715</v>
      </c>
      <c r="AJ83" s="48">
        <v>-6415</v>
      </c>
      <c r="AK83" s="48">
        <v>-6375</v>
      </c>
      <c r="AL83" s="48">
        <v>-7250</v>
      </c>
      <c r="AM83" s="48">
        <v>-7030</v>
      </c>
      <c r="AN83" s="48">
        <v>-7550</v>
      </c>
      <c r="AO83" s="48">
        <v>-6575</v>
      </c>
      <c r="AP83" s="48">
        <v>-6800</v>
      </c>
      <c r="AQ83" s="48">
        <v>-4625</v>
      </c>
      <c r="AR83" s="48">
        <v>-6475</v>
      </c>
      <c r="AS83" s="48">
        <v>-5675</v>
      </c>
      <c r="AT83" s="48">
        <v>-4875</v>
      </c>
      <c r="AU83" s="48">
        <v>-6300</v>
      </c>
      <c r="AV83" s="48">
        <v>-5450</v>
      </c>
      <c r="AW83" s="48">
        <v>-5300</v>
      </c>
      <c r="AX83" s="48">
        <v>-4625</v>
      </c>
      <c r="AY83" s="48">
        <v>-4425</v>
      </c>
      <c r="AZ83" s="48">
        <v>-4825</v>
      </c>
      <c r="BA83" s="48">
        <v>-5875</v>
      </c>
      <c r="BB83" s="48">
        <v>-6725</v>
      </c>
      <c r="BC83" s="48">
        <v>-6075</v>
      </c>
      <c r="BD83" s="48">
        <v>-5975</v>
      </c>
      <c r="BE83" s="48">
        <v>-6500</v>
      </c>
      <c r="BF83" s="48">
        <v>-6350</v>
      </c>
      <c r="BG83" s="48">
        <v>-7050</v>
      </c>
      <c r="BH83" s="48">
        <v>-5925</v>
      </c>
      <c r="BI83" s="48">
        <v>-6350</v>
      </c>
      <c r="BJ83" s="48">
        <v>-6275</v>
      </c>
      <c r="BK83" s="48">
        <v>-5050</v>
      </c>
      <c r="BL83" s="48">
        <v>-4600</v>
      </c>
      <c r="BM83" s="48">
        <v>-5300</v>
      </c>
      <c r="BN83" s="48">
        <v>-6500</v>
      </c>
      <c r="BO83" s="48">
        <v>-6250</v>
      </c>
      <c r="BP83" s="48">
        <v>-6825</v>
      </c>
      <c r="BQ83" s="48">
        <v>-5300</v>
      </c>
      <c r="BR83" s="48">
        <v>-6950</v>
      </c>
      <c r="BS83" s="48">
        <v>-6750</v>
      </c>
      <c r="BT83" s="48">
        <v>-5925</v>
      </c>
      <c r="BU83" s="48">
        <v>-5675</v>
      </c>
      <c r="BV83" s="48">
        <v>-5925</v>
      </c>
      <c r="BW83" s="48">
        <v>-5700</v>
      </c>
      <c r="BX83" s="48">
        <v>-5200</v>
      </c>
      <c r="BY83" s="48">
        <v>-4625</v>
      </c>
      <c r="BZ83" s="48">
        <v>-5000</v>
      </c>
      <c r="CA83" s="48">
        <v>-2300</v>
      </c>
      <c r="CB83" s="48">
        <v>-2500</v>
      </c>
      <c r="CC83" s="48">
        <v>-3075</v>
      </c>
      <c r="CD83" s="48">
        <v>-3275</v>
      </c>
      <c r="CE83" s="48">
        <v>-2700</v>
      </c>
      <c r="CF83" s="48">
        <v>-3175</v>
      </c>
      <c r="CG83" s="48">
        <v>-3375</v>
      </c>
      <c r="CH83" s="48">
        <v>-3300</v>
      </c>
      <c r="CI83" s="48">
        <v>-3250</v>
      </c>
      <c r="CJ83" s="48">
        <v>-2575</v>
      </c>
      <c r="CK83" s="48">
        <v>-3350</v>
      </c>
      <c r="CL83" s="48">
        <v>-4125</v>
      </c>
      <c r="CM83" s="48">
        <v>-4800</v>
      </c>
      <c r="CN83" s="48">
        <v>-3700</v>
      </c>
      <c r="CO83" s="48">
        <v>-4275</v>
      </c>
      <c r="CP83" s="48">
        <v>-3950</v>
      </c>
      <c r="CQ83" s="48">
        <v>-4725</v>
      </c>
      <c r="CR83" s="48">
        <v>-3800</v>
      </c>
      <c r="CS83" s="48">
        <v>-4050</v>
      </c>
      <c r="CT83" s="48">
        <v>-3675</v>
      </c>
      <c r="CU83" s="48">
        <v>-3475</v>
      </c>
      <c r="CV83" s="48">
        <v>-2225</v>
      </c>
      <c r="CW83" s="48">
        <v>-3225</v>
      </c>
      <c r="CX83" s="48">
        <v>-3375</v>
      </c>
      <c r="CY83" s="48">
        <v>-2750</v>
      </c>
      <c r="CZ83" s="48">
        <v>-3125</v>
      </c>
      <c r="DA83" s="48">
        <v>-4225</v>
      </c>
      <c r="DB83" s="48">
        <v>-4075</v>
      </c>
      <c r="DC83" s="48">
        <v>-4225</v>
      </c>
      <c r="DD83" s="48">
        <v>-3450</v>
      </c>
      <c r="DE83" s="48">
        <f>VLOOKUP($C83,'[2]Analysis 1'!$C$5:$DG$1025,107,FALSE)</f>
        <v>-4025</v>
      </c>
      <c r="DF83" s="48">
        <f>VLOOKUP($C83,'[2]Analysis 1'!$C$5:$DG$1025,108,FALSE)</f>
        <v>-3700</v>
      </c>
      <c r="DG83" s="48">
        <f>VLOOKUP($C83,'[2]Analysis 1'!$C$5:$DG$1025,109,FALSE)</f>
        <v>-3950</v>
      </c>
      <c r="DH83" s="369">
        <f t="shared" si="2"/>
        <v>-42350</v>
      </c>
    </row>
    <row r="84" spans="1:112">
      <c r="A84" s="357" t="str">
        <f t="shared" si="3"/>
        <v>4880107</v>
      </c>
      <c r="B84" s="350" t="s">
        <v>1918</v>
      </c>
      <c r="C84" s="335" t="s">
        <v>1013</v>
      </c>
      <c r="D84" s="367">
        <v>-1780</v>
      </c>
      <c r="E84" s="367">
        <v>-1760</v>
      </c>
      <c r="F84" s="367">
        <v>-5195</v>
      </c>
      <c r="G84" s="367">
        <v>-13200</v>
      </c>
      <c r="H84" s="367">
        <v>-7740</v>
      </c>
      <c r="I84" s="367">
        <v>-4975</v>
      </c>
      <c r="J84" s="367">
        <v>-4738.49</v>
      </c>
      <c r="K84" s="367">
        <v>-3040</v>
      </c>
      <c r="L84" s="367">
        <v>-2600</v>
      </c>
      <c r="M84" s="367">
        <v>-2680</v>
      </c>
      <c r="N84" s="367">
        <v>-2130</v>
      </c>
      <c r="O84" s="368">
        <v>-1050</v>
      </c>
      <c r="P84" s="48">
        <v>-1120</v>
      </c>
      <c r="Q84" s="48">
        <v>-1800</v>
      </c>
      <c r="R84" s="48">
        <v>-6880</v>
      </c>
      <c r="S84" s="48">
        <v>-11500</v>
      </c>
      <c r="T84" s="48">
        <v>-7970</v>
      </c>
      <c r="U84" s="48">
        <v>-7510</v>
      </c>
      <c r="V84" s="48">
        <v>-3470</v>
      </c>
      <c r="W84" s="48">
        <v>-3385</v>
      </c>
      <c r="X84" s="48">
        <v>-2851.22</v>
      </c>
      <c r="Y84" s="48">
        <v>-2240</v>
      </c>
      <c r="Z84" s="48">
        <v>-2260</v>
      </c>
      <c r="AA84" s="48">
        <v>-1700</v>
      </c>
      <c r="AB84" s="48">
        <v>-1895</v>
      </c>
      <c r="AC84" s="48">
        <v>-1950</v>
      </c>
      <c r="AD84" s="48">
        <v>-5660</v>
      </c>
      <c r="AE84" s="48">
        <v>-10155</v>
      </c>
      <c r="AF84" s="48">
        <v>-7530</v>
      </c>
      <c r="AG84" s="48">
        <v>-5255</v>
      </c>
      <c r="AH84" s="48">
        <v>-4680</v>
      </c>
      <c r="AI84" s="48">
        <v>-4440</v>
      </c>
      <c r="AJ84" s="48">
        <v>-3819.18</v>
      </c>
      <c r="AK84" s="48">
        <v>-3260</v>
      </c>
      <c r="AL84" s="48">
        <v>-2534.4499999999998</v>
      </c>
      <c r="AM84" s="48">
        <v>-1320</v>
      </c>
      <c r="AN84" s="48">
        <v>-300</v>
      </c>
      <c r="AO84" s="48">
        <v>-320</v>
      </c>
      <c r="AP84" s="48">
        <v>-760</v>
      </c>
      <c r="AQ84" s="48">
        <v>-1160</v>
      </c>
      <c r="AR84" s="48">
        <v>-1300</v>
      </c>
      <c r="AS84" s="48">
        <v>-1060</v>
      </c>
      <c r="AT84" s="48">
        <v>-920</v>
      </c>
      <c r="AU84" s="48">
        <v>-800</v>
      </c>
      <c r="AV84" s="48">
        <v>-460</v>
      </c>
      <c r="AW84" s="48">
        <v>-440</v>
      </c>
      <c r="AX84" s="48">
        <v>-360</v>
      </c>
      <c r="AY84" s="48">
        <v>-160</v>
      </c>
      <c r="AZ84" s="48">
        <v>-300</v>
      </c>
      <c r="BA84" s="48">
        <v>-280</v>
      </c>
      <c r="BB84" s="48">
        <v>-400</v>
      </c>
      <c r="BC84" s="48">
        <v>-1200</v>
      </c>
      <c r="BD84" s="48">
        <v>-780</v>
      </c>
      <c r="BE84" s="48">
        <v>-580</v>
      </c>
      <c r="BF84" s="48">
        <v>-620</v>
      </c>
      <c r="BG84" s="48">
        <v>-680</v>
      </c>
      <c r="BH84" s="48">
        <v>-320</v>
      </c>
      <c r="BI84" s="48">
        <v>-600</v>
      </c>
      <c r="BJ84" s="48">
        <v>-240</v>
      </c>
      <c r="BK84" s="48">
        <v>-140</v>
      </c>
      <c r="BL84" s="48">
        <v>-180</v>
      </c>
      <c r="BM84" s="48">
        <v>-160</v>
      </c>
      <c r="BN84" s="48">
        <v>-260</v>
      </c>
      <c r="BO84" s="48">
        <v>-880</v>
      </c>
      <c r="BP84" s="48">
        <v>-840</v>
      </c>
      <c r="BQ84" s="48">
        <v>-480</v>
      </c>
      <c r="BR84" s="48">
        <v>-300</v>
      </c>
      <c r="BS84" s="48">
        <v>-320</v>
      </c>
      <c r="BT84" s="48">
        <v>-220</v>
      </c>
      <c r="BU84" s="48">
        <v>-400</v>
      </c>
      <c r="BV84" s="48">
        <v>-220</v>
      </c>
      <c r="BW84" s="48">
        <v>-160</v>
      </c>
      <c r="BX84" s="48">
        <v>-160</v>
      </c>
      <c r="BY84" s="48">
        <v>-180</v>
      </c>
      <c r="BZ84" s="48">
        <v>-580</v>
      </c>
      <c r="CA84" s="48">
        <v>-300</v>
      </c>
      <c r="CB84" s="48">
        <v>-540</v>
      </c>
      <c r="CC84" s="48">
        <v>-620</v>
      </c>
      <c r="CD84" s="48">
        <v>-1580</v>
      </c>
      <c r="CE84" s="48">
        <v>-1240</v>
      </c>
      <c r="CF84" s="48">
        <v>-1020</v>
      </c>
      <c r="CG84" s="48">
        <v>-880</v>
      </c>
      <c r="CH84" s="48">
        <v>-1240</v>
      </c>
      <c r="CI84" s="48">
        <v>-700</v>
      </c>
      <c r="CJ84" s="48">
        <v>-1200</v>
      </c>
      <c r="CK84" s="48">
        <v>-810</v>
      </c>
      <c r="CL84" s="48">
        <v>-1230</v>
      </c>
      <c r="CM84" s="48">
        <v>-1710</v>
      </c>
      <c r="CN84" s="48">
        <v>-2204</v>
      </c>
      <c r="CO84" s="48">
        <v>-2920</v>
      </c>
      <c r="CP84" s="48">
        <v>-2160</v>
      </c>
      <c r="CQ84" s="48">
        <v>-3170</v>
      </c>
      <c r="CR84" s="48">
        <v>-2635</v>
      </c>
      <c r="CS84" s="48">
        <v>-2010</v>
      </c>
      <c r="CT84" s="48">
        <v>-1155</v>
      </c>
      <c r="CU84" s="48">
        <v>-1740</v>
      </c>
      <c r="CV84" s="48">
        <v>-1320</v>
      </c>
      <c r="CW84" s="48">
        <v>-1215</v>
      </c>
      <c r="CX84" s="48">
        <v>-1525</v>
      </c>
      <c r="CY84" s="48">
        <v>-2250</v>
      </c>
      <c r="CZ84" s="48">
        <v>-3450</v>
      </c>
      <c r="DA84" s="48">
        <v>-3290</v>
      </c>
      <c r="DB84" s="48">
        <v>-2860</v>
      </c>
      <c r="DC84" s="48">
        <v>-2975</v>
      </c>
      <c r="DD84" s="48">
        <v>-1755</v>
      </c>
      <c r="DE84" s="48">
        <f>VLOOKUP($C84,'[2]Analysis 1'!$C$5:$DG$1025,107,FALSE)</f>
        <v>-2120</v>
      </c>
      <c r="DF84" s="48">
        <f>VLOOKUP($C84,'[2]Analysis 1'!$C$5:$DG$1025,108,FALSE)</f>
        <v>-1585</v>
      </c>
      <c r="DG84" s="48">
        <f>VLOOKUP($C84,'[2]Analysis 1'!$C$5:$DG$1025,109,FALSE)</f>
        <v>-520</v>
      </c>
      <c r="DH84" s="369">
        <f t="shared" si="2"/>
        <v>-24865</v>
      </c>
    </row>
    <row r="85" spans="1:112">
      <c r="A85" s="357" t="str">
        <f t="shared" si="3"/>
        <v>4880108</v>
      </c>
      <c r="B85" s="350" t="s">
        <v>1779</v>
      </c>
      <c r="C85" s="335" t="s">
        <v>1766</v>
      </c>
      <c r="D85" s="367"/>
      <c r="E85" s="367"/>
      <c r="F85" s="367"/>
      <c r="G85" s="367"/>
      <c r="H85" s="367"/>
      <c r="I85" s="367"/>
      <c r="J85" s="367"/>
      <c r="K85" s="367"/>
      <c r="L85" s="367"/>
      <c r="M85" s="367"/>
      <c r="N85" s="367"/>
      <c r="O85" s="36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v>43141.08</v>
      </c>
      <c r="AO85" s="48">
        <v>5300.78</v>
      </c>
      <c r="AP85" s="48">
        <v>-3369.24</v>
      </c>
      <c r="AQ85" s="48">
        <v>10065.379999999999</v>
      </c>
      <c r="AR85" s="48">
        <v>-10494.58</v>
      </c>
      <c r="AS85" s="48">
        <v>2927.67</v>
      </c>
      <c r="AT85" s="48">
        <v>3739.84</v>
      </c>
      <c r="AU85" s="48">
        <v>4000.89</v>
      </c>
      <c r="AV85" s="48">
        <v>5351.32</v>
      </c>
      <c r="AW85" s="48">
        <v>3986.59</v>
      </c>
      <c r="AX85" s="48">
        <v>3746.65</v>
      </c>
      <c r="AY85" s="48">
        <v>-5127.8599999999997</v>
      </c>
      <c r="AZ85" s="48">
        <v>462.15</v>
      </c>
      <c r="BA85" s="48">
        <v>455.19</v>
      </c>
      <c r="BB85" s="48">
        <v>6768.89</v>
      </c>
      <c r="BC85" s="48">
        <v>285.07</v>
      </c>
      <c r="BD85" s="48">
        <v>7701.63</v>
      </c>
      <c r="BE85" s="48">
        <v>276.94</v>
      </c>
      <c r="BF85" s="48">
        <v>7690.41</v>
      </c>
      <c r="BG85" s="48">
        <v>3285.86</v>
      </c>
      <c r="BH85" s="48">
        <v>5640.79</v>
      </c>
      <c r="BI85" s="48">
        <v>56371.31</v>
      </c>
      <c r="BJ85" s="48">
        <v>406.59</v>
      </c>
      <c r="BK85" s="48">
        <v>587.4</v>
      </c>
      <c r="BL85" s="48">
        <v>802.93</v>
      </c>
      <c r="BM85" s="48">
        <v>941.18</v>
      </c>
      <c r="BN85" s="48">
        <v>2210.5500000000002</v>
      </c>
      <c r="BO85" s="48">
        <v>779.32</v>
      </c>
      <c r="BP85" s="48">
        <v>2425.86</v>
      </c>
      <c r="BQ85" s="48">
        <v>-47.52</v>
      </c>
      <c r="BR85" s="48">
        <v>2244.39</v>
      </c>
      <c r="BS85" s="48">
        <v>266.66000000000003</v>
      </c>
      <c r="BT85" s="48">
        <v>167.98</v>
      </c>
      <c r="BU85" s="48">
        <v>8298.49</v>
      </c>
      <c r="BV85" s="48">
        <v>104.96</v>
      </c>
      <c r="BW85" s="48">
        <v>165.76</v>
      </c>
      <c r="BX85" s="48">
        <v>904.96</v>
      </c>
      <c r="BY85" s="48">
        <v>-512.39</v>
      </c>
      <c r="BZ85" s="48">
        <v>128.82</v>
      </c>
      <c r="CA85" s="48">
        <v>0</v>
      </c>
      <c r="CB85" s="48">
        <v>108.84</v>
      </c>
      <c r="CC85" s="48">
        <v>165.73</v>
      </c>
      <c r="CD85" s="48">
        <v>28.5</v>
      </c>
      <c r="CE85" s="48">
        <v>2427.14</v>
      </c>
      <c r="CF85" s="48">
        <v>-904.61</v>
      </c>
      <c r="CG85" s="48">
        <v>146.11000000000001</v>
      </c>
      <c r="CH85" s="48">
        <v>12.66</v>
      </c>
      <c r="CI85" s="48">
        <v>1390.05</v>
      </c>
      <c r="CJ85" s="48">
        <v>-2023.98</v>
      </c>
      <c r="CK85" s="48">
        <v>16274.57</v>
      </c>
      <c r="CL85" s="48">
        <v>387519.35</v>
      </c>
      <c r="CM85" s="48">
        <v>2839.05</v>
      </c>
      <c r="CN85" s="48">
        <v>66599</v>
      </c>
      <c r="CO85" s="48">
        <v>-9436.89</v>
      </c>
      <c r="CP85" s="48">
        <v>104.99</v>
      </c>
      <c r="CQ85" s="48">
        <v>-1605.09</v>
      </c>
      <c r="CR85" s="48">
        <v>90.72</v>
      </c>
      <c r="CS85" s="48">
        <v>3890.09</v>
      </c>
      <c r="CT85" s="48">
        <v>18641.72</v>
      </c>
      <c r="CU85" s="48">
        <v>195.41</v>
      </c>
      <c r="CV85" s="48">
        <v>1946.49</v>
      </c>
      <c r="CW85" s="48">
        <v>122.7</v>
      </c>
      <c r="CX85" s="48">
        <v>470.56</v>
      </c>
      <c r="CY85" s="48">
        <v>3177.92</v>
      </c>
      <c r="CZ85" s="48">
        <v>1300.46</v>
      </c>
      <c r="DA85" s="48">
        <v>6143.8</v>
      </c>
      <c r="DB85" s="48">
        <v>801.51</v>
      </c>
      <c r="DC85" s="48">
        <v>230.84</v>
      </c>
      <c r="DD85" s="48">
        <v>203.22</v>
      </c>
      <c r="DE85" s="48">
        <f>VLOOKUP($C85,'[2]Analysis 1'!$C$5:$DG$1025,107,FALSE)</f>
        <v>89.78</v>
      </c>
      <c r="DF85" s="48">
        <f>VLOOKUP($C85,'[2]Analysis 1'!$C$5:$DG$1025,108,FALSE)</f>
        <v>430.17</v>
      </c>
      <c r="DG85" s="48">
        <f>VLOOKUP($C85,'[2]Analysis 1'!$C$5:$DG$1025,109,FALSE)</f>
        <v>0</v>
      </c>
      <c r="DH85" s="369">
        <f t="shared" si="2"/>
        <v>14917.45</v>
      </c>
    </row>
    <row r="86" spans="1:112">
      <c r="A86" s="357" t="str">
        <f t="shared" si="3"/>
        <v>4880111</v>
      </c>
      <c r="B86" s="350" t="s">
        <v>1919</v>
      </c>
      <c r="C86" s="335" t="s">
        <v>1014</v>
      </c>
      <c r="D86" s="367">
        <v>-44928</v>
      </c>
      <c r="E86" s="367">
        <v>-46656</v>
      </c>
      <c r="F86" s="367">
        <v>-45792</v>
      </c>
      <c r="G86" s="367">
        <v>-46080</v>
      </c>
      <c r="H86" s="367">
        <v>-46656</v>
      </c>
      <c r="I86" s="367">
        <v>-46800</v>
      </c>
      <c r="J86" s="367">
        <v>-43920</v>
      </c>
      <c r="K86" s="367">
        <v>-44784</v>
      </c>
      <c r="L86" s="367">
        <v>-47664</v>
      </c>
      <c r="M86" s="367">
        <v>-46080</v>
      </c>
      <c r="N86" s="367">
        <v>-44784</v>
      </c>
      <c r="O86" s="368">
        <v>-47088</v>
      </c>
      <c r="P86" s="48">
        <v>-46224</v>
      </c>
      <c r="Q86" s="48">
        <v>-45216</v>
      </c>
      <c r="R86" s="48">
        <v>-46944</v>
      </c>
      <c r="S86" s="48">
        <v>-45360</v>
      </c>
      <c r="T86" s="48">
        <v>-47088</v>
      </c>
      <c r="U86" s="48">
        <v>-42624</v>
      </c>
      <c r="V86" s="48">
        <v>-45360</v>
      </c>
      <c r="W86" s="48">
        <v>-46512</v>
      </c>
      <c r="X86" s="48">
        <v>-45936</v>
      </c>
      <c r="Y86" s="48">
        <v>-45504</v>
      </c>
      <c r="Z86" s="48">
        <v>-46368</v>
      </c>
      <c r="AA86" s="48">
        <v>-45792</v>
      </c>
      <c r="AB86" s="48">
        <v>-46368</v>
      </c>
      <c r="AC86" s="48">
        <v>-46368</v>
      </c>
      <c r="AD86" s="48">
        <v>-45936</v>
      </c>
      <c r="AE86" s="48">
        <v>-45504</v>
      </c>
      <c r="AF86" s="48">
        <v>-45792</v>
      </c>
      <c r="AG86" s="48">
        <v>-45648</v>
      </c>
      <c r="AH86" s="48">
        <v>-45648</v>
      </c>
      <c r="AI86" s="48">
        <v>-45648</v>
      </c>
      <c r="AJ86" s="48">
        <v>-45648</v>
      </c>
      <c r="AK86" s="48">
        <v>-45360</v>
      </c>
      <c r="AL86" s="48">
        <v>-44496</v>
      </c>
      <c r="AM86" s="48">
        <v>-48096</v>
      </c>
      <c r="AN86" s="48">
        <v>-44928</v>
      </c>
      <c r="AO86" s="48">
        <v>-43488</v>
      </c>
      <c r="AP86" s="48">
        <v>-50256</v>
      </c>
      <c r="AQ86" s="48">
        <v>-46815.33</v>
      </c>
      <c r="AR86" s="48">
        <v>-45615.33</v>
      </c>
      <c r="AS86" s="48">
        <v>-47107.199999999997</v>
      </c>
      <c r="AT86" s="48">
        <v>-46425.599999999999</v>
      </c>
      <c r="AU86" s="48">
        <v>-46593.599999999999</v>
      </c>
      <c r="AV86" s="48">
        <v>-46800</v>
      </c>
      <c r="AW86" s="48">
        <v>-46387.199999999997</v>
      </c>
      <c r="AX86" s="48">
        <v>-47529.599999999999</v>
      </c>
      <c r="AY86" s="48">
        <v>-47222.400000000001</v>
      </c>
      <c r="AZ86" s="48">
        <v>-46800</v>
      </c>
      <c r="BA86" s="48">
        <v>-46656</v>
      </c>
      <c r="BB86" s="48">
        <v>-48384</v>
      </c>
      <c r="BC86" s="48">
        <v>-56064</v>
      </c>
      <c r="BD86" s="48">
        <v>-48960</v>
      </c>
      <c r="BE86" s="48">
        <v>-48566.400000000001</v>
      </c>
      <c r="BF86" s="48">
        <v>-48384</v>
      </c>
      <c r="BG86" s="48">
        <v>-48672</v>
      </c>
      <c r="BH86" s="48">
        <v>-47232</v>
      </c>
      <c r="BI86" s="48">
        <v>-48709.16</v>
      </c>
      <c r="BJ86" s="48">
        <v>-48240</v>
      </c>
      <c r="BK86" s="48">
        <v>-46027.199999999997</v>
      </c>
      <c r="BL86" s="48">
        <v>-50256</v>
      </c>
      <c r="BM86" s="48">
        <v>-48163.05</v>
      </c>
      <c r="BN86" s="48">
        <v>-46656</v>
      </c>
      <c r="BO86" s="48">
        <v>-47668.800000000003</v>
      </c>
      <c r="BP86" s="48">
        <v>-49080.46</v>
      </c>
      <c r="BQ86" s="48">
        <v>-47664</v>
      </c>
      <c r="BR86" s="48">
        <v>-47952</v>
      </c>
      <c r="BS86" s="48">
        <v>-46656</v>
      </c>
      <c r="BT86" s="48">
        <v>-50140.800000000003</v>
      </c>
      <c r="BU86" s="48">
        <v>-48384</v>
      </c>
      <c r="BV86" s="48">
        <v>-48912</v>
      </c>
      <c r="BW86" s="48">
        <v>-48590.400000000001</v>
      </c>
      <c r="BX86" s="48">
        <v>-45984</v>
      </c>
      <c r="BY86" s="48">
        <v>-47371.040000000001</v>
      </c>
      <c r="BZ86" s="48">
        <v>-46512</v>
      </c>
      <c r="CA86" s="48">
        <v>-46512</v>
      </c>
      <c r="CB86" s="48">
        <v>-48277.78</v>
      </c>
      <c r="CC86" s="48">
        <v>-45504</v>
      </c>
      <c r="CD86" s="48">
        <v>-47232</v>
      </c>
      <c r="CE86" s="48">
        <v>-46512</v>
      </c>
      <c r="CF86" s="48">
        <v>-47808</v>
      </c>
      <c r="CG86" s="48">
        <v>-46684.800000000003</v>
      </c>
      <c r="CH86" s="48">
        <v>-47851.199999999997</v>
      </c>
      <c r="CI86" s="48">
        <v>-45873.75</v>
      </c>
      <c r="CJ86" s="48">
        <v>-70560</v>
      </c>
      <c r="CK86" s="48">
        <v>-74793.600000000006</v>
      </c>
      <c r="CL86" s="48">
        <v>-69760.800000000003</v>
      </c>
      <c r="CM86" s="48">
        <v>-79982.009999999995</v>
      </c>
      <c r="CN86" s="48">
        <v>-66384</v>
      </c>
      <c r="CO86" s="48">
        <v>-70848</v>
      </c>
      <c r="CP86" s="48">
        <v>-73656</v>
      </c>
      <c r="CQ86" s="48">
        <v>-71589.600000000006</v>
      </c>
      <c r="CR86" s="48">
        <v>-71064</v>
      </c>
      <c r="CS86" s="48">
        <v>-72187.199999999997</v>
      </c>
      <c r="CT86" s="48">
        <v>-71064</v>
      </c>
      <c r="CU86" s="48">
        <v>-71280</v>
      </c>
      <c r="CV86" s="48">
        <v>-72332.13</v>
      </c>
      <c r="CW86" s="48">
        <v>-72576</v>
      </c>
      <c r="CX86" s="48">
        <v>-72144</v>
      </c>
      <c r="CY86" s="48">
        <v>-72360</v>
      </c>
      <c r="CZ86" s="48">
        <v>-71928</v>
      </c>
      <c r="DA86" s="48">
        <v>-73656</v>
      </c>
      <c r="DB86" s="48">
        <v>-73008</v>
      </c>
      <c r="DC86" s="48">
        <v>-72360</v>
      </c>
      <c r="DD86" s="48">
        <v>-73051.199999999997</v>
      </c>
      <c r="DE86" s="48">
        <f>VLOOKUP($C86,'[2]Analysis 1'!$C$5:$DG$1025,107,FALSE)</f>
        <v>-72144</v>
      </c>
      <c r="DF86" s="48">
        <f>VLOOKUP($C86,'[2]Analysis 1'!$C$5:$DG$1025,108,FALSE)</f>
        <v>-72576</v>
      </c>
      <c r="DG86" s="48">
        <f>VLOOKUP($C86,'[2]Analysis 1'!$C$5:$DG$1025,109,FALSE)</f>
        <v>-73656</v>
      </c>
      <c r="DH86" s="369">
        <f t="shared" si="2"/>
        <v>-871791.33</v>
      </c>
    </row>
    <row r="87" spans="1:112">
      <c r="A87" s="357" t="str">
        <f t="shared" si="3"/>
        <v>4880800</v>
      </c>
      <c r="B87" s="350" t="s">
        <v>1920</v>
      </c>
      <c r="C87" s="335" t="s">
        <v>1015</v>
      </c>
      <c r="D87" s="340">
        <v>0</v>
      </c>
      <c r="E87" s="340">
        <v>0</v>
      </c>
      <c r="F87" s="340">
        <v>2.95</v>
      </c>
      <c r="G87" s="340">
        <v>0</v>
      </c>
      <c r="H87" s="340">
        <v>0</v>
      </c>
      <c r="I87" s="340">
        <v>0</v>
      </c>
      <c r="J87" s="340">
        <v>0</v>
      </c>
      <c r="K87" s="340">
        <v>-94012.5</v>
      </c>
      <c r="L87" s="340">
        <v>0</v>
      </c>
      <c r="M87" s="340">
        <v>-17030.16</v>
      </c>
      <c r="N87" s="340">
        <v>-17077.64</v>
      </c>
      <c r="O87" s="341">
        <v>-12520.89</v>
      </c>
      <c r="P87" s="48">
        <v>-17080.490000000002</v>
      </c>
      <c r="Q87" s="48">
        <v>-17083.34</v>
      </c>
      <c r="R87" s="48">
        <v>-14062.84</v>
      </c>
      <c r="S87" s="48">
        <v>-8906.76</v>
      </c>
      <c r="T87" s="48">
        <v>-16494.98</v>
      </c>
      <c r="U87" s="48">
        <v>-16494.98</v>
      </c>
      <c r="V87" s="48">
        <v>-16494.98</v>
      </c>
      <c r="W87" s="48">
        <v>-14087.47</v>
      </c>
      <c r="X87" s="48">
        <v>-15987.52</v>
      </c>
      <c r="Y87" s="48">
        <v>-14042.66</v>
      </c>
      <c r="Z87" s="48">
        <v>-17228.63</v>
      </c>
      <c r="AA87" s="48">
        <v>-17083.34</v>
      </c>
      <c r="AB87" s="48">
        <v>-17185.89</v>
      </c>
      <c r="AC87" s="48">
        <v>-17083.34</v>
      </c>
      <c r="AD87" s="48">
        <v>-16468.099999999999</v>
      </c>
      <c r="AE87" s="48">
        <v>-8870.89</v>
      </c>
      <c r="AF87" s="48">
        <v>-16683.55</v>
      </c>
      <c r="AG87" s="48">
        <v>-15200.46</v>
      </c>
      <c r="AH87" s="48">
        <v>-16334.28</v>
      </c>
      <c r="AI87" s="48">
        <v>-16591.03</v>
      </c>
      <c r="AJ87" s="48">
        <v>-16654.61</v>
      </c>
      <c r="AK87" s="48">
        <v>-16395.849999999999</v>
      </c>
      <c r="AL87" s="48">
        <v>-17597.88</v>
      </c>
      <c r="AM87" s="48">
        <v>-13581.41</v>
      </c>
      <c r="AN87" s="48">
        <v>-15749.36</v>
      </c>
      <c r="AO87" s="48">
        <v>-17328.82</v>
      </c>
      <c r="AP87" s="48">
        <v>-16943.2</v>
      </c>
      <c r="AQ87" s="48">
        <v>-17266.3</v>
      </c>
      <c r="AR87" s="48">
        <v>-15729</v>
      </c>
      <c r="AS87" s="48">
        <v>-13498.29</v>
      </c>
      <c r="AT87" s="48">
        <v>-17954.55</v>
      </c>
      <c r="AU87" s="48">
        <v>-17310.88</v>
      </c>
      <c r="AV87" s="48">
        <v>-17317.740000000002</v>
      </c>
      <c r="AW87" s="48">
        <v>-16178.85</v>
      </c>
      <c r="AX87" s="48">
        <v>-17097.169999999998</v>
      </c>
      <c r="AY87" s="48">
        <v>-16865.71</v>
      </c>
      <c r="AZ87" s="48">
        <v>-17050.87</v>
      </c>
      <c r="BA87" s="48">
        <v>-17079.16</v>
      </c>
      <c r="BB87" s="48">
        <v>-9528.9</v>
      </c>
      <c r="BC87" s="48">
        <v>-11905.97</v>
      </c>
      <c r="BD87" s="48">
        <v>-17223.689999999999</v>
      </c>
      <c r="BE87" s="48">
        <v>-10940.7</v>
      </c>
      <c r="BF87" s="48">
        <v>-12527.32</v>
      </c>
      <c r="BG87" s="48">
        <v>-16047.81</v>
      </c>
      <c r="BH87" s="48">
        <v>-9286.64</v>
      </c>
      <c r="BI87" s="48">
        <v>-16598.990000000002</v>
      </c>
      <c r="BJ87" s="48">
        <v>-15333.17</v>
      </c>
      <c r="BK87" s="48">
        <v>-14663.94</v>
      </c>
      <c r="BL87" s="48">
        <v>32692.36</v>
      </c>
      <c r="BM87" s="48">
        <v>-16959.28</v>
      </c>
      <c r="BN87" s="48">
        <v>-15816.87</v>
      </c>
      <c r="BO87" s="48">
        <v>-7565.87</v>
      </c>
      <c r="BP87" s="48">
        <v>-17071.55</v>
      </c>
      <c r="BQ87" s="48">
        <v>-16055.25</v>
      </c>
      <c r="BR87" s="48">
        <v>-16775.189999999999</v>
      </c>
      <c r="BS87" s="48">
        <v>-16043.09</v>
      </c>
      <c r="BT87" s="48">
        <v>-16919.04</v>
      </c>
      <c r="BU87" s="48">
        <v>-16463.580000000002</v>
      </c>
      <c r="BV87" s="48">
        <v>-14820.91</v>
      </c>
      <c r="BW87" s="48">
        <v>-17083.73</v>
      </c>
      <c r="BX87" s="48">
        <v>-17021.96</v>
      </c>
      <c r="BY87" s="48">
        <v>-16586.12</v>
      </c>
      <c r="BZ87" s="48">
        <v>-9152.36</v>
      </c>
      <c r="CA87" s="48">
        <v>-16373.33</v>
      </c>
      <c r="CB87" s="48">
        <v>1445.02</v>
      </c>
      <c r="CC87" s="48">
        <v>-15762.82</v>
      </c>
      <c r="CD87" s="48">
        <v>-14238.9</v>
      </c>
      <c r="CE87" s="48">
        <v>-13642.9</v>
      </c>
      <c r="CF87" s="48">
        <v>-16001.26</v>
      </c>
      <c r="CG87" s="48">
        <v>-6963.02</v>
      </c>
      <c r="CH87" s="48">
        <v>-14979.13</v>
      </c>
      <c r="CI87" s="48">
        <v>-16631.16</v>
      </c>
      <c r="CJ87" s="48">
        <v>-15916.69</v>
      </c>
      <c r="CK87" s="48">
        <v>-16395.63</v>
      </c>
      <c r="CL87" s="48">
        <v>-16510.310000000001</v>
      </c>
      <c r="CM87" s="48">
        <v>-7667.17</v>
      </c>
      <c r="CN87" s="48">
        <v>-16764.93</v>
      </c>
      <c r="CO87" s="48">
        <v>-16169.4</v>
      </c>
      <c r="CP87" s="48">
        <v>-16397.16</v>
      </c>
      <c r="CQ87" s="48">
        <v>-14264.46</v>
      </c>
      <c r="CR87" s="48">
        <v>-17027.099999999999</v>
      </c>
      <c r="CS87" s="48">
        <v>-16644.73</v>
      </c>
      <c r="CT87" s="48">
        <v>-15733.86</v>
      </c>
      <c r="CU87" s="48">
        <v>-16411.73</v>
      </c>
      <c r="CV87" s="48">
        <v>-16396.03</v>
      </c>
      <c r="CW87" s="48">
        <v>-17580.150000000001</v>
      </c>
      <c r="CX87" s="48">
        <v>-17040.43</v>
      </c>
      <c r="CY87" s="48">
        <v>-16474.12</v>
      </c>
      <c r="CZ87" s="48">
        <v>-16772.36</v>
      </c>
      <c r="DA87" s="48">
        <v>-7756.64</v>
      </c>
      <c r="DB87" s="48">
        <v>-16799.54</v>
      </c>
      <c r="DC87" s="48">
        <v>-9997.34</v>
      </c>
      <c r="DD87" s="48">
        <v>-13159</v>
      </c>
      <c r="DE87" s="48">
        <f>VLOOKUP($C87,'[2]Analysis 1'!$C$5:$DG$1025,107,FALSE)</f>
        <v>-17461.77</v>
      </c>
      <c r="DF87" s="48">
        <f>VLOOKUP($C87,'[2]Analysis 1'!$C$5:$DG$1025,108,FALSE)</f>
        <v>-17265.099999999999</v>
      </c>
      <c r="DG87" s="48">
        <f>VLOOKUP($C87,'[2]Analysis 1'!$C$5:$DG$1025,109,FALSE)</f>
        <v>-16970.63</v>
      </c>
      <c r="DH87" s="369">
        <f t="shared" si="2"/>
        <v>-183673.11</v>
      </c>
    </row>
    <row r="88" spans="1:112">
      <c r="A88" s="357" t="str">
        <f t="shared" si="3"/>
        <v>4880850</v>
      </c>
      <c r="B88" s="350" t="s">
        <v>1921</v>
      </c>
      <c r="C88" s="335" t="s">
        <v>1434</v>
      </c>
      <c r="D88" s="340"/>
      <c r="E88" s="340"/>
      <c r="F88" s="340"/>
      <c r="G88" s="340"/>
      <c r="H88" s="340"/>
      <c r="I88" s="340"/>
      <c r="J88" s="340"/>
      <c r="K88" s="340"/>
      <c r="L88" s="340"/>
      <c r="M88" s="340"/>
      <c r="N88" s="340"/>
      <c r="O88" s="341"/>
      <c r="P88" s="48"/>
      <c r="Q88" s="48"/>
      <c r="R88" s="48"/>
      <c r="S88" s="48"/>
      <c r="T88" s="48"/>
      <c r="U88" s="48"/>
      <c r="V88" s="48"/>
      <c r="W88" s="48"/>
      <c r="X88" s="48"/>
      <c r="Y88" s="48"/>
      <c r="Z88" s="48"/>
      <c r="AA88" s="48"/>
      <c r="AB88" s="48"/>
      <c r="AC88" s="48"/>
      <c r="AD88" s="48"/>
      <c r="AE88" s="48">
        <v>-21922.81</v>
      </c>
      <c r="AF88" s="48">
        <v>87691.24</v>
      </c>
      <c r="AG88" s="48">
        <v>0</v>
      </c>
      <c r="AH88" s="48">
        <v>0</v>
      </c>
      <c r="AI88" s="48">
        <v>0</v>
      </c>
      <c r="AJ88" s="48">
        <v>0</v>
      </c>
      <c r="AK88" s="48">
        <v>0</v>
      </c>
      <c r="AL88" s="48">
        <v>0</v>
      </c>
      <c r="AM88" s="48">
        <v>0</v>
      </c>
      <c r="AN88" s="48">
        <v>0</v>
      </c>
      <c r="AO88" s="48">
        <v>0</v>
      </c>
      <c r="AP88" s="48">
        <v>0</v>
      </c>
      <c r="AQ88" s="48">
        <v>0</v>
      </c>
      <c r="AR88" s="48">
        <v>0</v>
      </c>
      <c r="AS88" s="48">
        <v>0</v>
      </c>
      <c r="AT88" s="48">
        <v>0</v>
      </c>
      <c r="AU88" s="48">
        <v>0</v>
      </c>
      <c r="AV88" s="48">
        <v>0</v>
      </c>
      <c r="AW88" s="48"/>
      <c r="AX88" s="48"/>
      <c r="AY88" s="48"/>
      <c r="AZ88" s="48">
        <v>0</v>
      </c>
      <c r="BA88" s="48">
        <v>0</v>
      </c>
      <c r="BB88" s="48">
        <v>0</v>
      </c>
      <c r="BC88" s="48">
        <v>0</v>
      </c>
      <c r="BD88" s="48">
        <v>0</v>
      </c>
      <c r="BE88" s="48">
        <v>0</v>
      </c>
      <c r="BF88" s="48">
        <v>0</v>
      </c>
      <c r="BG88" s="48">
        <v>0</v>
      </c>
      <c r="BH88" s="48">
        <v>0</v>
      </c>
      <c r="BI88" s="48">
        <v>0</v>
      </c>
      <c r="BJ88" s="48">
        <v>0</v>
      </c>
      <c r="BK88" s="48">
        <v>0</v>
      </c>
      <c r="BL88" s="48">
        <v>0</v>
      </c>
      <c r="BM88" s="48">
        <v>0</v>
      </c>
      <c r="BN88" s="48">
        <v>0</v>
      </c>
      <c r="BO88" s="48">
        <v>0</v>
      </c>
      <c r="BP88" s="48">
        <v>0</v>
      </c>
      <c r="BQ88" s="48">
        <v>0</v>
      </c>
      <c r="BR88" s="48">
        <v>0</v>
      </c>
      <c r="BS88" s="48">
        <v>0</v>
      </c>
      <c r="BT88" s="48">
        <v>0</v>
      </c>
      <c r="BU88" s="48">
        <v>0</v>
      </c>
      <c r="BV88" s="48">
        <v>0</v>
      </c>
      <c r="BW88" s="48">
        <v>0</v>
      </c>
      <c r="BX88" s="48">
        <v>0</v>
      </c>
      <c r="BY88" s="48">
        <v>0</v>
      </c>
      <c r="BZ88" s="48">
        <v>0</v>
      </c>
      <c r="CA88" s="48">
        <v>0</v>
      </c>
      <c r="CB88" s="48">
        <v>0</v>
      </c>
      <c r="CC88" s="48">
        <v>0</v>
      </c>
      <c r="CD88" s="48">
        <v>0</v>
      </c>
      <c r="CE88" s="48">
        <v>0</v>
      </c>
      <c r="CF88" s="48">
        <v>0</v>
      </c>
      <c r="CG88" s="48">
        <v>0</v>
      </c>
      <c r="CH88" s="48">
        <v>0</v>
      </c>
      <c r="CI88" s="48">
        <v>0</v>
      </c>
      <c r="CJ88" s="48">
        <v>0</v>
      </c>
      <c r="CK88" s="48">
        <v>0</v>
      </c>
      <c r="CL88" s="48">
        <v>0</v>
      </c>
      <c r="CM88" s="48">
        <v>0</v>
      </c>
      <c r="CN88" s="48">
        <v>0</v>
      </c>
      <c r="CO88" s="48">
        <v>0</v>
      </c>
      <c r="CP88" s="48">
        <v>0</v>
      </c>
      <c r="CQ88" s="48">
        <v>0</v>
      </c>
      <c r="CR88" s="48">
        <v>0</v>
      </c>
      <c r="CS88" s="48">
        <v>0</v>
      </c>
      <c r="CT88" s="48">
        <v>0</v>
      </c>
      <c r="CU88" s="48">
        <v>0</v>
      </c>
      <c r="CV88" s="48">
        <v>0</v>
      </c>
      <c r="CW88" s="48">
        <v>0</v>
      </c>
      <c r="CX88" s="48">
        <v>0</v>
      </c>
      <c r="CY88" s="48">
        <v>0</v>
      </c>
      <c r="CZ88" s="48">
        <v>0</v>
      </c>
      <c r="DA88" s="48">
        <v>0</v>
      </c>
      <c r="DB88" s="48">
        <v>0</v>
      </c>
      <c r="DC88" s="48">
        <v>0</v>
      </c>
      <c r="DD88" s="48">
        <v>0</v>
      </c>
      <c r="DE88" s="48">
        <f>VLOOKUP($C88,'[2]Analysis 1'!$C$5:$DG$1025,107,FALSE)</f>
        <v>0</v>
      </c>
      <c r="DF88" s="48">
        <f>VLOOKUP($C88,'[2]Analysis 1'!$C$5:$DG$1025,108,FALSE)</f>
        <v>0</v>
      </c>
      <c r="DG88" s="48">
        <f>VLOOKUP($C88,'[2]Analysis 1'!$C$5:$DG$1025,109,FALSE)</f>
        <v>0</v>
      </c>
      <c r="DH88" s="369">
        <f t="shared" si="2"/>
        <v>0</v>
      </c>
    </row>
    <row r="89" spans="1:112">
      <c r="A89" s="357" t="str">
        <f t="shared" si="3"/>
        <v>4893001</v>
      </c>
      <c r="B89" s="350" t="s">
        <v>1922</v>
      </c>
      <c r="C89" s="335" t="s">
        <v>1016</v>
      </c>
      <c r="D89" s="367">
        <v>-2880.87</v>
      </c>
      <c r="E89" s="367">
        <v>-2761.82</v>
      </c>
      <c r="F89" s="367">
        <v>-3020.96</v>
      </c>
      <c r="G89" s="367">
        <v>-2984.65</v>
      </c>
      <c r="H89" s="367">
        <v>-3816.45</v>
      </c>
      <c r="I89" s="367">
        <v>-2562.9699999999998</v>
      </c>
      <c r="J89" s="367">
        <v>-3591.43</v>
      </c>
      <c r="K89" s="367">
        <v>-1625.24</v>
      </c>
      <c r="L89" s="367">
        <v>-1740.49</v>
      </c>
      <c r="M89" s="367">
        <v>-3575.98</v>
      </c>
      <c r="N89" s="367">
        <v>-2726.13</v>
      </c>
      <c r="O89" s="368">
        <v>-2927.85</v>
      </c>
      <c r="P89" s="48">
        <v>-3451.05</v>
      </c>
      <c r="Q89" s="48">
        <v>-4005.76</v>
      </c>
      <c r="R89" s="48">
        <v>-3531.26</v>
      </c>
      <c r="S89" s="48">
        <v>-3505.34</v>
      </c>
      <c r="T89" s="48">
        <v>-2914.33</v>
      </c>
      <c r="U89" s="48">
        <v>-3710.83</v>
      </c>
      <c r="V89" s="48">
        <v>-3092.84</v>
      </c>
      <c r="W89" s="48">
        <v>-3474.39</v>
      </c>
      <c r="X89" s="48">
        <v>-3548.57</v>
      </c>
      <c r="Y89" s="48">
        <v>-2076.67</v>
      </c>
      <c r="Z89" s="48">
        <v>-1956.25</v>
      </c>
      <c r="AA89" s="48">
        <v>-2353.85</v>
      </c>
      <c r="AB89" s="48">
        <v>-2675.02</v>
      </c>
      <c r="AC89" s="48">
        <v>-2119.2399999999998</v>
      </c>
      <c r="AD89" s="48">
        <v>-2226.3200000000002</v>
      </c>
      <c r="AE89" s="48">
        <v>-3150.59</v>
      </c>
      <c r="AF89" s="48">
        <v>-2717.24</v>
      </c>
      <c r="AG89" s="48">
        <v>-2722.08</v>
      </c>
      <c r="AH89" s="48">
        <v>-1600.88</v>
      </c>
      <c r="AI89" s="48">
        <v>-877.5</v>
      </c>
      <c r="AJ89" s="48">
        <v>-725.12</v>
      </c>
      <c r="AK89" s="48">
        <v>-595.88</v>
      </c>
      <c r="AL89" s="48">
        <v>-716.1</v>
      </c>
      <c r="AM89" s="48">
        <v>-726.63</v>
      </c>
      <c r="AN89" s="48">
        <v>-796.99</v>
      </c>
      <c r="AO89" s="48">
        <v>-662.14</v>
      </c>
      <c r="AP89" s="48">
        <v>-517.26</v>
      </c>
      <c r="AQ89" s="48">
        <v>-586.28</v>
      </c>
      <c r="AR89" s="48">
        <v>-860.36</v>
      </c>
      <c r="AS89" s="48">
        <v>-721.85</v>
      </c>
      <c r="AT89" s="48">
        <v>-662.73</v>
      </c>
      <c r="AU89" s="48">
        <v>-1444.75</v>
      </c>
      <c r="AV89" s="48">
        <v>-1120.04</v>
      </c>
      <c r="AW89" s="48">
        <v>-692.57</v>
      </c>
      <c r="AX89" s="48">
        <v>-984.14</v>
      </c>
      <c r="AY89" s="48">
        <v>-925.31</v>
      </c>
      <c r="AZ89" s="48">
        <v>-873</v>
      </c>
      <c r="BA89" s="48">
        <v>-919.9</v>
      </c>
      <c r="BB89" s="48">
        <v>-1032.07</v>
      </c>
      <c r="BC89" s="48">
        <v>-978.17</v>
      </c>
      <c r="BD89" s="48">
        <v>-954.77</v>
      </c>
      <c r="BE89" s="48">
        <v>-1108.55</v>
      </c>
      <c r="BF89" s="48">
        <v>-1054.3800000000001</v>
      </c>
      <c r="BG89" s="48">
        <v>-1026.99</v>
      </c>
      <c r="BH89" s="48">
        <v>-1188.33</v>
      </c>
      <c r="BI89" s="48">
        <v>-1150.5999999999999</v>
      </c>
      <c r="BJ89" s="48">
        <v>-967.27</v>
      </c>
      <c r="BK89" s="48">
        <v>-904.21</v>
      </c>
      <c r="BL89" s="48">
        <v>-527.69000000000005</v>
      </c>
      <c r="BM89" s="48">
        <v>-816.22</v>
      </c>
      <c r="BN89" s="48">
        <v>-907.4</v>
      </c>
      <c r="BO89" s="48">
        <v>-861.65</v>
      </c>
      <c r="BP89" s="48">
        <v>-870.04</v>
      </c>
      <c r="BQ89" s="48">
        <v>-1054.52</v>
      </c>
      <c r="BR89" s="48">
        <v>-863.36</v>
      </c>
      <c r="BS89" s="48">
        <v>-710.78</v>
      </c>
      <c r="BT89" s="48">
        <v>-814.87</v>
      </c>
      <c r="BU89" s="48">
        <v>-966.51</v>
      </c>
      <c r="BV89" s="48">
        <v>-912.63</v>
      </c>
      <c r="BW89" s="48">
        <v>-968.15</v>
      </c>
      <c r="BX89" s="48">
        <v>-863.03</v>
      </c>
      <c r="BY89" s="48">
        <v>-835.32</v>
      </c>
      <c r="BZ89" s="48">
        <v>-1043.23</v>
      </c>
      <c r="CA89" s="48">
        <v>-1030.25</v>
      </c>
      <c r="CB89" s="48">
        <v>-922.2</v>
      </c>
      <c r="CC89" s="48">
        <v>-746.75</v>
      </c>
      <c r="CD89" s="48">
        <v>-836.3</v>
      </c>
      <c r="CE89" s="48">
        <v>-927.08</v>
      </c>
      <c r="CF89" s="48">
        <v>-789.61</v>
      </c>
      <c r="CG89" s="48">
        <v>-756.83</v>
      </c>
      <c r="CH89" s="48">
        <v>-948.63</v>
      </c>
      <c r="CI89" s="48">
        <v>-704.44</v>
      </c>
      <c r="CJ89" s="48">
        <v>-726.36</v>
      </c>
      <c r="CK89" s="48">
        <v>726.36</v>
      </c>
      <c r="CL89" s="48">
        <v>0</v>
      </c>
      <c r="CM89" s="48">
        <v>0</v>
      </c>
      <c r="CN89" s="48">
        <v>0</v>
      </c>
      <c r="CO89" s="48">
        <v>0</v>
      </c>
      <c r="CP89" s="48">
        <v>0</v>
      </c>
      <c r="CQ89" s="48">
        <v>0</v>
      </c>
      <c r="CR89" s="48">
        <v>0</v>
      </c>
      <c r="CS89" s="48">
        <v>0</v>
      </c>
      <c r="CT89" s="48">
        <v>0</v>
      </c>
      <c r="CU89" s="48">
        <v>0</v>
      </c>
      <c r="CV89" s="48">
        <v>0</v>
      </c>
      <c r="CW89" s="48">
        <v>0</v>
      </c>
      <c r="CX89" s="48">
        <v>0</v>
      </c>
      <c r="CY89" s="48">
        <v>0</v>
      </c>
      <c r="CZ89" s="48">
        <v>0</v>
      </c>
      <c r="DA89" s="48">
        <v>0</v>
      </c>
      <c r="DB89" s="48">
        <v>0</v>
      </c>
      <c r="DC89" s="48">
        <v>0</v>
      </c>
      <c r="DD89" s="48">
        <v>0</v>
      </c>
      <c r="DE89" s="48">
        <f>VLOOKUP($C89,'[2]Analysis 1'!$C$5:$DG$1025,107,FALSE)</f>
        <v>0</v>
      </c>
      <c r="DF89" s="48">
        <f>VLOOKUP($C89,'[2]Analysis 1'!$C$5:$DG$1025,108,FALSE)</f>
        <v>0</v>
      </c>
      <c r="DG89" s="48">
        <f>VLOOKUP($C89,'[2]Analysis 1'!$C$5:$DG$1025,109,FALSE)</f>
        <v>0</v>
      </c>
      <c r="DH89" s="369">
        <f t="shared" si="2"/>
        <v>0</v>
      </c>
    </row>
    <row r="90" spans="1:112">
      <c r="A90" s="357" t="str">
        <f t="shared" si="3"/>
        <v>4893002</v>
      </c>
      <c r="B90" s="350" t="s">
        <v>1923</v>
      </c>
      <c r="C90" s="335" t="s">
        <v>1017</v>
      </c>
      <c r="D90" s="340">
        <v>-376.19</v>
      </c>
      <c r="E90" s="340">
        <v>-357.43</v>
      </c>
      <c r="F90" s="340">
        <v>-398.28</v>
      </c>
      <c r="G90" s="340">
        <v>-399.64</v>
      </c>
      <c r="H90" s="340">
        <v>-530.83000000000004</v>
      </c>
      <c r="I90" s="340">
        <v>-336.72</v>
      </c>
      <c r="J90" s="340">
        <v>-491.8</v>
      </c>
      <c r="K90" s="340">
        <v>-199.49</v>
      </c>
      <c r="L90" s="340">
        <v>-224.7</v>
      </c>
      <c r="M90" s="340">
        <v>-496.43</v>
      </c>
      <c r="N90" s="340">
        <v>-358.89</v>
      </c>
      <c r="O90" s="341">
        <v>-390.7</v>
      </c>
      <c r="P90" s="48">
        <v>-473.2</v>
      </c>
      <c r="Q90" s="48">
        <v>-560.66999999999996</v>
      </c>
      <c r="R90" s="48">
        <v>-485.84</v>
      </c>
      <c r="S90" s="48">
        <v>-481.76</v>
      </c>
      <c r="T90" s="48">
        <v>-388.57</v>
      </c>
      <c r="U90" s="48">
        <v>-514.16</v>
      </c>
      <c r="V90" s="48">
        <v>-416.71</v>
      </c>
      <c r="W90" s="48">
        <v>-469.8</v>
      </c>
      <c r="X90" s="48">
        <v>-492.13</v>
      </c>
      <c r="Y90" s="48">
        <v>-299.07</v>
      </c>
      <c r="Z90" s="48">
        <v>-280.07</v>
      </c>
      <c r="AA90" s="48">
        <v>-514.15</v>
      </c>
      <c r="AB90" s="48">
        <v>-600.76</v>
      </c>
      <c r="AC90" s="48">
        <v>-469.31</v>
      </c>
      <c r="AD90" s="48">
        <v>-494.63</v>
      </c>
      <c r="AE90" s="48">
        <v>-713.23</v>
      </c>
      <c r="AF90" s="48">
        <v>-610.74</v>
      </c>
      <c r="AG90" s="48">
        <v>-606.57000000000005</v>
      </c>
      <c r="AH90" s="48">
        <v>-336.07</v>
      </c>
      <c r="AI90" s="48">
        <v>-164.96</v>
      </c>
      <c r="AJ90" s="48">
        <v>-128.93</v>
      </c>
      <c r="AK90" s="48">
        <v>-98.36</v>
      </c>
      <c r="AL90" s="48">
        <v>-126.79</v>
      </c>
      <c r="AM90" s="48">
        <v>-129.28</v>
      </c>
      <c r="AN90" s="48">
        <v>-143.81</v>
      </c>
      <c r="AO90" s="48">
        <v>-114.03</v>
      </c>
      <c r="AP90" s="48">
        <v>-79.77</v>
      </c>
      <c r="AQ90" s="48">
        <v>-96.09</v>
      </c>
      <c r="AR90" s="48">
        <v>-160.91999999999999</v>
      </c>
      <c r="AS90" s="48">
        <v>-128.15</v>
      </c>
      <c r="AT90" s="48">
        <v>-114.17</v>
      </c>
      <c r="AU90" s="48">
        <v>-299.13</v>
      </c>
      <c r="AV90" s="48">
        <v>-220.2</v>
      </c>
      <c r="AW90" s="48">
        <v>-121.23</v>
      </c>
      <c r="AX90" s="48">
        <v>-190.19</v>
      </c>
      <c r="AY90" s="48">
        <v>-176.27</v>
      </c>
      <c r="AZ90" s="48">
        <v>-163.91</v>
      </c>
      <c r="BA90" s="48">
        <v>-175</v>
      </c>
      <c r="BB90" s="48">
        <v>-201.53</v>
      </c>
      <c r="BC90" s="48">
        <v>-188.79</v>
      </c>
      <c r="BD90" s="48">
        <v>-183.25</v>
      </c>
      <c r="BE90" s="48">
        <v>-219.63</v>
      </c>
      <c r="BF90" s="48">
        <v>-206.81</v>
      </c>
      <c r="BG90" s="48">
        <v>-202.46</v>
      </c>
      <c r="BH90" s="48">
        <v>-238.48</v>
      </c>
      <c r="BI90" s="48">
        <v>-229.56</v>
      </c>
      <c r="BJ90" s="48">
        <v>-188.33</v>
      </c>
      <c r="BK90" s="48">
        <v>-171.28</v>
      </c>
      <c r="BL90" s="48">
        <v>-86.64</v>
      </c>
      <c r="BM90" s="48">
        <v>-160.57</v>
      </c>
      <c r="BN90" s="48">
        <v>-183.27</v>
      </c>
      <c r="BO90" s="48">
        <v>-171.88</v>
      </c>
      <c r="BP90" s="48">
        <v>-173.98</v>
      </c>
      <c r="BQ90" s="48">
        <v>-219.88</v>
      </c>
      <c r="BR90" s="48">
        <v>-172.31</v>
      </c>
      <c r="BS90" s="48">
        <v>-134.33000000000001</v>
      </c>
      <c r="BT90" s="48">
        <v>-160.25</v>
      </c>
      <c r="BU90" s="48">
        <v>-197.99</v>
      </c>
      <c r="BV90" s="48">
        <v>-184.56</v>
      </c>
      <c r="BW90" s="48">
        <v>-198.38</v>
      </c>
      <c r="BX90" s="48">
        <v>-172.23</v>
      </c>
      <c r="BY90" s="48">
        <v>-165.33</v>
      </c>
      <c r="BZ90" s="48">
        <v>-217.08</v>
      </c>
      <c r="CA90" s="48">
        <v>-213.84</v>
      </c>
      <c r="CB90" s="48">
        <v>-186.95</v>
      </c>
      <c r="CC90" s="48">
        <v>-143.29</v>
      </c>
      <c r="CD90" s="48">
        <v>-165.58</v>
      </c>
      <c r="CE90" s="48">
        <v>-188.17</v>
      </c>
      <c r="CF90" s="48">
        <v>-153.94999999999999</v>
      </c>
      <c r="CG90" s="48">
        <v>-145.79</v>
      </c>
      <c r="CH90" s="48">
        <v>-182.89</v>
      </c>
      <c r="CI90" s="48">
        <v>-143.4</v>
      </c>
      <c r="CJ90" s="48">
        <v>-138.19999999999999</v>
      </c>
      <c r="CK90" s="48">
        <v>138.19999999999999</v>
      </c>
      <c r="CL90" s="48">
        <v>0</v>
      </c>
      <c r="CM90" s="48">
        <v>0</v>
      </c>
      <c r="CN90" s="48">
        <v>0</v>
      </c>
      <c r="CO90" s="48">
        <v>0</v>
      </c>
      <c r="CP90" s="48">
        <v>0</v>
      </c>
      <c r="CQ90" s="48">
        <v>0</v>
      </c>
      <c r="CR90" s="48">
        <v>0</v>
      </c>
      <c r="CS90" s="48">
        <v>0</v>
      </c>
      <c r="CT90" s="48">
        <v>0</v>
      </c>
      <c r="CU90" s="48">
        <v>0</v>
      </c>
      <c r="CV90" s="48">
        <v>0</v>
      </c>
      <c r="CW90" s="48">
        <v>0</v>
      </c>
      <c r="CX90" s="48">
        <v>0</v>
      </c>
      <c r="CY90" s="48">
        <v>0</v>
      </c>
      <c r="CZ90" s="48">
        <v>0</v>
      </c>
      <c r="DA90" s="48">
        <v>0</v>
      </c>
      <c r="DB90" s="48">
        <v>0</v>
      </c>
      <c r="DC90" s="48">
        <v>0</v>
      </c>
      <c r="DD90" s="48">
        <v>0</v>
      </c>
      <c r="DE90" s="48">
        <f>VLOOKUP($C90,'[2]Analysis 1'!$C$5:$DG$1025,107,FALSE)</f>
        <v>0</v>
      </c>
      <c r="DF90" s="48">
        <f>VLOOKUP($C90,'[2]Analysis 1'!$C$5:$DG$1025,108,FALSE)</f>
        <v>0</v>
      </c>
      <c r="DG90" s="48">
        <f>VLOOKUP($C90,'[2]Analysis 1'!$C$5:$DG$1025,109,FALSE)</f>
        <v>0</v>
      </c>
      <c r="DH90" s="369">
        <f t="shared" si="2"/>
        <v>0</v>
      </c>
    </row>
    <row r="91" spans="1:112">
      <c r="A91" s="357" t="str">
        <f t="shared" si="3"/>
        <v>4893004</v>
      </c>
      <c r="B91" s="350" t="s">
        <v>1924</v>
      </c>
      <c r="C91" s="335" t="s">
        <v>1018</v>
      </c>
      <c r="D91" s="367">
        <v>-8916.49</v>
      </c>
      <c r="E91" s="367">
        <v>-8543.76</v>
      </c>
      <c r="F91" s="367">
        <v>-8118.67</v>
      </c>
      <c r="G91" s="367">
        <v>-8327.84</v>
      </c>
      <c r="H91" s="367">
        <v>-8236.23</v>
      </c>
      <c r="I91" s="367">
        <v>-9108.69</v>
      </c>
      <c r="J91" s="367">
        <v>-8457.65</v>
      </c>
      <c r="K91" s="367">
        <v>-8451.11</v>
      </c>
      <c r="L91" s="367">
        <v>-9185.48</v>
      </c>
      <c r="M91" s="367">
        <v>-8812.6200000000008</v>
      </c>
      <c r="N91" s="367">
        <v>-8481.9599999999991</v>
      </c>
      <c r="O91" s="368">
        <v>-7969.9</v>
      </c>
      <c r="P91" s="48">
        <v>-9377</v>
      </c>
      <c r="Q91" s="48">
        <v>-8818.67</v>
      </c>
      <c r="R91" s="48">
        <v>-8788.3700000000008</v>
      </c>
      <c r="S91" s="48">
        <v>-8337.4500000000007</v>
      </c>
      <c r="T91" s="48">
        <v>-8420.36</v>
      </c>
      <c r="U91" s="48">
        <v>-9618.86</v>
      </c>
      <c r="V91" s="48">
        <v>-8306.57</v>
      </c>
      <c r="W91" s="48">
        <v>-9332.07</v>
      </c>
      <c r="X91" s="48">
        <v>-8565.8700000000008</v>
      </c>
      <c r="Y91" s="48">
        <v>-8661.02</v>
      </c>
      <c r="Z91" s="48">
        <v>-7739.33</v>
      </c>
      <c r="AA91" s="48">
        <v>-8256.19</v>
      </c>
      <c r="AB91" s="48">
        <v>-9093.9500000000007</v>
      </c>
      <c r="AC91" s="48">
        <v>-8345.36</v>
      </c>
      <c r="AD91" s="48">
        <v>-7995.39</v>
      </c>
      <c r="AE91" s="48">
        <v>-8549.64</v>
      </c>
      <c r="AF91" s="48">
        <v>-8613.32</v>
      </c>
      <c r="AG91" s="48">
        <v>-8387.7199999999993</v>
      </c>
      <c r="AH91" s="48">
        <v>-8202.4699999999993</v>
      </c>
      <c r="AI91" s="48">
        <v>-8043.75</v>
      </c>
      <c r="AJ91" s="48">
        <v>-8705.99</v>
      </c>
      <c r="AK91" s="48">
        <v>-7951.1</v>
      </c>
      <c r="AL91" s="48">
        <v>-7440.99</v>
      </c>
      <c r="AM91" s="48">
        <v>-7323.84</v>
      </c>
      <c r="AN91" s="48">
        <v>-8549.18</v>
      </c>
      <c r="AO91" s="48">
        <v>-8260.81</v>
      </c>
      <c r="AP91" s="48">
        <v>-8117.22</v>
      </c>
      <c r="AQ91" s="48">
        <v>-7778.92</v>
      </c>
      <c r="AR91" s="48">
        <v>-8720.4599999999991</v>
      </c>
      <c r="AS91" s="48">
        <v>-8323.86</v>
      </c>
      <c r="AT91" s="48">
        <v>-8097.24</v>
      </c>
      <c r="AU91" s="48">
        <v>-8189.12</v>
      </c>
      <c r="AV91" s="48">
        <v>-8084.54</v>
      </c>
      <c r="AW91" s="48">
        <v>-7009.16</v>
      </c>
      <c r="AX91" s="48">
        <v>-7749.26</v>
      </c>
      <c r="AY91" s="48">
        <v>-8394.5</v>
      </c>
      <c r="AZ91" s="48">
        <v>-11314.42</v>
      </c>
      <c r="BA91" s="48">
        <v>-8609.52</v>
      </c>
      <c r="BB91" s="48">
        <v>-7899.92</v>
      </c>
      <c r="BC91" s="48">
        <v>-8561.59</v>
      </c>
      <c r="BD91" s="48">
        <v>-8213.3700000000008</v>
      </c>
      <c r="BE91" s="48">
        <v>-9120.93</v>
      </c>
      <c r="BF91" s="48">
        <v>-8352.1299999999992</v>
      </c>
      <c r="BG91" s="48">
        <v>3736.7</v>
      </c>
      <c r="BH91" s="48">
        <v>-8618.32</v>
      </c>
      <c r="BI91" s="48">
        <v>-7439.72</v>
      </c>
      <c r="BJ91" s="48">
        <v>-8319.09</v>
      </c>
      <c r="BK91" s="48">
        <v>-7911.63</v>
      </c>
      <c r="BL91" s="48">
        <v>-8173.68</v>
      </c>
      <c r="BM91" s="48">
        <v>-7287.76</v>
      </c>
      <c r="BN91" s="48">
        <v>-7506.67</v>
      </c>
      <c r="BO91" s="48">
        <v>-3697.05</v>
      </c>
      <c r="BP91" s="48">
        <v>-7719.95</v>
      </c>
      <c r="BQ91" s="48">
        <v>-7200.67</v>
      </c>
      <c r="BR91" s="48">
        <v>-7021.51</v>
      </c>
      <c r="BS91" s="48">
        <v>-7229.42</v>
      </c>
      <c r="BT91" s="48">
        <v>-7013.7</v>
      </c>
      <c r="BU91" s="48">
        <v>-6831.33</v>
      </c>
      <c r="BV91" s="48">
        <v>-7087.23</v>
      </c>
      <c r="BW91" s="48">
        <v>-6845.63</v>
      </c>
      <c r="BX91" s="48">
        <v>-7915.55</v>
      </c>
      <c r="BY91" s="48">
        <v>-6919.67</v>
      </c>
      <c r="BZ91" s="48">
        <v>-7014.38</v>
      </c>
      <c r="CA91" s="48">
        <v>-6253.05</v>
      </c>
      <c r="CB91" s="48">
        <v>-6836.29</v>
      </c>
      <c r="CC91" s="48">
        <v>-6656.33</v>
      </c>
      <c r="CD91" s="48">
        <v>-7003.7</v>
      </c>
      <c r="CE91" s="48">
        <v>-7001.09</v>
      </c>
      <c r="CF91" s="48">
        <v>-6681.5</v>
      </c>
      <c r="CG91" s="48">
        <v>-6896.75</v>
      </c>
      <c r="CH91" s="48">
        <v>-7143.4</v>
      </c>
      <c r="CI91" s="48">
        <v>-7323.21</v>
      </c>
      <c r="CJ91" s="48">
        <v>-11154.56</v>
      </c>
      <c r="CK91" s="48">
        <v>-9698.0400000000009</v>
      </c>
      <c r="CL91" s="48">
        <v>-10544.07</v>
      </c>
      <c r="CM91" s="48">
        <v>-10793.16</v>
      </c>
      <c r="CN91" s="48">
        <v>-10079.66</v>
      </c>
      <c r="CO91" s="48">
        <v>-9966.93</v>
      </c>
      <c r="CP91" s="48">
        <v>-10549.44</v>
      </c>
      <c r="CQ91" s="48">
        <v>-10475.83</v>
      </c>
      <c r="CR91" s="48">
        <v>-11165.05</v>
      </c>
      <c r="CS91" s="48">
        <v>-10147.950000000001</v>
      </c>
      <c r="CT91" s="48">
        <v>-10867.84</v>
      </c>
      <c r="CU91" s="48">
        <v>-10353.17</v>
      </c>
      <c r="CV91" s="48">
        <v>-11104.06</v>
      </c>
      <c r="CW91" s="48">
        <v>-9805.8700000000008</v>
      </c>
      <c r="CX91" s="48">
        <v>-10034.67</v>
      </c>
      <c r="CY91" s="48">
        <v>-9991.59</v>
      </c>
      <c r="CZ91" s="48">
        <v>-11206.67</v>
      </c>
      <c r="DA91" s="48">
        <v>-9504</v>
      </c>
      <c r="DB91" s="48">
        <v>-10084.67</v>
      </c>
      <c r="DC91" s="48">
        <v>-10182</v>
      </c>
      <c r="DD91" s="48">
        <v>-10722.25</v>
      </c>
      <c r="DE91" s="48">
        <f>VLOOKUP($C91,'[2]Analysis 1'!$C$5:$DG$1025,107,FALSE)</f>
        <v>-11798.16</v>
      </c>
      <c r="DF91" s="48">
        <f>VLOOKUP($C91,'[2]Analysis 1'!$C$5:$DG$1025,108,FALSE)</f>
        <v>-9468.82</v>
      </c>
      <c r="DG91" s="48">
        <f>VLOOKUP($C91,'[2]Analysis 1'!$C$5:$DG$1025,109,FALSE)</f>
        <v>-10760.09</v>
      </c>
      <c r="DH91" s="369">
        <f t="shared" si="2"/>
        <v>-124662.85</v>
      </c>
    </row>
    <row r="92" spans="1:112">
      <c r="A92" s="357" t="str">
        <f t="shared" si="3"/>
        <v>4893005</v>
      </c>
      <c r="B92" s="350" t="s">
        <v>1925</v>
      </c>
      <c r="C92" s="335" t="s">
        <v>1019</v>
      </c>
      <c r="D92" s="340">
        <v>-557.91</v>
      </c>
      <c r="E92" s="340">
        <v>-534.58000000000004</v>
      </c>
      <c r="F92" s="340">
        <v>-507.97</v>
      </c>
      <c r="G92" s="340">
        <v>-521.04999999999995</v>
      </c>
      <c r="H92" s="340">
        <v>-515.33000000000004</v>
      </c>
      <c r="I92" s="340">
        <v>-569.94000000000005</v>
      </c>
      <c r="J92" s="340">
        <v>-529.20000000000005</v>
      </c>
      <c r="K92" s="340">
        <v>-528.76</v>
      </c>
      <c r="L92" s="340">
        <v>-574.71</v>
      </c>
      <c r="M92" s="340">
        <v>-551.39</v>
      </c>
      <c r="N92" s="340">
        <v>-530.71</v>
      </c>
      <c r="O92" s="341">
        <v>-498.66</v>
      </c>
      <c r="P92" s="48">
        <v>-586.72</v>
      </c>
      <c r="Q92" s="48">
        <v>-551.79</v>
      </c>
      <c r="R92" s="48">
        <v>-549.91999999999996</v>
      </c>
      <c r="S92" s="48">
        <v>-521.65</v>
      </c>
      <c r="T92" s="48">
        <v>-526.85</v>
      </c>
      <c r="U92" s="48">
        <v>-601.84</v>
      </c>
      <c r="V92" s="48">
        <v>-519.73</v>
      </c>
      <c r="W92" s="48">
        <v>-583.91999999999996</v>
      </c>
      <c r="X92" s="48">
        <v>-535.95000000000005</v>
      </c>
      <c r="Y92" s="48">
        <v>-541.9</v>
      </c>
      <c r="Z92" s="48">
        <v>-484.25</v>
      </c>
      <c r="AA92" s="48">
        <v>-310.85000000000002</v>
      </c>
      <c r="AB92" s="48">
        <v>-342.35</v>
      </c>
      <c r="AC92" s="48">
        <v>-314.18</v>
      </c>
      <c r="AD92" s="48">
        <v>-301</v>
      </c>
      <c r="AE92" s="48">
        <v>-321.87</v>
      </c>
      <c r="AF92" s="48">
        <v>-324.27</v>
      </c>
      <c r="AG92" s="48">
        <v>-315.77999999999997</v>
      </c>
      <c r="AH92" s="48">
        <v>-308.83</v>
      </c>
      <c r="AI92" s="48">
        <v>-302.83999999999997</v>
      </c>
      <c r="AJ92" s="48">
        <v>-327.78</v>
      </c>
      <c r="AK92" s="48">
        <v>-299.33999999999997</v>
      </c>
      <c r="AL92" s="48">
        <v>-280.12</v>
      </c>
      <c r="AM92" s="48">
        <v>-275.70999999999998</v>
      </c>
      <c r="AN92" s="48">
        <v>-321.86</v>
      </c>
      <c r="AO92" s="48">
        <v>-311.01</v>
      </c>
      <c r="AP92" s="48">
        <v>-305.58</v>
      </c>
      <c r="AQ92" s="48">
        <v>-292.85000000000002</v>
      </c>
      <c r="AR92" s="48">
        <v>-328.31</v>
      </c>
      <c r="AS92" s="48">
        <v>-313.35000000000002</v>
      </c>
      <c r="AT92" s="48">
        <v>-304.85000000000002</v>
      </c>
      <c r="AU92" s="48">
        <v>-308.27999999999997</v>
      </c>
      <c r="AV92" s="48">
        <v>-304.33999999999997</v>
      </c>
      <c r="AW92" s="48">
        <v>-263.88</v>
      </c>
      <c r="AX92" s="48">
        <v>-291.70999999999998</v>
      </c>
      <c r="AY92" s="48">
        <v>-316.02999999999997</v>
      </c>
      <c r="AZ92" s="48">
        <v>-425.91</v>
      </c>
      <c r="BA92" s="48">
        <v>-324.14</v>
      </c>
      <c r="BB92" s="48">
        <v>-297.41000000000003</v>
      </c>
      <c r="BC92" s="48">
        <v>-322.31</v>
      </c>
      <c r="BD92" s="48">
        <v>-309.19</v>
      </c>
      <c r="BE92" s="48">
        <v>-343.37</v>
      </c>
      <c r="BF92" s="48">
        <v>-314.41000000000003</v>
      </c>
      <c r="BG92" s="48">
        <v>140.72999999999999</v>
      </c>
      <c r="BH92" s="48">
        <v>-324.45999999999998</v>
      </c>
      <c r="BI92" s="48">
        <v>-280.06</v>
      </c>
      <c r="BJ92" s="48">
        <v>-313.20999999999998</v>
      </c>
      <c r="BK92" s="48">
        <v>-297.86</v>
      </c>
      <c r="BL92" s="48">
        <v>-323.82</v>
      </c>
      <c r="BM92" s="48">
        <v>-288.70999999999998</v>
      </c>
      <c r="BN92" s="48">
        <v>-297.36</v>
      </c>
      <c r="BO92" s="48">
        <v>-150.41</v>
      </c>
      <c r="BP92" s="48">
        <v>-305.85000000000002</v>
      </c>
      <c r="BQ92" s="48">
        <v>-285.25</v>
      </c>
      <c r="BR92" s="48">
        <v>-278.18</v>
      </c>
      <c r="BS92" s="48">
        <v>-286.41000000000003</v>
      </c>
      <c r="BT92" s="48">
        <v>-277.85000000000002</v>
      </c>
      <c r="BU92" s="48">
        <v>-270.63</v>
      </c>
      <c r="BV92" s="48">
        <v>-280.77</v>
      </c>
      <c r="BW92" s="48">
        <v>-271.2</v>
      </c>
      <c r="BX92" s="48">
        <v>-313.57</v>
      </c>
      <c r="BY92" s="48">
        <v>-274.13</v>
      </c>
      <c r="BZ92" s="48">
        <v>-277.88</v>
      </c>
      <c r="CA92" s="48">
        <v>-247.69</v>
      </c>
      <c r="CB92" s="48">
        <v>-270.8</v>
      </c>
      <c r="CC92" s="48">
        <v>-263.66000000000003</v>
      </c>
      <c r="CD92" s="48">
        <v>-277.45999999999998</v>
      </c>
      <c r="CE92" s="48">
        <v>-277.35000000000002</v>
      </c>
      <c r="CF92" s="48">
        <v>-264.67</v>
      </c>
      <c r="CG92" s="48">
        <v>-273.2</v>
      </c>
      <c r="CH92" s="48">
        <v>-282.97000000000003</v>
      </c>
      <c r="CI92" s="48">
        <v>-290.13</v>
      </c>
      <c r="CJ92" s="48">
        <v>-287.83999999999997</v>
      </c>
      <c r="CK92" s="48">
        <v>-250.25</v>
      </c>
      <c r="CL92" s="48">
        <v>-272.10000000000002</v>
      </c>
      <c r="CM92" s="48">
        <v>-278.51</v>
      </c>
      <c r="CN92" s="48">
        <v>-260.08999999999997</v>
      </c>
      <c r="CO92" s="48">
        <v>-257.2</v>
      </c>
      <c r="CP92" s="48">
        <v>-272.23</v>
      </c>
      <c r="CQ92" s="48">
        <v>-270.33</v>
      </c>
      <c r="CR92" s="48">
        <v>-288.13</v>
      </c>
      <c r="CS92" s="48">
        <v>-261.87</v>
      </c>
      <c r="CT92" s="48">
        <v>-280.44</v>
      </c>
      <c r="CU92" s="48">
        <v>-267.18</v>
      </c>
      <c r="CV92" s="48">
        <v>-286.54000000000002</v>
      </c>
      <c r="CW92" s="48">
        <v>-253.05</v>
      </c>
      <c r="CX92" s="48">
        <v>-258.95999999999998</v>
      </c>
      <c r="CY92" s="48">
        <v>-257.83999999999997</v>
      </c>
      <c r="CZ92" s="48">
        <v>-289.18</v>
      </c>
      <c r="DA92" s="48">
        <v>-245.24</v>
      </c>
      <c r="DB92" s="48">
        <v>-260.24</v>
      </c>
      <c r="DC92" s="48">
        <v>-262.75</v>
      </c>
      <c r="DD92" s="48">
        <v>-276.72000000000003</v>
      </c>
      <c r="DE92" s="48">
        <f>VLOOKUP($C92,'[2]Analysis 1'!$C$5:$DG$1025,107,FALSE)</f>
        <v>-304.45999999999998</v>
      </c>
      <c r="DF92" s="48">
        <f>VLOOKUP($C92,'[2]Analysis 1'!$C$5:$DG$1025,108,FALSE)</f>
        <v>-244.33</v>
      </c>
      <c r="DG92" s="48">
        <f>VLOOKUP($C92,'[2]Analysis 1'!$C$5:$DG$1025,109,FALSE)</f>
        <v>-277.64</v>
      </c>
      <c r="DH92" s="369">
        <f t="shared" si="2"/>
        <v>-3216.9500000000003</v>
      </c>
    </row>
    <row r="93" spans="1:112">
      <c r="A93" s="357" t="str">
        <f t="shared" si="3"/>
        <v>4893008</v>
      </c>
      <c r="B93" s="350" t="s">
        <v>1926</v>
      </c>
      <c r="C93" s="335" t="s">
        <v>1020</v>
      </c>
      <c r="D93" s="340">
        <v>-214782.13</v>
      </c>
      <c r="E93" s="340">
        <v>-226778.46</v>
      </c>
      <c r="F93" s="340">
        <v>-173185.36</v>
      </c>
      <c r="G93" s="340">
        <v>-162219.87</v>
      </c>
      <c r="H93" s="340">
        <v>-147631.44</v>
      </c>
      <c r="I93" s="340">
        <v>-148427.9</v>
      </c>
      <c r="J93" s="340">
        <v>-144141.73000000001</v>
      </c>
      <c r="K93" s="340">
        <v>-140776.07999999999</v>
      </c>
      <c r="L93" s="340">
        <v>-169753.13</v>
      </c>
      <c r="M93" s="340">
        <v>-158558.37</v>
      </c>
      <c r="N93" s="340">
        <v>-170359.07</v>
      </c>
      <c r="O93" s="341">
        <v>-196211.59</v>
      </c>
      <c r="P93" s="48">
        <v>-212254.83</v>
      </c>
      <c r="Q93" s="48">
        <v>-214154.92</v>
      </c>
      <c r="R93" s="48">
        <v>-214938.26</v>
      </c>
      <c r="S93" s="48">
        <v>-162775.67999999999</v>
      </c>
      <c r="T93" s="48">
        <v>-159541.35999999999</v>
      </c>
      <c r="U93" s="48">
        <v>-170169.31</v>
      </c>
      <c r="V93" s="48">
        <v>-170784.88</v>
      </c>
      <c r="W93" s="48">
        <v>-175544.92</v>
      </c>
      <c r="X93" s="48">
        <v>-172813.55</v>
      </c>
      <c r="Y93" s="48">
        <v>-194074.1</v>
      </c>
      <c r="Z93" s="48">
        <v>-210498.4</v>
      </c>
      <c r="AA93" s="48">
        <v>-223321.05</v>
      </c>
      <c r="AB93" s="48">
        <v>-244937.91</v>
      </c>
      <c r="AC93" s="48">
        <v>-264200.46000000002</v>
      </c>
      <c r="AD93" s="48">
        <v>-194041.71</v>
      </c>
      <c r="AE93" s="48">
        <v>-197031.82</v>
      </c>
      <c r="AF93" s="48">
        <v>-187324.7</v>
      </c>
      <c r="AG93" s="48">
        <v>-178801.28</v>
      </c>
      <c r="AH93" s="48">
        <v>-164664.84</v>
      </c>
      <c r="AI93" s="48">
        <v>-172234.95</v>
      </c>
      <c r="AJ93" s="48">
        <v>-198834.05</v>
      </c>
      <c r="AK93" s="48">
        <v>-180899.57</v>
      </c>
      <c r="AL93" s="48">
        <v>-200886.05</v>
      </c>
      <c r="AM93" s="48">
        <v>-225276.54</v>
      </c>
      <c r="AN93" s="48">
        <v>-246317.87</v>
      </c>
      <c r="AO93" s="48">
        <v>-233514.62</v>
      </c>
      <c r="AP93" s="48">
        <v>-224400.66</v>
      </c>
      <c r="AQ93" s="48">
        <v>-240682.81</v>
      </c>
      <c r="AR93" s="48">
        <v>-205576.91</v>
      </c>
      <c r="AS93" s="48">
        <v>-199237.87</v>
      </c>
      <c r="AT93" s="48">
        <v>-189731.63</v>
      </c>
      <c r="AU93" s="48">
        <v>-192187</v>
      </c>
      <c r="AV93" s="48">
        <v>-214291.05</v>
      </c>
      <c r="AW93" s="48">
        <v>-205160.82</v>
      </c>
      <c r="AX93" s="48">
        <v>-230356.91</v>
      </c>
      <c r="AY93" s="48">
        <v>-243315.68</v>
      </c>
      <c r="AZ93" s="48">
        <v>-394720.39</v>
      </c>
      <c r="BA93" s="48">
        <v>-431613.74</v>
      </c>
      <c r="BB93" s="48">
        <v>-49830.17</v>
      </c>
      <c r="BC93" s="48">
        <v>-323707.03999999998</v>
      </c>
      <c r="BD93" s="48">
        <v>-218309.43</v>
      </c>
      <c r="BE93" s="48">
        <v>-220947.22</v>
      </c>
      <c r="BF93" s="48">
        <v>-211569.69</v>
      </c>
      <c r="BG93" s="48">
        <v>-204858.22</v>
      </c>
      <c r="BH93" s="48">
        <v>-235226.09</v>
      </c>
      <c r="BI93" s="48">
        <v>-220505.83</v>
      </c>
      <c r="BJ93" s="48">
        <v>-235971.18</v>
      </c>
      <c r="BK93" s="48">
        <v>-274952.15000000002</v>
      </c>
      <c r="BL93" s="48">
        <v>-294072.65000000002</v>
      </c>
      <c r="BM93" s="48">
        <v>-259927.02</v>
      </c>
      <c r="BN93" s="48">
        <v>-253285.42</v>
      </c>
      <c r="BO93" s="48">
        <v>-242645.86</v>
      </c>
      <c r="BP93" s="48">
        <v>-222011.06</v>
      </c>
      <c r="BQ93" s="48">
        <v>-219233.51</v>
      </c>
      <c r="BR93" s="48">
        <v>-189394.38</v>
      </c>
      <c r="BS93" s="48">
        <v>-254771.13</v>
      </c>
      <c r="BT93" s="48">
        <v>-128509.64</v>
      </c>
      <c r="BU93" s="48">
        <v>-230078.32</v>
      </c>
      <c r="BV93" s="48">
        <v>-243311.3</v>
      </c>
      <c r="BW93" s="48">
        <v>-252043.5</v>
      </c>
      <c r="BX93" s="48">
        <v>-273257.46000000002</v>
      </c>
      <c r="BY93" s="48">
        <v>-274315.11</v>
      </c>
      <c r="BZ93" s="48">
        <v>-245075.52</v>
      </c>
      <c r="CA93" s="48">
        <v>-177018.47</v>
      </c>
      <c r="CB93" s="48">
        <v>-168049.7</v>
      </c>
      <c r="CC93" s="48">
        <v>-193633.33</v>
      </c>
      <c r="CD93" s="48">
        <v>-183879.33</v>
      </c>
      <c r="CE93" s="48">
        <v>-188469.98</v>
      </c>
      <c r="CF93" s="48">
        <v>-186178.27</v>
      </c>
      <c r="CG93" s="48">
        <v>-198882.35</v>
      </c>
      <c r="CH93" s="48">
        <v>-210275.26</v>
      </c>
      <c r="CI93" s="48">
        <v>-263941.28999999998</v>
      </c>
      <c r="CJ93" s="48">
        <v>-388576.5</v>
      </c>
      <c r="CK93" s="48">
        <v>-329605.43</v>
      </c>
      <c r="CL93" s="48">
        <v>-340813.67</v>
      </c>
      <c r="CM93" s="48">
        <v>-283031.46000000002</v>
      </c>
      <c r="CN93" s="48">
        <v>-266287.78000000003</v>
      </c>
      <c r="CO93" s="48">
        <v>-253522.06</v>
      </c>
      <c r="CP93" s="48">
        <v>-295481.86</v>
      </c>
      <c r="CQ93" s="48">
        <v>-277514.45</v>
      </c>
      <c r="CR93" s="48">
        <v>-309065.09000000003</v>
      </c>
      <c r="CS93" s="48">
        <v>-301593.17</v>
      </c>
      <c r="CT93" s="48">
        <v>-345307.64</v>
      </c>
      <c r="CU93" s="48">
        <v>-385592.86</v>
      </c>
      <c r="CV93" s="48">
        <v>-377351.61</v>
      </c>
      <c r="CW93" s="48">
        <v>-420721.69</v>
      </c>
      <c r="CX93" s="48">
        <v>-348172.23</v>
      </c>
      <c r="CY93" s="48">
        <v>-342325.21</v>
      </c>
      <c r="CZ93" s="48">
        <v>-329838.73</v>
      </c>
      <c r="DA93" s="48">
        <v>-287571.86</v>
      </c>
      <c r="DB93" s="48">
        <v>-242056.53</v>
      </c>
      <c r="DC93" s="48">
        <v>-257461.77</v>
      </c>
      <c r="DD93" s="48">
        <v>-274203.13</v>
      </c>
      <c r="DE93" s="48">
        <f>VLOOKUP($C93,'[2]Analysis 1'!$C$5:$DG$1025,107,FALSE)</f>
        <v>-311189.09999999998</v>
      </c>
      <c r="DF93" s="48">
        <f>VLOOKUP($C93,'[2]Analysis 1'!$C$5:$DG$1025,108,FALSE)</f>
        <v>-293549.31</v>
      </c>
      <c r="DG93" s="48">
        <f>VLOOKUP($C93,'[2]Analysis 1'!$C$5:$DG$1025,109,FALSE)</f>
        <v>-339968.09</v>
      </c>
      <c r="DH93" s="369">
        <f t="shared" si="2"/>
        <v>-3824409.26</v>
      </c>
    </row>
    <row r="94" spans="1:112">
      <c r="A94" s="357" t="str">
        <f t="shared" si="3"/>
        <v>4893009</v>
      </c>
      <c r="B94" s="350" t="s">
        <v>1927</v>
      </c>
      <c r="C94" s="335" t="s">
        <v>1021</v>
      </c>
      <c r="D94" s="367">
        <v>-10661.03</v>
      </c>
      <c r="E94" s="367">
        <v>-12313.61</v>
      </c>
      <c r="F94" s="367">
        <v>-9839.6299999999992</v>
      </c>
      <c r="G94" s="367">
        <v>-8462.9699999999993</v>
      </c>
      <c r="H94" s="367">
        <v>-7238.07</v>
      </c>
      <c r="I94" s="367">
        <v>-6831.51</v>
      </c>
      <c r="J94" s="367">
        <v>-5824.96</v>
      </c>
      <c r="K94" s="367">
        <v>-5513.33</v>
      </c>
      <c r="L94" s="367">
        <v>-7032.35</v>
      </c>
      <c r="M94" s="367">
        <v>-6918.63</v>
      </c>
      <c r="N94" s="367">
        <v>-7544.24</v>
      </c>
      <c r="O94" s="368">
        <v>-9174.48</v>
      </c>
      <c r="P94" s="48">
        <v>-10595.86</v>
      </c>
      <c r="Q94" s="48">
        <v>-11173.42</v>
      </c>
      <c r="R94" s="48">
        <v>-11426.91</v>
      </c>
      <c r="S94" s="48">
        <v>-8603.4</v>
      </c>
      <c r="T94" s="48">
        <v>-7485.97</v>
      </c>
      <c r="U94" s="48">
        <v>-7685.84</v>
      </c>
      <c r="V94" s="48">
        <v>-6131.62</v>
      </c>
      <c r="W94" s="48">
        <v>-6575.88</v>
      </c>
      <c r="X94" s="48">
        <v>-6737.64</v>
      </c>
      <c r="Y94" s="48">
        <v>-7276.66</v>
      </c>
      <c r="Z94" s="48">
        <v>-7814.59</v>
      </c>
      <c r="AA94" s="48">
        <v>-12708.24</v>
      </c>
      <c r="AB94" s="48">
        <v>-14864.28</v>
      </c>
      <c r="AC94" s="48">
        <v>-18376.13</v>
      </c>
      <c r="AD94" s="48">
        <v>-15856.57</v>
      </c>
      <c r="AE94" s="48">
        <v>-13493.62</v>
      </c>
      <c r="AF94" s="48">
        <v>-12324.57</v>
      </c>
      <c r="AG94" s="48">
        <v>-11298.72</v>
      </c>
      <c r="AH94" s="48">
        <v>-8868.09</v>
      </c>
      <c r="AI94" s="48">
        <v>-8982.98</v>
      </c>
      <c r="AJ94" s="48">
        <v>-11030.21</v>
      </c>
      <c r="AK94" s="48">
        <v>-10319.31</v>
      </c>
      <c r="AL94" s="48">
        <v>-11594.29</v>
      </c>
      <c r="AM94" s="48">
        <v>-13893.95</v>
      </c>
      <c r="AN94" s="48">
        <v>-16289.82</v>
      </c>
      <c r="AO94" s="48">
        <v>-16092.97</v>
      </c>
      <c r="AP94" s="48">
        <v>-15244.12</v>
      </c>
      <c r="AQ94" s="48">
        <v>-16191.11</v>
      </c>
      <c r="AR94" s="48">
        <v>-13886.13</v>
      </c>
      <c r="AS94" s="48">
        <v>-12602.78</v>
      </c>
      <c r="AT94" s="48">
        <v>-9993.27</v>
      </c>
      <c r="AU94" s="48">
        <v>-9921.17</v>
      </c>
      <c r="AV94" s="48">
        <v>-11763.62</v>
      </c>
      <c r="AW94" s="48">
        <v>-11169.37</v>
      </c>
      <c r="AX94" s="48">
        <v>-13647.07</v>
      </c>
      <c r="AY94" s="48">
        <v>-15630.72</v>
      </c>
      <c r="AZ94" s="48">
        <v>-27204.400000000001</v>
      </c>
      <c r="BA94" s="48">
        <v>-34050.129999999997</v>
      </c>
      <c r="BB94" s="48">
        <v>-7224.65</v>
      </c>
      <c r="BC94" s="48">
        <v>-19197.349999999999</v>
      </c>
      <c r="BD94" s="48">
        <v>-15061.96</v>
      </c>
      <c r="BE94" s="48">
        <v>-14394.88</v>
      </c>
      <c r="BF94" s="48">
        <v>-11739.44</v>
      </c>
      <c r="BG94" s="48">
        <v>-11096.12</v>
      </c>
      <c r="BH94" s="48">
        <v>-13524.38</v>
      </c>
      <c r="BI94" s="48">
        <v>-12444.07</v>
      </c>
      <c r="BJ94" s="48">
        <v>-13474.12</v>
      </c>
      <c r="BK94" s="48">
        <v>-17698.07</v>
      </c>
      <c r="BL94" s="48">
        <v>-21628.97</v>
      </c>
      <c r="BM94" s="48">
        <v>-21398.23</v>
      </c>
      <c r="BN94" s="48">
        <v>-17814.599999999999</v>
      </c>
      <c r="BO94" s="48">
        <v>-17290.810000000001</v>
      </c>
      <c r="BP94" s="48">
        <v>-15525.64</v>
      </c>
      <c r="BQ94" s="48">
        <v>-14641.9</v>
      </c>
      <c r="BR94" s="48">
        <v>-11514.78</v>
      </c>
      <c r="BS94" s="48">
        <v>-15885.21</v>
      </c>
      <c r="BT94" s="48">
        <v>-7331.6</v>
      </c>
      <c r="BU94" s="48">
        <v>-12551.75</v>
      </c>
      <c r="BV94" s="48">
        <v>-14134.63</v>
      </c>
      <c r="BW94" s="48">
        <v>-17811.79</v>
      </c>
      <c r="BX94" s="48">
        <v>-19336.59</v>
      </c>
      <c r="BY94" s="48">
        <v>-20230.919999999998</v>
      </c>
      <c r="BZ94" s="48">
        <v>-18781.05</v>
      </c>
      <c r="CA94" s="48">
        <v>-11563.74</v>
      </c>
      <c r="CB94" s="48">
        <v>-9130.68</v>
      </c>
      <c r="CC94" s="48">
        <v>-10389.64</v>
      </c>
      <c r="CD94" s="48">
        <v>-10073.36</v>
      </c>
      <c r="CE94" s="48">
        <v>-10343.61</v>
      </c>
      <c r="CF94" s="48">
        <v>-10342.69</v>
      </c>
      <c r="CG94" s="48">
        <v>-11248.19</v>
      </c>
      <c r="CH94" s="48">
        <v>-12787.82</v>
      </c>
      <c r="CI94" s="48">
        <v>-16153.44</v>
      </c>
      <c r="CJ94" s="48">
        <v>-21863.26</v>
      </c>
      <c r="CK94" s="48">
        <v>-21928.9</v>
      </c>
      <c r="CL94" s="48">
        <v>-20542.11</v>
      </c>
      <c r="CM94" s="48">
        <v>-17198.8</v>
      </c>
      <c r="CN94" s="48">
        <v>-14955.61</v>
      </c>
      <c r="CO94" s="48">
        <v>-13433.27</v>
      </c>
      <c r="CP94" s="48">
        <v>-12769.54</v>
      </c>
      <c r="CQ94" s="48">
        <v>-12422.68</v>
      </c>
      <c r="CR94" s="48">
        <v>-14427.63</v>
      </c>
      <c r="CS94" s="48">
        <v>-14517.69</v>
      </c>
      <c r="CT94" s="48">
        <v>-17773.62</v>
      </c>
      <c r="CU94" s="48">
        <v>-21534.94</v>
      </c>
      <c r="CV94" s="48">
        <v>-20935.650000000001</v>
      </c>
      <c r="CW94" s="48">
        <v>-26294.880000000001</v>
      </c>
      <c r="CX94" s="48">
        <v>-21876.35</v>
      </c>
      <c r="CY94" s="48">
        <v>-20125.89</v>
      </c>
      <c r="CZ94" s="48">
        <v>-18655.580000000002</v>
      </c>
      <c r="DA94" s="48">
        <v>-15504.47</v>
      </c>
      <c r="DB94" s="48">
        <v>-11084.8</v>
      </c>
      <c r="DC94" s="48">
        <v>-10867.48</v>
      </c>
      <c r="DD94" s="48">
        <v>-12575.29</v>
      </c>
      <c r="DE94" s="48">
        <f>VLOOKUP($C94,'[2]Analysis 1'!$C$5:$DG$1025,107,FALSE)</f>
        <v>-14335.97</v>
      </c>
      <c r="DF94" s="48">
        <f>VLOOKUP($C94,'[2]Analysis 1'!$C$5:$DG$1025,108,FALSE)</f>
        <v>-14393.76</v>
      </c>
      <c r="DG94" s="48">
        <f>VLOOKUP($C94,'[2]Analysis 1'!$C$5:$DG$1025,109,FALSE)</f>
        <v>-17488.09</v>
      </c>
      <c r="DH94" s="369">
        <f t="shared" si="2"/>
        <v>-204138.21000000002</v>
      </c>
    </row>
    <row r="95" spans="1:112">
      <c r="A95" s="357">
        <f t="shared" si="3"/>
        <v>4893033</v>
      </c>
      <c r="B95" s="335">
        <v>4893033</v>
      </c>
      <c r="C95" s="335" t="s">
        <v>2576</v>
      </c>
      <c r="D95" s="367"/>
      <c r="E95" s="367"/>
      <c r="F95" s="367"/>
      <c r="G95" s="367"/>
      <c r="H95" s="367"/>
      <c r="I95" s="367"/>
      <c r="J95" s="367"/>
      <c r="K95" s="367"/>
      <c r="L95" s="367"/>
      <c r="M95" s="367"/>
      <c r="N95" s="367"/>
      <c r="O95" s="36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v>-45</v>
      </c>
      <c r="CK95" s="48">
        <v>-45</v>
      </c>
      <c r="CL95" s="48">
        <v>-45</v>
      </c>
      <c r="CM95" s="48">
        <v>-48.88</v>
      </c>
      <c r="CN95" s="48">
        <v>-48.2</v>
      </c>
      <c r="CO95" s="48">
        <v>-45.45</v>
      </c>
      <c r="CP95" s="48">
        <v>-47.06</v>
      </c>
      <c r="CQ95" s="48">
        <v>-47.06</v>
      </c>
      <c r="CR95" s="48">
        <v>-45.24</v>
      </c>
      <c r="CS95" s="48">
        <v>-45.24</v>
      </c>
      <c r="CT95" s="48">
        <v>-45.45</v>
      </c>
      <c r="CU95" s="48">
        <v>-53.69</v>
      </c>
      <c r="CV95" s="48">
        <v>-59.57</v>
      </c>
      <c r="CW95" s="48">
        <v>-61.17</v>
      </c>
      <c r="CX95" s="48">
        <v>-64.61</v>
      </c>
      <c r="CY95" s="48">
        <v>-52.29</v>
      </c>
      <c r="CZ95" s="48">
        <v>-45</v>
      </c>
      <c r="DA95" s="48">
        <v>-48.86</v>
      </c>
      <c r="DB95" s="48">
        <v>-46.14</v>
      </c>
      <c r="DC95" s="48">
        <v>-45</v>
      </c>
      <c r="DD95" s="48">
        <v>-45</v>
      </c>
      <c r="DE95" s="48">
        <f>VLOOKUP($C95,'[2]Analysis 1'!$C$5:$DG$1025,107,FALSE)</f>
        <v>-87.97</v>
      </c>
      <c r="DF95" s="48">
        <f>VLOOKUP($C95,'[2]Analysis 1'!$C$5:$DG$1025,108,FALSE)</f>
        <v>-189.61</v>
      </c>
      <c r="DG95" s="48">
        <f>VLOOKUP($C95,'[2]Analysis 1'!$C$5:$DG$1025,109,FALSE)</f>
        <v>-302.12</v>
      </c>
      <c r="DH95" s="369">
        <f t="shared" si="2"/>
        <v>-1047.3400000000001</v>
      </c>
    </row>
    <row r="96" spans="1:112">
      <c r="A96" s="1040">
        <f>+B96</f>
        <v>4893034</v>
      </c>
      <c r="B96" s="956">
        <v>4893034</v>
      </c>
      <c r="C96" s="956" t="s">
        <v>2672</v>
      </c>
      <c r="D96" s="367"/>
      <c r="E96" s="367"/>
      <c r="F96" s="367"/>
      <c r="G96" s="367"/>
      <c r="H96" s="367"/>
      <c r="I96" s="367"/>
      <c r="J96" s="367"/>
      <c r="K96" s="367"/>
      <c r="L96" s="367"/>
      <c r="M96" s="367"/>
      <c r="N96" s="367"/>
      <c r="O96" s="36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v>-0.41</v>
      </c>
      <c r="CN96" s="48">
        <v>-0.34</v>
      </c>
      <c r="CO96" s="48">
        <v>-0.05</v>
      </c>
      <c r="CP96" s="48">
        <v>-0.22</v>
      </c>
      <c r="CQ96" s="48">
        <v>-0.22</v>
      </c>
      <c r="CR96" s="48">
        <v>-0.02</v>
      </c>
      <c r="CS96" s="48">
        <v>-0.02</v>
      </c>
      <c r="CT96" s="48">
        <v>-0.05</v>
      </c>
      <c r="CU96" s="48">
        <v>-0.92</v>
      </c>
      <c r="CV96" s="48">
        <v>-1.55</v>
      </c>
      <c r="CW96" s="48">
        <v>-1.72</v>
      </c>
      <c r="CX96" s="48">
        <v>-2.08</v>
      </c>
      <c r="CY96" s="48">
        <v>-0.77</v>
      </c>
      <c r="CZ96" s="48">
        <v>0</v>
      </c>
      <c r="DA96" s="48">
        <v>-0.41</v>
      </c>
      <c r="DB96" s="48">
        <v>-0.12</v>
      </c>
      <c r="DC96" s="48">
        <v>0</v>
      </c>
      <c r="DD96" s="48">
        <v>0</v>
      </c>
      <c r="DE96" s="48">
        <f>VLOOKUP($C96,'[2]Analysis 1'!$C$5:$DG$1025,107,FALSE)</f>
        <v>-4.5599999999999996</v>
      </c>
      <c r="DF96" s="48">
        <f>VLOOKUP($C96,'[2]Analysis 1'!$C$5:$DG$1025,108,FALSE)</f>
        <v>-15.34</v>
      </c>
      <c r="DG96" s="48">
        <f>VLOOKUP($C96,'[2]Analysis 1'!$C$5:$DG$1025,109,FALSE)</f>
        <v>-27.28</v>
      </c>
      <c r="DH96" s="369">
        <f t="shared" si="2"/>
        <v>-53.83</v>
      </c>
    </row>
    <row r="97" spans="1:112">
      <c r="A97" s="357" t="str">
        <f t="shared" si="3"/>
        <v>4893035</v>
      </c>
      <c r="B97" s="350" t="s">
        <v>1928</v>
      </c>
      <c r="C97" s="335" t="s">
        <v>1022</v>
      </c>
      <c r="D97" s="340">
        <v>-4066.82</v>
      </c>
      <c r="E97" s="340">
        <v>-4112.2700000000004</v>
      </c>
      <c r="F97" s="340">
        <v>-4011.36</v>
      </c>
      <c r="G97" s="340">
        <v>-4033.34</v>
      </c>
      <c r="H97" s="340">
        <v>-4182.9399999999996</v>
      </c>
      <c r="I97" s="340">
        <v>-4353.8999999999996</v>
      </c>
      <c r="J97" s="340">
        <v>-4118.38</v>
      </c>
      <c r="K97" s="340">
        <v>-4267.87</v>
      </c>
      <c r="L97" s="340">
        <v>-4549.04</v>
      </c>
      <c r="M97" s="340">
        <v>-4871.57</v>
      </c>
      <c r="N97" s="340">
        <v>-5005.38</v>
      </c>
      <c r="O97" s="341">
        <v>-5518.28</v>
      </c>
      <c r="P97" s="48">
        <v>-4960.3100000000004</v>
      </c>
      <c r="Q97" s="48">
        <v>-5079.29</v>
      </c>
      <c r="R97" s="48">
        <v>-5537.25</v>
      </c>
      <c r="S97" s="48">
        <v>-5064.75</v>
      </c>
      <c r="T97" s="48">
        <v>-5182.05</v>
      </c>
      <c r="U97" s="48">
        <v>-5009.9799999999996</v>
      </c>
      <c r="V97" s="48">
        <v>-4948.8999999999996</v>
      </c>
      <c r="W97" s="48">
        <v>-4657.43</v>
      </c>
      <c r="X97" s="48">
        <v>-4620.1000000000004</v>
      </c>
      <c r="Y97" s="48">
        <v>-4806.76</v>
      </c>
      <c r="Z97" s="48">
        <v>-5526.98</v>
      </c>
      <c r="AA97" s="48">
        <v>-5817.22</v>
      </c>
      <c r="AB97" s="48">
        <v>-6136.79</v>
      </c>
      <c r="AC97" s="48">
        <v>-6541.69</v>
      </c>
      <c r="AD97" s="48">
        <v>-6580.02</v>
      </c>
      <c r="AE97" s="48">
        <v>-6571.03</v>
      </c>
      <c r="AF97" s="48">
        <v>-6746.62</v>
      </c>
      <c r="AG97" s="48">
        <v>-6600.13</v>
      </c>
      <c r="AH97" s="48">
        <v>-6793.27</v>
      </c>
      <c r="AI97" s="48">
        <v>-6603.01</v>
      </c>
      <c r="AJ97" s="48">
        <v>-6447.51</v>
      </c>
      <c r="AK97" s="48">
        <v>-6501.12</v>
      </c>
      <c r="AL97" s="48">
        <v>-6567</v>
      </c>
      <c r="AM97" s="48">
        <v>-5844.79</v>
      </c>
      <c r="AN97" s="48">
        <v>-5894.07</v>
      </c>
      <c r="AO97" s="48">
        <v>-6711.93</v>
      </c>
      <c r="AP97" s="48">
        <v>-6186.94</v>
      </c>
      <c r="AQ97" s="48">
        <v>-6270.72</v>
      </c>
      <c r="AR97" s="48">
        <v>-6302.84</v>
      </c>
      <c r="AS97" s="48">
        <v>-6110.5</v>
      </c>
      <c r="AT97" s="48">
        <v>-6270.49</v>
      </c>
      <c r="AU97" s="48">
        <v>-6289.9</v>
      </c>
      <c r="AV97" s="48">
        <v>-7048.02</v>
      </c>
      <c r="AW97" s="48">
        <v>-6667.72</v>
      </c>
      <c r="AX97" s="48">
        <v>-7938.26</v>
      </c>
      <c r="AY97" s="48">
        <v>-5305.7</v>
      </c>
      <c r="AZ97" s="48">
        <v>-5974.62</v>
      </c>
      <c r="BA97" s="48">
        <v>-6005.62</v>
      </c>
      <c r="BB97" s="48">
        <v>-9399.19</v>
      </c>
      <c r="BC97" s="48">
        <v>-13586.84</v>
      </c>
      <c r="BD97" s="48">
        <v>-12521.68</v>
      </c>
      <c r="BE97" s="48">
        <v>-8579.8799999999992</v>
      </c>
      <c r="BF97" s="48">
        <v>-9160.7000000000007</v>
      </c>
      <c r="BG97" s="48">
        <v>-9233.59</v>
      </c>
      <c r="BH97" s="48">
        <v>-8611.6299999999992</v>
      </c>
      <c r="BI97" s="48">
        <v>-8747.66</v>
      </c>
      <c r="BJ97" s="48">
        <v>-250.19</v>
      </c>
      <c r="BK97" s="48">
        <v>-7732.14</v>
      </c>
      <c r="BL97" s="48">
        <v>-8227.2199999999993</v>
      </c>
      <c r="BM97" s="48">
        <v>-8067.59</v>
      </c>
      <c r="BN97" s="48">
        <v>-8433.85</v>
      </c>
      <c r="BO97" s="48">
        <v>-7616.84</v>
      </c>
      <c r="BP97" s="48">
        <v>-7708.6</v>
      </c>
      <c r="BQ97" s="48">
        <v>-7718.37</v>
      </c>
      <c r="BR97" s="48">
        <v>-8227.81</v>
      </c>
      <c r="BS97" s="48">
        <v>-8428.76</v>
      </c>
      <c r="BT97" s="48">
        <v>-9057.4599999999991</v>
      </c>
      <c r="BU97" s="48">
        <v>-7513.35</v>
      </c>
      <c r="BV97" s="48">
        <v>-8162.23</v>
      </c>
      <c r="BW97" s="48">
        <v>-9786.09</v>
      </c>
      <c r="BX97" s="48">
        <v>-8841.6299999999992</v>
      </c>
      <c r="BY97" s="48">
        <v>-8688.67</v>
      </c>
      <c r="BZ97" s="48">
        <v>-14756.15</v>
      </c>
      <c r="CA97" s="48">
        <v>-10004.780000000001</v>
      </c>
      <c r="CB97" s="48">
        <v>-10375.16</v>
      </c>
      <c r="CC97" s="48">
        <v>-8814.25</v>
      </c>
      <c r="CD97" s="48">
        <v>-9499.41</v>
      </c>
      <c r="CE97" s="48">
        <v>-9787.9</v>
      </c>
      <c r="CF97" s="48">
        <v>-10100.85</v>
      </c>
      <c r="CG97" s="48">
        <v>-10474.52</v>
      </c>
      <c r="CH97" s="48">
        <v>-10885.53</v>
      </c>
      <c r="CI97" s="48">
        <v>-12455.7</v>
      </c>
      <c r="CJ97" s="48">
        <v>-18989.810000000001</v>
      </c>
      <c r="CK97" s="48">
        <v>-18173.37</v>
      </c>
      <c r="CL97" s="48">
        <v>-17512.86</v>
      </c>
      <c r="CM97" s="48">
        <v>-18017.759999999998</v>
      </c>
      <c r="CN97" s="48">
        <v>-16459.45</v>
      </c>
      <c r="CO97" s="48">
        <v>-14731.2</v>
      </c>
      <c r="CP97" s="48">
        <v>-14204.18</v>
      </c>
      <c r="CQ97" s="48">
        <v>-13370.51</v>
      </c>
      <c r="CR97" s="48">
        <v>-13819.62</v>
      </c>
      <c r="CS97" s="48">
        <v>-14221.55</v>
      </c>
      <c r="CT97" s="48">
        <v>-15178.19</v>
      </c>
      <c r="CU97" s="48">
        <v>-16440.11</v>
      </c>
      <c r="CV97" s="48">
        <v>-17969.830000000002</v>
      </c>
      <c r="CW97" s="48">
        <v>-16996.259999999998</v>
      </c>
      <c r="CX97" s="48">
        <v>-17000.099999999999</v>
      </c>
      <c r="CY97" s="48">
        <v>-15897.56</v>
      </c>
      <c r="CZ97" s="48">
        <v>-14913.89</v>
      </c>
      <c r="DA97" s="48">
        <v>-15566.27</v>
      </c>
      <c r="DB97" s="48">
        <v>-14196.31</v>
      </c>
      <c r="DC97" s="48">
        <v>-15880.52</v>
      </c>
      <c r="DD97" s="48">
        <v>-13742.85</v>
      </c>
      <c r="DE97" s="48">
        <f>VLOOKUP($C97,'[2]Analysis 1'!$C$5:$DG$1025,107,FALSE)</f>
        <v>-21122.7</v>
      </c>
      <c r="DF97" s="48">
        <f>VLOOKUP($C97,'[2]Analysis 1'!$C$5:$DG$1025,108,FALSE)</f>
        <v>-24709.72</v>
      </c>
      <c r="DG97" s="48">
        <f>VLOOKUP($C97,'[2]Analysis 1'!$C$5:$DG$1025,109,FALSE)</f>
        <v>-18819.099999999999</v>
      </c>
      <c r="DH97" s="369">
        <f t="shared" si="2"/>
        <v>-206815.11000000002</v>
      </c>
    </row>
    <row r="98" spans="1:112">
      <c r="A98" s="357" t="str">
        <f t="shared" si="3"/>
        <v>4893036</v>
      </c>
      <c r="B98" s="350" t="s">
        <v>1929</v>
      </c>
      <c r="C98" s="335" t="s">
        <v>1023</v>
      </c>
      <c r="D98" s="367">
        <v>-145.75</v>
      </c>
      <c r="E98" s="367">
        <v>-145.84</v>
      </c>
      <c r="F98" s="367">
        <v>-130.66999999999999</v>
      </c>
      <c r="G98" s="367">
        <v>-134.43</v>
      </c>
      <c r="H98" s="367">
        <v>-146.77000000000001</v>
      </c>
      <c r="I98" s="367">
        <v>-160.38</v>
      </c>
      <c r="J98" s="367">
        <v>-121.29</v>
      </c>
      <c r="K98" s="367">
        <v>-121.82</v>
      </c>
      <c r="L98" s="367">
        <v>-144.1</v>
      </c>
      <c r="M98" s="367">
        <v>-162.08000000000001</v>
      </c>
      <c r="N98" s="367">
        <v>-172.98</v>
      </c>
      <c r="O98" s="368">
        <v>-218.6</v>
      </c>
      <c r="P98" s="48">
        <v>-171.31</v>
      </c>
      <c r="Q98" s="48">
        <v>-183.94</v>
      </c>
      <c r="R98" s="48">
        <v>-223.72</v>
      </c>
      <c r="S98" s="48">
        <v>-178.08</v>
      </c>
      <c r="T98" s="48">
        <v>-177.17</v>
      </c>
      <c r="U98" s="48">
        <v>-171.47</v>
      </c>
      <c r="V98" s="48">
        <v>-163.82</v>
      </c>
      <c r="W98" s="48">
        <v>-142.72</v>
      </c>
      <c r="X98" s="48">
        <v>-140.52000000000001</v>
      </c>
      <c r="Y98" s="48">
        <v>-148.32</v>
      </c>
      <c r="Z98" s="48">
        <v>-176.16</v>
      </c>
      <c r="AA98" s="48">
        <v>-262.60000000000002</v>
      </c>
      <c r="AB98" s="48">
        <v>-285.14999999999998</v>
      </c>
      <c r="AC98" s="48">
        <v>-333.2</v>
      </c>
      <c r="AD98" s="48">
        <v>-332.28</v>
      </c>
      <c r="AE98" s="48">
        <v>-330.73</v>
      </c>
      <c r="AF98" s="48">
        <v>-343.31</v>
      </c>
      <c r="AG98" s="48">
        <v>-331.29</v>
      </c>
      <c r="AH98" s="48">
        <v>-349</v>
      </c>
      <c r="AI98" s="48">
        <v>-328.21</v>
      </c>
      <c r="AJ98" s="48">
        <v>-301.16000000000003</v>
      </c>
      <c r="AK98" s="48">
        <v>-304.52999999999997</v>
      </c>
      <c r="AL98" s="48">
        <v>-317.64</v>
      </c>
      <c r="AM98" s="48">
        <v>-240.81</v>
      </c>
      <c r="AN98" s="48">
        <v>-262.83999999999997</v>
      </c>
      <c r="AO98" s="48">
        <v>-307.95999999999998</v>
      </c>
      <c r="AP98" s="48">
        <v>-267.31</v>
      </c>
      <c r="AQ98" s="48">
        <v>-282.13</v>
      </c>
      <c r="AR98" s="48">
        <v>-257.41000000000003</v>
      </c>
      <c r="AS98" s="48">
        <v>-260.37</v>
      </c>
      <c r="AT98" s="48">
        <v>-239.64</v>
      </c>
      <c r="AU98" s="48">
        <v>-206.07</v>
      </c>
      <c r="AV98" s="48">
        <v>-383.14</v>
      </c>
      <c r="AW98" s="48">
        <v>-345.76</v>
      </c>
      <c r="AX98" s="48">
        <v>-473.28</v>
      </c>
      <c r="AY98" s="48">
        <v>-212.93</v>
      </c>
      <c r="AZ98" s="48">
        <v>-248.95</v>
      </c>
      <c r="BA98" s="48">
        <v>-260.99</v>
      </c>
      <c r="BB98" s="48">
        <v>-620.66</v>
      </c>
      <c r="BC98" s="48">
        <v>-607</v>
      </c>
      <c r="BD98" s="48">
        <v>-870.1</v>
      </c>
      <c r="BE98" s="48">
        <v>-536.72</v>
      </c>
      <c r="BF98" s="48">
        <v>-604.79999999999995</v>
      </c>
      <c r="BG98" s="48">
        <v>-590.37</v>
      </c>
      <c r="BH98" s="48">
        <v>-523.32000000000005</v>
      </c>
      <c r="BI98" s="48">
        <v>-540.49</v>
      </c>
      <c r="BJ98" s="48">
        <v>410.52</v>
      </c>
      <c r="BK98" s="48">
        <v>-414.21</v>
      </c>
      <c r="BL98" s="48">
        <v>-262.24</v>
      </c>
      <c r="BM98" s="48">
        <v>-238.75</v>
      </c>
      <c r="BN98" s="48">
        <v>-259.87</v>
      </c>
      <c r="BO98" s="48">
        <v>-215.26</v>
      </c>
      <c r="BP98" s="48">
        <v>-221.24</v>
      </c>
      <c r="BQ98" s="48">
        <v>-218.23</v>
      </c>
      <c r="BR98" s="48">
        <v>-245.43</v>
      </c>
      <c r="BS98" s="48">
        <v>-256.82</v>
      </c>
      <c r="BT98" s="48">
        <v>-294.75</v>
      </c>
      <c r="BU98" s="48">
        <v>-191.75</v>
      </c>
      <c r="BV98" s="48">
        <v>-226.5</v>
      </c>
      <c r="BW98" s="48">
        <v>-308.47000000000003</v>
      </c>
      <c r="BX98" s="48">
        <v>-259.52</v>
      </c>
      <c r="BY98" s="48">
        <v>-260.79000000000002</v>
      </c>
      <c r="BZ98" s="48">
        <v>-630.44000000000005</v>
      </c>
      <c r="CA98" s="48">
        <v>-341.55</v>
      </c>
      <c r="CB98" s="48">
        <v>-334.27</v>
      </c>
      <c r="CC98" s="48">
        <v>-264.24</v>
      </c>
      <c r="CD98" s="48">
        <v>-303.05</v>
      </c>
      <c r="CE98" s="48">
        <v>-321.62</v>
      </c>
      <c r="CF98" s="48">
        <v>-340.8</v>
      </c>
      <c r="CG98" s="48">
        <v>-315.48</v>
      </c>
      <c r="CH98" s="48">
        <v>-387.4</v>
      </c>
      <c r="CI98" s="48">
        <v>-493.12</v>
      </c>
      <c r="CJ98" s="48">
        <v>-609</v>
      </c>
      <c r="CK98" s="48">
        <v>-555.14</v>
      </c>
      <c r="CL98" s="48">
        <v>-539.37</v>
      </c>
      <c r="CM98" s="48">
        <v>-564.79999999999995</v>
      </c>
      <c r="CN98" s="48">
        <v>-488.62</v>
      </c>
      <c r="CO98" s="48">
        <v>-376.36</v>
      </c>
      <c r="CP98" s="48">
        <v>-376.43</v>
      </c>
      <c r="CQ98" s="48">
        <v>-337.18</v>
      </c>
      <c r="CR98" s="48">
        <v>-358.27</v>
      </c>
      <c r="CS98" s="48">
        <v>-360.17</v>
      </c>
      <c r="CT98" s="48">
        <v>-419.25</v>
      </c>
      <c r="CU98" s="48">
        <v>-486.71</v>
      </c>
      <c r="CV98" s="48">
        <v>-560</v>
      </c>
      <c r="CW98" s="48">
        <v>-499.37</v>
      </c>
      <c r="CX98" s="48">
        <v>-505.8</v>
      </c>
      <c r="CY98" s="48">
        <v>-456.35</v>
      </c>
      <c r="CZ98" s="48">
        <v>-390.8</v>
      </c>
      <c r="DA98" s="48">
        <v>-437.55</v>
      </c>
      <c r="DB98" s="48">
        <v>-363.35</v>
      </c>
      <c r="DC98" s="48">
        <v>-432.7</v>
      </c>
      <c r="DD98" s="48">
        <v>-349.74</v>
      </c>
      <c r="DE98" s="48">
        <f>VLOOKUP($C98,'[2]Analysis 1'!$C$5:$DG$1025,107,FALSE)</f>
        <v>-724.69</v>
      </c>
      <c r="DF98" s="48">
        <f>VLOOKUP($C98,'[2]Analysis 1'!$C$5:$DG$1025,108,FALSE)</f>
        <v>-885.5</v>
      </c>
      <c r="DG98" s="48">
        <f>VLOOKUP($C98,'[2]Analysis 1'!$C$5:$DG$1025,109,FALSE)</f>
        <v>-582.41999999999996</v>
      </c>
      <c r="DH98" s="369">
        <f t="shared" si="2"/>
        <v>-6188.27</v>
      </c>
    </row>
    <row r="99" spans="1:112">
      <c r="A99" s="357" t="str">
        <f>+B99</f>
        <v>4893037</v>
      </c>
      <c r="B99" s="350" t="s">
        <v>2524</v>
      </c>
      <c r="C99" s="955" t="s">
        <v>2526</v>
      </c>
      <c r="D99" s="48">
        <v>0</v>
      </c>
      <c r="E99" s="48">
        <v>0</v>
      </c>
      <c r="F99" s="48">
        <v>0</v>
      </c>
      <c r="G99" s="48">
        <v>0</v>
      </c>
      <c r="H99" s="48">
        <v>0</v>
      </c>
      <c r="I99" s="48">
        <v>0</v>
      </c>
      <c r="J99" s="48">
        <v>0</v>
      </c>
      <c r="K99" s="48">
        <v>0</v>
      </c>
      <c r="L99" s="48">
        <v>0</v>
      </c>
      <c r="M99" s="48">
        <v>0</v>
      </c>
      <c r="N99" s="48">
        <v>0</v>
      </c>
      <c r="O99" s="48">
        <v>0</v>
      </c>
      <c r="P99" s="48">
        <v>0</v>
      </c>
      <c r="Q99" s="48">
        <v>0</v>
      </c>
      <c r="R99" s="48">
        <v>0</v>
      </c>
      <c r="S99" s="48">
        <v>0</v>
      </c>
      <c r="T99" s="48">
        <v>0</v>
      </c>
      <c r="U99" s="48">
        <v>0</v>
      </c>
      <c r="V99" s="48">
        <v>0</v>
      </c>
      <c r="W99" s="48">
        <v>0</v>
      </c>
      <c r="X99" s="48">
        <v>0</v>
      </c>
      <c r="Y99" s="48">
        <v>0</v>
      </c>
      <c r="Z99" s="48">
        <v>0</v>
      </c>
      <c r="AA99" s="48">
        <v>0</v>
      </c>
      <c r="AB99" s="48">
        <v>0</v>
      </c>
      <c r="AC99" s="48">
        <v>0</v>
      </c>
      <c r="AD99" s="48">
        <v>0</v>
      </c>
      <c r="AE99" s="48">
        <v>0</v>
      </c>
      <c r="AF99" s="48">
        <v>0</v>
      </c>
      <c r="AG99" s="48">
        <v>0</v>
      </c>
      <c r="AH99" s="48">
        <v>0</v>
      </c>
      <c r="AI99" s="48">
        <v>0</v>
      </c>
      <c r="AJ99" s="48">
        <v>0</v>
      </c>
      <c r="AK99" s="48">
        <v>0</v>
      </c>
      <c r="AL99" s="48">
        <v>0</v>
      </c>
      <c r="AM99" s="48">
        <v>0</v>
      </c>
      <c r="AN99" s="48">
        <v>0</v>
      </c>
      <c r="AO99" s="48">
        <v>0</v>
      </c>
      <c r="AP99" s="48">
        <v>0</v>
      </c>
      <c r="AQ99" s="48">
        <v>0</v>
      </c>
      <c r="AR99" s="48">
        <v>0</v>
      </c>
      <c r="AS99" s="48">
        <v>0</v>
      </c>
      <c r="AT99" s="48">
        <v>0</v>
      </c>
      <c r="AU99" s="48">
        <v>0</v>
      </c>
      <c r="AV99" s="48">
        <v>0</v>
      </c>
      <c r="AW99" s="48">
        <v>0</v>
      </c>
      <c r="AX99" s="48">
        <v>0</v>
      </c>
      <c r="AY99" s="48">
        <v>0</v>
      </c>
      <c r="AZ99" s="48">
        <v>0</v>
      </c>
      <c r="BA99" s="48">
        <v>0</v>
      </c>
      <c r="BB99" s="48">
        <v>0</v>
      </c>
      <c r="BC99" s="48">
        <v>0</v>
      </c>
      <c r="BD99" s="48">
        <v>0</v>
      </c>
      <c r="BE99" s="48">
        <v>0</v>
      </c>
      <c r="BF99" s="48">
        <v>0</v>
      </c>
      <c r="BG99" s="48">
        <v>0</v>
      </c>
      <c r="BH99" s="48">
        <v>0</v>
      </c>
      <c r="BI99" s="48">
        <v>0</v>
      </c>
      <c r="BJ99" s="48">
        <v>0</v>
      </c>
      <c r="BK99" s="48">
        <v>0</v>
      </c>
      <c r="BL99" s="48">
        <v>0</v>
      </c>
      <c r="BM99" s="48">
        <v>0</v>
      </c>
      <c r="BN99" s="48">
        <v>0</v>
      </c>
      <c r="BO99" s="48">
        <v>0</v>
      </c>
      <c r="BP99" s="48">
        <v>0</v>
      </c>
      <c r="BQ99" s="48">
        <v>0</v>
      </c>
      <c r="BR99" s="48">
        <v>0</v>
      </c>
      <c r="BS99" s="48">
        <v>0</v>
      </c>
      <c r="BT99" s="48">
        <v>0</v>
      </c>
      <c r="BU99" s="48">
        <v>0</v>
      </c>
      <c r="BV99" s="48">
        <v>0</v>
      </c>
      <c r="BW99" s="48">
        <v>0</v>
      </c>
      <c r="BX99" s="48">
        <v>0</v>
      </c>
      <c r="BY99" s="48">
        <v>0</v>
      </c>
      <c r="BZ99" s="48">
        <v>0</v>
      </c>
      <c r="CA99" s="48">
        <v>0</v>
      </c>
      <c r="CB99" s="48">
        <v>0</v>
      </c>
      <c r="CC99" s="48">
        <v>0</v>
      </c>
      <c r="CD99" s="48">
        <v>0</v>
      </c>
      <c r="CE99" s="48">
        <v>0</v>
      </c>
      <c r="CF99" s="48">
        <v>-162.19</v>
      </c>
      <c r="CG99" s="48">
        <v>-49.39</v>
      </c>
      <c r="CH99" s="48">
        <v>-51.75</v>
      </c>
      <c r="CI99" s="48">
        <v>-41.61</v>
      </c>
      <c r="CJ99" s="48">
        <v>-35.57</v>
      </c>
      <c r="CK99" s="48">
        <v>-32.22</v>
      </c>
      <c r="CL99" s="48">
        <v>-41.72</v>
      </c>
      <c r="CM99" s="48">
        <v>-42.41</v>
      </c>
      <c r="CN99" s="48">
        <v>-49.73</v>
      </c>
      <c r="CO99" s="48">
        <v>-54.92</v>
      </c>
      <c r="CP99" s="48">
        <v>-181.64</v>
      </c>
      <c r="CQ99" s="48">
        <v>-86.54</v>
      </c>
      <c r="CR99" s="48">
        <v>-145.44</v>
      </c>
      <c r="CS99" s="48">
        <v>-116.33</v>
      </c>
      <c r="CT99" s="48">
        <v>-107.39</v>
      </c>
      <c r="CU99" s="48">
        <v>-96.61</v>
      </c>
      <c r="CV99" s="48">
        <v>-89.11</v>
      </c>
      <c r="CW99" s="48">
        <v>-73.3</v>
      </c>
      <c r="CX99" s="48">
        <v>-83.57</v>
      </c>
      <c r="CY99" s="48">
        <v>-97.13</v>
      </c>
      <c r="CZ99" s="48">
        <v>-101.99</v>
      </c>
      <c r="DA99" s="48">
        <v>-119.85</v>
      </c>
      <c r="DB99" s="48">
        <v>-120.19</v>
      </c>
      <c r="DC99" s="48">
        <v>-123.83</v>
      </c>
      <c r="DD99" s="48">
        <v>-125.93</v>
      </c>
      <c r="DE99" s="48">
        <f>VLOOKUP($C99,'[2]Analysis 1'!$C$5:$DG$1025,107,FALSE)</f>
        <v>-107.84</v>
      </c>
      <c r="DF99" s="48">
        <f>VLOOKUP($C99,'[2]Analysis 1'!$C$5:$DG$1025,108,FALSE)</f>
        <v>-103.41</v>
      </c>
      <c r="DG99" s="48">
        <f>VLOOKUP($C99,'[2]Analysis 1'!$C$5:$DG$1025,109,FALSE)</f>
        <v>-94.54</v>
      </c>
      <c r="DH99" s="369">
        <f t="shared" si="2"/>
        <v>-1240.69</v>
      </c>
    </row>
    <row r="100" spans="1:112">
      <c r="A100" s="357" t="str">
        <f>+B100</f>
        <v>4893038</v>
      </c>
      <c r="B100" s="350" t="s">
        <v>2525</v>
      </c>
      <c r="C100" s="955" t="s">
        <v>2527</v>
      </c>
      <c r="D100" s="48">
        <v>0</v>
      </c>
      <c r="E100" s="48">
        <v>0</v>
      </c>
      <c r="F100" s="48">
        <v>0</v>
      </c>
      <c r="G100" s="48">
        <v>0</v>
      </c>
      <c r="H100" s="48">
        <v>0</v>
      </c>
      <c r="I100" s="48">
        <v>0</v>
      </c>
      <c r="J100" s="48">
        <v>0</v>
      </c>
      <c r="K100" s="48">
        <v>0</v>
      </c>
      <c r="L100" s="48">
        <v>0</v>
      </c>
      <c r="M100" s="48">
        <v>0</v>
      </c>
      <c r="N100" s="48">
        <v>0</v>
      </c>
      <c r="O100" s="48">
        <v>0</v>
      </c>
      <c r="P100" s="48">
        <v>0</v>
      </c>
      <c r="Q100" s="48">
        <v>0</v>
      </c>
      <c r="R100" s="48">
        <v>0</v>
      </c>
      <c r="S100" s="48">
        <v>0</v>
      </c>
      <c r="T100" s="48">
        <v>0</v>
      </c>
      <c r="U100" s="48">
        <v>0</v>
      </c>
      <c r="V100" s="48">
        <v>0</v>
      </c>
      <c r="W100" s="48">
        <v>0</v>
      </c>
      <c r="X100" s="48">
        <v>0</v>
      </c>
      <c r="Y100" s="48">
        <v>0</v>
      </c>
      <c r="Z100" s="48">
        <v>0</v>
      </c>
      <c r="AA100" s="48">
        <v>0</v>
      </c>
      <c r="AB100" s="48">
        <v>0</v>
      </c>
      <c r="AC100" s="48">
        <v>0</v>
      </c>
      <c r="AD100" s="48">
        <v>0</v>
      </c>
      <c r="AE100" s="48">
        <v>0</v>
      </c>
      <c r="AF100" s="48">
        <v>0</v>
      </c>
      <c r="AG100" s="48">
        <v>0</v>
      </c>
      <c r="AH100" s="48">
        <v>0</v>
      </c>
      <c r="AI100" s="48">
        <v>0</v>
      </c>
      <c r="AJ100" s="48">
        <v>0</v>
      </c>
      <c r="AK100" s="48">
        <v>0</v>
      </c>
      <c r="AL100" s="48">
        <v>0</v>
      </c>
      <c r="AM100" s="48">
        <v>0</v>
      </c>
      <c r="AN100" s="48">
        <v>0</v>
      </c>
      <c r="AO100" s="48">
        <v>0</v>
      </c>
      <c r="AP100" s="48">
        <v>0</v>
      </c>
      <c r="AQ100" s="48">
        <v>0</v>
      </c>
      <c r="AR100" s="48">
        <v>0</v>
      </c>
      <c r="AS100" s="48">
        <v>0</v>
      </c>
      <c r="AT100" s="48">
        <v>0</v>
      </c>
      <c r="AU100" s="48">
        <v>0</v>
      </c>
      <c r="AV100" s="48">
        <v>0</v>
      </c>
      <c r="AW100" s="48">
        <v>0</v>
      </c>
      <c r="AX100" s="48">
        <v>0</v>
      </c>
      <c r="AY100" s="48">
        <v>0</v>
      </c>
      <c r="AZ100" s="48">
        <v>0</v>
      </c>
      <c r="BA100" s="48">
        <v>0</v>
      </c>
      <c r="BB100" s="48">
        <v>0</v>
      </c>
      <c r="BC100" s="48">
        <v>0</v>
      </c>
      <c r="BD100" s="48">
        <v>0</v>
      </c>
      <c r="BE100" s="48">
        <v>0</v>
      </c>
      <c r="BF100" s="48">
        <v>0</v>
      </c>
      <c r="BG100" s="48">
        <v>0</v>
      </c>
      <c r="BH100" s="48">
        <v>0</v>
      </c>
      <c r="BI100" s="48">
        <v>0</v>
      </c>
      <c r="BJ100" s="48">
        <v>0</v>
      </c>
      <c r="BK100" s="48">
        <v>0</v>
      </c>
      <c r="BL100" s="48">
        <v>0</v>
      </c>
      <c r="BM100" s="48">
        <v>0</v>
      </c>
      <c r="BN100" s="48">
        <v>0</v>
      </c>
      <c r="BO100" s="48">
        <v>0</v>
      </c>
      <c r="BP100" s="48">
        <v>0</v>
      </c>
      <c r="BQ100" s="48">
        <v>0</v>
      </c>
      <c r="BR100" s="48">
        <v>0</v>
      </c>
      <c r="BS100" s="48">
        <v>0</v>
      </c>
      <c r="BT100" s="48">
        <v>0</v>
      </c>
      <c r="BU100" s="48">
        <v>0</v>
      </c>
      <c r="BV100" s="48">
        <v>0</v>
      </c>
      <c r="BW100" s="48">
        <v>0</v>
      </c>
      <c r="BX100" s="48">
        <v>0</v>
      </c>
      <c r="BY100" s="48">
        <v>0</v>
      </c>
      <c r="BZ100" s="48">
        <v>0</v>
      </c>
      <c r="CA100" s="48">
        <v>0</v>
      </c>
      <c r="CB100" s="48">
        <v>0</v>
      </c>
      <c r="CC100" s="48">
        <v>0</v>
      </c>
      <c r="CD100" s="48">
        <v>0</v>
      </c>
      <c r="CE100" s="48">
        <v>0</v>
      </c>
      <c r="CF100" s="48">
        <v>-42.51</v>
      </c>
      <c r="CG100" s="48">
        <v>-12.28</v>
      </c>
      <c r="CH100" s="48">
        <v>-13.23</v>
      </c>
      <c r="CI100" s="48">
        <v>-9.14</v>
      </c>
      <c r="CJ100" s="48">
        <v>-4.43</v>
      </c>
      <c r="CK100" s="48">
        <v>-3.08</v>
      </c>
      <c r="CL100" s="48">
        <v>-6.92</v>
      </c>
      <c r="CM100" s="48">
        <v>-7.2</v>
      </c>
      <c r="CN100" s="48">
        <v>-10.16</v>
      </c>
      <c r="CO100" s="48">
        <v>-12.26</v>
      </c>
      <c r="CP100" s="48">
        <v>-23.7</v>
      </c>
      <c r="CQ100" s="48">
        <v>-15.09</v>
      </c>
      <c r="CR100" s="48">
        <v>-38.909999999999997</v>
      </c>
      <c r="CS100" s="48">
        <v>-27.14</v>
      </c>
      <c r="CT100" s="48">
        <v>-23.53</v>
      </c>
      <c r="CU100" s="48">
        <v>-19.170000000000002</v>
      </c>
      <c r="CV100" s="48">
        <v>-16.13</v>
      </c>
      <c r="CW100" s="48">
        <v>-9.74</v>
      </c>
      <c r="CX100" s="48">
        <v>-13.89</v>
      </c>
      <c r="CY100" s="48">
        <v>-19.38</v>
      </c>
      <c r="CZ100" s="48">
        <v>-21.34</v>
      </c>
      <c r="DA100" s="48">
        <v>-28.56</v>
      </c>
      <c r="DB100" s="48">
        <v>-28.69</v>
      </c>
      <c r="DC100" s="48">
        <v>-30.17</v>
      </c>
      <c r="DD100" s="48">
        <v>-31.02</v>
      </c>
      <c r="DE100" s="48">
        <f>VLOOKUP($C100,'[2]Analysis 1'!$C$5:$DG$1025,107,FALSE)</f>
        <v>-23.71</v>
      </c>
      <c r="DF100" s="48">
        <f>VLOOKUP($C100,'[2]Analysis 1'!$C$5:$DG$1025,108,FALSE)</f>
        <v>-21.92</v>
      </c>
      <c r="DG100" s="48">
        <f>VLOOKUP($C100,'[2]Analysis 1'!$C$5:$DG$1025,109,FALSE)</f>
        <v>-18.329999999999998</v>
      </c>
      <c r="DH100" s="369">
        <f t="shared" si="2"/>
        <v>-262.88000000000005</v>
      </c>
    </row>
    <row r="101" spans="1:112">
      <c r="A101" s="357" t="str">
        <f t="shared" si="3"/>
        <v>4893040</v>
      </c>
      <c r="B101" s="350" t="s">
        <v>1930</v>
      </c>
      <c r="C101" s="335" t="s">
        <v>1024</v>
      </c>
      <c r="D101" s="340">
        <v>-87226.22</v>
      </c>
      <c r="E101" s="340">
        <v>-70954.070000000007</v>
      </c>
      <c r="F101" s="340">
        <v>-54346.74</v>
      </c>
      <c r="G101" s="340">
        <v>-52355.13</v>
      </c>
      <c r="H101" s="340">
        <v>-27061.9</v>
      </c>
      <c r="I101" s="340">
        <v>-20278.27</v>
      </c>
      <c r="J101" s="340">
        <v>-18302.810000000001</v>
      </c>
      <c r="K101" s="340">
        <v>-18205.580000000002</v>
      </c>
      <c r="L101" s="340">
        <v>-19801.150000000001</v>
      </c>
      <c r="M101" s="340">
        <v>-27105.91</v>
      </c>
      <c r="N101" s="340">
        <v>-57776.45</v>
      </c>
      <c r="O101" s="341">
        <v>-82604.2</v>
      </c>
      <c r="P101" s="48">
        <v>-76296.13</v>
      </c>
      <c r="Q101" s="48">
        <v>-84130.44</v>
      </c>
      <c r="R101" s="48">
        <v>-65827.41</v>
      </c>
      <c r="S101" s="48">
        <v>-29699.58</v>
      </c>
      <c r="T101" s="48">
        <v>-22228.92</v>
      </c>
      <c r="U101" s="48">
        <v>-20949.07</v>
      </c>
      <c r="V101" s="48">
        <v>-20092.07</v>
      </c>
      <c r="W101" s="48">
        <v>-21867.56</v>
      </c>
      <c r="X101" s="48">
        <v>-44566.2</v>
      </c>
      <c r="Y101" s="48">
        <v>-21965.34</v>
      </c>
      <c r="Z101" s="48">
        <v>-44193.04</v>
      </c>
      <c r="AA101" s="48">
        <v>-76346.31</v>
      </c>
      <c r="AB101" s="48">
        <v>-91658.63</v>
      </c>
      <c r="AC101" s="48">
        <v>-108943.36</v>
      </c>
      <c r="AD101" s="48">
        <v>-72443.83</v>
      </c>
      <c r="AE101" s="48">
        <v>-50313.09</v>
      </c>
      <c r="AF101" s="48">
        <v>-33398.370000000003</v>
      </c>
      <c r="AG101" s="48">
        <v>-20189.13</v>
      </c>
      <c r="AH101" s="48">
        <v>-20404.68</v>
      </c>
      <c r="AI101" s="48">
        <v>-22076.77</v>
      </c>
      <c r="AJ101" s="48">
        <v>-25307.22</v>
      </c>
      <c r="AK101" s="48">
        <v>-28711.71</v>
      </c>
      <c r="AL101" s="48">
        <v>-82502.259999999995</v>
      </c>
      <c r="AM101" s="48">
        <v>-90333.07</v>
      </c>
      <c r="AN101" s="48">
        <v>-94229.52</v>
      </c>
      <c r="AO101" s="48">
        <v>-94520.75</v>
      </c>
      <c r="AP101" s="48">
        <v>-71559.789999999994</v>
      </c>
      <c r="AQ101" s="48">
        <v>-73397.95</v>
      </c>
      <c r="AR101" s="48">
        <v>-37092.17</v>
      </c>
      <c r="AS101" s="48">
        <v>-24482.57</v>
      </c>
      <c r="AT101" s="48">
        <v>-22194.75</v>
      </c>
      <c r="AU101" s="48">
        <v>-22472.63</v>
      </c>
      <c r="AV101" s="48">
        <v>-26453.96</v>
      </c>
      <c r="AW101" s="48">
        <v>-30021.25</v>
      </c>
      <c r="AX101" s="48">
        <v>-68373.98</v>
      </c>
      <c r="AY101" s="48">
        <v>-90052.39</v>
      </c>
      <c r="AZ101" s="48">
        <v>-129753.60000000001</v>
      </c>
      <c r="BA101" s="48">
        <v>-107282.59</v>
      </c>
      <c r="BB101" s="48">
        <v>-62329.83</v>
      </c>
      <c r="BC101" s="48">
        <v>-82905.240000000005</v>
      </c>
      <c r="BD101" s="48">
        <v>-40131.11</v>
      </c>
      <c r="BE101" s="48">
        <v>-33106.35</v>
      </c>
      <c r="BF101" s="48">
        <v>-20636.560000000001</v>
      </c>
      <c r="BG101" s="48">
        <v>-26011.8</v>
      </c>
      <c r="BH101" s="48">
        <v>-30892.11</v>
      </c>
      <c r="BI101" s="48">
        <v>-28650.81</v>
      </c>
      <c r="BJ101" s="48">
        <v>-49031.11</v>
      </c>
      <c r="BK101" s="48">
        <v>-100247.02</v>
      </c>
      <c r="BL101" s="48">
        <v>-115702.04</v>
      </c>
      <c r="BM101" s="48">
        <v>-92765.31</v>
      </c>
      <c r="BN101" s="48">
        <v>-69576.44</v>
      </c>
      <c r="BO101" s="48">
        <v>-68677.23</v>
      </c>
      <c r="BP101" s="48">
        <v>-40960.28</v>
      </c>
      <c r="BQ101" s="48">
        <v>-25818.15</v>
      </c>
      <c r="BR101" s="48">
        <v>-21953.37</v>
      </c>
      <c r="BS101" s="48">
        <v>-25627.72</v>
      </c>
      <c r="BT101" s="48">
        <v>-26397.73</v>
      </c>
      <c r="BU101" s="48">
        <v>-33131.89</v>
      </c>
      <c r="BV101" s="48">
        <v>-49926.42</v>
      </c>
      <c r="BW101" s="48">
        <v>-100196.09</v>
      </c>
      <c r="BX101" s="48">
        <v>-106586.22</v>
      </c>
      <c r="BY101" s="48">
        <v>-90724.39</v>
      </c>
      <c r="BZ101" s="48">
        <v>-76928.52</v>
      </c>
      <c r="CA101" s="48">
        <v>-28696.12</v>
      </c>
      <c r="CB101" s="48">
        <v>-27866.37</v>
      </c>
      <c r="CC101" s="48">
        <v>-30022.13</v>
      </c>
      <c r="CD101" s="48">
        <v>-21742.43</v>
      </c>
      <c r="CE101" s="48">
        <v>-25072.97</v>
      </c>
      <c r="CF101" s="48">
        <v>-24563.71</v>
      </c>
      <c r="CG101" s="48">
        <v>-33607.370000000003</v>
      </c>
      <c r="CH101" s="48">
        <v>-56003.29</v>
      </c>
      <c r="CI101" s="48">
        <v>-110352.48</v>
      </c>
      <c r="CJ101" s="48">
        <v>-156015.32</v>
      </c>
      <c r="CK101" s="48">
        <v>-104128.2</v>
      </c>
      <c r="CL101" s="48">
        <v>-96666.26</v>
      </c>
      <c r="CM101" s="48">
        <v>-81313.539999999994</v>
      </c>
      <c r="CN101" s="48">
        <v>-47125.279999999999</v>
      </c>
      <c r="CO101" s="48">
        <v>-44149.32</v>
      </c>
      <c r="CP101" s="48">
        <v>-36278.400000000001</v>
      </c>
      <c r="CQ101" s="48">
        <v>-30586.26</v>
      </c>
      <c r="CR101" s="48">
        <v>-36588.92</v>
      </c>
      <c r="CS101" s="48">
        <v>-40766.19</v>
      </c>
      <c r="CT101" s="48">
        <v>-82334.759999999995</v>
      </c>
      <c r="CU101" s="48">
        <v>-121032.76</v>
      </c>
      <c r="CV101" s="48">
        <v>-123729.12</v>
      </c>
      <c r="CW101" s="48">
        <v>-133991.74</v>
      </c>
      <c r="CX101" s="48">
        <v>-77508.78</v>
      </c>
      <c r="CY101" s="48">
        <v>-77697.509999999995</v>
      </c>
      <c r="CZ101" s="48">
        <v>-50473.93</v>
      </c>
      <c r="DA101" s="48">
        <v>-31991.19</v>
      </c>
      <c r="DB101" s="48">
        <v>-28533.68</v>
      </c>
      <c r="DC101" s="48">
        <v>-31008.11</v>
      </c>
      <c r="DD101" s="48">
        <v>-31256.76</v>
      </c>
      <c r="DE101" s="48">
        <f>VLOOKUP($C101,'[2]Analysis 1'!$C$5:$DG$1025,107,FALSE)</f>
        <v>-45940.11</v>
      </c>
      <c r="DF101" s="48">
        <f>VLOOKUP($C101,'[2]Analysis 1'!$C$5:$DG$1025,108,FALSE)</f>
        <v>-70127.13</v>
      </c>
      <c r="DG101" s="48">
        <f>VLOOKUP($C101,'[2]Analysis 1'!$C$5:$DG$1025,109,FALSE)</f>
        <v>-92344.76</v>
      </c>
      <c r="DH101" s="369">
        <f t="shared" si="2"/>
        <v>-794602.82000000007</v>
      </c>
    </row>
    <row r="102" spans="1:112">
      <c r="A102" s="357" t="str">
        <f t="shared" si="3"/>
        <v>4893041</v>
      </c>
      <c r="B102" s="350" t="s">
        <v>1932</v>
      </c>
      <c r="C102" s="335" t="s">
        <v>1025</v>
      </c>
      <c r="D102" s="367">
        <v>-3651.54</v>
      </c>
      <c r="E102" s="367">
        <v>-3412.79</v>
      </c>
      <c r="F102" s="367">
        <v>-2733.92</v>
      </c>
      <c r="G102" s="367">
        <v>-2428.2199999999998</v>
      </c>
      <c r="H102" s="367">
        <v>-1408.33</v>
      </c>
      <c r="I102" s="367">
        <v>-819.38</v>
      </c>
      <c r="J102" s="367">
        <v>-541.28</v>
      </c>
      <c r="K102" s="367">
        <v>-447.51</v>
      </c>
      <c r="L102" s="367">
        <v>-476.82</v>
      </c>
      <c r="M102" s="367">
        <v>-749.98</v>
      </c>
      <c r="N102" s="367">
        <v>-1953.09</v>
      </c>
      <c r="O102" s="368">
        <v>-3249.98</v>
      </c>
      <c r="P102" s="48">
        <v>-3458.39</v>
      </c>
      <c r="Q102" s="48">
        <v>-3804.02</v>
      </c>
      <c r="R102" s="48">
        <v>-3254.49</v>
      </c>
      <c r="S102" s="48">
        <v>-1752.26</v>
      </c>
      <c r="T102" s="48">
        <v>-995.38</v>
      </c>
      <c r="U102" s="48">
        <v>-686.5</v>
      </c>
      <c r="V102" s="48">
        <v>-523.79999999999995</v>
      </c>
      <c r="W102" s="48">
        <v>-541.65</v>
      </c>
      <c r="X102" s="48">
        <v>-1372.9</v>
      </c>
      <c r="Y102" s="48">
        <v>-827.53</v>
      </c>
      <c r="Z102" s="48">
        <v>-1439.82</v>
      </c>
      <c r="AA102" s="48">
        <v>-3986.19</v>
      </c>
      <c r="AB102" s="48">
        <v>-5464.92</v>
      </c>
      <c r="AC102" s="48">
        <v>-6835.55</v>
      </c>
      <c r="AD102" s="48">
        <v>-5394.82</v>
      </c>
      <c r="AE102" s="48">
        <v>-3759.5</v>
      </c>
      <c r="AF102" s="48">
        <v>-2344.79</v>
      </c>
      <c r="AG102" s="48">
        <v>-1180.33</v>
      </c>
      <c r="AH102" s="48">
        <v>-769.17</v>
      </c>
      <c r="AI102" s="48">
        <v>-725.82</v>
      </c>
      <c r="AJ102" s="48">
        <v>-874.54</v>
      </c>
      <c r="AK102" s="48">
        <v>-1098.68</v>
      </c>
      <c r="AL102" s="48">
        <v>-3929.02</v>
      </c>
      <c r="AM102" s="48">
        <v>-5310.42</v>
      </c>
      <c r="AN102" s="48">
        <v>-5975.66</v>
      </c>
      <c r="AO102" s="48">
        <v>-6190.57</v>
      </c>
      <c r="AP102" s="48">
        <v>-5090.12</v>
      </c>
      <c r="AQ102" s="48">
        <v>-4794.5200000000004</v>
      </c>
      <c r="AR102" s="48">
        <v>-2825.8</v>
      </c>
      <c r="AS102" s="48">
        <v>-1516.04</v>
      </c>
      <c r="AT102" s="48">
        <v>-950.51</v>
      </c>
      <c r="AU102" s="48">
        <v>-791.5</v>
      </c>
      <c r="AV102" s="48">
        <v>-952.99</v>
      </c>
      <c r="AW102" s="48">
        <v>-1107.92</v>
      </c>
      <c r="AX102" s="48">
        <v>-3241.82</v>
      </c>
      <c r="AY102" s="48">
        <v>-5058.22</v>
      </c>
      <c r="AZ102" s="48">
        <v>-7686.65</v>
      </c>
      <c r="BA102" s="48">
        <v>-7395.2</v>
      </c>
      <c r="BB102" s="48">
        <v>-4973.84</v>
      </c>
      <c r="BC102" s="48">
        <v>-5234.8599999999997</v>
      </c>
      <c r="BD102" s="48">
        <v>-3103.14</v>
      </c>
      <c r="BE102" s="48">
        <v>-2103</v>
      </c>
      <c r="BF102" s="48">
        <v>-1027.2</v>
      </c>
      <c r="BG102" s="48">
        <v>-998.32</v>
      </c>
      <c r="BH102" s="48">
        <v>-1269.92</v>
      </c>
      <c r="BI102" s="48">
        <v>-1167.55</v>
      </c>
      <c r="BJ102" s="48">
        <v>-2157.39</v>
      </c>
      <c r="BK102" s="48">
        <v>-5285.98</v>
      </c>
      <c r="BL102" s="48">
        <v>-7458.6</v>
      </c>
      <c r="BM102" s="48">
        <v>-7381.01</v>
      </c>
      <c r="BN102" s="48">
        <v>-5005.62</v>
      </c>
      <c r="BO102" s="48">
        <v>-4707.83</v>
      </c>
      <c r="BP102" s="48">
        <v>-3095.09</v>
      </c>
      <c r="BQ102" s="48">
        <v>-1733.01</v>
      </c>
      <c r="BR102" s="48">
        <v>-1023.21</v>
      </c>
      <c r="BS102" s="48">
        <v>-997.6</v>
      </c>
      <c r="BT102" s="48">
        <v>-1024.58</v>
      </c>
      <c r="BU102" s="48">
        <v>-1409.4</v>
      </c>
      <c r="BV102" s="48">
        <v>-2253.96</v>
      </c>
      <c r="BW102" s="48">
        <v>-5661.79</v>
      </c>
      <c r="BX102" s="48">
        <v>-6941.35</v>
      </c>
      <c r="BY102" s="48">
        <v>-6514.54</v>
      </c>
      <c r="BZ102" s="48">
        <v>-5811.28</v>
      </c>
      <c r="CA102" s="48">
        <v>-2567.65</v>
      </c>
      <c r="CB102" s="48">
        <v>-1633.35</v>
      </c>
      <c r="CC102" s="48">
        <v>-1439.51</v>
      </c>
      <c r="CD102" s="48">
        <v>-929.67</v>
      </c>
      <c r="CE102" s="48">
        <v>-935.27</v>
      </c>
      <c r="CF102" s="48">
        <v>-910.38</v>
      </c>
      <c r="CG102" s="48">
        <v>-1393.47</v>
      </c>
      <c r="CH102" s="48">
        <v>-2774.9</v>
      </c>
      <c r="CI102" s="48">
        <v>-5733.93</v>
      </c>
      <c r="CJ102" s="48">
        <v>-7949.54</v>
      </c>
      <c r="CK102" s="48">
        <v>-6833.61</v>
      </c>
      <c r="CL102" s="48">
        <v>-5390.72</v>
      </c>
      <c r="CM102" s="48">
        <v>-4595.68</v>
      </c>
      <c r="CN102" s="48">
        <v>-2810.53</v>
      </c>
      <c r="CO102" s="48">
        <v>-2081.48</v>
      </c>
      <c r="CP102" s="48">
        <v>-1493.31</v>
      </c>
      <c r="CQ102" s="48">
        <v>-1054.28</v>
      </c>
      <c r="CR102" s="48">
        <v>-1167.8900000000001</v>
      </c>
      <c r="CS102" s="48">
        <v>-1387.78</v>
      </c>
      <c r="CT102" s="48">
        <v>-3313.85</v>
      </c>
      <c r="CU102" s="48">
        <v>-5672.37</v>
      </c>
      <c r="CV102" s="48">
        <v>-6167.3</v>
      </c>
      <c r="CW102" s="48">
        <v>-7615.7</v>
      </c>
      <c r="CX102" s="48">
        <v>-5172.2700000000004</v>
      </c>
      <c r="CY102" s="48">
        <v>-4363.2299999999996</v>
      </c>
      <c r="CZ102" s="48">
        <v>-2888.14</v>
      </c>
      <c r="DA102" s="48">
        <v>-1569.74</v>
      </c>
      <c r="DB102" s="48">
        <v>-980.46</v>
      </c>
      <c r="DC102" s="48">
        <v>-890.05</v>
      </c>
      <c r="DD102" s="48">
        <v>-917.93</v>
      </c>
      <c r="DE102" s="48">
        <f>VLOOKUP($C102,'[2]Analysis 1'!$C$5:$DG$1025,107,FALSE)</f>
        <v>-1500.28</v>
      </c>
      <c r="DF102" s="48">
        <f>VLOOKUP($C102,'[2]Analysis 1'!$C$5:$DG$1025,108,FALSE)</f>
        <v>-2812.55</v>
      </c>
      <c r="DG102" s="48">
        <f>VLOOKUP($C102,'[2]Analysis 1'!$C$5:$DG$1025,109,FALSE)</f>
        <v>-4235.46</v>
      </c>
      <c r="DH102" s="369">
        <f t="shared" si="2"/>
        <v>-39113.11</v>
      </c>
    </row>
    <row r="103" spans="1:112">
      <c r="A103" s="357" t="str">
        <f t="shared" si="3"/>
        <v>4893042</v>
      </c>
      <c r="B103" s="350" t="s">
        <v>1931</v>
      </c>
      <c r="C103" s="335" t="s">
        <v>1026</v>
      </c>
      <c r="D103" s="367">
        <v>-168684.59</v>
      </c>
      <c r="E103" s="367">
        <v>-137462.20000000001</v>
      </c>
      <c r="F103" s="367">
        <v>-111898.39</v>
      </c>
      <c r="G103" s="367">
        <v>-108996.72</v>
      </c>
      <c r="H103" s="367">
        <v>-78191.5</v>
      </c>
      <c r="I103" s="367">
        <v>-60890.63</v>
      </c>
      <c r="J103" s="367">
        <v>-45006.86</v>
      </c>
      <c r="K103" s="367">
        <v>-48727.27</v>
      </c>
      <c r="L103" s="367">
        <v>-56090.82</v>
      </c>
      <c r="M103" s="367">
        <v>-71328.39</v>
      </c>
      <c r="N103" s="367">
        <v>-117811.69</v>
      </c>
      <c r="O103" s="368">
        <v>-154020.35</v>
      </c>
      <c r="P103" s="48">
        <v>-154610.76</v>
      </c>
      <c r="Q103" s="48">
        <v>-164678.35</v>
      </c>
      <c r="R103" s="48">
        <v>-134671.1</v>
      </c>
      <c r="S103" s="48">
        <v>-78486.22</v>
      </c>
      <c r="T103" s="48">
        <v>-57328.959999999999</v>
      </c>
      <c r="U103" s="48">
        <v>-68505.88</v>
      </c>
      <c r="V103" s="48">
        <v>-50253.75</v>
      </c>
      <c r="W103" s="48">
        <v>-56851.38</v>
      </c>
      <c r="X103" s="48">
        <v>-55015.48</v>
      </c>
      <c r="Y103" s="48">
        <v>-71133.06</v>
      </c>
      <c r="Z103" s="48">
        <v>-96149.62</v>
      </c>
      <c r="AA103" s="48">
        <v>-139230.74</v>
      </c>
      <c r="AB103" s="48">
        <v>-158645.79999999999</v>
      </c>
      <c r="AC103" s="48">
        <v>-182068.94</v>
      </c>
      <c r="AD103" s="48">
        <v>-137279.84</v>
      </c>
      <c r="AE103" s="48">
        <v>-106038.27</v>
      </c>
      <c r="AF103" s="48">
        <v>-84860.83</v>
      </c>
      <c r="AG103" s="48">
        <v>-62518.92</v>
      </c>
      <c r="AH103" s="48">
        <v>-50239.360000000001</v>
      </c>
      <c r="AI103" s="48">
        <v>-52363.12</v>
      </c>
      <c r="AJ103" s="48">
        <v>-60457.760000000002</v>
      </c>
      <c r="AK103" s="48">
        <v>-71448.639999999999</v>
      </c>
      <c r="AL103" s="48">
        <v>-128068.47</v>
      </c>
      <c r="AM103" s="48">
        <v>-153442.10999999999</v>
      </c>
      <c r="AN103" s="48">
        <v>-150444.37</v>
      </c>
      <c r="AO103" s="48">
        <v>-167041.78</v>
      </c>
      <c r="AP103" s="48">
        <v>-131585.62</v>
      </c>
      <c r="AQ103" s="48">
        <v>-130990.13</v>
      </c>
      <c r="AR103" s="48">
        <v>-86171.91</v>
      </c>
      <c r="AS103" s="48">
        <v>-68412.61</v>
      </c>
      <c r="AT103" s="48">
        <v>-62972.79</v>
      </c>
      <c r="AU103" s="48">
        <v>-67808.84</v>
      </c>
      <c r="AV103" s="48">
        <v>-69746.89</v>
      </c>
      <c r="AW103" s="48">
        <v>-77065.919999999998</v>
      </c>
      <c r="AX103" s="48">
        <v>-137098.68</v>
      </c>
      <c r="AY103" s="48">
        <v>-176462.56</v>
      </c>
      <c r="AZ103" s="48">
        <v>-229184.44</v>
      </c>
      <c r="BA103" s="48">
        <v>-174675.39</v>
      </c>
      <c r="BB103" s="48">
        <v>-143859.04999999999</v>
      </c>
      <c r="BC103" s="48">
        <v>-158805.35</v>
      </c>
      <c r="BD103" s="48">
        <v>-102541.43</v>
      </c>
      <c r="BE103" s="48">
        <v>-85952.6</v>
      </c>
      <c r="BF103" s="48">
        <v>-53672.56</v>
      </c>
      <c r="BG103" s="48">
        <v>-63968.28</v>
      </c>
      <c r="BH103" s="48">
        <v>-78127.600000000006</v>
      </c>
      <c r="BI103" s="48">
        <v>-77330.92</v>
      </c>
      <c r="BJ103" s="48">
        <v>-116228.83</v>
      </c>
      <c r="BK103" s="48">
        <v>-175170.53</v>
      </c>
      <c r="BL103" s="48">
        <v>-211056.37</v>
      </c>
      <c r="BM103" s="48">
        <v>-167775.2</v>
      </c>
      <c r="BN103" s="48">
        <v>-144696.87</v>
      </c>
      <c r="BO103" s="48">
        <v>-141033.03</v>
      </c>
      <c r="BP103" s="48">
        <v>-92849.51</v>
      </c>
      <c r="BQ103" s="48">
        <v>-69563.88</v>
      </c>
      <c r="BR103" s="48">
        <v>-60947.43</v>
      </c>
      <c r="BS103" s="48">
        <v>-66705.08</v>
      </c>
      <c r="BT103" s="48">
        <v>-71683.86</v>
      </c>
      <c r="BU103" s="48">
        <v>-81560.7</v>
      </c>
      <c r="BV103" s="48">
        <v>-111755.92</v>
      </c>
      <c r="BW103" s="48">
        <v>-167656.91</v>
      </c>
      <c r="BX103" s="48">
        <v>-207586.89</v>
      </c>
      <c r="BY103" s="48">
        <v>-163581.07999999999</v>
      </c>
      <c r="BZ103" s="48">
        <v>-150500.54999999999</v>
      </c>
      <c r="CA103" s="48">
        <v>-61261.45</v>
      </c>
      <c r="CB103" s="48">
        <v>-64081.13</v>
      </c>
      <c r="CC103" s="48">
        <v>-80772.55</v>
      </c>
      <c r="CD103" s="48">
        <v>-56489.66</v>
      </c>
      <c r="CE103" s="48">
        <v>-64506.81</v>
      </c>
      <c r="CF103" s="48">
        <v>-63144.63</v>
      </c>
      <c r="CG103" s="48">
        <v>-89643.41</v>
      </c>
      <c r="CH103" s="48">
        <v>-123603.14</v>
      </c>
      <c r="CI103" s="48">
        <v>-195233.35</v>
      </c>
      <c r="CJ103" s="48">
        <v>-264968.68</v>
      </c>
      <c r="CK103" s="48">
        <v>-197782.87</v>
      </c>
      <c r="CL103" s="48">
        <v>-197046.73</v>
      </c>
      <c r="CM103" s="48">
        <v>-174430.37</v>
      </c>
      <c r="CN103" s="48">
        <v>-125720.6</v>
      </c>
      <c r="CO103" s="48">
        <v>-117309.62</v>
      </c>
      <c r="CP103" s="48">
        <v>-86432.06</v>
      </c>
      <c r="CQ103" s="48">
        <v>-76608.69</v>
      </c>
      <c r="CR103" s="48">
        <v>-87945.84</v>
      </c>
      <c r="CS103" s="48">
        <v>-101752.81</v>
      </c>
      <c r="CT103" s="48">
        <v>-155892.63</v>
      </c>
      <c r="CU103" s="48">
        <v>-202264.04</v>
      </c>
      <c r="CV103" s="48">
        <v>-192239.33</v>
      </c>
      <c r="CW103" s="48">
        <v>-205852.48</v>
      </c>
      <c r="CX103" s="48">
        <v>-161702.12</v>
      </c>
      <c r="CY103" s="48">
        <v>-148863.98000000001</v>
      </c>
      <c r="CZ103" s="48">
        <v>-132155.71</v>
      </c>
      <c r="DA103" s="48">
        <v>-88159.03</v>
      </c>
      <c r="DB103" s="48">
        <v>-78756.22</v>
      </c>
      <c r="DC103" s="48">
        <v>-78623.11</v>
      </c>
      <c r="DD103" s="48">
        <v>-83384.05</v>
      </c>
      <c r="DE103" s="48">
        <f>VLOOKUP($C103,'[2]Analysis 1'!$C$5:$DG$1025,107,FALSE)</f>
        <v>-108682.52</v>
      </c>
      <c r="DF103" s="48">
        <f>VLOOKUP($C103,'[2]Analysis 1'!$C$5:$DG$1025,108,FALSE)</f>
        <v>-148086.01999999999</v>
      </c>
      <c r="DG103" s="48">
        <f>VLOOKUP($C103,'[2]Analysis 1'!$C$5:$DG$1025,109,FALSE)</f>
        <v>-183845.78</v>
      </c>
      <c r="DH103" s="369">
        <f t="shared" si="2"/>
        <v>-1610350.35</v>
      </c>
    </row>
    <row r="104" spans="1:112">
      <c r="A104" s="357" t="str">
        <f t="shared" si="3"/>
        <v>4893043</v>
      </c>
      <c r="B104" s="350" t="s">
        <v>1933</v>
      </c>
      <c r="C104" s="335" t="s">
        <v>1027</v>
      </c>
      <c r="D104" s="340">
        <v>-7989.84</v>
      </c>
      <c r="E104" s="340">
        <v>-7370.5</v>
      </c>
      <c r="F104" s="340">
        <v>-6212.5</v>
      </c>
      <c r="G104" s="340">
        <v>-5718.58</v>
      </c>
      <c r="H104" s="340">
        <v>-4405.3</v>
      </c>
      <c r="I104" s="340">
        <v>-3332.9</v>
      </c>
      <c r="J104" s="340">
        <v>-2387.04</v>
      </c>
      <c r="K104" s="340">
        <v>-2207.42</v>
      </c>
      <c r="L104" s="340">
        <v>-2421.66</v>
      </c>
      <c r="M104" s="340">
        <v>-3057.46</v>
      </c>
      <c r="N104" s="340">
        <v>-4999.59</v>
      </c>
      <c r="O104" s="341">
        <v>-6993.84</v>
      </c>
      <c r="P104" s="48">
        <v>-7675.95</v>
      </c>
      <c r="Q104" s="48">
        <v>-8279.2000000000007</v>
      </c>
      <c r="R104" s="48">
        <v>-7361.23</v>
      </c>
      <c r="S104" s="48">
        <v>-4960.17</v>
      </c>
      <c r="T104" s="48">
        <v>-3368.62</v>
      </c>
      <c r="U104" s="48">
        <v>-3250.34</v>
      </c>
      <c r="V104" s="48">
        <v>-2541.77</v>
      </c>
      <c r="W104" s="48">
        <v>-2542.75</v>
      </c>
      <c r="X104" s="48">
        <v>-2472.08</v>
      </c>
      <c r="Y104" s="48">
        <v>-3047.42</v>
      </c>
      <c r="Z104" s="48">
        <v>-4168.51</v>
      </c>
      <c r="AA104" s="48">
        <v>-10397.09</v>
      </c>
      <c r="AB104" s="48">
        <v>-12855.75</v>
      </c>
      <c r="AC104" s="48">
        <v>-15125.71</v>
      </c>
      <c r="AD104" s="48">
        <v>-13026.01</v>
      </c>
      <c r="AE104" s="48">
        <v>-10320.700000000001</v>
      </c>
      <c r="AF104" s="48">
        <v>-8071.08</v>
      </c>
      <c r="AG104" s="48">
        <v>-5889.15</v>
      </c>
      <c r="AH104" s="48">
        <v>-4430.09</v>
      </c>
      <c r="AI104" s="48">
        <v>-4067.62</v>
      </c>
      <c r="AJ104" s="48">
        <v>-4463.3</v>
      </c>
      <c r="AK104" s="48">
        <v>-5286.27</v>
      </c>
      <c r="AL104" s="48">
        <v>-9152.1299999999992</v>
      </c>
      <c r="AM104" s="48">
        <v>-12056.06</v>
      </c>
      <c r="AN104" s="48">
        <v>-12881.46</v>
      </c>
      <c r="AO104" s="48">
        <v>-14113.94</v>
      </c>
      <c r="AP104" s="48">
        <v>-12309.37</v>
      </c>
      <c r="AQ104" s="48">
        <v>-11663.13</v>
      </c>
      <c r="AR104" s="48">
        <v>-8616.57</v>
      </c>
      <c r="AS104" s="48">
        <v>-6426.69</v>
      </c>
      <c r="AT104" s="48">
        <v>-5334.91</v>
      </c>
      <c r="AU104" s="48">
        <v>-5288.07</v>
      </c>
      <c r="AV104" s="48">
        <v>-5717.55</v>
      </c>
      <c r="AW104" s="48">
        <v>-5362.24</v>
      </c>
      <c r="AX104" s="48">
        <v>-10016.34</v>
      </c>
      <c r="AY104" s="48">
        <v>-13744.68</v>
      </c>
      <c r="AZ104" s="48">
        <v>-18337.04</v>
      </c>
      <c r="BA104" s="48">
        <v>-16421.45</v>
      </c>
      <c r="BB104" s="48">
        <v>-13806.12</v>
      </c>
      <c r="BC104" s="48">
        <v>-13873.5</v>
      </c>
      <c r="BD104" s="48">
        <v>-10320.129999999999</v>
      </c>
      <c r="BE104" s="48">
        <v>-8366.77</v>
      </c>
      <c r="BF104" s="48">
        <v>-5028.47</v>
      </c>
      <c r="BG104" s="48">
        <v>-4871.34</v>
      </c>
      <c r="BH104" s="48">
        <v>-5916.3</v>
      </c>
      <c r="BI104" s="48">
        <v>-5819.32</v>
      </c>
      <c r="BJ104" s="48">
        <v>-8191.49</v>
      </c>
      <c r="BK104" s="48">
        <v>-13260.86</v>
      </c>
      <c r="BL104" s="48">
        <v>-17911.73</v>
      </c>
      <c r="BM104" s="48">
        <v>-17599.669999999998</v>
      </c>
      <c r="BN104" s="48">
        <v>-13382.41</v>
      </c>
      <c r="BO104" s="48">
        <v>-12988.64</v>
      </c>
      <c r="BP104" s="48">
        <v>-9674.5300000000007</v>
      </c>
      <c r="BQ104" s="48">
        <v>-6993.43</v>
      </c>
      <c r="BR104" s="48">
        <v>-5599.89</v>
      </c>
      <c r="BS104" s="48">
        <v>-5486.84</v>
      </c>
      <c r="BT104" s="48">
        <v>-5793.62</v>
      </c>
      <c r="BU104" s="48">
        <v>-6583.54</v>
      </c>
      <c r="BV104" s="48">
        <v>-8154.76</v>
      </c>
      <c r="BW104" s="48">
        <v>-13825.26</v>
      </c>
      <c r="BX104" s="48">
        <v>-17667.599999999999</v>
      </c>
      <c r="BY104" s="48">
        <v>-16021.71</v>
      </c>
      <c r="BZ104" s="48">
        <v>-15045.06</v>
      </c>
      <c r="CA104" s="48">
        <v>-7780.37</v>
      </c>
      <c r="CB104" s="48">
        <v>-6069.63</v>
      </c>
      <c r="CC104" s="48">
        <v>-6606.47</v>
      </c>
      <c r="CD104" s="48">
        <v>-5163.9799999999996</v>
      </c>
      <c r="CE104" s="48">
        <v>-5205.43</v>
      </c>
      <c r="CF104" s="48">
        <v>-5139.25</v>
      </c>
      <c r="CG104" s="48">
        <v>-6900.27</v>
      </c>
      <c r="CH104" s="48">
        <v>-9763.19</v>
      </c>
      <c r="CI104" s="48">
        <v>-14346.51</v>
      </c>
      <c r="CJ104" s="48">
        <v>-17823.98</v>
      </c>
      <c r="CK104" s="48">
        <v>-16423.62</v>
      </c>
      <c r="CL104" s="48">
        <v>-14146.75</v>
      </c>
      <c r="CM104" s="48">
        <v>-13037.4</v>
      </c>
      <c r="CN104" s="48">
        <v>-10021.44</v>
      </c>
      <c r="CO104" s="48">
        <v>-8557.26</v>
      </c>
      <c r="CP104" s="48">
        <v>-6400.58</v>
      </c>
      <c r="CQ104" s="48">
        <v>-5139.1400000000003</v>
      </c>
      <c r="CR104" s="48">
        <v>-5347.94</v>
      </c>
      <c r="CS104" s="48">
        <v>-6163.16</v>
      </c>
      <c r="CT104" s="48">
        <v>-9389.17</v>
      </c>
      <c r="CU104" s="48">
        <v>-12981.41</v>
      </c>
      <c r="CV104" s="48">
        <v>-12899.16</v>
      </c>
      <c r="CW104" s="48">
        <v>-15226.3</v>
      </c>
      <c r="CX104" s="48">
        <v>-12759.33</v>
      </c>
      <c r="CY104" s="48">
        <v>-11232.75</v>
      </c>
      <c r="CZ104" s="48">
        <v>-9805.23</v>
      </c>
      <c r="DA104" s="48">
        <v>-6941.59</v>
      </c>
      <c r="DB104" s="48">
        <v>-5465.12</v>
      </c>
      <c r="DC104" s="48">
        <v>-4963.55</v>
      </c>
      <c r="DD104" s="48">
        <v>-5323.36</v>
      </c>
      <c r="DE104" s="48">
        <f>VLOOKUP($C104,'[2]Analysis 1'!$C$5:$DG$1025,107,FALSE)</f>
        <v>-6298.51</v>
      </c>
      <c r="DF104" s="48">
        <f>VLOOKUP($C104,'[2]Analysis 1'!$C$5:$DG$1025,108,FALSE)</f>
        <v>-9008.1</v>
      </c>
      <c r="DG104" s="48">
        <f>VLOOKUP($C104,'[2]Analysis 1'!$C$5:$DG$1025,109,FALSE)</f>
        <v>-11884.99</v>
      </c>
      <c r="DH104" s="369">
        <f t="shared" si="2"/>
        <v>-111807.99</v>
      </c>
    </row>
    <row r="105" spans="1:112">
      <c r="A105" s="357" t="str">
        <f t="shared" si="3"/>
        <v>4893044</v>
      </c>
      <c r="B105" s="350" t="s">
        <v>1934</v>
      </c>
      <c r="C105" s="335" t="s">
        <v>1028</v>
      </c>
      <c r="D105" s="340">
        <v>-92585.67</v>
      </c>
      <c r="E105" s="340">
        <v>-72770.080000000002</v>
      </c>
      <c r="F105" s="340">
        <v>-66295.61</v>
      </c>
      <c r="G105" s="340">
        <v>-65928.81</v>
      </c>
      <c r="H105" s="340">
        <v>-59139.5</v>
      </c>
      <c r="I105" s="340">
        <v>-47267.18</v>
      </c>
      <c r="J105" s="340">
        <v>-33067.22</v>
      </c>
      <c r="K105" s="340">
        <v>-41703.43</v>
      </c>
      <c r="L105" s="340">
        <v>-42045.14</v>
      </c>
      <c r="M105" s="340">
        <v>-42361.01</v>
      </c>
      <c r="N105" s="340">
        <v>-59288.18</v>
      </c>
      <c r="O105" s="341">
        <v>-68231.45</v>
      </c>
      <c r="P105" s="48">
        <v>-79344.86</v>
      </c>
      <c r="Q105" s="48">
        <v>-92389.11</v>
      </c>
      <c r="R105" s="48">
        <v>-81252.28</v>
      </c>
      <c r="S105" s="48">
        <v>-54147.45</v>
      </c>
      <c r="T105" s="48">
        <v>-40737.910000000003</v>
      </c>
      <c r="U105" s="48">
        <v>-56781.65</v>
      </c>
      <c r="V105" s="48">
        <v>-30764.720000000001</v>
      </c>
      <c r="W105" s="48">
        <v>-39091.83</v>
      </c>
      <c r="X105" s="48">
        <v>-35706.129999999997</v>
      </c>
      <c r="Y105" s="48">
        <v>-41805.040000000001</v>
      </c>
      <c r="Z105" s="48">
        <v>-49708.31</v>
      </c>
      <c r="AA105" s="48">
        <v>-68244.94</v>
      </c>
      <c r="AB105" s="48">
        <v>-79241.66</v>
      </c>
      <c r="AC105" s="48">
        <v>-75781.06</v>
      </c>
      <c r="AD105" s="48">
        <v>-61852.71</v>
      </c>
      <c r="AE105" s="48">
        <v>-53921.93</v>
      </c>
      <c r="AF105" s="48">
        <v>-46949.88</v>
      </c>
      <c r="AG105" s="48">
        <v>-33851.879999999997</v>
      </c>
      <c r="AH105" s="48">
        <v>-36536.01</v>
      </c>
      <c r="AI105" s="48">
        <v>-35384.92</v>
      </c>
      <c r="AJ105" s="48">
        <v>-39846.019999999997</v>
      </c>
      <c r="AK105" s="48">
        <v>-39384.35</v>
      </c>
      <c r="AL105" s="48">
        <v>-59078.82</v>
      </c>
      <c r="AM105" s="48">
        <v>-66244.11</v>
      </c>
      <c r="AN105" s="48">
        <v>-13499.3</v>
      </c>
      <c r="AO105" s="48">
        <v>-138018.47</v>
      </c>
      <c r="AP105" s="48">
        <v>-50351.42</v>
      </c>
      <c r="AQ105" s="48">
        <v>-69890.429999999993</v>
      </c>
      <c r="AR105" s="48">
        <v>-47543.49</v>
      </c>
      <c r="AS105" s="48">
        <v>-38067.25</v>
      </c>
      <c r="AT105" s="48">
        <v>-30956.25</v>
      </c>
      <c r="AU105" s="48">
        <v>-31975.11</v>
      </c>
      <c r="AV105" s="48">
        <v>-34809.129999999997</v>
      </c>
      <c r="AW105" s="48">
        <v>-39606.68</v>
      </c>
      <c r="AX105" s="48">
        <v>-48253.67</v>
      </c>
      <c r="AY105" s="48">
        <v>-52562.41</v>
      </c>
      <c r="AZ105" s="48">
        <v>-70578.03</v>
      </c>
      <c r="BA105" s="48">
        <v>-55406.1</v>
      </c>
      <c r="BB105" s="48">
        <v>-60205.66</v>
      </c>
      <c r="BC105" s="48">
        <v>-73436.28</v>
      </c>
      <c r="BD105" s="48">
        <v>-37572.9</v>
      </c>
      <c r="BE105" s="48">
        <v>-46128.1</v>
      </c>
      <c r="BF105" s="48">
        <v>-34931.370000000003</v>
      </c>
      <c r="BG105" s="48">
        <v>-40378.639999999999</v>
      </c>
      <c r="BH105" s="48">
        <v>-46109.99</v>
      </c>
      <c r="BI105" s="48">
        <v>-48095.32</v>
      </c>
      <c r="BJ105" s="48">
        <v>-55759.58</v>
      </c>
      <c r="BK105" s="48">
        <v>-72449.84</v>
      </c>
      <c r="BL105" s="48">
        <v>-83101.820000000007</v>
      </c>
      <c r="BM105" s="48">
        <v>-68951</v>
      </c>
      <c r="BN105" s="48">
        <v>-65485.52</v>
      </c>
      <c r="BO105" s="48">
        <v>-63896.71</v>
      </c>
      <c r="BP105" s="48">
        <v>-55204.7</v>
      </c>
      <c r="BQ105" s="48">
        <v>-44460.3</v>
      </c>
      <c r="BR105" s="48">
        <v>-37939.870000000003</v>
      </c>
      <c r="BS105" s="48">
        <v>-40042.03</v>
      </c>
      <c r="BT105" s="48">
        <v>-44387.87</v>
      </c>
      <c r="BU105" s="48">
        <v>-54556.76</v>
      </c>
      <c r="BV105" s="48">
        <v>-55504.34</v>
      </c>
      <c r="BW105" s="48">
        <v>-73537.210000000006</v>
      </c>
      <c r="BX105" s="48">
        <v>-89131.88</v>
      </c>
      <c r="BY105" s="48">
        <v>-73096.69</v>
      </c>
      <c r="BZ105" s="48">
        <v>-67935.42</v>
      </c>
      <c r="CA105" s="48">
        <v>-37312.58</v>
      </c>
      <c r="CB105" s="48">
        <v>-33497.57</v>
      </c>
      <c r="CC105" s="48">
        <v>-46598.05</v>
      </c>
      <c r="CD105" s="48">
        <v>-38098.71</v>
      </c>
      <c r="CE105" s="48">
        <v>-44535.98</v>
      </c>
      <c r="CF105" s="48">
        <v>-38700.36</v>
      </c>
      <c r="CG105" s="48">
        <v>-46703.839999999997</v>
      </c>
      <c r="CH105" s="48">
        <v>-63103.33</v>
      </c>
      <c r="CI105" s="48">
        <v>-73226.45</v>
      </c>
      <c r="CJ105" s="48">
        <v>-122324.19</v>
      </c>
      <c r="CK105" s="48">
        <v>-87442.48</v>
      </c>
      <c r="CL105" s="48">
        <v>-89752.37</v>
      </c>
      <c r="CM105" s="48">
        <v>-90963.199999999997</v>
      </c>
      <c r="CN105" s="48">
        <v>-74060.92</v>
      </c>
      <c r="CO105" s="48">
        <v>-73371.38</v>
      </c>
      <c r="CP105" s="48">
        <v>-75460.2</v>
      </c>
      <c r="CQ105" s="48">
        <v>-59166.71</v>
      </c>
      <c r="CR105" s="48">
        <v>-69435.95</v>
      </c>
      <c r="CS105" s="48">
        <v>-74003.679999999993</v>
      </c>
      <c r="CT105" s="48">
        <v>-94220.63</v>
      </c>
      <c r="CU105" s="48">
        <v>-112360.77</v>
      </c>
      <c r="CV105" s="48">
        <v>-117713.82</v>
      </c>
      <c r="CW105" s="48">
        <v>-105057.53</v>
      </c>
      <c r="CX105" s="48">
        <v>-102422.27</v>
      </c>
      <c r="CY105" s="48">
        <v>-85518.42</v>
      </c>
      <c r="CZ105" s="48">
        <v>-85717.95</v>
      </c>
      <c r="DA105" s="48">
        <v>-65502.63</v>
      </c>
      <c r="DB105" s="48">
        <v>-73732.800000000003</v>
      </c>
      <c r="DC105" s="48">
        <v>-60074.62</v>
      </c>
      <c r="DD105" s="48">
        <v>-70028.47</v>
      </c>
      <c r="DE105" s="48">
        <f>VLOOKUP($C105,'[2]Analysis 1'!$C$5:$DG$1025,107,FALSE)</f>
        <v>-75154.149999999994</v>
      </c>
      <c r="DF105" s="48">
        <f>VLOOKUP($C105,'[2]Analysis 1'!$C$5:$DG$1025,108,FALSE)</f>
        <v>-91166.46</v>
      </c>
      <c r="DG105" s="48">
        <f>VLOOKUP($C105,'[2]Analysis 1'!$C$5:$DG$1025,109,FALSE)</f>
        <v>-104200.13</v>
      </c>
      <c r="DH105" s="369">
        <f t="shared" si="2"/>
        <v>-1036289.25</v>
      </c>
    </row>
    <row r="106" spans="1:112">
      <c r="A106" s="357" t="str">
        <f t="shared" si="3"/>
        <v>4893045</v>
      </c>
      <c r="B106" s="350" t="s">
        <v>1935</v>
      </c>
      <c r="C106" s="335" t="s">
        <v>1029</v>
      </c>
      <c r="D106" s="367">
        <v>-5037.63</v>
      </c>
      <c r="E106" s="367">
        <v>-4540.32</v>
      </c>
      <c r="F106" s="367">
        <v>-4095.87</v>
      </c>
      <c r="G106" s="367">
        <v>-3931.94</v>
      </c>
      <c r="H106" s="367">
        <v>-3575.31</v>
      </c>
      <c r="I106" s="367">
        <v>-2948.7</v>
      </c>
      <c r="J106" s="367">
        <v>-2138.31</v>
      </c>
      <c r="K106" s="367">
        <v>-2236.63</v>
      </c>
      <c r="L106" s="367">
        <v>-2284.17</v>
      </c>
      <c r="M106" s="367">
        <v>-2313.6</v>
      </c>
      <c r="N106" s="367">
        <v>-3042.31</v>
      </c>
      <c r="O106" s="368">
        <v>-3673.42</v>
      </c>
      <c r="P106" s="48">
        <v>-4352.75</v>
      </c>
      <c r="Q106" s="48">
        <v>-5138.95</v>
      </c>
      <c r="R106" s="48">
        <v>-4926.43</v>
      </c>
      <c r="S106" s="48">
        <v>-3685.54</v>
      </c>
      <c r="T106" s="48">
        <v>-2691.48</v>
      </c>
      <c r="U106" s="48">
        <v>-3050.68</v>
      </c>
      <c r="V106" s="48">
        <v>-2108.6799999999998</v>
      </c>
      <c r="W106" s="48">
        <v>-2143.44</v>
      </c>
      <c r="X106" s="48">
        <v>-2006.06</v>
      </c>
      <c r="Y106" s="48">
        <v>-2213.14</v>
      </c>
      <c r="Z106" s="48">
        <v>-2625.52</v>
      </c>
      <c r="AA106" s="48">
        <v>-6560.93</v>
      </c>
      <c r="AB106" s="48">
        <v>-8007.55</v>
      </c>
      <c r="AC106" s="48">
        <v>-8215.34</v>
      </c>
      <c r="AD106" s="48">
        <v>-7179.96</v>
      </c>
      <c r="AE106" s="48">
        <v>-6217.7</v>
      </c>
      <c r="AF106" s="48">
        <v>-5344.02</v>
      </c>
      <c r="AG106" s="48">
        <v>-3990.23</v>
      </c>
      <c r="AH106" s="48">
        <v>-3716.13</v>
      </c>
      <c r="AI106" s="48">
        <v>-3527.59</v>
      </c>
      <c r="AJ106" s="48">
        <v>-3824.41</v>
      </c>
      <c r="AK106" s="48">
        <v>-3868.97</v>
      </c>
      <c r="AL106" s="48">
        <v>-5451.67</v>
      </c>
      <c r="AM106" s="48">
        <v>-6547.5</v>
      </c>
      <c r="AN106" s="48">
        <v>-3080.59</v>
      </c>
      <c r="AO106" s="48">
        <v>-11122.34</v>
      </c>
      <c r="AP106" s="48">
        <v>-7117.84</v>
      </c>
      <c r="AQ106" s="48">
        <v>-7386.14</v>
      </c>
      <c r="AR106" s="48">
        <v>-5715.13</v>
      </c>
      <c r="AS106" s="48">
        <v>-4329.33</v>
      </c>
      <c r="AT106" s="48">
        <v>-3481.85</v>
      </c>
      <c r="AU106" s="48">
        <v>-3226.62</v>
      </c>
      <c r="AV106" s="48">
        <v>-3566.73</v>
      </c>
      <c r="AW106" s="48">
        <v>-3520.3</v>
      </c>
      <c r="AX106" s="48">
        <v>-4691.63</v>
      </c>
      <c r="AY106" s="48">
        <v>-5310.17</v>
      </c>
      <c r="AZ106" s="48">
        <v>-6867.88</v>
      </c>
      <c r="BA106" s="48">
        <v>-6231.4</v>
      </c>
      <c r="BB106" s="48">
        <v>-6359.13</v>
      </c>
      <c r="BC106" s="48">
        <v>-7477.42</v>
      </c>
      <c r="BD106" s="48">
        <v>-4999.26</v>
      </c>
      <c r="BE106" s="48">
        <v>-4985.38</v>
      </c>
      <c r="BF106" s="48">
        <v>-3730.62</v>
      </c>
      <c r="BG106" s="48">
        <v>-3886.82</v>
      </c>
      <c r="BH106" s="48">
        <v>-4573.1899999999996</v>
      </c>
      <c r="BI106" s="48">
        <v>-4651.04</v>
      </c>
      <c r="BJ106" s="48">
        <v>-5244.53</v>
      </c>
      <c r="BK106" s="48">
        <v>-7121.68</v>
      </c>
      <c r="BL106" s="48">
        <v>-8877.81</v>
      </c>
      <c r="BM106" s="48">
        <v>-8773.83</v>
      </c>
      <c r="BN106" s="48">
        <v>-7175.53</v>
      </c>
      <c r="BO106" s="48">
        <v>-7155.82</v>
      </c>
      <c r="BP106" s="48">
        <v>-6397.7</v>
      </c>
      <c r="BQ106" s="48">
        <v>-5313.76</v>
      </c>
      <c r="BR106" s="48">
        <v>-4396.3</v>
      </c>
      <c r="BS106" s="48">
        <v>-4260.04</v>
      </c>
      <c r="BT106" s="48">
        <v>-4577.3100000000004</v>
      </c>
      <c r="BU106" s="48">
        <v>-5531.72</v>
      </c>
      <c r="BV106" s="48">
        <v>-5456.03</v>
      </c>
      <c r="BW106" s="48">
        <v>-7881.55</v>
      </c>
      <c r="BX106" s="48">
        <v>-9518.68</v>
      </c>
      <c r="BY106" s="48">
        <v>-8726.2199999999993</v>
      </c>
      <c r="BZ106" s="48">
        <v>-8308.2000000000007</v>
      </c>
      <c r="CA106" s="48">
        <v>-5059.2</v>
      </c>
      <c r="CB106" s="48">
        <v>-3934.8</v>
      </c>
      <c r="CC106" s="48">
        <v>-4653.28</v>
      </c>
      <c r="CD106" s="48">
        <v>-4171.59</v>
      </c>
      <c r="CE106" s="48">
        <v>-4542.34</v>
      </c>
      <c r="CF106" s="48">
        <v>-4184.83</v>
      </c>
      <c r="CG106" s="48">
        <v>-4733.6099999999997</v>
      </c>
      <c r="CH106" s="48">
        <v>-6285.26</v>
      </c>
      <c r="CI106" s="48">
        <v>-7080.77</v>
      </c>
      <c r="CJ106" s="48">
        <v>-9379.86</v>
      </c>
      <c r="CK106" s="48">
        <v>-8466.91</v>
      </c>
      <c r="CL106" s="48">
        <v>-7385.2</v>
      </c>
      <c r="CM106" s="48">
        <v>-7562.88</v>
      </c>
      <c r="CN106" s="48">
        <v>-6411.5</v>
      </c>
      <c r="CO106" s="48">
        <v>-5978.39</v>
      </c>
      <c r="CP106" s="48">
        <v>-5848.23</v>
      </c>
      <c r="CQ106" s="48">
        <v>-4682.9799999999996</v>
      </c>
      <c r="CR106" s="48">
        <v>-5030.1400000000003</v>
      </c>
      <c r="CS106" s="48">
        <v>-5472.91</v>
      </c>
      <c r="CT106" s="48">
        <v>-7068.48</v>
      </c>
      <c r="CU106" s="48">
        <v>-8899.6299999999992</v>
      </c>
      <c r="CV106" s="48">
        <v>-9274.99</v>
      </c>
      <c r="CW106" s="48">
        <v>-9730.3700000000008</v>
      </c>
      <c r="CX106" s="48">
        <v>-9075.11</v>
      </c>
      <c r="CY106" s="48">
        <v>-7645.97</v>
      </c>
      <c r="CZ106" s="48">
        <v>-7183.93</v>
      </c>
      <c r="DA106" s="48">
        <v>-5581.97</v>
      </c>
      <c r="DB106" s="48">
        <v>-5577.37</v>
      </c>
      <c r="DC106" s="48">
        <v>-4672.76</v>
      </c>
      <c r="DD106" s="48">
        <v>-5272.55</v>
      </c>
      <c r="DE106" s="48">
        <f>VLOOKUP($C106,'[2]Analysis 1'!$C$5:$DG$1025,107,FALSE)</f>
        <v>-5342.46</v>
      </c>
      <c r="DF106" s="48">
        <f>VLOOKUP($C106,'[2]Analysis 1'!$C$5:$DG$1025,108,FALSE)</f>
        <v>-6776.2</v>
      </c>
      <c r="DG106" s="48">
        <f>VLOOKUP($C106,'[2]Analysis 1'!$C$5:$DG$1025,109,FALSE)</f>
        <v>-8187.59</v>
      </c>
      <c r="DH106" s="369">
        <f t="shared" si="2"/>
        <v>-84321.27</v>
      </c>
    </row>
    <row r="107" spans="1:112">
      <c r="A107" s="357" t="str">
        <f t="shared" si="3"/>
        <v>4893050</v>
      </c>
      <c r="B107" s="350" t="s">
        <v>1936</v>
      </c>
      <c r="C107" s="335" t="s">
        <v>1030</v>
      </c>
      <c r="D107" s="367">
        <v>-2031612.74</v>
      </c>
      <c r="E107" s="367">
        <v>-1781386.76</v>
      </c>
      <c r="F107" s="367">
        <v>-1783532.65</v>
      </c>
      <c r="G107" s="367">
        <v>-1695469.43</v>
      </c>
      <c r="H107" s="367">
        <v>-1522375.86</v>
      </c>
      <c r="I107" s="367">
        <v>-1609840.85</v>
      </c>
      <c r="J107" s="367">
        <v>-1426095.55</v>
      </c>
      <c r="K107" s="367">
        <v>-1421401.99</v>
      </c>
      <c r="L107" s="367">
        <v>-1568297.96</v>
      </c>
      <c r="M107" s="367">
        <v>-1537018.47</v>
      </c>
      <c r="N107" s="367">
        <v>-1589676.93</v>
      </c>
      <c r="O107" s="368">
        <v>-1841779.11</v>
      </c>
      <c r="P107" s="48">
        <v>-2021826.86</v>
      </c>
      <c r="Q107" s="48">
        <v>-1928857.58</v>
      </c>
      <c r="R107" s="48">
        <v>-1997059.79</v>
      </c>
      <c r="S107" s="48">
        <v>-1720935.48</v>
      </c>
      <c r="T107" s="48">
        <v>-1522375.83</v>
      </c>
      <c r="U107" s="48">
        <v>-1592332.83</v>
      </c>
      <c r="V107" s="48">
        <v>-1593975.59</v>
      </c>
      <c r="W107" s="48">
        <v>-1629768.9</v>
      </c>
      <c r="X107" s="48">
        <v>-1571848.36</v>
      </c>
      <c r="Y107" s="48">
        <v>-1622928.46</v>
      </c>
      <c r="Z107" s="48">
        <v>-1736121.36</v>
      </c>
      <c r="AA107" s="48">
        <v>-1880799.89</v>
      </c>
      <c r="AB107" s="48">
        <v>-2142882.1</v>
      </c>
      <c r="AC107" s="48">
        <v>-2068268.42</v>
      </c>
      <c r="AD107" s="48">
        <v>-1961986.06</v>
      </c>
      <c r="AE107" s="48">
        <v>-1911790</v>
      </c>
      <c r="AF107" s="48">
        <v>-1780275.29</v>
      </c>
      <c r="AG107" s="48">
        <v>-1704166.33</v>
      </c>
      <c r="AH107" s="48">
        <v>-1614186.49</v>
      </c>
      <c r="AI107" s="48">
        <v>-1655740.83</v>
      </c>
      <c r="AJ107" s="48">
        <v>-1708372.49</v>
      </c>
      <c r="AK107" s="48">
        <v>-1642001.36</v>
      </c>
      <c r="AL107" s="48">
        <v>-1874045.58</v>
      </c>
      <c r="AM107" s="48">
        <v>-2048365.84</v>
      </c>
      <c r="AN107" s="48">
        <v>-2226712.7200000002</v>
      </c>
      <c r="AO107" s="48">
        <v>-1981775.97</v>
      </c>
      <c r="AP107" s="48">
        <v>-1957755.71</v>
      </c>
      <c r="AQ107" s="48">
        <v>-2030083.88</v>
      </c>
      <c r="AR107" s="48">
        <v>-1769185.12</v>
      </c>
      <c r="AS107" s="48">
        <v>-1779864.27</v>
      </c>
      <c r="AT107" s="48">
        <v>-1720054.72</v>
      </c>
      <c r="AU107" s="48">
        <v>-1725163.14</v>
      </c>
      <c r="AV107" s="48">
        <v>-1808337.74</v>
      </c>
      <c r="AW107" s="48">
        <v>-1679457.72</v>
      </c>
      <c r="AX107" s="48">
        <v>-1847424.64</v>
      </c>
      <c r="AY107" s="48">
        <v>-1989890.83</v>
      </c>
      <c r="AZ107" s="48">
        <v>-2544457.5099999998</v>
      </c>
      <c r="BA107" s="48">
        <v>-2120682.85</v>
      </c>
      <c r="BB107" s="48">
        <v>-2030638.31</v>
      </c>
      <c r="BC107" s="48">
        <v>-2152599.63</v>
      </c>
      <c r="BD107" s="48">
        <v>-1857300.26</v>
      </c>
      <c r="BE107" s="48">
        <v>-1862099.6</v>
      </c>
      <c r="BF107" s="48">
        <v>-1788356.62</v>
      </c>
      <c r="BG107" s="48">
        <v>-1749691.19</v>
      </c>
      <c r="BH107" s="48">
        <v>-1910560.37</v>
      </c>
      <c r="BI107" s="48">
        <v>-1744216.92</v>
      </c>
      <c r="BJ107" s="48">
        <v>-1898580.68</v>
      </c>
      <c r="BK107" s="48">
        <v>-2159059.37</v>
      </c>
      <c r="BL107" s="48">
        <v>-2191844.08</v>
      </c>
      <c r="BM107" s="48">
        <v>-1940560.57</v>
      </c>
      <c r="BN107" s="48">
        <v>-2153181.63</v>
      </c>
      <c r="BO107" s="48">
        <v>-2019802.11</v>
      </c>
      <c r="BP107" s="48">
        <v>-1840751.07</v>
      </c>
      <c r="BQ107" s="48">
        <v>-1754656.05</v>
      </c>
      <c r="BR107" s="48">
        <v>-1670379</v>
      </c>
      <c r="BS107" s="48">
        <v>-1706655.51</v>
      </c>
      <c r="BT107" s="48">
        <v>-1783260.67</v>
      </c>
      <c r="BU107" s="48">
        <v>-1695464.19</v>
      </c>
      <c r="BV107" s="48">
        <v>-2034790.44</v>
      </c>
      <c r="BW107" s="48">
        <v>-1997520.8</v>
      </c>
      <c r="BX107" s="48">
        <v>-2264940.39</v>
      </c>
      <c r="BY107" s="48">
        <v>-2117273.2400000002</v>
      </c>
      <c r="BZ107" s="48">
        <v>-1939260.2</v>
      </c>
      <c r="CA107" s="48">
        <v>-1349206.52</v>
      </c>
      <c r="CB107" s="48">
        <v>-1291496.6299999999</v>
      </c>
      <c r="CC107" s="48">
        <v>-1682770.23</v>
      </c>
      <c r="CD107" s="48">
        <v>-1582252.56</v>
      </c>
      <c r="CE107" s="48">
        <v>-1613325.36</v>
      </c>
      <c r="CF107" s="48">
        <v>-1609308.36</v>
      </c>
      <c r="CG107" s="48">
        <v>-1616782.84</v>
      </c>
      <c r="CH107" s="48">
        <v>-1813562.6</v>
      </c>
      <c r="CI107" s="48">
        <v>-2200275.6</v>
      </c>
      <c r="CJ107" s="48">
        <v>-3006129.33</v>
      </c>
      <c r="CK107" s="48">
        <v>-2445627.0699999998</v>
      </c>
      <c r="CL107" s="48">
        <v>-2612261.08</v>
      </c>
      <c r="CM107" s="48">
        <v>-2598146.6</v>
      </c>
      <c r="CN107" s="48">
        <v>-2287846.84</v>
      </c>
      <c r="CO107" s="48">
        <v>-2300903.86</v>
      </c>
      <c r="CP107" s="48">
        <v>-2409971.39</v>
      </c>
      <c r="CQ107" s="48">
        <v>-2300701.5499999998</v>
      </c>
      <c r="CR107" s="48">
        <v>-2390296.63</v>
      </c>
      <c r="CS107" s="48">
        <v>-2283980.9900000002</v>
      </c>
      <c r="CT107" s="48">
        <v>-2494914.1</v>
      </c>
      <c r="CU107" s="48">
        <v>-2975911.41</v>
      </c>
      <c r="CV107" s="48">
        <v>-3158645.42</v>
      </c>
      <c r="CW107" s="48">
        <v>-2653235.75</v>
      </c>
      <c r="CX107" s="48">
        <v>-2703567.92</v>
      </c>
      <c r="CY107" s="48">
        <v>-2627558.2200000002</v>
      </c>
      <c r="CZ107" s="48">
        <v>-2557768.9900000002</v>
      </c>
      <c r="DA107" s="48">
        <v>-2361173.7799999998</v>
      </c>
      <c r="DB107" s="48">
        <v>-2160650.92</v>
      </c>
      <c r="DC107" s="48">
        <v>-2199760.0299999998</v>
      </c>
      <c r="DD107" s="48">
        <v>-2187343.7000000002</v>
      </c>
      <c r="DE107" s="48">
        <f>VLOOKUP($C107,'[2]Analysis 1'!$C$5:$DG$1025,107,FALSE)</f>
        <v>-2381258.0499999998</v>
      </c>
      <c r="DF107" s="48">
        <f>VLOOKUP($C107,'[2]Analysis 1'!$C$5:$DG$1025,108,FALSE)</f>
        <v>-2355276.85</v>
      </c>
      <c r="DG107" s="48">
        <f>VLOOKUP($C107,'[2]Analysis 1'!$C$5:$DG$1025,109,FALSE)</f>
        <v>-2665153.19</v>
      </c>
      <c r="DH107" s="369">
        <f t="shared" si="2"/>
        <v>-30011392.820000004</v>
      </c>
    </row>
    <row r="108" spans="1:112">
      <c r="A108" s="357" t="str">
        <f t="shared" si="3"/>
        <v>4893051</v>
      </c>
      <c r="B108" s="350" t="s">
        <v>1937</v>
      </c>
      <c r="C108" s="335" t="s">
        <v>1031</v>
      </c>
      <c r="D108" s="340">
        <v>-83586.559999999998</v>
      </c>
      <c r="E108" s="340">
        <v>-79581.25</v>
      </c>
      <c r="F108" s="340">
        <v>-77961.990000000005</v>
      </c>
      <c r="G108" s="340">
        <v>-73906.850000000006</v>
      </c>
      <c r="H108" s="340">
        <v>-66809.14</v>
      </c>
      <c r="I108" s="340">
        <v>-67379.600000000006</v>
      </c>
      <c r="J108" s="340">
        <v>-61510.22</v>
      </c>
      <c r="K108" s="340">
        <v>-59011.03</v>
      </c>
      <c r="L108" s="340">
        <v>-63421.53</v>
      </c>
      <c r="M108" s="340">
        <v>-63610.35</v>
      </c>
      <c r="N108" s="340">
        <v>-65543.83</v>
      </c>
      <c r="O108" s="341">
        <v>-75168.259999999995</v>
      </c>
      <c r="P108" s="48">
        <v>-84893.37</v>
      </c>
      <c r="Q108" s="48">
        <v>-84671.2</v>
      </c>
      <c r="R108" s="48">
        <v>-86924.17</v>
      </c>
      <c r="S108" s="48">
        <v>-77488.97</v>
      </c>
      <c r="T108" s="48">
        <v>-67078.94</v>
      </c>
      <c r="U108" s="48">
        <v>-69214.789999999994</v>
      </c>
      <c r="V108" s="48">
        <v>-66015.210000000006</v>
      </c>
      <c r="W108" s="48">
        <v>-67059.990000000005</v>
      </c>
      <c r="X108" s="48">
        <v>-65305.48</v>
      </c>
      <c r="Y108" s="48">
        <v>-66327.350000000006</v>
      </c>
      <c r="Z108" s="48">
        <v>-70172.88</v>
      </c>
      <c r="AA108" s="48">
        <v>-110709.18</v>
      </c>
      <c r="AB108" s="48">
        <v>-127004.24</v>
      </c>
      <c r="AC108" s="48">
        <v>-128514.11</v>
      </c>
      <c r="AD108" s="48">
        <v>-123368.86</v>
      </c>
      <c r="AE108" s="48">
        <v>-118965.16</v>
      </c>
      <c r="AF108" s="48">
        <v>-110594.79</v>
      </c>
      <c r="AG108" s="48">
        <v>-103607.01</v>
      </c>
      <c r="AH108" s="48">
        <v>-97082.8</v>
      </c>
      <c r="AI108" s="48">
        <v>-96808.82</v>
      </c>
      <c r="AJ108" s="48">
        <v>-99383.07</v>
      </c>
      <c r="AK108" s="48">
        <v>-96577.01</v>
      </c>
      <c r="AL108" s="48">
        <v>-107477.83</v>
      </c>
      <c r="AM108" s="48">
        <v>-120084.85</v>
      </c>
      <c r="AN108" s="48">
        <v>-133632.48000000001</v>
      </c>
      <c r="AO108" s="48">
        <v>-125365.29</v>
      </c>
      <c r="AP108" s="48">
        <v>-121219.73</v>
      </c>
      <c r="AQ108" s="48">
        <v>-123373.73</v>
      </c>
      <c r="AR108" s="48">
        <v>-110829.1</v>
      </c>
      <c r="AS108" s="48">
        <v>-106860.47</v>
      </c>
      <c r="AT108" s="48">
        <v>-103034.81</v>
      </c>
      <c r="AU108" s="48">
        <v>-101583.83</v>
      </c>
      <c r="AV108" s="48">
        <v>-107228.19</v>
      </c>
      <c r="AW108" s="48">
        <v>-96638.25</v>
      </c>
      <c r="AX108" s="48">
        <v>-108128.89</v>
      </c>
      <c r="AY108" s="48">
        <v>-118565.73</v>
      </c>
      <c r="AZ108" s="48">
        <v>-148524.13</v>
      </c>
      <c r="BA108" s="48">
        <v>-137379.38</v>
      </c>
      <c r="BB108" s="48">
        <v>-128627.08</v>
      </c>
      <c r="BC108" s="48">
        <v>-131996.56</v>
      </c>
      <c r="BD108" s="48">
        <v>-117660.69</v>
      </c>
      <c r="BE108" s="48">
        <v>-116943.52</v>
      </c>
      <c r="BF108" s="48">
        <v>-105531.64</v>
      </c>
      <c r="BG108" s="48">
        <v>-103394.86</v>
      </c>
      <c r="BH108" s="48">
        <v>-114490.35</v>
      </c>
      <c r="BI108" s="48">
        <v>-102190.43</v>
      </c>
      <c r="BJ108" s="48">
        <v>-106631.7</v>
      </c>
      <c r="BK108" s="48">
        <v>-128096.31</v>
      </c>
      <c r="BL108" s="48">
        <v>-141908.64000000001</v>
      </c>
      <c r="BM108" s="48">
        <v>-140612.81</v>
      </c>
      <c r="BN108" s="48">
        <v>-131006.11</v>
      </c>
      <c r="BO108" s="48">
        <v>-130843.58</v>
      </c>
      <c r="BP108" s="48">
        <v>-120857.38</v>
      </c>
      <c r="BQ108" s="48">
        <v>-112887.09</v>
      </c>
      <c r="BR108" s="48">
        <v>-105785.45</v>
      </c>
      <c r="BS108" s="48">
        <v>-105057.25</v>
      </c>
      <c r="BT108" s="48">
        <v>-109202.46</v>
      </c>
      <c r="BU108" s="48">
        <v>-105632.65</v>
      </c>
      <c r="BV108" s="48">
        <v>-113015.74</v>
      </c>
      <c r="BW108" s="48">
        <v>-132826.69</v>
      </c>
      <c r="BX108" s="48">
        <v>-143673.13</v>
      </c>
      <c r="BY108" s="48">
        <v>-139768.73000000001</v>
      </c>
      <c r="BZ108" s="48">
        <v>-132967.04000000001</v>
      </c>
      <c r="CA108" s="48">
        <v>-89866.77</v>
      </c>
      <c r="CB108" s="48">
        <v>-76847.92</v>
      </c>
      <c r="CC108" s="48">
        <v>-93703.47</v>
      </c>
      <c r="CD108" s="48">
        <v>-93949.759999999995</v>
      </c>
      <c r="CE108" s="48">
        <v>-95691.68</v>
      </c>
      <c r="CF108" s="48">
        <v>-96116.07</v>
      </c>
      <c r="CG108" s="48">
        <v>-96946.29</v>
      </c>
      <c r="CH108" s="48">
        <v>-107484.07</v>
      </c>
      <c r="CI108" s="48">
        <v>-122126.97</v>
      </c>
      <c r="CJ108" s="48">
        <v>-145318.64000000001</v>
      </c>
      <c r="CK108" s="48">
        <v>-138670.04999999999</v>
      </c>
      <c r="CL108" s="48">
        <v>-128607.83</v>
      </c>
      <c r="CM108" s="48">
        <v>-131924.26</v>
      </c>
      <c r="CN108" s="48">
        <v>-119354.22</v>
      </c>
      <c r="CO108" s="48">
        <v>-115383.91</v>
      </c>
      <c r="CP108" s="48">
        <v>-119182.18</v>
      </c>
      <c r="CQ108" s="48">
        <v>-115327.97</v>
      </c>
      <c r="CR108" s="48">
        <v>-117995.68</v>
      </c>
      <c r="CS108" s="48">
        <v>-113976.41</v>
      </c>
      <c r="CT108" s="48">
        <v>-121914.48</v>
      </c>
      <c r="CU108" s="48">
        <v>-145795.72</v>
      </c>
      <c r="CV108" s="48">
        <v>-151680.6</v>
      </c>
      <c r="CW108" s="48">
        <v>-151592.1</v>
      </c>
      <c r="CX108" s="48">
        <v>-143452.6</v>
      </c>
      <c r="CY108" s="48">
        <v>-137396.91</v>
      </c>
      <c r="CZ108" s="48">
        <v>-132066.76</v>
      </c>
      <c r="DA108" s="48">
        <v>-121415.16</v>
      </c>
      <c r="DB108" s="48">
        <v>-110134.69</v>
      </c>
      <c r="DC108" s="48">
        <v>-107550.6</v>
      </c>
      <c r="DD108" s="48">
        <v>-111909.5</v>
      </c>
      <c r="DE108" s="48">
        <f>VLOOKUP($C108,'[2]Analysis 1'!$C$5:$DG$1025,107,FALSE)</f>
        <v>-110602.67</v>
      </c>
      <c r="DF108" s="48">
        <f>VLOOKUP($C108,'[2]Analysis 1'!$C$5:$DG$1025,108,FALSE)</f>
        <v>-114613.01</v>
      </c>
      <c r="DG108" s="48">
        <f>VLOOKUP($C108,'[2]Analysis 1'!$C$5:$DG$1025,109,FALSE)</f>
        <v>-129762.9</v>
      </c>
      <c r="DH108" s="369">
        <f t="shared" si="2"/>
        <v>-1522177.5</v>
      </c>
    </row>
    <row r="109" spans="1:112">
      <c r="A109" s="357" t="str">
        <f t="shared" si="3"/>
        <v>4893052</v>
      </c>
      <c r="B109" s="350" t="s">
        <v>1938</v>
      </c>
      <c r="C109" s="335" t="s">
        <v>1032</v>
      </c>
      <c r="D109" s="340">
        <v>-3169115.56</v>
      </c>
      <c r="E109" s="340">
        <v>-2722977.8</v>
      </c>
      <c r="F109" s="340">
        <v>-2632045.66</v>
      </c>
      <c r="G109" s="340">
        <v>-2536088.19</v>
      </c>
      <c r="H109" s="340">
        <v>-2197587.41</v>
      </c>
      <c r="I109" s="340">
        <v>-2382424.79</v>
      </c>
      <c r="J109" s="340">
        <v>-2151658.4300000002</v>
      </c>
      <c r="K109" s="340">
        <v>-2058293.63</v>
      </c>
      <c r="L109" s="340">
        <v>-2279914.5099999998</v>
      </c>
      <c r="M109" s="340">
        <v>-2223317</v>
      </c>
      <c r="N109" s="340">
        <v>-2393503.67</v>
      </c>
      <c r="O109" s="341">
        <v>-2884907.6</v>
      </c>
      <c r="P109" s="48">
        <v>-3178693.54</v>
      </c>
      <c r="Q109" s="48">
        <v>-2967169.84</v>
      </c>
      <c r="R109" s="48">
        <v>-3044512.03</v>
      </c>
      <c r="S109" s="48">
        <v>-2528590.2400000002</v>
      </c>
      <c r="T109" s="48">
        <v>-2096133.57</v>
      </c>
      <c r="U109" s="48">
        <v>-2484417.25</v>
      </c>
      <c r="V109" s="48">
        <v>-2198779.4</v>
      </c>
      <c r="W109" s="48">
        <v>-2321720.29</v>
      </c>
      <c r="X109" s="48">
        <v>-2208328.37</v>
      </c>
      <c r="Y109" s="48">
        <v>-2273201.3199999998</v>
      </c>
      <c r="Z109" s="48">
        <v>-2459750.59</v>
      </c>
      <c r="AA109" s="48">
        <v>-2804316.59</v>
      </c>
      <c r="AB109" s="48">
        <v>-3319998.74</v>
      </c>
      <c r="AC109" s="48">
        <v>-3106741.32</v>
      </c>
      <c r="AD109" s="48">
        <v>-2891324.98</v>
      </c>
      <c r="AE109" s="48">
        <v>-2758115.84</v>
      </c>
      <c r="AF109" s="48">
        <v>-2484531.9</v>
      </c>
      <c r="AG109" s="48">
        <v>-2375119.33</v>
      </c>
      <c r="AH109" s="48">
        <v>-2234437.02</v>
      </c>
      <c r="AI109" s="48">
        <v>-2304659.9300000002</v>
      </c>
      <c r="AJ109" s="48">
        <v>-2340030.5499999998</v>
      </c>
      <c r="AK109" s="48">
        <v>-2229160.66</v>
      </c>
      <c r="AL109" s="48">
        <v>-2623955.06</v>
      </c>
      <c r="AM109" s="48">
        <v>-2997096.27</v>
      </c>
      <c r="AN109" s="48">
        <v>-3290097.45</v>
      </c>
      <c r="AO109" s="48">
        <v>-2786643.61</v>
      </c>
      <c r="AP109" s="48">
        <v>-2828621.4</v>
      </c>
      <c r="AQ109" s="48">
        <v>-2849359.74</v>
      </c>
      <c r="AR109" s="48">
        <v>-2455692.98</v>
      </c>
      <c r="AS109" s="48">
        <v>-2400214.46</v>
      </c>
      <c r="AT109" s="48">
        <v>-2272706.62</v>
      </c>
      <c r="AU109" s="48">
        <v>-2331103.9</v>
      </c>
      <c r="AV109" s="48">
        <v>-2422069.17</v>
      </c>
      <c r="AW109" s="48">
        <v>-2167675.5699999998</v>
      </c>
      <c r="AX109" s="48">
        <v>-2538876.5499999998</v>
      </c>
      <c r="AY109" s="48">
        <v>-2935263.26</v>
      </c>
      <c r="AZ109" s="48">
        <v>-3563094.21</v>
      </c>
      <c r="BA109" s="48">
        <v>-2912738.76</v>
      </c>
      <c r="BB109" s="48">
        <v>-2836582.15</v>
      </c>
      <c r="BC109" s="48">
        <v>-3049595.55</v>
      </c>
      <c r="BD109" s="48">
        <v>-2447775.34</v>
      </c>
      <c r="BE109" s="48">
        <v>-2483399.0099999998</v>
      </c>
      <c r="BF109" s="48">
        <v>-2430676.29</v>
      </c>
      <c r="BG109" s="48">
        <v>-2325052.88</v>
      </c>
      <c r="BH109" s="48">
        <v>-2526846.67</v>
      </c>
      <c r="BI109" s="48">
        <v>-2264487.08</v>
      </c>
      <c r="BJ109" s="48">
        <v>-2606426.14</v>
      </c>
      <c r="BK109" s="48">
        <v>-3012097.84</v>
      </c>
      <c r="BL109" s="48">
        <v>-3112169.3</v>
      </c>
      <c r="BM109" s="48">
        <v>-2740391.67</v>
      </c>
      <c r="BN109" s="48">
        <v>-2912645.95</v>
      </c>
      <c r="BO109" s="48">
        <v>-2677598.73</v>
      </c>
      <c r="BP109" s="48">
        <v>-2517528.09</v>
      </c>
      <c r="BQ109" s="48">
        <v>-2224418.0099999998</v>
      </c>
      <c r="BR109" s="48">
        <v>-2264408.7400000002</v>
      </c>
      <c r="BS109" s="48">
        <v>-2250924.92</v>
      </c>
      <c r="BT109" s="48">
        <v>-2359857.42</v>
      </c>
      <c r="BU109" s="48">
        <v>-2242231.58</v>
      </c>
      <c r="BV109" s="48">
        <v>-2781817.38</v>
      </c>
      <c r="BW109" s="48">
        <v>-2789859.18</v>
      </c>
      <c r="BX109" s="48">
        <v>-3219590.72</v>
      </c>
      <c r="BY109" s="48">
        <v>-2884666.04</v>
      </c>
      <c r="BZ109" s="48">
        <v>-2645741.8199999998</v>
      </c>
      <c r="CA109" s="48">
        <v>-1641544.54</v>
      </c>
      <c r="CB109" s="48">
        <v>-1388567.83</v>
      </c>
      <c r="CC109" s="48">
        <v>-1989914.8</v>
      </c>
      <c r="CD109" s="48">
        <v>-1892105.91</v>
      </c>
      <c r="CE109" s="48">
        <v>-1919561.7</v>
      </c>
      <c r="CF109" s="48">
        <v>-1889349.74</v>
      </c>
      <c r="CG109" s="48">
        <v>-2006213.78</v>
      </c>
      <c r="CH109" s="48">
        <v>-2278444.4500000002</v>
      </c>
      <c r="CI109" s="48">
        <v>-2816489.53</v>
      </c>
      <c r="CJ109" s="48">
        <v>-4108181.56</v>
      </c>
      <c r="CK109" s="48">
        <v>-3191157.84</v>
      </c>
      <c r="CL109" s="48">
        <v>-3394582.62</v>
      </c>
      <c r="CM109" s="48">
        <v>-3495693.75</v>
      </c>
      <c r="CN109" s="48">
        <v>-2930093.11</v>
      </c>
      <c r="CO109" s="48">
        <v>-2881350.77</v>
      </c>
      <c r="CP109" s="48">
        <v>-2793571.34</v>
      </c>
      <c r="CQ109" s="48">
        <v>-2704952.57</v>
      </c>
      <c r="CR109" s="48">
        <v>-2851367.88</v>
      </c>
      <c r="CS109" s="48">
        <v>-2744432.32</v>
      </c>
      <c r="CT109" s="48">
        <v>-2984501.87</v>
      </c>
      <c r="CU109" s="48">
        <v>-3833669.1</v>
      </c>
      <c r="CV109" s="48">
        <v>-3960647.21</v>
      </c>
      <c r="CW109" s="48">
        <v>-3395014.08</v>
      </c>
      <c r="CX109" s="48">
        <v>-3346830.84</v>
      </c>
      <c r="CY109" s="48">
        <v>-3178082.27</v>
      </c>
      <c r="CZ109" s="48">
        <v>-3052741.39</v>
      </c>
      <c r="DA109" s="48">
        <v>-2723737.6000000001</v>
      </c>
      <c r="DB109" s="48">
        <v>-2841248</v>
      </c>
      <c r="DC109" s="48">
        <v>-2741439.89</v>
      </c>
      <c r="DD109" s="48">
        <v>-2765059.57</v>
      </c>
      <c r="DE109" s="48">
        <f>VLOOKUP($C109,'[2]Analysis 1'!$C$5:$DG$1025,107,FALSE)</f>
        <v>-3053300.35</v>
      </c>
      <c r="DF109" s="48">
        <f>VLOOKUP($C109,'[2]Analysis 1'!$C$5:$DG$1025,108,FALSE)</f>
        <v>-3179375.94</v>
      </c>
      <c r="DG109" s="48">
        <f>VLOOKUP($C109,'[2]Analysis 1'!$C$5:$DG$1025,109,FALSE)</f>
        <v>-3616385.98</v>
      </c>
      <c r="DH109" s="369">
        <f t="shared" si="2"/>
        <v>-37853863.119999997</v>
      </c>
    </row>
    <row r="110" spans="1:112">
      <c r="A110" s="357" t="str">
        <f t="shared" si="3"/>
        <v>4893053</v>
      </c>
      <c r="B110" s="350" t="s">
        <v>1939</v>
      </c>
      <c r="C110" s="335" t="s">
        <v>1033</v>
      </c>
      <c r="D110" s="367">
        <v>-147152.93</v>
      </c>
      <c r="E110" s="367">
        <v>-139405.64000000001</v>
      </c>
      <c r="F110" s="367">
        <v>-133341.82</v>
      </c>
      <c r="G110" s="367">
        <v>-127734.21</v>
      </c>
      <c r="H110" s="367">
        <v>-113229.68</v>
      </c>
      <c r="I110" s="367">
        <v>-115050.5</v>
      </c>
      <c r="J110" s="367">
        <v>-107123.65</v>
      </c>
      <c r="K110" s="367">
        <v>-100915.38</v>
      </c>
      <c r="L110" s="367">
        <v>-107087.22</v>
      </c>
      <c r="M110" s="367">
        <v>-106924.45</v>
      </c>
      <c r="N110" s="367">
        <v>-113173.94</v>
      </c>
      <c r="O110" s="368">
        <v>-133481.51</v>
      </c>
      <c r="P110" s="48">
        <v>-151109.60999999999</v>
      </c>
      <c r="Q110" s="48">
        <v>-149106.76</v>
      </c>
      <c r="R110" s="48">
        <v>-151223.54</v>
      </c>
      <c r="S110" s="48">
        <v>-132663.98000000001</v>
      </c>
      <c r="T110" s="48">
        <v>-110307.06</v>
      </c>
      <c r="U110" s="48">
        <v>-117350.86</v>
      </c>
      <c r="V110" s="48">
        <v>-109311.38</v>
      </c>
      <c r="W110" s="48">
        <v>-111035.1</v>
      </c>
      <c r="X110" s="48">
        <v>-107311.3</v>
      </c>
      <c r="Y110" s="48">
        <v>-108456.34</v>
      </c>
      <c r="Z110" s="48">
        <v>-115371.18</v>
      </c>
      <c r="AA110" s="48">
        <v>-224025.7</v>
      </c>
      <c r="AB110" s="48">
        <v>-258234.34</v>
      </c>
      <c r="AC110" s="48">
        <v>-262808.8</v>
      </c>
      <c r="AD110" s="48">
        <v>-250668.43</v>
      </c>
      <c r="AE110" s="48">
        <v>-237958.34</v>
      </c>
      <c r="AF110" s="48">
        <v>-216586.14</v>
      </c>
      <c r="AG110" s="48">
        <v>-202329.74</v>
      </c>
      <c r="AH110" s="48">
        <v>-188990.11</v>
      </c>
      <c r="AI110" s="48">
        <v>-188747.11</v>
      </c>
      <c r="AJ110" s="48">
        <v>-191142.33</v>
      </c>
      <c r="AK110" s="48">
        <v>-184582.55</v>
      </c>
      <c r="AL110" s="48">
        <v>-207421.72</v>
      </c>
      <c r="AM110" s="48">
        <v>-238801.23</v>
      </c>
      <c r="AN110" s="48">
        <v>-267967.84000000003</v>
      </c>
      <c r="AO110" s="48">
        <v>-245572.06</v>
      </c>
      <c r="AP110" s="48">
        <v>-240548.86</v>
      </c>
      <c r="AQ110" s="48">
        <v>-240231.51</v>
      </c>
      <c r="AR110" s="48">
        <v>-215367.63</v>
      </c>
      <c r="AS110" s="48">
        <v>-203116.48</v>
      </c>
      <c r="AT110" s="48">
        <v>-191838.51</v>
      </c>
      <c r="AU110" s="48">
        <v>-191241.34</v>
      </c>
      <c r="AV110" s="48">
        <v>-203287.86</v>
      </c>
      <c r="AW110" s="48">
        <v>-171934.95</v>
      </c>
      <c r="AX110" s="48">
        <v>-204751.87</v>
      </c>
      <c r="AY110" s="48">
        <v>-234736.11</v>
      </c>
      <c r="AZ110" s="48">
        <v>-283544.67</v>
      </c>
      <c r="BA110" s="48">
        <v>-259045.13</v>
      </c>
      <c r="BB110" s="48">
        <v>-245621.01</v>
      </c>
      <c r="BC110" s="48">
        <v>-254650.77</v>
      </c>
      <c r="BD110" s="48">
        <v>-219353.81</v>
      </c>
      <c r="BE110" s="48">
        <v>-217090.59</v>
      </c>
      <c r="BF110" s="48">
        <v>-198697.23</v>
      </c>
      <c r="BG110" s="48">
        <v>-192904.41</v>
      </c>
      <c r="BH110" s="48">
        <v>-210621.15</v>
      </c>
      <c r="BI110" s="48">
        <v>-186022</v>
      </c>
      <c r="BJ110" s="48">
        <v>-199795.23</v>
      </c>
      <c r="BK110" s="48">
        <v>-243568.84</v>
      </c>
      <c r="BL110" s="48">
        <v>-272578.67</v>
      </c>
      <c r="BM110" s="48">
        <v>-272772.28999999998</v>
      </c>
      <c r="BN110" s="48">
        <v>-244230.76</v>
      </c>
      <c r="BO110" s="48">
        <v>-239692.24</v>
      </c>
      <c r="BP110" s="48">
        <v>-225697.07</v>
      </c>
      <c r="BQ110" s="48">
        <v>-202823.16</v>
      </c>
      <c r="BR110" s="48">
        <v>-197529.4</v>
      </c>
      <c r="BS110" s="48">
        <v>-194671.96</v>
      </c>
      <c r="BT110" s="48">
        <v>-201075.21</v>
      </c>
      <c r="BU110" s="48">
        <v>-195155.36</v>
      </c>
      <c r="BV110" s="48">
        <v>-211098.9</v>
      </c>
      <c r="BW110" s="48">
        <v>-253457.52</v>
      </c>
      <c r="BX110" s="48">
        <v>-277420.90000000002</v>
      </c>
      <c r="BY110" s="48">
        <v>-263385.59999999998</v>
      </c>
      <c r="BZ110" s="48">
        <v>-251199.29</v>
      </c>
      <c r="CA110" s="48">
        <v>-163111.67999999999</v>
      </c>
      <c r="CB110" s="48">
        <v>-125539.17</v>
      </c>
      <c r="CC110" s="48">
        <v>-153091.42000000001</v>
      </c>
      <c r="CD110" s="48">
        <v>-155937.68</v>
      </c>
      <c r="CE110" s="48">
        <v>-158757.96</v>
      </c>
      <c r="CF110" s="48">
        <v>-157660.98000000001</v>
      </c>
      <c r="CG110" s="48">
        <v>-165209.44</v>
      </c>
      <c r="CH110" s="48">
        <v>-185831.26</v>
      </c>
      <c r="CI110" s="48">
        <v>-211778.76</v>
      </c>
      <c r="CJ110" s="48">
        <v>-257153.82</v>
      </c>
      <c r="CK110" s="48">
        <v>-241625.68</v>
      </c>
      <c r="CL110" s="48">
        <v>-221095.84</v>
      </c>
      <c r="CM110" s="48">
        <v>-232996.06</v>
      </c>
      <c r="CN110" s="48">
        <v>-206223.57</v>
      </c>
      <c r="CO110" s="48">
        <v>-194600.53</v>
      </c>
      <c r="CP110" s="48">
        <v>-191287.15</v>
      </c>
      <c r="CQ110" s="48">
        <v>-183487.33</v>
      </c>
      <c r="CR110" s="48">
        <v>-188781.84</v>
      </c>
      <c r="CS110" s="48">
        <v>-184586.13</v>
      </c>
      <c r="CT110" s="48">
        <v>-196254.82</v>
      </c>
      <c r="CU110" s="48">
        <v>-246151.35</v>
      </c>
      <c r="CV110" s="48">
        <v>-252710.7</v>
      </c>
      <c r="CW110" s="48">
        <v>-257915.38</v>
      </c>
      <c r="CX110" s="48">
        <v>-240207.63</v>
      </c>
      <c r="CY110" s="48">
        <v>-225022.13</v>
      </c>
      <c r="CZ110" s="48">
        <v>-213053.11</v>
      </c>
      <c r="DA110" s="48">
        <v>-191195.5</v>
      </c>
      <c r="DB110" s="48">
        <v>-188146.47</v>
      </c>
      <c r="DC110" s="48">
        <v>-182342.18</v>
      </c>
      <c r="DD110" s="48">
        <v>-191237.73</v>
      </c>
      <c r="DE110" s="48">
        <f>VLOOKUP($C110,'[2]Analysis 1'!$C$5:$DG$1025,107,FALSE)</f>
        <v>-190850.86</v>
      </c>
      <c r="DF110" s="48">
        <f>VLOOKUP($C110,'[2]Analysis 1'!$C$5:$DG$1025,108,FALSE)</f>
        <v>-206928.49</v>
      </c>
      <c r="DG110" s="48">
        <f>VLOOKUP($C110,'[2]Analysis 1'!$C$5:$DG$1025,109,FALSE)</f>
        <v>-235909.85</v>
      </c>
      <c r="DH110" s="369">
        <f t="shared" si="2"/>
        <v>-2575520.0299999998</v>
      </c>
    </row>
    <row r="111" spans="1:112">
      <c r="A111" s="357" t="str">
        <f t="shared" si="3"/>
        <v>4893054</v>
      </c>
      <c r="B111" s="350" t="s">
        <v>1940</v>
      </c>
      <c r="C111" s="335" t="s">
        <v>1034</v>
      </c>
      <c r="D111" s="367">
        <v>-1796485.87</v>
      </c>
      <c r="E111" s="367">
        <v>-1628373.76</v>
      </c>
      <c r="F111" s="367">
        <v>-1478954.64</v>
      </c>
      <c r="G111" s="367">
        <v>-1471714.33</v>
      </c>
      <c r="H111" s="367">
        <v>-1256161.6499999999</v>
      </c>
      <c r="I111" s="367">
        <v>-1268470.04</v>
      </c>
      <c r="J111" s="367">
        <v>-1128552.52</v>
      </c>
      <c r="K111" s="367">
        <v>-1098229.98</v>
      </c>
      <c r="L111" s="367">
        <v>-1295997.01</v>
      </c>
      <c r="M111" s="367">
        <v>-1241890.78</v>
      </c>
      <c r="N111" s="367">
        <v>-1347264.82</v>
      </c>
      <c r="O111" s="368">
        <v>-1581692.25</v>
      </c>
      <c r="P111" s="48">
        <v>-1681816.14</v>
      </c>
      <c r="Q111" s="48">
        <v>-1590647</v>
      </c>
      <c r="R111" s="48">
        <v>-1639112.61</v>
      </c>
      <c r="S111" s="48">
        <v>-1386065.47</v>
      </c>
      <c r="T111" s="48">
        <v>-1132367.98</v>
      </c>
      <c r="U111" s="48">
        <v>-1300670.6200000001</v>
      </c>
      <c r="V111" s="48">
        <v>-1214163.8500000001</v>
      </c>
      <c r="W111" s="48">
        <v>-1256266.58</v>
      </c>
      <c r="X111" s="48">
        <v>-1112293.03</v>
      </c>
      <c r="Y111" s="48">
        <v>-1232863.6499999999</v>
      </c>
      <c r="Z111" s="48">
        <v>-1311451.3899999999</v>
      </c>
      <c r="AA111" s="48">
        <v>-1455649.68</v>
      </c>
      <c r="AB111" s="48">
        <v>-1666771.56</v>
      </c>
      <c r="AC111" s="48">
        <v>-1695873.68</v>
      </c>
      <c r="AD111" s="48">
        <v>-1512121.24</v>
      </c>
      <c r="AE111" s="48">
        <v>-1469644.94</v>
      </c>
      <c r="AF111" s="48">
        <v>-1318348</v>
      </c>
      <c r="AG111" s="48">
        <v>-1219971.78</v>
      </c>
      <c r="AH111" s="48">
        <v>-1103391.1200000001</v>
      </c>
      <c r="AI111" s="48">
        <v>-1127562.21</v>
      </c>
      <c r="AJ111" s="48">
        <v>-1193366.6599999999</v>
      </c>
      <c r="AK111" s="48">
        <v>-1089902.22</v>
      </c>
      <c r="AL111" s="48">
        <v>-1347421.31</v>
      </c>
      <c r="AM111" s="48">
        <v>-1533363.53</v>
      </c>
      <c r="AN111" s="48">
        <v>-1600533.91</v>
      </c>
      <c r="AO111" s="48">
        <v>-1405565.9</v>
      </c>
      <c r="AP111" s="48">
        <v>-1415908.97</v>
      </c>
      <c r="AQ111" s="48">
        <v>-1382912.97</v>
      </c>
      <c r="AR111" s="48">
        <v>-1224903.3</v>
      </c>
      <c r="AS111" s="48">
        <v>-1138786.08</v>
      </c>
      <c r="AT111" s="48">
        <v>-1081579.8799999999</v>
      </c>
      <c r="AU111" s="48">
        <v>-1123899.5</v>
      </c>
      <c r="AV111" s="48">
        <v>-1181574</v>
      </c>
      <c r="AW111" s="48">
        <v>-1163031.3700000001</v>
      </c>
      <c r="AX111" s="48">
        <v>-1216500.97</v>
      </c>
      <c r="AY111" s="48">
        <v>-1497737.47</v>
      </c>
      <c r="AZ111" s="48">
        <v>-1747586.85</v>
      </c>
      <c r="BA111" s="48">
        <v>-1555399.95</v>
      </c>
      <c r="BB111" s="48">
        <v>-1331590.81</v>
      </c>
      <c r="BC111" s="48">
        <v>-1534128.29</v>
      </c>
      <c r="BD111" s="48">
        <v>-1208985.78</v>
      </c>
      <c r="BE111" s="48">
        <v>-1168832.27</v>
      </c>
      <c r="BF111" s="48">
        <v>-1199757.82</v>
      </c>
      <c r="BG111" s="48">
        <v>-1167748.8700000001</v>
      </c>
      <c r="BH111" s="48">
        <v>-1231079.05</v>
      </c>
      <c r="BI111" s="48">
        <v>-1143943.19</v>
      </c>
      <c r="BJ111" s="48">
        <v>-1329940.8600000001</v>
      </c>
      <c r="BK111" s="48">
        <v>-1495304.68</v>
      </c>
      <c r="BL111" s="48">
        <v>-1557255.92</v>
      </c>
      <c r="BM111" s="48">
        <v>-1336867.74</v>
      </c>
      <c r="BN111" s="48">
        <v>-1825246</v>
      </c>
      <c r="BO111" s="48">
        <v>-865608.81</v>
      </c>
      <c r="BP111" s="48">
        <v>-1333126.6599999999</v>
      </c>
      <c r="BQ111" s="48">
        <v>-1100374.67</v>
      </c>
      <c r="BR111" s="48">
        <v>-1111323.32</v>
      </c>
      <c r="BS111" s="48">
        <v>-1085068.25</v>
      </c>
      <c r="BT111" s="48">
        <v>-1130446.19</v>
      </c>
      <c r="BU111" s="48">
        <v>-1114860.75</v>
      </c>
      <c r="BV111" s="48">
        <v>-1413246.76</v>
      </c>
      <c r="BW111" s="48">
        <v>-1389502.72</v>
      </c>
      <c r="BX111" s="48">
        <v>-1588346.19</v>
      </c>
      <c r="BY111" s="48">
        <v>-1409032.03</v>
      </c>
      <c r="BZ111" s="48">
        <v>-1341248.7</v>
      </c>
      <c r="CA111" s="48">
        <v>-926917.24</v>
      </c>
      <c r="CB111" s="48">
        <v>-886369.97</v>
      </c>
      <c r="CC111" s="48">
        <v>-1048864.03</v>
      </c>
      <c r="CD111" s="48">
        <v>-1015188.39</v>
      </c>
      <c r="CE111" s="48">
        <v>-1012932.5</v>
      </c>
      <c r="CF111" s="48">
        <v>-911181.26</v>
      </c>
      <c r="CG111" s="48">
        <v>-993904.8</v>
      </c>
      <c r="CH111" s="48">
        <v>-1209596.8</v>
      </c>
      <c r="CI111" s="48">
        <v>-1387708.68</v>
      </c>
      <c r="CJ111" s="48">
        <v>-2104835.0699999998</v>
      </c>
      <c r="CK111" s="48">
        <v>-1732523.76</v>
      </c>
      <c r="CL111" s="48">
        <v>-1763334.55</v>
      </c>
      <c r="CM111" s="48">
        <v>-1520208.61</v>
      </c>
      <c r="CN111" s="48">
        <v>-1497132.74</v>
      </c>
      <c r="CO111" s="48">
        <v>-1463302.34</v>
      </c>
      <c r="CP111" s="48">
        <v>-1431867.97</v>
      </c>
      <c r="CQ111" s="48">
        <v>-1112373.6200000001</v>
      </c>
      <c r="CR111" s="48">
        <v>-1377029.65</v>
      </c>
      <c r="CS111" s="48">
        <v>-1286104.98</v>
      </c>
      <c r="CT111" s="48">
        <v>-1521130.24</v>
      </c>
      <c r="CU111" s="48">
        <v>-1838015.33</v>
      </c>
      <c r="CV111" s="48">
        <v>-1975683.83</v>
      </c>
      <c r="CW111" s="48">
        <v>-1564268.53</v>
      </c>
      <c r="CX111" s="48">
        <v>-1682681.82</v>
      </c>
      <c r="CY111" s="48">
        <v>-1435769.47</v>
      </c>
      <c r="CZ111" s="48">
        <v>-1475360.05</v>
      </c>
      <c r="DA111" s="48">
        <v>-1346701.07</v>
      </c>
      <c r="DB111" s="48">
        <v>-1448377.81</v>
      </c>
      <c r="DC111" s="48">
        <v>-1331872.04</v>
      </c>
      <c r="DD111" s="48">
        <v>-1333112.1200000001</v>
      </c>
      <c r="DE111" s="48">
        <f>VLOOKUP($C111,'[2]Analysis 1'!$C$5:$DG$1025,107,FALSE)</f>
        <v>-1642061.62</v>
      </c>
      <c r="DF111" s="48">
        <f>VLOOKUP($C111,'[2]Analysis 1'!$C$5:$DG$1025,108,FALSE)</f>
        <v>-1605506.07</v>
      </c>
      <c r="DG111" s="48">
        <f>VLOOKUP($C111,'[2]Analysis 1'!$C$5:$DG$1025,109,FALSE)</f>
        <v>-1776670</v>
      </c>
      <c r="DH111" s="369">
        <f t="shared" si="2"/>
        <v>-18618064.430000003</v>
      </c>
    </row>
    <row r="112" spans="1:112">
      <c r="A112" s="357" t="str">
        <f t="shared" si="3"/>
        <v>4893055</v>
      </c>
      <c r="B112" s="350" t="s">
        <v>1941</v>
      </c>
      <c r="C112" s="335" t="s">
        <v>1035</v>
      </c>
      <c r="D112" s="340">
        <v>-88450.48</v>
      </c>
      <c r="E112" s="340">
        <v>-88933.99</v>
      </c>
      <c r="F112" s="340">
        <v>-81068.62</v>
      </c>
      <c r="G112" s="340">
        <v>-79168.53</v>
      </c>
      <c r="H112" s="340">
        <v>-70145.179999999993</v>
      </c>
      <c r="I112" s="340">
        <v>-67192.58</v>
      </c>
      <c r="J112" s="340">
        <v>-61556.68</v>
      </c>
      <c r="K112" s="340">
        <v>-57813.53</v>
      </c>
      <c r="L112" s="340">
        <v>-60069.77</v>
      </c>
      <c r="M112" s="340">
        <v>-62624.21</v>
      </c>
      <c r="N112" s="340">
        <v>-68663.009999999995</v>
      </c>
      <c r="O112" s="341">
        <v>-79284.800000000003</v>
      </c>
      <c r="P112" s="48">
        <v>-86846.23</v>
      </c>
      <c r="Q112" s="48">
        <v>-86453.55</v>
      </c>
      <c r="R112" s="48">
        <v>-87799.2</v>
      </c>
      <c r="S112" s="48">
        <v>-77810.83</v>
      </c>
      <c r="T112" s="48">
        <v>-62666.99</v>
      </c>
      <c r="U112" s="48">
        <v>-66633.52</v>
      </c>
      <c r="V112" s="48">
        <v>-64103.76</v>
      </c>
      <c r="W112" s="48">
        <v>-65336.92</v>
      </c>
      <c r="X112" s="48">
        <v>-60468.09</v>
      </c>
      <c r="Y112" s="48">
        <v>-61423.13</v>
      </c>
      <c r="Z112" s="48">
        <v>-67425.09</v>
      </c>
      <c r="AA112" s="48">
        <v>-137451.69</v>
      </c>
      <c r="AB112" s="48">
        <v>-157352.39000000001</v>
      </c>
      <c r="AC112" s="48">
        <v>-167792.39</v>
      </c>
      <c r="AD112" s="48">
        <v>-155809.22</v>
      </c>
      <c r="AE112" s="48">
        <v>-148655.93</v>
      </c>
      <c r="AF112" s="48">
        <v>-134134.26999999999</v>
      </c>
      <c r="AG112" s="48">
        <v>-123170.78</v>
      </c>
      <c r="AH112" s="48">
        <v>-113105.51</v>
      </c>
      <c r="AI112" s="48">
        <v>-111005.73</v>
      </c>
      <c r="AJ112" s="48">
        <v>-114935.78</v>
      </c>
      <c r="AK112" s="48">
        <v>-105655.41</v>
      </c>
      <c r="AL112" s="48">
        <v>-123596.8</v>
      </c>
      <c r="AM112" s="48">
        <v>-140595.60999999999</v>
      </c>
      <c r="AN112" s="48">
        <v>-155510.26</v>
      </c>
      <c r="AO112" s="48">
        <v>-144928.69</v>
      </c>
      <c r="AP112" s="48">
        <v>-140828.31</v>
      </c>
      <c r="AQ112" s="48">
        <v>-139992.12</v>
      </c>
      <c r="AR112" s="48">
        <v>-125841.31</v>
      </c>
      <c r="AS112" s="48">
        <v>-115021.98</v>
      </c>
      <c r="AT112" s="48">
        <v>-107797.03</v>
      </c>
      <c r="AU112" s="48">
        <v>-102493.36</v>
      </c>
      <c r="AV112" s="48">
        <v>-127985.96</v>
      </c>
      <c r="AW112" s="48">
        <v>-95491.08</v>
      </c>
      <c r="AX112" s="48">
        <v>-118519.13</v>
      </c>
      <c r="AY112" s="48">
        <v>-137833.12</v>
      </c>
      <c r="AZ112" s="48">
        <v>-163189.66</v>
      </c>
      <c r="BA112" s="48">
        <v>-159524.48000000001</v>
      </c>
      <c r="BB112" s="48">
        <v>-137673.23000000001</v>
      </c>
      <c r="BC112" s="48">
        <v>-149373.34</v>
      </c>
      <c r="BD112" s="48">
        <v>-127799.25</v>
      </c>
      <c r="BE112" s="48">
        <v>-122357.35</v>
      </c>
      <c r="BF112" s="48">
        <v>-114677.16</v>
      </c>
      <c r="BG112" s="48">
        <v>-113050.62</v>
      </c>
      <c r="BH112" s="48">
        <v>-123469.11</v>
      </c>
      <c r="BI112" s="48">
        <v>-109035.59</v>
      </c>
      <c r="BJ112" s="48">
        <v>-119085.68</v>
      </c>
      <c r="BK112" s="48">
        <v>-145133.26</v>
      </c>
      <c r="BL112" s="48">
        <v>-160301.51999999999</v>
      </c>
      <c r="BM112" s="48">
        <v>-160997.23000000001</v>
      </c>
      <c r="BN112" s="48">
        <v>-174550.08</v>
      </c>
      <c r="BO112" s="48">
        <v>-112451.28</v>
      </c>
      <c r="BP112" s="48">
        <v>-132630.14000000001</v>
      </c>
      <c r="BQ112" s="48">
        <v>-119883.95</v>
      </c>
      <c r="BR112" s="48">
        <v>-115230.68</v>
      </c>
      <c r="BS112" s="48">
        <v>-112377.77</v>
      </c>
      <c r="BT112" s="48">
        <v>-114657.93</v>
      </c>
      <c r="BU112" s="48">
        <v>-113727.03999999999</v>
      </c>
      <c r="BV112" s="48">
        <v>-124710.8</v>
      </c>
      <c r="BW112" s="48">
        <v>-150561.14000000001</v>
      </c>
      <c r="BX112" s="48">
        <v>-165100.51</v>
      </c>
      <c r="BY112" s="48">
        <v>-156135.75</v>
      </c>
      <c r="BZ112" s="48">
        <v>-152901.16</v>
      </c>
      <c r="CA112" s="48">
        <v>-109420.13</v>
      </c>
      <c r="CB112" s="48">
        <v>-94788.1</v>
      </c>
      <c r="CC112" s="48">
        <v>-104181.5</v>
      </c>
      <c r="CD112" s="48">
        <v>-100942.29</v>
      </c>
      <c r="CE112" s="48">
        <v>-103781.13</v>
      </c>
      <c r="CF112" s="48">
        <v>-95974.32</v>
      </c>
      <c r="CG112" s="48">
        <v>-98672.8</v>
      </c>
      <c r="CH112" s="48">
        <v>-117650.17</v>
      </c>
      <c r="CI112" s="48">
        <v>-127855.26</v>
      </c>
      <c r="CJ112" s="48">
        <v>-161461.20000000001</v>
      </c>
      <c r="CK112" s="48">
        <v>-158054.07999999999</v>
      </c>
      <c r="CL112" s="48">
        <v>-140873.21</v>
      </c>
      <c r="CM112" s="48">
        <v>-121294.26</v>
      </c>
      <c r="CN112" s="48">
        <v>-120387.89</v>
      </c>
      <c r="CO112" s="48">
        <v>-115219.04</v>
      </c>
      <c r="CP112" s="48">
        <v>-118150.78</v>
      </c>
      <c r="CQ112" s="48">
        <v>-93560.78</v>
      </c>
      <c r="CR112" s="48">
        <v>-104885.52</v>
      </c>
      <c r="CS112" s="48">
        <v>-100714.57</v>
      </c>
      <c r="CT112" s="48">
        <v>-115018.16</v>
      </c>
      <c r="CU112" s="48">
        <v>-143764.32</v>
      </c>
      <c r="CV112" s="48">
        <v>-150668.56</v>
      </c>
      <c r="CW112" s="48">
        <v>-147294.5</v>
      </c>
      <c r="CX112" s="48">
        <v>-140467.73000000001</v>
      </c>
      <c r="CY112" s="48">
        <v>-125280.7</v>
      </c>
      <c r="CZ112" s="48">
        <v>-119652.6</v>
      </c>
      <c r="DA112" s="48">
        <v>-110203.26</v>
      </c>
      <c r="DB112" s="48">
        <v>-109311.65</v>
      </c>
      <c r="DC112" s="48">
        <v>-101884.12</v>
      </c>
      <c r="DD112" s="48">
        <v>-107737.06</v>
      </c>
      <c r="DE112" s="48">
        <f>VLOOKUP($C112,'[2]Analysis 1'!$C$5:$DG$1025,107,FALSE)</f>
        <v>-115784.85</v>
      </c>
      <c r="DF112" s="48">
        <f>VLOOKUP($C112,'[2]Analysis 1'!$C$5:$DG$1025,108,FALSE)</f>
        <v>-122920.29</v>
      </c>
      <c r="DG112" s="48">
        <f>VLOOKUP($C112,'[2]Analysis 1'!$C$5:$DG$1025,109,FALSE)</f>
        <v>-134658.84</v>
      </c>
      <c r="DH112" s="369">
        <f t="shared" si="2"/>
        <v>-1485864.1600000001</v>
      </c>
    </row>
    <row r="113" spans="1:112">
      <c r="A113" s="357" t="str">
        <f t="shared" si="3"/>
        <v>4893056</v>
      </c>
      <c r="B113" s="350" t="s">
        <v>1943</v>
      </c>
      <c r="C113" s="335" t="s">
        <v>1036</v>
      </c>
      <c r="D113" s="340">
        <v>-805978.25</v>
      </c>
      <c r="E113" s="340">
        <v>-786078.39</v>
      </c>
      <c r="F113" s="340">
        <v>-806125.72</v>
      </c>
      <c r="G113" s="340">
        <v>-790370.4</v>
      </c>
      <c r="H113" s="340">
        <v>-705844.8</v>
      </c>
      <c r="I113" s="340">
        <v>-733404.2</v>
      </c>
      <c r="J113" s="340">
        <v>-775103.64</v>
      </c>
      <c r="K113" s="340">
        <v>-721315.87</v>
      </c>
      <c r="L113" s="340">
        <v>-774160.64</v>
      </c>
      <c r="M113" s="340">
        <v>-793566.11</v>
      </c>
      <c r="N113" s="340">
        <v>-814323.74</v>
      </c>
      <c r="O113" s="341">
        <v>-838736.59</v>
      </c>
      <c r="P113" s="48">
        <v>-903386.67</v>
      </c>
      <c r="Q113" s="48">
        <v>-861009.59</v>
      </c>
      <c r="R113" s="48">
        <v>-887852.57</v>
      </c>
      <c r="S113" s="48">
        <v>-839700.56</v>
      </c>
      <c r="T113" s="48">
        <v>-737942.7</v>
      </c>
      <c r="U113" s="48">
        <v>-820687.12</v>
      </c>
      <c r="V113" s="48">
        <v>-785267.11</v>
      </c>
      <c r="W113" s="48">
        <v>-879568.18</v>
      </c>
      <c r="X113" s="48">
        <v>-813176.64</v>
      </c>
      <c r="Y113" s="48">
        <v>-813528.4</v>
      </c>
      <c r="Z113" s="48">
        <v>-797070.33</v>
      </c>
      <c r="AA113" s="48">
        <v>-864584.47</v>
      </c>
      <c r="AB113" s="48">
        <v>-994792.3</v>
      </c>
      <c r="AC113" s="48">
        <v>-998149.22</v>
      </c>
      <c r="AD113" s="48">
        <v>-986524.19</v>
      </c>
      <c r="AE113" s="48">
        <v>-929552.25</v>
      </c>
      <c r="AF113" s="48">
        <v>-860843.75</v>
      </c>
      <c r="AG113" s="48">
        <v>-860169.62</v>
      </c>
      <c r="AH113" s="48">
        <v>-1187458.1200000001</v>
      </c>
      <c r="AI113" s="48">
        <v>-573063.35</v>
      </c>
      <c r="AJ113" s="48">
        <v>-935252.18</v>
      </c>
      <c r="AK113" s="48">
        <v>-879166.15</v>
      </c>
      <c r="AL113" s="48">
        <v>-886030.51</v>
      </c>
      <c r="AM113" s="48">
        <v>-929297.11</v>
      </c>
      <c r="AN113" s="48">
        <v>-1042235.77</v>
      </c>
      <c r="AO113" s="48">
        <v>-873599.34</v>
      </c>
      <c r="AP113" s="48">
        <v>-956999.94</v>
      </c>
      <c r="AQ113" s="48">
        <v>-951388.19</v>
      </c>
      <c r="AR113" s="48">
        <v>-891462.18</v>
      </c>
      <c r="AS113" s="48">
        <v>-900859.79</v>
      </c>
      <c r="AT113" s="48">
        <v>-847184.88</v>
      </c>
      <c r="AU113" s="48">
        <v>-856777.83</v>
      </c>
      <c r="AV113" s="48">
        <v>-964607.79</v>
      </c>
      <c r="AW113" s="48">
        <v>-870100.58</v>
      </c>
      <c r="AX113" s="48">
        <v>-913785.11</v>
      </c>
      <c r="AY113" s="48">
        <v>-1022172.11</v>
      </c>
      <c r="AZ113" s="48">
        <v>-930325.7</v>
      </c>
      <c r="BA113" s="48">
        <v>-855524.75</v>
      </c>
      <c r="BB113" s="48">
        <v>-1069307.8600000001</v>
      </c>
      <c r="BC113" s="48">
        <v>-920235.71</v>
      </c>
      <c r="BD113" s="48">
        <v>-880366.24</v>
      </c>
      <c r="BE113" s="48">
        <v>-898288.72</v>
      </c>
      <c r="BF113" s="48">
        <v>-903412.06</v>
      </c>
      <c r="BG113" s="48">
        <v>-882117.93</v>
      </c>
      <c r="BH113" s="48">
        <v>-934961.47</v>
      </c>
      <c r="BI113" s="48">
        <v>-891723.44</v>
      </c>
      <c r="BJ113" s="48">
        <v>-818702.23</v>
      </c>
      <c r="BK113" s="48">
        <v>-941583.77</v>
      </c>
      <c r="BL113" s="48">
        <v>-1002243.17</v>
      </c>
      <c r="BM113" s="48">
        <v>-923160.09</v>
      </c>
      <c r="BN113" s="48">
        <v>-934108.92</v>
      </c>
      <c r="BO113" s="48">
        <v>-803039.24</v>
      </c>
      <c r="BP113" s="48">
        <v>-830670.73</v>
      </c>
      <c r="BQ113" s="48">
        <v>-820529.12</v>
      </c>
      <c r="BR113" s="48">
        <v>-880509.08</v>
      </c>
      <c r="BS113" s="48">
        <v>-937548.08</v>
      </c>
      <c r="BT113" s="48">
        <v>-879449.78</v>
      </c>
      <c r="BU113" s="48">
        <v>-823841.43</v>
      </c>
      <c r="BV113" s="48">
        <v>-893858.07</v>
      </c>
      <c r="BW113" s="48">
        <v>-1088454.77</v>
      </c>
      <c r="BX113" s="48">
        <v>-813869.67</v>
      </c>
      <c r="BY113" s="48">
        <v>-911147.67</v>
      </c>
      <c r="BZ113" s="48">
        <v>-894383.69</v>
      </c>
      <c r="CA113" s="48">
        <v>-789669.22</v>
      </c>
      <c r="CB113" s="48">
        <v>-865090.53</v>
      </c>
      <c r="CC113" s="48">
        <v>-849962.21</v>
      </c>
      <c r="CD113" s="48">
        <v>-850610.01</v>
      </c>
      <c r="CE113" s="48">
        <v>-837734.14</v>
      </c>
      <c r="CF113" s="48">
        <v>-878875.79</v>
      </c>
      <c r="CG113" s="48">
        <v>-959068.49</v>
      </c>
      <c r="CH113" s="48">
        <v>-985413.18</v>
      </c>
      <c r="CI113" s="48">
        <v>-934050.23</v>
      </c>
      <c r="CJ113" s="48">
        <v>-1343972.12</v>
      </c>
      <c r="CK113" s="48">
        <v>-1213513.71</v>
      </c>
      <c r="CL113" s="48">
        <v>-1133652.06</v>
      </c>
      <c r="CM113" s="48">
        <v>-1275897.45</v>
      </c>
      <c r="CN113" s="48">
        <v>-1142449.5900000001</v>
      </c>
      <c r="CO113" s="48">
        <v>-1181937.24</v>
      </c>
      <c r="CP113" s="48">
        <v>-1011380.24</v>
      </c>
      <c r="CQ113" s="48">
        <v>-994267.38</v>
      </c>
      <c r="CR113" s="48">
        <v>-1005608.36</v>
      </c>
      <c r="CS113" s="48">
        <v>-1031080.72</v>
      </c>
      <c r="CT113" s="48">
        <v>-977910.7</v>
      </c>
      <c r="CU113" s="48">
        <v>-990000.96</v>
      </c>
      <c r="CV113" s="48">
        <v>-1078955.54</v>
      </c>
      <c r="CW113" s="48">
        <v>-1028632.12</v>
      </c>
      <c r="CX113" s="48">
        <v>-1073577.1299999999</v>
      </c>
      <c r="CY113" s="48">
        <v>-926194.57</v>
      </c>
      <c r="CZ113" s="48">
        <v>-1011490.62</v>
      </c>
      <c r="DA113" s="48">
        <v>-977768.76</v>
      </c>
      <c r="DB113" s="48">
        <v>-877737.11</v>
      </c>
      <c r="DC113" s="48">
        <v>-899501.71</v>
      </c>
      <c r="DD113" s="48">
        <v>-841047.18</v>
      </c>
      <c r="DE113" s="48">
        <f>VLOOKUP($C113,'[2]Analysis 1'!$C$5:$DG$1025,107,FALSE)</f>
        <v>-935481.54</v>
      </c>
      <c r="DF113" s="48">
        <f>VLOOKUP($C113,'[2]Analysis 1'!$C$5:$DG$1025,108,FALSE)</f>
        <v>-840201.14</v>
      </c>
      <c r="DG113" s="48">
        <f>VLOOKUP($C113,'[2]Analysis 1'!$C$5:$DG$1025,109,FALSE)</f>
        <v>-979257.59</v>
      </c>
      <c r="DH113" s="369">
        <f t="shared" si="2"/>
        <v>-11469845.010000002</v>
      </c>
    </row>
    <row r="114" spans="1:112">
      <c r="A114" s="357" t="str">
        <f t="shared" si="3"/>
        <v>4893057</v>
      </c>
      <c r="B114" s="350" t="s">
        <v>1942</v>
      </c>
      <c r="C114" s="335" t="s">
        <v>1037</v>
      </c>
      <c r="D114" s="367">
        <v>-35769.199999999997</v>
      </c>
      <c r="E114" s="367">
        <v>-34731.22</v>
      </c>
      <c r="F114" s="367">
        <v>-34528.53</v>
      </c>
      <c r="G114" s="367">
        <v>-34876.06</v>
      </c>
      <c r="H114" s="367">
        <v>-30512.61</v>
      </c>
      <c r="I114" s="367">
        <v>-32270.400000000001</v>
      </c>
      <c r="J114" s="367">
        <v>-32149.45</v>
      </c>
      <c r="K114" s="367">
        <v>-32437.42</v>
      </c>
      <c r="L114" s="367">
        <v>-33462.660000000003</v>
      </c>
      <c r="M114" s="367">
        <v>-34346.800000000003</v>
      </c>
      <c r="N114" s="367">
        <v>-36572.42</v>
      </c>
      <c r="O114" s="368">
        <v>-36809.949999999997</v>
      </c>
      <c r="P114" s="48">
        <v>-39486.82</v>
      </c>
      <c r="Q114" s="48">
        <v>-37449.519999999997</v>
      </c>
      <c r="R114" s="48">
        <v>-39555.040000000001</v>
      </c>
      <c r="S114" s="48">
        <v>-37759.15</v>
      </c>
      <c r="T114" s="48">
        <v>-29928.1</v>
      </c>
      <c r="U114" s="48">
        <v>-37349.69</v>
      </c>
      <c r="V114" s="48">
        <v>-33611.81</v>
      </c>
      <c r="W114" s="48">
        <v>-39608.53</v>
      </c>
      <c r="X114" s="48">
        <v>-34056.959999999999</v>
      </c>
      <c r="Y114" s="48">
        <v>-32781.72</v>
      </c>
      <c r="Z114" s="48">
        <v>-33228.5</v>
      </c>
      <c r="AA114" s="48">
        <v>-22169.83</v>
      </c>
      <c r="AB114" s="48">
        <v>-27168.05</v>
      </c>
      <c r="AC114" s="48">
        <v>-26761.79</v>
      </c>
      <c r="AD114" s="48">
        <v>-26348.91</v>
      </c>
      <c r="AE114" s="48">
        <v>-25471.58</v>
      </c>
      <c r="AF114" s="48">
        <v>-20207</v>
      </c>
      <c r="AG114" s="48">
        <v>-21567.74</v>
      </c>
      <c r="AH114" s="48">
        <v>-39341.15</v>
      </c>
      <c r="AI114" s="48">
        <v>-5827.52</v>
      </c>
      <c r="AJ114" s="48">
        <v>-24498.880000000001</v>
      </c>
      <c r="AK114" s="48">
        <v>-21825.26</v>
      </c>
      <c r="AL114" s="48">
        <v>-22274.93</v>
      </c>
      <c r="AM114" s="48">
        <v>-23938.46</v>
      </c>
      <c r="AN114" s="48">
        <v>-28986.44</v>
      </c>
      <c r="AO114" s="48">
        <v>-22779.05</v>
      </c>
      <c r="AP114" s="48">
        <v>-24197.63</v>
      </c>
      <c r="AQ114" s="48">
        <v>-25197.41</v>
      </c>
      <c r="AR114" s="48">
        <v>-21935.81</v>
      </c>
      <c r="AS114" s="48">
        <v>-21987.1</v>
      </c>
      <c r="AT114" s="48">
        <v>-20246.73</v>
      </c>
      <c r="AU114" s="48">
        <v>-19423.95</v>
      </c>
      <c r="AV114" s="48">
        <v>-25985.66</v>
      </c>
      <c r="AW114" s="48">
        <v>-18266.310000000001</v>
      </c>
      <c r="AX114" s="48">
        <v>-20568.439999999999</v>
      </c>
      <c r="AY114" s="48">
        <v>-27279.67</v>
      </c>
      <c r="AZ114" s="48">
        <v>-18938.16</v>
      </c>
      <c r="BA114" s="48">
        <v>-22876.59</v>
      </c>
      <c r="BB114" s="48">
        <v>-20700.310000000001</v>
      </c>
      <c r="BC114" s="48">
        <v>-21281.91</v>
      </c>
      <c r="BD114" s="48">
        <v>-18972.939999999999</v>
      </c>
      <c r="BE114" s="48">
        <v>-20623.18</v>
      </c>
      <c r="BF114" s="48">
        <v>-20339.57</v>
      </c>
      <c r="BG114" s="48">
        <v>-19065.939999999999</v>
      </c>
      <c r="BH114" s="48">
        <v>-22846.880000000001</v>
      </c>
      <c r="BI114" s="48">
        <v>-20086.86</v>
      </c>
      <c r="BJ114" s="48">
        <v>-18225.87</v>
      </c>
      <c r="BK114" s="48">
        <v>-23639.86</v>
      </c>
      <c r="BL114" s="48">
        <v>-27093.919999999998</v>
      </c>
      <c r="BM114" s="48">
        <v>-25680.38</v>
      </c>
      <c r="BN114" s="48">
        <v>-23269.41</v>
      </c>
      <c r="BO114" s="48">
        <v>-22770.03</v>
      </c>
      <c r="BP114" s="48">
        <v>-21053.11</v>
      </c>
      <c r="BQ114" s="48">
        <v>-21601.56</v>
      </c>
      <c r="BR114" s="48">
        <v>-23056.16</v>
      </c>
      <c r="BS114" s="48">
        <v>-24050.12</v>
      </c>
      <c r="BT114" s="48">
        <v>-24174.09</v>
      </c>
      <c r="BU114" s="48">
        <v>-18133.810000000001</v>
      </c>
      <c r="BV114" s="48">
        <v>-22155.49</v>
      </c>
      <c r="BW114" s="48">
        <v>-33072</v>
      </c>
      <c r="BX114" s="48">
        <v>-17864.810000000001</v>
      </c>
      <c r="BY114" s="48">
        <v>-23361.05</v>
      </c>
      <c r="BZ114" s="48">
        <v>-24110.1</v>
      </c>
      <c r="CA114" s="48">
        <v>-20253.63</v>
      </c>
      <c r="CB114" s="48">
        <v>-22164.12</v>
      </c>
      <c r="CC114" s="48">
        <v>-21407.09</v>
      </c>
      <c r="CD114" s="48">
        <v>-22377.59</v>
      </c>
      <c r="CE114" s="48">
        <v>-21608.16</v>
      </c>
      <c r="CF114" s="48">
        <v>-21184.48</v>
      </c>
      <c r="CG114" s="48">
        <v>-21985.06</v>
      </c>
      <c r="CH114" s="48">
        <v>-23041.08</v>
      </c>
      <c r="CI114" s="48">
        <v>-23011.45</v>
      </c>
      <c r="CJ114" s="48">
        <v>-27835.01</v>
      </c>
      <c r="CK114" s="48">
        <v>-23593.94</v>
      </c>
      <c r="CL114" s="48">
        <v>-22947.07</v>
      </c>
      <c r="CM114" s="48">
        <v>-24363.82</v>
      </c>
      <c r="CN114" s="48">
        <v>-23446.73</v>
      </c>
      <c r="CO114" s="48">
        <v>-22835.16</v>
      </c>
      <c r="CP114" s="48">
        <v>-24106.11</v>
      </c>
      <c r="CQ114" s="48">
        <v>-23975.53</v>
      </c>
      <c r="CR114" s="48">
        <v>-26057.88</v>
      </c>
      <c r="CS114" s="48">
        <v>-25091.119999999999</v>
      </c>
      <c r="CT114" s="48">
        <v>-22601.81</v>
      </c>
      <c r="CU114" s="48">
        <v>-23379.21</v>
      </c>
      <c r="CV114" s="48">
        <v>-24722.62</v>
      </c>
      <c r="CW114" s="48">
        <v>-23300.86</v>
      </c>
      <c r="CX114" s="48">
        <v>-24086.78</v>
      </c>
      <c r="CY114" s="48">
        <v>-20754.77</v>
      </c>
      <c r="CZ114" s="48">
        <v>-21888.87</v>
      </c>
      <c r="DA114" s="48">
        <v>-21975.38</v>
      </c>
      <c r="DB114" s="48">
        <v>-23412.2</v>
      </c>
      <c r="DC114" s="48">
        <v>-23472.23</v>
      </c>
      <c r="DD114" s="48">
        <v>-22171.67</v>
      </c>
      <c r="DE114" s="48">
        <f>VLOOKUP($C114,'[2]Analysis 1'!$C$5:$DG$1025,107,FALSE)</f>
        <v>-23826.46</v>
      </c>
      <c r="DF114" s="48">
        <f>VLOOKUP($C114,'[2]Analysis 1'!$C$5:$DG$1025,108,FALSE)</f>
        <v>-22639.77</v>
      </c>
      <c r="DG114" s="48">
        <f>VLOOKUP($C114,'[2]Analysis 1'!$C$5:$DG$1025,109,FALSE)</f>
        <v>-25552.38</v>
      </c>
      <c r="DH114" s="369">
        <f t="shared" si="2"/>
        <v>-277803.99</v>
      </c>
    </row>
    <row r="115" spans="1:112">
      <c r="A115" s="357" t="str">
        <f t="shared" si="3"/>
        <v>4893058</v>
      </c>
      <c r="B115" s="350" t="s">
        <v>1944</v>
      </c>
      <c r="C115" s="335" t="s">
        <v>1038</v>
      </c>
      <c r="D115" s="367">
        <v>-1128971.97</v>
      </c>
      <c r="E115" s="367">
        <v>-1061864.6200000001</v>
      </c>
      <c r="F115" s="367">
        <v>-1126492.28</v>
      </c>
      <c r="G115" s="367">
        <v>-1095755.8600000001</v>
      </c>
      <c r="H115" s="367">
        <v>-1038169.43</v>
      </c>
      <c r="I115" s="367">
        <v>-1065402.1399999999</v>
      </c>
      <c r="J115" s="367">
        <v>-1018485.39</v>
      </c>
      <c r="K115" s="367">
        <v>-985029.13</v>
      </c>
      <c r="L115" s="367">
        <v>-1001340.98</v>
      </c>
      <c r="M115" s="367">
        <v>-1094381.68</v>
      </c>
      <c r="N115" s="367">
        <v>-1090222.76</v>
      </c>
      <c r="O115" s="368">
        <v>-1124779.8</v>
      </c>
      <c r="P115" s="48">
        <v>-1216865.1000000001</v>
      </c>
      <c r="Q115" s="48">
        <v>-1132293.3500000001</v>
      </c>
      <c r="R115" s="48">
        <v>-1225355.44</v>
      </c>
      <c r="S115" s="48">
        <v>-1071428.77</v>
      </c>
      <c r="T115" s="48">
        <v>-1067929.24</v>
      </c>
      <c r="U115" s="48">
        <v>-1013504.09</v>
      </c>
      <c r="V115" s="48">
        <v>-1038088.25</v>
      </c>
      <c r="W115" s="48">
        <v>-1048677.99</v>
      </c>
      <c r="X115" s="48">
        <v>-1026166.32</v>
      </c>
      <c r="Y115" s="48">
        <v>-1111196.93</v>
      </c>
      <c r="Z115" s="48">
        <v>-1043585.65</v>
      </c>
      <c r="AA115" s="48">
        <v>-1215810.49</v>
      </c>
      <c r="AB115" s="48">
        <v>-1304919.6200000001</v>
      </c>
      <c r="AC115" s="48">
        <v>-1240727.33</v>
      </c>
      <c r="AD115" s="48">
        <v>-1294281.29</v>
      </c>
      <c r="AE115" s="48">
        <v>-1130562.06</v>
      </c>
      <c r="AF115" s="48">
        <v>-1160868.24</v>
      </c>
      <c r="AG115" s="48">
        <v>-1128723.28</v>
      </c>
      <c r="AH115" s="48">
        <v>-1080550.24</v>
      </c>
      <c r="AI115" s="48">
        <v>-1105872.18</v>
      </c>
      <c r="AJ115" s="48">
        <v>-1112995.21</v>
      </c>
      <c r="AK115" s="48">
        <v>-1183318.58</v>
      </c>
      <c r="AL115" s="48">
        <v>-1210293.78</v>
      </c>
      <c r="AM115" s="48">
        <v>-1195703.95</v>
      </c>
      <c r="AN115" s="48">
        <v>-1276585.81</v>
      </c>
      <c r="AO115" s="48">
        <v>-1131886.45</v>
      </c>
      <c r="AP115" s="48">
        <v>-1322839.97</v>
      </c>
      <c r="AQ115" s="48">
        <v>-1202824.8700000001</v>
      </c>
      <c r="AR115" s="48">
        <v>-1207442.19</v>
      </c>
      <c r="AS115" s="48">
        <v>-1175330.1100000001</v>
      </c>
      <c r="AT115" s="48">
        <v>-1214807.93</v>
      </c>
      <c r="AU115" s="48">
        <v>-1205128.1200000001</v>
      </c>
      <c r="AV115" s="48">
        <v>-1183897.05</v>
      </c>
      <c r="AW115" s="48">
        <v>-1169397.96</v>
      </c>
      <c r="AX115" s="48">
        <v>-1255662.22</v>
      </c>
      <c r="AY115" s="48">
        <v>-1312710.3</v>
      </c>
      <c r="AZ115" s="48">
        <v>-1488437.17</v>
      </c>
      <c r="BA115" s="48">
        <v>-1245426.08</v>
      </c>
      <c r="BB115" s="48">
        <v>-1391671.27</v>
      </c>
      <c r="BC115" s="48">
        <v>-1374811.46</v>
      </c>
      <c r="BD115" s="48">
        <v>-1170458.1100000001</v>
      </c>
      <c r="BE115" s="48">
        <v>-1298893.51</v>
      </c>
      <c r="BF115" s="48">
        <v>-1266229.8500000001</v>
      </c>
      <c r="BG115" s="48">
        <v>-1260504.67</v>
      </c>
      <c r="BH115" s="48">
        <v>-1197070.43</v>
      </c>
      <c r="BI115" s="48">
        <v>-1321483.6599999999</v>
      </c>
      <c r="BJ115" s="48">
        <v>-1332077.6200000001</v>
      </c>
      <c r="BK115" s="48">
        <v>-1365630.92</v>
      </c>
      <c r="BL115" s="48">
        <v>-1361998.37</v>
      </c>
      <c r="BM115" s="48">
        <v>-1295328.3</v>
      </c>
      <c r="BN115" s="48">
        <v>-1340330.75</v>
      </c>
      <c r="BO115" s="48">
        <v>-1343029.32</v>
      </c>
      <c r="BP115" s="48">
        <v>-1310472.43</v>
      </c>
      <c r="BQ115" s="48">
        <v>-1217886.92</v>
      </c>
      <c r="BR115" s="48">
        <v>-1209752.6200000001</v>
      </c>
      <c r="BS115" s="48">
        <v>-1222785.75</v>
      </c>
      <c r="BT115" s="48">
        <v>-1188353.6100000001</v>
      </c>
      <c r="BU115" s="48">
        <v>-1308779.6100000001</v>
      </c>
      <c r="BV115" s="48">
        <v>-1315400.68</v>
      </c>
      <c r="BW115" s="48">
        <v>-1424764.73</v>
      </c>
      <c r="BX115" s="48">
        <v>-1497323.42</v>
      </c>
      <c r="BY115" s="48">
        <v>-1408549.33</v>
      </c>
      <c r="BZ115" s="48">
        <v>-1383859.34</v>
      </c>
      <c r="CA115" s="48">
        <v>-1192303.73</v>
      </c>
      <c r="CB115" s="48">
        <v>-1216783.97</v>
      </c>
      <c r="CC115" s="48">
        <v>-1170963.93</v>
      </c>
      <c r="CD115" s="48">
        <v>-1282491.52</v>
      </c>
      <c r="CE115" s="48">
        <v>-1193283.04</v>
      </c>
      <c r="CF115" s="48">
        <v>-1161680.1599999999</v>
      </c>
      <c r="CG115" s="48">
        <v>-1278742.19</v>
      </c>
      <c r="CH115" s="48">
        <v>-1214648.72</v>
      </c>
      <c r="CI115" s="48">
        <v>-1343247.26</v>
      </c>
      <c r="CJ115" s="48">
        <v>-1636485.86</v>
      </c>
      <c r="CK115" s="48">
        <v>-1528912.89</v>
      </c>
      <c r="CL115" s="48">
        <v>-1661704.73</v>
      </c>
      <c r="CM115" s="48">
        <v>-1797699.71</v>
      </c>
      <c r="CN115" s="48">
        <v>-1505845.36</v>
      </c>
      <c r="CO115" s="48">
        <v>-1634362.19</v>
      </c>
      <c r="CP115" s="48">
        <v>-1747802.84</v>
      </c>
      <c r="CQ115" s="48">
        <v>-1683797.17</v>
      </c>
      <c r="CR115" s="48">
        <v>-1689003.82</v>
      </c>
      <c r="CS115" s="48">
        <v>-1750971.97</v>
      </c>
      <c r="CT115" s="48">
        <v>-1767988.72</v>
      </c>
      <c r="CU115" s="48">
        <v>-1832900.17</v>
      </c>
      <c r="CV115" s="48">
        <v>-1824771.17</v>
      </c>
      <c r="CW115" s="48">
        <v>-1937601.74</v>
      </c>
      <c r="CX115" s="48">
        <v>-1916860.21</v>
      </c>
      <c r="CY115" s="48">
        <v>-1879915.84</v>
      </c>
      <c r="CZ115" s="48">
        <v>-1810920.13</v>
      </c>
      <c r="DA115" s="48">
        <v>-1868641.91</v>
      </c>
      <c r="DB115" s="48">
        <v>-1943190.53</v>
      </c>
      <c r="DC115" s="48">
        <v>-1832228.26</v>
      </c>
      <c r="DD115" s="48">
        <v>-1837342.95</v>
      </c>
      <c r="DE115" s="48">
        <f>VLOOKUP($C115,'[2]Analysis 1'!$C$5:$DG$1025,107,FALSE)</f>
        <v>-1968257.41</v>
      </c>
      <c r="DF115" s="48">
        <f>VLOOKUP($C115,'[2]Analysis 1'!$C$5:$DG$1025,108,FALSE)</f>
        <v>-1920003.09</v>
      </c>
      <c r="DG115" s="48">
        <f>VLOOKUP($C115,'[2]Analysis 1'!$C$5:$DG$1025,109,FALSE)</f>
        <v>-2050296.38</v>
      </c>
      <c r="DH115" s="369">
        <f t="shared" si="2"/>
        <v>-22790029.619999997</v>
      </c>
    </row>
    <row r="116" spans="1:112">
      <c r="A116" s="357" t="str">
        <f t="shared" si="3"/>
        <v>4893059</v>
      </c>
      <c r="B116" s="350" t="s">
        <v>1945</v>
      </c>
      <c r="C116" s="335" t="s">
        <v>1039</v>
      </c>
      <c r="D116" s="340">
        <v>-17166.14</v>
      </c>
      <c r="E116" s="340">
        <v>-18406.29</v>
      </c>
      <c r="F116" s="340">
        <v>-16769.68</v>
      </c>
      <c r="G116" s="340">
        <v>-17288.84</v>
      </c>
      <c r="H116" s="340">
        <v>-15401.94</v>
      </c>
      <c r="I116" s="340">
        <v>-21076.86</v>
      </c>
      <c r="J116" s="340">
        <v>-17306.88</v>
      </c>
      <c r="K116" s="340">
        <v>-12736.84</v>
      </c>
      <c r="L116" s="340">
        <v>-15060.75</v>
      </c>
      <c r="M116" s="340">
        <v>-15027.99</v>
      </c>
      <c r="N116" s="340">
        <v>-15428.14</v>
      </c>
      <c r="O116" s="341">
        <v>-17002.060000000001</v>
      </c>
      <c r="P116" s="48">
        <v>-18841.27</v>
      </c>
      <c r="Q116" s="48">
        <v>-18311.75</v>
      </c>
      <c r="R116" s="48">
        <v>-18848.71</v>
      </c>
      <c r="S116" s="48">
        <v>-18257.29</v>
      </c>
      <c r="T116" s="48">
        <v>-15522.11</v>
      </c>
      <c r="U116" s="48">
        <v>-16915.349999999999</v>
      </c>
      <c r="V116" s="48">
        <v>-17150.310000000001</v>
      </c>
      <c r="W116" s="48">
        <v>-17054.060000000001</v>
      </c>
      <c r="X116" s="48">
        <v>-15954.6</v>
      </c>
      <c r="Y116" s="48">
        <v>-16022.58</v>
      </c>
      <c r="Z116" s="48">
        <v>-13317.79</v>
      </c>
      <c r="AA116" s="48">
        <v>-16743.52</v>
      </c>
      <c r="AB116" s="48">
        <v>-10113.799999999999</v>
      </c>
      <c r="AC116" s="48">
        <v>-12780.55</v>
      </c>
      <c r="AD116" s="48">
        <v>-13392.28</v>
      </c>
      <c r="AE116" s="48">
        <v>-10709.62</v>
      </c>
      <c r="AF116" s="48">
        <v>-12704.36</v>
      </c>
      <c r="AG116" s="48">
        <v>-13084.59</v>
      </c>
      <c r="AH116" s="48">
        <v>-11648.68</v>
      </c>
      <c r="AI116" s="48">
        <v>-11997.61</v>
      </c>
      <c r="AJ116" s="48">
        <v>-13078.71</v>
      </c>
      <c r="AK116" s="48">
        <v>-11579.45</v>
      </c>
      <c r="AL116" s="48">
        <v>-12386.83</v>
      </c>
      <c r="AM116" s="48">
        <v>-12707.82</v>
      </c>
      <c r="AN116" s="48">
        <v>-14673.08</v>
      </c>
      <c r="AO116" s="48">
        <v>-12368.91</v>
      </c>
      <c r="AP116" s="48">
        <v>-13083.75</v>
      </c>
      <c r="AQ116" s="48">
        <v>-12731.67</v>
      </c>
      <c r="AR116" s="48">
        <v>-12483.34</v>
      </c>
      <c r="AS116" s="48">
        <v>-13214.04</v>
      </c>
      <c r="AT116" s="48">
        <v>-15417.06</v>
      </c>
      <c r="AU116" s="48">
        <v>-11461.7</v>
      </c>
      <c r="AV116" s="48">
        <v>-17713.400000000001</v>
      </c>
      <c r="AW116" s="48">
        <v>-7446.24</v>
      </c>
      <c r="AX116" s="48">
        <v>-13188.23</v>
      </c>
      <c r="AY116" s="48">
        <v>-13194.88</v>
      </c>
      <c r="AZ116" s="48">
        <v>-14993.46</v>
      </c>
      <c r="BA116" s="48">
        <v>-12283.62</v>
      </c>
      <c r="BB116" s="48">
        <v>-12909.29</v>
      </c>
      <c r="BC116" s="48">
        <v>-17743.3</v>
      </c>
      <c r="BD116" s="48">
        <v>-5881.3</v>
      </c>
      <c r="BE116" s="48">
        <v>-10960.93</v>
      </c>
      <c r="BF116" s="48">
        <v>-10339.26</v>
      </c>
      <c r="BG116" s="48">
        <v>-10677.04</v>
      </c>
      <c r="BH116" s="48">
        <v>-11593.21</v>
      </c>
      <c r="BI116" s="48">
        <v>-11115.86</v>
      </c>
      <c r="BJ116" s="48">
        <v>-11076.05</v>
      </c>
      <c r="BK116" s="48">
        <v>-12365.68</v>
      </c>
      <c r="BL116" s="48">
        <v>-12972.76</v>
      </c>
      <c r="BM116" s="48">
        <v>-12815.97</v>
      </c>
      <c r="BN116" s="48">
        <v>-12240.85</v>
      </c>
      <c r="BO116" s="48">
        <v>-12298.93</v>
      </c>
      <c r="BP116" s="48">
        <v>-12659.92</v>
      </c>
      <c r="BQ116" s="48">
        <v>-10857.77</v>
      </c>
      <c r="BR116" s="48">
        <v>-9987.9500000000007</v>
      </c>
      <c r="BS116" s="48">
        <v>-10434.549999999999</v>
      </c>
      <c r="BT116" s="48">
        <v>-10060.870000000001</v>
      </c>
      <c r="BU116" s="48">
        <v>-14220.85</v>
      </c>
      <c r="BV116" s="48">
        <v>-10814.22</v>
      </c>
      <c r="BW116" s="48">
        <v>-18726.63</v>
      </c>
      <c r="BX116" s="48">
        <v>-15550.88</v>
      </c>
      <c r="BY116" s="48">
        <v>-14465.68</v>
      </c>
      <c r="BZ116" s="48">
        <v>-13703.24</v>
      </c>
      <c r="CA116" s="48">
        <v>-12409.08</v>
      </c>
      <c r="CB116" s="48">
        <v>-12373.43</v>
      </c>
      <c r="CC116" s="48">
        <v>-12380.47</v>
      </c>
      <c r="CD116" s="48">
        <v>-13837.62</v>
      </c>
      <c r="CE116" s="48">
        <v>-10639.84</v>
      </c>
      <c r="CF116" s="48">
        <v>-10078.1</v>
      </c>
      <c r="CG116" s="48">
        <v>-11846.88</v>
      </c>
      <c r="CH116" s="48">
        <v>-11412.79</v>
      </c>
      <c r="CI116" s="48">
        <v>-14562.76</v>
      </c>
      <c r="CJ116" s="48">
        <v>-14334.65</v>
      </c>
      <c r="CK116" s="48">
        <v>-13155.81</v>
      </c>
      <c r="CL116" s="48">
        <v>-11248.59</v>
      </c>
      <c r="CM116" s="48">
        <v>-16374.63</v>
      </c>
      <c r="CN116" s="48">
        <v>-10279.77</v>
      </c>
      <c r="CO116" s="48">
        <v>-13252.49</v>
      </c>
      <c r="CP116" s="48">
        <v>-14860.49</v>
      </c>
      <c r="CQ116" s="48">
        <v>-9259.26</v>
      </c>
      <c r="CR116" s="48">
        <v>-11248.04</v>
      </c>
      <c r="CS116" s="48">
        <v>-10895.62</v>
      </c>
      <c r="CT116" s="48">
        <v>-11689.33</v>
      </c>
      <c r="CU116" s="48">
        <v>-12738.33</v>
      </c>
      <c r="CV116" s="48">
        <v>-10831.06</v>
      </c>
      <c r="CW116" s="48">
        <v>-10964.36</v>
      </c>
      <c r="CX116" s="48">
        <v>-10844.74</v>
      </c>
      <c r="CY116" s="48">
        <v>-10904.98</v>
      </c>
      <c r="CZ116" s="48">
        <v>-12735.7</v>
      </c>
      <c r="DA116" s="48">
        <v>-10158.5</v>
      </c>
      <c r="DB116" s="48">
        <v>-11716.66</v>
      </c>
      <c r="DC116" s="48">
        <v>-12388.62</v>
      </c>
      <c r="DD116" s="48">
        <v>-11857.2</v>
      </c>
      <c r="DE116" s="48">
        <f>VLOOKUP($C116,'[2]Analysis 1'!$C$5:$DG$1025,107,FALSE)</f>
        <v>-12491.18</v>
      </c>
      <c r="DF116" s="48">
        <f>VLOOKUP($C116,'[2]Analysis 1'!$C$5:$DG$1025,108,FALSE)</f>
        <v>-13394.19</v>
      </c>
      <c r="DG116" s="48">
        <f>VLOOKUP($C116,'[2]Analysis 1'!$C$5:$DG$1025,109,FALSE)</f>
        <v>-12678.7</v>
      </c>
      <c r="DH116" s="369">
        <f t="shared" si="2"/>
        <v>-140965.89000000001</v>
      </c>
    </row>
    <row r="117" spans="1:112">
      <c r="A117" s="357" t="str">
        <f t="shared" si="3"/>
        <v>4893060</v>
      </c>
      <c r="B117" s="350" t="s">
        <v>1946</v>
      </c>
      <c r="C117" s="335" t="s">
        <v>1040</v>
      </c>
      <c r="D117" s="340">
        <v>-533186</v>
      </c>
      <c r="E117" s="340">
        <v>-476666.31</v>
      </c>
      <c r="F117" s="340">
        <v>-514447.95</v>
      </c>
      <c r="G117" s="340">
        <v>-473757.07</v>
      </c>
      <c r="H117" s="340">
        <v>-476908.04</v>
      </c>
      <c r="I117" s="340">
        <v>-440271.54</v>
      </c>
      <c r="J117" s="340">
        <v>-436960.49</v>
      </c>
      <c r="K117" s="340">
        <v>-431194.32</v>
      </c>
      <c r="L117" s="340">
        <v>-419661.01</v>
      </c>
      <c r="M117" s="340">
        <v>-447279.19</v>
      </c>
      <c r="N117" s="340">
        <v>-461896.2</v>
      </c>
      <c r="O117" s="341">
        <v>-454137.83</v>
      </c>
      <c r="P117" s="48">
        <v>-496630.24</v>
      </c>
      <c r="Q117" s="48">
        <v>-487004.77</v>
      </c>
      <c r="R117" s="48">
        <v>-450076.29</v>
      </c>
      <c r="S117" s="48">
        <v>-435811.7</v>
      </c>
      <c r="T117" s="48">
        <v>-430015.27</v>
      </c>
      <c r="U117" s="48">
        <v>-431218.19</v>
      </c>
      <c r="V117" s="48">
        <v>-416448.14</v>
      </c>
      <c r="W117" s="48">
        <v>-424156.58</v>
      </c>
      <c r="X117" s="48">
        <v>-430324.7</v>
      </c>
      <c r="Y117" s="48">
        <v>-418315.81</v>
      </c>
      <c r="Z117" s="48">
        <v>-421903.03</v>
      </c>
      <c r="AA117" s="48">
        <v>-428192.93</v>
      </c>
      <c r="AB117" s="48">
        <v>-483151.1</v>
      </c>
      <c r="AC117" s="48">
        <v>-460570.16</v>
      </c>
      <c r="AD117" s="48">
        <v>-461757.74</v>
      </c>
      <c r="AE117" s="48">
        <v>-450026.78</v>
      </c>
      <c r="AF117" s="48">
        <v>-440006.04</v>
      </c>
      <c r="AG117" s="48">
        <v>-427545.09</v>
      </c>
      <c r="AH117" s="48">
        <v>-419351.73</v>
      </c>
      <c r="AI117" s="48">
        <v>-405979.42</v>
      </c>
      <c r="AJ117" s="48">
        <v>-409123.49</v>
      </c>
      <c r="AK117" s="48">
        <v>-428536.34</v>
      </c>
      <c r="AL117" s="48">
        <v>-425153.35</v>
      </c>
      <c r="AM117" s="48">
        <v>-466232.1</v>
      </c>
      <c r="AN117" s="48">
        <v>-451036.08</v>
      </c>
      <c r="AO117" s="48">
        <v>-432789.14</v>
      </c>
      <c r="AP117" s="48">
        <v>-441487.68</v>
      </c>
      <c r="AQ117" s="48">
        <v>-403945.53</v>
      </c>
      <c r="AR117" s="48">
        <v>-399018.8</v>
      </c>
      <c r="AS117" s="48">
        <v>-390760.53</v>
      </c>
      <c r="AT117" s="48">
        <v>-387819.42</v>
      </c>
      <c r="AU117" s="48">
        <v>-403601.54</v>
      </c>
      <c r="AV117" s="48">
        <v>-364144.13</v>
      </c>
      <c r="AW117" s="48">
        <v>-395070.4</v>
      </c>
      <c r="AX117" s="48">
        <v>-419376.54</v>
      </c>
      <c r="AY117" s="48">
        <v>-563414.99</v>
      </c>
      <c r="AZ117" s="48">
        <v>-481004.2</v>
      </c>
      <c r="BA117" s="48">
        <v>-409931.39</v>
      </c>
      <c r="BB117" s="48">
        <v>-449243.71</v>
      </c>
      <c r="BC117" s="48">
        <v>-418790.44</v>
      </c>
      <c r="BD117" s="48">
        <v>-412764.26</v>
      </c>
      <c r="BE117" s="48">
        <v>-409035.31</v>
      </c>
      <c r="BF117" s="48">
        <v>-409418.81</v>
      </c>
      <c r="BG117" s="48">
        <v>-413538.49</v>
      </c>
      <c r="BH117" s="48">
        <v>-396633.17</v>
      </c>
      <c r="BI117" s="48">
        <v>-400171.62</v>
      </c>
      <c r="BJ117" s="48">
        <v>-399145.29</v>
      </c>
      <c r="BK117" s="48">
        <v>-423234.55</v>
      </c>
      <c r="BL117" s="48">
        <v>-444881.47</v>
      </c>
      <c r="BM117" s="48">
        <v>-232331.24</v>
      </c>
      <c r="BN117" s="48">
        <v>-252903.52</v>
      </c>
      <c r="BO117" s="48">
        <v>-234351.01</v>
      </c>
      <c r="BP117" s="48">
        <v>-221827.57</v>
      </c>
      <c r="BQ117" s="48">
        <v>-205803.28</v>
      </c>
      <c r="BR117" s="48">
        <v>-218658.51</v>
      </c>
      <c r="BS117" s="48">
        <v>-217094.43</v>
      </c>
      <c r="BT117" s="48">
        <v>-209945.97</v>
      </c>
      <c r="BU117" s="48">
        <v>-225321.78</v>
      </c>
      <c r="BV117" s="48">
        <v>-252303.85</v>
      </c>
      <c r="BW117" s="48">
        <v>-231892.55</v>
      </c>
      <c r="BX117" s="48">
        <v>-260242.92</v>
      </c>
      <c r="BY117" s="48">
        <v>-234084.45</v>
      </c>
      <c r="BZ117" s="48">
        <v>-210589.39</v>
      </c>
      <c r="CA117" s="48">
        <v>-248777.57</v>
      </c>
      <c r="CB117" s="48">
        <v>-309712.8</v>
      </c>
      <c r="CC117" s="48">
        <v>-184368.55</v>
      </c>
      <c r="CD117" s="48">
        <v>-246818.42</v>
      </c>
      <c r="CE117" s="48">
        <v>-231374.44</v>
      </c>
      <c r="CF117" s="48">
        <v>-231025.27</v>
      </c>
      <c r="CG117" s="48">
        <v>-262343.31</v>
      </c>
      <c r="CH117" s="48">
        <v>-238376.78</v>
      </c>
      <c r="CI117" s="48">
        <v>-271902.78000000003</v>
      </c>
      <c r="CJ117" s="48">
        <v>-346229.64</v>
      </c>
      <c r="CK117" s="48">
        <v>-323645.49</v>
      </c>
      <c r="CL117" s="48">
        <v>-347519.3</v>
      </c>
      <c r="CM117" s="48">
        <v>-316243.92</v>
      </c>
      <c r="CN117" s="48">
        <v>-307697.11</v>
      </c>
      <c r="CO117" s="48">
        <v>-293141.14</v>
      </c>
      <c r="CP117" s="48">
        <v>-289741.18</v>
      </c>
      <c r="CQ117" s="48">
        <v>-290710.59999999998</v>
      </c>
      <c r="CR117" s="48">
        <v>-288428.38</v>
      </c>
      <c r="CS117" s="48">
        <v>-279834.08</v>
      </c>
      <c r="CT117" s="48">
        <v>-288853.49</v>
      </c>
      <c r="CU117" s="48">
        <v>-279454.98</v>
      </c>
      <c r="CV117" s="48">
        <v>-356296.85</v>
      </c>
      <c r="CW117" s="48">
        <v>-298983.42</v>
      </c>
      <c r="CX117" s="48">
        <v>-331312.11</v>
      </c>
      <c r="CY117" s="48">
        <v>-351208.09</v>
      </c>
      <c r="CZ117" s="48">
        <v>-329321</v>
      </c>
      <c r="DA117" s="48">
        <v>-296117.98</v>
      </c>
      <c r="DB117" s="48">
        <v>-339044.54</v>
      </c>
      <c r="DC117" s="48">
        <v>-257987.98</v>
      </c>
      <c r="DD117" s="48">
        <v>-313896.98</v>
      </c>
      <c r="DE117" s="48">
        <f>VLOOKUP($C117,'[2]Analysis 1'!$C$5:$DG$1025,107,FALSE)</f>
        <v>-307881.43</v>
      </c>
      <c r="DF117" s="48">
        <f>VLOOKUP($C117,'[2]Analysis 1'!$C$5:$DG$1025,108,FALSE)</f>
        <v>-322622.09999999998</v>
      </c>
      <c r="DG117" s="48">
        <f>VLOOKUP($C117,'[2]Analysis 1'!$C$5:$DG$1025,109,FALSE)</f>
        <v>-346021.88</v>
      </c>
      <c r="DH117" s="369">
        <f t="shared" si="2"/>
        <v>-3850694.36</v>
      </c>
    </row>
    <row r="118" spans="1:112">
      <c r="A118" s="357" t="str">
        <f t="shared" si="3"/>
        <v>4893070</v>
      </c>
      <c r="B118" s="350" t="s">
        <v>1947</v>
      </c>
      <c r="C118" s="335" t="s">
        <v>1041</v>
      </c>
      <c r="D118" s="340">
        <v>-709076.54</v>
      </c>
      <c r="E118" s="340">
        <v>-667305.18999999994</v>
      </c>
      <c r="F118" s="340">
        <v>-594203.28</v>
      </c>
      <c r="G118" s="340">
        <v>-659938.19999999995</v>
      </c>
      <c r="H118" s="340">
        <v>-633364.62</v>
      </c>
      <c r="I118" s="340">
        <v>-633504.18999999994</v>
      </c>
      <c r="J118" s="340">
        <v>-673197.75</v>
      </c>
      <c r="K118" s="340">
        <v>-652853.34</v>
      </c>
      <c r="L118" s="340">
        <v>-647313.92000000004</v>
      </c>
      <c r="M118" s="340">
        <v>-604848.86</v>
      </c>
      <c r="N118" s="340">
        <v>-526188.97</v>
      </c>
      <c r="O118" s="341">
        <v>-529007.73</v>
      </c>
      <c r="P118" s="48">
        <v>-577494.81000000006</v>
      </c>
      <c r="Q118" s="48">
        <v>-566076.23</v>
      </c>
      <c r="R118" s="48">
        <v>-620129.05000000005</v>
      </c>
      <c r="S118" s="48">
        <v>-638339.99</v>
      </c>
      <c r="T118" s="48">
        <v>-624575.13</v>
      </c>
      <c r="U118" s="48">
        <v>-799680.82</v>
      </c>
      <c r="V118" s="48">
        <v>-685490.34</v>
      </c>
      <c r="W118" s="48">
        <v>-699002.41</v>
      </c>
      <c r="X118" s="48">
        <v>-757601.55</v>
      </c>
      <c r="Y118" s="48">
        <v>-762299.45</v>
      </c>
      <c r="Z118" s="48">
        <v>-712985.92</v>
      </c>
      <c r="AA118" s="48">
        <v>-556569.56000000006</v>
      </c>
      <c r="AB118" s="48">
        <v>-592442.88</v>
      </c>
      <c r="AC118" s="48">
        <v>-559249.38</v>
      </c>
      <c r="AD118" s="48">
        <v>-653853.81999999995</v>
      </c>
      <c r="AE118" s="48">
        <v>-697600.61</v>
      </c>
      <c r="AF118" s="48">
        <v>-743559.93</v>
      </c>
      <c r="AG118" s="48">
        <v>-689815.61</v>
      </c>
      <c r="AH118" s="48">
        <v>-734956.03</v>
      </c>
      <c r="AI118" s="48">
        <v>-712430.78</v>
      </c>
      <c r="AJ118" s="48">
        <v>-759340.47</v>
      </c>
      <c r="AK118" s="48">
        <v>-673846.38</v>
      </c>
      <c r="AL118" s="48">
        <v>-687767.74</v>
      </c>
      <c r="AM118" s="48">
        <v>-539033.11</v>
      </c>
      <c r="AN118" s="48">
        <v>-591232.04</v>
      </c>
      <c r="AO118" s="48">
        <v>-578847.51</v>
      </c>
      <c r="AP118" s="48">
        <v>-626224.15</v>
      </c>
      <c r="AQ118" s="48">
        <v>-641536.9</v>
      </c>
      <c r="AR118" s="48">
        <v>-726815</v>
      </c>
      <c r="AS118" s="48">
        <v>-757827.81</v>
      </c>
      <c r="AT118" s="48">
        <v>-290868.14</v>
      </c>
      <c r="AU118" s="48">
        <v>-334610.28999999998</v>
      </c>
      <c r="AV118" s="48">
        <v>-440164.14</v>
      </c>
      <c r="AW118" s="48">
        <v>-390157</v>
      </c>
      <c r="AX118" s="48">
        <v>-813742.35</v>
      </c>
      <c r="AY118" s="48">
        <v>35609.339999999997</v>
      </c>
      <c r="AZ118" s="48">
        <v>-388530.27</v>
      </c>
      <c r="BA118" s="48">
        <v>-372462.53</v>
      </c>
      <c r="BB118" s="48">
        <v>-392270.98</v>
      </c>
      <c r="BC118" s="48">
        <v>-410858.62</v>
      </c>
      <c r="BD118" s="48">
        <v>-381530.37</v>
      </c>
      <c r="BE118" s="48">
        <v>-376276.36</v>
      </c>
      <c r="BF118" s="48">
        <v>-367962.47</v>
      </c>
      <c r="BG118" s="48">
        <v>-340408.55</v>
      </c>
      <c r="BH118" s="48">
        <v>-339527.37</v>
      </c>
      <c r="BI118" s="48">
        <v>-351206.28</v>
      </c>
      <c r="BJ118" s="48">
        <v>-376564.4</v>
      </c>
      <c r="BK118" s="48">
        <v>-357196.29</v>
      </c>
      <c r="BL118" s="48">
        <v>-403887.19</v>
      </c>
      <c r="BM118" s="48">
        <v>-343534.62</v>
      </c>
      <c r="BN118" s="48">
        <v>-330691.73</v>
      </c>
      <c r="BO118" s="48">
        <v>-357726.6</v>
      </c>
      <c r="BP118" s="48">
        <v>-348456.48</v>
      </c>
      <c r="BQ118" s="48">
        <v>-271999.35999999999</v>
      </c>
      <c r="BR118" s="48">
        <v>-316543.56</v>
      </c>
      <c r="BS118" s="48">
        <v>-209983.07</v>
      </c>
      <c r="BT118" s="48">
        <v>-419220.97</v>
      </c>
      <c r="BU118" s="48">
        <v>-353491.52</v>
      </c>
      <c r="BV118" s="48">
        <v>-353319.59</v>
      </c>
      <c r="BW118" s="48">
        <v>-409461.54</v>
      </c>
      <c r="BX118" s="48">
        <v>-401487.39</v>
      </c>
      <c r="BY118" s="48">
        <v>-387590.22</v>
      </c>
      <c r="BZ118" s="48">
        <v>-319867.67</v>
      </c>
      <c r="CA118" s="48">
        <v>-447278.77</v>
      </c>
      <c r="CB118" s="48">
        <v>-461157.72</v>
      </c>
      <c r="CC118" s="48">
        <v>-323948.03999999998</v>
      </c>
      <c r="CD118" s="48">
        <v>-312571.38</v>
      </c>
      <c r="CE118" s="48">
        <v>-400566.51</v>
      </c>
      <c r="CF118" s="48">
        <v>-383293.55</v>
      </c>
      <c r="CG118" s="48">
        <v>-392798.26</v>
      </c>
      <c r="CH118" s="48">
        <v>-404174.99</v>
      </c>
      <c r="CI118" s="48">
        <v>-392234.14</v>
      </c>
      <c r="CJ118" s="48">
        <v>-429329.34</v>
      </c>
      <c r="CK118" s="48">
        <v>-415632.55</v>
      </c>
      <c r="CL118" s="48">
        <v>-565423.07999999996</v>
      </c>
      <c r="CM118" s="48">
        <v>-826124.39</v>
      </c>
      <c r="CN118" s="48">
        <v>-269593.39</v>
      </c>
      <c r="CO118" s="48">
        <v>-510389.13</v>
      </c>
      <c r="CP118" s="48">
        <v>-493050</v>
      </c>
      <c r="CQ118" s="48">
        <v>-468802.25</v>
      </c>
      <c r="CR118" s="48">
        <v>-441228.72</v>
      </c>
      <c r="CS118" s="48">
        <v>-493307.64</v>
      </c>
      <c r="CT118" s="48">
        <v>-460213.59</v>
      </c>
      <c r="CU118" s="48">
        <v>-540710.57999999996</v>
      </c>
      <c r="CV118" s="48">
        <v>-648512.02</v>
      </c>
      <c r="CW118" s="48">
        <v>-544673.01</v>
      </c>
      <c r="CX118" s="48">
        <v>-652403.49</v>
      </c>
      <c r="CY118" s="48">
        <v>-570640.93000000005</v>
      </c>
      <c r="CZ118" s="48">
        <v>-499470.53</v>
      </c>
      <c r="DA118" s="48">
        <v>-492176.5</v>
      </c>
      <c r="DB118" s="48">
        <v>-510610.54</v>
      </c>
      <c r="DC118" s="48">
        <v>-565909.54</v>
      </c>
      <c r="DD118" s="48">
        <v>-435278.21</v>
      </c>
      <c r="DE118" s="48">
        <f>VLOOKUP($C118,'[2]Analysis 1'!$C$5:$DG$1025,107,FALSE)</f>
        <v>-542204.18999999994</v>
      </c>
      <c r="DF118" s="48">
        <f>VLOOKUP($C118,'[2]Analysis 1'!$C$5:$DG$1025,108,FALSE)</f>
        <v>-433534.63</v>
      </c>
      <c r="DG118" s="48">
        <f>VLOOKUP($C118,'[2]Analysis 1'!$C$5:$DG$1025,109,FALSE)</f>
        <v>-668130.61</v>
      </c>
      <c r="DH118" s="369">
        <f t="shared" si="2"/>
        <v>-6563544.2000000011</v>
      </c>
    </row>
    <row r="119" spans="1:112">
      <c r="A119" s="357" t="str">
        <f t="shared" si="3"/>
        <v>4893080</v>
      </c>
      <c r="B119" s="350" t="s">
        <v>1948</v>
      </c>
      <c r="C119" s="335" t="s">
        <v>1042</v>
      </c>
      <c r="D119" s="367">
        <v>-789137.07</v>
      </c>
      <c r="E119" s="367">
        <v>-497925.9</v>
      </c>
      <c r="F119" s="367">
        <v>-680849.44</v>
      </c>
      <c r="G119" s="367">
        <v>-497491.20000000001</v>
      </c>
      <c r="H119" s="367">
        <v>-549589</v>
      </c>
      <c r="I119" s="367">
        <v>-574242.71</v>
      </c>
      <c r="J119" s="367">
        <v>-614330.89</v>
      </c>
      <c r="K119" s="367">
        <v>-606208.63</v>
      </c>
      <c r="L119" s="367">
        <v>-493838.62</v>
      </c>
      <c r="M119" s="367">
        <v>-469749.23</v>
      </c>
      <c r="N119" s="367">
        <v>-547274.43000000005</v>
      </c>
      <c r="O119" s="368">
        <v>-267649.39</v>
      </c>
      <c r="P119" s="48">
        <v>-794409.93</v>
      </c>
      <c r="Q119" s="48">
        <v>-628707.97</v>
      </c>
      <c r="R119" s="48">
        <v>-574505.99</v>
      </c>
      <c r="S119" s="48">
        <v>-577904.38</v>
      </c>
      <c r="T119" s="48">
        <v>-663151.98</v>
      </c>
      <c r="U119" s="48">
        <v>-579620.73</v>
      </c>
      <c r="V119" s="48">
        <v>-567052.07999999996</v>
      </c>
      <c r="W119" s="48">
        <v>-531546.43000000005</v>
      </c>
      <c r="X119" s="48">
        <v>-517334.14</v>
      </c>
      <c r="Y119" s="48">
        <v>-525344.56999999995</v>
      </c>
      <c r="Z119" s="48">
        <v>-447728.22</v>
      </c>
      <c r="AA119" s="48">
        <v>-568003.55000000005</v>
      </c>
      <c r="AB119" s="48">
        <v>-866349.32</v>
      </c>
      <c r="AC119" s="48">
        <v>-715339.17</v>
      </c>
      <c r="AD119" s="48">
        <v>-485266.15</v>
      </c>
      <c r="AE119" s="48">
        <v>145596.84</v>
      </c>
      <c r="AF119" s="48">
        <v>477290.71</v>
      </c>
      <c r="AG119" s="48">
        <v>-663294.97</v>
      </c>
      <c r="AH119" s="48">
        <v>-705982.64</v>
      </c>
      <c r="AI119" s="48">
        <v>-519452</v>
      </c>
      <c r="AJ119" s="48">
        <v>-484968.04</v>
      </c>
      <c r="AK119" s="48">
        <v>-520494.43</v>
      </c>
      <c r="AL119" s="48">
        <v>-309826.8</v>
      </c>
      <c r="AM119" s="48">
        <v>-647100.79</v>
      </c>
      <c r="AN119" s="48">
        <v>-35861.949999999997</v>
      </c>
      <c r="AO119" s="48">
        <v>-36000</v>
      </c>
      <c r="AP119" s="48">
        <v>-36000</v>
      </c>
      <c r="AQ119" s="48">
        <v>-36000</v>
      </c>
      <c r="AR119" s="48">
        <v>-36000</v>
      </c>
      <c r="AS119" s="48">
        <v>-36000</v>
      </c>
      <c r="AT119" s="48">
        <v>-36000</v>
      </c>
      <c r="AU119" s="48">
        <v>-33612.39</v>
      </c>
      <c r="AV119" s="48">
        <v>-35109.61</v>
      </c>
      <c r="AW119" s="48">
        <v>-38387.61</v>
      </c>
      <c r="AX119" s="48">
        <v>394854.38</v>
      </c>
      <c r="AY119" s="48">
        <v>-469564.09</v>
      </c>
      <c r="AZ119" s="48">
        <v>-37191.519999999997</v>
      </c>
      <c r="BA119" s="48">
        <v>-41989.62</v>
      </c>
      <c r="BB119" s="48">
        <v>-36730.04</v>
      </c>
      <c r="BC119" s="48">
        <v>-38957.47</v>
      </c>
      <c r="BD119" s="48">
        <v>-46528.78</v>
      </c>
      <c r="BE119" s="48">
        <v>-40563.040000000001</v>
      </c>
      <c r="BF119" s="48">
        <v>-36000</v>
      </c>
      <c r="BG119" s="48">
        <v>-51130.23</v>
      </c>
      <c r="BH119" s="48">
        <v>-44768.38</v>
      </c>
      <c r="BI119" s="48">
        <v>-47502.8</v>
      </c>
      <c r="BJ119" s="48">
        <v>-45954.720000000001</v>
      </c>
      <c r="BK119" s="48">
        <v>-234980.03</v>
      </c>
      <c r="BL119" s="48">
        <v>-46719.45</v>
      </c>
      <c r="BM119" s="48">
        <v>10719.45</v>
      </c>
      <c r="BN119" s="48">
        <v>0</v>
      </c>
      <c r="BO119" s="48">
        <v>0</v>
      </c>
      <c r="BP119" s="48">
        <v>0</v>
      </c>
      <c r="BQ119" s="48">
        <v>0</v>
      </c>
      <c r="BR119" s="48">
        <v>0</v>
      </c>
      <c r="BS119" s="48">
        <v>0</v>
      </c>
      <c r="BT119" s="48">
        <v>0</v>
      </c>
      <c r="BU119" s="48">
        <v>0</v>
      </c>
      <c r="BV119" s="48">
        <v>0</v>
      </c>
      <c r="BW119" s="48">
        <v>0</v>
      </c>
      <c r="BX119" s="48">
        <v>0</v>
      </c>
      <c r="BY119" s="48">
        <v>0</v>
      </c>
      <c r="BZ119" s="48">
        <v>0</v>
      </c>
      <c r="CA119" s="48">
        <v>0</v>
      </c>
      <c r="CB119" s="48">
        <v>0</v>
      </c>
      <c r="CC119" s="48">
        <v>0</v>
      </c>
      <c r="CD119" s="48">
        <v>0</v>
      </c>
      <c r="CE119" s="48">
        <v>0</v>
      </c>
      <c r="CF119" s="48">
        <v>0</v>
      </c>
      <c r="CG119" s="48">
        <v>0</v>
      </c>
      <c r="CH119" s="48">
        <v>0</v>
      </c>
      <c r="CI119" s="48">
        <v>0</v>
      </c>
      <c r="CJ119" s="48">
        <v>0</v>
      </c>
      <c r="CK119" s="48">
        <v>0</v>
      </c>
      <c r="CL119" s="48">
        <v>0</v>
      </c>
      <c r="CM119" s="48">
        <v>0</v>
      </c>
      <c r="CN119" s="48">
        <v>0</v>
      </c>
      <c r="CO119" s="48">
        <v>0</v>
      </c>
      <c r="CP119" s="48">
        <v>0</v>
      </c>
      <c r="CQ119" s="48">
        <v>0</v>
      </c>
      <c r="CR119" s="48">
        <v>0</v>
      </c>
      <c r="CS119" s="48">
        <v>0</v>
      </c>
      <c r="CT119" s="48">
        <v>0</v>
      </c>
      <c r="CU119" s="48">
        <v>0</v>
      </c>
      <c r="CV119" s="48">
        <v>0</v>
      </c>
      <c r="CW119" s="48">
        <v>0</v>
      </c>
      <c r="CX119" s="48">
        <v>0</v>
      </c>
      <c r="CY119" s="48">
        <v>0</v>
      </c>
      <c r="CZ119" s="48">
        <v>0</v>
      </c>
      <c r="DA119" s="48">
        <v>0</v>
      </c>
      <c r="DB119" s="48">
        <v>0</v>
      </c>
      <c r="DC119" s="48">
        <v>0</v>
      </c>
      <c r="DD119" s="48">
        <v>0</v>
      </c>
      <c r="DE119" s="48">
        <f>VLOOKUP($C119,'[2]Analysis 1'!$C$5:$DG$1025,107,FALSE)</f>
        <v>0</v>
      </c>
      <c r="DF119" s="48">
        <f>VLOOKUP($C119,'[2]Analysis 1'!$C$5:$DG$1025,108,FALSE)</f>
        <v>0</v>
      </c>
      <c r="DG119" s="48">
        <f>VLOOKUP($C119,'[2]Analysis 1'!$C$5:$DG$1025,109,FALSE)</f>
        <v>0</v>
      </c>
      <c r="DH119" s="369">
        <f t="shared" si="2"/>
        <v>0</v>
      </c>
    </row>
    <row r="120" spans="1:112">
      <c r="A120" s="357" t="str">
        <f t="shared" si="3"/>
        <v>4893090</v>
      </c>
      <c r="B120" s="350" t="s">
        <v>1780</v>
      </c>
      <c r="C120" s="335" t="s">
        <v>1767</v>
      </c>
      <c r="D120" s="367"/>
      <c r="E120" s="367"/>
      <c r="F120" s="367"/>
      <c r="G120" s="367"/>
      <c r="H120" s="367"/>
      <c r="I120" s="367"/>
      <c r="J120" s="367"/>
      <c r="K120" s="367"/>
      <c r="L120" s="367"/>
      <c r="M120" s="367"/>
      <c r="N120" s="367"/>
      <c r="O120" s="36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v>-466654.27</v>
      </c>
      <c r="AO120" s="48">
        <v>-394539.45</v>
      </c>
      <c r="AP120" s="48">
        <v>-554465.63</v>
      </c>
      <c r="AQ120" s="48">
        <v>-634305.98</v>
      </c>
      <c r="AR120" s="48">
        <v>-675985.8</v>
      </c>
      <c r="AS120" s="48">
        <v>-636059.61</v>
      </c>
      <c r="AT120" s="48">
        <v>-1052232.94</v>
      </c>
      <c r="AU120" s="48">
        <v>-1010769.12</v>
      </c>
      <c r="AV120" s="48">
        <v>-725543.42</v>
      </c>
      <c r="AW120" s="48">
        <v>-863130.43</v>
      </c>
      <c r="AX120" s="48">
        <v>-810940.23</v>
      </c>
      <c r="AY120" s="48">
        <v>-974725.78</v>
      </c>
      <c r="AZ120" s="48">
        <v>-836852.86</v>
      </c>
      <c r="BA120" s="48">
        <v>-816206.95</v>
      </c>
      <c r="BB120" s="48">
        <v>-991175.84</v>
      </c>
      <c r="BC120" s="48">
        <v>-984965.22</v>
      </c>
      <c r="BD120" s="48">
        <v>-1088467.31</v>
      </c>
      <c r="BE120" s="48">
        <v>-1014759.98</v>
      </c>
      <c r="BF120" s="48">
        <v>-999056.37</v>
      </c>
      <c r="BG120" s="48">
        <v>-879595.98</v>
      </c>
      <c r="BH120" s="48">
        <v>-931980.83</v>
      </c>
      <c r="BI120" s="48">
        <v>-909430.68</v>
      </c>
      <c r="BJ120" s="48">
        <v>-841804.4</v>
      </c>
      <c r="BK120" s="48">
        <v>-738268.85</v>
      </c>
      <c r="BL120" s="48">
        <v>-844108.6</v>
      </c>
      <c r="BM120" s="48">
        <v>-1059129.3500000001</v>
      </c>
      <c r="BN120" s="48">
        <v>-1322565.29</v>
      </c>
      <c r="BO120" s="48">
        <v>-1405078.75</v>
      </c>
      <c r="BP120" s="48">
        <v>-1455993.49</v>
      </c>
      <c r="BQ120" s="48">
        <v>-1349730.52</v>
      </c>
      <c r="BR120" s="48">
        <v>-1181847.51</v>
      </c>
      <c r="BS120" s="48">
        <v>-1140673.3500000001</v>
      </c>
      <c r="BT120" s="48">
        <v>-1153446.3400000001</v>
      </c>
      <c r="BU120" s="48">
        <v>-1259815.1499999999</v>
      </c>
      <c r="BV120" s="48">
        <v>-1207129.02</v>
      </c>
      <c r="BW120" s="48">
        <v>-974343.22</v>
      </c>
      <c r="BX120" s="48">
        <v>-1253806.6599999999</v>
      </c>
      <c r="BY120" s="48">
        <v>-1149832.68</v>
      </c>
      <c r="BZ120" s="48">
        <v>-1488391.12</v>
      </c>
      <c r="CA120" s="48">
        <v>-1465415.3</v>
      </c>
      <c r="CB120" s="48">
        <v>-1537838.83</v>
      </c>
      <c r="CC120" s="48">
        <v>-1400969.26</v>
      </c>
      <c r="CD120" s="48">
        <v>-1287614.18</v>
      </c>
      <c r="CE120" s="48">
        <v>-1321797.8999999999</v>
      </c>
      <c r="CF120" s="48">
        <v>-1376810.97</v>
      </c>
      <c r="CG120" s="48">
        <v>-1387730.97</v>
      </c>
      <c r="CH120" s="48">
        <v>-1270542.3600000001</v>
      </c>
      <c r="CI120" s="48">
        <v>-1186111.57</v>
      </c>
      <c r="CJ120" s="48">
        <v>-1356081.42</v>
      </c>
      <c r="CK120" s="48">
        <v>-1199098.6399999999</v>
      </c>
      <c r="CL120" s="48">
        <v>-1364601.87</v>
      </c>
      <c r="CM120" s="48">
        <v>-1123822.6299999999</v>
      </c>
      <c r="CN120" s="48">
        <v>-1704139.42</v>
      </c>
      <c r="CO120" s="48">
        <v>-1305661.18</v>
      </c>
      <c r="CP120" s="48">
        <v>-1310658.44</v>
      </c>
      <c r="CQ120" s="48">
        <v>-1230416.29</v>
      </c>
      <c r="CR120" s="48">
        <v>-1237458.95</v>
      </c>
      <c r="CS120" s="48">
        <v>-1312413.04</v>
      </c>
      <c r="CT120" s="48">
        <v>-1394456.87</v>
      </c>
      <c r="CU120" s="48">
        <v>-1217184.3899999999</v>
      </c>
      <c r="CV120" s="48">
        <v>-1407574.84</v>
      </c>
      <c r="CW120" s="48">
        <v>-1323278.2</v>
      </c>
      <c r="CX120" s="48">
        <v>-1351601.95</v>
      </c>
      <c r="CY120" s="48">
        <v>-1956358.28</v>
      </c>
      <c r="CZ120" s="48">
        <v>-1991052.4</v>
      </c>
      <c r="DA120" s="48">
        <v>-1573794.39</v>
      </c>
      <c r="DB120" s="48">
        <v>-1455889.24</v>
      </c>
      <c r="DC120" s="48">
        <v>-1418943.33</v>
      </c>
      <c r="DD120" s="48">
        <v>-1442318.89</v>
      </c>
      <c r="DE120" s="48">
        <f>VLOOKUP($C120,'[2]Analysis 1'!$C$5:$DG$1025,107,FALSE)</f>
        <v>-1987990.95</v>
      </c>
      <c r="DF120" s="48">
        <f>VLOOKUP($C120,'[2]Analysis 1'!$C$5:$DG$1025,108,FALSE)</f>
        <v>-2001245.65</v>
      </c>
      <c r="DG120" s="48">
        <f>VLOOKUP($C120,'[2]Analysis 1'!$C$5:$DG$1025,109,FALSE)</f>
        <v>-1853630.74</v>
      </c>
      <c r="DH120" s="369">
        <f t="shared" si="2"/>
        <v>-19763678.859999999</v>
      </c>
    </row>
    <row r="121" spans="1:112">
      <c r="A121" s="357" t="str">
        <f t="shared" si="3"/>
        <v>4930000</v>
      </c>
      <c r="B121" s="350" t="s">
        <v>1950</v>
      </c>
      <c r="C121" s="335" t="s">
        <v>1043</v>
      </c>
      <c r="D121" s="340">
        <v>-5300</v>
      </c>
      <c r="E121" s="340">
        <v>-4300</v>
      </c>
      <c r="F121" s="340">
        <v>-2300</v>
      </c>
      <c r="G121" s="340">
        <v>-76987.39</v>
      </c>
      <c r="H121" s="340">
        <v>-2300</v>
      </c>
      <c r="I121" s="340">
        <v>-2300</v>
      </c>
      <c r="J121" s="340">
        <v>-5300</v>
      </c>
      <c r="K121" s="340">
        <v>-2300</v>
      </c>
      <c r="L121" s="340">
        <v>-2300</v>
      </c>
      <c r="M121" s="340">
        <v>-2300</v>
      </c>
      <c r="N121" s="340">
        <v>-2300</v>
      </c>
      <c r="O121" s="341">
        <v>-5300</v>
      </c>
      <c r="P121" s="48">
        <v>-2583.83</v>
      </c>
      <c r="Q121" s="48">
        <v>-4405</v>
      </c>
      <c r="R121" s="48">
        <v>-2400</v>
      </c>
      <c r="S121" s="48">
        <v>-2300</v>
      </c>
      <c r="T121" s="48">
        <v>-76182.539999999994</v>
      </c>
      <c r="U121" s="48">
        <v>-5400</v>
      </c>
      <c r="V121" s="48">
        <v>-2400</v>
      </c>
      <c r="W121" s="48">
        <v>-2243.1999999999998</v>
      </c>
      <c r="X121" s="48">
        <v>-2243.1999999999998</v>
      </c>
      <c r="Y121" s="48">
        <v>-2243.1999999999998</v>
      </c>
      <c r="Z121" s="48">
        <v>-2243.1999999999998</v>
      </c>
      <c r="AA121" s="48">
        <v>-2243.1999999999998</v>
      </c>
      <c r="AB121" s="48">
        <v>-5047.0600000000004</v>
      </c>
      <c r="AC121" s="48">
        <v>-2243.1999999999998</v>
      </c>
      <c r="AD121" s="48">
        <v>-2243.1999999999998</v>
      </c>
      <c r="AE121" s="48">
        <v>-10582.84</v>
      </c>
      <c r="AF121" s="48">
        <v>-86285.86</v>
      </c>
      <c r="AG121" s="48">
        <v>-2243.1999999999998</v>
      </c>
      <c r="AH121" s="48">
        <v>-11981.55</v>
      </c>
      <c r="AI121" s="48">
        <v>-9177.82</v>
      </c>
      <c r="AJ121" s="48">
        <v>-9177.82</v>
      </c>
      <c r="AK121" s="48">
        <v>-9177.82</v>
      </c>
      <c r="AL121" s="48">
        <v>-11981.56</v>
      </c>
      <c r="AM121" s="48">
        <v>-9177.83</v>
      </c>
      <c r="AN121" s="48">
        <v>-10377.83</v>
      </c>
      <c r="AO121" s="48">
        <v>-11177.83</v>
      </c>
      <c r="AP121" s="48">
        <v>-13149.08</v>
      </c>
      <c r="AQ121" s="48">
        <v>-9177.83</v>
      </c>
      <c r="AR121" s="48">
        <v>-93048.11</v>
      </c>
      <c r="AS121" s="48">
        <v>-9177.83</v>
      </c>
      <c r="AT121" s="48">
        <v>-4953.26</v>
      </c>
      <c r="AU121" s="48">
        <v>-2149.5300000000002</v>
      </c>
      <c r="AV121" s="48">
        <v>-2149.5300000000002</v>
      </c>
      <c r="AW121" s="48">
        <v>-2149.5300000000002</v>
      </c>
      <c r="AX121" s="48">
        <v>-4953.26</v>
      </c>
      <c r="AY121" s="48">
        <v>-2149.5300000000002</v>
      </c>
      <c r="AZ121" s="48">
        <v>-2149.5300000000002</v>
      </c>
      <c r="BA121" s="48">
        <v>-2149.5300000000002</v>
      </c>
      <c r="BB121" s="48">
        <v>-2507.31</v>
      </c>
      <c r="BC121" s="48">
        <v>-2149.5300000000002</v>
      </c>
      <c r="BD121" s="48">
        <v>-85655.03</v>
      </c>
      <c r="BE121" s="48">
        <v>-4953.26</v>
      </c>
      <c r="BF121" s="48">
        <v>-2149.5300000000002</v>
      </c>
      <c r="BG121" s="48">
        <v>-2149.5300000000002</v>
      </c>
      <c r="BH121" s="48">
        <v>-2149.5300000000002</v>
      </c>
      <c r="BI121" s="48">
        <v>-2149.5300000000002</v>
      </c>
      <c r="BJ121" s="48">
        <v>-2149.5300000000002</v>
      </c>
      <c r="BK121" s="48">
        <v>-2149.5300000000002</v>
      </c>
      <c r="BL121" s="48">
        <v>-4953.26</v>
      </c>
      <c r="BM121" s="48">
        <v>-2000</v>
      </c>
      <c r="BN121" s="48">
        <v>-205.79</v>
      </c>
      <c r="BO121" s="48">
        <v>0</v>
      </c>
      <c r="BP121" s="48">
        <v>0</v>
      </c>
      <c r="BQ121" s="48">
        <v>-102062.03</v>
      </c>
      <c r="BR121" s="48">
        <v>0</v>
      </c>
      <c r="BS121" s="48">
        <v>-3951.46</v>
      </c>
      <c r="BT121" s="48">
        <v>0</v>
      </c>
      <c r="BU121" s="48">
        <v>0</v>
      </c>
      <c r="BV121" s="48">
        <v>0</v>
      </c>
      <c r="BW121" s="48">
        <v>0</v>
      </c>
      <c r="BX121" s="48">
        <v>-2803.73</v>
      </c>
      <c r="BY121" s="48">
        <v>-2000</v>
      </c>
      <c r="BZ121" s="48">
        <v>0</v>
      </c>
      <c r="CA121" s="48">
        <v>0</v>
      </c>
      <c r="CB121" s="48">
        <v>-106541.55</v>
      </c>
      <c r="CC121" s="48">
        <v>0</v>
      </c>
      <c r="CD121" s="48">
        <v>-2803.73</v>
      </c>
      <c r="CE121" s="48">
        <v>0</v>
      </c>
      <c r="CF121" s="48">
        <v>0</v>
      </c>
      <c r="CG121" s="48">
        <v>0</v>
      </c>
      <c r="CH121" s="48">
        <v>0</v>
      </c>
      <c r="CI121" s="48">
        <v>0</v>
      </c>
      <c r="CJ121" s="48">
        <v>-2803.73</v>
      </c>
      <c r="CK121" s="48">
        <v>-2000</v>
      </c>
      <c r="CL121" s="48">
        <v>0</v>
      </c>
      <c r="CM121" s="48">
        <v>0</v>
      </c>
      <c r="CN121" s="48">
        <v>-108531.81</v>
      </c>
      <c r="CO121" s="48">
        <v>0</v>
      </c>
      <c r="CP121" s="48">
        <v>-2803.74</v>
      </c>
      <c r="CQ121" s="48">
        <v>0</v>
      </c>
      <c r="CR121" s="48">
        <v>0</v>
      </c>
      <c r="CS121" s="48">
        <v>0</v>
      </c>
      <c r="CT121" s="48">
        <v>0</v>
      </c>
      <c r="CU121" s="48">
        <v>0</v>
      </c>
      <c r="CV121" s="48">
        <v>-2803.74</v>
      </c>
      <c r="CW121" s="48">
        <v>-2000</v>
      </c>
      <c r="CX121" s="48">
        <v>0</v>
      </c>
      <c r="CY121" s="48">
        <v>0</v>
      </c>
      <c r="CZ121" s="48">
        <v>-117796</v>
      </c>
      <c r="DA121" s="48">
        <v>0</v>
      </c>
      <c r="DB121" s="48">
        <v>-2803.74</v>
      </c>
      <c r="DC121" s="48">
        <v>0</v>
      </c>
      <c r="DD121" s="48">
        <v>0</v>
      </c>
      <c r="DE121" s="48">
        <f>VLOOKUP($C121,'[2]Analysis 1'!$C$5:$DG$1025,107,FALSE)</f>
        <v>0</v>
      </c>
      <c r="DF121" s="48">
        <f>VLOOKUP($C121,'[2]Analysis 1'!$C$5:$DG$1025,108,FALSE)</f>
        <v>0</v>
      </c>
      <c r="DG121" s="48">
        <f>VLOOKUP($C121,'[2]Analysis 1'!$C$5:$DG$1025,109,FALSE)</f>
        <v>0</v>
      </c>
      <c r="DH121" s="369">
        <f t="shared" si="2"/>
        <v>-125403.48000000001</v>
      </c>
    </row>
    <row r="122" spans="1:112">
      <c r="A122" s="357" t="str">
        <f t="shared" si="3"/>
        <v>4930700</v>
      </c>
      <c r="B122" s="350" t="s">
        <v>1949</v>
      </c>
      <c r="C122" s="335" t="s">
        <v>1044</v>
      </c>
      <c r="D122" s="367">
        <v>-23554.44</v>
      </c>
      <c r="E122" s="367">
        <v>-23554.44</v>
      </c>
      <c r="F122" s="367">
        <v>-23554.44</v>
      </c>
      <c r="G122" s="367">
        <v>-23554.44</v>
      </c>
      <c r="H122" s="367">
        <v>-23554.44</v>
      </c>
      <c r="I122" s="367">
        <v>-23554.44</v>
      </c>
      <c r="J122" s="367">
        <v>-23554.44</v>
      </c>
      <c r="K122" s="367">
        <v>-23554.44</v>
      </c>
      <c r="L122" s="367">
        <v>-23554.44</v>
      </c>
      <c r="M122" s="367">
        <v>-23554.44</v>
      </c>
      <c r="N122" s="367">
        <v>-23554.44</v>
      </c>
      <c r="O122" s="368">
        <v>-23554.44</v>
      </c>
      <c r="P122" s="48">
        <v>-23554.44</v>
      </c>
      <c r="Q122" s="48">
        <v>-23554.44</v>
      </c>
      <c r="R122" s="48">
        <v>-23554.44</v>
      </c>
      <c r="S122" s="48">
        <v>-23554.44</v>
      </c>
      <c r="T122" s="48">
        <v>-23554.44</v>
      </c>
      <c r="U122" s="48">
        <v>-23554.44</v>
      </c>
      <c r="V122" s="48">
        <v>-23554.44</v>
      </c>
      <c r="W122" s="48">
        <v>-23554.44</v>
      </c>
      <c r="X122" s="48">
        <v>-17541</v>
      </c>
      <c r="Y122" s="48">
        <v>-17541</v>
      </c>
      <c r="Z122" s="48">
        <v>-17541</v>
      </c>
      <c r="AA122" s="48">
        <v>-17541</v>
      </c>
      <c r="AB122" s="48">
        <v>-17541</v>
      </c>
      <c r="AC122" s="48">
        <v>-17541</v>
      </c>
      <c r="AD122" s="48">
        <v>-17541</v>
      </c>
      <c r="AE122" s="48">
        <v>-17541</v>
      </c>
      <c r="AF122" s="48">
        <v>-17541</v>
      </c>
      <c r="AG122" s="48">
        <v>-17541</v>
      </c>
      <c r="AH122" s="48">
        <v>-17541</v>
      </c>
      <c r="AI122" s="48">
        <v>-17541</v>
      </c>
      <c r="AJ122" s="48">
        <v>-17541</v>
      </c>
      <c r="AK122" s="48">
        <v>-17541</v>
      </c>
      <c r="AL122" s="48">
        <v>-17541</v>
      </c>
      <c r="AM122" s="48">
        <v>-17541</v>
      </c>
      <c r="AN122" s="48">
        <v>-17541</v>
      </c>
      <c r="AO122" s="48">
        <v>-17541</v>
      </c>
      <c r="AP122" s="48">
        <v>-17541</v>
      </c>
      <c r="AQ122" s="48">
        <v>-17541</v>
      </c>
      <c r="AR122" s="48">
        <v>-17541</v>
      </c>
      <c r="AS122" s="48">
        <v>-17541</v>
      </c>
      <c r="AT122" s="48">
        <v>-17541</v>
      </c>
      <c r="AU122" s="48">
        <v>-17541</v>
      </c>
      <c r="AV122" s="48">
        <v>-17541</v>
      </c>
      <c r="AW122" s="48">
        <v>-17541</v>
      </c>
      <c r="AX122" s="48">
        <v>-17541</v>
      </c>
      <c r="AY122" s="48">
        <v>-17541</v>
      </c>
      <c r="AZ122" s="48">
        <v>-17541</v>
      </c>
      <c r="BA122" s="48">
        <v>-17541</v>
      </c>
      <c r="BB122" s="48">
        <v>-17541</v>
      </c>
      <c r="BC122" s="48">
        <v>-17541</v>
      </c>
      <c r="BD122" s="48">
        <v>-17541</v>
      </c>
      <c r="BE122" s="48">
        <v>-17541</v>
      </c>
      <c r="BF122" s="48">
        <v>-17541</v>
      </c>
      <c r="BG122" s="48">
        <v>-17541</v>
      </c>
      <c r="BH122" s="48">
        <v>-17541</v>
      </c>
      <c r="BI122" s="48">
        <v>-17541</v>
      </c>
      <c r="BJ122" s="48">
        <v>-17541</v>
      </c>
      <c r="BK122" s="48">
        <v>-17541</v>
      </c>
      <c r="BL122" s="48">
        <v>-7684</v>
      </c>
      <c r="BM122" s="48">
        <v>-7684</v>
      </c>
      <c r="BN122" s="48">
        <v>-7684</v>
      </c>
      <c r="BO122" s="48">
        <v>-7684</v>
      </c>
      <c r="BP122" s="48">
        <v>-7684</v>
      </c>
      <c r="BQ122" s="48">
        <v>-7684</v>
      </c>
      <c r="BR122" s="48">
        <v>-7684</v>
      </c>
      <c r="BS122" s="48">
        <v>-7684</v>
      </c>
      <c r="BT122" s="48">
        <v>-7684</v>
      </c>
      <c r="BU122" s="48">
        <v>-7684</v>
      </c>
      <c r="BV122" s="48">
        <v>-7684</v>
      </c>
      <c r="BW122" s="48">
        <v>-7684</v>
      </c>
      <c r="BX122" s="48">
        <v>-7684</v>
      </c>
      <c r="BY122" s="48">
        <v>-7684</v>
      </c>
      <c r="BZ122" s="48">
        <v>-7684</v>
      </c>
      <c r="CA122" s="48">
        <v>-7684</v>
      </c>
      <c r="CB122" s="48">
        <v>-7684</v>
      </c>
      <c r="CC122" s="48">
        <v>-7684</v>
      </c>
      <c r="CD122" s="48">
        <v>-7684</v>
      </c>
      <c r="CE122" s="48">
        <v>-7684</v>
      </c>
      <c r="CF122" s="48">
        <v>-7684</v>
      </c>
      <c r="CG122" s="48">
        <v>-7684</v>
      </c>
      <c r="CH122" s="48">
        <v>-7684</v>
      </c>
      <c r="CI122" s="48">
        <v>-7684</v>
      </c>
      <c r="CJ122" s="48">
        <v>-7684</v>
      </c>
      <c r="CK122" s="48">
        <v>-7684</v>
      </c>
      <c r="CL122" s="48">
        <v>-7684</v>
      </c>
      <c r="CM122" s="48">
        <v>-7684</v>
      </c>
      <c r="CN122" s="48">
        <v>-7684</v>
      </c>
      <c r="CO122" s="48">
        <v>-7684</v>
      </c>
      <c r="CP122" s="48">
        <v>-7684</v>
      </c>
      <c r="CQ122" s="48">
        <v>-7684</v>
      </c>
      <c r="CR122" s="48">
        <v>-7684</v>
      </c>
      <c r="CS122" s="48">
        <v>-7684</v>
      </c>
      <c r="CT122" s="48">
        <v>-7684</v>
      </c>
      <c r="CU122" s="48">
        <v>-7684</v>
      </c>
      <c r="CV122" s="48">
        <v>-7684</v>
      </c>
      <c r="CW122" s="48">
        <v>-7684</v>
      </c>
      <c r="CX122" s="48">
        <v>-7684</v>
      </c>
      <c r="CY122" s="48">
        <v>-7684</v>
      </c>
      <c r="CZ122" s="48">
        <v>-7684</v>
      </c>
      <c r="DA122" s="48">
        <v>-7684</v>
      </c>
      <c r="DB122" s="48">
        <v>-7684</v>
      </c>
      <c r="DC122" s="48">
        <v>-7684</v>
      </c>
      <c r="DD122" s="48">
        <v>-7684</v>
      </c>
      <c r="DE122" s="48">
        <f>VLOOKUP($C122,'[2]Analysis 1'!$C$5:$DG$1025,107,FALSE)</f>
        <v>-7684</v>
      </c>
      <c r="DF122" s="48">
        <f>VLOOKUP($C122,'[2]Analysis 1'!$C$5:$DG$1025,108,FALSE)</f>
        <v>-7684</v>
      </c>
      <c r="DG122" s="48">
        <f>VLOOKUP($C122,'[2]Analysis 1'!$C$5:$DG$1025,109,FALSE)</f>
        <v>-7684</v>
      </c>
      <c r="DH122" s="369">
        <f t="shared" si="2"/>
        <v>-92208</v>
      </c>
    </row>
    <row r="123" spans="1:112">
      <c r="A123" s="357" t="str">
        <f t="shared" si="3"/>
        <v>4950203</v>
      </c>
      <c r="B123" s="350" t="s">
        <v>1951</v>
      </c>
      <c r="C123" s="335" t="s">
        <v>1045</v>
      </c>
      <c r="D123" s="367">
        <v>-1549250.45</v>
      </c>
      <c r="E123" s="367">
        <v>-1623259.76</v>
      </c>
      <c r="F123" s="367">
        <v>-1335215.47</v>
      </c>
      <c r="G123" s="367">
        <v>-1188737.49</v>
      </c>
      <c r="H123" s="367">
        <v>-976794.97</v>
      </c>
      <c r="I123" s="367">
        <v>-932785.45</v>
      </c>
      <c r="J123" s="367">
        <v>-847463.24</v>
      </c>
      <c r="K123" s="367">
        <v>-775059.97</v>
      </c>
      <c r="L123" s="367">
        <v>-831360.03</v>
      </c>
      <c r="M123" s="367">
        <v>-869635.27</v>
      </c>
      <c r="N123" s="367">
        <v>-995788.41</v>
      </c>
      <c r="O123" s="368">
        <v>-1315195.6399999999</v>
      </c>
      <c r="P123" s="48">
        <v>-1664229.92</v>
      </c>
      <c r="Q123" s="48">
        <v>-1725776.62</v>
      </c>
      <c r="R123" s="48">
        <v>-1673290.71</v>
      </c>
      <c r="S123" s="48">
        <v>-1229117.07</v>
      </c>
      <c r="T123" s="48">
        <v>-975666.7</v>
      </c>
      <c r="U123" s="48">
        <v>-1002205.77</v>
      </c>
      <c r="V123" s="48">
        <v>-912708.83</v>
      </c>
      <c r="W123" s="48">
        <v>-928091.8</v>
      </c>
      <c r="X123" s="48">
        <v>-891243.46</v>
      </c>
      <c r="Y123" s="48">
        <v>-927213.1</v>
      </c>
      <c r="Z123" s="48">
        <v>-1021815.52</v>
      </c>
      <c r="AA123" s="48">
        <v>-1208624.43</v>
      </c>
      <c r="AB123" s="48">
        <v>-1198343.2</v>
      </c>
      <c r="AC123" s="48">
        <v>-1351333.36</v>
      </c>
      <c r="AD123" s="48">
        <v>-1165896.1399999999</v>
      </c>
      <c r="AE123" s="48">
        <v>-994559.98</v>
      </c>
      <c r="AF123" s="48">
        <v>-867720.71</v>
      </c>
      <c r="AG123" s="48">
        <v>-775616.31</v>
      </c>
      <c r="AH123" s="48">
        <v>-723092.11</v>
      </c>
      <c r="AI123" s="48">
        <v>-667736.4</v>
      </c>
      <c r="AJ123" s="48">
        <v>-709221.41</v>
      </c>
      <c r="AK123" s="48">
        <v>-711384.4</v>
      </c>
      <c r="AL123" s="48">
        <v>-835820.76</v>
      </c>
      <c r="AM123" s="48">
        <v>-1011650.27</v>
      </c>
      <c r="AN123" s="48">
        <v>-1348015.55</v>
      </c>
      <c r="AO123" s="48">
        <v>-1266415.22</v>
      </c>
      <c r="AP123" s="48">
        <v>-1184675.03</v>
      </c>
      <c r="AQ123" s="48">
        <v>-1151187.1599999999</v>
      </c>
      <c r="AR123" s="48">
        <v>-1006057.14</v>
      </c>
      <c r="AS123" s="48">
        <v>-877961.3</v>
      </c>
      <c r="AT123" s="48">
        <v>-808505.35</v>
      </c>
      <c r="AU123" s="48">
        <v>-781210.08</v>
      </c>
      <c r="AV123" s="48">
        <v>-870712.38</v>
      </c>
      <c r="AW123" s="48">
        <v>-784132.92</v>
      </c>
      <c r="AX123" s="48">
        <v>-963086.35</v>
      </c>
      <c r="AY123" s="48">
        <v>-1194601.32</v>
      </c>
      <c r="AZ123" s="48">
        <v>-2221479.5499999998</v>
      </c>
      <c r="BA123" s="48">
        <v>-1945466.55</v>
      </c>
      <c r="BB123" s="48">
        <v>-1555578.29</v>
      </c>
      <c r="BC123" s="48">
        <v>-1615273.59</v>
      </c>
      <c r="BD123" s="48">
        <v>-1279309.1399999999</v>
      </c>
      <c r="BE123" s="48">
        <v>-1206047.2</v>
      </c>
      <c r="BF123" s="48">
        <v>-1074509.8500000001</v>
      </c>
      <c r="BG123" s="48">
        <v>-1025720.95</v>
      </c>
      <c r="BH123" s="48">
        <v>-1124485.47</v>
      </c>
      <c r="BI123" s="48">
        <v>-1038104.84</v>
      </c>
      <c r="BJ123" s="48">
        <v>-1156692.9099999999</v>
      </c>
      <c r="BK123" s="48">
        <v>-1592775.22</v>
      </c>
      <c r="BL123" s="48">
        <v>-2089639.75</v>
      </c>
      <c r="BM123" s="48">
        <v>-2114741.98</v>
      </c>
      <c r="BN123" s="48">
        <v>-1727079.1</v>
      </c>
      <c r="BO123" s="48">
        <v>-1612990.88</v>
      </c>
      <c r="BP123" s="48">
        <v>-1426900.47</v>
      </c>
      <c r="BQ123" s="48">
        <v>-1214039.6299999999</v>
      </c>
      <c r="BR123" s="48">
        <v>-1145227.18</v>
      </c>
      <c r="BS123" s="48">
        <v>-1126014.02</v>
      </c>
      <c r="BT123" s="48">
        <v>-1157081</v>
      </c>
      <c r="BU123" s="48">
        <v>-1157449.17</v>
      </c>
      <c r="BV123" s="48">
        <v>-1310429.8799999999</v>
      </c>
      <c r="BW123" s="48">
        <v>-1821342.98</v>
      </c>
      <c r="BX123" s="48">
        <v>-2104825.4500000002</v>
      </c>
      <c r="BY123" s="48">
        <v>-2074223.39</v>
      </c>
      <c r="BZ123" s="48">
        <v>-1925868.4</v>
      </c>
      <c r="CA123" s="48">
        <v>-1475823.06</v>
      </c>
      <c r="CB123" s="48">
        <v>-1319818.31</v>
      </c>
      <c r="CC123" s="48">
        <v>-1290794.52</v>
      </c>
      <c r="CD123" s="48">
        <v>-1160864.19</v>
      </c>
      <c r="CE123" s="48">
        <v>-1139760.6399999999</v>
      </c>
      <c r="CF123" s="48">
        <v>-1129050.83</v>
      </c>
      <c r="CG123" s="48">
        <v>-1206659.72</v>
      </c>
      <c r="CH123" s="48">
        <v>-1403783.48</v>
      </c>
      <c r="CI123" s="48">
        <v>-1842772.29</v>
      </c>
      <c r="CJ123" s="48">
        <v>-2271144.79</v>
      </c>
      <c r="CK123" s="48">
        <v>-2037720.8</v>
      </c>
      <c r="CL123" s="48">
        <v>-1735252.44</v>
      </c>
      <c r="CM123" s="48">
        <v>-1728972.43</v>
      </c>
      <c r="CN123" s="48">
        <v>-1389625.1</v>
      </c>
      <c r="CO123" s="48">
        <v>-1277426.24</v>
      </c>
      <c r="CP123" s="48">
        <v>-1220044.76</v>
      </c>
      <c r="CQ123" s="48">
        <v>-1116595.76</v>
      </c>
      <c r="CR123" s="48">
        <v>-1182011.53</v>
      </c>
      <c r="CS123" s="48">
        <v>-1158411.58</v>
      </c>
      <c r="CT123" s="48">
        <v>-1356875</v>
      </c>
      <c r="CU123" s="48">
        <v>-1807593.46</v>
      </c>
      <c r="CV123" s="48">
        <v>-2748932.99</v>
      </c>
      <c r="CW123" s="48">
        <v>-3060083.48</v>
      </c>
      <c r="CX123" s="48">
        <v>-2532865.42</v>
      </c>
      <c r="CY123" s="48">
        <v>-2248845.23</v>
      </c>
      <c r="CZ123" s="48">
        <v>-2029055.71</v>
      </c>
      <c r="DA123" s="48">
        <v>-1735395.72</v>
      </c>
      <c r="DB123" s="48">
        <v>-1562281.34</v>
      </c>
      <c r="DC123" s="48">
        <v>-1508194.91</v>
      </c>
      <c r="DD123" s="48">
        <v>-1565727.69</v>
      </c>
      <c r="DE123" s="48">
        <f>VLOOKUP($C123,'[2]Analysis 1'!$C$5:$DG$1025,107,FALSE)</f>
        <v>-1770138.56</v>
      </c>
      <c r="DF123" s="48">
        <f>VLOOKUP($C123,'[2]Analysis 1'!$C$5:$DG$1025,108,FALSE)</f>
        <v>-1881459.29</v>
      </c>
      <c r="DG123" s="48">
        <f>VLOOKUP($C123,'[2]Analysis 1'!$C$5:$DG$1025,109,FALSE)</f>
        <v>-2292092.62</v>
      </c>
      <c r="DH123" s="369">
        <f t="shared" si="2"/>
        <v>-24935072.960000001</v>
      </c>
    </row>
    <row r="124" spans="1:112">
      <c r="A124" s="357" t="str">
        <f t="shared" si="3"/>
        <v>4950205</v>
      </c>
      <c r="B124" s="350" t="s">
        <v>1952</v>
      </c>
      <c r="C124" s="335" t="s">
        <v>1046</v>
      </c>
      <c r="D124" s="367">
        <v>-962488.02</v>
      </c>
      <c r="E124" s="367">
        <v>-970766.68</v>
      </c>
      <c r="F124" s="367">
        <v>-818115.57</v>
      </c>
      <c r="G124" s="367">
        <v>-765780.78</v>
      </c>
      <c r="H124" s="367">
        <v>-634682.4</v>
      </c>
      <c r="I124" s="367">
        <v>-659680.96</v>
      </c>
      <c r="J124" s="367">
        <v>-611352.59</v>
      </c>
      <c r="K124" s="367">
        <v>-579391.89</v>
      </c>
      <c r="L124" s="367">
        <v>-612396.09</v>
      </c>
      <c r="M124" s="367">
        <v>-613588.09</v>
      </c>
      <c r="N124" s="367">
        <v>-654532.75</v>
      </c>
      <c r="O124" s="368">
        <v>-821418.82</v>
      </c>
      <c r="P124" s="48">
        <v>-921564.01</v>
      </c>
      <c r="Q124" s="48">
        <v>-930701.6</v>
      </c>
      <c r="R124" s="48">
        <v>-876713.12</v>
      </c>
      <c r="S124" s="48">
        <v>-716711.79</v>
      </c>
      <c r="T124" s="48">
        <v>-628787.68999999994</v>
      </c>
      <c r="U124" s="48">
        <v>-659683.54</v>
      </c>
      <c r="V124" s="48">
        <v>-731931.03</v>
      </c>
      <c r="W124" s="48">
        <v>-555618.9</v>
      </c>
      <c r="X124" s="48">
        <v>-659420.37</v>
      </c>
      <c r="Y124" s="48">
        <v>-663224.89</v>
      </c>
      <c r="Z124" s="48">
        <v>-711130.29</v>
      </c>
      <c r="AA124" s="48">
        <v>-786432.01</v>
      </c>
      <c r="AB124" s="48">
        <v>-944707.49</v>
      </c>
      <c r="AC124" s="48">
        <v>-1061673.83</v>
      </c>
      <c r="AD124" s="48">
        <v>-932956.59</v>
      </c>
      <c r="AE124" s="48">
        <v>-853197.85</v>
      </c>
      <c r="AF124" s="48">
        <v>-771462.93</v>
      </c>
      <c r="AG124" s="48">
        <v>-715451.39</v>
      </c>
      <c r="AH124" s="48">
        <v>-671022.66</v>
      </c>
      <c r="AI124" s="48">
        <v>-666345.05000000005</v>
      </c>
      <c r="AJ124" s="48">
        <v>-666261.43999999994</v>
      </c>
      <c r="AK124" s="48">
        <v>-662989.31999999995</v>
      </c>
      <c r="AL124" s="48">
        <v>-721183.81</v>
      </c>
      <c r="AM124" s="48">
        <v>-827905.41</v>
      </c>
      <c r="AN124" s="48">
        <v>-912988.68</v>
      </c>
      <c r="AO124" s="48">
        <v>-878265.25</v>
      </c>
      <c r="AP124" s="48">
        <v>-848096.58</v>
      </c>
      <c r="AQ124" s="48">
        <v>-830109.35</v>
      </c>
      <c r="AR124" s="48">
        <v>-750287.94</v>
      </c>
      <c r="AS124" s="48">
        <v>-711474.39</v>
      </c>
      <c r="AT124" s="48">
        <v>-667979.71</v>
      </c>
      <c r="AU124" s="48">
        <v>-675093.16</v>
      </c>
      <c r="AV124" s="48">
        <v>-699827.49</v>
      </c>
      <c r="AW124" s="48">
        <v>-730169.45</v>
      </c>
      <c r="AX124" s="48">
        <v>-791687.72</v>
      </c>
      <c r="AY124" s="48">
        <v>-901652.99</v>
      </c>
      <c r="AZ124" s="48">
        <v>-1210510.42</v>
      </c>
      <c r="BA124" s="48">
        <v>-1081911.23</v>
      </c>
      <c r="BB124" s="48">
        <v>-950880.62</v>
      </c>
      <c r="BC124" s="48">
        <v>-946344.62</v>
      </c>
      <c r="BD124" s="48">
        <v>-859547.34</v>
      </c>
      <c r="BE124" s="48">
        <v>-820483.76</v>
      </c>
      <c r="BF124" s="48">
        <v>-755180.56</v>
      </c>
      <c r="BG124" s="48">
        <v>-735693.34</v>
      </c>
      <c r="BH124" s="48">
        <v>-780565.78</v>
      </c>
      <c r="BI124" s="48">
        <v>-724571.55</v>
      </c>
      <c r="BJ124" s="48">
        <v>-778025.56</v>
      </c>
      <c r="BK124" s="48">
        <v>-949940.66</v>
      </c>
      <c r="BL124" s="48">
        <v>-1077455.75</v>
      </c>
      <c r="BM124" s="48">
        <v>-1049655.22</v>
      </c>
      <c r="BN124" s="48">
        <v>-976425.94</v>
      </c>
      <c r="BO124" s="48">
        <v>-944434.86</v>
      </c>
      <c r="BP124" s="48">
        <v>-814908.7</v>
      </c>
      <c r="BQ124" s="48">
        <v>-782183.36</v>
      </c>
      <c r="BR124" s="48">
        <v>-760420.2</v>
      </c>
      <c r="BS124" s="48">
        <v>-726605.6</v>
      </c>
      <c r="BT124" s="48">
        <v>-766395.44</v>
      </c>
      <c r="BU124" s="48">
        <v>-746665.18</v>
      </c>
      <c r="BV124" s="48">
        <v>-829620.68</v>
      </c>
      <c r="BW124" s="48">
        <v>-1001016.06</v>
      </c>
      <c r="BX124" s="48">
        <v>-1107892.52</v>
      </c>
      <c r="BY124" s="48">
        <v>-1064792.08</v>
      </c>
      <c r="BZ124" s="48">
        <v>-1000768.77</v>
      </c>
      <c r="CA124" s="48">
        <v>-861987.17</v>
      </c>
      <c r="CB124" s="48">
        <v>-761201.88</v>
      </c>
      <c r="CC124" s="48">
        <v>-707180.78</v>
      </c>
      <c r="CD124" s="48">
        <v>-739814.08</v>
      </c>
      <c r="CE124" s="48">
        <v>-732428.55</v>
      </c>
      <c r="CF124" s="48">
        <v>-719516.08</v>
      </c>
      <c r="CG124" s="48">
        <v>-759171.86</v>
      </c>
      <c r="CH124" s="48">
        <v>-852819.9</v>
      </c>
      <c r="CI124" s="48">
        <v>-986412.7</v>
      </c>
      <c r="CJ124" s="48">
        <v>-1347921.56</v>
      </c>
      <c r="CK124" s="48">
        <v>-1255574.45</v>
      </c>
      <c r="CL124" s="48">
        <v>-1176632.71</v>
      </c>
      <c r="CM124" s="48">
        <v>-1182701.1299999999</v>
      </c>
      <c r="CN124" s="48">
        <v>-1055107.24</v>
      </c>
      <c r="CO124" s="48">
        <v>-994597.45</v>
      </c>
      <c r="CP124" s="48">
        <v>-997341.73</v>
      </c>
      <c r="CQ124" s="48">
        <v>-928115.15</v>
      </c>
      <c r="CR124" s="48">
        <v>-980203.27</v>
      </c>
      <c r="CS124" s="48">
        <v>-931959.41</v>
      </c>
      <c r="CT124" s="48">
        <v>-1052791.18</v>
      </c>
      <c r="CU124" s="48">
        <v>-1274558.2</v>
      </c>
      <c r="CV124" s="48">
        <v>-1448910.88</v>
      </c>
      <c r="CW124" s="48">
        <v>-1529552.96</v>
      </c>
      <c r="CX124" s="48">
        <v>-1370392.34</v>
      </c>
      <c r="CY124" s="48">
        <v>-1259490.8799999999</v>
      </c>
      <c r="CZ124" s="48">
        <v>-1191620.17</v>
      </c>
      <c r="DA124" s="48">
        <v>-1091400.44</v>
      </c>
      <c r="DB124" s="48">
        <v>-1018216.2</v>
      </c>
      <c r="DC124" s="48">
        <v>-1130553.42</v>
      </c>
      <c r="DD124" s="48">
        <v>-1166932</v>
      </c>
      <c r="DE124" s="48">
        <f>VLOOKUP($C124,'[2]Analysis 1'!$C$5:$DG$1025,107,FALSE)</f>
        <v>-1226121.8</v>
      </c>
      <c r="DF124" s="48">
        <f>VLOOKUP($C124,'[2]Analysis 1'!$C$5:$DG$1025,108,FALSE)</f>
        <v>-1127298.28</v>
      </c>
      <c r="DG124" s="48">
        <f>VLOOKUP($C124,'[2]Analysis 1'!$C$5:$DG$1025,109,FALSE)</f>
        <v>-1254323.27</v>
      </c>
      <c r="DH124" s="369">
        <f t="shared" si="2"/>
        <v>-14814812.639999999</v>
      </c>
    </row>
    <row r="125" spans="1:112">
      <c r="A125" s="357" t="str">
        <f t="shared" si="3"/>
        <v>4950206</v>
      </c>
      <c r="B125" s="350" t="s">
        <v>1953</v>
      </c>
      <c r="C125" s="335" t="s">
        <v>1047</v>
      </c>
      <c r="D125" s="340">
        <v>-1465731.05</v>
      </c>
      <c r="E125" s="340">
        <v>-1421595.38</v>
      </c>
      <c r="F125" s="340">
        <v>-1286642.43</v>
      </c>
      <c r="G125" s="340">
        <v>-1142563.07</v>
      </c>
      <c r="H125" s="340">
        <v>-973728.84</v>
      </c>
      <c r="I125" s="340">
        <v>-877486.41</v>
      </c>
      <c r="J125" s="340">
        <v>-810814.72</v>
      </c>
      <c r="K125" s="340">
        <v>-823589.01</v>
      </c>
      <c r="L125" s="340">
        <v>-877702.84</v>
      </c>
      <c r="M125" s="340">
        <v>-906182.37</v>
      </c>
      <c r="N125" s="340">
        <v>-1020693.12</v>
      </c>
      <c r="O125" s="341">
        <v>-1299279.1100000001</v>
      </c>
      <c r="P125" s="48">
        <v>-1442235.87</v>
      </c>
      <c r="Q125" s="48">
        <v>-1486286.69</v>
      </c>
      <c r="R125" s="48">
        <v>-1457304.46</v>
      </c>
      <c r="S125" s="48">
        <v>-1148076.8</v>
      </c>
      <c r="T125" s="48">
        <v>-937863.33</v>
      </c>
      <c r="U125" s="48">
        <v>-958209.06</v>
      </c>
      <c r="V125" s="48">
        <v>-1195531.6200000001</v>
      </c>
      <c r="W125" s="48">
        <v>-686270.15</v>
      </c>
      <c r="X125" s="48">
        <v>-909597.35</v>
      </c>
      <c r="Y125" s="48">
        <v>-950741.2</v>
      </c>
      <c r="Z125" s="48">
        <v>-1034527.47</v>
      </c>
      <c r="AA125" s="48">
        <v>-1206266.96</v>
      </c>
      <c r="AB125" s="48">
        <v>-1498909.7</v>
      </c>
      <c r="AC125" s="48">
        <v>-1616852.72</v>
      </c>
      <c r="AD125" s="48">
        <v>-1429511.29</v>
      </c>
      <c r="AE125" s="48">
        <v>-1127332.1000000001</v>
      </c>
      <c r="AF125" s="48">
        <v>-1110115.95</v>
      </c>
      <c r="AG125" s="48">
        <v>-967475.79</v>
      </c>
      <c r="AH125" s="48">
        <v>-931908.86</v>
      </c>
      <c r="AI125" s="48">
        <v>-821047.49</v>
      </c>
      <c r="AJ125" s="48">
        <v>-915385.39</v>
      </c>
      <c r="AK125" s="48">
        <v>-897013.57</v>
      </c>
      <c r="AL125" s="48">
        <v>-1056768.1499999999</v>
      </c>
      <c r="AM125" s="48">
        <v>-1254297.95</v>
      </c>
      <c r="AN125" s="48">
        <v>-1428833.5</v>
      </c>
      <c r="AO125" s="48">
        <v>-1331291.83</v>
      </c>
      <c r="AP125" s="48">
        <v>-1304620.72</v>
      </c>
      <c r="AQ125" s="48">
        <v>-1256682.8</v>
      </c>
      <c r="AR125" s="48">
        <v>-1083308.08</v>
      </c>
      <c r="AS125" s="48">
        <v>-956412.46</v>
      </c>
      <c r="AT125" s="48">
        <v>-781953.93</v>
      </c>
      <c r="AU125" s="48">
        <v>-882707.38</v>
      </c>
      <c r="AV125" s="48">
        <v>-882685.75</v>
      </c>
      <c r="AW125" s="48">
        <v>-943974.85</v>
      </c>
      <c r="AX125" s="48">
        <v>-1056539.08</v>
      </c>
      <c r="AY125" s="48">
        <v>-1285409.1499999999</v>
      </c>
      <c r="AZ125" s="48">
        <v>-1708204.03</v>
      </c>
      <c r="BA125" s="48">
        <v>-1517623.77</v>
      </c>
      <c r="BB125" s="48">
        <v>-1285616.07</v>
      </c>
      <c r="BC125" s="48">
        <v>-1347277.44</v>
      </c>
      <c r="BD125" s="48">
        <v>-1083546.55</v>
      </c>
      <c r="BE125" s="48">
        <v>-1040489.85</v>
      </c>
      <c r="BF125" s="48">
        <v>-901115.17</v>
      </c>
      <c r="BG125" s="48">
        <v>-843863.63</v>
      </c>
      <c r="BH125" s="48">
        <v>-992990.1</v>
      </c>
      <c r="BI125" s="48">
        <v>-897678.51</v>
      </c>
      <c r="BJ125" s="48">
        <v>-1016239.82</v>
      </c>
      <c r="BK125" s="48">
        <v>-1402489.24</v>
      </c>
      <c r="BL125" s="48">
        <v>-1665864.94</v>
      </c>
      <c r="BM125" s="48">
        <v>-1640421.41</v>
      </c>
      <c r="BN125" s="48">
        <v>-1434294.15</v>
      </c>
      <c r="BO125" s="48">
        <v>-1134539.23</v>
      </c>
      <c r="BP125" s="48">
        <v>-1185315.3999999999</v>
      </c>
      <c r="BQ125" s="48">
        <v>-1023382.27</v>
      </c>
      <c r="BR125" s="48">
        <v>-990882.96</v>
      </c>
      <c r="BS125" s="48">
        <v>-938493.94</v>
      </c>
      <c r="BT125" s="48">
        <v>-959936.59</v>
      </c>
      <c r="BU125" s="48">
        <v>-942398.3</v>
      </c>
      <c r="BV125" s="48">
        <v>-1118971.45</v>
      </c>
      <c r="BW125" s="48">
        <v>-1513136.83</v>
      </c>
      <c r="BX125" s="48">
        <v>-1628543.84</v>
      </c>
      <c r="BY125" s="48">
        <v>-1581269.81</v>
      </c>
      <c r="BZ125" s="48">
        <v>-1360686.35</v>
      </c>
      <c r="CA125" s="48">
        <v>-1067229.21</v>
      </c>
      <c r="CB125" s="48">
        <v>-959002.58</v>
      </c>
      <c r="CC125" s="48">
        <v>-972001.62</v>
      </c>
      <c r="CD125" s="48">
        <v>-857883.31</v>
      </c>
      <c r="CE125" s="48">
        <v>-916574.94</v>
      </c>
      <c r="CF125" s="48">
        <v>-877380.33</v>
      </c>
      <c r="CG125" s="48">
        <v>-967926.02</v>
      </c>
      <c r="CH125" s="48">
        <v>-1102359.0900000001</v>
      </c>
      <c r="CI125" s="48">
        <v>-1409825.73</v>
      </c>
      <c r="CJ125" s="48">
        <v>-1837558.54</v>
      </c>
      <c r="CK125" s="48">
        <v>-1657676.57</v>
      </c>
      <c r="CL125" s="48">
        <v>-1456490.32</v>
      </c>
      <c r="CM125" s="48">
        <v>-1436211.98</v>
      </c>
      <c r="CN125" s="48">
        <v>-1208611.94</v>
      </c>
      <c r="CO125" s="48">
        <v>-1116474.1299999999</v>
      </c>
      <c r="CP125" s="48">
        <v>-1142086.17</v>
      </c>
      <c r="CQ125" s="48">
        <v>-1017929.49</v>
      </c>
      <c r="CR125" s="48">
        <v>-1078486.3799999999</v>
      </c>
      <c r="CS125" s="48">
        <v>-1080685.17</v>
      </c>
      <c r="CT125" s="48">
        <v>-1242017.5900000001</v>
      </c>
      <c r="CU125" s="48">
        <v>-1619789.26</v>
      </c>
      <c r="CV125" s="48">
        <v>-1747412.92</v>
      </c>
      <c r="CW125" s="48">
        <v>-1892978.9</v>
      </c>
      <c r="CX125" s="48">
        <v>-1640029.05</v>
      </c>
      <c r="CY125" s="48">
        <v>-1468301.53</v>
      </c>
      <c r="CZ125" s="48">
        <v>-1331047.67</v>
      </c>
      <c r="DA125" s="48">
        <v>-1173483.29</v>
      </c>
      <c r="DB125" s="48">
        <v>-1072143.94</v>
      </c>
      <c r="DC125" s="48">
        <v>-1019030.03</v>
      </c>
      <c r="DD125" s="48">
        <v>-1081406.97</v>
      </c>
      <c r="DE125" s="48">
        <f>VLOOKUP($C125,'[2]Analysis 1'!$C$5:$DG$1025,107,FALSE)</f>
        <v>-1184872.05</v>
      </c>
      <c r="DF125" s="48">
        <f>VLOOKUP($C125,'[2]Analysis 1'!$C$5:$DG$1025,108,FALSE)</f>
        <v>-1256626.96</v>
      </c>
      <c r="DG125" s="48">
        <f>VLOOKUP($C125,'[2]Analysis 1'!$C$5:$DG$1025,109,FALSE)</f>
        <v>-1564803.32</v>
      </c>
      <c r="DH125" s="369">
        <f t="shared" si="2"/>
        <v>-16432136.629999999</v>
      </c>
    </row>
    <row r="126" spans="1:112">
      <c r="A126" s="357" t="str">
        <f t="shared" si="3"/>
        <v>4950207</v>
      </c>
      <c r="B126" s="350" t="s">
        <v>1954</v>
      </c>
      <c r="C126" s="335" t="s">
        <v>1048</v>
      </c>
      <c r="D126" s="340">
        <v>-787.94</v>
      </c>
      <c r="E126" s="340">
        <v>-996.97</v>
      </c>
      <c r="F126" s="340">
        <v>-1039.98</v>
      </c>
      <c r="G126" s="340">
        <v>-535.63</v>
      </c>
      <c r="H126" s="340">
        <v>-843</v>
      </c>
      <c r="I126" s="340">
        <v>-795.34</v>
      </c>
      <c r="J126" s="340">
        <v>-778.56</v>
      </c>
      <c r="K126" s="340">
        <v>-776.67</v>
      </c>
      <c r="L126" s="340">
        <v>-488.78</v>
      </c>
      <c r="M126" s="340">
        <v>-731.56</v>
      </c>
      <c r="N126" s="340">
        <v>-764.03</v>
      </c>
      <c r="O126" s="341">
        <v>-823.47</v>
      </c>
      <c r="P126" s="48">
        <v>-911.56</v>
      </c>
      <c r="Q126" s="48">
        <v>-994.84</v>
      </c>
      <c r="R126" s="48">
        <v>-999.97</v>
      </c>
      <c r="S126" s="48">
        <v>-1022.3</v>
      </c>
      <c r="T126" s="48">
        <v>-795.2</v>
      </c>
      <c r="U126" s="48">
        <v>-774.76</v>
      </c>
      <c r="V126" s="48">
        <v>-772.26</v>
      </c>
      <c r="W126" s="48">
        <v>-493.2</v>
      </c>
      <c r="X126" s="48">
        <v>-760.36</v>
      </c>
      <c r="Y126" s="48">
        <v>-754.17</v>
      </c>
      <c r="Z126" s="48">
        <v>-759.62</v>
      </c>
      <c r="AA126" s="48">
        <v>-782.37</v>
      </c>
      <c r="AB126" s="48">
        <v>-825.35</v>
      </c>
      <c r="AC126" s="48">
        <v>-910.22</v>
      </c>
      <c r="AD126" s="48">
        <v>-1018.26</v>
      </c>
      <c r="AE126" s="48">
        <v>-936.7</v>
      </c>
      <c r="AF126" s="48">
        <v>-851.11</v>
      </c>
      <c r="AG126" s="48">
        <v>-809.47</v>
      </c>
      <c r="AH126" s="48">
        <v>-759.98</v>
      </c>
      <c r="AI126" s="48">
        <v>-739.04</v>
      </c>
      <c r="AJ126" s="48">
        <v>-745.24</v>
      </c>
      <c r="AK126" s="48">
        <v>-747.45</v>
      </c>
      <c r="AL126" s="48">
        <v>-753.97</v>
      </c>
      <c r="AM126" s="48">
        <v>-795.01</v>
      </c>
      <c r="AN126" s="48">
        <v>-857.75</v>
      </c>
      <c r="AO126" s="48">
        <v>-947.8</v>
      </c>
      <c r="AP126" s="48">
        <v>-925.97</v>
      </c>
      <c r="AQ126" s="48">
        <v>-865.43</v>
      </c>
      <c r="AR126" s="48">
        <v>-867.62</v>
      </c>
      <c r="AS126" s="48">
        <v>-839.39</v>
      </c>
      <c r="AT126" s="48">
        <v>-750.31</v>
      </c>
      <c r="AU126" s="48">
        <v>-757.75</v>
      </c>
      <c r="AV126" s="48">
        <v>-747.19</v>
      </c>
      <c r="AW126" s="48">
        <v>-759.56</v>
      </c>
      <c r="AX126" s="48">
        <v>-777.9</v>
      </c>
      <c r="AY126" s="48">
        <v>-820.17</v>
      </c>
      <c r="AZ126" s="48">
        <v>-902.33</v>
      </c>
      <c r="BA126" s="48">
        <v>-1154.53</v>
      </c>
      <c r="BB126" s="48">
        <v>-1086.17</v>
      </c>
      <c r="BC126" s="48">
        <v>-910.21</v>
      </c>
      <c r="BD126" s="48">
        <v>-992.76</v>
      </c>
      <c r="BE126" s="48">
        <v>-859.08</v>
      </c>
      <c r="BF126" s="48">
        <v>-909.7</v>
      </c>
      <c r="BG126" s="48">
        <v>-844.06</v>
      </c>
      <c r="BH126" s="48">
        <v>-772.33</v>
      </c>
      <c r="BI126" s="48">
        <v>-778.41</v>
      </c>
      <c r="BJ126" s="48">
        <v>-759.15</v>
      </c>
      <c r="BK126" s="48">
        <v>-805.51</v>
      </c>
      <c r="BL126" s="48">
        <v>-957.21</v>
      </c>
      <c r="BM126" s="48">
        <v>-1072.44</v>
      </c>
      <c r="BN126" s="48">
        <v>-1081.33</v>
      </c>
      <c r="BO126" s="48">
        <v>-944.85</v>
      </c>
      <c r="BP126" s="48">
        <v>-965.72</v>
      </c>
      <c r="BQ126" s="48">
        <v>-895.24</v>
      </c>
      <c r="BR126" s="48">
        <v>-806.91</v>
      </c>
      <c r="BS126" s="48">
        <v>-807.41</v>
      </c>
      <c r="BT126" s="48">
        <v>-797.53</v>
      </c>
      <c r="BU126" s="48">
        <v>-806.1</v>
      </c>
      <c r="BV126" s="48">
        <v>-804.04</v>
      </c>
      <c r="BW126" s="48">
        <v>-855.28</v>
      </c>
      <c r="BX126" s="48">
        <v>-1018.31</v>
      </c>
      <c r="BY126" s="48">
        <v>-1101.8900000000001</v>
      </c>
      <c r="BZ126" s="48">
        <v>-1089.4000000000001</v>
      </c>
      <c r="CA126" s="48">
        <v>-1053.68</v>
      </c>
      <c r="CB126" s="48">
        <v>-913.04</v>
      </c>
      <c r="CC126" s="48">
        <v>-837.92</v>
      </c>
      <c r="CD126" s="48">
        <v>-846.73</v>
      </c>
      <c r="CE126" s="48">
        <v>-841.2</v>
      </c>
      <c r="CF126" s="48">
        <v>-813.59</v>
      </c>
      <c r="CG126" s="48">
        <v>-805.14</v>
      </c>
      <c r="CH126" s="48">
        <v>-830.87</v>
      </c>
      <c r="CI126" s="48">
        <v>-871.78</v>
      </c>
      <c r="CJ126" s="48">
        <v>-1008.63</v>
      </c>
      <c r="CK126" s="48">
        <v>-1295.1300000000001</v>
      </c>
      <c r="CL126" s="48">
        <v>-1242.57</v>
      </c>
      <c r="CM126" s="48">
        <v>-1104.81</v>
      </c>
      <c r="CN126" s="48">
        <v>-1134.1199999999999</v>
      </c>
      <c r="CO126" s="48">
        <v>-1011.73</v>
      </c>
      <c r="CP126" s="48">
        <v>-978.11</v>
      </c>
      <c r="CQ126" s="48">
        <v>-970.69</v>
      </c>
      <c r="CR126" s="48">
        <v>-934.75</v>
      </c>
      <c r="CS126" s="48">
        <v>-946.47</v>
      </c>
      <c r="CT126" s="48">
        <v>-953.54</v>
      </c>
      <c r="CU126" s="48">
        <v>-1015.64</v>
      </c>
      <c r="CV126" s="48">
        <v>-1202.07</v>
      </c>
      <c r="CW126" s="48">
        <v>-1247.26</v>
      </c>
      <c r="CX126" s="48">
        <v>-1410.21</v>
      </c>
      <c r="CY126" s="48">
        <v>-1220.6600000000001</v>
      </c>
      <c r="CZ126" s="48">
        <v>-1168.5999999999999</v>
      </c>
      <c r="DA126" s="48">
        <v>-1083.1600000000001</v>
      </c>
      <c r="DB126" s="48">
        <v>-1007.39</v>
      </c>
      <c r="DC126" s="48">
        <v>-960.09</v>
      </c>
      <c r="DD126" s="48">
        <v>-965</v>
      </c>
      <c r="DE126" s="48">
        <f>VLOOKUP($C126,'[2]Analysis 1'!$C$5:$DG$1025,107,FALSE)</f>
        <v>-959.62</v>
      </c>
      <c r="DF126" s="48">
        <f>VLOOKUP($C126,'[2]Analysis 1'!$C$5:$DG$1025,108,FALSE)</f>
        <v>-1002.42</v>
      </c>
      <c r="DG126" s="48">
        <f>VLOOKUP($C126,'[2]Analysis 1'!$C$5:$DG$1025,109,FALSE)</f>
        <v>-1061.6400000000001</v>
      </c>
      <c r="DH126" s="369">
        <f t="shared" si="2"/>
        <v>-13288.119999999999</v>
      </c>
    </row>
    <row r="127" spans="1:112">
      <c r="A127" s="357" t="str">
        <f t="shared" si="3"/>
        <v>4950208</v>
      </c>
      <c r="B127" s="350" t="s">
        <v>1955</v>
      </c>
      <c r="C127" s="335" t="s">
        <v>1049</v>
      </c>
      <c r="D127" s="340">
        <v>-140</v>
      </c>
      <c r="E127" s="340">
        <v>-160</v>
      </c>
      <c r="F127" s="340">
        <v>-60</v>
      </c>
      <c r="G127" s="340">
        <v>-180</v>
      </c>
      <c r="H127" s="340">
        <v>0</v>
      </c>
      <c r="I127" s="340">
        <v>-1100</v>
      </c>
      <c r="J127" s="340">
        <v>-1060</v>
      </c>
      <c r="K127" s="340">
        <v>-1560</v>
      </c>
      <c r="L127" s="340">
        <v>-1320</v>
      </c>
      <c r="M127" s="340">
        <v>-1300</v>
      </c>
      <c r="N127" s="340">
        <v>-1380</v>
      </c>
      <c r="O127" s="341">
        <v>-760</v>
      </c>
      <c r="P127" s="48">
        <v>-1180</v>
      </c>
      <c r="Q127" s="48">
        <v>-700</v>
      </c>
      <c r="R127" s="48">
        <v>-1300</v>
      </c>
      <c r="S127" s="48">
        <v>-1600</v>
      </c>
      <c r="T127" s="48">
        <v>0</v>
      </c>
      <c r="U127" s="48">
        <v>-3780</v>
      </c>
      <c r="V127" s="48">
        <v>-2100</v>
      </c>
      <c r="W127" s="48">
        <v>-2300</v>
      </c>
      <c r="X127" s="48">
        <v>-460</v>
      </c>
      <c r="Y127" s="48">
        <v>-160</v>
      </c>
      <c r="Z127" s="48">
        <v>-120</v>
      </c>
      <c r="AA127" s="48">
        <v>-180</v>
      </c>
      <c r="AB127" s="48">
        <v>-300</v>
      </c>
      <c r="AC127" s="48">
        <v>-100</v>
      </c>
      <c r="AD127" s="48">
        <v>-360</v>
      </c>
      <c r="AE127" s="48">
        <v>-640</v>
      </c>
      <c r="AF127" s="48">
        <v>-380</v>
      </c>
      <c r="AG127" s="48">
        <v>-620</v>
      </c>
      <c r="AH127" s="48">
        <v>-1140</v>
      </c>
      <c r="AI127" s="48">
        <v>0</v>
      </c>
      <c r="AJ127" s="48">
        <v>-360</v>
      </c>
      <c r="AK127" s="48">
        <v>-280</v>
      </c>
      <c r="AL127" s="48">
        <v>-200</v>
      </c>
      <c r="AM127" s="48">
        <v>-80</v>
      </c>
      <c r="AN127" s="48">
        <v>-160</v>
      </c>
      <c r="AO127" s="48">
        <v>0</v>
      </c>
      <c r="AP127" s="48">
        <v>-380</v>
      </c>
      <c r="AQ127" s="48">
        <v>-80</v>
      </c>
      <c r="AR127" s="48">
        <v>-180</v>
      </c>
      <c r="AS127" s="48">
        <v>-280</v>
      </c>
      <c r="AT127" s="48">
        <v>-740</v>
      </c>
      <c r="AU127" s="48">
        <v>-80</v>
      </c>
      <c r="AV127" s="48">
        <v>-120</v>
      </c>
      <c r="AW127" s="48">
        <v>-100</v>
      </c>
      <c r="AX127" s="48">
        <v>-40</v>
      </c>
      <c r="AY127" s="48">
        <v>-60</v>
      </c>
      <c r="AZ127" s="48">
        <v>-60</v>
      </c>
      <c r="BA127" s="48">
        <v>-40</v>
      </c>
      <c r="BB127" s="48">
        <v>-60</v>
      </c>
      <c r="BC127" s="48">
        <v>0</v>
      </c>
      <c r="BD127" s="48">
        <v>-20</v>
      </c>
      <c r="BE127" s="48">
        <v>-100</v>
      </c>
      <c r="BF127" s="48">
        <v>0</v>
      </c>
      <c r="BG127" s="48">
        <v>-760</v>
      </c>
      <c r="BH127" s="48">
        <v>-20</v>
      </c>
      <c r="BI127" s="48">
        <v>0</v>
      </c>
      <c r="BJ127" s="48">
        <v>-20</v>
      </c>
      <c r="BK127" s="48">
        <v>-40</v>
      </c>
      <c r="BL127" s="48">
        <v>0</v>
      </c>
      <c r="BM127" s="48">
        <v>-220</v>
      </c>
      <c r="BN127" s="48">
        <v>-40</v>
      </c>
      <c r="BO127" s="48">
        <v>-220</v>
      </c>
      <c r="BP127" s="48">
        <v>0</v>
      </c>
      <c r="BQ127" s="48">
        <v>-320</v>
      </c>
      <c r="BR127" s="48">
        <v>-160</v>
      </c>
      <c r="BS127" s="48">
        <v>-180</v>
      </c>
      <c r="BT127" s="48">
        <v>-100</v>
      </c>
      <c r="BU127" s="48">
        <v>0</v>
      </c>
      <c r="BV127" s="48">
        <v>-60</v>
      </c>
      <c r="BW127" s="48">
        <v>-40</v>
      </c>
      <c r="BX127" s="48">
        <v>0</v>
      </c>
      <c r="BY127" s="48">
        <v>-140</v>
      </c>
      <c r="BZ127" s="48">
        <v>-80</v>
      </c>
      <c r="CA127" s="48">
        <v>0</v>
      </c>
      <c r="CB127" s="48">
        <v>-40</v>
      </c>
      <c r="CC127" s="48">
        <v>-20</v>
      </c>
      <c r="CD127" s="48">
        <v>-60</v>
      </c>
      <c r="CE127" s="48">
        <v>0</v>
      </c>
      <c r="CF127" s="48">
        <v>-280</v>
      </c>
      <c r="CG127" s="48">
        <v>-20</v>
      </c>
      <c r="CH127" s="48">
        <v>0</v>
      </c>
      <c r="CI127" s="48">
        <v>-20</v>
      </c>
      <c r="CJ127" s="48">
        <v>-40</v>
      </c>
      <c r="CK127" s="48">
        <v>0</v>
      </c>
      <c r="CL127" s="48">
        <v>-20</v>
      </c>
      <c r="CM127" s="48">
        <v>0</v>
      </c>
      <c r="CN127" s="48">
        <v>0</v>
      </c>
      <c r="CO127" s="48">
        <v>-120</v>
      </c>
      <c r="CP127" s="48">
        <v>-80</v>
      </c>
      <c r="CQ127" s="48">
        <v>-260</v>
      </c>
      <c r="CR127" s="48">
        <v>-60</v>
      </c>
      <c r="CS127" s="48">
        <v>0</v>
      </c>
      <c r="CT127" s="48">
        <v>-120</v>
      </c>
      <c r="CU127" s="48">
        <v>-100</v>
      </c>
      <c r="CV127" s="48">
        <v>-140</v>
      </c>
      <c r="CW127" s="48">
        <v>-80</v>
      </c>
      <c r="CX127" s="48">
        <v>-660</v>
      </c>
      <c r="CY127" s="48">
        <v>-20</v>
      </c>
      <c r="CZ127" s="48">
        <v>-60</v>
      </c>
      <c r="DA127" s="48">
        <v>0</v>
      </c>
      <c r="DB127" s="48">
        <v>-20</v>
      </c>
      <c r="DC127" s="48">
        <v>-140</v>
      </c>
      <c r="DD127" s="48">
        <v>-120</v>
      </c>
      <c r="DE127" s="48">
        <f>VLOOKUP($C127,'[2]Analysis 1'!$C$5:$DG$1025,107,FALSE)</f>
        <v>-40</v>
      </c>
      <c r="DF127" s="48">
        <f>VLOOKUP($C127,'[2]Analysis 1'!$C$5:$DG$1025,108,FALSE)</f>
        <v>-120</v>
      </c>
      <c r="DG127" s="48">
        <f>VLOOKUP($C127,'[2]Analysis 1'!$C$5:$DG$1025,109,FALSE)</f>
        <v>-100</v>
      </c>
      <c r="DH127" s="369">
        <f t="shared" si="2"/>
        <v>-1500</v>
      </c>
    </row>
    <row r="128" spans="1:112">
      <c r="A128" s="357" t="str">
        <f t="shared" si="3"/>
        <v>4950209</v>
      </c>
      <c r="B128" s="350" t="s">
        <v>1956</v>
      </c>
      <c r="C128" s="335" t="s">
        <v>1050</v>
      </c>
      <c r="D128" s="367">
        <v>-24382.17</v>
      </c>
      <c r="E128" s="367">
        <v>-24186.6</v>
      </c>
      <c r="F128" s="367">
        <v>-23238.5</v>
      </c>
      <c r="G128" s="367">
        <v>-24385.09</v>
      </c>
      <c r="H128" s="367">
        <v>-28689.94</v>
      </c>
      <c r="I128" s="367">
        <v>-24586.560000000001</v>
      </c>
      <c r="J128" s="367">
        <v>-25409.41</v>
      </c>
      <c r="K128" s="367">
        <v>-25613.14</v>
      </c>
      <c r="L128" s="367">
        <v>-24908.71</v>
      </c>
      <c r="M128" s="367">
        <v>-26449.96</v>
      </c>
      <c r="N128" s="367">
        <v>-25885.56</v>
      </c>
      <c r="O128" s="368">
        <v>-25965.64</v>
      </c>
      <c r="P128" s="48">
        <v>-31476.44</v>
      </c>
      <c r="Q128" s="48">
        <v>-24834.09</v>
      </c>
      <c r="R128" s="48">
        <v>-26128.400000000001</v>
      </c>
      <c r="S128" s="48">
        <v>-26549.67</v>
      </c>
      <c r="T128" s="48">
        <v>-26098.28</v>
      </c>
      <c r="U128" s="48">
        <v>-28555.68</v>
      </c>
      <c r="V128" s="48">
        <v>-26420.23</v>
      </c>
      <c r="W128" s="48">
        <v>-26974.34</v>
      </c>
      <c r="X128" s="48">
        <v>-25706.01</v>
      </c>
      <c r="Y128" s="48">
        <v>-25305.32</v>
      </c>
      <c r="Z128" s="48">
        <v>-26233.4</v>
      </c>
      <c r="AA128" s="48">
        <v>-27006.29</v>
      </c>
      <c r="AB128" s="48">
        <v>-26484.6</v>
      </c>
      <c r="AC128" s="48">
        <v>-25854.66</v>
      </c>
      <c r="AD128" s="48">
        <v>-25711.97</v>
      </c>
      <c r="AE128" s="48">
        <v>-26264.79</v>
      </c>
      <c r="AF128" s="48">
        <v>-26234.880000000001</v>
      </c>
      <c r="AG128" s="48">
        <v>-27283.279999999999</v>
      </c>
      <c r="AH128" s="48">
        <v>-26684.26</v>
      </c>
      <c r="AI128" s="48">
        <v>-26836.17</v>
      </c>
      <c r="AJ128" s="48">
        <v>-27409.95</v>
      </c>
      <c r="AK128" s="48">
        <v>-27210.94</v>
      </c>
      <c r="AL128" s="48">
        <v>-27006.51</v>
      </c>
      <c r="AM128" s="48">
        <v>-27145.13</v>
      </c>
      <c r="AN128" s="48">
        <v>-24572.58</v>
      </c>
      <c r="AO128" s="48">
        <v>-24606.25</v>
      </c>
      <c r="AP128" s="48">
        <v>-24689.97</v>
      </c>
      <c r="AQ128" s="48">
        <v>-24722.73</v>
      </c>
      <c r="AR128" s="48">
        <v>-24837.39</v>
      </c>
      <c r="AS128" s="48">
        <v>-24847.4</v>
      </c>
      <c r="AT128" s="48">
        <v>-24937.49</v>
      </c>
      <c r="AU128" s="48">
        <v>-24800.080000000002</v>
      </c>
      <c r="AV128" s="48">
        <v>-25197.79</v>
      </c>
      <c r="AW128" s="48">
        <v>-25242.38</v>
      </c>
      <c r="AX128" s="48">
        <v>-25305.17</v>
      </c>
      <c r="AY128" s="48">
        <v>-24857.33</v>
      </c>
      <c r="AZ128" s="48">
        <v>-25130.37</v>
      </c>
      <c r="BA128" s="48">
        <v>-25206.81</v>
      </c>
      <c r="BB128" s="48">
        <v>-25253.22</v>
      </c>
      <c r="BC128" s="48">
        <v>-25320.560000000001</v>
      </c>
      <c r="BD128" s="48">
        <v>-25589.05</v>
      </c>
      <c r="BE128" s="48">
        <v>-25680.05</v>
      </c>
      <c r="BF128" s="48">
        <v>-25749.21</v>
      </c>
      <c r="BG128" s="48">
        <v>-25918.51</v>
      </c>
      <c r="BH128" s="48">
        <v>-25981.3</v>
      </c>
      <c r="BI128" s="48">
        <v>-26065.02</v>
      </c>
      <c r="BJ128" s="48">
        <v>-25952.14</v>
      </c>
      <c r="BK128" s="48">
        <v>-25988.54</v>
      </c>
      <c r="BL128" s="48">
        <v>-26125.040000000001</v>
      </c>
      <c r="BM128" s="48">
        <v>-26138.69</v>
      </c>
      <c r="BN128" s="48">
        <v>-26169.63</v>
      </c>
      <c r="BO128" s="48">
        <v>-26038.59</v>
      </c>
      <c r="BP128" s="48">
        <v>-26034.04</v>
      </c>
      <c r="BQ128" s="48">
        <v>-26129.59</v>
      </c>
      <c r="BR128" s="48">
        <v>-26233.33</v>
      </c>
      <c r="BS128" s="48">
        <v>-26310.68</v>
      </c>
      <c r="BT128" s="48">
        <v>-26337.98</v>
      </c>
      <c r="BU128" s="48">
        <v>-26347.99</v>
      </c>
      <c r="BV128" s="48">
        <v>-26336.16</v>
      </c>
      <c r="BW128" s="48">
        <v>-26424.43</v>
      </c>
      <c r="BX128" s="48">
        <v>-26389.81</v>
      </c>
      <c r="BY128" s="48">
        <v>-26418.02</v>
      </c>
      <c r="BZ128" s="48">
        <v>-26423.48</v>
      </c>
      <c r="CA128" s="48">
        <v>-26339.759999999998</v>
      </c>
      <c r="CB128" s="48">
        <v>-26163.18</v>
      </c>
      <c r="CC128" s="48">
        <v>-26289.71</v>
      </c>
      <c r="CD128" s="48">
        <v>-26202.35</v>
      </c>
      <c r="CE128" s="48">
        <v>-21529.46</v>
      </c>
      <c r="CF128" s="48">
        <v>-30854.31</v>
      </c>
      <c r="CG128" s="48">
        <v>-26060.39</v>
      </c>
      <c r="CH128" s="48">
        <v>-26001.24</v>
      </c>
      <c r="CI128" s="48">
        <v>-26055.84</v>
      </c>
      <c r="CJ128" s="48">
        <v>-26120.45</v>
      </c>
      <c r="CK128" s="48">
        <v>-26110.44</v>
      </c>
      <c r="CL128" s="48">
        <v>-26122.27</v>
      </c>
      <c r="CM128" s="48">
        <v>-26195.07</v>
      </c>
      <c r="CN128" s="48">
        <v>-26236.93</v>
      </c>
      <c r="CO128" s="48">
        <v>-26331.57</v>
      </c>
      <c r="CP128" s="48">
        <v>-26360.69</v>
      </c>
      <c r="CQ128" s="48">
        <v>-25959.26</v>
      </c>
      <c r="CR128" s="48">
        <v>-26239.62</v>
      </c>
      <c r="CS128" s="48">
        <v>-26287.85</v>
      </c>
      <c r="CT128" s="48">
        <v>-26357.01</v>
      </c>
      <c r="CU128" s="48">
        <v>-26407.97</v>
      </c>
      <c r="CV128" s="48">
        <v>-26378.85</v>
      </c>
      <c r="CW128" s="48">
        <v>-26409.79</v>
      </c>
      <c r="CX128" s="48">
        <v>-26440.73</v>
      </c>
      <c r="CY128" s="48">
        <v>-23323.1</v>
      </c>
      <c r="CZ128" s="48">
        <v>-26314.2</v>
      </c>
      <c r="DA128" s="48">
        <v>-26414.3</v>
      </c>
      <c r="DB128" s="48">
        <v>-26458.89</v>
      </c>
      <c r="DC128" s="48">
        <v>-26675.51</v>
      </c>
      <c r="DD128" s="48">
        <v>-26701.9</v>
      </c>
      <c r="DE128" s="48">
        <f>VLOOKUP($C128,'[2]Analysis 1'!$C$5:$DG$1025,107,FALSE)</f>
        <v>-26682.79</v>
      </c>
      <c r="DF128" s="48">
        <f>VLOOKUP($C128,'[2]Analysis 1'!$C$5:$DG$1025,108,FALSE)</f>
        <v>-26702.81</v>
      </c>
      <c r="DG128" s="48">
        <f>VLOOKUP($C128,'[2]Analysis 1'!$C$5:$DG$1025,109,FALSE)</f>
        <v>-26523.5</v>
      </c>
      <c r="DH128" s="369">
        <f t="shared" si="2"/>
        <v>-315026.37</v>
      </c>
    </row>
    <row r="129" spans="1:112">
      <c r="A129" s="357" t="str">
        <f t="shared" si="3"/>
        <v>4950210</v>
      </c>
      <c r="B129" s="350" t="s">
        <v>1781</v>
      </c>
      <c r="C129" s="335" t="s">
        <v>1768</v>
      </c>
      <c r="D129" s="367"/>
      <c r="E129" s="367"/>
      <c r="F129" s="367"/>
      <c r="G129" s="367"/>
      <c r="H129" s="367"/>
      <c r="I129" s="367"/>
      <c r="J129" s="367"/>
      <c r="K129" s="367"/>
      <c r="L129" s="367"/>
      <c r="M129" s="367"/>
      <c r="N129" s="367"/>
      <c r="O129" s="36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v>-4650</v>
      </c>
      <c r="AO129" s="48">
        <v>0</v>
      </c>
      <c r="AP129" s="48">
        <v>-3860</v>
      </c>
      <c r="AQ129" s="48">
        <v>-3360</v>
      </c>
      <c r="AR129" s="48">
        <v>-2900</v>
      </c>
      <c r="AS129" s="48">
        <v>-5220</v>
      </c>
      <c r="AT129" s="48">
        <v>-3510</v>
      </c>
      <c r="AU129" s="48">
        <v>-2700</v>
      </c>
      <c r="AV129" s="48">
        <v>-2370</v>
      </c>
      <c r="AW129" s="48">
        <v>-2660</v>
      </c>
      <c r="AX129" s="48">
        <v>-2710</v>
      </c>
      <c r="AY129" s="48">
        <v>-3070</v>
      </c>
      <c r="AZ129" s="48">
        <v>-2190</v>
      </c>
      <c r="BA129" s="48">
        <v>-2870</v>
      </c>
      <c r="BB129" s="48">
        <v>-3410</v>
      </c>
      <c r="BC129" s="48">
        <v>-3310</v>
      </c>
      <c r="BD129" s="48">
        <v>-4250</v>
      </c>
      <c r="BE129" s="48">
        <v>-2610</v>
      </c>
      <c r="BF129" s="48">
        <v>-3380</v>
      </c>
      <c r="BG129" s="48">
        <v>-23650</v>
      </c>
      <c r="BH129" s="48">
        <v>-3000</v>
      </c>
      <c r="BI129" s="48">
        <v>-2650</v>
      </c>
      <c r="BJ129" s="48">
        <v>-3030</v>
      </c>
      <c r="BK129" s="48">
        <v>-4320</v>
      </c>
      <c r="BL129" s="48">
        <v>-2540</v>
      </c>
      <c r="BM129" s="48">
        <v>-2980</v>
      </c>
      <c r="BN129" s="48">
        <v>-2350</v>
      </c>
      <c r="BO129" s="48">
        <v>-3330</v>
      </c>
      <c r="BP129" s="48">
        <v>-3210</v>
      </c>
      <c r="BQ129" s="48">
        <v>-3040</v>
      </c>
      <c r="BR129" s="48">
        <v>-5630</v>
      </c>
      <c r="BS129" s="48">
        <v>-2490</v>
      </c>
      <c r="BT129" s="48">
        <v>-2760</v>
      </c>
      <c r="BU129" s="48">
        <v>-4770</v>
      </c>
      <c r="BV129" s="48">
        <v>-19220</v>
      </c>
      <c r="BW129" s="48">
        <v>-2630</v>
      </c>
      <c r="BX129" s="48">
        <v>-2300</v>
      </c>
      <c r="BY129" s="48">
        <v>-2220</v>
      </c>
      <c r="BZ129" s="48">
        <v>-130</v>
      </c>
      <c r="CA129" s="48">
        <v>-3490</v>
      </c>
      <c r="CB129" s="48">
        <v>-2210</v>
      </c>
      <c r="CC129" s="48">
        <v>-2780</v>
      </c>
      <c r="CD129" s="48">
        <v>-2200</v>
      </c>
      <c r="CE129" s="48">
        <v>-3170</v>
      </c>
      <c r="CF129" s="48">
        <v>-2580</v>
      </c>
      <c r="CG129" s="48">
        <v>-2180</v>
      </c>
      <c r="CH129" s="48">
        <v>-2230</v>
      </c>
      <c r="CI129" s="48">
        <v>-3030</v>
      </c>
      <c r="CJ129" s="48">
        <v>-2890</v>
      </c>
      <c r="CK129" s="48">
        <v>-2930</v>
      </c>
      <c r="CL129" s="48">
        <v>-2630</v>
      </c>
      <c r="CM129" s="48">
        <v>-3840</v>
      </c>
      <c r="CN129" s="48">
        <v>-3600</v>
      </c>
      <c r="CO129" s="48">
        <v>-66440</v>
      </c>
      <c r="CP129" s="48">
        <v>-3700</v>
      </c>
      <c r="CQ129" s="48">
        <v>-3050</v>
      </c>
      <c r="CR129" s="48">
        <v>-3140</v>
      </c>
      <c r="CS129" s="48">
        <v>-2790</v>
      </c>
      <c r="CT129" s="48">
        <v>-3390</v>
      </c>
      <c r="CU129" s="48">
        <v>-3610</v>
      </c>
      <c r="CV129" s="48">
        <v>-2890</v>
      </c>
      <c r="CW129" s="48">
        <v>-2950</v>
      </c>
      <c r="CX129" s="48">
        <v>-2730</v>
      </c>
      <c r="CY129" s="48">
        <v>-2720</v>
      </c>
      <c r="CZ129" s="48">
        <v>-3060</v>
      </c>
      <c r="DA129" s="48">
        <v>-3740</v>
      </c>
      <c r="DB129" s="48">
        <v>-3950</v>
      </c>
      <c r="DC129" s="48">
        <v>-4020</v>
      </c>
      <c r="DD129" s="48">
        <v>-2780</v>
      </c>
      <c r="DE129" s="48">
        <f>VLOOKUP($C129,'[2]Analysis 1'!$C$5:$DG$1025,107,FALSE)</f>
        <v>-2500</v>
      </c>
      <c r="DF129" s="48">
        <f>VLOOKUP($C129,'[2]Analysis 1'!$C$5:$DG$1025,108,FALSE)</f>
        <v>-25730</v>
      </c>
      <c r="DG129" s="48">
        <f>VLOOKUP($C129,'[2]Analysis 1'!$C$5:$DG$1025,109,FALSE)</f>
        <v>-3510</v>
      </c>
      <c r="DH129" s="369">
        <f t="shared" si="2"/>
        <v>-60580</v>
      </c>
    </row>
    <row r="130" spans="1:112">
      <c r="A130" s="357" t="str">
        <f t="shared" si="3"/>
        <v>4950211</v>
      </c>
      <c r="B130" s="350" t="s">
        <v>1957</v>
      </c>
      <c r="C130" s="335" t="s">
        <v>1051</v>
      </c>
      <c r="D130" s="340">
        <v>-900</v>
      </c>
      <c r="E130" s="340">
        <v>-810</v>
      </c>
      <c r="F130" s="340">
        <v>-510</v>
      </c>
      <c r="G130" s="340">
        <v>-390</v>
      </c>
      <c r="H130" s="340">
        <v>0</v>
      </c>
      <c r="I130" s="340">
        <v>-1080</v>
      </c>
      <c r="J130" s="340">
        <v>-600</v>
      </c>
      <c r="K130" s="340">
        <v>-480</v>
      </c>
      <c r="L130" s="340">
        <v>-420</v>
      </c>
      <c r="M130" s="340">
        <v>-780</v>
      </c>
      <c r="N130" s="340">
        <v>-780</v>
      </c>
      <c r="O130" s="341">
        <v>-390</v>
      </c>
      <c r="P130" s="48">
        <v>-990</v>
      </c>
      <c r="Q130" s="48">
        <v>-900</v>
      </c>
      <c r="R130" s="48">
        <v>-480</v>
      </c>
      <c r="S130" s="48">
        <v>-630</v>
      </c>
      <c r="T130" s="48">
        <v>0</v>
      </c>
      <c r="U130" s="48">
        <v>-900</v>
      </c>
      <c r="V130" s="48">
        <v>-360</v>
      </c>
      <c r="W130" s="48">
        <v>-360</v>
      </c>
      <c r="X130" s="48">
        <v>-480</v>
      </c>
      <c r="Y130" s="48">
        <v>-420</v>
      </c>
      <c r="Z130" s="48">
        <v>-360</v>
      </c>
      <c r="AA130" s="48">
        <v>-780</v>
      </c>
      <c r="AB130" s="48">
        <v>-390</v>
      </c>
      <c r="AC130" s="48">
        <v>-810</v>
      </c>
      <c r="AD130" s="48">
        <v>-510</v>
      </c>
      <c r="AE130" s="48">
        <v>-390</v>
      </c>
      <c r="AF130" s="48">
        <v>-360</v>
      </c>
      <c r="AG130" s="48">
        <v>-210</v>
      </c>
      <c r="AH130" s="48">
        <v>-930</v>
      </c>
      <c r="AI130" s="48">
        <v>0</v>
      </c>
      <c r="AJ130" s="48">
        <v>-540</v>
      </c>
      <c r="AK130" s="48">
        <v>-240</v>
      </c>
      <c r="AL130" s="48">
        <v>-390</v>
      </c>
      <c r="AM130" s="48">
        <v>-690</v>
      </c>
      <c r="AN130" s="48">
        <v>-480</v>
      </c>
      <c r="AO130" s="48">
        <v>0</v>
      </c>
      <c r="AP130" s="48">
        <v>-1620</v>
      </c>
      <c r="AQ130" s="48">
        <v>-30</v>
      </c>
      <c r="AR130" s="48">
        <v>-720</v>
      </c>
      <c r="AS130" s="48">
        <v>-600</v>
      </c>
      <c r="AT130" s="48">
        <v>-510</v>
      </c>
      <c r="AU130" s="48">
        <v>-630</v>
      </c>
      <c r="AV130" s="48">
        <v>-480</v>
      </c>
      <c r="AW130" s="48">
        <v>-450</v>
      </c>
      <c r="AX130" s="48">
        <v>-690</v>
      </c>
      <c r="AY130" s="48">
        <v>-600</v>
      </c>
      <c r="AZ130" s="48">
        <v>-270</v>
      </c>
      <c r="BA130" s="48">
        <v>-510</v>
      </c>
      <c r="BB130" s="48">
        <v>-360</v>
      </c>
      <c r="BC130" s="48">
        <v>-540</v>
      </c>
      <c r="BD130" s="48">
        <v>-240</v>
      </c>
      <c r="BE130" s="48">
        <v>-600</v>
      </c>
      <c r="BF130" s="48">
        <v>0</v>
      </c>
      <c r="BG130" s="48">
        <v>-540</v>
      </c>
      <c r="BH130" s="48">
        <v>-150</v>
      </c>
      <c r="BI130" s="48">
        <v>-570</v>
      </c>
      <c r="BJ130" s="48">
        <v>-480</v>
      </c>
      <c r="BK130" s="48">
        <v>-630</v>
      </c>
      <c r="BL130" s="48">
        <v>-810</v>
      </c>
      <c r="BM130" s="48">
        <v>-990</v>
      </c>
      <c r="BN130" s="48">
        <v>-660</v>
      </c>
      <c r="BO130" s="48">
        <v>-300</v>
      </c>
      <c r="BP130" s="48">
        <v>0</v>
      </c>
      <c r="BQ130" s="48">
        <v>-510</v>
      </c>
      <c r="BR130" s="48">
        <v>-480</v>
      </c>
      <c r="BS130" s="48">
        <v>-510</v>
      </c>
      <c r="BT130" s="48">
        <v>-240</v>
      </c>
      <c r="BU130" s="48">
        <v>0</v>
      </c>
      <c r="BV130" s="48">
        <v>-2130</v>
      </c>
      <c r="BW130" s="48">
        <v>-450</v>
      </c>
      <c r="BX130" s="48">
        <v>-450</v>
      </c>
      <c r="BY130" s="48">
        <v>-390</v>
      </c>
      <c r="BZ130" s="48">
        <v>-450</v>
      </c>
      <c r="CA130" s="48">
        <v>-360</v>
      </c>
      <c r="CB130" s="48">
        <v>-690</v>
      </c>
      <c r="CC130" s="48">
        <v>-1050</v>
      </c>
      <c r="CD130" s="48">
        <v>-1110</v>
      </c>
      <c r="CE130" s="48">
        <v>-540</v>
      </c>
      <c r="CF130" s="48">
        <v>-600</v>
      </c>
      <c r="CG130" s="48">
        <v>-480</v>
      </c>
      <c r="CH130" s="48">
        <v>-240</v>
      </c>
      <c r="CI130" s="48">
        <v>-600</v>
      </c>
      <c r="CJ130" s="48">
        <v>-240</v>
      </c>
      <c r="CK130" s="48">
        <v>-728</v>
      </c>
      <c r="CL130" s="48">
        <v>-364</v>
      </c>
      <c r="CM130" s="48">
        <v>-208</v>
      </c>
      <c r="CN130" s="48">
        <v>0</v>
      </c>
      <c r="CO130" s="48">
        <v>0</v>
      </c>
      <c r="CP130" s="48">
        <v>0</v>
      </c>
      <c r="CQ130" s="48">
        <v>0</v>
      </c>
      <c r="CR130" s="48">
        <v>0</v>
      </c>
      <c r="CS130" s="48">
        <v>0</v>
      </c>
      <c r="CT130" s="48">
        <v>0</v>
      </c>
      <c r="CU130" s="48">
        <v>0</v>
      </c>
      <c r="CV130" s="48">
        <v>0</v>
      </c>
      <c r="CW130" s="48">
        <v>0</v>
      </c>
      <c r="CX130" s="48">
        <v>0</v>
      </c>
      <c r="CY130" s="48">
        <v>0</v>
      </c>
      <c r="CZ130" s="48">
        <v>0</v>
      </c>
      <c r="DA130" s="48">
        <v>0</v>
      </c>
      <c r="DB130" s="48">
        <v>0</v>
      </c>
      <c r="DC130" s="48">
        <v>0</v>
      </c>
      <c r="DD130" s="48">
        <v>-52</v>
      </c>
      <c r="DE130" s="48">
        <f>VLOOKUP($C130,'[2]Analysis 1'!$C$5:$DG$1025,107,FALSE)</f>
        <v>0</v>
      </c>
      <c r="DF130" s="48">
        <f>VLOOKUP($C130,'[2]Analysis 1'!$C$5:$DG$1025,108,FALSE)</f>
        <v>0</v>
      </c>
      <c r="DG130" s="48">
        <f>VLOOKUP($C130,'[2]Analysis 1'!$C$5:$DG$1025,109,FALSE)</f>
        <v>0</v>
      </c>
      <c r="DH130" s="369">
        <f t="shared" si="2"/>
        <v>-52</v>
      </c>
    </row>
    <row r="131" spans="1:112">
      <c r="A131" s="357" t="str">
        <f t="shared" si="3"/>
        <v>4950212</v>
      </c>
      <c r="B131" s="350" t="s">
        <v>1958</v>
      </c>
      <c r="C131" s="335" t="s">
        <v>1052</v>
      </c>
      <c r="D131" s="340">
        <v>-41490</v>
      </c>
      <c r="E131" s="340">
        <v>-33072</v>
      </c>
      <c r="F131" s="340">
        <v>-26102</v>
      </c>
      <c r="G131" s="340">
        <v>-18820</v>
      </c>
      <c r="H131" s="340">
        <v>-15838</v>
      </c>
      <c r="I131" s="340">
        <v>-14210</v>
      </c>
      <c r="J131" s="340">
        <v>-14106</v>
      </c>
      <c r="K131" s="340">
        <v>0</v>
      </c>
      <c r="L131" s="340">
        <v>14106</v>
      </c>
      <c r="M131" s="340">
        <v>-14188</v>
      </c>
      <c r="N131" s="340">
        <v>-20631</v>
      </c>
      <c r="O131" s="341">
        <v>-30573</v>
      </c>
      <c r="P131" s="48">
        <v>-37368</v>
      </c>
      <c r="Q131" s="48">
        <v>-29252</v>
      </c>
      <c r="R131" s="48">
        <v>-29703.05</v>
      </c>
      <c r="S131" s="48">
        <v>-15099</v>
      </c>
      <c r="T131" s="48">
        <v>0</v>
      </c>
      <c r="U131" s="48">
        <v>0</v>
      </c>
      <c r="V131" s="48">
        <v>-2426.88</v>
      </c>
      <c r="W131" s="48">
        <v>0</v>
      </c>
      <c r="X131" s="48">
        <v>-4004.69</v>
      </c>
      <c r="Y131" s="48">
        <v>-14188</v>
      </c>
      <c r="Z131" s="48">
        <v>-20631</v>
      </c>
      <c r="AA131" s="48">
        <v>-30573</v>
      </c>
      <c r="AB131" s="48">
        <v>-37368</v>
      </c>
      <c r="AC131" s="48">
        <v>-34759.26</v>
      </c>
      <c r="AD131" s="48">
        <v>-21517</v>
      </c>
      <c r="AE131" s="48">
        <v>-18539.509999999998</v>
      </c>
      <c r="AF131" s="48">
        <v>-6676.37</v>
      </c>
      <c r="AG131" s="48">
        <v>0</v>
      </c>
      <c r="AH131" s="48">
        <v>0</v>
      </c>
      <c r="AI131" s="48">
        <v>0</v>
      </c>
      <c r="AJ131" s="48">
        <v>0</v>
      </c>
      <c r="AK131" s="48">
        <v>-14188</v>
      </c>
      <c r="AL131" s="48">
        <v>14188</v>
      </c>
      <c r="AM131" s="48">
        <v>0</v>
      </c>
      <c r="AN131" s="48">
        <v>0</v>
      </c>
      <c r="AO131" s="48">
        <v>0</v>
      </c>
      <c r="AP131" s="48">
        <v>0</v>
      </c>
      <c r="AQ131" s="48">
        <v>0</v>
      </c>
      <c r="AR131" s="48">
        <v>0</v>
      </c>
      <c r="AS131" s="48">
        <v>0</v>
      </c>
      <c r="AT131" s="48">
        <v>0</v>
      </c>
      <c r="AU131" s="48">
        <v>0</v>
      </c>
      <c r="AV131" s="48">
        <v>0</v>
      </c>
      <c r="AW131" s="48"/>
      <c r="AX131" s="48"/>
      <c r="AY131" s="48"/>
      <c r="AZ131" s="48">
        <v>0</v>
      </c>
      <c r="BA131" s="48">
        <v>0</v>
      </c>
      <c r="BB131" s="48">
        <v>0</v>
      </c>
      <c r="BC131" s="48">
        <v>0</v>
      </c>
      <c r="BD131" s="48">
        <v>0</v>
      </c>
      <c r="BE131" s="48">
        <v>0</v>
      </c>
      <c r="BF131" s="48">
        <v>0</v>
      </c>
      <c r="BG131" s="48">
        <v>0</v>
      </c>
      <c r="BH131" s="48">
        <v>0</v>
      </c>
      <c r="BI131" s="48">
        <v>0</v>
      </c>
      <c r="BJ131" s="48">
        <v>0</v>
      </c>
      <c r="BK131" s="48">
        <v>0</v>
      </c>
      <c r="BL131" s="48">
        <v>0</v>
      </c>
      <c r="BM131" s="48">
        <v>0</v>
      </c>
      <c r="BN131" s="48">
        <v>0</v>
      </c>
      <c r="BO131" s="48">
        <v>0</v>
      </c>
      <c r="BP131" s="48">
        <v>0</v>
      </c>
      <c r="BQ131" s="48">
        <v>0</v>
      </c>
      <c r="BR131" s="48">
        <v>0</v>
      </c>
      <c r="BS131" s="48">
        <v>0</v>
      </c>
      <c r="BT131" s="48">
        <v>0</v>
      </c>
      <c r="BU131" s="48">
        <v>0</v>
      </c>
      <c r="BV131" s="48">
        <v>0</v>
      </c>
      <c r="BW131" s="48">
        <v>0</v>
      </c>
      <c r="BX131" s="48">
        <v>0</v>
      </c>
      <c r="BY131" s="48">
        <v>0</v>
      </c>
      <c r="BZ131" s="48">
        <v>0</v>
      </c>
      <c r="CA131" s="48">
        <v>0</v>
      </c>
      <c r="CB131" s="48">
        <v>0</v>
      </c>
      <c r="CC131" s="48">
        <v>0</v>
      </c>
      <c r="CD131" s="48">
        <v>0</v>
      </c>
      <c r="CE131" s="48">
        <v>0</v>
      </c>
      <c r="CF131" s="48">
        <v>0</v>
      </c>
      <c r="CG131" s="48">
        <v>0</v>
      </c>
      <c r="CH131" s="48">
        <v>0</v>
      </c>
      <c r="CI131" s="48">
        <v>0</v>
      </c>
      <c r="CJ131" s="48">
        <v>0</v>
      </c>
      <c r="CK131" s="48">
        <v>0</v>
      </c>
      <c r="CL131" s="48">
        <v>0</v>
      </c>
      <c r="CM131" s="48">
        <v>0</v>
      </c>
      <c r="CN131" s="48">
        <v>0</v>
      </c>
      <c r="CO131" s="48">
        <v>0</v>
      </c>
      <c r="CP131" s="48">
        <v>0</v>
      </c>
      <c r="CQ131" s="48">
        <v>0</v>
      </c>
      <c r="CR131" s="48">
        <v>0</v>
      </c>
      <c r="CS131" s="48">
        <v>0</v>
      </c>
      <c r="CT131" s="48">
        <v>0</v>
      </c>
      <c r="CU131" s="48">
        <v>0</v>
      </c>
      <c r="CV131" s="48">
        <v>0</v>
      </c>
      <c r="CW131" s="48">
        <v>0</v>
      </c>
      <c r="CX131" s="48">
        <v>0</v>
      </c>
      <c r="CY131" s="48">
        <v>0</v>
      </c>
      <c r="CZ131" s="48">
        <v>0</v>
      </c>
      <c r="DA131" s="48">
        <v>0</v>
      </c>
      <c r="DB131" s="48">
        <v>0</v>
      </c>
      <c r="DC131" s="48">
        <v>0</v>
      </c>
      <c r="DD131" s="48">
        <v>0</v>
      </c>
      <c r="DE131" s="48">
        <f>VLOOKUP($C131,'[2]Analysis 1'!$C$5:$DG$1025,107,FALSE)</f>
        <v>0</v>
      </c>
      <c r="DF131" s="48">
        <f>VLOOKUP($C131,'[2]Analysis 1'!$C$5:$DG$1025,108,FALSE)</f>
        <v>0</v>
      </c>
      <c r="DG131" s="48">
        <f>VLOOKUP($C131,'[2]Analysis 1'!$C$5:$DG$1025,109,FALSE)</f>
        <v>0</v>
      </c>
      <c r="DH131" s="369">
        <f t="shared" si="2"/>
        <v>0</v>
      </c>
    </row>
    <row r="132" spans="1:112">
      <c r="A132" s="357" t="str">
        <f t="shared" si="3"/>
        <v>4950213</v>
      </c>
      <c r="B132" s="350" t="s">
        <v>1960</v>
      </c>
      <c r="C132" s="335" t="s">
        <v>1053</v>
      </c>
      <c r="D132" s="367">
        <v>-39621.269999999997</v>
      </c>
      <c r="E132" s="367">
        <v>-759422.6</v>
      </c>
      <c r="F132" s="367">
        <v>-1135311.55</v>
      </c>
      <c r="G132" s="367">
        <v>-36450.300000000003</v>
      </c>
      <c r="H132" s="367">
        <v>-1701.82</v>
      </c>
      <c r="I132" s="367">
        <v>-13004.94</v>
      </c>
      <c r="J132" s="367">
        <v>-27840.63</v>
      </c>
      <c r="K132" s="367">
        <v>-6234.51</v>
      </c>
      <c r="L132" s="367">
        <v>-7654.28</v>
      </c>
      <c r="M132" s="367">
        <v>-373678.85</v>
      </c>
      <c r="N132" s="367">
        <v>-57238.63</v>
      </c>
      <c r="O132" s="368">
        <v>-224553.11</v>
      </c>
      <c r="P132" s="48">
        <v>-170617.44</v>
      </c>
      <c r="Q132" s="48">
        <v>-343669</v>
      </c>
      <c r="R132" s="48">
        <v>-513556.46</v>
      </c>
      <c r="S132" s="48">
        <v>-160717.82999999999</v>
      </c>
      <c r="T132" s="48">
        <v>-10815.62</v>
      </c>
      <c r="U132" s="48">
        <v>-15829.87</v>
      </c>
      <c r="V132" s="48">
        <v>-521326.59</v>
      </c>
      <c r="W132" s="48">
        <v>-50955.19</v>
      </c>
      <c r="X132" s="48">
        <v>-257959.14</v>
      </c>
      <c r="Y132" s="48">
        <v>-309877.44</v>
      </c>
      <c r="Z132" s="48">
        <v>-68648.03</v>
      </c>
      <c r="AA132" s="48">
        <v>-129949.65</v>
      </c>
      <c r="AB132" s="48">
        <v>-236741.56</v>
      </c>
      <c r="AC132" s="48">
        <v>-623944</v>
      </c>
      <c r="AD132" s="48">
        <v>-330860.55</v>
      </c>
      <c r="AE132" s="48">
        <v>-8325.3700000000008</v>
      </c>
      <c r="AF132" s="48">
        <v>-3094.88</v>
      </c>
      <c r="AG132" s="48">
        <v>-59962.16</v>
      </c>
      <c r="AH132" s="48">
        <v>-84216.95</v>
      </c>
      <c r="AI132" s="48">
        <v>-3419.63</v>
      </c>
      <c r="AJ132" s="48">
        <v>-10628.54</v>
      </c>
      <c r="AK132" s="48">
        <v>-196649.23</v>
      </c>
      <c r="AL132" s="48">
        <v>-14150</v>
      </c>
      <c r="AM132" s="48">
        <v>-191001.78</v>
      </c>
      <c r="AN132" s="48">
        <v>-151136.51</v>
      </c>
      <c r="AO132" s="48">
        <v>-379263.57</v>
      </c>
      <c r="AP132" s="48">
        <v>18763.150000000001</v>
      </c>
      <c r="AQ132" s="48">
        <v>-375718.76</v>
      </c>
      <c r="AR132" s="48">
        <v>37419.199999999997</v>
      </c>
      <c r="AS132" s="48">
        <v>2505.1999999999998</v>
      </c>
      <c r="AT132" s="48">
        <v>-39516.589999999997</v>
      </c>
      <c r="AU132" s="48">
        <v>-976.69</v>
      </c>
      <c r="AV132" s="48">
        <v>-0.95</v>
      </c>
      <c r="AW132" s="48">
        <v>-11242.6</v>
      </c>
      <c r="AX132" s="48">
        <v>-104501.57</v>
      </c>
      <c r="AY132" s="48">
        <v>-439724.94</v>
      </c>
      <c r="AZ132" s="48">
        <v>-121084.61</v>
      </c>
      <c r="BA132" s="48">
        <v>-140684.32999999999</v>
      </c>
      <c r="BB132" s="48">
        <v>-14224.98</v>
      </c>
      <c r="BC132" s="48">
        <v>-13451.56</v>
      </c>
      <c r="BD132" s="48">
        <v>-196993.41</v>
      </c>
      <c r="BE132" s="48">
        <v>-2775.54</v>
      </c>
      <c r="BF132" s="48">
        <v>-131279.17000000001</v>
      </c>
      <c r="BG132" s="48">
        <v>-968.02</v>
      </c>
      <c r="BH132" s="48">
        <v>-11375.69</v>
      </c>
      <c r="BI132" s="48">
        <v>-512046.4</v>
      </c>
      <c r="BJ132" s="48">
        <v>-46210.47</v>
      </c>
      <c r="BK132" s="48">
        <v>-251458.55</v>
      </c>
      <c r="BL132" s="48">
        <v>-301732.65000000002</v>
      </c>
      <c r="BM132" s="48">
        <v>-201330.51</v>
      </c>
      <c r="BN132" s="48">
        <v>-535705.05000000005</v>
      </c>
      <c r="BO132" s="48">
        <v>-28778.85</v>
      </c>
      <c r="BP132" s="48">
        <v>-5282.83</v>
      </c>
      <c r="BQ132" s="48">
        <v>-8874.84</v>
      </c>
      <c r="BR132" s="48">
        <v>-14676.99</v>
      </c>
      <c r="BS132" s="48">
        <v>-0.11</v>
      </c>
      <c r="BT132" s="48">
        <v>-65004.74</v>
      </c>
      <c r="BU132" s="48">
        <v>-185061.04</v>
      </c>
      <c r="BV132" s="48">
        <v>-7520.93</v>
      </c>
      <c r="BW132" s="48">
        <v>-72496.39</v>
      </c>
      <c r="BX132" s="48">
        <v>-150898.81</v>
      </c>
      <c r="BY132" s="48">
        <v>-214974.98</v>
      </c>
      <c r="BZ132" s="48">
        <v>-142742.75</v>
      </c>
      <c r="CA132" s="48">
        <v>-35771.19</v>
      </c>
      <c r="CB132" s="48">
        <v>-9365.48</v>
      </c>
      <c r="CC132" s="48">
        <v>12163.78</v>
      </c>
      <c r="CD132" s="48">
        <v>-178890.55</v>
      </c>
      <c r="CE132" s="48">
        <v>-65451.86</v>
      </c>
      <c r="CF132" s="48">
        <v>-175537.48</v>
      </c>
      <c r="CG132" s="48">
        <v>-10380.06</v>
      </c>
      <c r="CH132" s="48">
        <v>-23311.35</v>
      </c>
      <c r="CI132" s="48">
        <v>-301309.84999999998</v>
      </c>
      <c r="CJ132" s="48">
        <v>-441268.87</v>
      </c>
      <c r="CK132" s="48">
        <v>-1496814.36</v>
      </c>
      <c r="CL132" s="48">
        <v>752666.97</v>
      </c>
      <c r="CM132" s="48">
        <v>-70229.350000000006</v>
      </c>
      <c r="CN132" s="48">
        <v>-51580.29</v>
      </c>
      <c r="CO132" s="48">
        <v>-1558.17</v>
      </c>
      <c r="CP132" s="48">
        <v>-180192.93</v>
      </c>
      <c r="CQ132" s="48">
        <v>-132133.34</v>
      </c>
      <c r="CR132" s="48">
        <v>58154.25</v>
      </c>
      <c r="CS132" s="48">
        <v>-271246.73</v>
      </c>
      <c r="CT132" s="48">
        <v>-811326.67</v>
      </c>
      <c r="CU132" s="48">
        <v>-204982.69</v>
      </c>
      <c r="CV132" s="48">
        <v>-128433.27</v>
      </c>
      <c r="CW132" s="48">
        <v>-228061</v>
      </c>
      <c r="CX132" s="48">
        <v>-485982.46</v>
      </c>
      <c r="CY132" s="48">
        <v>-69919.25</v>
      </c>
      <c r="CZ132" s="48">
        <v>-39187.03</v>
      </c>
      <c r="DA132" s="48">
        <v>-186902.72</v>
      </c>
      <c r="DB132" s="48">
        <v>-121963.54</v>
      </c>
      <c r="DC132" s="48">
        <v>-94100.03</v>
      </c>
      <c r="DD132" s="48">
        <v>3674.52</v>
      </c>
      <c r="DE132" s="48">
        <f>VLOOKUP($C132,'[2]Analysis 1'!$C$5:$DG$1025,107,FALSE)</f>
        <v>-126363.9</v>
      </c>
      <c r="DF132" s="48">
        <f>VLOOKUP($C132,'[2]Analysis 1'!$C$5:$DG$1025,108,FALSE)</f>
        <v>-302678.68</v>
      </c>
      <c r="DG132" s="48">
        <f>VLOOKUP($C132,'[2]Analysis 1'!$C$5:$DG$1025,109,FALSE)</f>
        <v>-388063.33</v>
      </c>
      <c r="DH132" s="369">
        <f t="shared" si="2"/>
        <v>-2167980.69</v>
      </c>
    </row>
    <row r="133" spans="1:112">
      <c r="A133" s="357" t="str">
        <f t="shared" si="3"/>
        <v>4950214</v>
      </c>
      <c r="B133" s="350" t="s">
        <v>1959</v>
      </c>
      <c r="C133" s="335" t="s">
        <v>1435</v>
      </c>
      <c r="D133" s="367"/>
      <c r="E133" s="367"/>
      <c r="F133" s="367"/>
      <c r="G133" s="367"/>
      <c r="H133" s="367"/>
      <c r="I133" s="367"/>
      <c r="J133" s="367"/>
      <c r="K133" s="367"/>
      <c r="L133" s="367"/>
      <c r="M133" s="367"/>
      <c r="N133" s="367"/>
      <c r="O133" s="368"/>
      <c r="P133" s="48"/>
      <c r="Q133" s="48"/>
      <c r="R133" s="48"/>
      <c r="S133" s="48"/>
      <c r="T133" s="48"/>
      <c r="U133" s="48"/>
      <c r="V133" s="48"/>
      <c r="W133" s="48"/>
      <c r="X133" s="48"/>
      <c r="Y133" s="48"/>
      <c r="Z133" s="48"/>
      <c r="AA133" s="48"/>
      <c r="AB133" s="48"/>
      <c r="AC133" s="48"/>
      <c r="AD133" s="48"/>
      <c r="AE133" s="48">
        <v>0</v>
      </c>
      <c r="AF133" s="48">
        <v>-329800</v>
      </c>
      <c r="AG133" s="48">
        <v>0</v>
      </c>
      <c r="AH133" s="48">
        <v>0</v>
      </c>
      <c r="AI133" s="48">
        <v>0</v>
      </c>
      <c r="AJ133" s="48">
        <v>0</v>
      </c>
      <c r="AK133" s="48">
        <v>-329800</v>
      </c>
      <c r="AL133" s="48">
        <v>0</v>
      </c>
      <c r="AM133" s="48">
        <v>0</v>
      </c>
      <c r="AN133" s="48">
        <v>0</v>
      </c>
      <c r="AO133" s="48">
        <v>35928.14</v>
      </c>
      <c r="AP133" s="48">
        <v>17964.07</v>
      </c>
      <c r="AQ133" s="48">
        <v>17964.07</v>
      </c>
      <c r="AR133" s="48">
        <v>17964.07</v>
      </c>
      <c r="AS133" s="48">
        <v>17964.07</v>
      </c>
      <c r="AT133" s="48">
        <v>17964.07</v>
      </c>
      <c r="AU133" s="48">
        <v>0</v>
      </c>
      <c r="AV133" s="48">
        <v>35928.14</v>
      </c>
      <c r="AW133" s="48">
        <v>17964.07</v>
      </c>
      <c r="AX133" s="48">
        <v>17964.07</v>
      </c>
      <c r="AY133" s="48">
        <v>17964.07</v>
      </c>
      <c r="AZ133" s="48">
        <v>17964.07</v>
      </c>
      <c r="BA133" s="48">
        <v>17964.07</v>
      </c>
      <c r="BB133" s="48">
        <v>17964.07</v>
      </c>
      <c r="BC133" s="48">
        <v>17964.07</v>
      </c>
      <c r="BD133" s="48">
        <v>17964.07</v>
      </c>
      <c r="BE133" s="48">
        <v>17964.07</v>
      </c>
      <c r="BF133" s="48">
        <v>17964.07</v>
      </c>
      <c r="BG133" s="48">
        <v>17964.07</v>
      </c>
      <c r="BH133" s="48">
        <v>17964.07</v>
      </c>
      <c r="BI133" s="48">
        <v>17964.07</v>
      </c>
      <c r="BJ133" s="48">
        <v>17964.07</v>
      </c>
      <c r="BK133" s="48">
        <v>17964.07</v>
      </c>
      <c r="BL133" s="48">
        <v>17964.07</v>
      </c>
      <c r="BM133" s="48">
        <v>17964.07</v>
      </c>
      <c r="BN133" s="48">
        <v>17964.07</v>
      </c>
      <c r="BO133" s="48">
        <v>17964.07</v>
      </c>
      <c r="BP133" s="48">
        <v>17964.07</v>
      </c>
      <c r="BQ133" s="48">
        <v>17964.07</v>
      </c>
      <c r="BR133" s="48">
        <v>17964.07</v>
      </c>
      <c r="BS133" s="48">
        <v>17964.07</v>
      </c>
      <c r="BT133" s="48">
        <v>17964.07</v>
      </c>
      <c r="BU133" s="48">
        <v>17964.07</v>
      </c>
      <c r="BV133" s="48">
        <v>17964.07</v>
      </c>
      <c r="BW133" s="48">
        <v>17964.07</v>
      </c>
      <c r="BX133" s="48">
        <v>17964.07</v>
      </c>
      <c r="BY133" s="48">
        <v>17964.07</v>
      </c>
      <c r="BZ133" s="48">
        <v>17964.07</v>
      </c>
      <c r="CA133" s="48">
        <v>17964.07</v>
      </c>
      <c r="CB133" s="48">
        <v>17964.07</v>
      </c>
      <c r="CC133" s="48">
        <v>17964.07</v>
      </c>
      <c r="CD133" s="48">
        <v>17964.07</v>
      </c>
      <c r="CE133" s="48">
        <v>17964.07</v>
      </c>
      <c r="CF133" s="48">
        <v>17964.07</v>
      </c>
      <c r="CG133" s="48">
        <v>17964.07</v>
      </c>
      <c r="CH133" s="48">
        <v>17964.07</v>
      </c>
      <c r="CI133" s="48">
        <v>17964.07</v>
      </c>
      <c r="CJ133" s="48">
        <v>17964.07</v>
      </c>
      <c r="CK133" s="48">
        <v>17964.07</v>
      </c>
      <c r="CL133" s="48">
        <v>17964.07</v>
      </c>
      <c r="CM133" s="48">
        <v>17964.07</v>
      </c>
      <c r="CN133" s="48">
        <v>17964.07</v>
      </c>
      <c r="CO133" s="48">
        <v>17964.07</v>
      </c>
      <c r="CP133" s="48">
        <v>17964.07</v>
      </c>
      <c r="CQ133" s="48">
        <v>17964.07</v>
      </c>
      <c r="CR133" s="48">
        <v>17964.07</v>
      </c>
      <c r="CS133" s="48">
        <v>17964.07</v>
      </c>
      <c r="CT133" s="48">
        <v>17964.07</v>
      </c>
      <c r="CU133" s="48">
        <v>17964.07</v>
      </c>
      <c r="CV133" s="48">
        <v>17964.07</v>
      </c>
      <c r="CW133" s="48">
        <v>17964.07</v>
      </c>
      <c r="CX133" s="48">
        <v>17964.07</v>
      </c>
      <c r="CY133" s="48">
        <v>17964.07</v>
      </c>
      <c r="CZ133" s="48">
        <v>17964.07</v>
      </c>
      <c r="DA133" s="48">
        <v>17964.07</v>
      </c>
      <c r="DB133" s="48">
        <v>17964.07</v>
      </c>
      <c r="DC133" s="48">
        <v>17964.07</v>
      </c>
      <c r="DD133" s="48">
        <v>17964.07</v>
      </c>
      <c r="DE133" s="48">
        <f>VLOOKUP($C133,'[2]Analysis 1'!$C$5:$DG$1025,107,FALSE)</f>
        <v>17964.07</v>
      </c>
      <c r="DF133" s="48">
        <f>VLOOKUP($C133,'[2]Analysis 1'!$C$5:$DG$1025,108,FALSE)</f>
        <v>17964.07</v>
      </c>
      <c r="DG133" s="48">
        <f>VLOOKUP($C133,'[2]Analysis 1'!$C$5:$DG$1025,109,FALSE)</f>
        <v>17964.07</v>
      </c>
      <c r="DH133" s="369">
        <f t="shared" si="2"/>
        <v>215568.84000000005</v>
      </c>
    </row>
    <row r="134" spans="1:112">
      <c r="A134" s="357" t="str">
        <f>+B134</f>
        <v>4950215</v>
      </c>
      <c r="B134" s="350" t="s">
        <v>2298</v>
      </c>
      <c r="C134" s="335" t="s">
        <v>2297</v>
      </c>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v>0</v>
      </c>
      <c r="BM134" s="48">
        <v>0</v>
      </c>
      <c r="BN134" s="48">
        <v>0</v>
      </c>
      <c r="BO134" s="48">
        <v>0</v>
      </c>
      <c r="BP134" s="48">
        <v>0</v>
      </c>
      <c r="BQ134" s="48">
        <v>0</v>
      </c>
      <c r="BR134" s="48">
        <v>0</v>
      </c>
      <c r="BS134" s="48">
        <v>-577394.22</v>
      </c>
      <c r="BT134" s="48">
        <v>-603495.04</v>
      </c>
      <c r="BU134" s="48">
        <v>-604053.05000000005</v>
      </c>
      <c r="BV134" s="48">
        <v>-683939.38</v>
      </c>
      <c r="BW134" s="48">
        <v>-952748.88</v>
      </c>
      <c r="BX134" s="48">
        <v>5697.37</v>
      </c>
      <c r="BY134" s="48">
        <v>415.83</v>
      </c>
      <c r="BZ134" s="48">
        <v>126.29</v>
      </c>
      <c r="CA134" s="48">
        <v>684.15</v>
      </c>
      <c r="CB134" s="48">
        <v>-104.18</v>
      </c>
      <c r="CC134" s="48">
        <v>-77.739999999999995</v>
      </c>
      <c r="CD134" s="48">
        <v>-118.2</v>
      </c>
      <c r="CE134" s="48">
        <v>-220.26</v>
      </c>
      <c r="CF134" s="48">
        <v>-315.58999999999997</v>
      </c>
      <c r="CG134" s="48">
        <v>-11.5</v>
      </c>
      <c r="CH134" s="48">
        <v>4.55</v>
      </c>
      <c r="CI134" s="48">
        <v>534.74</v>
      </c>
      <c r="CJ134" s="48">
        <v>9.24</v>
      </c>
      <c r="CK134" s="48">
        <v>6.36</v>
      </c>
      <c r="CL134" s="48">
        <v>157.77000000000001</v>
      </c>
      <c r="CM134" s="48">
        <v>0.36</v>
      </c>
      <c r="CN134" s="48">
        <v>1.89</v>
      </c>
      <c r="CO134" s="48">
        <v>-13.23</v>
      </c>
      <c r="CP134" s="48">
        <v>0.14000000000000001</v>
      </c>
      <c r="CQ134" s="48">
        <v>0</v>
      </c>
      <c r="CR134" s="48">
        <v>0</v>
      </c>
      <c r="CS134" s="48">
        <v>0.32</v>
      </c>
      <c r="CT134" s="48">
        <v>0.32</v>
      </c>
      <c r="CU134" s="48">
        <v>0</v>
      </c>
      <c r="CV134" s="48">
        <v>-0.32</v>
      </c>
      <c r="CW134" s="48">
        <v>0</v>
      </c>
      <c r="CX134" s="48">
        <v>0</v>
      </c>
      <c r="CY134" s="48">
        <v>2.59</v>
      </c>
      <c r="CZ134" s="48">
        <v>-2.59</v>
      </c>
      <c r="DA134" s="48">
        <v>0</v>
      </c>
      <c r="DB134" s="48">
        <v>0.01</v>
      </c>
      <c r="DC134" s="48">
        <v>0</v>
      </c>
      <c r="DD134" s="48">
        <v>0</v>
      </c>
      <c r="DE134" s="48">
        <f>VLOOKUP($C134,'[2]Analysis 1'!$C$5:$DG$1025,107,FALSE)</f>
        <v>0</v>
      </c>
      <c r="DF134" s="48">
        <f>VLOOKUP($C134,'[2]Analysis 1'!$C$5:$DG$1025,108,FALSE)</f>
        <v>0.51</v>
      </c>
      <c r="DG134" s="48">
        <f>VLOOKUP($C134,'[2]Analysis 1'!$C$5:$DG$1025,109,FALSE)</f>
        <v>0</v>
      </c>
      <c r="DH134" s="369">
        <f t="shared" ref="DH134:DH197" si="4">SUM(CV134:DG134)</f>
        <v>0.20000000000000018</v>
      </c>
    </row>
    <row r="135" spans="1:112">
      <c r="A135" s="357" t="str">
        <f>+B135</f>
        <v>4950220</v>
      </c>
      <c r="B135" s="350" t="s">
        <v>2479</v>
      </c>
      <c r="C135" s="335" t="s">
        <v>2480</v>
      </c>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48"/>
      <c r="BU135" s="48"/>
      <c r="BV135" s="48"/>
      <c r="BW135" s="48"/>
      <c r="BX135" s="48"/>
      <c r="BY135" s="48"/>
      <c r="BZ135" s="48"/>
      <c r="CA135" s="48">
        <v>-579.97</v>
      </c>
      <c r="CB135" s="48">
        <v>0</v>
      </c>
      <c r="CC135" s="48">
        <v>-4529.2700000000004</v>
      </c>
      <c r="CD135" s="48">
        <v>-5291.19</v>
      </c>
      <c r="CE135" s="48">
        <v>-4288.76</v>
      </c>
      <c r="CF135" s="48">
        <v>-1041.52</v>
      </c>
      <c r="CG135" s="48">
        <v>-3553.46</v>
      </c>
      <c r="CH135" s="48">
        <v>-9865.4599999999991</v>
      </c>
      <c r="CI135" s="48">
        <v>4932.7299999999996</v>
      </c>
      <c r="CJ135" s="48">
        <v>0</v>
      </c>
      <c r="CK135" s="48">
        <v>0</v>
      </c>
      <c r="CL135" s="48">
        <v>0</v>
      </c>
      <c r="CM135" s="48">
        <v>0</v>
      </c>
      <c r="CN135" s="48">
        <v>0</v>
      </c>
      <c r="CO135" s="48">
        <v>0</v>
      </c>
      <c r="CP135" s="48">
        <v>0</v>
      </c>
      <c r="CQ135" s="48">
        <v>0</v>
      </c>
      <c r="CR135" s="48">
        <v>0</v>
      </c>
      <c r="CS135" s="48">
        <v>0</v>
      </c>
      <c r="CT135" s="48">
        <v>0</v>
      </c>
      <c r="CU135" s="48">
        <v>0</v>
      </c>
      <c r="CV135" s="48">
        <v>0</v>
      </c>
      <c r="CW135" s="48">
        <v>0</v>
      </c>
      <c r="CX135" s="48">
        <v>0</v>
      </c>
      <c r="CY135" s="48">
        <v>0</v>
      </c>
      <c r="CZ135" s="48">
        <v>0</v>
      </c>
      <c r="DA135" s="48">
        <v>0</v>
      </c>
      <c r="DB135" s="48">
        <v>0</v>
      </c>
      <c r="DC135" s="48">
        <v>0</v>
      </c>
      <c r="DD135" s="48">
        <v>0</v>
      </c>
      <c r="DE135" s="48">
        <f>VLOOKUP($C135,'[2]Analysis 1'!$C$5:$DG$1025,107,FALSE)</f>
        <v>0</v>
      </c>
      <c r="DF135" s="48">
        <f>VLOOKUP($C135,'[2]Analysis 1'!$C$5:$DG$1025,108,FALSE)</f>
        <v>0</v>
      </c>
      <c r="DG135" s="48">
        <f>VLOOKUP($C135,'[2]Analysis 1'!$C$5:$DG$1025,109,FALSE)</f>
        <v>123637.07</v>
      </c>
      <c r="DH135" s="369">
        <f t="shared" si="4"/>
        <v>123637.07</v>
      </c>
    </row>
    <row r="136" spans="1:112">
      <c r="A136" s="357" t="str">
        <f t="shared" si="3"/>
        <v>4950271</v>
      </c>
      <c r="B136" s="350" t="s">
        <v>1961</v>
      </c>
      <c r="C136" s="335" t="s">
        <v>1054</v>
      </c>
      <c r="D136" s="340">
        <v>-247786.94</v>
      </c>
      <c r="E136" s="340">
        <v>-255179.37</v>
      </c>
      <c r="F136" s="340">
        <v>-214051.12</v>
      </c>
      <c r="G136" s="340">
        <v>-193065.21</v>
      </c>
      <c r="H136" s="340">
        <v>-160404.26999999999</v>
      </c>
      <c r="I136" s="340">
        <v>-153132.13</v>
      </c>
      <c r="J136" s="340">
        <v>-140786.32</v>
      </c>
      <c r="K136" s="340">
        <v>-130752.38</v>
      </c>
      <c r="L136" s="340">
        <v>-140257.57</v>
      </c>
      <c r="M136" s="340">
        <v>-145374.07999999999</v>
      </c>
      <c r="N136" s="340">
        <v>-163926.46</v>
      </c>
      <c r="O136" s="341">
        <v>-213697.83</v>
      </c>
      <c r="P136" s="48">
        <v>-392426.97</v>
      </c>
      <c r="Q136" s="48">
        <v>-404258.14</v>
      </c>
      <c r="R136" s="48">
        <v>-391864.09</v>
      </c>
      <c r="S136" s="48">
        <v>-293880.45</v>
      </c>
      <c r="T136" s="48">
        <v>-238738.44</v>
      </c>
      <c r="U136" s="48">
        <v>-243327.4</v>
      </c>
      <c r="V136" s="48">
        <v>-222736.7</v>
      </c>
      <c r="W136" s="48">
        <v>-227074.67</v>
      </c>
      <c r="X136" s="48">
        <v>-219553.22</v>
      </c>
      <c r="Y136" s="48">
        <v>-227287.32</v>
      </c>
      <c r="Z136" s="48">
        <v>-248706.66</v>
      </c>
      <c r="AA136" s="48">
        <v>-291957.28999999998</v>
      </c>
      <c r="AB136" s="48">
        <v>-503560.9</v>
      </c>
      <c r="AC136" s="48">
        <v>-555846.15</v>
      </c>
      <c r="AD136" s="48">
        <v>-486680.24</v>
      </c>
      <c r="AE136" s="48">
        <v>-423633.84</v>
      </c>
      <c r="AF136" s="48">
        <v>-371706.55</v>
      </c>
      <c r="AG136" s="48">
        <v>-335098.07</v>
      </c>
      <c r="AH136" s="48">
        <v>-315950.17</v>
      </c>
      <c r="AI136" s="48">
        <v>-292722.45</v>
      </c>
      <c r="AJ136" s="48">
        <v>-315170.59999999998</v>
      </c>
      <c r="AK136" s="48">
        <v>-310225.51</v>
      </c>
      <c r="AL136" s="48">
        <v>-361294.9</v>
      </c>
      <c r="AM136" s="48">
        <v>-431790</v>
      </c>
      <c r="AN136" s="48">
        <v>-466458.15</v>
      </c>
      <c r="AO136" s="48">
        <v>-437701.91</v>
      </c>
      <c r="AP136" s="48">
        <v>-412161.38</v>
      </c>
      <c r="AQ136" s="48">
        <v>-401571.87</v>
      </c>
      <c r="AR136" s="48">
        <v>-342826.81</v>
      </c>
      <c r="AS136" s="48">
        <v>-308653.09999999998</v>
      </c>
      <c r="AT136" s="48">
        <v>-285347.69</v>
      </c>
      <c r="AU136" s="48">
        <v>-277844.7</v>
      </c>
      <c r="AV136" s="48">
        <v>-310899.46999999997</v>
      </c>
      <c r="AW136" s="48">
        <v>-276331.62</v>
      </c>
      <c r="AX136" s="48">
        <v>-338610.15</v>
      </c>
      <c r="AY136" s="48">
        <v>-415205.38</v>
      </c>
      <c r="AZ136" s="48">
        <v>-1347064.28</v>
      </c>
      <c r="BA136" s="48">
        <v>-1177801.92</v>
      </c>
      <c r="BB136" s="48">
        <v>-962303.96</v>
      </c>
      <c r="BC136" s="48">
        <v>-994094.4</v>
      </c>
      <c r="BD136" s="48">
        <v>-799283.78</v>
      </c>
      <c r="BE136" s="48">
        <v>-757629.51</v>
      </c>
      <c r="BF136" s="48">
        <v>-675394.22</v>
      </c>
      <c r="BG136" s="48">
        <v>-651091.89</v>
      </c>
      <c r="BH136" s="48">
        <v>-715195.42</v>
      </c>
      <c r="BI136" s="48">
        <v>-656823.29</v>
      </c>
      <c r="BJ136" s="48">
        <v>-727483.33</v>
      </c>
      <c r="BK136" s="48">
        <v>-987445.96</v>
      </c>
      <c r="BL136" s="48">
        <v>-1198922.3799999999</v>
      </c>
      <c r="BM136" s="48">
        <v>-1206056.68</v>
      </c>
      <c r="BN136" s="48">
        <v>-1002030.98</v>
      </c>
      <c r="BO136" s="48">
        <v>-928291.85</v>
      </c>
      <c r="BP136" s="48">
        <v>-834210.52</v>
      </c>
      <c r="BQ136" s="48">
        <v>-715446.95</v>
      </c>
      <c r="BR136" s="48">
        <v>-678948.45</v>
      </c>
      <c r="BS136" s="48">
        <v>-672993.03</v>
      </c>
      <c r="BT136" s="48">
        <v>-690986.28</v>
      </c>
      <c r="BU136" s="48">
        <v>-689084.13</v>
      </c>
      <c r="BV136" s="48">
        <v>-775406.97</v>
      </c>
      <c r="BW136" s="48">
        <v>-1058406.8500000001</v>
      </c>
      <c r="BX136" s="48">
        <v>-2113054.27</v>
      </c>
      <c r="BY136" s="48">
        <v>-2057696.28</v>
      </c>
      <c r="BZ136" s="48">
        <v>-1918402.13</v>
      </c>
      <c r="CA136" s="48">
        <v>-1444361.54</v>
      </c>
      <c r="CB136" s="48">
        <v>-1285441.3799999999</v>
      </c>
      <c r="CC136" s="48">
        <v>-1282825.82</v>
      </c>
      <c r="CD136" s="48">
        <v>-1174816.1299999999</v>
      </c>
      <c r="CE136" s="48">
        <v>-1166827.43</v>
      </c>
      <c r="CF136" s="48">
        <v>-1155548.96</v>
      </c>
      <c r="CG136" s="48">
        <v>-1233487.53</v>
      </c>
      <c r="CH136" s="48">
        <v>-1427128.08</v>
      </c>
      <c r="CI136" s="48">
        <v>-1822781.85</v>
      </c>
      <c r="CJ136" s="48">
        <v>-629572.49</v>
      </c>
      <c r="CK136" s="48">
        <v>-575422.13</v>
      </c>
      <c r="CL136" s="48">
        <v>-493924.82</v>
      </c>
      <c r="CM136" s="48">
        <v>-482308.89</v>
      </c>
      <c r="CN136" s="48">
        <v>-400065.18</v>
      </c>
      <c r="CO136" s="48">
        <v>-371791.02</v>
      </c>
      <c r="CP136" s="48">
        <v>-360971.6</v>
      </c>
      <c r="CQ136" s="48">
        <v>-325641.36</v>
      </c>
      <c r="CR136" s="48">
        <v>-347568.34</v>
      </c>
      <c r="CS136" s="48">
        <v>-339857.04</v>
      </c>
      <c r="CT136" s="48">
        <v>-392179.59</v>
      </c>
      <c r="CU136" s="48">
        <v>-512979.14</v>
      </c>
      <c r="CV136" s="48">
        <v>-543375.56000000006</v>
      </c>
      <c r="CW136" s="48">
        <v>-586569.39</v>
      </c>
      <c r="CX136" s="48">
        <v>-503055.91</v>
      </c>
      <c r="CY136" s="48">
        <v>-451733.47</v>
      </c>
      <c r="CZ136" s="48">
        <v>-418513.73</v>
      </c>
      <c r="DA136" s="48">
        <v>-363653.61</v>
      </c>
      <c r="DB136" s="48">
        <v>-333372.26</v>
      </c>
      <c r="DC136" s="48">
        <v>-321216.96000000002</v>
      </c>
      <c r="DD136" s="48">
        <v>-334017.89</v>
      </c>
      <c r="DE136" s="48">
        <f>VLOOKUP($C136,'[2]Analysis 1'!$C$5:$DG$1025,107,FALSE)</f>
        <v>-365550.1</v>
      </c>
      <c r="DF136" s="48">
        <f>VLOOKUP($C136,'[2]Analysis 1'!$C$5:$DG$1025,108,FALSE)</f>
        <v>-389787.47</v>
      </c>
      <c r="DG136" s="48">
        <f>VLOOKUP($C136,'[2]Analysis 1'!$C$5:$DG$1025,109,FALSE)</f>
        <v>-467159.65</v>
      </c>
      <c r="DH136" s="369">
        <f t="shared" si="4"/>
        <v>-5078006</v>
      </c>
    </row>
    <row r="137" spans="1:112">
      <c r="A137" s="357" t="str">
        <f t="shared" si="3"/>
        <v>4950800</v>
      </c>
      <c r="B137" s="350" t="s">
        <v>1962</v>
      </c>
      <c r="C137" s="335" t="s">
        <v>1055</v>
      </c>
      <c r="D137" s="367">
        <v>850.08</v>
      </c>
      <c r="E137" s="367">
        <v>907.42</v>
      </c>
      <c r="F137" s="367">
        <v>689.96</v>
      </c>
      <c r="G137" s="367">
        <v>588.42999999999995</v>
      </c>
      <c r="H137" s="367">
        <v>447.89</v>
      </c>
      <c r="I137" s="367">
        <v>410.82</v>
      </c>
      <c r="J137" s="367">
        <v>369.15</v>
      </c>
      <c r="K137" s="367">
        <v>319.33</v>
      </c>
      <c r="L137" s="367">
        <v>367.74</v>
      </c>
      <c r="M137" s="367">
        <v>359.94</v>
      </c>
      <c r="N137" s="367">
        <v>465.57</v>
      </c>
      <c r="O137" s="368">
        <v>704.92</v>
      </c>
      <c r="P137" s="48">
        <v>76463.360000000001</v>
      </c>
      <c r="Q137" s="48">
        <v>81758.59</v>
      </c>
      <c r="R137" s="48">
        <v>76079.78</v>
      </c>
      <c r="S137" s="48">
        <v>49752.95</v>
      </c>
      <c r="T137" s="48">
        <v>38054.49</v>
      </c>
      <c r="U137" s="48">
        <v>39233.199999999997</v>
      </c>
      <c r="V137" s="48">
        <v>33652.92</v>
      </c>
      <c r="W137" s="48">
        <v>32752.31</v>
      </c>
      <c r="X137" s="48">
        <v>32066.37</v>
      </c>
      <c r="Y137" s="48">
        <v>33531.78</v>
      </c>
      <c r="Z137" s="48">
        <v>38804.71</v>
      </c>
      <c r="AA137" s="48">
        <v>47690.89</v>
      </c>
      <c r="AB137" s="48">
        <v>80701</v>
      </c>
      <c r="AC137" s="48">
        <v>95618.7</v>
      </c>
      <c r="AD137" s="48">
        <v>76869.259999999995</v>
      </c>
      <c r="AE137" s="48">
        <v>61252.15</v>
      </c>
      <c r="AF137" s="48">
        <v>48586.48</v>
      </c>
      <c r="AG137" s="48">
        <v>40982.339999999997</v>
      </c>
      <c r="AH137" s="48">
        <v>36552</v>
      </c>
      <c r="AI137" s="48">
        <v>35366.720000000001</v>
      </c>
      <c r="AJ137" s="48">
        <v>37162.17</v>
      </c>
      <c r="AK137" s="48">
        <v>38171.839999999997</v>
      </c>
      <c r="AL137" s="48">
        <v>48038.75</v>
      </c>
      <c r="AM137" s="48">
        <v>62129.78</v>
      </c>
      <c r="AN137" s="48">
        <v>106427.26</v>
      </c>
      <c r="AO137" s="48">
        <v>101609.32</v>
      </c>
      <c r="AP137" s="48">
        <v>91036.04</v>
      </c>
      <c r="AQ137" s="48">
        <v>86411.25</v>
      </c>
      <c r="AR137" s="48">
        <v>70699.72</v>
      </c>
      <c r="AS137" s="48">
        <v>59485.55</v>
      </c>
      <c r="AT137" s="48">
        <v>52902.85</v>
      </c>
      <c r="AU137" s="48">
        <v>46315.95</v>
      </c>
      <c r="AV137" s="48">
        <v>58877.63</v>
      </c>
      <c r="AW137" s="48">
        <v>56469.47</v>
      </c>
      <c r="AX137" s="48">
        <v>71740.56</v>
      </c>
      <c r="AY137" s="48">
        <v>93282.51</v>
      </c>
      <c r="AZ137" s="48">
        <v>518506.66</v>
      </c>
      <c r="BA137" s="48">
        <v>433765.64</v>
      </c>
      <c r="BB137" s="48">
        <v>-322935.84000000003</v>
      </c>
      <c r="BC137" s="48">
        <v>-334636.59999999998</v>
      </c>
      <c r="BD137" s="48">
        <v>-243710.44</v>
      </c>
      <c r="BE137" s="48">
        <v>-217861.03</v>
      </c>
      <c r="BF137" s="48">
        <v>-186008.57</v>
      </c>
      <c r="BG137" s="48">
        <v>-171489.38</v>
      </c>
      <c r="BH137" s="48">
        <v>-194133.29</v>
      </c>
      <c r="BI137" s="48">
        <v>-178757.93</v>
      </c>
      <c r="BJ137" s="48">
        <v>-211297.75</v>
      </c>
      <c r="BK137" s="48">
        <v>-332110.27</v>
      </c>
      <c r="BL137" s="48">
        <v>259051.35</v>
      </c>
      <c r="BM137" s="48">
        <v>264675.61</v>
      </c>
      <c r="BN137" s="48">
        <v>196561.58</v>
      </c>
      <c r="BO137" s="48">
        <v>184483.61</v>
      </c>
      <c r="BP137" s="48">
        <v>151009.60999999999</v>
      </c>
      <c r="BQ137" s="48">
        <v>116952.12</v>
      </c>
      <c r="BR137" s="48">
        <v>113003.38</v>
      </c>
      <c r="BS137" s="48">
        <v>104871.1</v>
      </c>
      <c r="BT137" s="48">
        <v>115266.24000000001</v>
      </c>
      <c r="BU137" s="48">
        <v>113480.3</v>
      </c>
      <c r="BV137" s="48">
        <v>137270.09</v>
      </c>
      <c r="BW137" s="48">
        <v>218949.11</v>
      </c>
      <c r="BX137" s="48">
        <v>213602.64</v>
      </c>
      <c r="BY137" s="48">
        <v>211655.07</v>
      </c>
      <c r="BZ137" s="48">
        <v>190920.76</v>
      </c>
      <c r="CA137" s="48">
        <v>149770.93</v>
      </c>
      <c r="CB137" s="48">
        <v>132510.39999999999</v>
      </c>
      <c r="CC137" s="48">
        <v>122031.73</v>
      </c>
      <c r="CD137" s="48">
        <v>100923.32</v>
      </c>
      <c r="CE137" s="48">
        <v>99809.99</v>
      </c>
      <c r="CF137" s="48">
        <v>99690.33</v>
      </c>
      <c r="CG137" s="48">
        <v>106139.59</v>
      </c>
      <c r="CH137" s="48">
        <v>131534.54</v>
      </c>
      <c r="CI137" s="48">
        <v>185203.6</v>
      </c>
      <c r="CJ137" s="48">
        <v>188439.31</v>
      </c>
      <c r="CK137" s="48">
        <v>168016.97</v>
      </c>
      <c r="CL137" s="48">
        <v>136008.47</v>
      </c>
      <c r="CM137" s="48">
        <v>132306.51</v>
      </c>
      <c r="CN137" s="48">
        <v>98086.78</v>
      </c>
      <c r="CO137" s="48">
        <v>88657.85</v>
      </c>
      <c r="CP137" s="48">
        <v>81961.84</v>
      </c>
      <c r="CQ137" s="48">
        <v>75986.820000000007</v>
      </c>
      <c r="CR137" s="48">
        <v>82616.73</v>
      </c>
      <c r="CS137" s="48">
        <v>77483.39</v>
      </c>
      <c r="CT137" s="48">
        <v>98890.78</v>
      </c>
      <c r="CU137" s="48">
        <v>142992.5</v>
      </c>
      <c r="CV137" s="48">
        <v>-905940.04</v>
      </c>
      <c r="CW137" s="48">
        <v>-1045351.99</v>
      </c>
      <c r="CX137" s="48">
        <v>-809218.63</v>
      </c>
      <c r="CY137" s="48">
        <v>-703534.1</v>
      </c>
      <c r="CZ137" s="48">
        <v>-599602.68000000005</v>
      </c>
      <c r="DA137" s="48">
        <v>-501292.94</v>
      </c>
      <c r="DB137" s="48">
        <v>-399550.07</v>
      </c>
      <c r="DC137" s="48">
        <v>-405527.1</v>
      </c>
      <c r="DD137" s="48">
        <v>-429176.88</v>
      </c>
      <c r="DE137" s="48">
        <f>VLOOKUP($C137,'[2]Analysis 1'!$C$5:$DG$1025,107,FALSE)</f>
        <v>-514318.59</v>
      </c>
      <c r="DF137" s="48">
        <f>VLOOKUP($C137,'[2]Analysis 1'!$C$5:$DG$1025,108,FALSE)</f>
        <v>-566929.51</v>
      </c>
      <c r="DG137" s="48">
        <f>VLOOKUP($C137,'[2]Analysis 1'!$C$5:$DG$1025,109,FALSE)</f>
        <v>-725053.82</v>
      </c>
      <c r="DH137" s="369">
        <f t="shared" si="4"/>
        <v>-7605496.3500000006</v>
      </c>
    </row>
    <row r="138" spans="1:112">
      <c r="A138" s="357" t="str">
        <f t="shared" si="3"/>
        <v>6010110</v>
      </c>
      <c r="B138" s="350" t="s">
        <v>1963</v>
      </c>
      <c r="C138" s="335" t="s">
        <v>1056</v>
      </c>
      <c r="D138" s="340">
        <v>922381.8</v>
      </c>
      <c r="E138" s="340">
        <v>789256.89</v>
      </c>
      <c r="F138" s="340">
        <v>834416.08</v>
      </c>
      <c r="G138" s="340">
        <v>891112.01</v>
      </c>
      <c r="H138" s="340">
        <v>891516.49</v>
      </c>
      <c r="I138" s="340">
        <v>854123.33</v>
      </c>
      <c r="J138" s="340">
        <v>941395.4</v>
      </c>
      <c r="K138" s="340">
        <v>865323.94</v>
      </c>
      <c r="L138" s="340">
        <v>905049.4</v>
      </c>
      <c r="M138" s="340">
        <v>934779.64</v>
      </c>
      <c r="N138" s="340">
        <v>810985.89</v>
      </c>
      <c r="O138" s="341">
        <v>914117.8</v>
      </c>
      <c r="P138" s="48">
        <v>634599.17000000004</v>
      </c>
      <c r="Q138" s="48">
        <v>728407.32</v>
      </c>
      <c r="R138" s="48">
        <v>787896.81</v>
      </c>
      <c r="S138" s="48">
        <v>740086.13</v>
      </c>
      <c r="T138" s="48">
        <v>730614.88</v>
      </c>
      <c r="U138" s="48">
        <v>754653.2</v>
      </c>
      <c r="V138" s="48">
        <v>780220.84</v>
      </c>
      <c r="W138" s="48">
        <v>762047</v>
      </c>
      <c r="X138" s="48">
        <v>746603.15</v>
      </c>
      <c r="Y138" s="48">
        <v>821851.87</v>
      </c>
      <c r="Z138" s="48">
        <v>754576.25</v>
      </c>
      <c r="AA138" s="48">
        <v>737184.5</v>
      </c>
      <c r="AB138" s="48">
        <v>621780.4</v>
      </c>
      <c r="AC138" s="48">
        <v>859480.43</v>
      </c>
      <c r="AD138" s="48">
        <v>836058.86</v>
      </c>
      <c r="AE138" s="48">
        <v>871061.06</v>
      </c>
      <c r="AF138" s="48">
        <v>919151.26</v>
      </c>
      <c r="AG138" s="48">
        <v>875936.88</v>
      </c>
      <c r="AH138" s="48">
        <v>792813.15</v>
      </c>
      <c r="AI138" s="48">
        <v>981860.53</v>
      </c>
      <c r="AJ138" s="48">
        <v>914137.33</v>
      </c>
      <c r="AK138" s="48">
        <v>929194.71</v>
      </c>
      <c r="AL138" s="48">
        <v>934239.41</v>
      </c>
      <c r="AM138" s="48">
        <v>788816.7</v>
      </c>
      <c r="AN138" s="48">
        <v>759800.71</v>
      </c>
      <c r="AO138" s="48">
        <v>987078.67</v>
      </c>
      <c r="AP138" s="48">
        <v>949953.48</v>
      </c>
      <c r="AQ138" s="48">
        <v>815520.58</v>
      </c>
      <c r="AR138" s="48">
        <v>1034986.28</v>
      </c>
      <c r="AS138" s="48">
        <v>886790.67</v>
      </c>
      <c r="AT138" s="48">
        <v>813518.22</v>
      </c>
      <c r="AU138" s="48">
        <v>1123611.1100000001</v>
      </c>
      <c r="AV138" s="48">
        <v>940510.94</v>
      </c>
      <c r="AW138" s="48">
        <v>1017789.6</v>
      </c>
      <c r="AX138" s="48">
        <v>1040163.72</v>
      </c>
      <c r="AY138" s="48">
        <v>801824.78</v>
      </c>
      <c r="AZ138" s="48">
        <v>865242.9</v>
      </c>
      <c r="BA138" s="48">
        <v>1087237.47</v>
      </c>
      <c r="BB138" s="48">
        <v>1137427.03</v>
      </c>
      <c r="BC138" s="48">
        <v>1029606.63</v>
      </c>
      <c r="BD138" s="48">
        <v>1175485.46</v>
      </c>
      <c r="BE138" s="48">
        <v>1057346.23</v>
      </c>
      <c r="BF138" s="48">
        <v>915589.21</v>
      </c>
      <c r="BG138" s="48">
        <v>1309299.93</v>
      </c>
      <c r="BH138" s="48">
        <v>1040041.05</v>
      </c>
      <c r="BI138" s="48">
        <v>1303461.42</v>
      </c>
      <c r="BJ138" s="48">
        <v>1231475.6599999999</v>
      </c>
      <c r="BK138" s="48">
        <v>971858.05</v>
      </c>
      <c r="BL138" s="48">
        <v>1077862.28</v>
      </c>
      <c r="BM138" s="48">
        <v>1198380.17</v>
      </c>
      <c r="BN138" s="48">
        <v>1271118.74</v>
      </c>
      <c r="BO138" s="48">
        <v>1244372.0900000001</v>
      </c>
      <c r="BP138" s="48">
        <v>1445146.89</v>
      </c>
      <c r="BQ138" s="48">
        <v>1163309.45</v>
      </c>
      <c r="BR138" s="48">
        <v>1228498.1200000001</v>
      </c>
      <c r="BS138" s="48">
        <v>1489243.76</v>
      </c>
      <c r="BT138" s="48">
        <v>1264146.6000000001</v>
      </c>
      <c r="BU138" s="48">
        <v>1455659.85</v>
      </c>
      <c r="BV138" s="48">
        <v>1318390.69</v>
      </c>
      <c r="BW138" s="48">
        <v>1196952.6200000001</v>
      </c>
      <c r="BX138" s="48">
        <v>1132654.26</v>
      </c>
      <c r="BY138" s="48">
        <v>1386931.12</v>
      </c>
      <c r="BZ138" s="48">
        <v>1621704.32</v>
      </c>
      <c r="CA138" s="48">
        <v>1525713.18</v>
      </c>
      <c r="CB138" s="48">
        <v>1633269.94</v>
      </c>
      <c r="CC138" s="48">
        <v>1541621.05</v>
      </c>
      <c r="CD138" s="48">
        <v>1572054.58</v>
      </c>
      <c r="CE138" s="48">
        <v>1525869.13</v>
      </c>
      <c r="CF138" s="48">
        <v>1513112.97</v>
      </c>
      <c r="CG138" s="48">
        <v>1662117.36</v>
      </c>
      <c r="CH138" s="48">
        <v>1492336.18</v>
      </c>
      <c r="CI138" s="48">
        <v>1038505.13</v>
      </c>
      <c r="CJ138" s="48">
        <v>1436703.09</v>
      </c>
      <c r="CK138" s="48">
        <v>1612147.66</v>
      </c>
      <c r="CL138" s="48">
        <v>1763909.31</v>
      </c>
      <c r="CM138" s="48">
        <v>1601465.38</v>
      </c>
      <c r="CN138" s="48">
        <v>1591803.42</v>
      </c>
      <c r="CO138" s="48">
        <v>1459385.32</v>
      </c>
      <c r="CP138" s="48">
        <v>1624154.63</v>
      </c>
      <c r="CQ138" s="48">
        <v>1644629.2</v>
      </c>
      <c r="CR138" s="48">
        <v>1540948.53</v>
      </c>
      <c r="CS138" s="48">
        <v>1670384.89</v>
      </c>
      <c r="CT138" s="48">
        <v>1779606.39</v>
      </c>
      <c r="CU138" s="48">
        <v>1153937.6200000001</v>
      </c>
      <c r="CV138" s="48">
        <v>1588983.53</v>
      </c>
      <c r="CW138" s="48">
        <v>1821319.06</v>
      </c>
      <c r="CX138" s="48">
        <v>2015369.95</v>
      </c>
      <c r="CY138" s="48">
        <v>1790731.16</v>
      </c>
      <c r="CZ138" s="48">
        <v>2046600.53</v>
      </c>
      <c r="DA138" s="48">
        <v>2006365.86</v>
      </c>
      <c r="DB138" s="48">
        <v>1912100.95</v>
      </c>
      <c r="DC138" s="48">
        <v>2279333.61</v>
      </c>
      <c r="DD138" s="48">
        <v>2088512.32</v>
      </c>
      <c r="DE138" s="48">
        <f>VLOOKUP($C138,'[2]Analysis 1'!$C$5:$DG$1025,107,FALSE)</f>
        <v>2359182.7400000002</v>
      </c>
      <c r="DF138" s="48">
        <f>VLOOKUP($C138,'[2]Analysis 1'!$C$5:$DG$1025,108,FALSE)</f>
        <v>2249088.0099999998</v>
      </c>
      <c r="DG138" s="48">
        <f>VLOOKUP($C138,'[2]Analysis 1'!$C$5:$DG$1025,109,FALSE)</f>
        <v>1606887.51</v>
      </c>
      <c r="DH138" s="369">
        <f t="shared" si="4"/>
        <v>23764475.23</v>
      </c>
    </row>
    <row r="139" spans="1:112">
      <c r="A139" s="357" t="str">
        <f t="shared" si="3"/>
        <v>6010120</v>
      </c>
      <c r="B139" s="350" t="s">
        <v>1964</v>
      </c>
      <c r="C139" s="335" t="s">
        <v>1391</v>
      </c>
      <c r="D139" s="340"/>
      <c r="E139" s="340"/>
      <c r="F139" s="340"/>
      <c r="G139" s="340"/>
      <c r="H139" s="340"/>
      <c r="I139" s="340"/>
      <c r="J139" s="340"/>
      <c r="K139" s="340"/>
      <c r="L139" s="340"/>
      <c r="M139" s="340"/>
      <c r="N139" s="340"/>
      <c r="O139" s="341"/>
      <c r="P139" s="48"/>
      <c r="Q139" s="48"/>
      <c r="R139" s="48"/>
      <c r="S139" s="48"/>
      <c r="T139" s="48"/>
      <c r="U139" s="48">
        <v>1973.66</v>
      </c>
      <c r="V139" s="48">
        <v>0</v>
      </c>
      <c r="W139" s="48">
        <v>0</v>
      </c>
      <c r="X139" s="48">
        <v>0</v>
      </c>
      <c r="Y139" s="48">
        <v>0</v>
      </c>
      <c r="Z139" s="48">
        <v>0</v>
      </c>
      <c r="AA139" s="48">
        <v>0</v>
      </c>
      <c r="AB139" s="48">
        <v>0</v>
      </c>
      <c r="AC139" s="48">
        <v>0</v>
      </c>
      <c r="AD139" s="48">
        <v>0</v>
      </c>
      <c r="AE139" s="48">
        <v>0</v>
      </c>
      <c r="AF139" s="48">
        <v>0</v>
      </c>
      <c r="AG139" s="48">
        <v>0</v>
      </c>
      <c r="AH139" s="48">
        <v>0</v>
      </c>
      <c r="AI139" s="48">
        <v>0</v>
      </c>
      <c r="AJ139" s="48">
        <v>0</v>
      </c>
      <c r="AK139" s="48">
        <v>0</v>
      </c>
      <c r="AL139" s="48">
        <v>0</v>
      </c>
      <c r="AM139" s="48">
        <v>0</v>
      </c>
      <c r="AN139" s="48">
        <v>0</v>
      </c>
      <c r="AO139" s="48">
        <v>0</v>
      </c>
      <c r="AP139" s="48">
        <v>0</v>
      </c>
      <c r="AQ139" s="48">
        <v>0</v>
      </c>
      <c r="AR139" s="48">
        <v>0</v>
      </c>
      <c r="AS139" s="48">
        <v>0</v>
      </c>
      <c r="AT139" s="48">
        <v>0</v>
      </c>
      <c r="AU139" s="48">
        <v>0</v>
      </c>
      <c r="AV139" s="48">
        <v>33551.03</v>
      </c>
      <c r="AW139" s="48">
        <v>-8582.57</v>
      </c>
      <c r="AX139" s="48">
        <v>0</v>
      </c>
      <c r="AY139" s="48">
        <v>0</v>
      </c>
      <c r="AZ139" s="48">
        <v>0</v>
      </c>
      <c r="BA139" s="48">
        <v>0</v>
      </c>
      <c r="BB139" s="48">
        <v>0</v>
      </c>
      <c r="BC139" s="48">
        <v>0</v>
      </c>
      <c r="BD139" s="48">
        <v>0</v>
      </c>
      <c r="BE139" s="48">
        <v>0</v>
      </c>
      <c r="BF139" s="48">
        <v>0</v>
      </c>
      <c r="BG139" s="48">
        <v>0</v>
      </c>
      <c r="BH139" s="48">
        <v>0</v>
      </c>
      <c r="BI139" s="48">
        <v>103781.35</v>
      </c>
      <c r="BJ139" s="48">
        <v>9539.5300000000007</v>
      </c>
      <c r="BK139" s="48">
        <v>1165.8499999999999</v>
      </c>
      <c r="BL139" s="48">
        <v>-273.43</v>
      </c>
      <c r="BM139" s="48">
        <v>0</v>
      </c>
      <c r="BN139" s="48">
        <v>0</v>
      </c>
      <c r="BO139" s="48">
        <v>0</v>
      </c>
      <c r="BP139" s="48">
        <v>0</v>
      </c>
      <c r="BQ139" s="48">
        <v>0</v>
      </c>
      <c r="BR139" s="48">
        <v>0</v>
      </c>
      <c r="BS139" s="48">
        <v>0</v>
      </c>
      <c r="BT139" s="48">
        <v>0</v>
      </c>
      <c r="BU139" s="48">
        <v>318.06</v>
      </c>
      <c r="BV139" s="48">
        <v>-318.06</v>
      </c>
      <c r="BW139" s="48">
        <v>0</v>
      </c>
      <c r="BX139" s="48">
        <v>0</v>
      </c>
      <c r="BY139" s="48">
        <v>152.15</v>
      </c>
      <c r="BZ139" s="48">
        <v>-152.15</v>
      </c>
      <c r="CA139" s="48">
        <v>0</v>
      </c>
      <c r="CB139" s="48">
        <v>0</v>
      </c>
      <c r="CC139" s="48">
        <v>0</v>
      </c>
      <c r="CD139" s="48">
        <v>0</v>
      </c>
      <c r="CE139" s="48">
        <v>0</v>
      </c>
      <c r="CF139" s="48">
        <v>0</v>
      </c>
      <c r="CG139" s="48">
        <v>0</v>
      </c>
      <c r="CH139" s="48">
        <v>0</v>
      </c>
      <c r="CI139" s="48">
        <v>0</v>
      </c>
      <c r="CJ139" s="48">
        <v>0</v>
      </c>
      <c r="CK139" s="48">
        <v>0</v>
      </c>
      <c r="CL139" s="48">
        <v>0</v>
      </c>
      <c r="CM139" s="48">
        <v>0</v>
      </c>
      <c r="CN139" s="48">
        <v>0</v>
      </c>
      <c r="CO139" s="48">
        <v>0</v>
      </c>
      <c r="CP139" s="48">
        <v>218.63</v>
      </c>
      <c r="CQ139" s="48">
        <v>-218.63</v>
      </c>
      <c r="CR139" s="48">
        <v>0</v>
      </c>
      <c r="CS139" s="48">
        <v>260.14999999999998</v>
      </c>
      <c r="CT139" s="48">
        <v>-260.14999999999998</v>
      </c>
      <c r="CU139" s="48">
        <v>0</v>
      </c>
      <c r="CV139" s="48">
        <v>0</v>
      </c>
      <c r="CW139" s="48">
        <v>0</v>
      </c>
      <c r="CX139" s="48">
        <v>0</v>
      </c>
      <c r="CY139" s="48">
        <v>0</v>
      </c>
      <c r="CZ139" s="48">
        <v>0</v>
      </c>
      <c r="DA139" s="48">
        <v>0</v>
      </c>
      <c r="DB139" s="48">
        <v>0</v>
      </c>
      <c r="DC139" s="48">
        <v>0</v>
      </c>
      <c r="DD139" s="48">
        <v>0</v>
      </c>
      <c r="DE139" s="48">
        <f>VLOOKUP($C139,'[2]Analysis 1'!$C$5:$DG$1025,107,FALSE)</f>
        <v>61045.81</v>
      </c>
      <c r="DF139" s="48">
        <f>VLOOKUP($C139,'[2]Analysis 1'!$C$5:$DG$1025,108,FALSE)</f>
        <v>-2877.51</v>
      </c>
      <c r="DG139" s="48">
        <f>VLOOKUP($C139,'[2]Analysis 1'!$C$5:$DG$1025,109,FALSE)</f>
        <v>0</v>
      </c>
      <c r="DH139" s="369">
        <f t="shared" si="4"/>
        <v>58168.299999999996</v>
      </c>
    </row>
    <row r="140" spans="1:112">
      <c r="A140" s="357" t="str">
        <f t="shared" si="3"/>
        <v>6010130</v>
      </c>
      <c r="B140" s="350" t="s">
        <v>1966</v>
      </c>
      <c r="C140" s="335" t="s">
        <v>1057</v>
      </c>
      <c r="D140" s="367">
        <v>5902.86</v>
      </c>
      <c r="E140" s="367">
        <v>1793.16</v>
      </c>
      <c r="F140" s="367">
        <v>458.48</v>
      </c>
      <c r="G140" s="367">
        <v>458.48</v>
      </c>
      <c r="H140" s="367">
        <v>458.48</v>
      </c>
      <c r="I140" s="367">
        <v>458.48</v>
      </c>
      <c r="J140" s="367">
        <v>458.48</v>
      </c>
      <c r="K140" s="367">
        <v>458.48</v>
      </c>
      <c r="L140" s="367">
        <v>1248.81</v>
      </c>
      <c r="M140" s="367">
        <v>395.96</v>
      </c>
      <c r="N140" s="367">
        <v>16888.5</v>
      </c>
      <c r="O140" s="368">
        <v>12786.48</v>
      </c>
      <c r="P140" s="48">
        <v>186255.66</v>
      </c>
      <c r="Q140" s="48">
        <v>39629.07</v>
      </c>
      <c r="R140" s="48">
        <v>55713.43</v>
      </c>
      <c r="S140" s="48">
        <v>83501.570000000007</v>
      </c>
      <c r="T140" s="48">
        <v>60498.239999999998</v>
      </c>
      <c r="U140" s="48">
        <v>86779.71</v>
      </c>
      <c r="V140" s="48">
        <v>103871.74</v>
      </c>
      <c r="W140" s="48">
        <v>64950.87</v>
      </c>
      <c r="X140" s="48">
        <v>130526.33</v>
      </c>
      <c r="Y140" s="48">
        <v>65580.86</v>
      </c>
      <c r="Z140" s="48">
        <v>82394.37</v>
      </c>
      <c r="AA140" s="48">
        <v>191317.1</v>
      </c>
      <c r="AB140" s="48">
        <v>271228.43</v>
      </c>
      <c r="AC140" s="48">
        <v>50353.84</v>
      </c>
      <c r="AD140" s="48">
        <v>152343</v>
      </c>
      <c r="AE140" s="48">
        <v>46835.02</v>
      </c>
      <c r="AF140" s="48">
        <v>74582.83</v>
      </c>
      <c r="AG140" s="48">
        <v>112325.12</v>
      </c>
      <c r="AH140" s="48">
        <v>164302.32999999999</v>
      </c>
      <c r="AI140" s="48">
        <v>89260.14</v>
      </c>
      <c r="AJ140" s="48">
        <v>127780.57</v>
      </c>
      <c r="AK140" s="48">
        <v>82518.179999999993</v>
      </c>
      <c r="AL140" s="48">
        <v>126312.53</v>
      </c>
      <c r="AM140" s="48">
        <v>256942.81</v>
      </c>
      <c r="AN140" s="48">
        <v>332084.5</v>
      </c>
      <c r="AO140" s="48">
        <v>9365.33</v>
      </c>
      <c r="AP140" s="48">
        <v>115903.28</v>
      </c>
      <c r="AQ140" s="48">
        <v>162348.45000000001</v>
      </c>
      <c r="AR140" s="48">
        <v>59643.79</v>
      </c>
      <c r="AS140" s="48">
        <v>185502</v>
      </c>
      <c r="AT140" s="48">
        <v>231046.03</v>
      </c>
      <c r="AU140" s="48">
        <v>58712.34</v>
      </c>
      <c r="AV140" s="48">
        <v>141185.56</v>
      </c>
      <c r="AW140" s="48">
        <v>118248.99</v>
      </c>
      <c r="AX140" s="48">
        <v>99558.26</v>
      </c>
      <c r="AY140" s="48">
        <v>288296.78000000003</v>
      </c>
      <c r="AZ140" s="48">
        <v>393723.7</v>
      </c>
      <c r="BA140" s="48">
        <v>-6381.83</v>
      </c>
      <c r="BB140" s="48">
        <v>95758.93</v>
      </c>
      <c r="BC140" s="48">
        <v>135119.38</v>
      </c>
      <c r="BD140" s="48">
        <v>102420.52</v>
      </c>
      <c r="BE140" s="48">
        <v>134993.32</v>
      </c>
      <c r="BF140" s="48">
        <v>346587.58</v>
      </c>
      <c r="BG140" s="48">
        <v>72911.17</v>
      </c>
      <c r="BH140" s="48">
        <v>162326.12</v>
      </c>
      <c r="BI140" s="48">
        <v>133782.94</v>
      </c>
      <c r="BJ140" s="48">
        <v>139583.07</v>
      </c>
      <c r="BK140" s="48">
        <v>358401.05</v>
      </c>
      <c r="BL140" s="48">
        <v>389635.72</v>
      </c>
      <c r="BM140" s="48">
        <v>114609.27</v>
      </c>
      <c r="BN140" s="48">
        <v>137729.35999999999</v>
      </c>
      <c r="BO140" s="48">
        <v>214852.6</v>
      </c>
      <c r="BP140" s="48">
        <v>68650.960000000006</v>
      </c>
      <c r="BQ140" s="48">
        <v>175363.79</v>
      </c>
      <c r="BR140" s="48">
        <v>368632.19</v>
      </c>
      <c r="BS140" s="48">
        <v>22448.65</v>
      </c>
      <c r="BT140" s="48">
        <v>179954.09</v>
      </c>
      <c r="BU140" s="48">
        <v>154229.1</v>
      </c>
      <c r="BV140" s="48">
        <v>172506.91</v>
      </c>
      <c r="BW140" s="48">
        <v>384828.05</v>
      </c>
      <c r="BX140" s="48">
        <v>554308.97</v>
      </c>
      <c r="BY140" s="48">
        <v>54386.879999999997</v>
      </c>
      <c r="BZ140" s="48">
        <v>138951.54999999999</v>
      </c>
      <c r="CA140" s="48">
        <v>147968.39000000001</v>
      </c>
      <c r="CB140" s="48">
        <v>3915.85</v>
      </c>
      <c r="CC140" s="48">
        <v>168248.54</v>
      </c>
      <c r="CD140" s="48">
        <v>260055.27</v>
      </c>
      <c r="CE140" s="48">
        <v>135422.18</v>
      </c>
      <c r="CF140" s="48">
        <v>238289.22</v>
      </c>
      <c r="CG140" s="48">
        <v>93667.3</v>
      </c>
      <c r="CH140" s="48">
        <v>224771.85</v>
      </c>
      <c r="CI140" s="48">
        <v>834690.3</v>
      </c>
      <c r="CJ140" s="48">
        <v>321283.25</v>
      </c>
      <c r="CK140" s="48">
        <v>36287.53</v>
      </c>
      <c r="CL140" s="48">
        <v>153489.10999999999</v>
      </c>
      <c r="CM140" s="48">
        <v>213005.33</v>
      </c>
      <c r="CN140" s="48">
        <v>133293.85</v>
      </c>
      <c r="CO140" s="48">
        <v>356674.21</v>
      </c>
      <c r="CP140" s="48">
        <v>155135.82999999999</v>
      </c>
      <c r="CQ140" s="48">
        <v>150334.51999999999</v>
      </c>
      <c r="CR140" s="48">
        <v>299949.05</v>
      </c>
      <c r="CS140" s="48">
        <v>114971.74</v>
      </c>
      <c r="CT140" s="48">
        <v>187691.19</v>
      </c>
      <c r="CU140" s="48">
        <v>942253.22</v>
      </c>
      <c r="CV140" s="48">
        <v>342688.53</v>
      </c>
      <c r="CW140" s="48">
        <v>68741.539999999994</v>
      </c>
      <c r="CX140" s="48">
        <v>184787.27</v>
      </c>
      <c r="CY140" s="48">
        <v>259156.96</v>
      </c>
      <c r="CZ140" s="48">
        <v>138052.07999999999</v>
      </c>
      <c r="DA140" s="48">
        <v>271219.58</v>
      </c>
      <c r="DB140" s="48">
        <v>292210.03000000003</v>
      </c>
      <c r="DC140" s="48">
        <v>167750.56</v>
      </c>
      <c r="DD140" s="48">
        <v>366884.09</v>
      </c>
      <c r="DE140" s="48">
        <f>VLOOKUP($C140,'[2]Analysis 1'!$C$5:$DG$1025,107,FALSE)</f>
        <v>40543.06</v>
      </c>
      <c r="DF140" s="48">
        <f>VLOOKUP($C140,'[2]Analysis 1'!$C$5:$DG$1025,108,FALSE)</f>
        <v>221379.73</v>
      </c>
      <c r="DG140" s="48">
        <f>VLOOKUP($C140,'[2]Analysis 1'!$C$5:$DG$1025,109,FALSE)</f>
        <v>955772.48</v>
      </c>
      <c r="DH140" s="369">
        <f t="shared" si="4"/>
        <v>3309185.91</v>
      </c>
    </row>
    <row r="141" spans="1:112">
      <c r="A141" s="357" t="str">
        <f t="shared" si="3"/>
        <v>6010210</v>
      </c>
      <c r="B141" s="350" t="s">
        <v>1965</v>
      </c>
      <c r="C141" s="335" t="s">
        <v>1058</v>
      </c>
      <c r="D141" s="340">
        <v>1151537.71</v>
      </c>
      <c r="E141" s="340">
        <v>1022510.12</v>
      </c>
      <c r="F141" s="340">
        <v>1138012.3600000001</v>
      </c>
      <c r="G141" s="340">
        <v>1102489.55</v>
      </c>
      <c r="H141" s="340">
        <v>1121136.08</v>
      </c>
      <c r="I141" s="340">
        <v>1083663.54</v>
      </c>
      <c r="J141" s="340">
        <v>1129768.3700000001</v>
      </c>
      <c r="K141" s="340">
        <v>1118670.1000000001</v>
      </c>
      <c r="L141" s="340">
        <v>1089405.8600000001</v>
      </c>
      <c r="M141" s="340">
        <v>1131349.46</v>
      </c>
      <c r="N141" s="340">
        <v>1090782.52</v>
      </c>
      <c r="O141" s="341">
        <v>1133155.25</v>
      </c>
      <c r="P141" s="48">
        <v>827238.27</v>
      </c>
      <c r="Q141" s="48">
        <v>937908.92</v>
      </c>
      <c r="R141" s="48">
        <v>1025182.56</v>
      </c>
      <c r="S141" s="48">
        <v>976806.84</v>
      </c>
      <c r="T141" s="48">
        <v>1041048.26</v>
      </c>
      <c r="U141" s="48">
        <v>944055.86</v>
      </c>
      <c r="V141" s="48">
        <v>959129</v>
      </c>
      <c r="W141" s="48">
        <v>1013207.78</v>
      </c>
      <c r="X141" s="48">
        <v>919642.79</v>
      </c>
      <c r="Y141" s="48">
        <v>1075549.8600000001</v>
      </c>
      <c r="Z141" s="48">
        <v>998181.57</v>
      </c>
      <c r="AA141" s="48">
        <v>911161.31</v>
      </c>
      <c r="AB141" s="48">
        <v>899530.15</v>
      </c>
      <c r="AC141" s="48">
        <v>990391.36</v>
      </c>
      <c r="AD141" s="48">
        <v>940379.46</v>
      </c>
      <c r="AE141" s="48">
        <v>1028980.32</v>
      </c>
      <c r="AF141" s="48">
        <v>1050227.47</v>
      </c>
      <c r="AG141" s="48">
        <v>964991.62</v>
      </c>
      <c r="AH141" s="48">
        <v>941331.25</v>
      </c>
      <c r="AI141" s="48">
        <v>921244</v>
      </c>
      <c r="AJ141" s="48">
        <v>933516.82</v>
      </c>
      <c r="AK141" s="48">
        <v>1004022.98</v>
      </c>
      <c r="AL141" s="48">
        <v>987748.21</v>
      </c>
      <c r="AM141" s="48">
        <v>921290.25</v>
      </c>
      <c r="AN141" s="48">
        <v>831087.45</v>
      </c>
      <c r="AO141" s="48">
        <v>1057660.1399999999</v>
      </c>
      <c r="AP141" s="48">
        <v>1063996</v>
      </c>
      <c r="AQ141" s="48">
        <v>930996.09</v>
      </c>
      <c r="AR141" s="48">
        <v>1093891.99</v>
      </c>
      <c r="AS141" s="48">
        <v>990273.85</v>
      </c>
      <c r="AT141" s="48">
        <v>907495.37</v>
      </c>
      <c r="AU141" s="48">
        <v>1155452.6599999999</v>
      </c>
      <c r="AV141" s="48">
        <v>1023482.86</v>
      </c>
      <c r="AW141" s="48">
        <v>1077142.8500000001</v>
      </c>
      <c r="AX141" s="48">
        <v>1068910.31</v>
      </c>
      <c r="AY141" s="48">
        <v>942555.16</v>
      </c>
      <c r="AZ141" s="48">
        <v>868135.79</v>
      </c>
      <c r="BA141" s="48">
        <v>1113198.1299999999</v>
      </c>
      <c r="BB141" s="48">
        <v>1110402.68</v>
      </c>
      <c r="BC141" s="48">
        <v>1071425.1100000001</v>
      </c>
      <c r="BD141" s="48">
        <v>1190776.44</v>
      </c>
      <c r="BE141" s="48">
        <v>1008622.11</v>
      </c>
      <c r="BF141" s="48">
        <v>960666.95</v>
      </c>
      <c r="BG141" s="48">
        <v>1255197.99</v>
      </c>
      <c r="BH141" s="48">
        <v>1042788.89</v>
      </c>
      <c r="BI141" s="48">
        <v>1224030.77</v>
      </c>
      <c r="BJ141" s="48">
        <v>1142451.56</v>
      </c>
      <c r="BK141" s="48">
        <v>984569.86</v>
      </c>
      <c r="BL141" s="48">
        <v>992107.63</v>
      </c>
      <c r="BM141" s="48">
        <v>1073381.95</v>
      </c>
      <c r="BN141" s="48">
        <v>1103278.94</v>
      </c>
      <c r="BO141" s="48">
        <v>1054808.6200000001</v>
      </c>
      <c r="BP141" s="48">
        <v>1245706.44</v>
      </c>
      <c r="BQ141" s="48">
        <v>1018040.29</v>
      </c>
      <c r="BR141" s="48">
        <v>1041969.06</v>
      </c>
      <c r="BS141" s="48">
        <v>1272648.47</v>
      </c>
      <c r="BT141" s="48">
        <v>1077909.3899999999</v>
      </c>
      <c r="BU141" s="48">
        <v>1180548.46</v>
      </c>
      <c r="BV141" s="48">
        <v>1140638.92</v>
      </c>
      <c r="BW141" s="48">
        <v>1024196.22</v>
      </c>
      <c r="BX141" s="48">
        <v>938170.85</v>
      </c>
      <c r="BY141" s="48">
        <v>1125947.3500000001</v>
      </c>
      <c r="BZ141" s="48">
        <v>1361190.57</v>
      </c>
      <c r="CA141" s="48">
        <v>1238942.26</v>
      </c>
      <c r="CB141" s="48">
        <v>1359602.65</v>
      </c>
      <c r="CC141" s="48">
        <v>1205118.1399999999</v>
      </c>
      <c r="CD141" s="48">
        <v>1235632.3600000001</v>
      </c>
      <c r="CE141" s="48">
        <v>1260207.8</v>
      </c>
      <c r="CF141" s="48">
        <v>1154111.8600000001</v>
      </c>
      <c r="CG141" s="48">
        <v>1344075.28</v>
      </c>
      <c r="CH141" s="48">
        <v>1214229.3799999999</v>
      </c>
      <c r="CI141" s="48">
        <v>1134186.29</v>
      </c>
      <c r="CJ141" s="48">
        <v>1253804.3700000001</v>
      </c>
      <c r="CK141" s="48">
        <v>1328990.52</v>
      </c>
      <c r="CL141" s="48">
        <v>1407349.56</v>
      </c>
      <c r="CM141" s="48">
        <v>1348841.1</v>
      </c>
      <c r="CN141" s="48">
        <v>1323475.73</v>
      </c>
      <c r="CO141" s="48">
        <v>1215005.98</v>
      </c>
      <c r="CP141" s="48">
        <v>1428457.14</v>
      </c>
      <c r="CQ141" s="48">
        <v>1392481.36</v>
      </c>
      <c r="CR141" s="48">
        <v>1300427.45</v>
      </c>
      <c r="CS141" s="48">
        <v>1384848.55</v>
      </c>
      <c r="CT141" s="48">
        <v>1422657.95</v>
      </c>
      <c r="CU141" s="48">
        <v>1005477.9</v>
      </c>
      <c r="CV141" s="48">
        <v>1221149.01</v>
      </c>
      <c r="CW141" s="48">
        <v>1372061.14</v>
      </c>
      <c r="CX141" s="48">
        <v>1423819.81</v>
      </c>
      <c r="CY141" s="48">
        <v>1213576.81</v>
      </c>
      <c r="CZ141" s="48">
        <v>1541252.05</v>
      </c>
      <c r="DA141" s="48">
        <v>1445643.57</v>
      </c>
      <c r="DB141" s="48">
        <v>1374160.78</v>
      </c>
      <c r="DC141" s="48">
        <v>1593016.97</v>
      </c>
      <c r="DD141" s="48">
        <v>1418144.11</v>
      </c>
      <c r="DE141" s="48">
        <f>VLOOKUP($C141,'[2]Analysis 1'!$C$5:$DG$1025,107,FALSE)</f>
        <v>1602530.46</v>
      </c>
      <c r="DF141" s="48">
        <f>VLOOKUP($C141,'[2]Analysis 1'!$C$5:$DG$1025,108,FALSE)</f>
        <v>1571787.17</v>
      </c>
      <c r="DG141" s="48">
        <f>VLOOKUP($C141,'[2]Analysis 1'!$C$5:$DG$1025,109,FALSE)</f>
        <v>1144523.69</v>
      </c>
      <c r="DH141" s="369">
        <f t="shared" si="4"/>
        <v>16921665.57</v>
      </c>
    </row>
    <row r="142" spans="1:112">
      <c r="A142" s="357" t="str">
        <f t="shared" si="3"/>
        <v>6010220</v>
      </c>
      <c r="B142" s="350" t="s">
        <v>1967</v>
      </c>
      <c r="C142" s="335" t="s">
        <v>1059</v>
      </c>
      <c r="D142" s="367">
        <v>150648.18</v>
      </c>
      <c r="E142" s="367">
        <v>129272.97</v>
      </c>
      <c r="F142" s="367">
        <v>157589.79999999999</v>
      </c>
      <c r="G142" s="367">
        <v>161151.72</v>
      </c>
      <c r="H142" s="367">
        <v>169093.6</v>
      </c>
      <c r="I142" s="367">
        <v>149056.32000000001</v>
      </c>
      <c r="J142" s="367">
        <v>148537.16</v>
      </c>
      <c r="K142" s="367">
        <v>200617.56</v>
      </c>
      <c r="L142" s="367">
        <v>161494.76</v>
      </c>
      <c r="M142" s="367">
        <v>166559.66</v>
      </c>
      <c r="N142" s="367">
        <v>155664.94</v>
      </c>
      <c r="O142" s="368">
        <v>163289.99</v>
      </c>
      <c r="P142" s="48">
        <v>119900.14</v>
      </c>
      <c r="Q142" s="48">
        <v>158827.17000000001</v>
      </c>
      <c r="R142" s="48">
        <v>171688.57</v>
      </c>
      <c r="S142" s="48">
        <v>159385.74</v>
      </c>
      <c r="T142" s="48">
        <v>172032.31</v>
      </c>
      <c r="U142" s="48">
        <v>164256.35</v>
      </c>
      <c r="V142" s="48">
        <v>169097.8</v>
      </c>
      <c r="W142" s="48">
        <v>202915.4</v>
      </c>
      <c r="X142" s="48">
        <v>203163.66</v>
      </c>
      <c r="Y142" s="48">
        <v>222049.9</v>
      </c>
      <c r="Z142" s="48">
        <v>211397.81</v>
      </c>
      <c r="AA142" s="48">
        <v>240111.47</v>
      </c>
      <c r="AB142" s="48">
        <v>177674.77</v>
      </c>
      <c r="AC142" s="48">
        <v>214155.93</v>
      </c>
      <c r="AD142" s="48">
        <v>189036.49</v>
      </c>
      <c r="AE142" s="48">
        <v>188030.69</v>
      </c>
      <c r="AF142" s="48">
        <v>211451.29</v>
      </c>
      <c r="AG142" s="48">
        <v>200207.59</v>
      </c>
      <c r="AH142" s="48">
        <v>196426.18</v>
      </c>
      <c r="AI142" s="48">
        <v>190419.6</v>
      </c>
      <c r="AJ142" s="48">
        <v>199621.39</v>
      </c>
      <c r="AK142" s="48">
        <v>235278.6</v>
      </c>
      <c r="AL142" s="48">
        <v>234818.45</v>
      </c>
      <c r="AM142" s="48">
        <v>254028.12</v>
      </c>
      <c r="AN142" s="48">
        <v>221819.17</v>
      </c>
      <c r="AO142" s="48">
        <v>211113.62</v>
      </c>
      <c r="AP142" s="48">
        <v>189305.57</v>
      </c>
      <c r="AQ142" s="48">
        <v>209263.82</v>
      </c>
      <c r="AR142" s="48">
        <v>201884.43</v>
      </c>
      <c r="AS142" s="48">
        <v>188808.36</v>
      </c>
      <c r="AT142" s="48">
        <v>223339.94</v>
      </c>
      <c r="AU142" s="48">
        <v>214316.75</v>
      </c>
      <c r="AV142" s="48">
        <v>238915.07</v>
      </c>
      <c r="AW142" s="48">
        <v>197436.68</v>
      </c>
      <c r="AX142" s="48">
        <v>270581.43</v>
      </c>
      <c r="AY142" s="48">
        <v>237378.26</v>
      </c>
      <c r="AZ142" s="48">
        <v>278112.52</v>
      </c>
      <c r="BA142" s="48">
        <v>170314.6</v>
      </c>
      <c r="BB142" s="48">
        <v>184128.69</v>
      </c>
      <c r="BC142" s="48">
        <v>218140.63</v>
      </c>
      <c r="BD142" s="48">
        <v>216633.74</v>
      </c>
      <c r="BE142" s="48">
        <v>213964.15</v>
      </c>
      <c r="BF142" s="48">
        <v>176217.31</v>
      </c>
      <c r="BG142" s="48">
        <v>214055.4</v>
      </c>
      <c r="BH142" s="48">
        <v>221961.91</v>
      </c>
      <c r="BI142" s="48">
        <v>509497.82</v>
      </c>
      <c r="BJ142" s="48">
        <v>200815.3</v>
      </c>
      <c r="BK142" s="48">
        <v>235200.37</v>
      </c>
      <c r="BL142" s="48">
        <v>239844.84</v>
      </c>
      <c r="BM142" s="48">
        <v>230188.21</v>
      </c>
      <c r="BN142" s="48">
        <v>230843.82</v>
      </c>
      <c r="BO142" s="48">
        <v>232026.15</v>
      </c>
      <c r="BP142" s="48">
        <v>231142.48</v>
      </c>
      <c r="BQ142" s="48">
        <v>186333.02</v>
      </c>
      <c r="BR142" s="48">
        <v>247396.95</v>
      </c>
      <c r="BS142" s="48">
        <v>291940.89</v>
      </c>
      <c r="BT142" s="48">
        <v>245033.16</v>
      </c>
      <c r="BU142" s="48">
        <v>270051.49</v>
      </c>
      <c r="BV142" s="48">
        <v>264866.13</v>
      </c>
      <c r="BW142" s="48">
        <v>320264.68</v>
      </c>
      <c r="BX142" s="48">
        <v>215596.11</v>
      </c>
      <c r="BY142" s="48">
        <v>232066.22</v>
      </c>
      <c r="BZ142" s="48">
        <v>266535.67</v>
      </c>
      <c r="CA142" s="48">
        <v>122396.91</v>
      </c>
      <c r="CB142" s="48">
        <v>156724.6</v>
      </c>
      <c r="CC142" s="48">
        <v>175535.53</v>
      </c>
      <c r="CD142" s="48">
        <v>178589.99</v>
      </c>
      <c r="CE142" s="48">
        <v>185946.02</v>
      </c>
      <c r="CF142" s="48">
        <v>206373.07</v>
      </c>
      <c r="CG142" s="48">
        <v>195606.63</v>
      </c>
      <c r="CH142" s="48">
        <v>241089.82</v>
      </c>
      <c r="CI142" s="48">
        <v>291314.99</v>
      </c>
      <c r="CJ142" s="48">
        <v>263114.08</v>
      </c>
      <c r="CK142" s="48">
        <v>239077.89</v>
      </c>
      <c r="CL142" s="48">
        <v>336763.62</v>
      </c>
      <c r="CM142" s="48">
        <v>259953.68</v>
      </c>
      <c r="CN142" s="48">
        <v>278330.96000000002</v>
      </c>
      <c r="CO142" s="48">
        <v>212017.66</v>
      </c>
      <c r="CP142" s="48">
        <v>319008.81</v>
      </c>
      <c r="CQ142" s="48">
        <v>257775.88</v>
      </c>
      <c r="CR142" s="48">
        <v>277011.74</v>
      </c>
      <c r="CS142" s="48">
        <v>312950.76</v>
      </c>
      <c r="CT142" s="48">
        <v>295578.95</v>
      </c>
      <c r="CU142" s="48">
        <v>301781.98</v>
      </c>
      <c r="CV142" s="48">
        <v>303279.06</v>
      </c>
      <c r="CW142" s="48">
        <v>320562.01</v>
      </c>
      <c r="CX142" s="48">
        <v>291699.44</v>
      </c>
      <c r="CY142" s="48">
        <v>295877.49</v>
      </c>
      <c r="CZ142" s="48">
        <v>325612.19</v>
      </c>
      <c r="DA142" s="48">
        <v>369621.35</v>
      </c>
      <c r="DB142" s="48">
        <v>319281.71999999997</v>
      </c>
      <c r="DC142" s="48">
        <v>389934.46</v>
      </c>
      <c r="DD142" s="48">
        <v>328290.03000000003</v>
      </c>
      <c r="DE142" s="48">
        <f>VLOOKUP($C142,'[2]Analysis 1'!$C$5:$DG$1025,107,FALSE)</f>
        <v>534107.86</v>
      </c>
      <c r="DF142" s="48">
        <f>VLOOKUP($C142,'[2]Analysis 1'!$C$5:$DG$1025,108,FALSE)</f>
        <v>288837.77</v>
      </c>
      <c r="DG142" s="48">
        <f>VLOOKUP($C142,'[2]Analysis 1'!$C$5:$DG$1025,109,FALSE)</f>
        <v>352997.78</v>
      </c>
      <c r="DH142" s="369">
        <f t="shared" si="4"/>
        <v>4120101.16</v>
      </c>
    </row>
    <row r="143" spans="1:112">
      <c r="A143" s="357" t="str">
        <f t="shared" si="3"/>
        <v>6010230</v>
      </c>
      <c r="B143" s="350" t="s">
        <v>1968</v>
      </c>
      <c r="C143" s="335" t="s">
        <v>1060</v>
      </c>
      <c r="D143" s="340">
        <v>1167.04</v>
      </c>
      <c r="E143" s="340">
        <v>3567.66</v>
      </c>
      <c r="F143" s="340">
        <v>5755.32</v>
      </c>
      <c r="G143" s="340">
        <v>1415.57</v>
      </c>
      <c r="H143" s="340">
        <v>3254.56</v>
      </c>
      <c r="I143" s="340">
        <v>8297.89</v>
      </c>
      <c r="J143" s="340">
        <v>9408.66</v>
      </c>
      <c r="K143" s="340">
        <v>12126.73</v>
      </c>
      <c r="L143" s="340">
        <v>5631.25</v>
      </c>
      <c r="M143" s="340">
        <v>-1063.77</v>
      </c>
      <c r="N143" s="340">
        <v>1208.72</v>
      </c>
      <c r="O143" s="341">
        <v>5708.72</v>
      </c>
      <c r="P143" s="48">
        <v>329204.15000000002</v>
      </c>
      <c r="Q143" s="48">
        <v>96475.58</v>
      </c>
      <c r="R143" s="48">
        <v>142343.71</v>
      </c>
      <c r="S143" s="48">
        <v>162456.91</v>
      </c>
      <c r="T143" s="48">
        <v>135130.35999999999</v>
      </c>
      <c r="U143" s="48">
        <v>184623.59</v>
      </c>
      <c r="V143" s="48">
        <v>202593.63</v>
      </c>
      <c r="W143" s="48">
        <v>128051</v>
      </c>
      <c r="X143" s="48">
        <v>221982.15</v>
      </c>
      <c r="Y143" s="48">
        <v>62720.23</v>
      </c>
      <c r="Z143" s="48">
        <v>104519.7</v>
      </c>
      <c r="AA143" s="48">
        <v>252000.59</v>
      </c>
      <c r="AB143" s="48">
        <v>303673.37</v>
      </c>
      <c r="AC143" s="48">
        <v>118947.71</v>
      </c>
      <c r="AD143" s="48">
        <v>243578.06</v>
      </c>
      <c r="AE143" s="48">
        <v>101576</v>
      </c>
      <c r="AF143" s="48">
        <v>122027.2</v>
      </c>
      <c r="AG143" s="48">
        <v>190163.75</v>
      </c>
      <c r="AH143" s="48">
        <v>259578.6</v>
      </c>
      <c r="AI143" s="48">
        <v>39899.230000000003</v>
      </c>
      <c r="AJ143" s="48">
        <v>167780.61</v>
      </c>
      <c r="AK143" s="48">
        <v>136252.54999999999</v>
      </c>
      <c r="AL143" s="48">
        <v>130160.2</v>
      </c>
      <c r="AM143" s="48">
        <v>248993.03</v>
      </c>
      <c r="AN143" s="48">
        <v>375324.01</v>
      </c>
      <c r="AO143" s="48">
        <v>48247.38</v>
      </c>
      <c r="AP143" s="48">
        <v>140744.04</v>
      </c>
      <c r="AQ143" s="48">
        <v>220147.52</v>
      </c>
      <c r="AR143" s="48">
        <v>103384.53</v>
      </c>
      <c r="AS143" s="48">
        <v>183248.01</v>
      </c>
      <c r="AT143" s="48">
        <v>270866.03999999998</v>
      </c>
      <c r="AU143" s="48">
        <v>61365.97</v>
      </c>
      <c r="AV143" s="48">
        <v>149797.38</v>
      </c>
      <c r="AW143" s="48">
        <v>138663.37</v>
      </c>
      <c r="AX143" s="48">
        <v>124722.85</v>
      </c>
      <c r="AY143" s="48">
        <v>271080.28999999998</v>
      </c>
      <c r="AZ143" s="48">
        <v>415728.51</v>
      </c>
      <c r="BA143" s="48">
        <v>27395.47</v>
      </c>
      <c r="BB143" s="48">
        <v>154659.95000000001</v>
      </c>
      <c r="BC143" s="48">
        <v>175623.39</v>
      </c>
      <c r="BD143" s="48">
        <v>128057.1</v>
      </c>
      <c r="BE143" s="48">
        <v>193570.42</v>
      </c>
      <c r="BF143" s="48">
        <v>304765.44</v>
      </c>
      <c r="BG143" s="48">
        <v>58586.62</v>
      </c>
      <c r="BH143" s="48">
        <v>169351.89</v>
      </c>
      <c r="BI143" s="48">
        <v>112577.26</v>
      </c>
      <c r="BJ143" s="48">
        <v>120777.49</v>
      </c>
      <c r="BK143" s="48">
        <v>275246.58</v>
      </c>
      <c r="BL143" s="48">
        <v>361761.63</v>
      </c>
      <c r="BM143" s="48">
        <v>104738.5</v>
      </c>
      <c r="BN143" s="48">
        <v>139049.63</v>
      </c>
      <c r="BO143" s="48">
        <v>218540.83</v>
      </c>
      <c r="BP143" s="48">
        <v>89591.88</v>
      </c>
      <c r="BQ143" s="48">
        <v>222853.22</v>
      </c>
      <c r="BR143" s="48">
        <v>301864.37</v>
      </c>
      <c r="BS143" s="48">
        <v>34151.300000000003</v>
      </c>
      <c r="BT143" s="48">
        <v>175217.73</v>
      </c>
      <c r="BU143" s="48">
        <v>141232.39000000001</v>
      </c>
      <c r="BV143" s="48">
        <v>116887.3</v>
      </c>
      <c r="BW143" s="48">
        <v>273742.5</v>
      </c>
      <c r="BX143" s="48">
        <v>431970.81</v>
      </c>
      <c r="BY143" s="48">
        <v>117498</v>
      </c>
      <c r="BZ143" s="48">
        <v>188912.59</v>
      </c>
      <c r="CA143" s="48">
        <v>164588.98000000001</v>
      </c>
      <c r="CB143" s="48">
        <v>9601.57</v>
      </c>
      <c r="CC143" s="48">
        <v>185953.34</v>
      </c>
      <c r="CD143" s="48">
        <v>209340.13</v>
      </c>
      <c r="CE143" s="48">
        <v>122494.62</v>
      </c>
      <c r="CF143" s="48">
        <v>239736.17</v>
      </c>
      <c r="CG143" s="48">
        <v>67259.350000000006</v>
      </c>
      <c r="CH143" s="48">
        <v>136318.85999999999</v>
      </c>
      <c r="CI143" s="48">
        <v>613889.06000000006</v>
      </c>
      <c r="CJ143" s="48">
        <v>261941.93</v>
      </c>
      <c r="CK143" s="48">
        <v>100864.03</v>
      </c>
      <c r="CL143" s="48">
        <v>228401.17</v>
      </c>
      <c r="CM143" s="48">
        <v>224040.23</v>
      </c>
      <c r="CN143" s="48">
        <v>148098.21</v>
      </c>
      <c r="CO143" s="48">
        <v>357997.86</v>
      </c>
      <c r="CP143" s="48">
        <v>192713.52</v>
      </c>
      <c r="CQ143" s="48">
        <v>199981.33</v>
      </c>
      <c r="CR143" s="48">
        <v>277884.49</v>
      </c>
      <c r="CS143" s="48">
        <v>105010.77</v>
      </c>
      <c r="CT143" s="48">
        <v>146722.29</v>
      </c>
      <c r="CU143" s="48">
        <v>642551.68999999994</v>
      </c>
      <c r="CV143" s="48">
        <v>306508.42</v>
      </c>
      <c r="CW143" s="48">
        <v>87639.6</v>
      </c>
      <c r="CX143" s="48">
        <v>211630.37</v>
      </c>
      <c r="CY143" s="48">
        <v>286089.67</v>
      </c>
      <c r="CZ143" s="48">
        <v>74553.5</v>
      </c>
      <c r="DA143" s="48">
        <v>303852.37</v>
      </c>
      <c r="DB143" s="48">
        <v>279002.98</v>
      </c>
      <c r="DC143" s="48">
        <v>166504.29999999999</v>
      </c>
      <c r="DD143" s="48">
        <v>259488.25</v>
      </c>
      <c r="DE143" s="48">
        <f>VLOOKUP($C143,'[2]Analysis 1'!$C$5:$DG$1025,107,FALSE)</f>
        <v>39657.21</v>
      </c>
      <c r="DF143" s="48">
        <f>VLOOKUP($C143,'[2]Analysis 1'!$C$5:$DG$1025,108,FALSE)</f>
        <v>144966.06</v>
      </c>
      <c r="DG143" s="48">
        <f>VLOOKUP($C143,'[2]Analysis 1'!$C$5:$DG$1025,109,FALSE)</f>
        <v>566812.71</v>
      </c>
      <c r="DH143" s="369">
        <f t="shared" si="4"/>
        <v>2726705.44</v>
      </c>
    </row>
    <row r="144" spans="1:112">
      <c r="A144" s="357" t="str">
        <f t="shared" si="3"/>
        <v>6010310</v>
      </c>
      <c r="B144" s="350" t="s">
        <v>1969</v>
      </c>
      <c r="C144" s="335" t="s">
        <v>1061</v>
      </c>
      <c r="D144" s="367">
        <v>557663.41</v>
      </c>
      <c r="E144" s="367">
        <v>498218.7</v>
      </c>
      <c r="F144" s="367">
        <v>560036.39</v>
      </c>
      <c r="G144" s="367">
        <v>535359.54</v>
      </c>
      <c r="H144" s="367">
        <v>555307.65</v>
      </c>
      <c r="I144" s="367">
        <v>525565.89</v>
      </c>
      <c r="J144" s="367">
        <v>534709.73</v>
      </c>
      <c r="K144" s="367">
        <v>541251.6</v>
      </c>
      <c r="L144" s="367">
        <v>536973.18000000005</v>
      </c>
      <c r="M144" s="367">
        <v>546190.53</v>
      </c>
      <c r="N144" s="367">
        <v>541102.13</v>
      </c>
      <c r="O144" s="368">
        <v>556339.43000000005</v>
      </c>
      <c r="P144" s="48">
        <v>379248.67</v>
      </c>
      <c r="Q144" s="48">
        <v>431949.18</v>
      </c>
      <c r="R144" s="48">
        <v>460160.43</v>
      </c>
      <c r="S144" s="48">
        <v>434314.16</v>
      </c>
      <c r="T144" s="48">
        <v>449454.41</v>
      </c>
      <c r="U144" s="48">
        <v>420124.9</v>
      </c>
      <c r="V144" s="48">
        <v>424252.96</v>
      </c>
      <c r="W144" s="48">
        <v>413860.45</v>
      </c>
      <c r="X144" s="48">
        <v>387236.79</v>
      </c>
      <c r="Y144" s="48">
        <v>503463.93</v>
      </c>
      <c r="Z144" s="48">
        <v>472324.98</v>
      </c>
      <c r="AA144" s="48">
        <v>440495.4</v>
      </c>
      <c r="AB144" s="48">
        <v>402792.2</v>
      </c>
      <c r="AC144" s="48">
        <v>443620.88</v>
      </c>
      <c r="AD144" s="48">
        <v>461008.89</v>
      </c>
      <c r="AE144" s="48">
        <v>463843.85</v>
      </c>
      <c r="AF144" s="48">
        <v>483790.19</v>
      </c>
      <c r="AG144" s="48">
        <v>413295.95</v>
      </c>
      <c r="AH144" s="48">
        <v>381581.82</v>
      </c>
      <c r="AI144" s="48">
        <v>693174.1</v>
      </c>
      <c r="AJ144" s="48">
        <v>496898.2</v>
      </c>
      <c r="AK144" s="48">
        <v>524076.72</v>
      </c>
      <c r="AL144" s="48">
        <v>508165.47</v>
      </c>
      <c r="AM144" s="48">
        <v>454759.03</v>
      </c>
      <c r="AN144" s="48">
        <v>394006.7</v>
      </c>
      <c r="AO144" s="48">
        <v>503748.72</v>
      </c>
      <c r="AP144" s="48">
        <v>505902.08000000002</v>
      </c>
      <c r="AQ144" s="48">
        <v>426462.93</v>
      </c>
      <c r="AR144" s="48">
        <v>521342.28</v>
      </c>
      <c r="AS144" s="48">
        <v>444508.86</v>
      </c>
      <c r="AT144" s="48">
        <v>431496.75</v>
      </c>
      <c r="AU144" s="48">
        <v>546938.71</v>
      </c>
      <c r="AV144" s="48">
        <v>457995.07</v>
      </c>
      <c r="AW144" s="48">
        <v>495116.68</v>
      </c>
      <c r="AX144" s="48">
        <v>489227.62</v>
      </c>
      <c r="AY144" s="48">
        <v>416782.02</v>
      </c>
      <c r="AZ144" s="48">
        <v>376279.51</v>
      </c>
      <c r="BA144" s="48">
        <v>481773.8</v>
      </c>
      <c r="BB144" s="48">
        <v>459500.39</v>
      </c>
      <c r="BC144" s="48">
        <v>419223.09</v>
      </c>
      <c r="BD144" s="48">
        <v>460514.3</v>
      </c>
      <c r="BE144" s="48">
        <v>440335.23</v>
      </c>
      <c r="BF144" s="48">
        <v>403215.65</v>
      </c>
      <c r="BG144" s="48">
        <v>516391.75</v>
      </c>
      <c r="BH144" s="48">
        <v>420729.26</v>
      </c>
      <c r="BI144" s="48">
        <v>509809.84</v>
      </c>
      <c r="BJ144" s="48">
        <v>484625.36</v>
      </c>
      <c r="BK144" s="48">
        <v>407705.44</v>
      </c>
      <c r="BL144" s="48">
        <v>394326.6</v>
      </c>
      <c r="BM144" s="48">
        <v>431873.38</v>
      </c>
      <c r="BN144" s="48">
        <v>434235.86</v>
      </c>
      <c r="BO144" s="48">
        <v>411862.42</v>
      </c>
      <c r="BP144" s="48">
        <v>473513.66</v>
      </c>
      <c r="BQ144" s="48">
        <v>405310.44</v>
      </c>
      <c r="BR144" s="48">
        <v>408334.58</v>
      </c>
      <c r="BS144" s="48">
        <v>529172.98</v>
      </c>
      <c r="BT144" s="48">
        <v>459615.63</v>
      </c>
      <c r="BU144" s="48">
        <v>519937.79</v>
      </c>
      <c r="BV144" s="48">
        <v>474765.28</v>
      </c>
      <c r="BW144" s="48">
        <v>437082.64</v>
      </c>
      <c r="BX144" s="48">
        <v>372534.95</v>
      </c>
      <c r="BY144" s="48">
        <v>451702.02</v>
      </c>
      <c r="BZ144" s="48">
        <v>461043.35</v>
      </c>
      <c r="CA144" s="48">
        <v>466028.18</v>
      </c>
      <c r="CB144" s="48">
        <v>498816.08</v>
      </c>
      <c r="CC144" s="48">
        <v>458024.7</v>
      </c>
      <c r="CD144" s="48">
        <v>488099.8</v>
      </c>
      <c r="CE144" s="48">
        <v>478208.49</v>
      </c>
      <c r="CF144" s="48">
        <v>438647.19</v>
      </c>
      <c r="CG144" s="48">
        <v>517728.3</v>
      </c>
      <c r="CH144" s="48">
        <v>471390.75</v>
      </c>
      <c r="CI144" s="48">
        <v>143255.79999999999</v>
      </c>
      <c r="CJ144" s="48">
        <v>325714.21999999997</v>
      </c>
      <c r="CK144" s="48">
        <v>343612.64</v>
      </c>
      <c r="CL144" s="48">
        <v>391275.77</v>
      </c>
      <c r="CM144" s="48">
        <v>362775.2</v>
      </c>
      <c r="CN144" s="48">
        <v>356735.89</v>
      </c>
      <c r="CO144" s="48">
        <v>327130.88</v>
      </c>
      <c r="CP144" s="48">
        <v>378700.78</v>
      </c>
      <c r="CQ144" s="48">
        <v>358859.78</v>
      </c>
      <c r="CR144" s="48">
        <v>342224.71</v>
      </c>
      <c r="CS144" s="48">
        <v>374424.32000000001</v>
      </c>
      <c r="CT144" s="48">
        <v>368397.47</v>
      </c>
      <c r="CU144" s="48">
        <v>285632.46000000002</v>
      </c>
      <c r="CV144" s="48">
        <v>324921.28000000003</v>
      </c>
      <c r="CW144" s="48">
        <v>324064.49</v>
      </c>
      <c r="CX144" s="48">
        <v>349070.72</v>
      </c>
      <c r="CY144" s="48">
        <v>324022.78000000003</v>
      </c>
      <c r="CZ144" s="48">
        <v>381256.32</v>
      </c>
      <c r="DA144" s="48">
        <v>365108.5</v>
      </c>
      <c r="DB144" s="48">
        <v>349330.94</v>
      </c>
      <c r="DC144" s="48">
        <v>382642.74</v>
      </c>
      <c r="DD144" s="48">
        <v>353925.26</v>
      </c>
      <c r="DE144" s="48">
        <f>VLOOKUP($C144,'[2]Analysis 1'!$C$5:$DG$1025,107,FALSE)</f>
        <v>412720.86</v>
      </c>
      <c r="DF144" s="48">
        <f>VLOOKUP($C144,'[2]Analysis 1'!$C$5:$DG$1025,108,FALSE)</f>
        <v>418866.95</v>
      </c>
      <c r="DG144" s="48">
        <f>VLOOKUP($C144,'[2]Analysis 1'!$C$5:$DG$1025,109,FALSE)</f>
        <v>332512.44</v>
      </c>
      <c r="DH144" s="369">
        <f t="shared" si="4"/>
        <v>4318443.28</v>
      </c>
    </row>
    <row r="145" spans="1:112">
      <c r="A145" s="357" t="str">
        <f t="shared" si="3"/>
        <v>6010320</v>
      </c>
      <c r="B145" s="350" t="s">
        <v>1970</v>
      </c>
      <c r="C145" s="335" t="s">
        <v>1062</v>
      </c>
      <c r="D145" s="340">
        <v>62074.91</v>
      </c>
      <c r="E145" s="340">
        <v>47872.58</v>
      </c>
      <c r="F145" s="340">
        <v>52343.93</v>
      </c>
      <c r="G145" s="340">
        <v>69863.03</v>
      </c>
      <c r="H145" s="340">
        <v>52607.38</v>
      </c>
      <c r="I145" s="340">
        <v>52555.9</v>
      </c>
      <c r="J145" s="340">
        <v>59199.85</v>
      </c>
      <c r="K145" s="340">
        <v>50736.44</v>
      </c>
      <c r="L145" s="340">
        <v>68482.39</v>
      </c>
      <c r="M145" s="340">
        <v>62251.94</v>
      </c>
      <c r="N145" s="340">
        <v>71205.33</v>
      </c>
      <c r="O145" s="341">
        <v>74202.25</v>
      </c>
      <c r="P145" s="48">
        <v>44469.47</v>
      </c>
      <c r="Q145" s="48">
        <v>55466.5</v>
      </c>
      <c r="R145" s="48">
        <v>65523.55</v>
      </c>
      <c r="S145" s="48">
        <v>57076.83</v>
      </c>
      <c r="T145" s="48">
        <v>81901.08</v>
      </c>
      <c r="U145" s="48">
        <v>83393.45</v>
      </c>
      <c r="V145" s="48">
        <v>74622.009999999995</v>
      </c>
      <c r="W145" s="48">
        <v>83353.78</v>
      </c>
      <c r="X145" s="48">
        <v>95524.86</v>
      </c>
      <c r="Y145" s="48">
        <v>109500.64</v>
      </c>
      <c r="Z145" s="48">
        <v>131636.51</v>
      </c>
      <c r="AA145" s="48">
        <v>131453.25</v>
      </c>
      <c r="AB145" s="48">
        <v>88305.93</v>
      </c>
      <c r="AC145" s="48">
        <v>119474.11</v>
      </c>
      <c r="AD145" s="48">
        <v>104068.87</v>
      </c>
      <c r="AE145" s="48">
        <v>89459.16</v>
      </c>
      <c r="AF145" s="48">
        <v>81612.14</v>
      </c>
      <c r="AG145" s="48">
        <v>103327.36</v>
      </c>
      <c r="AH145" s="48">
        <v>97383.52</v>
      </c>
      <c r="AI145" s="48">
        <v>130831.79</v>
      </c>
      <c r="AJ145" s="48">
        <v>124621.64</v>
      </c>
      <c r="AK145" s="48">
        <v>157150.46</v>
      </c>
      <c r="AL145" s="48">
        <v>138895.39000000001</v>
      </c>
      <c r="AM145" s="48">
        <v>113233.72</v>
      </c>
      <c r="AN145" s="48">
        <v>202963.48</v>
      </c>
      <c r="AO145" s="48">
        <v>56467.39</v>
      </c>
      <c r="AP145" s="48">
        <v>104412.11</v>
      </c>
      <c r="AQ145" s="48">
        <v>122194.46</v>
      </c>
      <c r="AR145" s="48">
        <v>92821.42</v>
      </c>
      <c r="AS145" s="48">
        <v>98886.78</v>
      </c>
      <c r="AT145" s="48">
        <v>83748.62</v>
      </c>
      <c r="AU145" s="48">
        <v>141660.29</v>
      </c>
      <c r="AV145" s="48">
        <v>167002.82</v>
      </c>
      <c r="AW145" s="48">
        <v>79527.179999999993</v>
      </c>
      <c r="AX145" s="48">
        <v>129356.06</v>
      </c>
      <c r="AY145" s="48">
        <v>110699.75</v>
      </c>
      <c r="AZ145" s="48">
        <v>119775.47</v>
      </c>
      <c r="BA145" s="48">
        <v>146964.69</v>
      </c>
      <c r="BB145" s="48">
        <v>81722.649999999994</v>
      </c>
      <c r="BC145" s="48">
        <v>102887.74</v>
      </c>
      <c r="BD145" s="48">
        <v>87042.14</v>
      </c>
      <c r="BE145" s="48">
        <v>116157.75999999999</v>
      </c>
      <c r="BF145" s="48">
        <v>103126.53</v>
      </c>
      <c r="BG145" s="48">
        <v>125933.27</v>
      </c>
      <c r="BH145" s="48">
        <v>91040.06</v>
      </c>
      <c r="BI145" s="48">
        <v>248767.4</v>
      </c>
      <c r="BJ145" s="48">
        <v>112846.98</v>
      </c>
      <c r="BK145" s="48">
        <v>132205.94</v>
      </c>
      <c r="BL145" s="48">
        <v>87561.22</v>
      </c>
      <c r="BM145" s="48">
        <v>124250.34</v>
      </c>
      <c r="BN145" s="48">
        <v>113649.09</v>
      </c>
      <c r="BO145" s="48">
        <v>98689.34</v>
      </c>
      <c r="BP145" s="48">
        <v>115103.12</v>
      </c>
      <c r="BQ145" s="48">
        <v>110807.14</v>
      </c>
      <c r="BR145" s="48">
        <v>134024.12</v>
      </c>
      <c r="BS145" s="48">
        <v>132806.72</v>
      </c>
      <c r="BT145" s="48">
        <v>123500.3</v>
      </c>
      <c r="BU145" s="48">
        <v>143845.54999999999</v>
      </c>
      <c r="BV145" s="48">
        <v>125470.54</v>
      </c>
      <c r="BW145" s="48">
        <v>140071.29999999999</v>
      </c>
      <c r="BX145" s="48">
        <v>145170.31</v>
      </c>
      <c r="BY145" s="48">
        <v>103954.5</v>
      </c>
      <c r="BZ145" s="48">
        <v>114130.97</v>
      </c>
      <c r="CA145" s="48">
        <v>57551.16</v>
      </c>
      <c r="CB145" s="48">
        <v>85327.88</v>
      </c>
      <c r="CC145" s="48">
        <v>56883.32</v>
      </c>
      <c r="CD145" s="48">
        <v>93600.72</v>
      </c>
      <c r="CE145" s="48">
        <v>95937.59</v>
      </c>
      <c r="CF145" s="48">
        <v>85749.36</v>
      </c>
      <c r="CG145" s="48">
        <v>124475.42</v>
      </c>
      <c r="CH145" s="48">
        <v>93488.15</v>
      </c>
      <c r="CI145" s="48">
        <v>83047.75</v>
      </c>
      <c r="CJ145" s="48">
        <v>92227</v>
      </c>
      <c r="CK145" s="48">
        <v>78870.94</v>
      </c>
      <c r="CL145" s="48">
        <v>90718.76</v>
      </c>
      <c r="CM145" s="48">
        <v>84516.32</v>
      </c>
      <c r="CN145" s="48">
        <v>88484.29</v>
      </c>
      <c r="CO145" s="48">
        <v>96180.88</v>
      </c>
      <c r="CP145" s="48">
        <v>115852.96</v>
      </c>
      <c r="CQ145" s="48">
        <v>85773.65</v>
      </c>
      <c r="CR145" s="48">
        <v>124608.99</v>
      </c>
      <c r="CS145" s="48">
        <v>81027.179999999993</v>
      </c>
      <c r="CT145" s="48">
        <v>110315.92</v>
      </c>
      <c r="CU145" s="48">
        <v>96986.06</v>
      </c>
      <c r="CV145" s="48">
        <v>94148.69</v>
      </c>
      <c r="CW145" s="48">
        <v>78691.5</v>
      </c>
      <c r="CX145" s="48">
        <v>90723.58</v>
      </c>
      <c r="CY145" s="48">
        <v>83582.039999999994</v>
      </c>
      <c r="CZ145" s="48">
        <v>59586.51</v>
      </c>
      <c r="DA145" s="48">
        <v>86576.02</v>
      </c>
      <c r="DB145" s="48">
        <v>83525.179999999993</v>
      </c>
      <c r="DC145" s="48">
        <v>78960.81</v>
      </c>
      <c r="DD145" s="48">
        <v>68348.33</v>
      </c>
      <c r="DE145" s="48">
        <f>VLOOKUP($C145,'[2]Analysis 1'!$C$5:$DG$1025,107,FALSE)</f>
        <v>149556.03</v>
      </c>
      <c r="DF145" s="48">
        <f>VLOOKUP($C145,'[2]Analysis 1'!$C$5:$DG$1025,108,FALSE)</f>
        <v>71122.41</v>
      </c>
      <c r="DG145" s="48">
        <f>VLOOKUP($C145,'[2]Analysis 1'!$C$5:$DG$1025,109,FALSE)</f>
        <v>86799.38</v>
      </c>
      <c r="DH145" s="369">
        <f t="shared" si="4"/>
        <v>1031620.4800000001</v>
      </c>
    </row>
    <row r="146" spans="1:112">
      <c r="A146" s="357" t="str">
        <f t="shared" si="3"/>
        <v>6010330</v>
      </c>
      <c r="B146" s="350" t="s">
        <v>1971</v>
      </c>
      <c r="C146" s="335" t="s">
        <v>1063</v>
      </c>
      <c r="D146" s="367">
        <v>1866.76</v>
      </c>
      <c r="E146" s="367">
        <v>291.76</v>
      </c>
      <c r="F146" s="367">
        <v>830.64</v>
      </c>
      <c r="G146" s="367">
        <v>3791.84</v>
      </c>
      <c r="H146" s="367">
        <v>5783.8</v>
      </c>
      <c r="I146" s="367">
        <v>2810.3</v>
      </c>
      <c r="J146" s="367">
        <v>966.76</v>
      </c>
      <c r="K146" s="367">
        <v>333.44</v>
      </c>
      <c r="L146" s="367">
        <v>2028.19</v>
      </c>
      <c r="M146" s="367">
        <v>-486.27</v>
      </c>
      <c r="N146" s="367">
        <v>375.12</v>
      </c>
      <c r="O146" s="368">
        <v>1575.12</v>
      </c>
      <c r="P146" s="48">
        <v>176744.66</v>
      </c>
      <c r="Q146" s="48">
        <v>72537.429999999993</v>
      </c>
      <c r="R146" s="48">
        <v>76035.98</v>
      </c>
      <c r="S146" s="48">
        <v>80452.89</v>
      </c>
      <c r="T146" s="48">
        <v>53621.09</v>
      </c>
      <c r="U146" s="48">
        <v>86892.21</v>
      </c>
      <c r="V146" s="48">
        <v>88268.52</v>
      </c>
      <c r="W146" s="48">
        <v>59974.39</v>
      </c>
      <c r="X146" s="48">
        <v>97203.77</v>
      </c>
      <c r="Y146" s="48">
        <v>17024.060000000001</v>
      </c>
      <c r="Z146" s="48">
        <v>48903.09</v>
      </c>
      <c r="AA146" s="48">
        <v>109861.6</v>
      </c>
      <c r="AB146" s="48">
        <v>139066.34</v>
      </c>
      <c r="AC146" s="48">
        <v>70932.990000000005</v>
      </c>
      <c r="AD146" s="48">
        <v>96354.44</v>
      </c>
      <c r="AE146" s="48">
        <v>66149.91</v>
      </c>
      <c r="AF146" s="48">
        <v>51116.9</v>
      </c>
      <c r="AG146" s="48">
        <v>100423.91</v>
      </c>
      <c r="AH146" s="48">
        <v>132458.87</v>
      </c>
      <c r="AI146" s="48">
        <v>89647.24</v>
      </c>
      <c r="AJ146" s="48">
        <v>95020.88</v>
      </c>
      <c r="AK146" s="48">
        <v>55975.88</v>
      </c>
      <c r="AL146" s="48">
        <v>66537.77</v>
      </c>
      <c r="AM146" s="48">
        <v>121183.96</v>
      </c>
      <c r="AN146" s="48">
        <v>186278.96</v>
      </c>
      <c r="AO146" s="48">
        <v>17486.87</v>
      </c>
      <c r="AP146" s="48">
        <v>88483.48</v>
      </c>
      <c r="AQ146" s="48">
        <v>97834.21</v>
      </c>
      <c r="AR146" s="48">
        <v>43290.81</v>
      </c>
      <c r="AS146" s="48">
        <v>106142.71</v>
      </c>
      <c r="AT146" s="48">
        <v>120905.22</v>
      </c>
      <c r="AU146" s="48">
        <v>26941.32</v>
      </c>
      <c r="AV146" s="48">
        <v>81600.179999999993</v>
      </c>
      <c r="AW146" s="48">
        <v>60949.64</v>
      </c>
      <c r="AX146" s="48">
        <v>67151.05</v>
      </c>
      <c r="AY146" s="48">
        <v>125991.03</v>
      </c>
      <c r="AZ146" s="48">
        <v>196092.01</v>
      </c>
      <c r="BA146" s="48">
        <v>11752.19</v>
      </c>
      <c r="BB146" s="48">
        <v>71111.81</v>
      </c>
      <c r="BC146" s="48">
        <v>60876.24</v>
      </c>
      <c r="BD146" s="48">
        <v>58105.39</v>
      </c>
      <c r="BE146" s="48">
        <v>93929.7</v>
      </c>
      <c r="BF146" s="48">
        <v>131198.82</v>
      </c>
      <c r="BG146" s="48">
        <v>14228.46</v>
      </c>
      <c r="BH146" s="48">
        <v>76667.75</v>
      </c>
      <c r="BI146" s="48">
        <v>55931.94</v>
      </c>
      <c r="BJ146" s="48">
        <v>63039.72</v>
      </c>
      <c r="BK146" s="48">
        <v>131500.97</v>
      </c>
      <c r="BL146" s="48">
        <v>159317.29</v>
      </c>
      <c r="BM146" s="48">
        <v>56599.02</v>
      </c>
      <c r="BN146" s="48">
        <v>89829.52</v>
      </c>
      <c r="BO146" s="48">
        <v>87561.16</v>
      </c>
      <c r="BP146" s="48">
        <v>55438.12</v>
      </c>
      <c r="BQ146" s="48">
        <v>86099.46</v>
      </c>
      <c r="BR146" s="48">
        <v>114243.66</v>
      </c>
      <c r="BS146" s="48">
        <v>6624.91</v>
      </c>
      <c r="BT146" s="48">
        <v>71987.820000000007</v>
      </c>
      <c r="BU146" s="48">
        <v>36625.17</v>
      </c>
      <c r="BV146" s="48">
        <v>45742.79</v>
      </c>
      <c r="BW146" s="48">
        <v>115044.78</v>
      </c>
      <c r="BX146" s="48">
        <v>192997.85</v>
      </c>
      <c r="BY146" s="48">
        <v>49939.39</v>
      </c>
      <c r="BZ146" s="48">
        <v>71653.77</v>
      </c>
      <c r="CA146" s="48">
        <v>70570.27</v>
      </c>
      <c r="CB146" s="48">
        <v>7802.17</v>
      </c>
      <c r="CC146" s="48">
        <v>81946.929999999993</v>
      </c>
      <c r="CD146" s="48">
        <v>80561.83</v>
      </c>
      <c r="CE146" s="48">
        <v>46149.69</v>
      </c>
      <c r="CF146" s="48">
        <v>109701.74</v>
      </c>
      <c r="CG146" s="48">
        <v>24544.14</v>
      </c>
      <c r="CH146" s="48">
        <v>41710.01</v>
      </c>
      <c r="CI146" s="48">
        <v>151707.59</v>
      </c>
      <c r="CJ146" s="48">
        <v>79724.86</v>
      </c>
      <c r="CK146" s="48">
        <v>37992.769999999997</v>
      </c>
      <c r="CL146" s="48">
        <v>50619.73</v>
      </c>
      <c r="CM146" s="48">
        <v>58178.63</v>
      </c>
      <c r="CN146" s="48">
        <v>43323.98</v>
      </c>
      <c r="CO146" s="48">
        <v>107106.65</v>
      </c>
      <c r="CP146" s="48">
        <v>60547.22</v>
      </c>
      <c r="CQ146" s="48">
        <v>60971.08</v>
      </c>
      <c r="CR146" s="48">
        <v>87844.62</v>
      </c>
      <c r="CS146" s="48">
        <v>27831.74</v>
      </c>
      <c r="CT146" s="48">
        <v>46553.59</v>
      </c>
      <c r="CU146" s="48">
        <v>146739.68</v>
      </c>
      <c r="CV146" s="48">
        <v>88416.81</v>
      </c>
      <c r="CW146" s="48">
        <v>42685.2</v>
      </c>
      <c r="CX146" s="48">
        <v>64431.42</v>
      </c>
      <c r="CY146" s="48">
        <v>66184.91</v>
      </c>
      <c r="CZ146" s="48">
        <v>37409.57</v>
      </c>
      <c r="DA146" s="48">
        <v>57394.55</v>
      </c>
      <c r="DB146" s="48">
        <v>73439.289999999994</v>
      </c>
      <c r="DC146" s="48">
        <v>50979.75</v>
      </c>
      <c r="DD146" s="48">
        <v>72405.759999999995</v>
      </c>
      <c r="DE146" s="48">
        <f>VLOOKUP($C146,'[2]Analysis 1'!$C$5:$DG$1025,107,FALSE)</f>
        <v>2132.69</v>
      </c>
      <c r="DF146" s="48">
        <f>VLOOKUP($C146,'[2]Analysis 1'!$C$5:$DG$1025,108,FALSE)</f>
        <v>24577.85</v>
      </c>
      <c r="DG146" s="48">
        <f>VLOOKUP($C146,'[2]Analysis 1'!$C$5:$DG$1025,109,FALSE)</f>
        <v>138899.92000000001</v>
      </c>
      <c r="DH146" s="369">
        <f t="shared" si="4"/>
        <v>718957.71999999986</v>
      </c>
    </row>
    <row r="147" spans="1:112">
      <c r="A147" s="357" t="str">
        <f t="shared" si="3"/>
        <v>6010400</v>
      </c>
      <c r="B147" s="350" t="s">
        <v>2244</v>
      </c>
      <c r="C147" s="335" t="s">
        <v>2245</v>
      </c>
      <c r="D147" s="367"/>
      <c r="E147" s="367"/>
      <c r="F147" s="367"/>
      <c r="G147" s="367"/>
      <c r="H147" s="367"/>
      <c r="I147" s="367"/>
      <c r="J147" s="367"/>
      <c r="K147" s="367"/>
      <c r="L147" s="367"/>
      <c r="M147" s="367"/>
      <c r="N147" s="367"/>
      <c r="O147" s="36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v>0</v>
      </c>
      <c r="BG147" s="48">
        <v>1638.5</v>
      </c>
      <c r="BH147" s="48">
        <v>-1638.5</v>
      </c>
      <c r="BI147" s="48">
        <v>0</v>
      </c>
      <c r="BJ147" s="48">
        <v>162</v>
      </c>
      <c r="BK147" s="48">
        <v>-162</v>
      </c>
      <c r="BL147" s="48">
        <v>0</v>
      </c>
      <c r="BM147" s="48">
        <v>0</v>
      </c>
      <c r="BN147" s="48">
        <v>0</v>
      </c>
      <c r="BO147" s="48">
        <v>0</v>
      </c>
      <c r="BP147" s="48">
        <v>0</v>
      </c>
      <c r="BQ147" s="48">
        <v>0</v>
      </c>
      <c r="BR147" s="48">
        <v>0</v>
      </c>
      <c r="BS147" s="48">
        <v>0</v>
      </c>
      <c r="BT147" s="48">
        <v>0</v>
      </c>
      <c r="BU147" s="48">
        <v>0</v>
      </c>
      <c r="BV147" s="48">
        <v>0</v>
      </c>
      <c r="BW147" s="48">
        <v>0</v>
      </c>
      <c r="BX147" s="48">
        <v>0</v>
      </c>
      <c r="BY147" s="48">
        <v>0</v>
      </c>
      <c r="BZ147" s="48">
        <v>0</v>
      </c>
      <c r="CA147" s="48">
        <v>0</v>
      </c>
      <c r="CB147" s="48">
        <v>0</v>
      </c>
      <c r="CC147" s="48">
        <v>0</v>
      </c>
      <c r="CD147" s="48">
        <v>0</v>
      </c>
      <c r="CE147" s="48">
        <v>0</v>
      </c>
      <c r="CF147" s="48">
        <v>0</v>
      </c>
      <c r="CG147" s="48">
        <v>0</v>
      </c>
      <c r="CH147" s="48">
        <v>0</v>
      </c>
      <c r="CI147" s="48">
        <v>0</v>
      </c>
      <c r="CJ147" s="48">
        <v>0</v>
      </c>
      <c r="CK147" s="48">
        <v>0</v>
      </c>
      <c r="CL147" s="48">
        <v>0</v>
      </c>
      <c r="CM147" s="48">
        <v>0</v>
      </c>
      <c r="CN147" s="48">
        <v>0</v>
      </c>
      <c r="CO147" s="48">
        <v>0</v>
      </c>
      <c r="CP147" s="48">
        <v>0</v>
      </c>
      <c r="CQ147" s="48">
        <v>0</v>
      </c>
      <c r="CR147" s="48">
        <v>0</v>
      </c>
      <c r="CS147" s="48">
        <v>0</v>
      </c>
      <c r="CT147" s="48">
        <v>0</v>
      </c>
      <c r="CU147" s="48">
        <v>0</v>
      </c>
      <c r="CV147" s="48">
        <v>0</v>
      </c>
      <c r="CW147" s="48">
        <v>64051.199999999997</v>
      </c>
      <c r="CX147" s="48">
        <v>0</v>
      </c>
      <c r="CY147" s="48">
        <v>0</v>
      </c>
      <c r="CZ147" s="48">
        <v>70000</v>
      </c>
      <c r="DA147" s="48">
        <v>0</v>
      </c>
      <c r="DB147" s="48">
        <v>0</v>
      </c>
      <c r="DC147" s="48">
        <v>0</v>
      </c>
      <c r="DD147" s="48">
        <v>0</v>
      </c>
      <c r="DE147" s="48">
        <f>VLOOKUP($C147,'[2]Analysis 1'!$C$5:$DG$1025,107,FALSE)</f>
        <v>0</v>
      </c>
      <c r="DF147" s="48">
        <f>VLOOKUP($C147,'[2]Analysis 1'!$C$5:$DG$1025,108,FALSE)</f>
        <v>0</v>
      </c>
      <c r="DG147" s="48">
        <f>VLOOKUP($C147,'[2]Analysis 1'!$C$5:$DG$1025,109,FALSE)</f>
        <v>0</v>
      </c>
      <c r="DH147" s="369">
        <f t="shared" si="4"/>
        <v>134051.20000000001</v>
      </c>
    </row>
    <row r="148" spans="1:112">
      <c r="A148" s="357" t="str">
        <f t="shared" si="3"/>
        <v>6010900</v>
      </c>
      <c r="B148" s="350" t="s">
        <v>2465</v>
      </c>
      <c r="C148" s="335" t="s">
        <v>2466</v>
      </c>
      <c r="D148" s="367"/>
      <c r="E148" s="367"/>
      <c r="F148" s="367"/>
      <c r="G148" s="367"/>
      <c r="H148" s="367"/>
      <c r="I148" s="367"/>
      <c r="J148" s="367"/>
      <c r="K148" s="367"/>
      <c r="L148" s="367"/>
      <c r="M148" s="367"/>
      <c r="N148" s="367"/>
      <c r="O148" s="36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8">
        <v>0</v>
      </c>
      <c r="BY148" s="48">
        <v>0</v>
      </c>
      <c r="BZ148" s="48">
        <v>0</v>
      </c>
      <c r="CA148" s="48">
        <v>0</v>
      </c>
      <c r="CB148" s="48">
        <v>0</v>
      </c>
      <c r="CC148" s="48">
        <v>0</v>
      </c>
      <c r="CD148" s="48">
        <v>0</v>
      </c>
      <c r="CE148" s="48">
        <v>0</v>
      </c>
      <c r="CF148" s="48">
        <v>0</v>
      </c>
      <c r="CG148" s="48">
        <v>0</v>
      </c>
      <c r="CH148" s="48">
        <v>0</v>
      </c>
      <c r="CI148" s="48">
        <v>0</v>
      </c>
      <c r="CJ148" s="48">
        <v>0</v>
      </c>
      <c r="CK148" s="48">
        <v>0</v>
      </c>
      <c r="CL148" s="48">
        <v>0</v>
      </c>
      <c r="CM148" s="48">
        <v>0</v>
      </c>
      <c r="CN148" s="48">
        <v>0</v>
      </c>
      <c r="CO148" s="48">
        <v>0</v>
      </c>
      <c r="CP148" s="48">
        <v>0</v>
      </c>
      <c r="CQ148" s="48">
        <v>0</v>
      </c>
      <c r="CR148" s="48">
        <v>0</v>
      </c>
      <c r="CS148" s="48">
        <v>0</v>
      </c>
      <c r="CT148" s="48">
        <v>0</v>
      </c>
      <c r="CU148" s="48">
        <v>0</v>
      </c>
      <c r="CV148" s="48">
        <v>0</v>
      </c>
      <c r="CW148" s="48">
        <v>0</v>
      </c>
      <c r="CX148" s="48">
        <v>0</v>
      </c>
      <c r="CY148" s="48">
        <v>0</v>
      </c>
      <c r="CZ148" s="48">
        <v>0</v>
      </c>
      <c r="DA148" s="48">
        <v>0</v>
      </c>
      <c r="DB148" s="48">
        <v>0</v>
      </c>
      <c r="DC148" s="48">
        <v>0</v>
      </c>
      <c r="DD148" s="48">
        <v>0</v>
      </c>
      <c r="DE148" s="48">
        <f>VLOOKUP($C148,'[2]Analysis 1'!$C$5:$DG$1025,107,FALSE)</f>
        <v>0</v>
      </c>
      <c r="DF148" s="48">
        <f>VLOOKUP($C148,'[2]Analysis 1'!$C$5:$DG$1025,108,FALSE)</f>
        <v>0</v>
      </c>
      <c r="DG148" s="48">
        <f>VLOOKUP($C148,'[2]Analysis 1'!$C$5:$DG$1025,109,FALSE)</f>
        <v>0</v>
      </c>
      <c r="DH148" s="369">
        <f t="shared" si="4"/>
        <v>0</v>
      </c>
    </row>
    <row r="149" spans="1:112">
      <c r="A149" s="357" t="str">
        <f t="shared" si="3"/>
        <v>6010910</v>
      </c>
      <c r="B149" s="350" t="s">
        <v>1972</v>
      </c>
      <c r="C149" s="335" t="s">
        <v>1064</v>
      </c>
      <c r="D149" s="367">
        <v>10544.83</v>
      </c>
      <c r="E149" s="367">
        <v>8307.51</v>
      </c>
      <c r="F149" s="367">
        <v>296.95999999999998</v>
      </c>
      <c r="G149" s="367">
        <v>1410.56</v>
      </c>
      <c r="H149" s="367">
        <v>61315.21</v>
      </c>
      <c r="I149" s="367">
        <v>7128.13</v>
      </c>
      <c r="J149" s="367">
        <v>4677.07</v>
      </c>
      <c r="K149" s="367">
        <v>3093.92</v>
      </c>
      <c r="L149" s="367">
        <v>3158.06</v>
      </c>
      <c r="M149" s="367">
        <v>2139.2600000000002</v>
      </c>
      <c r="N149" s="367">
        <v>593.91999999999996</v>
      </c>
      <c r="O149" s="368">
        <v>24757.279999999999</v>
      </c>
      <c r="P149" s="48">
        <v>32557.360000000001</v>
      </c>
      <c r="Q149" s="48">
        <v>15621.47</v>
      </c>
      <c r="R149" s="48">
        <v>593.91</v>
      </c>
      <c r="S149" s="48">
        <v>10015.91</v>
      </c>
      <c r="T149" s="48">
        <v>296.95999999999998</v>
      </c>
      <c r="U149" s="48">
        <v>23170.36</v>
      </c>
      <c r="V149" s="48">
        <v>1336.36</v>
      </c>
      <c r="W149" s="48">
        <v>29002.82</v>
      </c>
      <c r="X149" s="48">
        <v>41315.81</v>
      </c>
      <c r="Y149" s="48">
        <v>21996.82</v>
      </c>
      <c r="Z149" s="48">
        <v>21982.76</v>
      </c>
      <c r="AA149" s="48">
        <v>83739.600000000006</v>
      </c>
      <c r="AB149" s="48">
        <v>27834.67</v>
      </c>
      <c r="AC149" s="48">
        <v>30100.09</v>
      </c>
      <c r="AD149" s="48">
        <v>18167.37</v>
      </c>
      <c r="AE149" s="48">
        <v>7385.72</v>
      </c>
      <c r="AF149" s="48">
        <v>4853.8599999999997</v>
      </c>
      <c r="AG149" s="48">
        <v>10226.959999999999</v>
      </c>
      <c r="AH149" s="48">
        <v>1410.56</v>
      </c>
      <c r="AI149" s="48">
        <v>1749.39</v>
      </c>
      <c r="AJ149" s="48">
        <v>6310.38</v>
      </c>
      <c r="AK149" s="48">
        <v>3979.37</v>
      </c>
      <c r="AL149" s="48">
        <v>6650.26</v>
      </c>
      <c r="AM149" s="48">
        <v>30836.75</v>
      </c>
      <c r="AN149" s="48">
        <v>82662.27</v>
      </c>
      <c r="AO149" s="48">
        <v>445.43</v>
      </c>
      <c r="AP149" s="48">
        <v>56673.06</v>
      </c>
      <c r="AQ149" s="48">
        <v>3910.56</v>
      </c>
      <c r="AR149" s="48">
        <v>519.66999999999996</v>
      </c>
      <c r="AS149" s="48">
        <v>296.97000000000003</v>
      </c>
      <c r="AT149" s="48">
        <v>10373.34</v>
      </c>
      <c r="AU149" s="48">
        <v>26133.59</v>
      </c>
      <c r="AV149" s="48">
        <v>593.88</v>
      </c>
      <c r="AW149" s="48">
        <v>50863.62</v>
      </c>
      <c r="AX149" s="48">
        <v>13543.26</v>
      </c>
      <c r="AY149" s="48">
        <v>445.43</v>
      </c>
      <c r="AZ149" s="48">
        <v>10413.219999999999</v>
      </c>
      <c r="BA149" s="48">
        <v>43455.7</v>
      </c>
      <c r="BB149" s="48">
        <v>5173.16</v>
      </c>
      <c r="BC149" s="48">
        <v>49042.91</v>
      </c>
      <c r="BD149" s="48">
        <v>18284.29</v>
      </c>
      <c r="BE149" s="48">
        <v>510.64</v>
      </c>
      <c r="BF149" s="48">
        <v>19635.11</v>
      </c>
      <c r="BG149" s="48">
        <v>25853.17</v>
      </c>
      <c r="BH149" s="48">
        <v>25870.639999999999</v>
      </c>
      <c r="BI149" s="48">
        <v>14055.63</v>
      </c>
      <c r="BJ149" s="48">
        <v>15239.6</v>
      </c>
      <c r="BK149" s="48">
        <v>44426.42</v>
      </c>
      <c r="BL149" s="48">
        <v>91528.13</v>
      </c>
      <c r="BM149" s="48">
        <v>426.42</v>
      </c>
      <c r="BN149" s="48">
        <v>21606.25</v>
      </c>
      <c r="BO149" s="48">
        <v>4852.87</v>
      </c>
      <c r="BP149" s="48">
        <v>3837.96</v>
      </c>
      <c r="BQ149" s="48">
        <v>14810.58</v>
      </c>
      <c r="BR149" s="48">
        <v>74438.53</v>
      </c>
      <c r="BS149" s="48">
        <v>20696.97</v>
      </c>
      <c r="BT149" s="48">
        <v>8284.2800000000007</v>
      </c>
      <c r="BU149" s="48">
        <v>6279.32</v>
      </c>
      <c r="BV149" s="48">
        <v>43483.3</v>
      </c>
      <c r="BW149" s="48">
        <v>49708.35</v>
      </c>
      <c r="BX149" s="48">
        <v>8494.6299999999992</v>
      </c>
      <c r="BY149" s="48">
        <v>20000</v>
      </c>
      <c r="BZ149" s="48">
        <v>138149.57999999999</v>
      </c>
      <c r="CA149" s="48">
        <v>835.98</v>
      </c>
      <c r="CB149" s="48">
        <v>14356.79</v>
      </c>
      <c r="CC149" s="48">
        <v>14419.06</v>
      </c>
      <c r="CD149" s="48">
        <v>15414.64</v>
      </c>
      <c r="CE149" s="48">
        <v>9372.89</v>
      </c>
      <c r="CF149" s="48">
        <v>1512.53</v>
      </c>
      <c r="CG149" s="48">
        <v>142.15</v>
      </c>
      <c r="CH149" s="48">
        <v>3844.61</v>
      </c>
      <c r="CI149" s="48">
        <v>10948.52</v>
      </c>
      <c r="CJ149" s="48">
        <v>43626.23</v>
      </c>
      <c r="CK149" s="48">
        <v>213.22</v>
      </c>
      <c r="CL149" s="48">
        <v>15972.2</v>
      </c>
      <c r="CM149" s="48">
        <v>5259.75</v>
      </c>
      <c r="CN149" s="48">
        <v>995.35</v>
      </c>
      <c r="CO149" s="48">
        <v>2035.35</v>
      </c>
      <c r="CP149" s="48">
        <v>17495</v>
      </c>
      <c r="CQ149" s="48">
        <v>14063.57</v>
      </c>
      <c r="CR149" s="48">
        <v>82132.2</v>
      </c>
      <c r="CS149" s="48">
        <v>13250</v>
      </c>
      <c r="CT149" s="48">
        <v>76282.679999999993</v>
      </c>
      <c r="CU149" s="48">
        <v>40764.39</v>
      </c>
      <c r="CV149" s="48">
        <v>34302.01</v>
      </c>
      <c r="CW149" s="48">
        <v>44946.68</v>
      </c>
      <c r="CX149" s="48">
        <v>7089.23</v>
      </c>
      <c r="CY149" s="48">
        <v>62334.61</v>
      </c>
      <c r="CZ149" s="48">
        <v>7710.73</v>
      </c>
      <c r="DA149" s="48">
        <v>35321.97</v>
      </c>
      <c r="DB149" s="48">
        <v>37687.47</v>
      </c>
      <c r="DC149" s="48">
        <v>21321.96</v>
      </c>
      <c r="DD149" s="48">
        <v>92657.57</v>
      </c>
      <c r="DE149" s="48">
        <f>VLOOKUP($C149,'[2]Analysis 1'!$C$5:$DG$1025,107,FALSE)</f>
        <v>42842.93</v>
      </c>
      <c r="DF149" s="48">
        <f>VLOOKUP($C149,'[2]Analysis 1'!$C$5:$DG$1025,108,FALSE)</f>
        <v>77047.73</v>
      </c>
      <c r="DG149" s="48">
        <f>VLOOKUP($C149,'[2]Analysis 1'!$C$5:$DG$1025,109,FALSE)</f>
        <v>58802.12</v>
      </c>
      <c r="DH149" s="369">
        <f t="shared" si="4"/>
        <v>522065.00999999995</v>
      </c>
    </row>
    <row r="150" spans="1:112">
      <c r="A150" s="1040" t="str">
        <f>+B150</f>
        <v>6010990</v>
      </c>
      <c r="B150" s="1041" t="s">
        <v>2673</v>
      </c>
      <c r="C150" s="956" t="s">
        <v>2674</v>
      </c>
      <c r="D150" s="367"/>
      <c r="E150" s="367"/>
      <c r="F150" s="367"/>
      <c r="G150" s="367"/>
      <c r="H150" s="367"/>
      <c r="I150" s="367"/>
      <c r="J150" s="367"/>
      <c r="K150" s="367"/>
      <c r="L150" s="367"/>
      <c r="M150" s="367"/>
      <c r="N150" s="367"/>
      <c r="O150" s="36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v>0</v>
      </c>
      <c r="BG150" s="48">
        <v>1638.5</v>
      </c>
      <c r="BH150" s="48">
        <v>-1638.5</v>
      </c>
      <c r="BI150" s="48">
        <v>0</v>
      </c>
      <c r="BJ150" s="48">
        <v>162</v>
      </c>
      <c r="BK150" s="48">
        <v>-162</v>
      </c>
      <c r="BL150" s="48">
        <v>0</v>
      </c>
      <c r="BM150" s="48">
        <v>0</v>
      </c>
      <c r="BN150" s="48">
        <v>0</v>
      </c>
      <c r="BO150" s="48">
        <v>0</v>
      </c>
      <c r="BP150" s="48">
        <v>0</v>
      </c>
      <c r="BQ150" s="48">
        <v>0</v>
      </c>
      <c r="BR150" s="48">
        <v>0</v>
      </c>
      <c r="BS150" s="48">
        <v>0</v>
      </c>
      <c r="BT150" s="48">
        <v>0</v>
      </c>
      <c r="BU150" s="48">
        <v>0</v>
      </c>
      <c r="BV150" s="48">
        <v>0</v>
      </c>
      <c r="BW150" s="48">
        <v>0</v>
      </c>
      <c r="BX150" s="48">
        <v>0</v>
      </c>
      <c r="BY150" s="48">
        <v>0</v>
      </c>
      <c r="BZ150" s="48">
        <v>0</v>
      </c>
      <c r="CA150" s="48">
        <v>0</v>
      </c>
      <c r="CB150" s="48">
        <v>0</v>
      </c>
      <c r="CC150" s="48">
        <v>0</v>
      </c>
      <c r="CD150" s="48">
        <v>0</v>
      </c>
      <c r="CE150" s="48">
        <v>0</v>
      </c>
      <c r="CF150" s="48">
        <v>0</v>
      </c>
      <c r="CG150" s="48">
        <v>0</v>
      </c>
      <c r="CH150" s="48">
        <v>0</v>
      </c>
      <c r="CI150" s="48">
        <v>0</v>
      </c>
      <c r="CJ150" s="48">
        <v>0</v>
      </c>
      <c r="CK150" s="48">
        <v>0</v>
      </c>
      <c r="CL150" s="48">
        <v>0</v>
      </c>
      <c r="CM150" s="48">
        <v>0</v>
      </c>
      <c r="CN150" s="48">
        <v>338698.26</v>
      </c>
      <c r="CO150" s="48">
        <v>61885.13</v>
      </c>
      <c r="CP150" s="48">
        <v>60464.06</v>
      </c>
      <c r="CQ150" s="48">
        <v>58623.76</v>
      </c>
      <c r="CR150" s="48">
        <v>87363.09</v>
      </c>
      <c r="CS150" s="48">
        <v>59789.51</v>
      </c>
      <c r="CT150" s="48">
        <v>59719.44</v>
      </c>
      <c r="CU150" s="48">
        <v>60687.54</v>
      </c>
      <c r="CV150" s="48">
        <v>67051.87</v>
      </c>
      <c r="CW150" s="48">
        <v>67124.56</v>
      </c>
      <c r="CX150" s="48">
        <v>67743.97</v>
      </c>
      <c r="CY150" s="48">
        <v>97955.62</v>
      </c>
      <c r="CZ150" s="48">
        <v>64718.07</v>
      </c>
      <c r="DA150" s="48">
        <v>64629.21</v>
      </c>
      <c r="DB150" s="48">
        <v>63711.98</v>
      </c>
      <c r="DC150" s="48">
        <v>65449.75</v>
      </c>
      <c r="DD150" s="48">
        <v>68826.83</v>
      </c>
      <c r="DE150" s="48">
        <f>VLOOKUP($C150,'[2]Analysis 1'!$C$5:$DG$1025,107,FALSE)</f>
        <v>43589.05</v>
      </c>
      <c r="DF150" s="48">
        <f>VLOOKUP($C150,'[2]Analysis 1'!$C$5:$DG$1025,108,FALSE)</f>
        <v>44402.559999999998</v>
      </c>
      <c r="DG150" s="48">
        <f>VLOOKUP($C150,'[2]Analysis 1'!$C$5:$DG$1025,109,FALSE)</f>
        <v>43935.4</v>
      </c>
      <c r="DH150" s="369">
        <f t="shared" si="4"/>
        <v>759138.87</v>
      </c>
    </row>
    <row r="151" spans="1:112">
      <c r="A151" s="357" t="str">
        <f t="shared" ref="A151:A221" si="5">+B151</f>
        <v>6018999</v>
      </c>
      <c r="B151" s="350" t="s">
        <v>1973</v>
      </c>
      <c r="C151" s="335" t="s">
        <v>1065</v>
      </c>
      <c r="D151" s="367">
        <v>52171.68</v>
      </c>
      <c r="E151" s="367">
        <v>138265.62</v>
      </c>
      <c r="F151" s="367">
        <v>1643.62</v>
      </c>
      <c r="G151" s="367">
        <v>49930.37</v>
      </c>
      <c r="H151" s="367">
        <v>71134.42</v>
      </c>
      <c r="I151" s="367">
        <v>102730.86</v>
      </c>
      <c r="J151" s="367">
        <v>50214</v>
      </c>
      <c r="K151" s="367">
        <v>46534.98</v>
      </c>
      <c r="L151" s="367">
        <v>47126.080000000002</v>
      </c>
      <c r="M151" s="367">
        <v>27874.47</v>
      </c>
      <c r="N151" s="367">
        <v>221837.99</v>
      </c>
      <c r="O151" s="368">
        <v>-156336.45000000001</v>
      </c>
      <c r="P151" s="48">
        <v>97494.18</v>
      </c>
      <c r="Q151" s="48">
        <v>122557.95</v>
      </c>
      <c r="R151" s="48">
        <v>-20951.97</v>
      </c>
      <c r="S151" s="48">
        <v>40207.870000000003</v>
      </c>
      <c r="T151" s="48">
        <v>125060.27</v>
      </c>
      <c r="U151" s="48">
        <v>74205.259999999995</v>
      </c>
      <c r="V151" s="48">
        <v>62683.95</v>
      </c>
      <c r="W151" s="48">
        <v>60060.79</v>
      </c>
      <c r="X151" s="48">
        <v>58031.5</v>
      </c>
      <c r="Y151" s="48">
        <v>56076.79</v>
      </c>
      <c r="Z151" s="48">
        <v>100749.72</v>
      </c>
      <c r="AA151" s="48">
        <v>129025.91</v>
      </c>
      <c r="AB151" s="48">
        <v>83678.25</v>
      </c>
      <c r="AC151" s="48">
        <v>65207.63</v>
      </c>
      <c r="AD151" s="48">
        <v>63820.43</v>
      </c>
      <c r="AE151" s="48">
        <v>149745.65</v>
      </c>
      <c r="AF151" s="48">
        <v>52247.46</v>
      </c>
      <c r="AG151" s="48">
        <v>82748.06</v>
      </c>
      <c r="AH151" s="48">
        <v>69788.960000000006</v>
      </c>
      <c r="AI151" s="48">
        <v>118602.85</v>
      </c>
      <c r="AJ151" s="48">
        <v>156874.47</v>
      </c>
      <c r="AK151" s="48">
        <v>98035.55</v>
      </c>
      <c r="AL151" s="48">
        <v>40106.58</v>
      </c>
      <c r="AM151" s="48">
        <v>230848.99</v>
      </c>
      <c r="AN151" s="48">
        <v>76890.78</v>
      </c>
      <c r="AO151" s="48">
        <v>119546.62</v>
      </c>
      <c r="AP151" s="48">
        <v>102430.49</v>
      </c>
      <c r="AQ151" s="48">
        <v>119546.96</v>
      </c>
      <c r="AR151" s="48">
        <v>87694.65</v>
      </c>
      <c r="AS151" s="48">
        <v>77803.740000000005</v>
      </c>
      <c r="AT151" s="48">
        <v>84394.58</v>
      </c>
      <c r="AU151" s="48">
        <v>94989.27</v>
      </c>
      <c r="AV151" s="48">
        <v>118662.45</v>
      </c>
      <c r="AW151" s="48">
        <v>140351.76999999999</v>
      </c>
      <c r="AX151" s="48">
        <v>85295.2</v>
      </c>
      <c r="AY151" s="48">
        <v>138066.69</v>
      </c>
      <c r="AZ151" s="48">
        <v>83874.81</v>
      </c>
      <c r="BA151" s="48">
        <v>56854.25</v>
      </c>
      <c r="BB151" s="48">
        <v>84253.07</v>
      </c>
      <c r="BC151" s="48">
        <v>141442.32999999999</v>
      </c>
      <c r="BD151" s="48">
        <v>94955.35</v>
      </c>
      <c r="BE151" s="48">
        <v>88285.32</v>
      </c>
      <c r="BF151" s="48">
        <v>95776</v>
      </c>
      <c r="BG151" s="48">
        <v>101611.41</v>
      </c>
      <c r="BH151" s="48">
        <v>137173.31</v>
      </c>
      <c r="BI151" s="48">
        <v>94970.82</v>
      </c>
      <c r="BJ151" s="48">
        <v>151598.85999999999</v>
      </c>
      <c r="BK151" s="48">
        <v>191222.76</v>
      </c>
      <c r="BL151" s="48">
        <v>99560.320000000007</v>
      </c>
      <c r="BM151" s="48">
        <v>162889.5</v>
      </c>
      <c r="BN151" s="48">
        <v>108285.27</v>
      </c>
      <c r="BO151" s="48">
        <v>101673.99</v>
      </c>
      <c r="BP151" s="48">
        <v>148875.01</v>
      </c>
      <c r="BQ151" s="48">
        <v>134112.93</v>
      </c>
      <c r="BR151" s="48">
        <v>149746.91</v>
      </c>
      <c r="BS151" s="48">
        <v>156432.38</v>
      </c>
      <c r="BT151" s="48">
        <v>218592.89</v>
      </c>
      <c r="BU151" s="48">
        <v>164482.68</v>
      </c>
      <c r="BV151" s="48">
        <v>138227.18</v>
      </c>
      <c r="BW151" s="48">
        <v>136166.06</v>
      </c>
      <c r="BX151" s="48">
        <v>233753.48</v>
      </c>
      <c r="BY151" s="48">
        <v>308891.21000000002</v>
      </c>
      <c r="BZ151" s="48">
        <v>-75955.759999999995</v>
      </c>
      <c r="CA151" s="48">
        <v>165727.1</v>
      </c>
      <c r="CB151" s="48">
        <v>135991.75</v>
      </c>
      <c r="CC151" s="48">
        <v>142798.79</v>
      </c>
      <c r="CD151" s="48">
        <v>128498.22</v>
      </c>
      <c r="CE151" s="48">
        <v>174149.84</v>
      </c>
      <c r="CF151" s="48">
        <v>209076.15</v>
      </c>
      <c r="CG151" s="48">
        <v>182485.94</v>
      </c>
      <c r="CH151" s="48">
        <v>186317.49</v>
      </c>
      <c r="CI151" s="48">
        <v>188739.98</v>
      </c>
      <c r="CJ151" s="48">
        <v>266200.15000000002</v>
      </c>
      <c r="CK151" s="48">
        <v>235077.12</v>
      </c>
      <c r="CL151" s="48">
        <v>273274</v>
      </c>
      <c r="CM151" s="48">
        <v>423247.9</v>
      </c>
      <c r="CN151" s="48">
        <v>-21691.360000000001</v>
      </c>
      <c r="CO151" s="48">
        <v>228146.83</v>
      </c>
      <c r="CP151" s="48">
        <v>106339.78</v>
      </c>
      <c r="CQ151" s="48">
        <v>185555.56</v>
      </c>
      <c r="CR151" s="48">
        <v>175745.44</v>
      </c>
      <c r="CS151" s="48">
        <v>314862.65999999997</v>
      </c>
      <c r="CT151" s="48">
        <v>258331.29</v>
      </c>
      <c r="CU151" s="48">
        <v>415236.26</v>
      </c>
      <c r="CV151" s="48">
        <v>33039.81</v>
      </c>
      <c r="CW151" s="48">
        <v>29480.13</v>
      </c>
      <c r="CX151" s="48">
        <v>-4056.7</v>
      </c>
      <c r="CY151" s="48">
        <v>36929.040000000001</v>
      </c>
      <c r="CZ151" s="48">
        <v>33985.61</v>
      </c>
      <c r="DA151" s="48">
        <v>21012.63</v>
      </c>
      <c r="DB151" s="48">
        <v>18945.46</v>
      </c>
      <c r="DC151" s="48">
        <v>11193.28</v>
      </c>
      <c r="DD151" s="48">
        <v>29944.84</v>
      </c>
      <c r="DE151" s="48">
        <f>VLOOKUP($C151,'[2]Analysis 1'!$C$5:$DG$1025,107,FALSE)</f>
        <v>-661628.5</v>
      </c>
      <c r="DF151" s="48">
        <f>VLOOKUP($C151,'[2]Analysis 1'!$C$5:$DG$1025,108,FALSE)</f>
        <v>682603.1</v>
      </c>
      <c r="DG151" s="48">
        <f>VLOOKUP($C151,'[2]Analysis 1'!$C$5:$DG$1025,109,FALSE)</f>
        <v>107316.29</v>
      </c>
      <c r="DH151" s="369">
        <f t="shared" si="4"/>
        <v>338764.98999999993</v>
      </c>
    </row>
    <row r="152" spans="1:112">
      <c r="A152" s="357" t="str">
        <f t="shared" si="5"/>
        <v>6019000</v>
      </c>
      <c r="B152" s="350" t="s">
        <v>1974</v>
      </c>
      <c r="C152" s="335" t="s">
        <v>1066</v>
      </c>
      <c r="D152" s="340">
        <v>-3364.22</v>
      </c>
      <c r="E152" s="340">
        <v>0</v>
      </c>
      <c r="F152" s="340">
        <v>-27876.59</v>
      </c>
      <c r="G152" s="340">
        <v>0</v>
      </c>
      <c r="H152" s="340">
        <v>-20750.310000000001</v>
      </c>
      <c r="I152" s="340">
        <v>-28207.46</v>
      </c>
      <c r="J152" s="340">
        <v>0</v>
      </c>
      <c r="K152" s="340">
        <v>0</v>
      </c>
      <c r="L152" s="340">
        <v>0</v>
      </c>
      <c r="M152" s="340">
        <v>21024.09</v>
      </c>
      <c r="N152" s="340">
        <v>-143984.14000000001</v>
      </c>
      <c r="O152" s="341">
        <v>213469.65</v>
      </c>
      <c r="P152" s="48">
        <v>0</v>
      </c>
      <c r="Q152" s="48">
        <v>-57669.1</v>
      </c>
      <c r="R152" s="48">
        <v>34452.97</v>
      </c>
      <c r="S152" s="48">
        <v>0</v>
      </c>
      <c r="T152" s="48">
        <v>-48251.14</v>
      </c>
      <c r="U152" s="48">
        <v>-24604.36</v>
      </c>
      <c r="V152" s="48">
        <v>2399.8000000000002</v>
      </c>
      <c r="W152" s="48">
        <v>-16647.02</v>
      </c>
      <c r="X152" s="48">
        <v>-9976.99</v>
      </c>
      <c r="Y152" s="48">
        <v>-12406.42</v>
      </c>
      <c r="Z152" s="48">
        <v>-7168.57</v>
      </c>
      <c r="AA152" s="48">
        <v>-78492.149999999994</v>
      </c>
      <c r="AB152" s="48">
        <v>-22018.52</v>
      </c>
      <c r="AC152" s="48">
        <v>-7437.44</v>
      </c>
      <c r="AD152" s="48">
        <v>-12545.44</v>
      </c>
      <c r="AE152" s="48">
        <v>-7152.56</v>
      </c>
      <c r="AF152" s="48">
        <v>0</v>
      </c>
      <c r="AG152" s="48">
        <v>56847.6</v>
      </c>
      <c r="AH152" s="48">
        <v>24801.29</v>
      </c>
      <c r="AI152" s="48">
        <v>22783.200000000001</v>
      </c>
      <c r="AJ152" s="48">
        <v>-9756.39</v>
      </c>
      <c r="AK152" s="48">
        <v>-9073.69</v>
      </c>
      <c r="AL152" s="48">
        <v>28972.48</v>
      </c>
      <c r="AM152" s="48">
        <v>-63689.64</v>
      </c>
      <c r="AN152" s="48">
        <v>-10707.23</v>
      </c>
      <c r="AO152" s="48">
        <v>-7777.91</v>
      </c>
      <c r="AP152" s="48">
        <v>-11059.74</v>
      </c>
      <c r="AQ152" s="48">
        <v>-8964.8700000000008</v>
      </c>
      <c r="AR152" s="48">
        <v>-12254.65</v>
      </c>
      <c r="AS152" s="48">
        <v>-9395.0499999999993</v>
      </c>
      <c r="AT152" s="48">
        <v>-12751.84</v>
      </c>
      <c r="AU152" s="48">
        <v>-12674.96</v>
      </c>
      <c r="AV152" s="48">
        <v>-2663</v>
      </c>
      <c r="AW152" s="48">
        <v>-17088.39</v>
      </c>
      <c r="AX152" s="48">
        <v>-12656.48</v>
      </c>
      <c r="AY152" s="48">
        <v>36114.199999999997</v>
      </c>
      <c r="AZ152" s="48">
        <v>-15683.22</v>
      </c>
      <c r="BA152" s="48">
        <v>-9713.52</v>
      </c>
      <c r="BB152" s="48">
        <v>-5000.5600000000004</v>
      </c>
      <c r="BC152" s="48">
        <v>-25047.89</v>
      </c>
      <c r="BD152" s="48">
        <v>-14991.39</v>
      </c>
      <c r="BE152" s="48">
        <v>-12679.4</v>
      </c>
      <c r="BF152" s="48">
        <v>-17760.34</v>
      </c>
      <c r="BG152" s="48">
        <v>-20805.12</v>
      </c>
      <c r="BH152" s="48">
        <v>-5389.21</v>
      </c>
      <c r="BI152" s="48">
        <v>-61426.91</v>
      </c>
      <c r="BJ152" s="48">
        <v>-29320.720000000001</v>
      </c>
      <c r="BK152" s="48">
        <v>224655.73</v>
      </c>
      <c r="BL152" s="48">
        <v>-22071.97</v>
      </c>
      <c r="BM152" s="48">
        <v>-16501.77</v>
      </c>
      <c r="BN152" s="48">
        <v>-23328.51</v>
      </c>
      <c r="BO152" s="48">
        <v>-12761.06</v>
      </c>
      <c r="BP152" s="48">
        <v>-36099.550000000003</v>
      </c>
      <c r="BQ152" s="48">
        <v>-27877.69</v>
      </c>
      <c r="BR152" s="48">
        <v>-66309.649999999994</v>
      </c>
      <c r="BS152" s="48">
        <v>-75205.820000000007</v>
      </c>
      <c r="BT152" s="48">
        <v>-41264.54</v>
      </c>
      <c r="BU152" s="48">
        <v>-59580.07</v>
      </c>
      <c r="BV152" s="48">
        <v>-35435.29</v>
      </c>
      <c r="BW152" s="48">
        <v>-27505.66</v>
      </c>
      <c r="BX152" s="48">
        <v>-25853.89</v>
      </c>
      <c r="BY152" s="48">
        <v>100289.87</v>
      </c>
      <c r="BZ152" s="48">
        <v>-10372.200000000001</v>
      </c>
      <c r="CA152" s="48">
        <v>-10925.31</v>
      </c>
      <c r="CB152" s="48">
        <v>-10017.56</v>
      </c>
      <c r="CC152" s="48">
        <v>-10967.12</v>
      </c>
      <c r="CD152" s="48">
        <v>-12831.94</v>
      </c>
      <c r="CE152" s="48">
        <v>-10704.81</v>
      </c>
      <c r="CF152" s="48">
        <v>-90569.71</v>
      </c>
      <c r="CG152" s="48">
        <v>-39708.25</v>
      </c>
      <c r="CH152" s="48">
        <v>-37818.57</v>
      </c>
      <c r="CI152" s="48">
        <v>-33973.9</v>
      </c>
      <c r="CJ152" s="48">
        <v>-59724.45</v>
      </c>
      <c r="CK152" s="48">
        <v>-54475.63</v>
      </c>
      <c r="CL152" s="48">
        <v>-96009.84</v>
      </c>
      <c r="CM152" s="48">
        <v>-45290.49</v>
      </c>
      <c r="CN152" s="48">
        <v>-60412.39</v>
      </c>
      <c r="CO152" s="48">
        <v>-65145.3</v>
      </c>
      <c r="CP152" s="48">
        <v>-68105.66</v>
      </c>
      <c r="CQ152" s="48">
        <v>-70105.78</v>
      </c>
      <c r="CR152" s="48">
        <v>-58307.46</v>
      </c>
      <c r="CS152" s="48">
        <v>-111738.56</v>
      </c>
      <c r="CT152" s="48">
        <v>-126669.06</v>
      </c>
      <c r="CU152" s="48">
        <v>-309732.95</v>
      </c>
      <c r="CV152" s="48">
        <v>-29261.27</v>
      </c>
      <c r="CW152" s="48">
        <v>-24769.55</v>
      </c>
      <c r="CX152" s="48">
        <v>-16891.25</v>
      </c>
      <c r="CY152" s="48">
        <v>-62393.36</v>
      </c>
      <c r="CZ152" s="48">
        <v>-29129.16</v>
      </c>
      <c r="DA152" s="48">
        <v>-18459.25</v>
      </c>
      <c r="DB152" s="48">
        <v>-40448.17</v>
      </c>
      <c r="DC152" s="48">
        <v>-24588.63</v>
      </c>
      <c r="DD152" s="48">
        <v>-49252.22</v>
      </c>
      <c r="DE152" s="48">
        <f>VLOOKUP($C152,'[2]Analysis 1'!$C$5:$DG$1025,107,FALSE)</f>
        <v>-32349.39</v>
      </c>
      <c r="DF152" s="48">
        <f>VLOOKUP($C152,'[2]Analysis 1'!$C$5:$DG$1025,108,FALSE)</f>
        <v>-589787.26</v>
      </c>
      <c r="DG152" s="48">
        <f>VLOOKUP($C152,'[2]Analysis 1'!$C$5:$DG$1025,109,FALSE)</f>
        <v>-6214.86</v>
      </c>
      <c r="DH152" s="369">
        <f t="shared" si="4"/>
        <v>-923544.37</v>
      </c>
    </row>
    <row r="153" spans="1:112">
      <c r="A153" s="357" t="str">
        <f t="shared" si="5"/>
        <v>6019900</v>
      </c>
      <c r="B153" s="350" t="s">
        <v>1975</v>
      </c>
      <c r="C153" s="335" t="s">
        <v>1067</v>
      </c>
      <c r="D153" s="367">
        <v>-578807.18999999994</v>
      </c>
      <c r="E153" s="367">
        <v>-482996.23</v>
      </c>
      <c r="F153" s="367">
        <v>-569971.55000000005</v>
      </c>
      <c r="G153" s="367">
        <v>-574244.54</v>
      </c>
      <c r="H153" s="367">
        <v>-596209.27</v>
      </c>
      <c r="I153" s="367">
        <v>-541627.57999999996</v>
      </c>
      <c r="J153" s="367">
        <v>-517880.79</v>
      </c>
      <c r="K153" s="367">
        <v>-504117.59</v>
      </c>
      <c r="L153" s="367">
        <v>-593115.31999999995</v>
      </c>
      <c r="M153" s="367">
        <v>-639120.79</v>
      </c>
      <c r="N153" s="367">
        <v>-624828.27</v>
      </c>
      <c r="O153" s="368">
        <v>-611301.31000000006</v>
      </c>
      <c r="P153" s="48">
        <v>-506561.82</v>
      </c>
      <c r="Q153" s="48">
        <v>-360950.73</v>
      </c>
      <c r="R153" s="48">
        <v>-592908.54</v>
      </c>
      <c r="S153" s="48">
        <v>-466509.73</v>
      </c>
      <c r="T153" s="48">
        <v>-474315.01</v>
      </c>
      <c r="U153" s="48">
        <v>-474968.93</v>
      </c>
      <c r="V153" s="48">
        <v>-455410.84</v>
      </c>
      <c r="W153" s="48">
        <v>-493864.73</v>
      </c>
      <c r="X153" s="48">
        <v>-448675.2</v>
      </c>
      <c r="Y153" s="48">
        <v>-444675.33</v>
      </c>
      <c r="Z153" s="48">
        <v>-453568.69</v>
      </c>
      <c r="AA153" s="48">
        <v>-435932.85</v>
      </c>
      <c r="AB153" s="48">
        <v>-411365.37</v>
      </c>
      <c r="AC153" s="48">
        <v>-452537.9</v>
      </c>
      <c r="AD153" s="48">
        <v>-476921.55</v>
      </c>
      <c r="AE153" s="48">
        <v>-431663.28</v>
      </c>
      <c r="AF153" s="48">
        <v>-436811.44</v>
      </c>
      <c r="AG153" s="48">
        <v>-427980.43</v>
      </c>
      <c r="AH153" s="48">
        <v>-417780.23</v>
      </c>
      <c r="AI153" s="48">
        <v>-459577.04</v>
      </c>
      <c r="AJ153" s="48">
        <v>-378295.55</v>
      </c>
      <c r="AK153" s="48">
        <v>-334710.21999999997</v>
      </c>
      <c r="AL153" s="48">
        <v>-324394.89</v>
      </c>
      <c r="AM153" s="48">
        <v>-348172.75</v>
      </c>
      <c r="AN153" s="48">
        <v>-308154.53999999998</v>
      </c>
      <c r="AO153" s="48">
        <v>-287464.53999999998</v>
      </c>
      <c r="AP153" s="48">
        <v>-382432.61</v>
      </c>
      <c r="AQ153" s="48">
        <v>-330258.15000000002</v>
      </c>
      <c r="AR153" s="48">
        <v>-413269.77</v>
      </c>
      <c r="AS153" s="48">
        <v>-334695.53000000003</v>
      </c>
      <c r="AT153" s="48">
        <v>-343338.03</v>
      </c>
      <c r="AU153" s="48">
        <v>-488691.16</v>
      </c>
      <c r="AV153" s="48">
        <v>-384924.71</v>
      </c>
      <c r="AW153" s="48">
        <v>-380035.14</v>
      </c>
      <c r="AX153" s="48">
        <v>-403856.21</v>
      </c>
      <c r="AY153" s="48">
        <v>-346076.29</v>
      </c>
      <c r="AZ153" s="48">
        <v>-370027.33</v>
      </c>
      <c r="BA153" s="48">
        <v>-335077.32</v>
      </c>
      <c r="BB153" s="48">
        <v>-389782.29</v>
      </c>
      <c r="BC153" s="48">
        <v>-365805.78</v>
      </c>
      <c r="BD153" s="48">
        <v>-374709.53</v>
      </c>
      <c r="BE153" s="48">
        <v>-402514.72</v>
      </c>
      <c r="BF153" s="48">
        <v>-383667.04</v>
      </c>
      <c r="BG153" s="48">
        <v>-542998.73</v>
      </c>
      <c r="BH153" s="48">
        <v>-482940.07</v>
      </c>
      <c r="BI153" s="48">
        <v>-907261.51</v>
      </c>
      <c r="BJ153" s="48">
        <v>-707589.8</v>
      </c>
      <c r="BK153" s="48">
        <v>-644405.22</v>
      </c>
      <c r="BL153" s="48">
        <v>-584679.62</v>
      </c>
      <c r="BM153" s="48">
        <v>-465463.27</v>
      </c>
      <c r="BN153" s="48">
        <v>-532751.46</v>
      </c>
      <c r="BO153" s="48">
        <v>-474564.4</v>
      </c>
      <c r="BP153" s="48">
        <v>-477933.41</v>
      </c>
      <c r="BQ153" s="48">
        <v>-454447.32</v>
      </c>
      <c r="BR153" s="48">
        <v>-485072.63</v>
      </c>
      <c r="BS153" s="48">
        <v>-483987.27</v>
      </c>
      <c r="BT153" s="48">
        <v>-455116.79</v>
      </c>
      <c r="BU153" s="48">
        <v>-495885.91</v>
      </c>
      <c r="BV153" s="48">
        <v>-428304.2</v>
      </c>
      <c r="BW153" s="48">
        <v>-506038.2</v>
      </c>
      <c r="BX153" s="48">
        <v>-476676.28</v>
      </c>
      <c r="BY153" s="48">
        <v>-444342.28</v>
      </c>
      <c r="BZ153" s="48">
        <v>-500429.97</v>
      </c>
      <c r="CA153" s="48">
        <v>-468588.49</v>
      </c>
      <c r="CB153" s="48">
        <v>-598264.98</v>
      </c>
      <c r="CC153" s="48">
        <v>-552419.28</v>
      </c>
      <c r="CD153" s="48">
        <v>-575609.87</v>
      </c>
      <c r="CE153" s="48">
        <v>-464216.31</v>
      </c>
      <c r="CF153" s="48">
        <v>-541237.72</v>
      </c>
      <c r="CG153" s="48">
        <v>-613356.75</v>
      </c>
      <c r="CH153" s="48">
        <v>-676878.01</v>
      </c>
      <c r="CI153" s="48">
        <v>-689529.56</v>
      </c>
      <c r="CJ153" s="48">
        <v>-532750.43000000005</v>
      </c>
      <c r="CK153" s="48">
        <v>-647225.18999999994</v>
      </c>
      <c r="CL153" s="48">
        <v>-716849.66</v>
      </c>
      <c r="CM153" s="48">
        <v>-683520.07</v>
      </c>
      <c r="CN153" s="48">
        <v>-680042.97</v>
      </c>
      <c r="CO153" s="48">
        <v>-674542.17</v>
      </c>
      <c r="CP153" s="48">
        <v>-696240.98</v>
      </c>
      <c r="CQ153" s="48">
        <v>-670679.44999999995</v>
      </c>
      <c r="CR153" s="48">
        <v>-815495.44</v>
      </c>
      <c r="CS153" s="48">
        <v>-747224.63</v>
      </c>
      <c r="CT153" s="48">
        <v>-726249.78</v>
      </c>
      <c r="CU153" s="48">
        <v>-778460.84</v>
      </c>
      <c r="CV153" s="48">
        <v>-491489.7</v>
      </c>
      <c r="CW153" s="48">
        <v>-582695.12</v>
      </c>
      <c r="CX153" s="48">
        <v>-604880.06999999995</v>
      </c>
      <c r="CY153" s="48">
        <v>-519717.72</v>
      </c>
      <c r="CZ153" s="48">
        <v>-630692.62</v>
      </c>
      <c r="DA153" s="48">
        <v>-636347.11</v>
      </c>
      <c r="DB153" s="48">
        <v>-701258.19</v>
      </c>
      <c r="DC153" s="48">
        <v>-729808.41</v>
      </c>
      <c r="DD153" s="48">
        <v>-680392.93</v>
      </c>
      <c r="DE153" s="48">
        <f>VLOOKUP($C153,'[2]Analysis 1'!$C$5:$DG$1025,107,FALSE)</f>
        <v>-647337.25</v>
      </c>
      <c r="DF153" s="48">
        <f>VLOOKUP($C153,'[2]Analysis 1'!$C$5:$DG$1025,108,FALSE)</f>
        <v>-591617.68000000005</v>
      </c>
      <c r="DG153" s="48">
        <f>VLOOKUP($C153,'[2]Analysis 1'!$C$5:$DG$1025,109,FALSE)</f>
        <v>-687730.76</v>
      </c>
      <c r="DH153" s="369">
        <f t="shared" si="4"/>
        <v>-7503967.5599999996</v>
      </c>
    </row>
    <row r="154" spans="1:112">
      <c r="A154" s="357" t="str">
        <f t="shared" si="5"/>
        <v>6019910</v>
      </c>
      <c r="B154" s="350" t="s">
        <v>1976</v>
      </c>
      <c r="C154" s="335" t="s">
        <v>1068</v>
      </c>
      <c r="D154" s="340">
        <v>-34881.93</v>
      </c>
      <c r="E154" s="340">
        <v>-33750.76</v>
      </c>
      <c r="F154" s="340">
        <v>-39498.300000000003</v>
      </c>
      <c r="G154" s="340">
        <v>-42403.11</v>
      </c>
      <c r="H154" s="340">
        <v>-51484.43</v>
      </c>
      <c r="I154" s="340">
        <v>-38548.230000000003</v>
      </c>
      <c r="J154" s="340">
        <v>-39699.47</v>
      </c>
      <c r="K154" s="340">
        <v>-68918.679999999993</v>
      </c>
      <c r="L154" s="340">
        <v>-84317.6</v>
      </c>
      <c r="M154" s="340">
        <v>-79484.039999999994</v>
      </c>
      <c r="N154" s="340">
        <v>-82362.7</v>
      </c>
      <c r="O154" s="341">
        <v>-76641.850000000006</v>
      </c>
      <c r="P154" s="48">
        <v>-60163.97</v>
      </c>
      <c r="Q154" s="48">
        <v>-41244.5</v>
      </c>
      <c r="R154" s="48">
        <v>-77431.990000000005</v>
      </c>
      <c r="S154" s="48">
        <v>-48683.66</v>
      </c>
      <c r="T154" s="48">
        <v>-86649.65</v>
      </c>
      <c r="U154" s="48">
        <v>-69488.89</v>
      </c>
      <c r="V154" s="48">
        <v>-69698.39</v>
      </c>
      <c r="W154" s="48">
        <v>-73526.89</v>
      </c>
      <c r="X154" s="48">
        <v>-56612.41</v>
      </c>
      <c r="Y154" s="48">
        <v>-71237.149999999994</v>
      </c>
      <c r="Z154" s="48">
        <v>-86014.84</v>
      </c>
      <c r="AA154" s="48">
        <v>-142692.04999999999</v>
      </c>
      <c r="AB154" s="48">
        <v>-48359.89</v>
      </c>
      <c r="AC154" s="48">
        <v>-57141.5</v>
      </c>
      <c r="AD154" s="48">
        <v>-69073.78</v>
      </c>
      <c r="AE154" s="48">
        <v>-59499.07</v>
      </c>
      <c r="AF154" s="48">
        <v>-59221.18</v>
      </c>
      <c r="AG154" s="48">
        <v>-61461.69</v>
      </c>
      <c r="AH154" s="48">
        <v>-65039.15</v>
      </c>
      <c r="AI154" s="48">
        <v>-66075.520000000004</v>
      </c>
      <c r="AJ154" s="48">
        <v>-66498.2</v>
      </c>
      <c r="AK154" s="48">
        <v>-150670.99</v>
      </c>
      <c r="AL154" s="48">
        <v>-64510.239999999998</v>
      </c>
      <c r="AM154" s="48">
        <v>-93801.61</v>
      </c>
      <c r="AN154" s="48">
        <v>-51286.559999999998</v>
      </c>
      <c r="AO154" s="48">
        <v>-64887.17</v>
      </c>
      <c r="AP154" s="48">
        <v>-66498.39</v>
      </c>
      <c r="AQ154" s="48">
        <v>-98184.58</v>
      </c>
      <c r="AR154" s="48">
        <v>-74503.28</v>
      </c>
      <c r="AS154" s="48">
        <v>-65837.58</v>
      </c>
      <c r="AT154" s="48">
        <v>-61526.34</v>
      </c>
      <c r="AU154" s="48">
        <v>-84161.1</v>
      </c>
      <c r="AV154" s="48">
        <v>-151811.16</v>
      </c>
      <c r="AW154" s="48">
        <v>-82076.22</v>
      </c>
      <c r="AX154" s="48">
        <v>-117476.35</v>
      </c>
      <c r="AY154" s="48">
        <v>-81959.429999999993</v>
      </c>
      <c r="AZ154" s="48">
        <v>-77313.22</v>
      </c>
      <c r="BA154" s="48">
        <v>-83203.98</v>
      </c>
      <c r="BB154" s="48">
        <v>-63184.31</v>
      </c>
      <c r="BC154" s="48">
        <v>-68799.13</v>
      </c>
      <c r="BD154" s="48">
        <v>-56310.239999999998</v>
      </c>
      <c r="BE154" s="48">
        <v>-58128.33</v>
      </c>
      <c r="BF154" s="48">
        <v>-63394.25</v>
      </c>
      <c r="BG154" s="48">
        <v>-81013.02</v>
      </c>
      <c r="BH154" s="48">
        <v>-90887.97</v>
      </c>
      <c r="BI154" s="48">
        <v>-596337.19999999995</v>
      </c>
      <c r="BJ154" s="48">
        <v>-368565.12</v>
      </c>
      <c r="BK154" s="48">
        <v>-131559.96</v>
      </c>
      <c r="BL154" s="48">
        <v>-100447.99</v>
      </c>
      <c r="BM154" s="48">
        <v>-72955.22</v>
      </c>
      <c r="BN154" s="48">
        <v>-64315.45</v>
      </c>
      <c r="BO154" s="48">
        <v>-72700.72</v>
      </c>
      <c r="BP154" s="48">
        <v>-89418.38</v>
      </c>
      <c r="BQ154" s="48">
        <v>-66315.97</v>
      </c>
      <c r="BR154" s="48">
        <v>-67379.399999999994</v>
      </c>
      <c r="BS154" s="48">
        <v>-81053.48</v>
      </c>
      <c r="BT154" s="48">
        <v>-66158.3</v>
      </c>
      <c r="BU154" s="48">
        <v>-82997.39</v>
      </c>
      <c r="BV154" s="48">
        <v>-72749.960000000006</v>
      </c>
      <c r="BW154" s="48">
        <v>-121794.16</v>
      </c>
      <c r="BX154" s="48">
        <v>-105185.26</v>
      </c>
      <c r="BY154" s="48">
        <v>-66569.399999999994</v>
      </c>
      <c r="BZ154" s="48">
        <v>-86937.4</v>
      </c>
      <c r="CA154" s="48">
        <v>-39094.79</v>
      </c>
      <c r="CB154" s="48">
        <v>-33617.5</v>
      </c>
      <c r="CC154" s="48">
        <v>-47989.85</v>
      </c>
      <c r="CD154" s="48">
        <v>-62520.15</v>
      </c>
      <c r="CE154" s="48">
        <v>-85945.91</v>
      </c>
      <c r="CF154" s="48">
        <v>-75018.990000000005</v>
      </c>
      <c r="CG154" s="48">
        <v>-95185.9</v>
      </c>
      <c r="CH154" s="48">
        <v>-136228.85</v>
      </c>
      <c r="CI154" s="48">
        <v>-125766.88</v>
      </c>
      <c r="CJ154" s="48">
        <v>-94568.77</v>
      </c>
      <c r="CK154" s="48">
        <v>-86407.41</v>
      </c>
      <c r="CL154" s="48">
        <v>-107875.88</v>
      </c>
      <c r="CM154" s="48">
        <v>-97068.56</v>
      </c>
      <c r="CN154" s="48">
        <v>-116449.31</v>
      </c>
      <c r="CO154" s="48">
        <v>-114814.39999999999</v>
      </c>
      <c r="CP154" s="48">
        <v>-125281.27</v>
      </c>
      <c r="CQ154" s="48">
        <v>-112991.1</v>
      </c>
      <c r="CR154" s="48">
        <v>-104697.83</v>
      </c>
      <c r="CS154" s="48">
        <v>-121940.85</v>
      </c>
      <c r="CT154" s="48">
        <v>-106943.98</v>
      </c>
      <c r="CU154" s="48">
        <v>-124223.35</v>
      </c>
      <c r="CV154" s="48">
        <v>-88364.49</v>
      </c>
      <c r="CW154" s="48">
        <v>-82207.070000000007</v>
      </c>
      <c r="CX154" s="48">
        <v>-83101.62</v>
      </c>
      <c r="CY154" s="48">
        <v>-82971.67</v>
      </c>
      <c r="CZ154" s="48">
        <v>-83661.17</v>
      </c>
      <c r="DA154" s="48">
        <v>-95188.77</v>
      </c>
      <c r="DB154" s="48">
        <v>-96844.46</v>
      </c>
      <c r="DC154" s="48">
        <v>-100252.65</v>
      </c>
      <c r="DD154" s="48">
        <v>-71487.009999999995</v>
      </c>
      <c r="DE154" s="48">
        <f>VLOOKUP($C154,'[2]Analysis 1'!$C$5:$DG$1025,107,FALSE)</f>
        <v>-70239.67</v>
      </c>
      <c r="DF154" s="48">
        <f>VLOOKUP($C154,'[2]Analysis 1'!$C$5:$DG$1025,108,FALSE)</f>
        <v>-74824.12</v>
      </c>
      <c r="DG154" s="48">
        <f>VLOOKUP($C154,'[2]Analysis 1'!$C$5:$DG$1025,109,FALSE)</f>
        <v>-87312.07</v>
      </c>
      <c r="DH154" s="369">
        <f t="shared" si="4"/>
        <v>-1016454.77</v>
      </c>
    </row>
    <row r="155" spans="1:112">
      <c r="A155" s="357" t="str">
        <f t="shared" si="5"/>
        <v>6020010</v>
      </c>
      <c r="B155" s="350" t="s">
        <v>1977</v>
      </c>
      <c r="C155" s="335" t="s">
        <v>1069</v>
      </c>
      <c r="D155" s="367">
        <v>5742.89</v>
      </c>
      <c r="E155" s="367">
        <v>8383.6</v>
      </c>
      <c r="F155" s="367">
        <v>5756.23</v>
      </c>
      <c r="G155" s="367">
        <v>8592.99</v>
      </c>
      <c r="H155" s="367">
        <v>5770.43</v>
      </c>
      <c r="I155" s="367">
        <v>5736.55</v>
      </c>
      <c r="J155" s="367">
        <v>8428.25</v>
      </c>
      <c r="K155" s="367">
        <v>5717.38</v>
      </c>
      <c r="L155" s="367">
        <v>5770.76</v>
      </c>
      <c r="M155" s="367">
        <v>5706.22</v>
      </c>
      <c r="N155" s="367">
        <v>8588.56</v>
      </c>
      <c r="O155" s="368">
        <v>5820.32</v>
      </c>
      <c r="P155" s="48">
        <v>5787.25</v>
      </c>
      <c r="Q155" s="48">
        <v>8564.2999999999993</v>
      </c>
      <c r="R155" s="48">
        <v>5680.11</v>
      </c>
      <c r="S155" s="48">
        <v>5685.31</v>
      </c>
      <c r="T155" s="48">
        <v>8384.3700000000008</v>
      </c>
      <c r="U155" s="48">
        <v>5686.93</v>
      </c>
      <c r="V155" s="48">
        <v>8653.8700000000008</v>
      </c>
      <c r="W155" s="48">
        <v>5724.73</v>
      </c>
      <c r="X155" s="48">
        <v>5720.22</v>
      </c>
      <c r="Y155" s="48">
        <v>0</v>
      </c>
      <c r="Z155" s="48">
        <v>14430.17</v>
      </c>
      <c r="AA155" s="48">
        <v>6040.03</v>
      </c>
      <c r="AB155" s="48">
        <v>8786.24</v>
      </c>
      <c r="AC155" s="48">
        <v>6101.03</v>
      </c>
      <c r="AD155" s="48">
        <v>6101.82</v>
      </c>
      <c r="AE155" s="48">
        <v>6114.41</v>
      </c>
      <c r="AF155" s="48">
        <v>8494.51</v>
      </c>
      <c r="AG155" s="48">
        <v>8366.85</v>
      </c>
      <c r="AH155" s="48">
        <v>6432.26</v>
      </c>
      <c r="AI155" s="48">
        <v>7592</v>
      </c>
      <c r="AJ155" s="48">
        <v>7008.39</v>
      </c>
      <c r="AK155" s="48">
        <v>6480.03</v>
      </c>
      <c r="AL155" s="48">
        <v>7051.05</v>
      </c>
      <c r="AM155" s="48">
        <v>7629.31</v>
      </c>
      <c r="AN155" s="48">
        <v>7182.31</v>
      </c>
      <c r="AO155" s="48">
        <v>4954.2700000000004</v>
      </c>
      <c r="AP155" s="48">
        <v>9779.91</v>
      </c>
      <c r="AQ155" s="48">
        <v>7334.49</v>
      </c>
      <c r="AR155" s="48">
        <v>6746.91</v>
      </c>
      <c r="AS155" s="48">
        <v>6950.15</v>
      </c>
      <c r="AT155" s="48">
        <v>6932.93</v>
      </c>
      <c r="AU155" s="48">
        <v>8050.59</v>
      </c>
      <c r="AV155" s="48">
        <v>9223.18</v>
      </c>
      <c r="AW155" s="48">
        <v>6929.52</v>
      </c>
      <c r="AX155" s="48">
        <v>8078.67</v>
      </c>
      <c r="AY155" s="48">
        <v>6980.92</v>
      </c>
      <c r="AZ155" s="48">
        <v>7267.32</v>
      </c>
      <c r="BA155" s="48">
        <v>5467.57</v>
      </c>
      <c r="BB155" s="48">
        <v>8944.1</v>
      </c>
      <c r="BC155" s="48">
        <v>6057.64</v>
      </c>
      <c r="BD155" s="48">
        <v>7890.54</v>
      </c>
      <c r="BE155" s="48">
        <v>6650.31</v>
      </c>
      <c r="BF155" s="48">
        <v>8425.1299999999992</v>
      </c>
      <c r="BG155" s="48">
        <v>7446.02</v>
      </c>
      <c r="BH155" s="48">
        <v>7297.11</v>
      </c>
      <c r="BI155" s="48">
        <v>7973.91</v>
      </c>
      <c r="BJ155" s="48">
        <v>7434.04</v>
      </c>
      <c r="BK155" s="48">
        <v>6898.16</v>
      </c>
      <c r="BL155" s="48">
        <v>4169.1000000000004</v>
      </c>
      <c r="BM155" s="48">
        <v>6520.78</v>
      </c>
      <c r="BN155" s="48">
        <v>4349.0600000000004</v>
      </c>
      <c r="BO155" s="48">
        <v>8054.37</v>
      </c>
      <c r="BP155" s="48">
        <v>4330.29</v>
      </c>
      <c r="BQ155" s="48">
        <v>4580.7299999999996</v>
      </c>
      <c r="BR155" s="48">
        <v>4893.76</v>
      </c>
      <c r="BS155" s="48">
        <v>5003.6400000000003</v>
      </c>
      <c r="BT155" s="48">
        <v>4830.84</v>
      </c>
      <c r="BU155" s="48">
        <v>3843.08</v>
      </c>
      <c r="BV155" s="48">
        <v>5268.36</v>
      </c>
      <c r="BW155" s="48">
        <v>5090.57</v>
      </c>
      <c r="BX155" s="48">
        <v>3205.28</v>
      </c>
      <c r="BY155" s="48">
        <v>4471.03</v>
      </c>
      <c r="BZ155" s="48">
        <v>3674.79</v>
      </c>
      <c r="CA155" s="48">
        <v>7162.91</v>
      </c>
      <c r="CB155" s="48">
        <v>2091.96</v>
      </c>
      <c r="CC155" s="48">
        <v>7535.05</v>
      </c>
      <c r="CD155" s="48">
        <v>5147.38</v>
      </c>
      <c r="CE155" s="48">
        <v>5008.92</v>
      </c>
      <c r="CF155" s="48">
        <v>989.04</v>
      </c>
      <c r="CG155" s="48">
        <v>8380.84</v>
      </c>
      <c r="CH155" s="48">
        <v>5532.3</v>
      </c>
      <c r="CI155" s="48">
        <v>4809.63</v>
      </c>
      <c r="CJ155" s="48">
        <v>4523.57</v>
      </c>
      <c r="CK155" s="48">
        <v>4408.75</v>
      </c>
      <c r="CL155" s="48">
        <v>5586.11</v>
      </c>
      <c r="CM155" s="48">
        <v>3581.58</v>
      </c>
      <c r="CN155" s="48">
        <v>5276.05</v>
      </c>
      <c r="CO155" s="48">
        <v>4337.71</v>
      </c>
      <c r="CP155" s="48">
        <v>5929.56</v>
      </c>
      <c r="CQ155" s="48">
        <v>4877.12</v>
      </c>
      <c r="CR155" s="48">
        <v>3940.36</v>
      </c>
      <c r="CS155" s="48">
        <v>3519.54</v>
      </c>
      <c r="CT155" s="48">
        <v>5754.74</v>
      </c>
      <c r="CU155" s="48">
        <v>5169.38</v>
      </c>
      <c r="CV155" s="48">
        <v>5255.82</v>
      </c>
      <c r="CW155" s="48">
        <v>4381.72</v>
      </c>
      <c r="CX155" s="48">
        <v>5757.93</v>
      </c>
      <c r="CY155" s="48">
        <v>3890.06</v>
      </c>
      <c r="CZ155" s="48">
        <v>5578.97</v>
      </c>
      <c r="DA155" s="48">
        <v>3915.08</v>
      </c>
      <c r="DB155" s="48">
        <v>5708.92</v>
      </c>
      <c r="DC155" s="48">
        <v>3051.46</v>
      </c>
      <c r="DD155" s="48">
        <v>4400.13</v>
      </c>
      <c r="DE155" s="48">
        <f>VLOOKUP($C155,'[2]Analysis 1'!$C$5:$DG$1025,107,FALSE)</f>
        <v>5324.67</v>
      </c>
      <c r="DF155" s="48">
        <f>VLOOKUP($C155,'[2]Analysis 1'!$C$5:$DG$1025,108,FALSE)</f>
        <v>5958.44</v>
      </c>
      <c r="DG155" s="48">
        <f>VLOOKUP($C155,'[2]Analysis 1'!$C$5:$DG$1025,109,FALSE)</f>
        <v>6803.22</v>
      </c>
      <c r="DH155" s="369">
        <f t="shared" si="4"/>
        <v>60026.42</v>
      </c>
    </row>
    <row r="156" spans="1:112">
      <c r="A156" s="357" t="str">
        <f t="shared" si="5"/>
        <v>6020020</v>
      </c>
      <c r="B156" s="350" t="s">
        <v>1978</v>
      </c>
      <c r="C156" s="335" t="s">
        <v>1070</v>
      </c>
      <c r="D156" s="340">
        <v>3827.33</v>
      </c>
      <c r="E156" s="340">
        <v>0</v>
      </c>
      <c r="F156" s="340">
        <v>1866.38</v>
      </c>
      <c r="G156" s="340">
        <v>2425.04</v>
      </c>
      <c r="H156" s="340">
        <v>9718.09</v>
      </c>
      <c r="I156" s="340">
        <v>5656.35</v>
      </c>
      <c r="J156" s="340">
        <v>4102.8999999999996</v>
      </c>
      <c r="K156" s="340">
        <v>5303.26</v>
      </c>
      <c r="L156" s="340">
        <v>3467.26</v>
      </c>
      <c r="M156" s="340">
        <v>7945.13</v>
      </c>
      <c r="N156" s="340">
        <v>0</v>
      </c>
      <c r="O156" s="341">
        <v>9551.83</v>
      </c>
      <c r="P156" s="48">
        <v>3144.59</v>
      </c>
      <c r="Q156" s="48">
        <v>0</v>
      </c>
      <c r="R156" s="48">
        <v>6500.72</v>
      </c>
      <c r="S156" s="48">
        <v>1728.32</v>
      </c>
      <c r="T156" s="48">
        <v>11002.73</v>
      </c>
      <c r="U156" s="48">
        <v>2291.6</v>
      </c>
      <c r="V156" s="48">
        <v>9850.2800000000007</v>
      </c>
      <c r="W156" s="48">
        <v>11920.59</v>
      </c>
      <c r="X156" s="48">
        <v>693</v>
      </c>
      <c r="Y156" s="48">
        <v>6089.23</v>
      </c>
      <c r="Z156" s="48">
        <v>1453.17</v>
      </c>
      <c r="AA156" s="48">
        <v>8203.67</v>
      </c>
      <c r="AB156" s="48">
        <v>10560.69</v>
      </c>
      <c r="AC156" s="48">
        <v>0</v>
      </c>
      <c r="AD156" s="48">
        <v>5630.87</v>
      </c>
      <c r="AE156" s="48">
        <v>0</v>
      </c>
      <c r="AF156" s="48">
        <v>9804.32</v>
      </c>
      <c r="AG156" s="48">
        <v>2628.32</v>
      </c>
      <c r="AH156" s="48">
        <v>1945.68</v>
      </c>
      <c r="AI156" s="48">
        <v>5715.09</v>
      </c>
      <c r="AJ156" s="48">
        <v>1511.64</v>
      </c>
      <c r="AK156" s="48">
        <v>1314.89</v>
      </c>
      <c r="AL156" s="48">
        <v>2680.94</v>
      </c>
      <c r="AM156" s="48">
        <v>6974.93</v>
      </c>
      <c r="AN156" s="48">
        <v>1084.45</v>
      </c>
      <c r="AO156" s="48">
        <v>3784.74</v>
      </c>
      <c r="AP156" s="48">
        <v>5598.52</v>
      </c>
      <c r="AQ156" s="48">
        <v>0</v>
      </c>
      <c r="AR156" s="48">
        <v>6579.64</v>
      </c>
      <c r="AS156" s="48">
        <v>-600</v>
      </c>
      <c r="AT156" s="48">
        <v>6475.38</v>
      </c>
      <c r="AU156" s="48">
        <v>2677.15</v>
      </c>
      <c r="AV156" s="48">
        <v>3613.03</v>
      </c>
      <c r="AW156" s="48">
        <v>2198.34</v>
      </c>
      <c r="AX156" s="48">
        <v>313.17</v>
      </c>
      <c r="AY156" s="48">
        <v>5981.4</v>
      </c>
      <c r="AZ156" s="48">
        <v>6486.19</v>
      </c>
      <c r="BA156" s="48">
        <v>0</v>
      </c>
      <c r="BB156" s="48">
        <v>1143.0999999999999</v>
      </c>
      <c r="BC156" s="48">
        <v>0</v>
      </c>
      <c r="BD156" s="48">
        <v>1278.77</v>
      </c>
      <c r="BE156" s="48">
        <v>313.17</v>
      </c>
      <c r="BF156" s="48">
        <v>2490.16</v>
      </c>
      <c r="BG156" s="48">
        <v>3094.75</v>
      </c>
      <c r="BH156" s="48">
        <v>8109.39</v>
      </c>
      <c r="BI156" s="48">
        <v>3345.2</v>
      </c>
      <c r="BJ156" s="48">
        <v>778.14</v>
      </c>
      <c r="BK156" s="48">
        <v>4114.47</v>
      </c>
      <c r="BL156" s="48">
        <v>479.52</v>
      </c>
      <c r="BM156" s="48">
        <v>0</v>
      </c>
      <c r="BN156" s="48">
        <v>4175.83</v>
      </c>
      <c r="BO156" s="48">
        <v>0</v>
      </c>
      <c r="BP156" s="48">
        <v>7025.63</v>
      </c>
      <c r="BQ156" s="48">
        <v>1673.7</v>
      </c>
      <c r="BR156" s="48">
        <v>456.37</v>
      </c>
      <c r="BS156" s="48">
        <v>7024.85</v>
      </c>
      <c r="BT156" s="48">
        <v>5557.48</v>
      </c>
      <c r="BU156" s="48">
        <v>10275.25</v>
      </c>
      <c r="BV156" s="48">
        <v>2299.25</v>
      </c>
      <c r="BW156" s="48">
        <v>7585.29</v>
      </c>
      <c r="BX156" s="48">
        <v>5152.88</v>
      </c>
      <c r="BY156" s="48">
        <v>0</v>
      </c>
      <c r="BZ156" s="48">
        <v>4987.41</v>
      </c>
      <c r="CA156" s="48">
        <v>313.17</v>
      </c>
      <c r="CB156" s="48">
        <v>8401.26</v>
      </c>
      <c r="CC156" s="48">
        <v>1608.57</v>
      </c>
      <c r="CD156" s="48">
        <v>9938.5300000000007</v>
      </c>
      <c r="CE156" s="48">
        <v>0</v>
      </c>
      <c r="CF156" s="48">
        <v>6520.83</v>
      </c>
      <c r="CG156" s="48">
        <v>10282.540000000001</v>
      </c>
      <c r="CH156" s="48">
        <v>0</v>
      </c>
      <c r="CI156" s="48">
        <v>2102</v>
      </c>
      <c r="CJ156" s="48">
        <v>0</v>
      </c>
      <c r="CK156" s="48">
        <v>2569.79</v>
      </c>
      <c r="CL156" s="48">
        <v>3085.73</v>
      </c>
      <c r="CM156" s="48">
        <v>0</v>
      </c>
      <c r="CN156" s="48">
        <v>16000.11</v>
      </c>
      <c r="CO156" s="48">
        <v>3267.75</v>
      </c>
      <c r="CP156" s="48">
        <v>7384.64</v>
      </c>
      <c r="CQ156" s="48">
        <v>1720.57</v>
      </c>
      <c r="CR156" s="48">
        <v>2648.31</v>
      </c>
      <c r="CS156" s="48">
        <v>3251.96</v>
      </c>
      <c r="CT156" s="48">
        <v>670.57</v>
      </c>
      <c r="CU156" s="48">
        <v>10121.32</v>
      </c>
      <c r="CV156" s="48">
        <v>7165.71</v>
      </c>
      <c r="CW156" s="48">
        <v>5171.25</v>
      </c>
      <c r="CX156" s="48">
        <v>4546.78</v>
      </c>
      <c r="CY156" s="48">
        <v>2100</v>
      </c>
      <c r="CZ156" s="48">
        <v>8133.35</v>
      </c>
      <c r="DA156" s="48">
        <v>6692.42</v>
      </c>
      <c r="DB156" s="48">
        <v>3080.8</v>
      </c>
      <c r="DC156" s="48">
        <v>3312.37</v>
      </c>
      <c r="DD156" s="48">
        <v>11273.47</v>
      </c>
      <c r="DE156" s="48">
        <f>VLOOKUP($C156,'[2]Analysis 1'!$C$5:$DG$1025,107,FALSE)</f>
        <v>1417.88</v>
      </c>
      <c r="DF156" s="48">
        <f>VLOOKUP($C156,'[2]Analysis 1'!$C$5:$DG$1025,108,FALSE)</f>
        <v>1348</v>
      </c>
      <c r="DG156" s="48">
        <f>VLOOKUP($C156,'[2]Analysis 1'!$C$5:$DG$1025,109,FALSE)</f>
        <v>359.94</v>
      </c>
      <c r="DH156" s="369">
        <f t="shared" si="4"/>
        <v>54601.97</v>
      </c>
    </row>
    <row r="157" spans="1:112">
      <c r="A157" s="357" t="str">
        <f t="shared" si="5"/>
        <v>6020030</v>
      </c>
      <c r="B157" s="350" t="s">
        <v>1979</v>
      </c>
      <c r="C157" s="335" t="s">
        <v>1071</v>
      </c>
      <c r="D157" s="340">
        <v>5271.93</v>
      </c>
      <c r="E157" s="340">
        <v>7101.76</v>
      </c>
      <c r="F157" s="340">
        <v>7114.74</v>
      </c>
      <c r="G157" s="340">
        <v>7054.32</v>
      </c>
      <c r="H157" s="340">
        <v>7065.84</v>
      </c>
      <c r="I157" s="340">
        <v>7066.17</v>
      </c>
      <c r="J157" s="340">
        <v>7072.53</v>
      </c>
      <c r="K157" s="340">
        <v>7089.62</v>
      </c>
      <c r="L157" s="340">
        <v>7118.53</v>
      </c>
      <c r="M157" s="340">
        <v>7120.87</v>
      </c>
      <c r="N157" s="340">
        <v>7136.27</v>
      </c>
      <c r="O157" s="341">
        <v>3307.67</v>
      </c>
      <c r="P157" s="48">
        <v>3221.77</v>
      </c>
      <c r="Q157" s="48">
        <v>3175.85</v>
      </c>
      <c r="R157" s="48">
        <v>3203.85</v>
      </c>
      <c r="S157" s="48">
        <v>3188.1</v>
      </c>
      <c r="T157" s="48">
        <v>3190.34</v>
      </c>
      <c r="U157" s="48">
        <v>3187.47</v>
      </c>
      <c r="V157" s="48">
        <v>3177.11</v>
      </c>
      <c r="W157" s="48">
        <v>3175.57</v>
      </c>
      <c r="X157" s="48">
        <v>3195.38</v>
      </c>
      <c r="Y157" s="48">
        <v>0</v>
      </c>
      <c r="Z157" s="48">
        <v>6473.99</v>
      </c>
      <c r="AA157" s="48">
        <v>3289.32</v>
      </c>
      <c r="AB157" s="48">
        <v>3354.86</v>
      </c>
      <c r="AC157" s="48">
        <v>3397.7</v>
      </c>
      <c r="AD157" s="48">
        <v>3394.9</v>
      </c>
      <c r="AE157" s="48">
        <v>3404.28</v>
      </c>
      <c r="AF157" s="48">
        <v>3433.05</v>
      </c>
      <c r="AG157" s="48">
        <v>3432.42</v>
      </c>
      <c r="AH157" s="48">
        <v>3466.23</v>
      </c>
      <c r="AI157" s="48">
        <v>3495.28</v>
      </c>
      <c r="AJ157" s="48">
        <v>3536.16</v>
      </c>
      <c r="AK157" s="48">
        <v>3570.52</v>
      </c>
      <c r="AL157" s="48">
        <v>3569.55</v>
      </c>
      <c r="AM157" s="48">
        <v>3552.26</v>
      </c>
      <c r="AN157" s="48">
        <v>3609.78</v>
      </c>
      <c r="AO157" s="48">
        <v>73.5</v>
      </c>
      <c r="AP157" s="48">
        <v>17413.64</v>
      </c>
      <c r="AQ157" s="48">
        <v>6932.99</v>
      </c>
      <c r="AR157" s="48">
        <v>6918.78</v>
      </c>
      <c r="AS157" s="48">
        <v>6974.35</v>
      </c>
      <c r="AT157" s="48">
        <v>6925.46</v>
      </c>
      <c r="AU157" s="48">
        <v>7122.48</v>
      </c>
      <c r="AV157" s="48">
        <v>7184.02</v>
      </c>
      <c r="AW157" s="48">
        <v>7187.2</v>
      </c>
      <c r="AX157" s="48">
        <v>7189.98</v>
      </c>
      <c r="AY157" s="48">
        <v>7199.76</v>
      </c>
      <c r="AZ157" s="48">
        <v>7369.66</v>
      </c>
      <c r="BA157" s="48">
        <v>7315.59</v>
      </c>
      <c r="BB157" s="48">
        <v>7460.9</v>
      </c>
      <c r="BC157" s="48">
        <v>7477.46</v>
      </c>
      <c r="BD157" s="48">
        <v>7530.05</v>
      </c>
      <c r="BE157" s="48">
        <v>7491.39</v>
      </c>
      <c r="BF157" s="48">
        <v>7485.46</v>
      </c>
      <c r="BG157" s="48">
        <v>7729.23</v>
      </c>
      <c r="BH157" s="48">
        <v>7744.3</v>
      </c>
      <c r="BI157" s="48">
        <v>7877.07</v>
      </c>
      <c r="BJ157" s="48">
        <v>7997.1</v>
      </c>
      <c r="BK157" s="48">
        <v>7977.16</v>
      </c>
      <c r="BL157" s="48">
        <v>0</v>
      </c>
      <c r="BM157" s="48">
        <v>177.84</v>
      </c>
      <c r="BN157" s="48">
        <v>6624.31</v>
      </c>
      <c r="BO157" s="48">
        <v>6629.11</v>
      </c>
      <c r="BP157" s="48">
        <v>6658.06</v>
      </c>
      <c r="BQ157" s="48">
        <v>7104.33</v>
      </c>
      <c r="BR157" s="48">
        <v>6731.47</v>
      </c>
      <c r="BS157" s="48">
        <v>6752.79</v>
      </c>
      <c r="BT157" s="48">
        <v>7263.47</v>
      </c>
      <c r="BU157" s="48">
        <v>0</v>
      </c>
      <c r="BV157" s="48">
        <v>14673.68</v>
      </c>
      <c r="BW157" s="48">
        <v>14304.33</v>
      </c>
      <c r="BX157" s="48">
        <v>6000</v>
      </c>
      <c r="BY157" s="48">
        <v>8622.19</v>
      </c>
      <c r="BZ157" s="48">
        <v>7754.41</v>
      </c>
      <c r="CA157" s="48">
        <v>7176.7</v>
      </c>
      <c r="CB157" s="48">
        <v>7701.91</v>
      </c>
      <c r="CC157" s="48">
        <v>7496.76</v>
      </c>
      <c r="CD157" s="48">
        <v>7566.07</v>
      </c>
      <c r="CE157" s="48">
        <v>7592.75</v>
      </c>
      <c r="CF157" s="48">
        <v>7619.76</v>
      </c>
      <c r="CG157" s="48">
        <v>7660.35</v>
      </c>
      <c r="CH157" s="48">
        <v>7662.29</v>
      </c>
      <c r="CI157" s="48">
        <v>7507.7</v>
      </c>
      <c r="CJ157" s="48">
        <v>8015.45</v>
      </c>
      <c r="CK157" s="48">
        <v>7811.73</v>
      </c>
      <c r="CL157" s="48">
        <v>7841.72</v>
      </c>
      <c r="CM157" s="48">
        <v>7755.53</v>
      </c>
      <c r="CN157" s="48">
        <v>7549.65</v>
      </c>
      <c r="CO157" s="48">
        <v>7891.42</v>
      </c>
      <c r="CP157" s="48">
        <v>7768.64</v>
      </c>
      <c r="CQ157" s="48">
        <v>7788.82</v>
      </c>
      <c r="CR157" s="48">
        <v>7887.43</v>
      </c>
      <c r="CS157" s="48">
        <v>0</v>
      </c>
      <c r="CT157" s="48">
        <v>7923.23</v>
      </c>
      <c r="CU157" s="48">
        <v>15996.24</v>
      </c>
      <c r="CV157" s="48">
        <v>-28.38</v>
      </c>
      <c r="CW157" s="48">
        <v>0</v>
      </c>
      <c r="CX157" s="48">
        <v>0</v>
      </c>
      <c r="CY157" s="48">
        <v>23578.55</v>
      </c>
      <c r="CZ157" s="48">
        <v>9556.9599999999991</v>
      </c>
      <c r="DA157" s="48">
        <v>15615.63</v>
      </c>
      <c r="DB157" s="48">
        <v>8823.35</v>
      </c>
      <c r="DC157" s="48">
        <v>8773.58</v>
      </c>
      <c r="DD157" s="48">
        <v>163.19999999999999</v>
      </c>
      <c r="DE157" s="48">
        <f>VLOOKUP($C157,'[2]Analysis 1'!$C$5:$DG$1025,107,FALSE)</f>
        <v>163.19999999999999</v>
      </c>
      <c r="DF157" s="48">
        <f>VLOOKUP($C157,'[2]Analysis 1'!$C$5:$DG$1025,108,FALSE)</f>
        <v>17810.57</v>
      </c>
      <c r="DG157" s="48">
        <f>VLOOKUP($C157,'[2]Analysis 1'!$C$5:$DG$1025,109,FALSE)</f>
        <v>18804.759999999998</v>
      </c>
      <c r="DH157" s="369">
        <f t="shared" si="4"/>
        <v>103261.41999999997</v>
      </c>
    </row>
    <row r="158" spans="1:112">
      <c r="A158" s="357" t="str">
        <f t="shared" si="5"/>
        <v>6020040</v>
      </c>
      <c r="B158" s="350" t="s">
        <v>1980</v>
      </c>
      <c r="C158" s="335" t="s">
        <v>1072</v>
      </c>
      <c r="D158" s="367">
        <v>1608.9</v>
      </c>
      <c r="E158" s="367">
        <v>1608.9</v>
      </c>
      <c r="F158" s="367">
        <v>1463.5</v>
      </c>
      <c r="G158" s="367">
        <v>1569.2</v>
      </c>
      <c r="H158" s="367">
        <v>0</v>
      </c>
      <c r="I158" s="367">
        <v>3289.1</v>
      </c>
      <c r="J158" s="367">
        <v>1677.3</v>
      </c>
      <c r="K158" s="367">
        <v>1644.4</v>
      </c>
      <c r="L158" s="367">
        <v>1599.6</v>
      </c>
      <c r="M158" s="367">
        <v>1599.6</v>
      </c>
      <c r="N158" s="367">
        <v>0</v>
      </c>
      <c r="O158" s="368">
        <v>3303.2</v>
      </c>
      <c r="P158" s="48">
        <v>1652.4</v>
      </c>
      <c r="Q158" s="48">
        <v>1516.5</v>
      </c>
      <c r="R158" s="48">
        <v>1536.1</v>
      </c>
      <c r="S158" s="48">
        <v>1536.1</v>
      </c>
      <c r="T158" s="48">
        <v>1536.1</v>
      </c>
      <c r="U158" s="48">
        <v>1536.1</v>
      </c>
      <c r="V158" s="48">
        <v>0</v>
      </c>
      <c r="W158" s="48">
        <v>3122.3</v>
      </c>
      <c r="X158" s="48">
        <v>1456.1</v>
      </c>
      <c r="Y158" s="48">
        <v>1487.9</v>
      </c>
      <c r="Z158" s="48">
        <v>0</v>
      </c>
      <c r="AA158" s="48">
        <v>2941</v>
      </c>
      <c r="AB158" s="48">
        <v>0</v>
      </c>
      <c r="AC158" s="48">
        <v>2941</v>
      </c>
      <c r="AD158" s="48">
        <v>1432</v>
      </c>
      <c r="AE158" s="48">
        <v>1433.7</v>
      </c>
      <c r="AF158" s="48">
        <v>1584.9</v>
      </c>
      <c r="AG158" s="48">
        <v>1435.1</v>
      </c>
      <c r="AH158" s="48">
        <v>1422.5</v>
      </c>
      <c r="AI158" s="48">
        <v>1437.7</v>
      </c>
      <c r="AJ158" s="48">
        <v>1157.4000000000001</v>
      </c>
      <c r="AK158" s="48">
        <v>0</v>
      </c>
      <c r="AL158" s="48">
        <v>2628.4</v>
      </c>
      <c r="AM158" s="48">
        <v>1383.8</v>
      </c>
      <c r="AN158" s="48">
        <v>1301.9000000000001</v>
      </c>
      <c r="AO158" s="48">
        <v>1310.3</v>
      </c>
      <c r="AP158" s="48">
        <v>1309.5999999999999</v>
      </c>
      <c r="AQ158" s="48">
        <v>1288.4000000000001</v>
      </c>
      <c r="AR158" s="48">
        <v>1258.9000000000001</v>
      </c>
      <c r="AS158" s="48">
        <v>1268.5999999999999</v>
      </c>
      <c r="AT158" s="48">
        <v>0</v>
      </c>
      <c r="AU158" s="48">
        <v>4519.7</v>
      </c>
      <c r="AV158" s="48">
        <v>0</v>
      </c>
      <c r="AW158" s="48">
        <v>1525.9</v>
      </c>
      <c r="AX158" s="48">
        <v>4906.8999999999996</v>
      </c>
      <c r="AY158" s="48">
        <v>1595.2</v>
      </c>
      <c r="AZ158" s="48">
        <v>1580.2</v>
      </c>
      <c r="BA158" s="48">
        <v>1563</v>
      </c>
      <c r="BB158" s="48">
        <v>1558.1</v>
      </c>
      <c r="BC158" s="48">
        <v>1574.7</v>
      </c>
      <c r="BD158" s="48">
        <v>1719.01</v>
      </c>
      <c r="BE158" s="48">
        <v>1704.5</v>
      </c>
      <c r="BF158" s="48">
        <v>1561.7</v>
      </c>
      <c r="BG158" s="48">
        <v>981.9</v>
      </c>
      <c r="BH158" s="48">
        <v>1987.3</v>
      </c>
      <c r="BI158" s="48">
        <v>1950.9</v>
      </c>
      <c r="BJ158" s="48">
        <v>1963.6</v>
      </c>
      <c r="BK158" s="48">
        <v>2015.1</v>
      </c>
      <c r="BL158" s="48">
        <v>1930.9</v>
      </c>
      <c r="BM158" s="48">
        <v>1976.5</v>
      </c>
      <c r="BN158" s="48">
        <v>1923.9</v>
      </c>
      <c r="BO158" s="48">
        <v>1944.7</v>
      </c>
      <c r="BP158" s="48">
        <v>1946.8</v>
      </c>
      <c r="BQ158" s="48">
        <v>1945.1</v>
      </c>
      <c r="BR158" s="48">
        <v>1984.4</v>
      </c>
      <c r="BS158" s="48">
        <v>1942.9</v>
      </c>
      <c r="BT158" s="48">
        <v>2299.1999999999998</v>
      </c>
      <c r="BU158" s="48">
        <v>2452.6</v>
      </c>
      <c r="BV158" s="48">
        <v>2358.4</v>
      </c>
      <c r="BW158" s="48">
        <v>2350.1</v>
      </c>
      <c r="BX158" s="48">
        <v>2377</v>
      </c>
      <c r="BY158" s="48">
        <v>2392.5</v>
      </c>
      <c r="BZ158" s="48">
        <v>0</v>
      </c>
      <c r="CA158" s="48">
        <v>2380.6</v>
      </c>
      <c r="CB158" s="48">
        <v>2453.8000000000002</v>
      </c>
      <c r="CC158" s="48">
        <v>2427.5</v>
      </c>
      <c r="CD158" s="48">
        <v>2458.5</v>
      </c>
      <c r="CE158" s="48">
        <v>2483.4</v>
      </c>
      <c r="CF158" s="48">
        <v>2912.8</v>
      </c>
      <c r="CG158" s="48">
        <v>0</v>
      </c>
      <c r="CH158" s="48">
        <v>2919.6</v>
      </c>
      <c r="CI158" s="48">
        <v>5881</v>
      </c>
      <c r="CJ158" s="48">
        <v>0</v>
      </c>
      <c r="CK158" s="48">
        <v>2905.99</v>
      </c>
      <c r="CL158" s="48">
        <v>5838.1</v>
      </c>
      <c r="CM158" s="48">
        <v>0</v>
      </c>
      <c r="CN158" s="48">
        <v>2918.4</v>
      </c>
      <c r="CO158" s="48">
        <v>2865.14</v>
      </c>
      <c r="CP158" s="48">
        <v>5326.5</v>
      </c>
      <c r="CQ158" s="48">
        <v>0</v>
      </c>
      <c r="CR158" s="48">
        <v>2919.5</v>
      </c>
      <c r="CS158" s="48">
        <v>2935.5</v>
      </c>
      <c r="CT158" s="48">
        <v>0</v>
      </c>
      <c r="CU158" s="48">
        <v>5737.2</v>
      </c>
      <c r="CV158" s="48">
        <v>2921.6</v>
      </c>
      <c r="CW158" s="48">
        <v>2905.1</v>
      </c>
      <c r="CX158" s="48">
        <v>1098.3</v>
      </c>
      <c r="CY158" s="48">
        <v>3066.7</v>
      </c>
      <c r="CZ158" s="48">
        <v>2978.6</v>
      </c>
      <c r="DA158" s="48">
        <v>12159</v>
      </c>
      <c r="DB158" s="48">
        <v>0</v>
      </c>
      <c r="DC158" s="48">
        <v>0</v>
      </c>
      <c r="DD158" s="48">
        <v>0</v>
      </c>
      <c r="DE158" s="48">
        <f>VLOOKUP($C158,'[2]Analysis 1'!$C$5:$DG$1025,107,FALSE)</f>
        <v>0</v>
      </c>
      <c r="DF158" s="48">
        <f>VLOOKUP($C158,'[2]Analysis 1'!$C$5:$DG$1025,108,FALSE)</f>
        <v>6439</v>
      </c>
      <c r="DG158" s="48">
        <f>VLOOKUP($C158,'[2]Analysis 1'!$C$5:$DG$1025,109,FALSE)</f>
        <v>3330.9</v>
      </c>
      <c r="DH158" s="369">
        <f t="shared" si="4"/>
        <v>34899.200000000004</v>
      </c>
    </row>
    <row r="159" spans="1:112">
      <c r="A159" s="357" t="str">
        <f t="shared" si="5"/>
        <v>6020050</v>
      </c>
      <c r="B159" s="350" t="s">
        <v>1981</v>
      </c>
      <c r="C159" s="335" t="s">
        <v>1073</v>
      </c>
      <c r="D159" s="367">
        <v>369577</v>
      </c>
      <c r="E159" s="367">
        <v>271332</v>
      </c>
      <c r="F159" s="367">
        <v>488040</v>
      </c>
      <c r="G159" s="367">
        <v>257464</v>
      </c>
      <c r="H159" s="367">
        <v>562679</v>
      </c>
      <c r="I159" s="367">
        <v>442489</v>
      </c>
      <c r="J159" s="367">
        <v>366678</v>
      </c>
      <c r="K159" s="367">
        <v>500791</v>
      </c>
      <c r="L159" s="367">
        <v>467130</v>
      </c>
      <c r="M159" s="367">
        <v>323653</v>
      </c>
      <c r="N159" s="367">
        <v>533974</v>
      </c>
      <c r="O159" s="368">
        <v>756975</v>
      </c>
      <c r="P159" s="48">
        <v>329583</v>
      </c>
      <c r="Q159" s="48">
        <v>346734</v>
      </c>
      <c r="R159" s="48">
        <v>482012</v>
      </c>
      <c r="S159" s="48">
        <v>214562</v>
      </c>
      <c r="T159" s="48">
        <v>602034</v>
      </c>
      <c r="U159" s="48">
        <v>481944</v>
      </c>
      <c r="V159" s="48">
        <v>239192</v>
      </c>
      <c r="W159" s="48">
        <v>572552</v>
      </c>
      <c r="X159" s="48">
        <v>242693</v>
      </c>
      <c r="Y159" s="48">
        <v>451930</v>
      </c>
      <c r="Z159" s="48">
        <v>628955</v>
      </c>
      <c r="AA159" s="48">
        <v>576677</v>
      </c>
      <c r="AB159" s="48">
        <v>401747</v>
      </c>
      <c r="AC159" s="48">
        <v>595715</v>
      </c>
      <c r="AD159" s="48">
        <v>257689</v>
      </c>
      <c r="AE159" s="48">
        <v>373084</v>
      </c>
      <c r="AF159" s="48">
        <v>513336</v>
      </c>
      <c r="AG159" s="48">
        <v>248101</v>
      </c>
      <c r="AH159" s="48">
        <v>384441</v>
      </c>
      <c r="AI159" s="48">
        <v>426890</v>
      </c>
      <c r="AJ159" s="48">
        <v>270910</v>
      </c>
      <c r="AK159" s="48">
        <v>505576</v>
      </c>
      <c r="AL159" s="48">
        <v>407653</v>
      </c>
      <c r="AM159" s="48">
        <v>638464</v>
      </c>
      <c r="AN159" s="48">
        <v>434393</v>
      </c>
      <c r="AO159" s="48">
        <v>260830</v>
      </c>
      <c r="AP159" s="48">
        <v>238936</v>
      </c>
      <c r="AQ159" s="48">
        <v>294959</v>
      </c>
      <c r="AR159" s="48">
        <v>250219.82</v>
      </c>
      <c r="AS159" s="48">
        <v>341916</v>
      </c>
      <c r="AT159" s="48">
        <v>308205</v>
      </c>
      <c r="AU159" s="48">
        <v>480507</v>
      </c>
      <c r="AV159" s="48">
        <v>178779</v>
      </c>
      <c r="AW159" s="48">
        <v>309328</v>
      </c>
      <c r="AX159" s="48">
        <v>513376</v>
      </c>
      <c r="AY159" s="48">
        <v>262763</v>
      </c>
      <c r="AZ159" s="48">
        <v>545878</v>
      </c>
      <c r="BA159" s="48">
        <v>362153</v>
      </c>
      <c r="BB159" s="48">
        <v>484912</v>
      </c>
      <c r="BC159" s="48">
        <v>588616</v>
      </c>
      <c r="BD159" s="48">
        <v>341869</v>
      </c>
      <c r="BE159" s="48">
        <v>661265</v>
      </c>
      <c r="BF159" s="48">
        <v>548926</v>
      </c>
      <c r="BG159" s="48">
        <v>658392</v>
      </c>
      <c r="BH159" s="48">
        <v>704135</v>
      </c>
      <c r="BI159" s="48">
        <v>871702</v>
      </c>
      <c r="BJ159" s="48">
        <v>980181</v>
      </c>
      <c r="BK159" s="48">
        <v>1002829</v>
      </c>
      <c r="BL159" s="48">
        <v>932637</v>
      </c>
      <c r="BM159" s="48">
        <v>500167</v>
      </c>
      <c r="BN159" s="48">
        <v>523026</v>
      </c>
      <c r="BO159" s="48">
        <v>588423</v>
      </c>
      <c r="BP159" s="48">
        <v>687838</v>
      </c>
      <c r="BQ159" s="48">
        <v>769703</v>
      </c>
      <c r="BR159" s="48">
        <v>290954</v>
      </c>
      <c r="BS159" s="48">
        <v>530915</v>
      </c>
      <c r="BT159" s="48">
        <v>361460</v>
      </c>
      <c r="BU159" s="48">
        <v>449870</v>
      </c>
      <c r="BV159" s="48">
        <v>379470</v>
      </c>
      <c r="BW159" s="48">
        <v>618873</v>
      </c>
      <c r="BX159" s="48">
        <v>344542</v>
      </c>
      <c r="BY159" s="48">
        <v>1119698</v>
      </c>
      <c r="BZ159" s="48">
        <v>489250</v>
      </c>
      <c r="CA159" s="48">
        <v>477693</v>
      </c>
      <c r="CB159" s="48">
        <v>306175</v>
      </c>
      <c r="CC159" s="48">
        <v>356288</v>
      </c>
      <c r="CD159" s="48">
        <v>393551</v>
      </c>
      <c r="CE159" s="48">
        <v>371737</v>
      </c>
      <c r="CF159" s="48">
        <v>281473</v>
      </c>
      <c r="CG159" s="48">
        <v>627260</v>
      </c>
      <c r="CH159" s="48">
        <v>973121</v>
      </c>
      <c r="CI159" s="48">
        <v>674775</v>
      </c>
      <c r="CJ159" s="48">
        <v>1157394</v>
      </c>
      <c r="CK159" s="48">
        <v>531719</v>
      </c>
      <c r="CL159" s="48">
        <v>923070</v>
      </c>
      <c r="CM159" s="48">
        <v>748611</v>
      </c>
      <c r="CN159" s="48">
        <v>646097</v>
      </c>
      <c r="CO159" s="48">
        <v>299837</v>
      </c>
      <c r="CP159" s="48">
        <v>827019</v>
      </c>
      <c r="CQ159" s="48">
        <v>1188490</v>
      </c>
      <c r="CR159" s="48">
        <v>280856.15000000002</v>
      </c>
      <c r="CS159" s="48">
        <v>740229</v>
      </c>
      <c r="CT159" s="48">
        <v>892356</v>
      </c>
      <c r="CU159" s="48">
        <v>637984</v>
      </c>
      <c r="CV159" s="48">
        <v>747971</v>
      </c>
      <c r="CW159" s="48">
        <v>290860</v>
      </c>
      <c r="CX159" s="48">
        <v>480132</v>
      </c>
      <c r="CY159" s="48">
        <v>650436</v>
      </c>
      <c r="CZ159" s="48">
        <v>418504</v>
      </c>
      <c r="DA159" s="48">
        <v>772924</v>
      </c>
      <c r="DB159" s="48">
        <v>478607</v>
      </c>
      <c r="DC159" s="48">
        <v>304396</v>
      </c>
      <c r="DD159" s="48">
        <v>484281</v>
      </c>
      <c r="DE159" s="48">
        <f>VLOOKUP($C159,'[2]Analysis 1'!$C$5:$DG$1025,107,FALSE)</f>
        <v>768032</v>
      </c>
      <c r="DF159" s="48">
        <f>VLOOKUP($C159,'[2]Analysis 1'!$C$5:$DG$1025,108,FALSE)</f>
        <v>518284</v>
      </c>
      <c r="DG159" s="48">
        <f>VLOOKUP($C159,'[2]Analysis 1'!$C$5:$DG$1025,109,FALSE)</f>
        <v>1230874</v>
      </c>
      <c r="DH159" s="369">
        <f t="shared" si="4"/>
        <v>7145301</v>
      </c>
    </row>
    <row r="160" spans="1:112">
      <c r="A160" s="357" t="str">
        <f t="shared" si="5"/>
        <v>6020060</v>
      </c>
      <c r="B160" s="350" t="s">
        <v>1982</v>
      </c>
      <c r="C160" s="335" t="s">
        <v>1074</v>
      </c>
      <c r="D160" s="340">
        <v>148250</v>
      </c>
      <c r="E160" s="340">
        <v>148250</v>
      </c>
      <c r="F160" s="340">
        <v>148250</v>
      </c>
      <c r="G160" s="340">
        <v>143264</v>
      </c>
      <c r="H160" s="340">
        <v>147003</v>
      </c>
      <c r="I160" s="340">
        <v>147003</v>
      </c>
      <c r="J160" s="340">
        <v>147003</v>
      </c>
      <c r="K160" s="340">
        <v>147003</v>
      </c>
      <c r="L160" s="340">
        <v>134418</v>
      </c>
      <c r="M160" s="340">
        <v>134418</v>
      </c>
      <c r="N160" s="340">
        <v>134418</v>
      </c>
      <c r="O160" s="341">
        <v>134418</v>
      </c>
      <c r="P160" s="48">
        <v>95083</v>
      </c>
      <c r="Q160" s="48">
        <v>142852</v>
      </c>
      <c r="R160" s="48">
        <v>118966</v>
      </c>
      <c r="S160" s="48">
        <v>118966</v>
      </c>
      <c r="T160" s="48">
        <v>256696</v>
      </c>
      <c r="U160" s="48">
        <v>146512</v>
      </c>
      <c r="V160" s="48">
        <v>146512</v>
      </c>
      <c r="W160" s="48">
        <v>146512</v>
      </c>
      <c r="X160" s="48">
        <v>146512</v>
      </c>
      <c r="Y160" s="48">
        <v>146512</v>
      </c>
      <c r="Z160" s="48">
        <v>146512</v>
      </c>
      <c r="AA160" s="48">
        <v>146512</v>
      </c>
      <c r="AB160" s="48">
        <v>131121</v>
      </c>
      <c r="AC160" s="48">
        <v>131121</v>
      </c>
      <c r="AD160" s="48">
        <v>131121</v>
      </c>
      <c r="AE160" s="48">
        <v>155573</v>
      </c>
      <c r="AF160" s="48">
        <v>137234</v>
      </c>
      <c r="AG160" s="48">
        <v>137234</v>
      </c>
      <c r="AH160" s="48">
        <v>137234</v>
      </c>
      <c r="AI160" s="48">
        <v>137234</v>
      </c>
      <c r="AJ160" s="48">
        <v>167356</v>
      </c>
      <c r="AK160" s="48">
        <v>140581</v>
      </c>
      <c r="AL160" s="48">
        <v>140581</v>
      </c>
      <c r="AM160" s="48">
        <v>140581</v>
      </c>
      <c r="AN160" s="48">
        <v>127312</v>
      </c>
      <c r="AO160" s="48">
        <v>127312</v>
      </c>
      <c r="AP160" s="48">
        <v>127312</v>
      </c>
      <c r="AQ160" s="48">
        <v>127312</v>
      </c>
      <c r="AR160" s="48">
        <v>127312</v>
      </c>
      <c r="AS160" s="48">
        <v>201047</v>
      </c>
      <c r="AT160" s="48">
        <v>139601</v>
      </c>
      <c r="AU160" s="48">
        <v>139601</v>
      </c>
      <c r="AV160" s="48">
        <v>139601</v>
      </c>
      <c r="AW160" s="48">
        <v>139601</v>
      </c>
      <c r="AX160" s="48">
        <v>139601</v>
      </c>
      <c r="AY160" s="48">
        <v>139601</v>
      </c>
      <c r="AZ160" s="48">
        <v>129389</v>
      </c>
      <c r="BA160" s="48">
        <v>129389</v>
      </c>
      <c r="BB160" s="48">
        <v>129389</v>
      </c>
      <c r="BC160" s="48">
        <v>129389</v>
      </c>
      <c r="BD160" s="48">
        <v>259582</v>
      </c>
      <c r="BE160" s="48">
        <v>155428</v>
      </c>
      <c r="BF160" s="48">
        <v>155428</v>
      </c>
      <c r="BG160" s="48">
        <v>155428</v>
      </c>
      <c r="BH160" s="48">
        <v>155428</v>
      </c>
      <c r="BI160" s="48">
        <v>155428</v>
      </c>
      <c r="BJ160" s="48">
        <v>155428</v>
      </c>
      <c r="BK160" s="48">
        <v>155428</v>
      </c>
      <c r="BL160" s="48">
        <v>134112</v>
      </c>
      <c r="BM160" s="48">
        <v>134112</v>
      </c>
      <c r="BN160" s="48">
        <v>134112</v>
      </c>
      <c r="BO160" s="48">
        <v>134112</v>
      </c>
      <c r="BP160" s="48">
        <v>134112</v>
      </c>
      <c r="BQ160" s="48">
        <v>59826</v>
      </c>
      <c r="BR160" s="48">
        <v>121732</v>
      </c>
      <c r="BS160" s="48">
        <v>121732</v>
      </c>
      <c r="BT160" s="48">
        <v>121732</v>
      </c>
      <c r="BU160" s="48">
        <v>121732</v>
      </c>
      <c r="BV160" s="48">
        <v>145708</v>
      </c>
      <c r="BW160" s="48">
        <v>184229</v>
      </c>
      <c r="BX160" s="48">
        <v>147416</v>
      </c>
      <c r="BY160" s="48">
        <v>147416</v>
      </c>
      <c r="BZ160" s="48">
        <v>147416</v>
      </c>
      <c r="CA160" s="48">
        <v>147416</v>
      </c>
      <c r="CB160" s="48">
        <v>147416</v>
      </c>
      <c r="CC160" s="48">
        <v>218594</v>
      </c>
      <c r="CD160" s="48">
        <v>159280</v>
      </c>
      <c r="CE160" s="48">
        <v>159280</v>
      </c>
      <c r="CF160" s="48">
        <v>159280</v>
      </c>
      <c r="CG160" s="48">
        <v>159280</v>
      </c>
      <c r="CH160" s="48">
        <v>159280</v>
      </c>
      <c r="CI160" s="48">
        <v>159280</v>
      </c>
      <c r="CJ160" s="48">
        <v>152033</v>
      </c>
      <c r="CK160" s="48">
        <v>152033</v>
      </c>
      <c r="CL160" s="48">
        <v>152033</v>
      </c>
      <c r="CM160" s="48">
        <v>152033</v>
      </c>
      <c r="CN160" s="48">
        <v>152033</v>
      </c>
      <c r="CO160" s="48">
        <v>152033</v>
      </c>
      <c r="CP160" s="48">
        <v>335991</v>
      </c>
      <c r="CQ160" s="48">
        <v>178312</v>
      </c>
      <c r="CR160" s="48">
        <v>178312</v>
      </c>
      <c r="CS160" s="48">
        <v>178312</v>
      </c>
      <c r="CT160" s="48">
        <v>178312</v>
      </c>
      <c r="CU160" s="48">
        <v>178312</v>
      </c>
      <c r="CV160" s="48">
        <v>110347</v>
      </c>
      <c r="CW160" s="48">
        <v>110347</v>
      </c>
      <c r="CX160" s="48">
        <v>110347</v>
      </c>
      <c r="CY160" s="48">
        <v>110347</v>
      </c>
      <c r="CZ160" s="48">
        <v>110347</v>
      </c>
      <c r="DA160" s="48">
        <v>176624</v>
      </c>
      <c r="DB160" s="48">
        <v>121934</v>
      </c>
      <c r="DC160" s="48">
        <v>121934</v>
      </c>
      <c r="DD160" s="48">
        <v>121934</v>
      </c>
      <c r="DE160" s="48">
        <f>VLOOKUP($C160,'[2]Analysis 1'!$C$5:$DG$1025,107,FALSE)</f>
        <v>119774</v>
      </c>
      <c r="DF160" s="48">
        <f>VLOOKUP($C160,'[2]Analysis 1'!$C$5:$DG$1025,108,FALSE)</f>
        <v>121394</v>
      </c>
      <c r="DG160" s="48">
        <f>VLOOKUP($C160,'[2]Analysis 1'!$C$5:$DG$1025,109,FALSE)</f>
        <v>121394</v>
      </c>
      <c r="DH160" s="369">
        <f t="shared" si="4"/>
        <v>1456723</v>
      </c>
    </row>
    <row r="161" spans="1:112">
      <c r="A161" s="357" t="str">
        <f t="shared" si="5"/>
        <v>6020080</v>
      </c>
      <c r="B161" s="350" t="s">
        <v>1983</v>
      </c>
      <c r="C161" s="335" t="s">
        <v>1075</v>
      </c>
      <c r="D161" s="340">
        <v>80417</v>
      </c>
      <c r="E161" s="340">
        <v>80417</v>
      </c>
      <c r="F161" s="340">
        <v>80417</v>
      </c>
      <c r="G161" s="340">
        <v>83969</v>
      </c>
      <c r="H161" s="340">
        <v>81305</v>
      </c>
      <c r="I161" s="340">
        <v>81305</v>
      </c>
      <c r="J161" s="340">
        <v>81305</v>
      </c>
      <c r="K161" s="340">
        <v>81305</v>
      </c>
      <c r="L161" s="340">
        <v>81305</v>
      </c>
      <c r="M161" s="340">
        <v>81305</v>
      </c>
      <c r="N161" s="340">
        <v>81305</v>
      </c>
      <c r="O161" s="341">
        <v>81305</v>
      </c>
      <c r="P161" s="48">
        <v>72667</v>
      </c>
      <c r="Q161" s="48">
        <v>72978</v>
      </c>
      <c r="R161" s="48">
        <v>72823</v>
      </c>
      <c r="S161" s="48">
        <v>72823</v>
      </c>
      <c r="T161" s="48">
        <v>65071</v>
      </c>
      <c r="U161" s="48">
        <v>71273</v>
      </c>
      <c r="V161" s="48">
        <v>71273</v>
      </c>
      <c r="W161" s="48">
        <v>71375.360000000001</v>
      </c>
      <c r="X161" s="48">
        <v>71273</v>
      </c>
      <c r="Y161" s="48">
        <v>71273</v>
      </c>
      <c r="Z161" s="48">
        <v>71273</v>
      </c>
      <c r="AA161" s="48">
        <v>71273</v>
      </c>
      <c r="AB161" s="48">
        <v>70082</v>
      </c>
      <c r="AC161" s="48">
        <v>70082</v>
      </c>
      <c r="AD161" s="48">
        <v>70082</v>
      </c>
      <c r="AE161" s="48">
        <v>67014</v>
      </c>
      <c r="AF161" s="48">
        <v>69315</v>
      </c>
      <c r="AG161" s="48">
        <v>69315</v>
      </c>
      <c r="AH161" s="48">
        <v>69315</v>
      </c>
      <c r="AI161" s="48">
        <v>69315</v>
      </c>
      <c r="AJ161" s="48">
        <v>71979</v>
      </c>
      <c r="AK161" s="48">
        <v>70203</v>
      </c>
      <c r="AL161" s="48">
        <v>70202</v>
      </c>
      <c r="AM161" s="48">
        <v>70202</v>
      </c>
      <c r="AN161" s="48">
        <v>69979</v>
      </c>
      <c r="AO161" s="48">
        <v>69979</v>
      </c>
      <c r="AP161" s="48">
        <v>69979</v>
      </c>
      <c r="AQ161" s="48">
        <v>69979</v>
      </c>
      <c r="AR161" s="48">
        <v>69979</v>
      </c>
      <c r="AS161" s="48">
        <v>64811</v>
      </c>
      <c r="AT161" s="48">
        <v>69118</v>
      </c>
      <c r="AU161" s="48">
        <v>69118</v>
      </c>
      <c r="AV161" s="48">
        <v>69118</v>
      </c>
      <c r="AW161" s="48">
        <v>69118</v>
      </c>
      <c r="AX161" s="48">
        <v>69118</v>
      </c>
      <c r="AY161" s="48">
        <v>69118</v>
      </c>
      <c r="AZ161" s="48">
        <v>73390</v>
      </c>
      <c r="BA161" s="48">
        <v>73390</v>
      </c>
      <c r="BB161" s="48">
        <v>73390</v>
      </c>
      <c r="BC161" s="48">
        <v>73390</v>
      </c>
      <c r="BD161" s="48">
        <v>71350</v>
      </c>
      <c r="BE161" s="48">
        <v>72982</v>
      </c>
      <c r="BF161" s="48">
        <v>72982</v>
      </c>
      <c r="BG161" s="48">
        <v>72982</v>
      </c>
      <c r="BH161" s="48">
        <v>72982</v>
      </c>
      <c r="BI161" s="48">
        <v>72982</v>
      </c>
      <c r="BJ161" s="48">
        <v>72982</v>
      </c>
      <c r="BK161" s="48">
        <v>72982</v>
      </c>
      <c r="BL161" s="48">
        <v>70528</v>
      </c>
      <c r="BM161" s="48">
        <v>70528</v>
      </c>
      <c r="BN161" s="48">
        <v>70528</v>
      </c>
      <c r="BO161" s="48">
        <v>70528</v>
      </c>
      <c r="BP161" s="48">
        <v>70528</v>
      </c>
      <c r="BQ161" s="48">
        <v>69103</v>
      </c>
      <c r="BR161" s="48">
        <v>70290</v>
      </c>
      <c r="BS161" s="48">
        <v>70290</v>
      </c>
      <c r="BT161" s="48">
        <v>70290</v>
      </c>
      <c r="BU161" s="48">
        <v>70290</v>
      </c>
      <c r="BV161" s="48">
        <v>70290</v>
      </c>
      <c r="BW161" s="48">
        <v>70290</v>
      </c>
      <c r="BX161" s="48">
        <v>74162</v>
      </c>
      <c r="BY161" s="48">
        <v>74162</v>
      </c>
      <c r="BZ161" s="48">
        <v>74162</v>
      </c>
      <c r="CA161" s="48">
        <v>74162</v>
      </c>
      <c r="CB161" s="48">
        <v>74162</v>
      </c>
      <c r="CC161" s="48">
        <v>76698</v>
      </c>
      <c r="CD161" s="48">
        <v>74584</v>
      </c>
      <c r="CE161" s="48">
        <v>74584</v>
      </c>
      <c r="CF161" s="48">
        <v>74584</v>
      </c>
      <c r="CG161" s="48">
        <v>74584</v>
      </c>
      <c r="CH161" s="48">
        <v>74584</v>
      </c>
      <c r="CI161" s="48">
        <v>74584</v>
      </c>
      <c r="CJ161" s="48">
        <v>106576</v>
      </c>
      <c r="CK161" s="48">
        <v>106576</v>
      </c>
      <c r="CL161" s="48">
        <v>106576</v>
      </c>
      <c r="CM161" s="48">
        <v>106576</v>
      </c>
      <c r="CN161" s="48">
        <v>106576</v>
      </c>
      <c r="CO161" s="48">
        <v>106576</v>
      </c>
      <c r="CP161" s="48">
        <v>157517</v>
      </c>
      <c r="CQ161" s="48">
        <v>113854</v>
      </c>
      <c r="CR161" s="48">
        <v>113854</v>
      </c>
      <c r="CS161" s="48">
        <v>113854</v>
      </c>
      <c r="CT161" s="48">
        <v>113854</v>
      </c>
      <c r="CU161" s="48">
        <v>113854</v>
      </c>
      <c r="CV161" s="48">
        <v>104445</v>
      </c>
      <c r="CW161" s="48">
        <v>104445</v>
      </c>
      <c r="CX161" s="48">
        <v>104445</v>
      </c>
      <c r="CY161" s="48">
        <v>104445</v>
      </c>
      <c r="CZ161" s="48">
        <v>104445</v>
      </c>
      <c r="DA161" s="48">
        <v>55273</v>
      </c>
      <c r="DB161" s="48">
        <v>96250</v>
      </c>
      <c r="DC161" s="48">
        <v>96250</v>
      </c>
      <c r="DD161" s="48">
        <v>96250</v>
      </c>
      <c r="DE161" s="48">
        <f>VLOOKUP($C161,'[2]Analysis 1'!$C$5:$DG$1025,107,FALSE)</f>
        <v>96250</v>
      </c>
      <c r="DF161" s="48">
        <f>VLOOKUP($C161,'[2]Analysis 1'!$C$5:$DG$1025,108,FALSE)</f>
        <v>96250</v>
      </c>
      <c r="DG161" s="48">
        <f>VLOOKUP($C161,'[2]Analysis 1'!$C$5:$DG$1025,109,FALSE)</f>
        <v>96250</v>
      </c>
      <c r="DH161" s="369">
        <f t="shared" si="4"/>
        <v>1154998</v>
      </c>
    </row>
    <row r="162" spans="1:112">
      <c r="A162" s="357" t="str">
        <f t="shared" si="5"/>
        <v>6020100</v>
      </c>
      <c r="B162" s="350" t="s">
        <v>1984</v>
      </c>
      <c r="C162" s="335" t="s">
        <v>1076</v>
      </c>
      <c r="D162" s="340">
        <v>87085</v>
      </c>
      <c r="E162" s="340">
        <v>102727</v>
      </c>
      <c r="F162" s="340">
        <v>113134.26</v>
      </c>
      <c r="G162" s="340">
        <v>93628.92</v>
      </c>
      <c r="H162" s="340">
        <v>89965.24</v>
      </c>
      <c r="I162" s="340">
        <v>86701.41</v>
      </c>
      <c r="J162" s="340">
        <v>89674</v>
      </c>
      <c r="K162" s="340">
        <v>89737.57</v>
      </c>
      <c r="L162" s="340">
        <v>87043.48</v>
      </c>
      <c r="M162" s="340">
        <v>89967.17</v>
      </c>
      <c r="N162" s="340">
        <v>86939.520000000004</v>
      </c>
      <c r="O162" s="341">
        <v>506.83</v>
      </c>
      <c r="P162" s="48">
        <v>89889</v>
      </c>
      <c r="Q162" s="48">
        <v>107188</v>
      </c>
      <c r="R162" s="48">
        <v>122132</v>
      </c>
      <c r="S162" s="48">
        <v>96225</v>
      </c>
      <c r="T162" s="48">
        <v>93925</v>
      </c>
      <c r="U162" s="48">
        <v>58928.1</v>
      </c>
      <c r="V162" s="48">
        <v>86827.33</v>
      </c>
      <c r="W162" s="48">
        <v>86846.64</v>
      </c>
      <c r="X162" s="48">
        <v>84050.26</v>
      </c>
      <c r="Y162" s="48">
        <v>86843.5</v>
      </c>
      <c r="Z162" s="48">
        <v>84020.800000000003</v>
      </c>
      <c r="AA162" s="48">
        <v>86785.7</v>
      </c>
      <c r="AB162" s="48">
        <v>64051</v>
      </c>
      <c r="AC162" s="48">
        <v>83951</v>
      </c>
      <c r="AD162" s="48">
        <v>88048.61</v>
      </c>
      <c r="AE162" s="48">
        <v>89015.3</v>
      </c>
      <c r="AF162" s="48">
        <v>94878.2</v>
      </c>
      <c r="AG162" s="48">
        <v>91901.56</v>
      </c>
      <c r="AH162" s="48">
        <v>61779.29</v>
      </c>
      <c r="AI162" s="48">
        <v>61779.29</v>
      </c>
      <c r="AJ162" s="48">
        <v>59872.11</v>
      </c>
      <c r="AK162" s="48">
        <v>59872.11</v>
      </c>
      <c r="AL162" s="48">
        <v>59872.11</v>
      </c>
      <c r="AM162" s="48">
        <v>59872.11</v>
      </c>
      <c r="AN162" s="48">
        <v>59872.11</v>
      </c>
      <c r="AO162" s="48">
        <v>100850.11</v>
      </c>
      <c r="AP162" s="48">
        <v>106192.41</v>
      </c>
      <c r="AQ162" s="48">
        <v>77874.59</v>
      </c>
      <c r="AR162" s="48">
        <v>43155.11</v>
      </c>
      <c r="AS162" s="48">
        <v>153217.82</v>
      </c>
      <c r="AT162" s="48">
        <v>64203.8</v>
      </c>
      <c r="AU162" s="48">
        <v>57481.11</v>
      </c>
      <c r="AV162" s="48">
        <v>152251.49</v>
      </c>
      <c r="AW162" s="48">
        <v>80957.38</v>
      </c>
      <c r="AX162" s="48">
        <v>57662.87</v>
      </c>
      <c r="AY162" s="48">
        <v>85885.14</v>
      </c>
      <c r="AZ162" s="48">
        <v>45157.21</v>
      </c>
      <c r="BA162" s="48">
        <v>45396.1</v>
      </c>
      <c r="BB162" s="48">
        <v>164313.1</v>
      </c>
      <c r="BC162" s="48">
        <v>45396.1</v>
      </c>
      <c r="BD162" s="48">
        <v>45396.1</v>
      </c>
      <c r="BE162" s="48">
        <v>256982.52</v>
      </c>
      <c r="BF162" s="48">
        <v>40493.589999999997</v>
      </c>
      <c r="BG162" s="48">
        <v>45492.1</v>
      </c>
      <c r="BH162" s="48">
        <v>191153.8</v>
      </c>
      <c r="BI162" s="48">
        <v>44596.1</v>
      </c>
      <c r="BJ162" s="48">
        <v>44596.1</v>
      </c>
      <c r="BK162" s="48">
        <v>341232.38</v>
      </c>
      <c r="BL162" s="48">
        <v>0</v>
      </c>
      <c r="BM162" s="48">
        <v>0</v>
      </c>
      <c r="BN162" s="48">
        <v>527233.69999999995</v>
      </c>
      <c r="BO162" s="48">
        <v>0</v>
      </c>
      <c r="BP162" s="48">
        <v>0</v>
      </c>
      <c r="BQ162" s="48">
        <v>514313</v>
      </c>
      <c r="BR162" s="48">
        <v>0</v>
      </c>
      <c r="BS162" s="48">
        <v>0</v>
      </c>
      <c r="BT162" s="48">
        <v>1088488.8</v>
      </c>
      <c r="BU162" s="48">
        <v>8803.83</v>
      </c>
      <c r="BV162" s="48">
        <v>0</v>
      </c>
      <c r="BW162" s="48">
        <v>-180154.66</v>
      </c>
      <c r="BX162" s="48">
        <v>0</v>
      </c>
      <c r="BY162" s="48">
        <v>0</v>
      </c>
      <c r="BZ162" s="48">
        <v>433010.22</v>
      </c>
      <c r="CA162" s="48">
        <v>0</v>
      </c>
      <c r="CB162" s="48">
        <v>0</v>
      </c>
      <c r="CC162" s="48">
        <v>290823.61</v>
      </c>
      <c r="CD162" s="48">
        <v>0</v>
      </c>
      <c r="CE162" s="48">
        <v>0</v>
      </c>
      <c r="CF162" s="48">
        <v>424925.07</v>
      </c>
      <c r="CG162" s="48">
        <v>0</v>
      </c>
      <c r="CH162" s="48">
        <v>0</v>
      </c>
      <c r="CI162" s="48">
        <v>771058.32</v>
      </c>
      <c r="CJ162" s="48">
        <v>0</v>
      </c>
      <c r="CK162" s="48">
        <v>0</v>
      </c>
      <c r="CL162" s="48">
        <v>-14259.2</v>
      </c>
      <c r="CM162" s="48">
        <v>0</v>
      </c>
      <c r="CN162" s="48">
        <v>0</v>
      </c>
      <c r="CO162" s="48">
        <v>591158.48</v>
      </c>
      <c r="CP162" s="48">
        <v>0</v>
      </c>
      <c r="CQ162" s="48">
        <v>0</v>
      </c>
      <c r="CR162" s="48">
        <v>112274.93</v>
      </c>
      <c r="CS162" s="48">
        <v>0</v>
      </c>
      <c r="CT162" s="48">
        <v>0</v>
      </c>
      <c r="CU162" s="48">
        <v>446187.4</v>
      </c>
      <c r="CV162" s="48">
        <v>0</v>
      </c>
      <c r="CW162" s="48">
        <v>0</v>
      </c>
      <c r="CX162" s="48">
        <v>389355.55</v>
      </c>
      <c r="CY162" s="48">
        <v>0</v>
      </c>
      <c r="CZ162" s="48">
        <v>0</v>
      </c>
      <c r="DA162" s="48">
        <v>564667.89</v>
      </c>
      <c r="DB162" s="48">
        <v>0</v>
      </c>
      <c r="DC162" s="48">
        <v>0</v>
      </c>
      <c r="DD162" s="48">
        <v>310682.74</v>
      </c>
      <c r="DE162" s="48">
        <f>VLOOKUP($C162,'[2]Analysis 1'!$C$5:$DG$1025,107,FALSE)</f>
        <v>0</v>
      </c>
      <c r="DF162" s="48">
        <f>VLOOKUP($C162,'[2]Analysis 1'!$C$5:$DG$1025,108,FALSE)</f>
        <v>0</v>
      </c>
      <c r="DG162" s="48">
        <f>VLOOKUP($C162,'[2]Analysis 1'!$C$5:$DG$1025,109,FALSE)</f>
        <v>231714.42</v>
      </c>
      <c r="DH162" s="369">
        <f t="shared" si="4"/>
        <v>1496420.5999999999</v>
      </c>
    </row>
    <row r="163" spans="1:112">
      <c r="A163" s="357" t="str">
        <f t="shared" si="5"/>
        <v>6020101</v>
      </c>
      <c r="B163" s="350" t="s">
        <v>2463</v>
      </c>
      <c r="C163" s="335" t="s">
        <v>2464</v>
      </c>
      <c r="D163" s="367"/>
      <c r="E163" s="367"/>
      <c r="F163" s="367"/>
      <c r="G163" s="367"/>
      <c r="H163" s="367"/>
      <c r="I163" s="367"/>
      <c r="J163" s="367"/>
      <c r="K163" s="367"/>
      <c r="L163" s="367"/>
      <c r="M163" s="367"/>
      <c r="N163" s="367"/>
      <c r="O163" s="36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v>0</v>
      </c>
      <c r="BY163" s="48">
        <v>0</v>
      </c>
      <c r="BZ163" s="48">
        <v>4358.92</v>
      </c>
      <c r="CA163" s="48">
        <v>0</v>
      </c>
      <c r="CB163" s="48">
        <v>0</v>
      </c>
      <c r="CC163" s="48">
        <v>-3217.89</v>
      </c>
      <c r="CD163" s="48">
        <v>0</v>
      </c>
      <c r="CE163" s="48">
        <v>0</v>
      </c>
      <c r="CF163" s="48">
        <v>870.97</v>
      </c>
      <c r="CG163" s="48">
        <v>0</v>
      </c>
      <c r="CH163" s="48">
        <v>0</v>
      </c>
      <c r="CI163" s="48">
        <v>1608.28</v>
      </c>
      <c r="CJ163" s="48">
        <v>0</v>
      </c>
      <c r="CK163" s="48">
        <v>0</v>
      </c>
      <c r="CL163" s="48">
        <v>-9939.86</v>
      </c>
      <c r="CM163" s="48">
        <v>0</v>
      </c>
      <c r="CN163" s="48">
        <v>0</v>
      </c>
      <c r="CO163" s="48">
        <v>27382.61</v>
      </c>
      <c r="CP163" s="48">
        <v>0</v>
      </c>
      <c r="CQ163" s="48">
        <v>0</v>
      </c>
      <c r="CR163" s="48">
        <v>14883.26</v>
      </c>
      <c r="CS163" s="48">
        <v>0</v>
      </c>
      <c r="CT163" s="48">
        <v>0</v>
      </c>
      <c r="CU163" s="48">
        <v>5667.17</v>
      </c>
      <c r="CV163" s="48">
        <v>0</v>
      </c>
      <c r="CW163" s="48">
        <v>0</v>
      </c>
      <c r="CX163" s="48">
        <v>8266.2800000000007</v>
      </c>
      <c r="CY163" s="48">
        <v>0</v>
      </c>
      <c r="CZ163" s="48">
        <v>0</v>
      </c>
      <c r="DA163" s="48">
        <v>20835.12</v>
      </c>
      <c r="DB163" s="48">
        <v>0</v>
      </c>
      <c r="DC163" s="48">
        <v>0</v>
      </c>
      <c r="DD163" s="48">
        <v>-1569.32</v>
      </c>
      <c r="DE163" s="48">
        <f>VLOOKUP($C163,'[2]Analysis 1'!$C$5:$DG$1025,107,FALSE)</f>
        <v>0</v>
      </c>
      <c r="DF163" s="48">
        <f>VLOOKUP($C163,'[2]Analysis 1'!$C$5:$DG$1025,108,FALSE)</f>
        <v>0</v>
      </c>
      <c r="DG163" s="48">
        <f>VLOOKUP($C163,'[2]Analysis 1'!$C$5:$DG$1025,109,FALSE)</f>
        <v>-16000.36</v>
      </c>
      <c r="DH163" s="369">
        <f t="shared" si="4"/>
        <v>11531.720000000001</v>
      </c>
    </row>
    <row r="164" spans="1:112">
      <c r="A164" s="357" t="str">
        <f t="shared" si="5"/>
        <v>6020110</v>
      </c>
      <c r="B164" s="350" t="s">
        <v>1985</v>
      </c>
      <c r="C164" s="335" t="s">
        <v>1077</v>
      </c>
      <c r="D164" s="367">
        <v>0</v>
      </c>
      <c r="E164" s="367">
        <v>790.03</v>
      </c>
      <c r="F164" s="367">
        <v>215.78</v>
      </c>
      <c r="G164" s="367">
        <v>399.2</v>
      </c>
      <c r="H164" s="367">
        <v>455</v>
      </c>
      <c r="I164" s="367">
        <v>97.9</v>
      </c>
      <c r="J164" s="367">
        <v>0</v>
      </c>
      <c r="K164" s="367">
        <v>0</v>
      </c>
      <c r="L164" s="367">
        <v>105.59</v>
      </c>
      <c r="M164" s="367">
        <v>1834.85</v>
      </c>
      <c r="N164" s="367">
        <v>1200.4000000000001</v>
      </c>
      <c r="O164" s="368">
        <v>302.11</v>
      </c>
      <c r="P164" s="48">
        <v>0</v>
      </c>
      <c r="Q164" s="48">
        <v>458.87</v>
      </c>
      <c r="R164" s="48">
        <v>155.24</v>
      </c>
      <c r="S164" s="48">
        <v>745.75</v>
      </c>
      <c r="T164" s="48">
        <v>107.23</v>
      </c>
      <c r="U164" s="48">
        <v>467.08</v>
      </c>
      <c r="V164" s="48">
        <v>337</v>
      </c>
      <c r="W164" s="48">
        <v>428.65</v>
      </c>
      <c r="X164" s="48">
        <v>2437.73</v>
      </c>
      <c r="Y164" s="48">
        <v>1254.78</v>
      </c>
      <c r="Z164" s="48">
        <v>434.25</v>
      </c>
      <c r="AA164" s="48">
        <v>222</v>
      </c>
      <c r="AB164" s="48">
        <v>0</v>
      </c>
      <c r="AC164" s="48">
        <v>286.54000000000002</v>
      </c>
      <c r="AD164" s="48">
        <v>300.48</v>
      </c>
      <c r="AE164" s="48">
        <v>-30</v>
      </c>
      <c r="AF164" s="48">
        <v>86.85</v>
      </c>
      <c r="AG164" s="48">
        <v>413.31</v>
      </c>
      <c r="AH164" s="48">
        <v>83.9</v>
      </c>
      <c r="AI164" s="48">
        <v>91.21</v>
      </c>
      <c r="AJ164" s="48">
        <v>172.63</v>
      </c>
      <c r="AK164" s="48">
        <v>233.41</v>
      </c>
      <c r="AL164" s="48">
        <v>231.6</v>
      </c>
      <c r="AM164" s="48">
        <v>185.26</v>
      </c>
      <c r="AN164" s="48">
        <v>0</v>
      </c>
      <c r="AO164" s="48">
        <v>483.26</v>
      </c>
      <c r="AP164" s="48">
        <v>525.84</v>
      </c>
      <c r="AQ164" s="48">
        <v>201.22</v>
      </c>
      <c r="AR164" s="48">
        <v>38.83</v>
      </c>
      <c r="AS164" s="48">
        <v>76.36</v>
      </c>
      <c r="AT164" s="48">
        <v>140.63999999999999</v>
      </c>
      <c r="AU164" s="48">
        <v>0</v>
      </c>
      <c r="AV164" s="48">
        <v>121.33</v>
      </c>
      <c r="AW164" s="48">
        <v>356.85</v>
      </c>
      <c r="AX164" s="48">
        <v>332.88</v>
      </c>
      <c r="AY164" s="48">
        <v>65.05</v>
      </c>
      <c r="AZ164" s="48">
        <v>0</v>
      </c>
      <c r="BA164" s="48">
        <v>260.76</v>
      </c>
      <c r="BB164" s="48">
        <v>54.15</v>
      </c>
      <c r="BC164" s="48">
        <v>1977.9</v>
      </c>
      <c r="BD164" s="48">
        <v>0</v>
      </c>
      <c r="BE164" s="48">
        <v>52.18</v>
      </c>
      <c r="BF164" s="48">
        <v>219.8</v>
      </c>
      <c r="BG164" s="48">
        <v>81.489999999999995</v>
      </c>
      <c r="BH164" s="48">
        <v>81.8</v>
      </c>
      <c r="BI164" s="48">
        <v>195</v>
      </c>
      <c r="BJ164" s="48">
        <v>526.20000000000005</v>
      </c>
      <c r="BK164" s="48">
        <v>3606.37</v>
      </c>
      <c r="BL164" s="48">
        <v>0</v>
      </c>
      <c r="BM164" s="48">
        <v>235.53</v>
      </c>
      <c r="BN164" s="48">
        <v>278.98</v>
      </c>
      <c r="BO164" s="48">
        <v>0</v>
      </c>
      <c r="BP164" s="48">
        <v>0</v>
      </c>
      <c r="BQ164" s="48">
        <v>0</v>
      </c>
      <c r="BR164" s="48">
        <v>216.58</v>
      </c>
      <c r="BS164" s="48">
        <v>0</v>
      </c>
      <c r="BT164" s="48">
        <v>0</v>
      </c>
      <c r="BU164" s="48">
        <v>107.9</v>
      </c>
      <c r="BV164" s="48">
        <v>269.64</v>
      </c>
      <c r="BW164" s="48">
        <v>269.63</v>
      </c>
      <c r="BX164" s="48">
        <v>0</v>
      </c>
      <c r="BY164" s="48">
        <v>0</v>
      </c>
      <c r="BZ164" s="48">
        <v>355.13</v>
      </c>
      <c r="CA164" s="48">
        <v>6.51</v>
      </c>
      <c r="CB164" s="48">
        <v>233.82</v>
      </c>
      <c r="CC164" s="48">
        <v>49.72</v>
      </c>
      <c r="CD164" s="48">
        <v>263.88</v>
      </c>
      <c r="CE164" s="48">
        <v>471.56</v>
      </c>
      <c r="CF164" s="48">
        <v>131.58000000000001</v>
      </c>
      <c r="CG164" s="48">
        <v>101.41</v>
      </c>
      <c r="CH164" s="48">
        <v>102.91</v>
      </c>
      <c r="CI164" s="48">
        <v>21.75</v>
      </c>
      <c r="CJ164" s="48">
        <v>373.36</v>
      </c>
      <c r="CK164" s="48">
        <v>708.82</v>
      </c>
      <c r="CL164" s="48">
        <v>286.2</v>
      </c>
      <c r="CM164" s="48">
        <v>228.87</v>
      </c>
      <c r="CN164" s="48">
        <v>938.2</v>
      </c>
      <c r="CO164" s="48">
        <v>366.17</v>
      </c>
      <c r="CP164" s="48">
        <v>486.33</v>
      </c>
      <c r="CQ164" s="48">
        <v>320.58</v>
      </c>
      <c r="CR164" s="48">
        <v>402.05</v>
      </c>
      <c r="CS164" s="48">
        <v>24.04</v>
      </c>
      <c r="CT164" s="48">
        <v>970.8</v>
      </c>
      <c r="CU164" s="48">
        <v>581.03</v>
      </c>
      <c r="CV164" s="48">
        <v>133.09</v>
      </c>
      <c r="CW164" s="48">
        <v>38.729999999999997</v>
      </c>
      <c r="CX164" s="48">
        <v>127.13</v>
      </c>
      <c r="CY164" s="48">
        <v>282.42</v>
      </c>
      <c r="CZ164" s="48">
        <v>495.86</v>
      </c>
      <c r="DA164" s="48">
        <v>124.63</v>
      </c>
      <c r="DB164" s="48">
        <v>478.73</v>
      </c>
      <c r="DC164" s="48">
        <v>906.69</v>
      </c>
      <c r="DD164" s="48">
        <v>797.07</v>
      </c>
      <c r="DE164" s="48">
        <f>VLOOKUP($C164,'[2]Analysis 1'!$C$5:$DG$1025,107,FALSE)</f>
        <v>7762.3</v>
      </c>
      <c r="DF164" s="48">
        <f>VLOOKUP($C164,'[2]Analysis 1'!$C$5:$DG$1025,108,FALSE)</f>
        <v>2121.77</v>
      </c>
      <c r="DG164" s="48">
        <f>VLOOKUP($C164,'[2]Analysis 1'!$C$5:$DG$1025,109,FALSE)</f>
        <v>1709</v>
      </c>
      <c r="DH164" s="369">
        <f t="shared" si="4"/>
        <v>14977.420000000002</v>
      </c>
    </row>
    <row r="165" spans="1:112">
      <c r="A165" s="357" t="str">
        <f t="shared" si="5"/>
        <v>6020130</v>
      </c>
      <c r="B165" s="350" t="s">
        <v>1986</v>
      </c>
      <c r="C165" s="335" t="s">
        <v>1078</v>
      </c>
      <c r="D165" s="340">
        <v>153955.15</v>
      </c>
      <c r="E165" s="340">
        <v>70275.39</v>
      </c>
      <c r="F165" s="340">
        <v>72571.27</v>
      </c>
      <c r="G165" s="340">
        <v>73408.02</v>
      </c>
      <c r="H165" s="340">
        <v>112562.38</v>
      </c>
      <c r="I165" s="340">
        <v>73677.31</v>
      </c>
      <c r="J165" s="340">
        <v>73455.839999999997</v>
      </c>
      <c r="K165" s="340">
        <v>75367.53</v>
      </c>
      <c r="L165" s="340">
        <v>75795.78</v>
      </c>
      <c r="M165" s="340">
        <v>115301.95</v>
      </c>
      <c r="N165" s="340">
        <v>75241.759999999995</v>
      </c>
      <c r="O165" s="341">
        <v>107216.07</v>
      </c>
      <c r="P165" s="48">
        <v>78400.210000000006</v>
      </c>
      <c r="Q165" s="48">
        <v>129221.56</v>
      </c>
      <c r="R165" s="48">
        <v>80205.919999999998</v>
      </c>
      <c r="S165" s="48">
        <v>119920.79</v>
      </c>
      <c r="T165" s="48">
        <v>81009.039999999994</v>
      </c>
      <c r="U165" s="48">
        <v>81963.45</v>
      </c>
      <c r="V165" s="48">
        <v>80768.14</v>
      </c>
      <c r="W165" s="48">
        <v>80949.58</v>
      </c>
      <c r="X165" s="48">
        <v>84130.240000000005</v>
      </c>
      <c r="Y165" s="48">
        <v>124365.27</v>
      </c>
      <c r="Z165" s="48">
        <v>84747.17</v>
      </c>
      <c r="AA165" s="48">
        <v>87643.92</v>
      </c>
      <c r="AB165" s="48">
        <v>87604.77</v>
      </c>
      <c r="AC165" s="48">
        <v>152353.21</v>
      </c>
      <c r="AD165" s="48">
        <v>131227.01999999999</v>
      </c>
      <c r="AE165" s="48">
        <v>87906.7</v>
      </c>
      <c r="AF165" s="48">
        <v>90132.95</v>
      </c>
      <c r="AG165" s="48">
        <v>90730.34</v>
      </c>
      <c r="AH165" s="48">
        <v>96543.9</v>
      </c>
      <c r="AI165" s="48">
        <v>92044.62</v>
      </c>
      <c r="AJ165" s="48">
        <v>139321.71</v>
      </c>
      <c r="AK165" s="48">
        <v>96737.54</v>
      </c>
      <c r="AL165" s="48">
        <v>96016.79</v>
      </c>
      <c r="AM165" s="48">
        <v>101949.36</v>
      </c>
      <c r="AN165" s="48">
        <v>111987.69</v>
      </c>
      <c r="AO165" s="48">
        <v>198687.03</v>
      </c>
      <c r="AP165" s="48">
        <v>155909.88</v>
      </c>
      <c r="AQ165" s="48">
        <v>105339.63</v>
      </c>
      <c r="AR165" s="48">
        <v>100974.01</v>
      </c>
      <c r="AS165" s="48">
        <v>101767.1</v>
      </c>
      <c r="AT165" s="48">
        <v>102620.15</v>
      </c>
      <c r="AU165" s="48">
        <v>157047.35999999999</v>
      </c>
      <c r="AV165" s="48">
        <v>109020.6</v>
      </c>
      <c r="AW165" s="48">
        <v>110028.02</v>
      </c>
      <c r="AX165" s="48">
        <v>110061.79</v>
      </c>
      <c r="AY165" s="48">
        <v>109205.75999999999</v>
      </c>
      <c r="AZ165" s="48">
        <v>115837.3</v>
      </c>
      <c r="BA165" s="48">
        <v>216233.99</v>
      </c>
      <c r="BB165" s="48">
        <v>169083.47</v>
      </c>
      <c r="BC165" s="48">
        <v>117129.05</v>
      </c>
      <c r="BD165" s="48">
        <v>115639.13</v>
      </c>
      <c r="BE165" s="48">
        <v>115789.81</v>
      </c>
      <c r="BF165" s="48">
        <v>115501.28</v>
      </c>
      <c r="BG165" s="48">
        <v>173208.16</v>
      </c>
      <c r="BH165" s="48">
        <v>118316.28</v>
      </c>
      <c r="BI165" s="48">
        <v>132546.65</v>
      </c>
      <c r="BJ165" s="48">
        <v>128342.58</v>
      </c>
      <c r="BK165" s="48">
        <v>123368.23</v>
      </c>
      <c r="BL165" s="48">
        <v>189609.23</v>
      </c>
      <c r="BM165" s="48">
        <v>245779.98</v>
      </c>
      <c r="BN165" s="48">
        <v>124232.25</v>
      </c>
      <c r="BO165" s="48">
        <v>125689.75</v>
      </c>
      <c r="BP165" s="48">
        <v>125296.49</v>
      </c>
      <c r="BQ165" s="48">
        <v>126164.07</v>
      </c>
      <c r="BR165" s="48">
        <v>127315.49</v>
      </c>
      <c r="BS165" s="48">
        <v>192405.78</v>
      </c>
      <c r="BT165" s="48">
        <v>129294.42</v>
      </c>
      <c r="BU165" s="48">
        <v>130151.6</v>
      </c>
      <c r="BV165" s="48">
        <v>130634.96</v>
      </c>
      <c r="BW165" s="48">
        <v>278694.61</v>
      </c>
      <c r="BX165" s="48">
        <v>205380.32</v>
      </c>
      <c r="BY165" s="48">
        <v>131840.60999999999</v>
      </c>
      <c r="BZ165" s="48">
        <v>151179.51</v>
      </c>
      <c r="CA165" s="48">
        <v>133606.48000000001</v>
      </c>
      <c r="CB165" s="48">
        <v>135398.10999999999</v>
      </c>
      <c r="CC165" s="48">
        <v>137594.94</v>
      </c>
      <c r="CD165" s="48">
        <v>208740.77</v>
      </c>
      <c r="CE165" s="48">
        <v>140397.68</v>
      </c>
      <c r="CF165" s="48">
        <v>140098.15</v>
      </c>
      <c r="CG165" s="48">
        <v>139645.06</v>
      </c>
      <c r="CH165" s="48">
        <v>143619.37</v>
      </c>
      <c r="CI165" s="48">
        <v>211368.66</v>
      </c>
      <c r="CJ165" s="48">
        <v>152326.6</v>
      </c>
      <c r="CK165" s="48">
        <v>149898.19</v>
      </c>
      <c r="CL165" s="48">
        <v>294142.75</v>
      </c>
      <c r="CM165" s="48">
        <v>151276.25</v>
      </c>
      <c r="CN165" s="48">
        <v>150868.1</v>
      </c>
      <c r="CO165" s="48">
        <v>150498.47</v>
      </c>
      <c r="CP165" s="48">
        <v>223703.28</v>
      </c>
      <c r="CQ165" s="48">
        <v>148492.60999999999</v>
      </c>
      <c r="CR165" s="48">
        <v>152652.54</v>
      </c>
      <c r="CS165" s="48">
        <v>277198.90000000002</v>
      </c>
      <c r="CT165" s="48">
        <v>164837.78</v>
      </c>
      <c r="CU165" s="48">
        <v>287455.2</v>
      </c>
      <c r="CV165" s="48">
        <v>219826.27</v>
      </c>
      <c r="CW165" s="48">
        <v>224793.42</v>
      </c>
      <c r="CX165" s="48">
        <v>119479</v>
      </c>
      <c r="CY165" s="48">
        <v>164370.29999999999</v>
      </c>
      <c r="CZ165" s="48">
        <v>163462.59</v>
      </c>
      <c r="DA165" s="48">
        <v>256512.27</v>
      </c>
      <c r="DB165" s="48">
        <v>173139.92</v>
      </c>
      <c r="DC165" s="48">
        <v>175722.3</v>
      </c>
      <c r="DD165" s="48">
        <v>175471.09</v>
      </c>
      <c r="DE165" s="48">
        <f>VLOOKUP($C165,'[2]Analysis 1'!$C$5:$DG$1025,107,FALSE)</f>
        <v>196214.74</v>
      </c>
      <c r="DF165" s="48">
        <f>VLOOKUP($C165,'[2]Analysis 1'!$C$5:$DG$1025,108,FALSE)</f>
        <v>189854.74</v>
      </c>
      <c r="DG165" s="48">
        <f>VLOOKUP($C165,'[2]Analysis 1'!$C$5:$DG$1025,109,FALSE)</f>
        <v>278829.03999999998</v>
      </c>
      <c r="DH165" s="369">
        <f t="shared" si="4"/>
        <v>2337675.6799999997</v>
      </c>
    </row>
    <row r="166" spans="1:112">
      <c r="A166" s="357">
        <f t="shared" si="5"/>
        <v>6020131</v>
      </c>
      <c r="B166" s="335">
        <v>6020131</v>
      </c>
      <c r="C166" s="335" t="s">
        <v>2577</v>
      </c>
      <c r="D166" s="340"/>
      <c r="E166" s="340"/>
      <c r="F166" s="340"/>
      <c r="G166" s="340"/>
      <c r="H166" s="340"/>
      <c r="I166" s="340"/>
      <c r="J166" s="340"/>
      <c r="K166" s="340"/>
      <c r="L166" s="340"/>
      <c r="M166" s="340"/>
      <c r="N166" s="340"/>
      <c r="O166" s="341"/>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v>137.09</v>
      </c>
      <c r="CK166" s="48">
        <v>-137.09</v>
      </c>
      <c r="CL166" s="48">
        <v>0</v>
      </c>
      <c r="CM166" s="48">
        <v>0</v>
      </c>
      <c r="CN166" s="48">
        <v>0</v>
      </c>
      <c r="CO166" s="48">
        <v>0</v>
      </c>
      <c r="CP166" s="48">
        <v>0</v>
      </c>
      <c r="CQ166" s="48">
        <v>0</v>
      </c>
      <c r="CR166" s="48">
        <v>0</v>
      </c>
      <c r="CS166" s="48">
        <v>0</v>
      </c>
      <c r="CT166" s="48">
        <v>0</v>
      </c>
      <c r="CU166" s="48">
        <v>0</v>
      </c>
      <c r="CV166" s="48">
        <v>0</v>
      </c>
      <c r="CW166" s="48">
        <v>0</v>
      </c>
      <c r="CX166" s="48">
        <v>0</v>
      </c>
      <c r="CY166" s="48">
        <v>0</v>
      </c>
      <c r="CZ166" s="48">
        <v>0</v>
      </c>
      <c r="DA166" s="48">
        <v>0</v>
      </c>
      <c r="DB166" s="48">
        <v>0</v>
      </c>
      <c r="DC166" s="48">
        <v>0</v>
      </c>
      <c r="DD166" s="48">
        <v>0</v>
      </c>
      <c r="DE166" s="48">
        <f>VLOOKUP($C166,'[2]Analysis 1'!$C$5:$DG$1025,107,FALSE)</f>
        <v>0</v>
      </c>
      <c r="DF166" s="48">
        <f>VLOOKUP($C166,'[2]Analysis 1'!$C$5:$DG$1025,108,FALSE)</f>
        <v>0</v>
      </c>
      <c r="DG166" s="48">
        <f>VLOOKUP($C166,'[2]Analysis 1'!$C$5:$DG$1025,109,FALSE)</f>
        <v>0</v>
      </c>
      <c r="DH166" s="369">
        <f t="shared" si="4"/>
        <v>0</v>
      </c>
    </row>
    <row r="167" spans="1:112">
      <c r="A167" s="357" t="str">
        <f t="shared" si="5"/>
        <v>6020140</v>
      </c>
      <c r="B167" s="350" t="s">
        <v>1987</v>
      </c>
      <c r="C167" s="335" t="s">
        <v>1079</v>
      </c>
      <c r="D167" s="367">
        <v>0</v>
      </c>
      <c r="E167" s="367">
        <v>-6179.45</v>
      </c>
      <c r="F167" s="367">
        <v>0</v>
      </c>
      <c r="G167" s="367">
        <v>0</v>
      </c>
      <c r="H167" s="367">
        <v>0</v>
      </c>
      <c r="I167" s="367">
        <v>0</v>
      </c>
      <c r="J167" s="367">
        <v>0</v>
      </c>
      <c r="K167" s="367">
        <v>0</v>
      </c>
      <c r="L167" s="367">
        <v>152000</v>
      </c>
      <c r="M167" s="367">
        <v>0</v>
      </c>
      <c r="N167" s="367">
        <v>0</v>
      </c>
      <c r="O167" s="368">
        <v>170000</v>
      </c>
      <c r="P167" s="48">
        <v>0</v>
      </c>
      <c r="Q167" s="48">
        <v>-65182.400000000001</v>
      </c>
      <c r="R167" s="48">
        <v>168488.36</v>
      </c>
      <c r="S167" s="48">
        <v>42000</v>
      </c>
      <c r="T167" s="48">
        <v>-29000</v>
      </c>
      <c r="U167" s="48">
        <v>30000</v>
      </c>
      <c r="V167" s="48">
        <v>-24000</v>
      </c>
      <c r="W167" s="48">
        <v>4000</v>
      </c>
      <c r="X167" s="48">
        <v>-52000</v>
      </c>
      <c r="Y167" s="48">
        <v>-7000</v>
      </c>
      <c r="Z167" s="48">
        <v>84000</v>
      </c>
      <c r="AA167" s="48">
        <v>-160875</v>
      </c>
      <c r="AB167" s="48">
        <v>0</v>
      </c>
      <c r="AC167" s="48">
        <v>-9691.82</v>
      </c>
      <c r="AD167" s="48">
        <v>0</v>
      </c>
      <c r="AE167" s="48">
        <v>0</v>
      </c>
      <c r="AF167" s="48">
        <v>0</v>
      </c>
      <c r="AG167" s="48">
        <v>0</v>
      </c>
      <c r="AH167" s="48">
        <v>0</v>
      </c>
      <c r="AI167" s="48">
        <v>0</v>
      </c>
      <c r="AJ167" s="48">
        <v>252000</v>
      </c>
      <c r="AK167" s="48">
        <v>-4000</v>
      </c>
      <c r="AL167" s="48">
        <v>-140000</v>
      </c>
      <c r="AM167" s="48">
        <v>-56000</v>
      </c>
      <c r="AN167" s="48">
        <v>0</v>
      </c>
      <c r="AO167" s="48">
        <v>0</v>
      </c>
      <c r="AP167" s="48">
        <v>17528.099999999999</v>
      </c>
      <c r="AQ167" s="48">
        <v>0</v>
      </c>
      <c r="AR167" s="48">
        <v>0</v>
      </c>
      <c r="AS167" s="48">
        <v>0</v>
      </c>
      <c r="AT167" s="48">
        <v>0</v>
      </c>
      <c r="AU167" s="48">
        <v>0</v>
      </c>
      <c r="AV167" s="48">
        <v>0</v>
      </c>
      <c r="AW167" s="48">
        <v>0</v>
      </c>
      <c r="AX167" s="48">
        <v>0</v>
      </c>
      <c r="AY167" s="48">
        <v>0</v>
      </c>
      <c r="AZ167" s="48">
        <v>0</v>
      </c>
      <c r="BA167" s="48">
        <v>24994.26</v>
      </c>
      <c r="BB167" s="48">
        <v>0</v>
      </c>
      <c r="BC167" s="48">
        <v>0</v>
      </c>
      <c r="BD167" s="48">
        <v>783.24</v>
      </c>
      <c r="BE167" s="48">
        <v>-738.24</v>
      </c>
      <c r="BF167" s="48">
        <v>-45</v>
      </c>
      <c r="BG167" s="48">
        <v>0</v>
      </c>
      <c r="BH167" s="48">
        <v>0</v>
      </c>
      <c r="BI167" s="48">
        <v>0</v>
      </c>
      <c r="BJ167" s="48">
        <v>0</v>
      </c>
      <c r="BK167" s="48">
        <v>0</v>
      </c>
      <c r="BL167" s="48">
        <v>0</v>
      </c>
      <c r="BM167" s="48">
        <v>4185.76</v>
      </c>
      <c r="BN167" s="48">
        <v>1441.26</v>
      </c>
      <c r="BO167" s="48">
        <v>0</v>
      </c>
      <c r="BP167" s="48">
        <v>0</v>
      </c>
      <c r="BQ167" s="48">
        <v>0</v>
      </c>
      <c r="BR167" s="48">
        <v>0</v>
      </c>
      <c r="BS167" s="48">
        <v>0</v>
      </c>
      <c r="BT167" s="48">
        <v>0</v>
      </c>
      <c r="BU167" s="48">
        <v>0</v>
      </c>
      <c r="BV167" s="48">
        <v>0</v>
      </c>
      <c r="BW167" s="48">
        <v>256702.48</v>
      </c>
      <c r="BX167" s="48">
        <v>0</v>
      </c>
      <c r="BY167" s="48">
        <v>-23352.67</v>
      </c>
      <c r="BZ167" s="48">
        <v>0</v>
      </c>
      <c r="CA167" s="48">
        <v>0</v>
      </c>
      <c r="CB167" s="48">
        <v>0</v>
      </c>
      <c r="CC167" s="48">
        <v>0</v>
      </c>
      <c r="CD167" s="48">
        <v>0</v>
      </c>
      <c r="CE167" s="48">
        <v>0</v>
      </c>
      <c r="CF167" s="48">
        <v>0</v>
      </c>
      <c r="CG167" s="48">
        <v>0</v>
      </c>
      <c r="CH167" s="48">
        <v>0</v>
      </c>
      <c r="CI167" s="48">
        <v>0</v>
      </c>
      <c r="CJ167" s="48">
        <v>0</v>
      </c>
      <c r="CK167" s="48">
        <v>0</v>
      </c>
      <c r="CL167" s="48">
        <v>5240.9399999999996</v>
      </c>
      <c r="CM167" s="48">
        <v>0</v>
      </c>
      <c r="CN167" s="48">
        <v>0</v>
      </c>
      <c r="CO167" s="48">
        <v>0</v>
      </c>
      <c r="CP167" s="48">
        <v>0</v>
      </c>
      <c r="CQ167" s="48">
        <v>0</v>
      </c>
      <c r="CR167" s="48">
        <v>0</v>
      </c>
      <c r="CS167" s="48">
        <v>366666.67</v>
      </c>
      <c r="CT167" s="48">
        <v>36666.67</v>
      </c>
      <c r="CU167" s="48">
        <v>329999.67</v>
      </c>
      <c r="CV167" s="48">
        <v>0</v>
      </c>
      <c r="CW167" s="48">
        <v>0</v>
      </c>
      <c r="CX167" s="48">
        <v>-60547.02</v>
      </c>
      <c r="CY167" s="48">
        <v>0</v>
      </c>
      <c r="CZ167" s="48">
        <v>0</v>
      </c>
      <c r="DA167" s="48">
        <v>0</v>
      </c>
      <c r="DB167" s="48">
        <v>0</v>
      </c>
      <c r="DC167" s="48">
        <v>0</v>
      </c>
      <c r="DD167" s="48">
        <v>0</v>
      </c>
      <c r="DE167" s="48">
        <f>VLOOKUP($C167,'[2]Analysis 1'!$C$5:$DG$1025,107,FALSE)</f>
        <v>0</v>
      </c>
      <c r="DF167" s="48">
        <f>VLOOKUP($C167,'[2]Analysis 1'!$C$5:$DG$1025,108,FALSE)</f>
        <v>0</v>
      </c>
      <c r="DG167" s="48">
        <f>VLOOKUP($C167,'[2]Analysis 1'!$C$5:$DG$1025,109,FALSE)</f>
        <v>199515</v>
      </c>
      <c r="DH167" s="369">
        <f t="shared" si="4"/>
        <v>138967.98000000001</v>
      </c>
    </row>
    <row r="168" spans="1:112">
      <c r="A168" s="357" t="str">
        <f t="shared" si="5"/>
        <v>6020150</v>
      </c>
      <c r="B168" s="350" t="s">
        <v>1988</v>
      </c>
      <c r="C168" s="335" t="s">
        <v>1080</v>
      </c>
      <c r="D168" s="340">
        <v>35750</v>
      </c>
      <c r="E168" s="340">
        <v>35750</v>
      </c>
      <c r="F168" s="340">
        <v>35750</v>
      </c>
      <c r="G168" s="340">
        <v>43162</v>
      </c>
      <c r="H168" s="340">
        <v>37603</v>
      </c>
      <c r="I168" s="340">
        <v>37603</v>
      </c>
      <c r="J168" s="340">
        <v>37603</v>
      </c>
      <c r="K168" s="340">
        <v>37603</v>
      </c>
      <c r="L168" s="340">
        <v>37603</v>
      </c>
      <c r="M168" s="340">
        <v>37603</v>
      </c>
      <c r="N168" s="340">
        <v>37603</v>
      </c>
      <c r="O168" s="341">
        <v>37603</v>
      </c>
      <c r="P168" s="48">
        <v>33583</v>
      </c>
      <c r="Q168" s="48">
        <v>12770</v>
      </c>
      <c r="R168" s="48">
        <v>23179</v>
      </c>
      <c r="S168" s="48">
        <v>23179</v>
      </c>
      <c r="T168" s="48">
        <v>35032</v>
      </c>
      <c r="U168" s="48">
        <v>25550</v>
      </c>
      <c r="V168" s="48">
        <v>25550</v>
      </c>
      <c r="W168" s="48">
        <v>25550</v>
      </c>
      <c r="X168" s="48">
        <v>25550</v>
      </c>
      <c r="Y168" s="48">
        <v>25550</v>
      </c>
      <c r="Z168" s="48">
        <v>25550</v>
      </c>
      <c r="AA168" s="48">
        <v>25550</v>
      </c>
      <c r="AB168" s="48">
        <v>23414</v>
      </c>
      <c r="AC168" s="48">
        <v>23414</v>
      </c>
      <c r="AD168" s="48">
        <v>23414</v>
      </c>
      <c r="AE168" s="48">
        <v>26884</v>
      </c>
      <c r="AF168" s="48">
        <v>24281</v>
      </c>
      <c r="AG168" s="48">
        <v>24281</v>
      </c>
      <c r="AH168" s="48">
        <v>24281</v>
      </c>
      <c r="AI168" s="48">
        <v>24281</v>
      </c>
      <c r="AJ168" s="48">
        <v>109253</v>
      </c>
      <c r="AK168" s="48">
        <v>33722</v>
      </c>
      <c r="AL168" s="48">
        <v>33722</v>
      </c>
      <c r="AM168" s="48">
        <v>33722</v>
      </c>
      <c r="AN168" s="48">
        <v>29996</v>
      </c>
      <c r="AO168" s="48">
        <v>29996</v>
      </c>
      <c r="AP168" s="48">
        <v>29996</v>
      </c>
      <c r="AQ168" s="48">
        <v>29996</v>
      </c>
      <c r="AR168" s="48">
        <v>29996</v>
      </c>
      <c r="AS168" s="48">
        <v>70215</v>
      </c>
      <c r="AT168" s="48">
        <v>36699</v>
      </c>
      <c r="AU168" s="48">
        <v>36699</v>
      </c>
      <c r="AV168" s="48">
        <v>36699</v>
      </c>
      <c r="AW168" s="48">
        <v>36699</v>
      </c>
      <c r="AX168" s="48">
        <v>36699</v>
      </c>
      <c r="AY168" s="48">
        <v>36699</v>
      </c>
      <c r="AZ168" s="48">
        <v>26400</v>
      </c>
      <c r="BA168" s="48">
        <v>26400</v>
      </c>
      <c r="BB168" s="48">
        <v>26400</v>
      </c>
      <c r="BC168" s="48">
        <v>26400</v>
      </c>
      <c r="BD168" s="48">
        <v>56407</v>
      </c>
      <c r="BE168" s="48">
        <v>49976</v>
      </c>
      <c r="BF168" s="48">
        <v>27481</v>
      </c>
      <c r="BG168" s="48">
        <v>27481</v>
      </c>
      <c r="BH168" s="48">
        <v>27481</v>
      </c>
      <c r="BI168" s="48">
        <v>27481</v>
      </c>
      <c r="BJ168" s="48">
        <v>27481</v>
      </c>
      <c r="BK168" s="48">
        <v>27481</v>
      </c>
      <c r="BL168" s="48">
        <v>22600</v>
      </c>
      <c r="BM168" s="48">
        <v>22600</v>
      </c>
      <c r="BN168" s="48">
        <v>22600</v>
      </c>
      <c r="BO168" s="48">
        <v>22600</v>
      </c>
      <c r="BP168" s="48">
        <v>22600</v>
      </c>
      <c r="BQ168" s="48">
        <v>43981</v>
      </c>
      <c r="BR168" s="48">
        <v>26163</v>
      </c>
      <c r="BS168" s="48">
        <v>26163</v>
      </c>
      <c r="BT168" s="48">
        <v>26163</v>
      </c>
      <c r="BU168" s="48">
        <v>26163</v>
      </c>
      <c r="BV168" s="48">
        <v>26163</v>
      </c>
      <c r="BW168" s="48">
        <v>26163</v>
      </c>
      <c r="BX168" s="48">
        <v>10746</v>
      </c>
      <c r="BY168" s="48">
        <v>10746</v>
      </c>
      <c r="BZ168" s="48">
        <v>10746</v>
      </c>
      <c r="CA168" s="48">
        <v>10746</v>
      </c>
      <c r="CB168" s="48">
        <v>10746</v>
      </c>
      <c r="CC168" s="48">
        <v>16557</v>
      </c>
      <c r="CD168" s="48">
        <v>11715</v>
      </c>
      <c r="CE168" s="48">
        <v>11715</v>
      </c>
      <c r="CF168" s="48">
        <v>11715</v>
      </c>
      <c r="CG168" s="48">
        <v>11715</v>
      </c>
      <c r="CH168" s="48">
        <v>11715</v>
      </c>
      <c r="CI168" s="48">
        <v>11715</v>
      </c>
      <c r="CJ168" s="48">
        <v>11157</v>
      </c>
      <c r="CK168" s="48">
        <v>11157</v>
      </c>
      <c r="CL168" s="48">
        <v>11157</v>
      </c>
      <c r="CM168" s="48">
        <v>11157</v>
      </c>
      <c r="CN168" s="48">
        <v>11157</v>
      </c>
      <c r="CO168" s="48">
        <v>11157</v>
      </c>
      <c r="CP168" s="48">
        <v>19810</v>
      </c>
      <c r="CQ168" s="48">
        <v>12394</v>
      </c>
      <c r="CR168" s="48">
        <v>12394</v>
      </c>
      <c r="CS168" s="48">
        <v>12394</v>
      </c>
      <c r="CT168" s="48">
        <v>12394</v>
      </c>
      <c r="CU168" s="48">
        <v>12394</v>
      </c>
      <c r="CV168" s="48">
        <v>11909</v>
      </c>
      <c r="CW168" s="48">
        <v>11909</v>
      </c>
      <c r="CX168" s="48">
        <v>11909</v>
      </c>
      <c r="CY168" s="48">
        <v>11909</v>
      </c>
      <c r="CZ168" s="48">
        <v>11909</v>
      </c>
      <c r="DA168" s="48">
        <v>8348</v>
      </c>
      <c r="DB168" s="48">
        <v>11316</v>
      </c>
      <c r="DC168" s="48">
        <v>11316</v>
      </c>
      <c r="DD168" s="48">
        <v>11316</v>
      </c>
      <c r="DE168" s="48">
        <f>VLOOKUP($C168,'[2]Analysis 1'!$C$5:$DG$1025,107,FALSE)</f>
        <v>11316</v>
      </c>
      <c r="DF168" s="48">
        <f>VLOOKUP($C168,'[2]Analysis 1'!$C$5:$DG$1025,108,FALSE)</f>
        <v>11316</v>
      </c>
      <c r="DG168" s="48">
        <f>VLOOKUP($C168,'[2]Analysis 1'!$C$5:$DG$1025,109,FALSE)</f>
        <v>12445</v>
      </c>
      <c r="DH168" s="369">
        <f t="shared" si="4"/>
        <v>136918</v>
      </c>
    </row>
    <row r="169" spans="1:112">
      <c r="A169" s="357" t="str">
        <f t="shared" si="5"/>
        <v>6020170</v>
      </c>
      <c r="B169" s="350" t="s">
        <v>1989</v>
      </c>
      <c r="C169" s="335" t="s">
        <v>1081</v>
      </c>
      <c r="D169" s="367">
        <v>24995</v>
      </c>
      <c r="E169" s="367">
        <v>24995</v>
      </c>
      <c r="F169" s="367">
        <v>24995</v>
      </c>
      <c r="G169" s="367">
        <v>24995</v>
      </c>
      <c r="H169" s="367">
        <v>24995</v>
      </c>
      <c r="I169" s="367">
        <v>24995</v>
      </c>
      <c r="J169" s="367">
        <v>24995</v>
      </c>
      <c r="K169" s="367">
        <v>319419</v>
      </c>
      <c r="L169" s="367">
        <v>24995</v>
      </c>
      <c r="M169" s="367">
        <v>24995</v>
      </c>
      <c r="N169" s="367">
        <v>24995</v>
      </c>
      <c r="O169" s="368">
        <v>448294.71</v>
      </c>
      <c r="P169" s="48">
        <v>42000</v>
      </c>
      <c r="Q169" s="48">
        <v>42000</v>
      </c>
      <c r="R169" s="48">
        <v>42000</v>
      </c>
      <c r="S169" s="48">
        <v>42000</v>
      </c>
      <c r="T169" s="48">
        <v>42000</v>
      </c>
      <c r="U169" s="48">
        <v>50000</v>
      </c>
      <c r="V169" s="48">
        <v>125000</v>
      </c>
      <c r="W169" s="48">
        <v>50000</v>
      </c>
      <c r="X169" s="48">
        <v>341354.05</v>
      </c>
      <c r="Y169" s="48">
        <v>25000</v>
      </c>
      <c r="Z169" s="48">
        <v>25000</v>
      </c>
      <c r="AA169" s="48">
        <v>-248408.73</v>
      </c>
      <c r="AB169" s="48">
        <v>65083</v>
      </c>
      <c r="AC169" s="48">
        <v>42000</v>
      </c>
      <c r="AD169" s="48">
        <v>30000</v>
      </c>
      <c r="AE169" s="48">
        <v>30000</v>
      </c>
      <c r="AF169" s="48">
        <v>25000</v>
      </c>
      <c r="AG169" s="48">
        <v>150000</v>
      </c>
      <c r="AH169" s="48">
        <v>25000</v>
      </c>
      <c r="AI169" s="48">
        <v>25000</v>
      </c>
      <c r="AJ169" s="48">
        <v>511209.65</v>
      </c>
      <c r="AK169" s="48">
        <v>75000</v>
      </c>
      <c r="AL169" s="48">
        <v>75000</v>
      </c>
      <c r="AM169" s="48">
        <v>-78290.75</v>
      </c>
      <c r="AN169" s="48">
        <v>67083</v>
      </c>
      <c r="AO169" s="48">
        <v>50000</v>
      </c>
      <c r="AP169" s="48">
        <v>50000</v>
      </c>
      <c r="AQ169" s="48">
        <v>50000</v>
      </c>
      <c r="AR169" s="48">
        <v>50000</v>
      </c>
      <c r="AS169" s="48">
        <v>0</v>
      </c>
      <c r="AT169" s="48">
        <v>50000</v>
      </c>
      <c r="AU169" s="48">
        <v>50000</v>
      </c>
      <c r="AV169" s="48">
        <v>580933.69999999995</v>
      </c>
      <c r="AW169" s="48">
        <v>100000</v>
      </c>
      <c r="AX169" s="48">
        <v>75000</v>
      </c>
      <c r="AY169" s="48">
        <v>-313432.24</v>
      </c>
      <c r="AZ169" s="48">
        <v>0</v>
      </c>
      <c r="BA169" s="48">
        <v>50000</v>
      </c>
      <c r="BB169" s="48">
        <v>50000</v>
      </c>
      <c r="BC169" s="48">
        <v>25000</v>
      </c>
      <c r="BD169" s="48">
        <v>0</v>
      </c>
      <c r="BE169" s="48">
        <v>25000</v>
      </c>
      <c r="BF169" s="48">
        <v>50000</v>
      </c>
      <c r="BG169" s="48">
        <v>25000</v>
      </c>
      <c r="BH169" s="48">
        <v>-323370</v>
      </c>
      <c r="BI169" s="48">
        <v>25000</v>
      </c>
      <c r="BJ169" s="48">
        <v>25000</v>
      </c>
      <c r="BK169" s="48">
        <v>-724410.96</v>
      </c>
      <c r="BL169" s="48">
        <v>69232</v>
      </c>
      <c r="BM169" s="48">
        <v>69232</v>
      </c>
      <c r="BN169" s="48">
        <v>69232</v>
      </c>
      <c r="BO169" s="48">
        <v>69232</v>
      </c>
      <c r="BP169" s="48">
        <v>25000</v>
      </c>
      <c r="BQ169" s="48">
        <v>25000</v>
      </c>
      <c r="BR169" s="48">
        <v>69232</v>
      </c>
      <c r="BS169" s="48">
        <v>69232</v>
      </c>
      <c r="BT169" s="48">
        <v>-8605.4699999999993</v>
      </c>
      <c r="BU169" s="48">
        <v>69232</v>
      </c>
      <c r="BV169" s="48">
        <v>69232</v>
      </c>
      <c r="BW169" s="48">
        <v>77560.800000000003</v>
      </c>
      <c r="BX169" s="48">
        <v>73970</v>
      </c>
      <c r="BY169" s="48">
        <v>73970</v>
      </c>
      <c r="BZ169" s="48">
        <v>73970</v>
      </c>
      <c r="CA169" s="48">
        <v>73970</v>
      </c>
      <c r="CB169" s="48">
        <v>100000</v>
      </c>
      <c r="CC169" s="48">
        <v>100000</v>
      </c>
      <c r="CD169" s="48">
        <v>73970</v>
      </c>
      <c r="CE169" s="48">
        <v>73970</v>
      </c>
      <c r="CF169" s="48">
        <v>132686.96</v>
      </c>
      <c r="CG169" s="48">
        <v>73970</v>
      </c>
      <c r="CH169" s="48">
        <v>73970</v>
      </c>
      <c r="CI169" s="48">
        <v>422542</v>
      </c>
      <c r="CJ169" s="48">
        <v>76190</v>
      </c>
      <c r="CK169" s="48">
        <v>76190</v>
      </c>
      <c r="CL169" s="48">
        <v>76190</v>
      </c>
      <c r="CM169" s="48">
        <v>76190</v>
      </c>
      <c r="CN169" s="48">
        <v>76190</v>
      </c>
      <c r="CO169" s="48">
        <v>76190</v>
      </c>
      <c r="CP169" s="48">
        <v>76190</v>
      </c>
      <c r="CQ169" s="48">
        <v>76190</v>
      </c>
      <c r="CR169" s="48">
        <v>727891.37</v>
      </c>
      <c r="CS169" s="48">
        <v>100000</v>
      </c>
      <c r="CT169" s="48">
        <v>100000</v>
      </c>
      <c r="CU169" s="48">
        <v>-2365773</v>
      </c>
      <c r="CV169" s="48">
        <v>78476</v>
      </c>
      <c r="CW169" s="48">
        <v>57466</v>
      </c>
      <c r="CX169" s="48">
        <v>57466</v>
      </c>
      <c r="CY169" s="48">
        <v>57466</v>
      </c>
      <c r="CZ169" s="48">
        <v>57466</v>
      </c>
      <c r="DA169" s="48">
        <v>57466</v>
      </c>
      <c r="DB169" s="48">
        <v>57466</v>
      </c>
      <c r="DC169" s="48">
        <v>-256871.44</v>
      </c>
      <c r="DD169" s="48">
        <v>57466</v>
      </c>
      <c r="DE169" s="48">
        <f>VLOOKUP($C169,'[2]Analysis 1'!$C$5:$DG$1025,107,FALSE)</f>
        <v>57466</v>
      </c>
      <c r="DF169" s="48">
        <f>VLOOKUP($C169,'[2]Analysis 1'!$C$5:$DG$1025,108,FALSE)</f>
        <v>57466</v>
      </c>
      <c r="DG169" s="48">
        <f>VLOOKUP($C169,'[2]Analysis 1'!$C$5:$DG$1025,109,FALSE)</f>
        <v>-443831</v>
      </c>
      <c r="DH169" s="369">
        <f t="shared" si="4"/>
        <v>-105032.44</v>
      </c>
    </row>
    <row r="170" spans="1:112">
      <c r="A170" s="357" t="str">
        <f t="shared" si="5"/>
        <v>6020180</v>
      </c>
      <c r="B170" s="350" t="s">
        <v>1990</v>
      </c>
      <c r="C170" s="335" t="s">
        <v>1082</v>
      </c>
      <c r="D170" s="340">
        <v>21940.69</v>
      </c>
      <c r="E170" s="340">
        <v>46069.45</v>
      </c>
      <c r="F170" s="340">
        <v>22204.41</v>
      </c>
      <c r="G170" s="340">
        <v>22337.8</v>
      </c>
      <c r="H170" s="340">
        <v>22393.89</v>
      </c>
      <c r="I170" s="340">
        <v>33416.22</v>
      </c>
      <c r="J170" s="340">
        <v>22241.55</v>
      </c>
      <c r="K170" s="340">
        <v>22145.65</v>
      </c>
      <c r="L170" s="340">
        <v>22550.79</v>
      </c>
      <c r="M170" s="340">
        <v>22492.53</v>
      </c>
      <c r="N170" s="340">
        <v>33647.68</v>
      </c>
      <c r="O170" s="341">
        <v>22665.200000000001</v>
      </c>
      <c r="P170" s="48">
        <v>22015.22</v>
      </c>
      <c r="Q170" s="48">
        <v>11809.09</v>
      </c>
      <c r="R170" s="48">
        <v>22903.95</v>
      </c>
      <c r="S170" s="48">
        <v>12028.89</v>
      </c>
      <c r="T170" s="48">
        <v>17757.5</v>
      </c>
      <c r="U170" s="48">
        <v>12033.92</v>
      </c>
      <c r="V170" s="48">
        <v>12064.71</v>
      </c>
      <c r="W170" s="48">
        <v>11957.83</v>
      </c>
      <c r="X170" s="48">
        <v>12000.98</v>
      </c>
      <c r="Y170" s="48">
        <v>0</v>
      </c>
      <c r="Z170" s="48">
        <v>30681.16</v>
      </c>
      <c r="AA170" s="48">
        <v>12643.87</v>
      </c>
      <c r="AB170" s="48">
        <v>12963.15</v>
      </c>
      <c r="AC170" s="48">
        <v>12988.35</v>
      </c>
      <c r="AD170" s="48">
        <v>20992.01</v>
      </c>
      <c r="AE170" s="48">
        <v>19223.88</v>
      </c>
      <c r="AF170" s="48">
        <v>12913.14</v>
      </c>
      <c r="AG170" s="48">
        <v>12941.03</v>
      </c>
      <c r="AH170" s="48">
        <v>13046.07</v>
      </c>
      <c r="AI170" s="48">
        <v>13198.71</v>
      </c>
      <c r="AJ170" s="48">
        <v>13363.21</v>
      </c>
      <c r="AK170" s="48">
        <v>19842.22</v>
      </c>
      <c r="AL170" s="48">
        <v>13763.47</v>
      </c>
      <c r="AM170" s="48">
        <v>13635.03</v>
      </c>
      <c r="AN170" s="48">
        <v>16441.72</v>
      </c>
      <c r="AO170" s="48">
        <v>0</v>
      </c>
      <c r="AP170" s="48">
        <v>40802.730000000003</v>
      </c>
      <c r="AQ170" s="48">
        <v>22850.85</v>
      </c>
      <c r="AR170" s="48">
        <v>15651.77</v>
      </c>
      <c r="AS170" s="48">
        <v>15144.23</v>
      </c>
      <c r="AT170" s="48">
        <v>15211.46</v>
      </c>
      <c r="AU170" s="48">
        <v>15564.5</v>
      </c>
      <c r="AV170" s="48">
        <v>23286.75</v>
      </c>
      <c r="AW170" s="48">
        <v>0</v>
      </c>
      <c r="AX170" s="48">
        <v>32240.28</v>
      </c>
      <c r="AY170" s="48">
        <v>16236.55</v>
      </c>
      <c r="AZ170" s="48">
        <v>16105.64</v>
      </c>
      <c r="BA170" s="48">
        <v>16379.71</v>
      </c>
      <c r="BB170" s="48">
        <v>29286.12</v>
      </c>
      <c r="BC170" s="48">
        <v>23891.99</v>
      </c>
      <c r="BD170" s="48">
        <v>16447.77</v>
      </c>
      <c r="BE170" s="48">
        <v>16326.89</v>
      </c>
      <c r="BF170" s="48">
        <v>16445.509999999998</v>
      </c>
      <c r="BG170" s="48">
        <v>16428.93</v>
      </c>
      <c r="BH170" s="48">
        <v>24805.11</v>
      </c>
      <c r="BI170" s="48">
        <v>16894.52</v>
      </c>
      <c r="BJ170" s="48">
        <v>18915.21</v>
      </c>
      <c r="BK170" s="48">
        <v>18297.72</v>
      </c>
      <c r="BL170" s="48">
        <v>17679.599999999999</v>
      </c>
      <c r="BM170" s="48">
        <v>24438.05</v>
      </c>
      <c r="BN170" s="48">
        <v>29963.15</v>
      </c>
      <c r="BO170" s="48">
        <v>16382.82</v>
      </c>
      <c r="BP170" s="48">
        <v>16318</v>
      </c>
      <c r="BQ170" s="48">
        <v>16317.71</v>
      </c>
      <c r="BR170" s="48">
        <v>16465.78</v>
      </c>
      <c r="BS170" s="48">
        <v>16859.810000000001</v>
      </c>
      <c r="BT170" s="48">
        <v>24989.63</v>
      </c>
      <c r="BU170" s="48">
        <v>0</v>
      </c>
      <c r="BV170" s="48">
        <v>35259.040000000001</v>
      </c>
      <c r="BW170" s="48">
        <v>17297.54</v>
      </c>
      <c r="BX170" s="48">
        <v>17611.34</v>
      </c>
      <c r="BY170" s="48">
        <v>25868.54</v>
      </c>
      <c r="BZ170" s="48">
        <v>34930.67</v>
      </c>
      <c r="CA170" s="48">
        <v>18050.66</v>
      </c>
      <c r="CB170" s="48">
        <v>17645.72</v>
      </c>
      <c r="CC170" s="48">
        <v>17665.650000000001</v>
      </c>
      <c r="CD170" s="48">
        <v>17791.91</v>
      </c>
      <c r="CE170" s="48">
        <v>26353.1</v>
      </c>
      <c r="CF170" s="48">
        <v>18090.63</v>
      </c>
      <c r="CG170" s="48">
        <v>18106.71</v>
      </c>
      <c r="CH170" s="48">
        <v>18173.82</v>
      </c>
      <c r="CI170" s="48">
        <v>18652.099999999999</v>
      </c>
      <c r="CJ170" s="48">
        <v>27492.28</v>
      </c>
      <c r="CK170" s="48">
        <v>19095.28</v>
      </c>
      <c r="CL170" s="48">
        <v>18845.21</v>
      </c>
      <c r="CM170" s="48">
        <v>34768.44</v>
      </c>
      <c r="CN170" s="48">
        <v>0</v>
      </c>
      <c r="CO170" s="48">
        <v>37873.629999999997</v>
      </c>
      <c r="CP170" s="48">
        <v>18743.240000000002</v>
      </c>
      <c r="CQ170" s="48">
        <v>28120.97</v>
      </c>
      <c r="CR170" s="48">
        <v>18862.7</v>
      </c>
      <c r="CS170" s="48">
        <v>0</v>
      </c>
      <c r="CT170" s="48">
        <v>38982.99</v>
      </c>
      <c r="CU170" s="48">
        <v>19481.080000000002</v>
      </c>
      <c r="CV170" s="48">
        <v>29176.46</v>
      </c>
      <c r="CW170" s="48">
        <v>0</v>
      </c>
      <c r="CX170" s="48">
        <v>338.27</v>
      </c>
      <c r="CY170" s="48">
        <v>71702.61</v>
      </c>
      <c r="CZ170" s="48">
        <v>18550.759999999998</v>
      </c>
      <c r="DA170" s="48">
        <v>9667.31</v>
      </c>
      <c r="DB170" s="48">
        <v>11631.36</v>
      </c>
      <c r="DC170" s="48">
        <v>46016.41</v>
      </c>
      <c r="DD170" s="48">
        <v>87637.77</v>
      </c>
      <c r="DE170" s="48">
        <f>VLOOKUP($C170,'[2]Analysis 1'!$C$5:$DG$1025,107,FALSE)</f>
        <v>0</v>
      </c>
      <c r="DF170" s="48">
        <f>VLOOKUP($C170,'[2]Analysis 1'!$C$5:$DG$1025,108,FALSE)</f>
        <v>30623.54</v>
      </c>
      <c r="DG170" s="48">
        <f>VLOOKUP($C170,'[2]Analysis 1'!$C$5:$DG$1025,109,FALSE)</f>
        <v>10446.120000000001</v>
      </c>
      <c r="DH170" s="369">
        <f t="shared" si="4"/>
        <v>315790.61</v>
      </c>
    </row>
    <row r="171" spans="1:112">
      <c r="A171" s="357" t="str">
        <f t="shared" si="5"/>
        <v>6020220</v>
      </c>
      <c r="B171" s="350" t="s">
        <v>1991</v>
      </c>
      <c r="C171" s="335" t="s">
        <v>1083</v>
      </c>
      <c r="D171" s="340">
        <v>5000</v>
      </c>
      <c r="E171" s="340">
        <v>5000</v>
      </c>
      <c r="F171" s="340">
        <v>5000</v>
      </c>
      <c r="G171" s="340">
        <v>5000</v>
      </c>
      <c r="H171" s="340">
        <v>5000</v>
      </c>
      <c r="I171" s="340">
        <v>5000</v>
      </c>
      <c r="J171" s="340">
        <v>5000</v>
      </c>
      <c r="K171" s="340">
        <v>5000</v>
      </c>
      <c r="L171" s="340">
        <v>5000</v>
      </c>
      <c r="M171" s="340">
        <v>5000</v>
      </c>
      <c r="N171" s="340">
        <v>5000</v>
      </c>
      <c r="O171" s="341">
        <v>5000</v>
      </c>
      <c r="P171" s="48">
        <v>5000</v>
      </c>
      <c r="Q171" s="48">
        <v>5000</v>
      </c>
      <c r="R171" s="48">
        <v>5000</v>
      </c>
      <c r="S171" s="48">
        <v>5000</v>
      </c>
      <c r="T171" s="48">
        <v>5000</v>
      </c>
      <c r="U171" s="48">
        <v>5000</v>
      </c>
      <c r="V171" s="48">
        <v>5000</v>
      </c>
      <c r="W171" s="48">
        <v>5000</v>
      </c>
      <c r="X171" s="48">
        <v>5000</v>
      </c>
      <c r="Y171" s="48">
        <v>5000</v>
      </c>
      <c r="Z171" s="48">
        <v>5000</v>
      </c>
      <c r="AA171" s="48">
        <v>5000</v>
      </c>
      <c r="AB171" s="48">
        <v>5000</v>
      </c>
      <c r="AC171" s="48">
        <v>5000</v>
      </c>
      <c r="AD171" s="48">
        <v>5000</v>
      </c>
      <c r="AE171" s="48">
        <v>5000</v>
      </c>
      <c r="AF171" s="48">
        <v>5000</v>
      </c>
      <c r="AG171" s="48">
        <v>5000</v>
      </c>
      <c r="AH171" s="48">
        <v>20000</v>
      </c>
      <c r="AI171" s="48">
        <v>20000</v>
      </c>
      <c r="AJ171" s="48">
        <v>20000</v>
      </c>
      <c r="AK171" s="48">
        <v>20000</v>
      </c>
      <c r="AL171" s="48">
        <v>20000</v>
      </c>
      <c r="AM171" s="48">
        <v>370000</v>
      </c>
      <c r="AN171" s="48">
        <v>15000</v>
      </c>
      <c r="AO171" s="48">
        <v>15000</v>
      </c>
      <c r="AP171" s="48">
        <v>15000</v>
      </c>
      <c r="AQ171" s="48">
        <v>15000</v>
      </c>
      <c r="AR171" s="48">
        <v>15000</v>
      </c>
      <c r="AS171" s="48">
        <v>15000</v>
      </c>
      <c r="AT171" s="48">
        <v>15000</v>
      </c>
      <c r="AU171" s="48">
        <v>15000</v>
      </c>
      <c r="AV171" s="48">
        <v>15000</v>
      </c>
      <c r="AW171" s="48">
        <v>15000</v>
      </c>
      <c r="AX171" s="48">
        <v>15000</v>
      </c>
      <c r="AY171" s="48">
        <v>15000</v>
      </c>
      <c r="AZ171" s="48">
        <v>15000</v>
      </c>
      <c r="BA171" s="48">
        <v>15000</v>
      </c>
      <c r="BB171" s="48">
        <v>15000</v>
      </c>
      <c r="BC171" s="48">
        <v>15000</v>
      </c>
      <c r="BD171" s="48">
        <v>15000</v>
      </c>
      <c r="BE171" s="48">
        <v>15000</v>
      </c>
      <c r="BF171" s="48">
        <v>15000</v>
      </c>
      <c r="BG171" s="48">
        <v>15000</v>
      </c>
      <c r="BH171" s="48">
        <v>15000</v>
      </c>
      <c r="BI171" s="48">
        <v>15000</v>
      </c>
      <c r="BJ171" s="48">
        <v>15000</v>
      </c>
      <c r="BK171" s="48">
        <v>94051.03</v>
      </c>
      <c r="BL171" s="48">
        <v>15006</v>
      </c>
      <c r="BM171" s="48">
        <v>15006</v>
      </c>
      <c r="BN171" s="48">
        <v>15006</v>
      </c>
      <c r="BO171" s="48">
        <v>15006</v>
      </c>
      <c r="BP171" s="48">
        <v>15006</v>
      </c>
      <c r="BQ171" s="48">
        <v>15006</v>
      </c>
      <c r="BR171" s="48">
        <v>15006</v>
      </c>
      <c r="BS171" s="48">
        <v>15006</v>
      </c>
      <c r="BT171" s="48">
        <v>15006</v>
      </c>
      <c r="BU171" s="48">
        <v>15006</v>
      </c>
      <c r="BV171" s="48">
        <v>15006</v>
      </c>
      <c r="BW171" s="48">
        <v>106646.35</v>
      </c>
      <c r="BX171" s="48">
        <v>15005.5</v>
      </c>
      <c r="BY171" s="48">
        <v>15005.5</v>
      </c>
      <c r="BZ171" s="48">
        <v>15005.5</v>
      </c>
      <c r="CA171" s="48">
        <v>15005.5</v>
      </c>
      <c r="CB171" s="48">
        <v>15005.5</v>
      </c>
      <c r="CC171" s="48">
        <v>181672.17</v>
      </c>
      <c r="CD171" s="48">
        <v>15005.5</v>
      </c>
      <c r="CE171" s="48">
        <v>15005.5</v>
      </c>
      <c r="CF171" s="48">
        <v>181672.17</v>
      </c>
      <c r="CG171" s="48">
        <v>15005.5</v>
      </c>
      <c r="CH171" s="48">
        <v>15005.5</v>
      </c>
      <c r="CI171" s="48">
        <v>302260.5</v>
      </c>
      <c r="CJ171" s="48">
        <v>15500</v>
      </c>
      <c r="CK171" s="48">
        <v>15500</v>
      </c>
      <c r="CL171" s="48">
        <v>-368153</v>
      </c>
      <c r="CM171" s="48">
        <v>15500</v>
      </c>
      <c r="CN171" s="48">
        <v>15500</v>
      </c>
      <c r="CO171" s="48">
        <v>15500</v>
      </c>
      <c r="CP171" s="48">
        <v>15500</v>
      </c>
      <c r="CQ171" s="48">
        <v>15500</v>
      </c>
      <c r="CR171" s="48">
        <v>15500</v>
      </c>
      <c r="CS171" s="48">
        <v>15500</v>
      </c>
      <c r="CT171" s="48">
        <v>15500</v>
      </c>
      <c r="CU171" s="48">
        <v>60956.51</v>
      </c>
      <c r="CV171" s="48">
        <v>15965</v>
      </c>
      <c r="CW171" s="48">
        <v>15965</v>
      </c>
      <c r="CX171" s="48">
        <v>15965</v>
      </c>
      <c r="CY171" s="48">
        <v>15965</v>
      </c>
      <c r="CZ171" s="48">
        <v>15965</v>
      </c>
      <c r="DA171" s="48">
        <v>15965</v>
      </c>
      <c r="DB171" s="48">
        <v>15965</v>
      </c>
      <c r="DC171" s="48">
        <v>15965</v>
      </c>
      <c r="DD171" s="48">
        <v>15965</v>
      </c>
      <c r="DE171" s="48">
        <f>VLOOKUP($C171,'[2]Analysis 1'!$C$5:$DG$1025,107,FALSE)</f>
        <v>15965</v>
      </c>
      <c r="DF171" s="48">
        <f>VLOOKUP($C171,'[2]Analysis 1'!$C$5:$DG$1025,108,FALSE)</f>
        <v>15965</v>
      </c>
      <c r="DG171" s="48">
        <f>VLOOKUP($C171,'[2]Analysis 1'!$C$5:$DG$1025,109,FALSE)</f>
        <v>420124.74</v>
      </c>
      <c r="DH171" s="369">
        <f t="shared" si="4"/>
        <v>595739.74</v>
      </c>
    </row>
    <row r="172" spans="1:112">
      <c r="A172" s="357" t="str">
        <f t="shared" si="5"/>
        <v>6020230</v>
      </c>
      <c r="B172" s="350" t="s">
        <v>1992</v>
      </c>
      <c r="C172" s="335" t="s">
        <v>1443</v>
      </c>
      <c r="D172" s="340"/>
      <c r="E172" s="340"/>
      <c r="F172" s="340"/>
      <c r="G172" s="340"/>
      <c r="H172" s="340"/>
      <c r="I172" s="340"/>
      <c r="J172" s="340"/>
      <c r="K172" s="340"/>
      <c r="L172" s="340"/>
      <c r="M172" s="340"/>
      <c r="N172" s="340"/>
      <c r="O172" s="341"/>
      <c r="P172" s="48"/>
      <c r="Q172" s="48"/>
      <c r="R172" s="48"/>
      <c r="S172" s="48"/>
      <c r="T172" s="48"/>
      <c r="U172" s="48"/>
      <c r="V172" s="48"/>
      <c r="W172" s="48"/>
      <c r="X172" s="48"/>
      <c r="Y172" s="48"/>
      <c r="Z172" s="48"/>
      <c r="AA172" s="48"/>
      <c r="AB172" s="48"/>
      <c r="AC172" s="48"/>
      <c r="AD172" s="48"/>
      <c r="AE172" s="48">
        <v>0</v>
      </c>
      <c r="AF172" s="48">
        <v>828.75</v>
      </c>
      <c r="AG172" s="48">
        <v>165.75</v>
      </c>
      <c r="AH172" s="48">
        <v>165.75</v>
      </c>
      <c r="AI172" s="48">
        <v>165.75</v>
      </c>
      <c r="AJ172" s="48">
        <v>172</v>
      </c>
      <c r="AK172" s="48">
        <v>168</v>
      </c>
      <c r="AL172" s="48">
        <v>168</v>
      </c>
      <c r="AM172" s="48">
        <v>168</v>
      </c>
      <c r="AN172" s="48">
        <v>174</v>
      </c>
      <c r="AO172" s="48">
        <v>174</v>
      </c>
      <c r="AP172" s="48">
        <v>174</v>
      </c>
      <c r="AQ172" s="48">
        <v>174</v>
      </c>
      <c r="AR172" s="48">
        <v>174</v>
      </c>
      <c r="AS172" s="48">
        <v>18926</v>
      </c>
      <c r="AT172" s="48">
        <v>3299</v>
      </c>
      <c r="AU172" s="48">
        <v>3299</v>
      </c>
      <c r="AV172" s="48">
        <v>3299</v>
      </c>
      <c r="AW172" s="48">
        <v>3299</v>
      </c>
      <c r="AX172" s="48">
        <v>3299</v>
      </c>
      <c r="AY172" s="48">
        <v>3299</v>
      </c>
      <c r="AZ172" s="48">
        <v>3582</v>
      </c>
      <c r="BA172" s="48">
        <v>3682</v>
      </c>
      <c r="BB172" s="48">
        <v>3632</v>
      </c>
      <c r="BC172" s="48">
        <v>3632</v>
      </c>
      <c r="BD172" s="48">
        <v>17706.75</v>
      </c>
      <c r="BE172" s="48">
        <v>10631</v>
      </c>
      <c r="BF172" s="48">
        <v>10631</v>
      </c>
      <c r="BG172" s="48">
        <v>10340</v>
      </c>
      <c r="BH172" s="48">
        <v>10340</v>
      </c>
      <c r="BI172" s="48">
        <v>10340</v>
      </c>
      <c r="BJ172" s="48">
        <v>10340</v>
      </c>
      <c r="BK172" s="48">
        <v>10340</v>
      </c>
      <c r="BL172" s="48">
        <v>9313</v>
      </c>
      <c r="BM172" s="48">
        <v>9313</v>
      </c>
      <c r="BN172" s="48">
        <v>9313</v>
      </c>
      <c r="BO172" s="48">
        <v>9313</v>
      </c>
      <c r="BP172" s="48">
        <v>9313</v>
      </c>
      <c r="BQ172" s="48">
        <v>6204</v>
      </c>
      <c r="BR172" s="48">
        <v>8794</v>
      </c>
      <c r="BS172" s="48">
        <v>8794</v>
      </c>
      <c r="BT172" s="48">
        <v>8794</v>
      </c>
      <c r="BU172" s="48">
        <v>8794</v>
      </c>
      <c r="BV172" s="48">
        <v>8794</v>
      </c>
      <c r="BW172" s="48">
        <v>8794</v>
      </c>
      <c r="BX172" s="48">
        <v>11441</v>
      </c>
      <c r="BY172" s="48">
        <v>11441</v>
      </c>
      <c r="BZ172" s="48">
        <v>11441</v>
      </c>
      <c r="CA172" s="48">
        <v>11441</v>
      </c>
      <c r="CB172" s="48">
        <v>11441</v>
      </c>
      <c r="CC172" s="48">
        <v>53285</v>
      </c>
      <c r="CD172" s="48">
        <v>18415</v>
      </c>
      <c r="CE172" s="48">
        <v>18415</v>
      </c>
      <c r="CF172" s="48">
        <v>18415</v>
      </c>
      <c r="CG172" s="48">
        <v>18415</v>
      </c>
      <c r="CH172" s="48">
        <v>18415</v>
      </c>
      <c r="CI172" s="48">
        <v>18415</v>
      </c>
      <c r="CJ172" s="48">
        <v>19907</v>
      </c>
      <c r="CK172" s="48">
        <v>19907</v>
      </c>
      <c r="CL172" s="48">
        <v>19907</v>
      </c>
      <c r="CM172" s="48">
        <v>19907</v>
      </c>
      <c r="CN172" s="48">
        <v>19907</v>
      </c>
      <c r="CO172" s="48">
        <v>19907</v>
      </c>
      <c r="CP172" s="48">
        <v>43256</v>
      </c>
      <c r="CQ172" s="48">
        <v>23242</v>
      </c>
      <c r="CR172" s="48">
        <v>23242</v>
      </c>
      <c r="CS172" s="48">
        <v>23242</v>
      </c>
      <c r="CT172" s="48">
        <v>23242</v>
      </c>
      <c r="CU172" s="48">
        <v>23242</v>
      </c>
      <c r="CV172" s="48">
        <v>9926</v>
      </c>
      <c r="CW172" s="48">
        <v>9926</v>
      </c>
      <c r="CX172" s="48">
        <v>9926</v>
      </c>
      <c r="CY172" s="48">
        <v>9926</v>
      </c>
      <c r="CZ172" s="48">
        <v>9926</v>
      </c>
      <c r="DA172" s="48">
        <v>1172797</v>
      </c>
      <c r="DB172" s="48">
        <v>13174</v>
      </c>
      <c r="DC172" s="48">
        <v>13174</v>
      </c>
      <c r="DD172" s="48">
        <v>13174</v>
      </c>
      <c r="DE172" s="48">
        <f>VLOOKUP($C172,'[2]Analysis 1'!$C$5:$DG$1025,107,FALSE)</f>
        <v>13174</v>
      </c>
      <c r="DF172" s="48">
        <f>VLOOKUP($C172,'[2]Analysis 1'!$C$5:$DG$1025,108,FALSE)</f>
        <v>13174</v>
      </c>
      <c r="DG172" s="48">
        <f>VLOOKUP($C172,'[2]Analysis 1'!$C$5:$DG$1025,109,FALSE)</f>
        <v>13174</v>
      </c>
      <c r="DH172" s="369">
        <f t="shared" si="4"/>
        <v>1301471</v>
      </c>
    </row>
    <row r="173" spans="1:112">
      <c r="A173" s="357" t="str">
        <f t="shared" si="5"/>
        <v>6020240</v>
      </c>
      <c r="B173" s="350" t="s">
        <v>1993</v>
      </c>
      <c r="C173" s="335" t="s">
        <v>1839</v>
      </c>
      <c r="D173" s="48">
        <v>0</v>
      </c>
      <c r="E173" s="48">
        <v>0</v>
      </c>
      <c r="F173" s="48">
        <v>0</v>
      </c>
      <c r="G173" s="48">
        <v>0</v>
      </c>
      <c r="H173" s="48">
        <v>0</v>
      </c>
      <c r="I173" s="48">
        <v>0</v>
      </c>
      <c r="J173" s="48">
        <v>0</v>
      </c>
      <c r="K173" s="48">
        <v>0</v>
      </c>
      <c r="L173" s="48">
        <v>0</v>
      </c>
      <c r="M173" s="48">
        <v>0</v>
      </c>
      <c r="N173" s="48">
        <v>0</v>
      </c>
      <c r="O173" s="48">
        <v>0</v>
      </c>
      <c r="P173" s="48">
        <v>0</v>
      </c>
      <c r="Q173" s="48">
        <v>0</v>
      </c>
      <c r="R173" s="48">
        <v>0</v>
      </c>
      <c r="S173" s="48">
        <v>0</v>
      </c>
      <c r="T173" s="48">
        <v>0</v>
      </c>
      <c r="U173" s="48">
        <v>0</v>
      </c>
      <c r="V173" s="48">
        <v>0</v>
      </c>
      <c r="W173" s="48">
        <v>0</v>
      </c>
      <c r="X173" s="48">
        <v>0</v>
      </c>
      <c r="Y173" s="48">
        <v>0</v>
      </c>
      <c r="Z173" s="48">
        <v>0</v>
      </c>
      <c r="AA173" s="48">
        <v>0</v>
      </c>
      <c r="AB173" s="48">
        <v>0</v>
      </c>
      <c r="AC173" s="48">
        <v>0</v>
      </c>
      <c r="AD173" s="48">
        <v>0</v>
      </c>
      <c r="AE173" s="48">
        <v>0</v>
      </c>
      <c r="AF173" s="48">
        <v>0</v>
      </c>
      <c r="AG173" s="48">
        <v>0</v>
      </c>
      <c r="AH173" s="48">
        <v>0</v>
      </c>
      <c r="AI173" s="48">
        <v>0</v>
      </c>
      <c r="AJ173" s="48">
        <v>0</v>
      </c>
      <c r="AK173" s="48">
        <v>0</v>
      </c>
      <c r="AL173" s="48">
        <v>0</v>
      </c>
      <c r="AM173" s="48">
        <v>0</v>
      </c>
      <c r="AN173" s="48">
        <v>0</v>
      </c>
      <c r="AO173" s="48">
        <v>0</v>
      </c>
      <c r="AP173" s="48">
        <v>0</v>
      </c>
      <c r="AQ173" s="48">
        <v>0</v>
      </c>
      <c r="AR173" s="48">
        <v>0</v>
      </c>
      <c r="AS173" s="48">
        <v>0</v>
      </c>
      <c r="AT173" s="48">
        <v>0</v>
      </c>
      <c r="AU173" s="48">
        <v>0</v>
      </c>
      <c r="AV173" s="48">
        <v>0</v>
      </c>
      <c r="AW173" s="48">
        <v>0</v>
      </c>
      <c r="AX173" s="48">
        <v>0</v>
      </c>
      <c r="AY173" s="48">
        <v>7234.79</v>
      </c>
      <c r="AZ173" s="48">
        <v>6939.51</v>
      </c>
      <c r="BA173" s="48">
        <v>0</v>
      </c>
      <c r="BB173" s="48">
        <v>0</v>
      </c>
      <c r="BC173" s="48">
        <v>0</v>
      </c>
      <c r="BD173" s="48">
        <v>5349.73</v>
      </c>
      <c r="BE173" s="48">
        <v>0</v>
      </c>
      <c r="BF173" s="48">
        <v>0</v>
      </c>
      <c r="BG173" s="48">
        <v>3818.32</v>
      </c>
      <c r="BH173" s="48">
        <v>0</v>
      </c>
      <c r="BI173" s="48">
        <v>0</v>
      </c>
      <c r="BJ173" s="48">
        <v>4232.25</v>
      </c>
      <c r="BK173" s="48">
        <v>0</v>
      </c>
      <c r="BL173" s="48">
        <v>0</v>
      </c>
      <c r="BM173" s="48">
        <v>5598.65</v>
      </c>
      <c r="BN173" s="48">
        <v>0</v>
      </c>
      <c r="BO173" s="48">
        <v>0</v>
      </c>
      <c r="BP173" s="48">
        <v>0</v>
      </c>
      <c r="BQ173" s="48">
        <v>5672.3</v>
      </c>
      <c r="BR173" s="48">
        <v>0</v>
      </c>
      <c r="BS173" s="48">
        <v>5835.78</v>
      </c>
      <c r="BT173" s="48">
        <v>0</v>
      </c>
      <c r="BU173" s="48">
        <v>0</v>
      </c>
      <c r="BV173" s="48">
        <v>3980.47</v>
      </c>
      <c r="BW173" s="48">
        <v>0</v>
      </c>
      <c r="BX173" s="48">
        <v>0</v>
      </c>
      <c r="BY173" s="48">
        <v>0</v>
      </c>
      <c r="BZ173" s="48">
        <v>0</v>
      </c>
      <c r="CA173" s="48">
        <v>6104.02</v>
      </c>
      <c r="CB173" s="48">
        <v>12216.07</v>
      </c>
      <c r="CC173" s="48">
        <v>0</v>
      </c>
      <c r="CD173" s="48">
        <v>0</v>
      </c>
      <c r="CE173" s="48">
        <v>0</v>
      </c>
      <c r="CF173" s="48">
        <v>22651.19</v>
      </c>
      <c r="CG173" s="48">
        <v>0</v>
      </c>
      <c r="CH173" s="48">
        <v>14086.82</v>
      </c>
      <c r="CI173" s="48">
        <v>0</v>
      </c>
      <c r="CJ173" s="48">
        <v>6097.51</v>
      </c>
      <c r="CK173" s="48">
        <v>0</v>
      </c>
      <c r="CL173" s="48">
        <v>12976.41</v>
      </c>
      <c r="CM173" s="48">
        <v>0</v>
      </c>
      <c r="CN173" s="48">
        <v>21146.25</v>
      </c>
      <c r="CO173" s="48">
        <v>0</v>
      </c>
      <c r="CP173" s="48">
        <v>0</v>
      </c>
      <c r="CQ173" s="48">
        <v>5952.96</v>
      </c>
      <c r="CR173" s="48">
        <v>13591.66</v>
      </c>
      <c r="CS173" s="48">
        <v>0</v>
      </c>
      <c r="CT173" s="48">
        <v>20602.16</v>
      </c>
      <c r="CU173" s="48">
        <v>6403.54</v>
      </c>
      <c r="CV173" s="48">
        <v>0</v>
      </c>
      <c r="CW173" s="48">
        <v>0</v>
      </c>
      <c r="CX173" s="48">
        <v>8014.93</v>
      </c>
      <c r="CY173" s="48">
        <v>0</v>
      </c>
      <c r="CZ173" s="48">
        <v>0</v>
      </c>
      <c r="DA173" s="48">
        <v>16461.02</v>
      </c>
      <c r="DB173" s="48">
        <v>0</v>
      </c>
      <c r="DC173" s="48">
        <v>23486.799999999999</v>
      </c>
      <c r="DD173" s="48">
        <v>0</v>
      </c>
      <c r="DE173" s="48">
        <f>VLOOKUP($C173,'[2]Analysis 1'!$C$5:$DG$1025,107,FALSE)</f>
        <v>0</v>
      </c>
      <c r="DF173" s="48">
        <f>VLOOKUP($C173,'[2]Analysis 1'!$C$5:$DG$1025,108,FALSE)</f>
        <v>0</v>
      </c>
      <c r="DG173" s="48">
        <f>VLOOKUP($C173,'[2]Analysis 1'!$C$5:$DG$1025,109,FALSE)</f>
        <v>13216.08</v>
      </c>
      <c r="DH173" s="369">
        <f t="shared" si="4"/>
        <v>61178.83</v>
      </c>
    </row>
    <row r="174" spans="1:112">
      <c r="A174" s="357" t="str">
        <f t="shared" si="5"/>
        <v>6020800</v>
      </c>
      <c r="B174" s="350" t="s">
        <v>1995</v>
      </c>
      <c r="C174" s="335" t="s">
        <v>1392</v>
      </c>
      <c r="D174" s="340"/>
      <c r="E174" s="340"/>
      <c r="F174" s="340"/>
      <c r="G174" s="340"/>
      <c r="H174" s="340"/>
      <c r="I174" s="340"/>
      <c r="J174" s="340"/>
      <c r="K174" s="340"/>
      <c r="L174" s="340"/>
      <c r="M174" s="340"/>
      <c r="N174" s="340"/>
      <c r="O174" s="341"/>
      <c r="P174" s="48"/>
      <c r="Q174" s="48"/>
      <c r="R174" s="48"/>
      <c r="S174" s="48"/>
      <c r="T174" s="48"/>
      <c r="U174" s="48">
        <v>0</v>
      </c>
      <c r="V174" s="48">
        <v>0</v>
      </c>
      <c r="W174" s="48">
        <v>0</v>
      </c>
      <c r="X174" s="48">
        <v>3000</v>
      </c>
      <c r="Y174" s="48">
        <v>0</v>
      </c>
      <c r="Z174" s="48">
        <v>0</v>
      </c>
      <c r="AA174" s="48">
        <v>0</v>
      </c>
      <c r="AB174" s="48">
        <v>1750.56</v>
      </c>
      <c r="AC174" s="48">
        <v>9708.8799999999992</v>
      </c>
      <c r="AD174" s="48">
        <v>1667.2</v>
      </c>
      <c r="AE174" s="48">
        <v>1708.88</v>
      </c>
      <c r="AF174" s="48">
        <v>1708.88</v>
      </c>
      <c r="AG174" s="48">
        <v>1708.88</v>
      </c>
      <c r="AH174" s="48">
        <v>1708.88</v>
      </c>
      <c r="AI174" s="48">
        <v>1854.76</v>
      </c>
      <c r="AJ174" s="48">
        <v>1854.76</v>
      </c>
      <c r="AK174" s="48">
        <v>1875.6</v>
      </c>
      <c r="AL174" s="48">
        <v>1688.04</v>
      </c>
      <c r="AM174" s="48">
        <v>1708.88</v>
      </c>
      <c r="AN174" s="48">
        <v>1500.48</v>
      </c>
      <c r="AO174" s="48">
        <v>1479.64</v>
      </c>
      <c r="AP174" s="48">
        <v>1458.8</v>
      </c>
      <c r="AQ174" s="48">
        <v>1417.12</v>
      </c>
      <c r="AR174" s="48">
        <v>1458.8</v>
      </c>
      <c r="AS174" s="48">
        <v>1375.44</v>
      </c>
      <c r="AT174" s="48">
        <v>1417.12</v>
      </c>
      <c r="AU174" s="48">
        <v>1999.97</v>
      </c>
      <c r="AV174" s="48">
        <v>1521.32</v>
      </c>
      <c r="AW174" s="48">
        <v>1500.48</v>
      </c>
      <c r="AX174" s="48">
        <v>1521.32</v>
      </c>
      <c r="AY174" s="48">
        <v>1458.8</v>
      </c>
      <c r="AZ174" s="48">
        <v>1417.12</v>
      </c>
      <c r="BA174" s="48">
        <v>1396.28</v>
      </c>
      <c r="BB174" s="48">
        <v>1563</v>
      </c>
      <c r="BC174" s="48">
        <v>1625.52</v>
      </c>
      <c r="BD174" s="48">
        <v>1708.88</v>
      </c>
      <c r="BE174" s="48">
        <v>1667.2</v>
      </c>
      <c r="BF174" s="48">
        <v>1583.84</v>
      </c>
      <c r="BG174" s="48">
        <v>1604.68</v>
      </c>
      <c r="BH174" s="48">
        <v>1583.84</v>
      </c>
      <c r="BI174" s="48">
        <v>3680.38</v>
      </c>
      <c r="BJ174" s="48">
        <v>4211.2299999999996</v>
      </c>
      <c r="BK174" s="48">
        <v>7579.18</v>
      </c>
      <c r="BL174" s="48">
        <v>4347.96</v>
      </c>
      <c r="BM174" s="48">
        <v>4428.26</v>
      </c>
      <c r="BN174" s="48">
        <v>4060.49</v>
      </c>
      <c r="BO174" s="48">
        <v>1542.16</v>
      </c>
      <c r="BP174" s="48">
        <v>7856.51</v>
      </c>
      <c r="BQ174" s="48">
        <v>4388.12</v>
      </c>
      <c r="BR174" s="48">
        <v>5212.53</v>
      </c>
      <c r="BS174" s="48">
        <v>5831.39</v>
      </c>
      <c r="BT174" s="48">
        <v>6044.71</v>
      </c>
      <c r="BU174" s="48">
        <v>5595.04</v>
      </c>
      <c r="BV174" s="48">
        <v>7386.59</v>
      </c>
      <c r="BW174" s="48">
        <v>55745.53</v>
      </c>
      <c r="BX174" s="48">
        <v>5165.8599999999997</v>
      </c>
      <c r="BY174" s="48">
        <v>12503.72</v>
      </c>
      <c r="BZ174" s="48">
        <v>12890.27</v>
      </c>
      <c r="CA174" s="48">
        <v>7826.96</v>
      </c>
      <c r="CB174" s="48">
        <v>17327.93</v>
      </c>
      <c r="CC174" s="48">
        <v>16819.23</v>
      </c>
      <c r="CD174" s="48">
        <v>9724.7099999999991</v>
      </c>
      <c r="CE174" s="48">
        <v>8691.69</v>
      </c>
      <c r="CF174" s="48">
        <v>33835.14</v>
      </c>
      <c r="CG174" s="48">
        <v>9146.35</v>
      </c>
      <c r="CH174" s="48">
        <v>9888.44</v>
      </c>
      <c r="CI174" s="48">
        <v>55866.73</v>
      </c>
      <c r="CJ174" s="48">
        <v>6306.76</v>
      </c>
      <c r="CK174" s="48">
        <v>7793.39</v>
      </c>
      <c r="CL174" s="48">
        <v>-54359.8</v>
      </c>
      <c r="CM174" s="48">
        <v>50656.24</v>
      </c>
      <c r="CN174" s="48">
        <v>34299.11</v>
      </c>
      <c r="CO174" s="48">
        <v>35964.239999999998</v>
      </c>
      <c r="CP174" s="48">
        <v>10674.59</v>
      </c>
      <c r="CQ174" s="48">
        <v>-20602.89</v>
      </c>
      <c r="CR174" s="48">
        <v>45962.23</v>
      </c>
      <c r="CS174" s="48">
        <v>5735.77</v>
      </c>
      <c r="CT174" s="48">
        <v>6604.49</v>
      </c>
      <c r="CU174" s="48">
        <v>88602.49</v>
      </c>
      <c r="CV174" s="48">
        <v>14543.62</v>
      </c>
      <c r="CW174" s="48">
        <v>17496.62</v>
      </c>
      <c r="CX174" s="48">
        <v>30565.01</v>
      </c>
      <c r="CY174" s="48">
        <v>8677.73</v>
      </c>
      <c r="CZ174" s="48">
        <v>16879.84</v>
      </c>
      <c r="DA174" s="48">
        <v>88039.77</v>
      </c>
      <c r="DB174" s="48">
        <v>4984.62</v>
      </c>
      <c r="DC174" s="48">
        <v>11053.67</v>
      </c>
      <c r="DD174" s="48">
        <v>66500.759999999995</v>
      </c>
      <c r="DE174" s="48">
        <f>VLOOKUP($C174,'[2]Analysis 1'!$C$5:$DG$1025,107,FALSE)</f>
        <v>14168.08</v>
      </c>
      <c r="DF174" s="48">
        <f>VLOOKUP($C174,'[2]Analysis 1'!$C$5:$DG$1025,108,FALSE)</f>
        <v>5379.6</v>
      </c>
      <c r="DG174" s="48">
        <f>VLOOKUP($C174,'[2]Analysis 1'!$C$5:$DG$1025,109,FALSE)</f>
        <v>64374.33</v>
      </c>
      <c r="DH174" s="369">
        <f t="shared" si="4"/>
        <v>342663.65</v>
      </c>
    </row>
    <row r="175" spans="1:112">
      <c r="A175" s="357" t="str">
        <f t="shared" si="5"/>
        <v>6020900</v>
      </c>
      <c r="B175" s="350" t="s">
        <v>1994</v>
      </c>
      <c r="C175" s="335" t="s">
        <v>1084</v>
      </c>
      <c r="D175" s="340">
        <v>170946</v>
      </c>
      <c r="E175" s="340">
        <v>133574.88</v>
      </c>
      <c r="F175" s="340">
        <v>170946</v>
      </c>
      <c r="G175" s="340">
        <v>170946</v>
      </c>
      <c r="H175" s="340">
        <v>170946</v>
      </c>
      <c r="I175" s="340">
        <v>170946</v>
      </c>
      <c r="J175" s="340">
        <v>170946</v>
      </c>
      <c r="K175" s="340">
        <v>170946</v>
      </c>
      <c r="L175" s="340">
        <v>941946</v>
      </c>
      <c r="M175" s="340">
        <v>170946</v>
      </c>
      <c r="N175" s="340">
        <v>170946</v>
      </c>
      <c r="O175" s="341">
        <v>424642.44</v>
      </c>
      <c r="P175" s="48">
        <v>172327.15</v>
      </c>
      <c r="Q175" s="48">
        <v>-58279.71</v>
      </c>
      <c r="R175" s="48">
        <v>925327.15</v>
      </c>
      <c r="S175" s="48">
        <v>357327.15</v>
      </c>
      <c r="T175" s="48">
        <v>46327.15</v>
      </c>
      <c r="U175" s="48">
        <v>305327.15000000002</v>
      </c>
      <c r="V175" s="48">
        <v>63327.15</v>
      </c>
      <c r="W175" s="48">
        <v>193327.15</v>
      </c>
      <c r="X175" s="48">
        <v>-39013.699999999997</v>
      </c>
      <c r="Y175" s="48">
        <v>139327.15</v>
      </c>
      <c r="Z175" s="48">
        <v>548327.15</v>
      </c>
      <c r="AA175" s="48">
        <v>-784641.8</v>
      </c>
      <c r="AB175" s="48">
        <v>169166.67</v>
      </c>
      <c r="AC175" s="48">
        <v>169290.52</v>
      </c>
      <c r="AD175" s="48">
        <v>169166.67</v>
      </c>
      <c r="AE175" s="48">
        <v>169166.67</v>
      </c>
      <c r="AF175" s="48">
        <v>169166.67</v>
      </c>
      <c r="AG175" s="48">
        <v>169166.67</v>
      </c>
      <c r="AH175" s="48">
        <v>429166.67</v>
      </c>
      <c r="AI175" s="48">
        <v>993166.67</v>
      </c>
      <c r="AJ175" s="48">
        <v>208166.67</v>
      </c>
      <c r="AK175" s="48">
        <v>149166.67000000001</v>
      </c>
      <c r="AL175" s="48">
        <v>-452833.33</v>
      </c>
      <c r="AM175" s="48">
        <v>176166.67</v>
      </c>
      <c r="AN175" s="48">
        <v>185416.67</v>
      </c>
      <c r="AO175" s="48">
        <v>319479.8</v>
      </c>
      <c r="AP175" s="48">
        <v>289142.12</v>
      </c>
      <c r="AQ175" s="48">
        <v>185416.67</v>
      </c>
      <c r="AR175" s="48">
        <v>185416.67</v>
      </c>
      <c r="AS175" s="48">
        <v>260416.67</v>
      </c>
      <c r="AT175" s="48">
        <v>197916.67</v>
      </c>
      <c r="AU175" s="48">
        <v>197916.67</v>
      </c>
      <c r="AV175" s="48">
        <v>197916.67</v>
      </c>
      <c r="AW175" s="48">
        <v>-59181</v>
      </c>
      <c r="AX175" s="48">
        <v>172207</v>
      </c>
      <c r="AY175" s="48">
        <v>396747</v>
      </c>
      <c r="AZ175" s="48">
        <v>234827.37</v>
      </c>
      <c r="BA175" s="48">
        <v>936235.29</v>
      </c>
      <c r="BB175" s="48">
        <v>243064.67</v>
      </c>
      <c r="BC175" s="48">
        <v>234827.37</v>
      </c>
      <c r="BD175" s="48">
        <v>234827.37</v>
      </c>
      <c r="BE175" s="48">
        <v>240525.45</v>
      </c>
      <c r="BF175" s="48">
        <v>357355.16</v>
      </c>
      <c r="BG175" s="48">
        <v>652331.34</v>
      </c>
      <c r="BH175" s="48">
        <v>357418.04</v>
      </c>
      <c r="BI175" s="48">
        <v>308452.09999999998</v>
      </c>
      <c r="BJ175" s="48">
        <v>308452.09999999998</v>
      </c>
      <c r="BK175" s="48">
        <v>386499.04</v>
      </c>
      <c r="BL175" s="48">
        <v>324001.25</v>
      </c>
      <c r="BM175" s="48">
        <v>421100.34</v>
      </c>
      <c r="BN175" s="48">
        <v>337580.97</v>
      </c>
      <c r="BO175" s="48">
        <v>324001.25</v>
      </c>
      <c r="BP175" s="48">
        <v>324001.25</v>
      </c>
      <c r="BQ175" s="48">
        <v>324001.25</v>
      </c>
      <c r="BR175" s="48">
        <v>324001.25</v>
      </c>
      <c r="BS175" s="48">
        <v>324001.25</v>
      </c>
      <c r="BT175" s="48">
        <v>451951.25</v>
      </c>
      <c r="BU175" s="48">
        <v>338217.92</v>
      </c>
      <c r="BV175" s="48">
        <v>1088217.92</v>
      </c>
      <c r="BW175" s="48">
        <v>426648.1</v>
      </c>
      <c r="BX175" s="48">
        <v>378176</v>
      </c>
      <c r="BY175" s="48">
        <v>344902</v>
      </c>
      <c r="BZ175" s="48">
        <v>355817.95</v>
      </c>
      <c r="CA175" s="48">
        <v>359631.95</v>
      </c>
      <c r="CB175" s="48">
        <v>359631.95</v>
      </c>
      <c r="CC175" s="48">
        <v>207448.21</v>
      </c>
      <c r="CD175" s="48">
        <v>334268</v>
      </c>
      <c r="CE175" s="48">
        <v>334268</v>
      </c>
      <c r="CF175" s="48">
        <v>627902.32999999996</v>
      </c>
      <c r="CG175" s="48">
        <v>366894</v>
      </c>
      <c r="CH175" s="48">
        <v>366894</v>
      </c>
      <c r="CI175" s="48">
        <v>567739</v>
      </c>
      <c r="CJ175" s="48">
        <v>374838</v>
      </c>
      <c r="CK175" s="48">
        <v>374838</v>
      </c>
      <c r="CL175" s="48">
        <v>374838</v>
      </c>
      <c r="CM175" s="48">
        <v>237366</v>
      </c>
      <c r="CN175" s="48">
        <v>340470.17</v>
      </c>
      <c r="CO175" s="48">
        <v>340470.17</v>
      </c>
      <c r="CP175" s="48">
        <v>340470.17</v>
      </c>
      <c r="CQ175" s="48">
        <v>340470.17</v>
      </c>
      <c r="CR175" s="48">
        <v>340470.17</v>
      </c>
      <c r="CS175" s="48">
        <v>1077965.52</v>
      </c>
      <c r="CT175" s="48">
        <v>414219.64</v>
      </c>
      <c r="CU175" s="48">
        <v>1656836.92</v>
      </c>
      <c r="CV175" s="48">
        <v>496416.67</v>
      </c>
      <c r="CW175" s="48">
        <v>496416.67</v>
      </c>
      <c r="CX175" s="48">
        <v>11870.22</v>
      </c>
      <c r="CY175" s="48">
        <v>496416.67</v>
      </c>
      <c r="CZ175" s="48">
        <v>496416.67</v>
      </c>
      <c r="DA175" s="48">
        <v>496416.67</v>
      </c>
      <c r="DB175" s="48">
        <v>496416.67</v>
      </c>
      <c r="DC175" s="48">
        <v>538916.67000000004</v>
      </c>
      <c r="DD175" s="48">
        <v>517666.67</v>
      </c>
      <c r="DE175" s="48">
        <f>VLOOKUP($C175,'[2]Analysis 1'!$C$5:$DG$1025,107,FALSE)</f>
        <v>517666.67</v>
      </c>
      <c r="DF175" s="48">
        <f>VLOOKUP($C175,'[2]Analysis 1'!$C$5:$DG$1025,108,FALSE)</f>
        <v>1169688</v>
      </c>
      <c r="DG175" s="48">
        <f>VLOOKUP($C175,'[2]Analysis 1'!$C$5:$DG$1025,109,FALSE)</f>
        <v>986385</v>
      </c>
      <c r="DH175" s="369">
        <f t="shared" si="4"/>
        <v>6720693.25</v>
      </c>
    </row>
    <row r="176" spans="1:112">
      <c r="A176" s="357" t="str">
        <f t="shared" si="5"/>
        <v>6020920</v>
      </c>
      <c r="B176" s="350" t="s">
        <v>1996</v>
      </c>
      <c r="C176" s="335" t="s">
        <v>1085</v>
      </c>
      <c r="D176" s="340">
        <v>20.34</v>
      </c>
      <c r="E176" s="340">
        <v>2235</v>
      </c>
      <c r="F176" s="340">
        <v>2195.21</v>
      </c>
      <c r="G176" s="340">
        <v>1218.3900000000001</v>
      </c>
      <c r="H176" s="340">
        <v>1767.1</v>
      </c>
      <c r="I176" s="340">
        <v>2182.8200000000002</v>
      </c>
      <c r="J176" s="340">
        <v>1961.39</v>
      </c>
      <c r="K176" s="340">
        <v>2692.55</v>
      </c>
      <c r="L176" s="340">
        <v>1921</v>
      </c>
      <c r="M176" s="340">
        <v>3528</v>
      </c>
      <c r="N176" s="340">
        <v>4587.83</v>
      </c>
      <c r="O176" s="341">
        <v>2435</v>
      </c>
      <c r="P176" s="48">
        <v>0</v>
      </c>
      <c r="Q176" s="48">
        <v>2478</v>
      </c>
      <c r="R176" s="48">
        <v>1717.5</v>
      </c>
      <c r="S176" s="48">
        <v>1806.86</v>
      </c>
      <c r="T176" s="48">
        <v>2138.7399999999998</v>
      </c>
      <c r="U176" s="48">
        <v>4659.5</v>
      </c>
      <c r="V176" s="48">
        <v>2528.48</v>
      </c>
      <c r="W176" s="48">
        <v>1046.1199999999999</v>
      </c>
      <c r="X176" s="48">
        <v>3238.5</v>
      </c>
      <c r="Y176" s="48">
        <v>2013.62</v>
      </c>
      <c r="Z176" s="48">
        <v>1314</v>
      </c>
      <c r="AA176" s="48">
        <v>1674.5</v>
      </c>
      <c r="AB176" s="48">
        <v>3097.2</v>
      </c>
      <c r="AC176" s="48">
        <v>1453.85</v>
      </c>
      <c r="AD176" s="48">
        <v>2643.7</v>
      </c>
      <c r="AE176" s="48">
        <v>2521.35</v>
      </c>
      <c r="AF176" s="48">
        <v>829.7</v>
      </c>
      <c r="AG176" s="48">
        <v>2856</v>
      </c>
      <c r="AH176" s="48">
        <v>0</v>
      </c>
      <c r="AI176" s="48">
        <v>1440.2</v>
      </c>
      <c r="AJ176" s="48">
        <v>1742</v>
      </c>
      <c r="AK176" s="48">
        <v>1564</v>
      </c>
      <c r="AL176" s="48">
        <v>910.5</v>
      </c>
      <c r="AM176" s="48">
        <v>269.98</v>
      </c>
      <c r="AN176" s="48">
        <v>176.1</v>
      </c>
      <c r="AO176" s="48">
        <v>2254.7600000000002</v>
      </c>
      <c r="AP176" s="48">
        <v>4126.47</v>
      </c>
      <c r="AQ176" s="48">
        <v>117.4</v>
      </c>
      <c r="AR176" s="48">
        <v>5799.52</v>
      </c>
      <c r="AS176" s="48">
        <v>58.7</v>
      </c>
      <c r="AT176" s="48">
        <v>2130.63</v>
      </c>
      <c r="AU176" s="48">
        <v>11112.07</v>
      </c>
      <c r="AV176" s="48">
        <v>74.349999999999994</v>
      </c>
      <c r="AW176" s="48">
        <v>0</v>
      </c>
      <c r="AX176" s="48">
        <v>2817.85</v>
      </c>
      <c r="AY176" s="48">
        <v>1276.0999999999999</v>
      </c>
      <c r="AZ176" s="48">
        <v>0</v>
      </c>
      <c r="BA176" s="48">
        <v>145.44999999999999</v>
      </c>
      <c r="BB176" s="48">
        <v>1023.62</v>
      </c>
      <c r="BC176" s="48">
        <v>8796.7000000000007</v>
      </c>
      <c r="BD176" s="48">
        <v>1326.7</v>
      </c>
      <c r="BE176" s="48">
        <v>486.45</v>
      </c>
      <c r="BF176" s="48">
        <v>1405.67</v>
      </c>
      <c r="BG176" s="48">
        <v>165.55</v>
      </c>
      <c r="BH176" s="48">
        <v>2819.05</v>
      </c>
      <c r="BI176" s="48">
        <v>25</v>
      </c>
      <c r="BJ176" s="48">
        <v>58.7</v>
      </c>
      <c r="BK176" s="48">
        <v>3535.3</v>
      </c>
      <c r="BL176" s="48">
        <v>-75.48</v>
      </c>
      <c r="BM176" s="48">
        <v>5825.5</v>
      </c>
      <c r="BN176" s="48">
        <v>89.28</v>
      </c>
      <c r="BO176" s="48">
        <v>2006.77</v>
      </c>
      <c r="BP176" s="48">
        <v>2320.19</v>
      </c>
      <c r="BQ176" s="48">
        <v>105.02</v>
      </c>
      <c r="BR176" s="48">
        <v>4200.7299999999996</v>
      </c>
      <c r="BS176" s="48">
        <v>29.76</v>
      </c>
      <c r="BT176" s="48">
        <v>1366.53</v>
      </c>
      <c r="BU176" s="48">
        <v>4656.97</v>
      </c>
      <c r="BV176" s="48">
        <v>1240.4100000000001</v>
      </c>
      <c r="BW176" s="48">
        <v>5257.63</v>
      </c>
      <c r="BX176" s="48">
        <v>161.44</v>
      </c>
      <c r="BY176" s="48">
        <v>3775.97</v>
      </c>
      <c r="BZ176" s="48">
        <v>1374.38</v>
      </c>
      <c r="CA176" s="48">
        <v>189.4</v>
      </c>
      <c r="CB176" s="48">
        <v>0</v>
      </c>
      <c r="CC176" s="48">
        <v>3742.65</v>
      </c>
      <c r="CD176" s="48">
        <v>5683.19</v>
      </c>
      <c r="CE176" s="48">
        <v>60.4</v>
      </c>
      <c r="CF176" s="48">
        <v>2479.1799999999998</v>
      </c>
      <c r="CG176" s="48">
        <v>0</v>
      </c>
      <c r="CH176" s="48">
        <v>3195</v>
      </c>
      <c r="CI176" s="48">
        <v>0</v>
      </c>
      <c r="CJ176" s="48">
        <v>300</v>
      </c>
      <c r="CK176" s="48">
        <v>1250.67</v>
      </c>
      <c r="CL176" s="48">
        <v>5195</v>
      </c>
      <c r="CM176" s="48">
        <v>0</v>
      </c>
      <c r="CN176" s="48">
        <v>40</v>
      </c>
      <c r="CO176" s="48">
        <v>2303.6999999999998</v>
      </c>
      <c r="CP176" s="48">
        <v>941.46</v>
      </c>
      <c r="CQ176" s="48">
        <v>925</v>
      </c>
      <c r="CR176" s="48">
        <v>4400</v>
      </c>
      <c r="CS176" s="48">
        <v>1950</v>
      </c>
      <c r="CT176" s="48">
        <v>2000</v>
      </c>
      <c r="CU176" s="48">
        <v>898.78</v>
      </c>
      <c r="CV176" s="48">
        <v>2000</v>
      </c>
      <c r="CW176" s="48">
        <v>4000</v>
      </c>
      <c r="CX176" s="48">
        <v>2500</v>
      </c>
      <c r="CY176" s="48">
        <v>0</v>
      </c>
      <c r="CZ176" s="48">
        <v>8000</v>
      </c>
      <c r="DA176" s="48">
        <v>2000</v>
      </c>
      <c r="DB176" s="48">
        <v>0</v>
      </c>
      <c r="DC176" s="48">
        <v>3018.28</v>
      </c>
      <c r="DD176" s="48">
        <v>25</v>
      </c>
      <c r="DE176" s="48">
        <f>VLOOKUP($C176,'[2]Analysis 1'!$C$5:$DG$1025,107,FALSE)</f>
        <v>0</v>
      </c>
      <c r="DF176" s="48">
        <f>VLOOKUP($C176,'[2]Analysis 1'!$C$5:$DG$1025,108,FALSE)</f>
        <v>20</v>
      </c>
      <c r="DG176" s="48">
        <f>VLOOKUP($C176,'[2]Analysis 1'!$C$5:$DG$1025,109,FALSE)</f>
        <v>0</v>
      </c>
      <c r="DH176" s="369">
        <f t="shared" si="4"/>
        <v>21563.279999999999</v>
      </c>
    </row>
    <row r="177" spans="1:112">
      <c r="A177" s="357" t="str">
        <f t="shared" si="5"/>
        <v>6028999</v>
      </c>
      <c r="B177" s="1246" t="s">
        <v>2873</v>
      </c>
      <c r="C177" s="956" t="s">
        <v>2874</v>
      </c>
      <c r="D177" s="340"/>
      <c r="E177" s="340"/>
      <c r="F177" s="340"/>
      <c r="G177" s="340"/>
      <c r="H177" s="340"/>
      <c r="I177" s="340"/>
      <c r="J177" s="340"/>
      <c r="K177" s="340"/>
      <c r="L177" s="340"/>
      <c r="M177" s="340"/>
      <c r="N177" s="340"/>
      <c r="O177" s="341"/>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v>0</v>
      </c>
      <c r="CN177" s="48">
        <v>0</v>
      </c>
      <c r="CO177" s="48">
        <v>0</v>
      </c>
      <c r="CP177" s="48">
        <v>0</v>
      </c>
      <c r="CQ177" s="48">
        <v>0</v>
      </c>
      <c r="CR177" s="48">
        <v>0</v>
      </c>
      <c r="CS177" s="48">
        <v>0</v>
      </c>
      <c r="CT177" s="48">
        <v>0</v>
      </c>
      <c r="CU177" s="48">
        <v>0</v>
      </c>
      <c r="CV177" s="48">
        <v>0</v>
      </c>
      <c r="CW177" s="48">
        <v>0</v>
      </c>
      <c r="CX177" s="48">
        <v>0</v>
      </c>
      <c r="CY177" s="48">
        <v>0</v>
      </c>
      <c r="CZ177" s="48">
        <v>0</v>
      </c>
      <c r="DA177" s="48">
        <v>-2901.76</v>
      </c>
      <c r="DB177" s="48">
        <v>-7102.71</v>
      </c>
      <c r="DC177" s="48">
        <v>-2075.2600000000002</v>
      </c>
      <c r="DD177" s="48">
        <v>-3472.65</v>
      </c>
      <c r="DE177" s="48">
        <f>VLOOKUP($C177,'[2]Analysis 1'!$C$5:$DG$1025,107,FALSE)</f>
        <v>-3735.8</v>
      </c>
      <c r="DF177" s="48">
        <f>VLOOKUP($C177,'[2]Analysis 1'!$C$5:$DG$1025,108,FALSE)</f>
        <v>0</v>
      </c>
      <c r="DG177" s="48">
        <f>VLOOKUP($C177,'[2]Analysis 1'!$C$5:$DG$1025,109,FALSE)</f>
        <v>2209.0700000000002</v>
      </c>
      <c r="DH177" s="369">
        <f t="shared" si="4"/>
        <v>-17079.11</v>
      </c>
    </row>
    <row r="178" spans="1:112">
      <c r="A178" s="357" t="str">
        <f t="shared" si="5"/>
        <v>6029000</v>
      </c>
      <c r="B178" s="350" t="s">
        <v>1997</v>
      </c>
      <c r="C178" s="335" t="s">
        <v>1436</v>
      </c>
      <c r="D178" s="340"/>
      <c r="E178" s="340"/>
      <c r="F178" s="340"/>
      <c r="G178" s="340"/>
      <c r="H178" s="340"/>
      <c r="I178" s="340"/>
      <c r="J178" s="340"/>
      <c r="K178" s="340"/>
      <c r="L178" s="340"/>
      <c r="M178" s="340"/>
      <c r="N178" s="340"/>
      <c r="O178" s="341"/>
      <c r="P178" s="48"/>
      <c r="Q178" s="48"/>
      <c r="R178" s="48"/>
      <c r="S178" s="48"/>
      <c r="T178" s="48"/>
      <c r="U178" s="48"/>
      <c r="V178" s="48"/>
      <c r="W178" s="48"/>
      <c r="X178" s="48"/>
      <c r="Y178" s="48"/>
      <c r="Z178" s="48"/>
      <c r="AA178" s="48"/>
      <c r="AB178" s="48"/>
      <c r="AC178" s="48"/>
      <c r="AD178" s="48"/>
      <c r="AE178" s="48">
        <v>0</v>
      </c>
      <c r="AF178" s="48">
        <v>0</v>
      </c>
      <c r="AG178" s="48">
        <v>0</v>
      </c>
      <c r="AH178" s="48">
        <v>0</v>
      </c>
      <c r="AI178" s="48">
        <v>0</v>
      </c>
      <c r="AJ178" s="48">
        <v>0</v>
      </c>
      <c r="AK178" s="48">
        <v>0</v>
      </c>
      <c r="AL178" s="48">
        <v>0</v>
      </c>
      <c r="AM178" s="48">
        <v>0</v>
      </c>
      <c r="AN178" s="48">
        <v>0</v>
      </c>
      <c r="AO178" s="48">
        <v>0</v>
      </c>
      <c r="AP178" s="48">
        <v>0</v>
      </c>
      <c r="AQ178" s="48">
        <v>0</v>
      </c>
      <c r="AR178" s="48">
        <v>0</v>
      </c>
      <c r="AS178" s="48">
        <v>0</v>
      </c>
      <c r="AT178" s="48">
        <v>0</v>
      </c>
      <c r="AU178" s="48">
        <v>-478.65</v>
      </c>
      <c r="AV178" s="48">
        <v>0</v>
      </c>
      <c r="AW178" s="48">
        <v>0</v>
      </c>
      <c r="AX178" s="48">
        <v>0</v>
      </c>
      <c r="AY178" s="48">
        <v>0</v>
      </c>
      <c r="AZ178" s="48">
        <v>0</v>
      </c>
      <c r="BA178" s="48">
        <v>0</v>
      </c>
      <c r="BB178" s="48">
        <v>0</v>
      </c>
      <c r="BC178" s="48">
        <v>0</v>
      </c>
      <c r="BD178" s="48">
        <v>0</v>
      </c>
      <c r="BE178" s="48">
        <v>0</v>
      </c>
      <c r="BF178" s="48">
        <v>0</v>
      </c>
      <c r="BG178" s="48">
        <v>0</v>
      </c>
      <c r="BH178" s="48">
        <v>0</v>
      </c>
      <c r="BI178" s="48">
        <v>-1691.23</v>
      </c>
      <c r="BJ178" s="48">
        <v>-1843.24</v>
      </c>
      <c r="BK178" s="48">
        <v>-6514.42</v>
      </c>
      <c r="BL178" s="48">
        <v>-2101.87</v>
      </c>
      <c r="BM178" s="48">
        <v>-1966.26</v>
      </c>
      <c r="BN178" s="48">
        <v>-2364.1799999999998</v>
      </c>
      <c r="BO178" s="48">
        <v>0</v>
      </c>
      <c r="BP178" s="48">
        <v>-4024.31</v>
      </c>
      <c r="BQ178" s="48">
        <v>-2279.41</v>
      </c>
      <c r="BR178" s="48">
        <v>-12908.89</v>
      </c>
      <c r="BS178" s="48">
        <v>-2553.58</v>
      </c>
      <c r="BT178" s="48">
        <v>-3285.05</v>
      </c>
      <c r="BU178" s="48">
        <v>-1920.73</v>
      </c>
      <c r="BV178" s="48">
        <v>-3510.62</v>
      </c>
      <c r="BW178" s="48">
        <v>-2609.8000000000002</v>
      </c>
      <c r="BX178" s="48">
        <v>-2379.67</v>
      </c>
      <c r="BY178" s="48">
        <v>-6585.09</v>
      </c>
      <c r="BZ178" s="48">
        <v>800.27</v>
      </c>
      <c r="CA178" s="48">
        <v>-3168.34</v>
      </c>
      <c r="CB178" s="48">
        <v>-2905.1</v>
      </c>
      <c r="CC178" s="48">
        <v>-3180.47</v>
      </c>
      <c r="CD178" s="48">
        <v>-3683.66</v>
      </c>
      <c r="CE178" s="48">
        <v>-3068.29</v>
      </c>
      <c r="CF178" s="48">
        <v>-14435.02</v>
      </c>
      <c r="CG178" s="48">
        <v>-3170.32</v>
      </c>
      <c r="CH178" s="48">
        <v>-3276.05</v>
      </c>
      <c r="CI178" s="48">
        <v>-3345.12</v>
      </c>
      <c r="CJ178" s="48">
        <v>-2722.26</v>
      </c>
      <c r="CK178" s="48">
        <v>-2947.03</v>
      </c>
      <c r="CL178" s="48">
        <v>-18034.05</v>
      </c>
      <c r="CM178" s="48">
        <v>785.44</v>
      </c>
      <c r="CN178" s="48">
        <v>-21411.39</v>
      </c>
      <c r="CO178" s="48">
        <v>-2878.38</v>
      </c>
      <c r="CP178" s="48">
        <v>-2745.95</v>
      </c>
      <c r="CQ178" s="48">
        <v>-2485.98</v>
      </c>
      <c r="CR178" s="48">
        <v>-5172.8</v>
      </c>
      <c r="CS178" s="48">
        <v>-2787.41</v>
      </c>
      <c r="CT178" s="48">
        <v>-3191.12</v>
      </c>
      <c r="CU178" s="48">
        <v>-4694.41</v>
      </c>
      <c r="CV178" s="48">
        <v>-171827.57</v>
      </c>
      <c r="CW178" s="48">
        <v>-197813.46</v>
      </c>
      <c r="CX178" s="48">
        <v>-204482.13</v>
      </c>
      <c r="CY178" s="48">
        <v>-181758.99</v>
      </c>
      <c r="CZ178" s="48">
        <v>-213278.2</v>
      </c>
      <c r="DA178" s="48">
        <v>-218930.5</v>
      </c>
      <c r="DB178" s="48">
        <v>-240794.52</v>
      </c>
      <c r="DC178" s="48">
        <v>-248832.67</v>
      </c>
      <c r="DD178" s="48">
        <v>-230001.1</v>
      </c>
      <c r="DE178" s="48">
        <f>VLOOKUP($C178,'[2]Analysis 1'!$C$5:$DG$1025,107,FALSE)</f>
        <v>-216375.54</v>
      </c>
      <c r="DF178" s="48">
        <f>VLOOKUP($C178,'[2]Analysis 1'!$C$5:$DG$1025,108,FALSE)</f>
        <v>-361341.6</v>
      </c>
      <c r="DG178" s="48">
        <f>VLOOKUP($C178,'[2]Analysis 1'!$C$5:$DG$1025,109,FALSE)</f>
        <v>-203205</v>
      </c>
      <c r="DH178" s="369">
        <f t="shared" si="4"/>
        <v>-2688641.2800000003</v>
      </c>
    </row>
    <row r="179" spans="1:112">
      <c r="A179" s="357" t="str">
        <f t="shared" si="5"/>
        <v>6030010</v>
      </c>
      <c r="B179" s="350" t="s">
        <v>1998</v>
      </c>
      <c r="C179" s="335" t="s">
        <v>1086</v>
      </c>
      <c r="D179" s="367">
        <v>1926.09</v>
      </c>
      <c r="E179" s="367">
        <v>962.86</v>
      </c>
      <c r="F179" s="367">
        <v>24147.23</v>
      </c>
      <c r="G179" s="367">
        <v>3408.38</v>
      </c>
      <c r="H179" s="367">
        <v>2368.9299999999998</v>
      </c>
      <c r="I179" s="367">
        <v>1116.95</v>
      </c>
      <c r="J179" s="367">
        <v>3323.7</v>
      </c>
      <c r="K179" s="367">
        <v>1944.79</v>
      </c>
      <c r="L179" s="367">
        <v>3770.41</v>
      </c>
      <c r="M179" s="367">
        <v>1954</v>
      </c>
      <c r="N179" s="367">
        <v>2787.45</v>
      </c>
      <c r="O179" s="368">
        <v>1041.71</v>
      </c>
      <c r="P179" s="48">
        <v>688.45</v>
      </c>
      <c r="Q179" s="48">
        <v>338</v>
      </c>
      <c r="R179" s="48">
        <v>30090.74</v>
      </c>
      <c r="S179" s="48">
        <v>286.39999999999998</v>
      </c>
      <c r="T179" s="48">
        <v>3360.99</v>
      </c>
      <c r="U179" s="48">
        <v>3550.86</v>
      </c>
      <c r="V179" s="48">
        <v>3127.65</v>
      </c>
      <c r="W179" s="48">
        <v>4416.01</v>
      </c>
      <c r="X179" s="48">
        <v>3044.63</v>
      </c>
      <c r="Y179" s="48">
        <v>1162.1300000000001</v>
      </c>
      <c r="Z179" s="48">
        <v>1891.44</v>
      </c>
      <c r="AA179" s="48">
        <v>4967.59</v>
      </c>
      <c r="AB179" s="48">
        <v>4774.2</v>
      </c>
      <c r="AC179" s="48">
        <v>1852.19</v>
      </c>
      <c r="AD179" s="48">
        <v>27965.7</v>
      </c>
      <c r="AE179" s="48">
        <v>13279.19</v>
      </c>
      <c r="AF179" s="48">
        <v>6528</v>
      </c>
      <c r="AG179" s="48">
        <v>425.2</v>
      </c>
      <c r="AH179" s="48">
        <v>2426.5</v>
      </c>
      <c r="AI179" s="48">
        <v>3209.19</v>
      </c>
      <c r="AJ179" s="48">
        <v>1405.19</v>
      </c>
      <c r="AK179" s="48">
        <v>2613.16</v>
      </c>
      <c r="AL179" s="48">
        <v>2481.0500000000002</v>
      </c>
      <c r="AM179" s="48">
        <v>7272.9</v>
      </c>
      <c r="AN179" s="48">
        <v>1364.65</v>
      </c>
      <c r="AO179" s="48">
        <v>387.12</v>
      </c>
      <c r="AP179" s="48">
        <v>13887.8</v>
      </c>
      <c r="AQ179" s="48">
        <v>1882.36</v>
      </c>
      <c r="AR179" s="48">
        <v>1939.16</v>
      </c>
      <c r="AS179" s="48">
        <v>2494.2800000000002</v>
      </c>
      <c r="AT179" s="48">
        <v>2332.2800000000002</v>
      </c>
      <c r="AU179" s="48">
        <v>2528.5</v>
      </c>
      <c r="AV179" s="48">
        <v>444</v>
      </c>
      <c r="AW179" s="48">
        <v>438.47</v>
      </c>
      <c r="AX179" s="48">
        <v>1035.53</v>
      </c>
      <c r="AY179" s="48">
        <v>17407.36</v>
      </c>
      <c r="AZ179" s="48">
        <v>585.39</v>
      </c>
      <c r="BA179" s="48">
        <v>793.28</v>
      </c>
      <c r="BB179" s="48">
        <v>7554.83</v>
      </c>
      <c r="BC179" s="48">
        <v>1852.16</v>
      </c>
      <c r="BD179" s="48">
        <v>1468.4</v>
      </c>
      <c r="BE179" s="48">
        <v>3536.48</v>
      </c>
      <c r="BF179" s="48">
        <v>-5893.04</v>
      </c>
      <c r="BG179" s="48">
        <v>5526.33</v>
      </c>
      <c r="BH179" s="48">
        <v>17679.63</v>
      </c>
      <c r="BI179" s="48">
        <v>3672.79</v>
      </c>
      <c r="BJ179" s="48">
        <v>4379.8900000000003</v>
      </c>
      <c r="BK179" s="48">
        <v>10703.83</v>
      </c>
      <c r="BL179" s="48">
        <v>0</v>
      </c>
      <c r="BM179" s="48">
        <v>11662.78</v>
      </c>
      <c r="BN179" s="48">
        <v>2701.51</v>
      </c>
      <c r="BO179" s="48">
        <v>1814.67</v>
      </c>
      <c r="BP179" s="48">
        <v>4859.26</v>
      </c>
      <c r="BQ179" s="48">
        <v>5496.99</v>
      </c>
      <c r="BR179" s="48">
        <v>12883.68</v>
      </c>
      <c r="BS179" s="48">
        <v>3438.26</v>
      </c>
      <c r="BT179" s="48">
        <v>6657.91</v>
      </c>
      <c r="BU179" s="48">
        <v>3448.44</v>
      </c>
      <c r="BV179" s="48">
        <v>9113.17</v>
      </c>
      <c r="BW179" s="48">
        <v>10986.29</v>
      </c>
      <c r="BX179" s="48">
        <v>2119.69</v>
      </c>
      <c r="BY179" s="48">
        <v>11526.82</v>
      </c>
      <c r="BZ179" s="48">
        <v>3488.73</v>
      </c>
      <c r="CA179" s="48">
        <v>10273.44</v>
      </c>
      <c r="CB179" s="48">
        <v>2821.99</v>
      </c>
      <c r="CC179" s="48">
        <v>4436.99</v>
      </c>
      <c r="CD179" s="48">
        <v>16678</v>
      </c>
      <c r="CE179" s="48">
        <v>1647.35</v>
      </c>
      <c r="CF179" s="48">
        <v>4527.8</v>
      </c>
      <c r="CG179" s="48">
        <v>16526.18</v>
      </c>
      <c r="CH179" s="48">
        <v>2442.08</v>
      </c>
      <c r="CI179" s="48">
        <v>14309.64</v>
      </c>
      <c r="CJ179" s="48">
        <v>3162.46</v>
      </c>
      <c r="CK179" s="48">
        <v>1669.64</v>
      </c>
      <c r="CL179" s="48">
        <v>10200.549999999999</v>
      </c>
      <c r="CM179" s="48">
        <v>2782.75</v>
      </c>
      <c r="CN179" s="48">
        <v>1853.79</v>
      </c>
      <c r="CO179" s="48">
        <v>4115.8599999999997</v>
      </c>
      <c r="CP179" s="48">
        <v>1771.36</v>
      </c>
      <c r="CQ179" s="48">
        <v>18623.88</v>
      </c>
      <c r="CR179" s="48">
        <v>5203.57</v>
      </c>
      <c r="CS179" s="48">
        <v>17651.330000000002</v>
      </c>
      <c r="CT179" s="48">
        <v>786.46</v>
      </c>
      <c r="CU179" s="48">
        <v>11756.17</v>
      </c>
      <c r="CV179" s="48">
        <v>1442.08</v>
      </c>
      <c r="CW179" s="48">
        <v>8592.34</v>
      </c>
      <c r="CX179" s="48">
        <v>22197.77</v>
      </c>
      <c r="CY179" s="48">
        <v>10147</v>
      </c>
      <c r="CZ179" s="48">
        <v>6628.42</v>
      </c>
      <c r="DA179" s="48">
        <v>4152.24</v>
      </c>
      <c r="DB179" s="48">
        <v>7602.16</v>
      </c>
      <c r="DC179" s="48">
        <v>32900.9</v>
      </c>
      <c r="DD179" s="48">
        <v>6200</v>
      </c>
      <c r="DE179" s="48">
        <f>VLOOKUP($C179,'[2]Analysis 1'!$C$5:$DG$1025,107,FALSE)</f>
        <v>4367.62</v>
      </c>
      <c r="DF179" s="48">
        <f>VLOOKUP($C179,'[2]Analysis 1'!$C$5:$DG$1025,108,FALSE)</f>
        <v>32084.38</v>
      </c>
      <c r="DG179" s="48">
        <f>VLOOKUP($C179,'[2]Analysis 1'!$C$5:$DG$1025,109,FALSE)</f>
        <v>8290.18</v>
      </c>
      <c r="DH179" s="369">
        <f t="shared" si="4"/>
        <v>144605.09</v>
      </c>
    </row>
    <row r="180" spans="1:112">
      <c r="A180" s="357" t="str">
        <f t="shared" si="5"/>
        <v>6030020</v>
      </c>
      <c r="B180" s="350" t="s">
        <v>1999</v>
      </c>
      <c r="C180" s="335" t="s">
        <v>1087</v>
      </c>
      <c r="D180" s="367">
        <v>1170</v>
      </c>
      <c r="E180" s="367">
        <v>2450</v>
      </c>
      <c r="F180" s="367">
        <v>8825.84</v>
      </c>
      <c r="G180" s="367">
        <v>480</v>
      </c>
      <c r="H180" s="367">
        <v>0</v>
      </c>
      <c r="I180" s="367">
        <v>0</v>
      </c>
      <c r="J180" s="367">
        <v>755.77</v>
      </c>
      <c r="K180" s="367">
        <v>642.59</v>
      </c>
      <c r="L180" s="367">
        <v>580</v>
      </c>
      <c r="M180" s="367">
        <v>294.2</v>
      </c>
      <c r="N180" s="367">
        <v>193</v>
      </c>
      <c r="O180" s="368">
        <v>123.03</v>
      </c>
      <c r="P180" s="48">
        <v>560</v>
      </c>
      <c r="Q180" s="48">
        <v>5936.52</v>
      </c>
      <c r="R180" s="48">
        <v>0</v>
      </c>
      <c r="S180" s="48">
        <v>1494.2</v>
      </c>
      <c r="T180" s="48">
        <v>1471.75</v>
      </c>
      <c r="U180" s="48">
        <v>1365.16</v>
      </c>
      <c r="V180" s="48">
        <v>190</v>
      </c>
      <c r="W180" s="48">
        <v>0</v>
      </c>
      <c r="X180" s="48">
        <v>100</v>
      </c>
      <c r="Y180" s="48">
        <v>232.47</v>
      </c>
      <c r="Z180" s="48">
        <v>1625</v>
      </c>
      <c r="AA180" s="48">
        <v>3883.2</v>
      </c>
      <c r="AB180" s="48">
        <v>1250</v>
      </c>
      <c r="AC180" s="48">
        <v>3715</v>
      </c>
      <c r="AD180" s="48">
        <v>6636.5</v>
      </c>
      <c r="AE180" s="48">
        <v>0</v>
      </c>
      <c r="AF180" s="48">
        <v>1500</v>
      </c>
      <c r="AG180" s="48">
        <v>1050</v>
      </c>
      <c r="AH180" s="48">
        <v>774.2</v>
      </c>
      <c r="AI180" s="48">
        <v>431.07</v>
      </c>
      <c r="AJ180" s="48">
        <v>1335</v>
      </c>
      <c r="AK180" s="48">
        <v>-750</v>
      </c>
      <c r="AL180" s="48">
        <v>1385</v>
      </c>
      <c r="AM180" s="48">
        <v>2500</v>
      </c>
      <c r="AN180" s="48">
        <v>0</v>
      </c>
      <c r="AO180" s="48">
        <v>194.2</v>
      </c>
      <c r="AP180" s="48">
        <v>636.51</v>
      </c>
      <c r="AQ180" s="48">
        <v>300</v>
      </c>
      <c r="AR180" s="48">
        <v>0</v>
      </c>
      <c r="AS180" s="48">
        <v>710</v>
      </c>
      <c r="AT180" s="48">
        <v>1050</v>
      </c>
      <c r="AU180" s="48">
        <v>0</v>
      </c>
      <c r="AV180" s="48">
        <v>85</v>
      </c>
      <c r="AW180" s="48">
        <v>0</v>
      </c>
      <c r="AX180" s="48">
        <v>0</v>
      </c>
      <c r="AY180" s="48">
        <v>145</v>
      </c>
      <c r="AZ180" s="48">
        <v>1210</v>
      </c>
      <c r="BA180" s="48">
        <v>1500</v>
      </c>
      <c r="BB180" s="48">
        <v>0</v>
      </c>
      <c r="BC180" s="48">
        <v>0</v>
      </c>
      <c r="BD180" s="48">
        <v>330</v>
      </c>
      <c r="BE180" s="48">
        <v>0</v>
      </c>
      <c r="BF180" s="48">
        <v>1448.53</v>
      </c>
      <c r="BG180" s="48">
        <v>115</v>
      </c>
      <c r="BH180" s="48">
        <v>0</v>
      </c>
      <c r="BI180" s="48">
        <v>4925</v>
      </c>
      <c r="BJ180" s="48">
        <v>1000</v>
      </c>
      <c r="BK180" s="48">
        <v>2840</v>
      </c>
      <c r="BL180" s="48">
        <v>4250</v>
      </c>
      <c r="BM180" s="48">
        <v>220</v>
      </c>
      <c r="BN180" s="48">
        <v>710</v>
      </c>
      <c r="BO180" s="48">
        <v>-380</v>
      </c>
      <c r="BP180" s="48">
        <v>600</v>
      </c>
      <c r="BQ180" s="48">
        <v>675</v>
      </c>
      <c r="BR180" s="48">
        <v>2242.5</v>
      </c>
      <c r="BS180" s="48">
        <v>-530</v>
      </c>
      <c r="BT180" s="48">
        <v>4417.45</v>
      </c>
      <c r="BU180" s="48">
        <v>0</v>
      </c>
      <c r="BV180" s="48">
        <v>1042.79</v>
      </c>
      <c r="BW180" s="48">
        <v>380</v>
      </c>
      <c r="BX180" s="48">
        <v>500</v>
      </c>
      <c r="BY180" s="48">
        <v>0</v>
      </c>
      <c r="BZ180" s="48">
        <v>388</v>
      </c>
      <c r="CA180" s="48">
        <v>0</v>
      </c>
      <c r="CB180" s="48">
        <v>550</v>
      </c>
      <c r="CC180" s="48">
        <v>0</v>
      </c>
      <c r="CD180" s="48">
        <v>855</v>
      </c>
      <c r="CE180" s="48">
        <v>125</v>
      </c>
      <c r="CF180" s="48">
        <v>0</v>
      </c>
      <c r="CG180" s="48">
        <v>280</v>
      </c>
      <c r="CH180" s="48">
        <v>0</v>
      </c>
      <c r="CI180" s="48">
        <v>35</v>
      </c>
      <c r="CJ180" s="48">
        <v>3306.96</v>
      </c>
      <c r="CK180" s="48">
        <v>1881.57</v>
      </c>
      <c r="CL180" s="48">
        <v>0</v>
      </c>
      <c r="CM180" s="48">
        <v>0</v>
      </c>
      <c r="CN180" s="48">
        <v>1608.26</v>
      </c>
      <c r="CO180" s="48">
        <v>611</v>
      </c>
      <c r="CP180" s="48">
        <v>7350</v>
      </c>
      <c r="CQ180" s="48">
        <v>0</v>
      </c>
      <c r="CR180" s="48">
        <v>340.75</v>
      </c>
      <c r="CS180" s="48">
        <v>128.19999999999999</v>
      </c>
      <c r="CT180" s="48">
        <v>3250</v>
      </c>
      <c r="CU180" s="48">
        <v>50</v>
      </c>
      <c r="CV180" s="48">
        <v>120</v>
      </c>
      <c r="CW180" s="48">
        <v>1500</v>
      </c>
      <c r="CX180" s="48">
        <v>555</v>
      </c>
      <c r="CY180" s="48">
        <v>23100</v>
      </c>
      <c r="CZ180" s="48">
        <v>0</v>
      </c>
      <c r="DA180" s="48">
        <v>40</v>
      </c>
      <c r="DB180" s="48">
        <v>0</v>
      </c>
      <c r="DC180" s="48">
        <v>4490.2</v>
      </c>
      <c r="DD180" s="48">
        <v>111.5</v>
      </c>
      <c r="DE180" s="48">
        <f>VLOOKUP($C180,'[2]Analysis 1'!$C$5:$DG$1025,107,FALSE)</f>
        <v>1528.75</v>
      </c>
      <c r="DF180" s="48">
        <f>VLOOKUP($C180,'[2]Analysis 1'!$C$5:$DG$1025,108,FALSE)</f>
        <v>3868.75</v>
      </c>
      <c r="DG180" s="48">
        <f>VLOOKUP($C180,'[2]Analysis 1'!$C$5:$DG$1025,109,FALSE)</f>
        <v>0</v>
      </c>
      <c r="DH180" s="369">
        <f t="shared" si="4"/>
        <v>35314.199999999997</v>
      </c>
    </row>
    <row r="181" spans="1:112">
      <c r="A181" s="357" t="str">
        <f t="shared" si="5"/>
        <v>6030030</v>
      </c>
      <c r="B181" s="350" t="s">
        <v>2000</v>
      </c>
      <c r="C181" s="335" t="s">
        <v>1088</v>
      </c>
      <c r="D181" s="367">
        <v>2046.51</v>
      </c>
      <c r="E181" s="367">
        <v>8149.12</v>
      </c>
      <c r="F181" s="367">
        <v>12341.05</v>
      </c>
      <c r="G181" s="367">
        <v>11907.5</v>
      </c>
      <c r="H181" s="367">
        <v>11196.52</v>
      </c>
      <c r="I181" s="367">
        <v>9242.77</v>
      </c>
      <c r="J181" s="367">
        <v>8097.43</v>
      </c>
      <c r="K181" s="367">
        <v>9325.23</v>
      </c>
      <c r="L181" s="367">
        <v>15476.06</v>
      </c>
      <c r="M181" s="367">
        <v>13733.24</v>
      </c>
      <c r="N181" s="367">
        <v>19245</v>
      </c>
      <c r="O181" s="368">
        <v>20699.759999999998</v>
      </c>
      <c r="P181" s="48">
        <v>1669.01</v>
      </c>
      <c r="Q181" s="48">
        <v>9410.01</v>
      </c>
      <c r="R181" s="48">
        <v>14448.7</v>
      </c>
      <c r="S181" s="48">
        <v>8238.01</v>
      </c>
      <c r="T181" s="48">
        <v>15034.12</v>
      </c>
      <c r="U181" s="48">
        <v>13959.84</v>
      </c>
      <c r="V181" s="48">
        <v>11199.41</v>
      </c>
      <c r="W181" s="48">
        <v>9485.0400000000009</v>
      </c>
      <c r="X181" s="48">
        <v>16072.19</v>
      </c>
      <c r="Y181" s="48">
        <v>10220.93</v>
      </c>
      <c r="Z181" s="48">
        <v>8861.0400000000009</v>
      </c>
      <c r="AA181" s="48">
        <v>14129.48</v>
      </c>
      <c r="AB181" s="48">
        <v>1171.44</v>
      </c>
      <c r="AC181" s="48">
        <v>4138.07</v>
      </c>
      <c r="AD181" s="48">
        <v>6882.96</v>
      </c>
      <c r="AE181" s="48">
        <v>5950.46</v>
      </c>
      <c r="AF181" s="48">
        <v>5276.57</v>
      </c>
      <c r="AG181" s="48">
        <v>9303.24</v>
      </c>
      <c r="AH181" s="48">
        <v>4883.7</v>
      </c>
      <c r="AI181" s="48">
        <v>8263.4699999999993</v>
      </c>
      <c r="AJ181" s="48">
        <v>8460.4</v>
      </c>
      <c r="AK181" s="48">
        <v>5365.04</v>
      </c>
      <c r="AL181" s="48">
        <v>7274.69</v>
      </c>
      <c r="AM181" s="48">
        <v>18788.28</v>
      </c>
      <c r="AN181" s="48">
        <v>1172.8399999999999</v>
      </c>
      <c r="AO181" s="48">
        <v>6877.57</v>
      </c>
      <c r="AP181" s="48">
        <v>7913.36</v>
      </c>
      <c r="AQ181" s="48">
        <v>4763.47</v>
      </c>
      <c r="AR181" s="48">
        <v>5462.71</v>
      </c>
      <c r="AS181" s="48">
        <v>6299.18</v>
      </c>
      <c r="AT181" s="48">
        <v>6080.67</v>
      </c>
      <c r="AU181" s="48">
        <v>4554.68</v>
      </c>
      <c r="AV181" s="48">
        <v>63210.47</v>
      </c>
      <c r="AW181" s="48">
        <v>-49126.6</v>
      </c>
      <c r="AX181" s="48">
        <v>8520.2999999999993</v>
      </c>
      <c r="AY181" s="48">
        <v>17179.71</v>
      </c>
      <c r="AZ181" s="48">
        <v>2023.45</v>
      </c>
      <c r="BA181" s="48">
        <v>11933.16</v>
      </c>
      <c r="BB181" s="48">
        <v>16562.939999999999</v>
      </c>
      <c r="BC181" s="48">
        <v>11547.09</v>
      </c>
      <c r="BD181" s="48">
        <v>13532.05</v>
      </c>
      <c r="BE181" s="48">
        <v>11415.16</v>
      </c>
      <c r="BF181" s="48">
        <v>10399.67</v>
      </c>
      <c r="BG181" s="48">
        <v>19094.669999999998</v>
      </c>
      <c r="BH181" s="48">
        <v>14081.76</v>
      </c>
      <c r="BI181" s="48">
        <v>11070.37</v>
      </c>
      <c r="BJ181" s="48">
        <v>12500.98</v>
      </c>
      <c r="BK181" s="48">
        <v>23519.439999999999</v>
      </c>
      <c r="BL181" s="48">
        <v>-308.73</v>
      </c>
      <c r="BM181" s="48">
        <v>12438.06</v>
      </c>
      <c r="BN181" s="48">
        <v>11051.03</v>
      </c>
      <c r="BO181" s="48">
        <v>10689.41</v>
      </c>
      <c r="BP181" s="48">
        <v>5438.92</v>
      </c>
      <c r="BQ181" s="48">
        <v>13732.54</v>
      </c>
      <c r="BR181" s="48">
        <v>10499.06</v>
      </c>
      <c r="BS181" s="48">
        <v>650.19000000000005</v>
      </c>
      <c r="BT181" s="48">
        <v>498.68</v>
      </c>
      <c r="BU181" s="48">
        <v>0</v>
      </c>
      <c r="BV181" s="48">
        <v>0</v>
      </c>
      <c r="BW181" s="48">
        <v>0</v>
      </c>
      <c r="BX181" s="48">
        <v>0</v>
      </c>
      <c r="BY181" s="48">
        <v>0</v>
      </c>
      <c r="BZ181" s="48">
        <v>129.6</v>
      </c>
      <c r="CA181" s="48">
        <v>0</v>
      </c>
      <c r="CB181" s="48">
        <v>20.68</v>
      </c>
      <c r="CC181" s="48">
        <v>0</v>
      </c>
      <c r="CD181" s="48">
        <v>0</v>
      </c>
      <c r="CE181" s="48">
        <v>0</v>
      </c>
      <c r="CF181" s="48">
        <v>0</v>
      </c>
      <c r="CG181" s="48">
        <v>0</v>
      </c>
      <c r="CH181" s="48">
        <v>0</v>
      </c>
      <c r="CI181" s="48">
        <v>0</v>
      </c>
      <c r="CJ181" s="48">
        <v>0</v>
      </c>
      <c r="CK181" s="48">
        <v>0</v>
      </c>
      <c r="CL181" s="48">
        <v>0</v>
      </c>
      <c r="CM181" s="48">
        <v>0</v>
      </c>
      <c r="CN181" s="48">
        <v>0</v>
      </c>
      <c r="CO181" s="48">
        <v>0</v>
      </c>
      <c r="CP181" s="48">
        <v>0</v>
      </c>
      <c r="CQ181" s="48">
        <v>0</v>
      </c>
      <c r="CR181" s="48">
        <v>0</v>
      </c>
      <c r="CS181" s="48">
        <v>0</v>
      </c>
      <c r="CT181" s="48">
        <v>0</v>
      </c>
      <c r="CU181" s="48">
        <v>0</v>
      </c>
      <c r="CV181" s="48">
        <v>0</v>
      </c>
      <c r="CW181" s="48">
        <v>0</v>
      </c>
      <c r="CX181" s="48">
        <v>0</v>
      </c>
      <c r="CY181" s="48">
        <v>0</v>
      </c>
      <c r="CZ181" s="48">
        <v>0</v>
      </c>
      <c r="DA181" s="48">
        <v>0</v>
      </c>
      <c r="DB181" s="48">
        <v>0</v>
      </c>
      <c r="DC181" s="48">
        <v>0</v>
      </c>
      <c r="DD181" s="48">
        <v>0</v>
      </c>
      <c r="DE181" s="48">
        <f>VLOOKUP($C181,'[2]Analysis 1'!$C$5:$DG$1025,107,FALSE)</f>
        <v>0</v>
      </c>
      <c r="DF181" s="48">
        <f>VLOOKUP($C181,'[2]Analysis 1'!$C$5:$DG$1025,108,FALSE)</f>
        <v>0</v>
      </c>
      <c r="DG181" s="48">
        <f>VLOOKUP($C181,'[2]Analysis 1'!$C$5:$DG$1025,109,FALSE)</f>
        <v>0</v>
      </c>
      <c r="DH181" s="369">
        <f t="shared" si="4"/>
        <v>0</v>
      </c>
    </row>
    <row r="182" spans="1:112">
      <c r="A182" s="357" t="str">
        <f t="shared" si="5"/>
        <v>6030040</v>
      </c>
      <c r="B182" s="350" t="s">
        <v>2002</v>
      </c>
      <c r="C182" s="335" t="s">
        <v>1089</v>
      </c>
      <c r="D182" s="340">
        <v>3889.06</v>
      </c>
      <c r="E182" s="340">
        <v>16087</v>
      </c>
      <c r="F182" s="340">
        <v>16096.17</v>
      </c>
      <c r="G182" s="340">
        <v>13329.25</v>
      </c>
      <c r="H182" s="340">
        <v>19948.830000000002</v>
      </c>
      <c r="I182" s="340">
        <v>15888.79</v>
      </c>
      <c r="J182" s="340">
        <v>15407.37</v>
      </c>
      <c r="K182" s="340">
        <v>15267.31</v>
      </c>
      <c r="L182" s="340">
        <v>16429.759999999998</v>
      </c>
      <c r="M182" s="340">
        <v>18655.13</v>
      </c>
      <c r="N182" s="340">
        <v>13281.19</v>
      </c>
      <c r="O182" s="341">
        <v>31027.7</v>
      </c>
      <c r="P182" s="48">
        <v>1229.83</v>
      </c>
      <c r="Q182" s="48">
        <v>10097.08</v>
      </c>
      <c r="R182" s="48">
        <v>18268.490000000002</v>
      </c>
      <c r="S182" s="48">
        <v>17093.63</v>
      </c>
      <c r="T182" s="48">
        <v>13146.8</v>
      </c>
      <c r="U182" s="48">
        <v>14308.77</v>
      </c>
      <c r="V182" s="48">
        <v>19941.169999999998</v>
      </c>
      <c r="W182" s="48">
        <v>12014.83</v>
      </c>
      <c r="X182" s="48">
        <v>16236.54</v>
      </c>
      <c r="Y182" s="48">
        <v>21925.73</v>
      </c>
      <c r="Z182" s="48">
        <v>27332.880000000001</v>
      </c>
      <c r="AA182" s="48">
        <v>41256.370000000003</v>
      </c>
      <c r="AB182" s="48">
        <v>2558.89</v>
      </c>
      <c r="AC182" s="48">
        <v>17180.64</v>
      </c>
      <c r="AD182" s="48">
        <v>21896.28</v>
      </c>
      <c r="AE182" s="48">
        <v>20671.87</v>
      </c>
      <c r="AF182" s="48">
        <v>21136.75</v>
      </c>
      <c r="AG182" s="48">
        <v>29396.62</v>
      </c>
      <c r="AH182" s="48">
        <v>19412.88</v>
      </c>
      <c r="AI182" s="48">
        <v>22283.15</v>
      </c>
      <c r="AJ182" s="48">
        <v>20305.93</v>
      </c>
      <c r="AK182" s="48">
        <v>21567</v>
      </c>
      <c r="AL182" s="48">
        <v>26236.76</v>
      </c>
      <c r="AM182" s="48">
        <v>52105.59</v>
      </c>
      <c r="AN182" s="48">
        <v>7746.54</v>
      </c>
      <c r="AO182" s="48">
        <v>34425.15</v>
      </c>
      <c r="AP182" s="48">
        <v>20758.150000000001</v>
      </c>
      <c r="AQ182" s="48">
        <v>20403.78</v>
      </c>
      <c r="AR182" s="48">
        <v>17645.689999999999</v>
      </c>
      <c r="AS182" s="48">
        <v>15433.06</v>
      </c>
      <c r="AT182" s="48">
        <v>19298.990000000002</v>
      </c>
      <c r="AU182" s="48">
        <v>17946.8</v>
      </c>
      <c r="AV182" s="48">
        <v>19615.22</v>
      </c>
      <c r="AW182" s="48">
        <v>18483.330000000002</v>
      </c>
      <c r="AX182" s="48">
        <v>76308.649999999994</v>
      </c>
      <c r="AY182" s="48">
        <v>50375.49</v>
      </c>
      <c r="AZ182" s="48">
        <v>3784.5</v>
      </c>
      <c r="BA182" s="48">
        <v>25612.1</v>
      </c>
      <c r="BB182" s="48">
        <v>26442.9</v>
      </c>
      <c r="BC182" s="48">
        <v>16927.189999999999</v>
      </c>
      <c r="BD182" s="48">
        <v>29162.21</v>
      </c>
      <c r="BE182" s="48">
        <v>34313.910000000003</v>
      </c>
      <c r="BF182" s="48">
        <v>24041.51</v>
      </c>
      <c r="BG182" s="48">
        <v>23060.74</v>
      </c>
      <c r="BH182" s="48">
        <v>28951.3</v>
      </c>
      <c r="BI182" s="48">
        <v>22409</v>
      </c>
      <c r="BJ182" s="48">
        <v>327407.98</v>
      </c>
      <c r="BK182" s="48">
        <v>65812.98</v>
      </c>
      <c r="BL182" s="48">
        <v>3940.79</v>
      </c>
      <c r="BM182" s="48">
        <v>36646.120000000003</v>
      </c>
      <c r="BN182" s="48">
        <v>35390.6</v>
      </c>
      <c r="BO182" s="48">
        <v>19716.7</v>
      </c>
      <c r="BP182" s="48">
        <v>24279.54</v>
      </c>
      <c r="BQ182" s="48">
        <v>24296.9</v>
      </c>
      <c r="BR182" s="48">
        <v>44824.54</v>
      </c>
      <c r="BS182" s="48">
        <v>59704.83</v>
      </c>
      <c r="BT182" s="48">
        <v>55220.99</v>
      </c>
      <c r="BU182" s="48">
        <v>43152.51</v>
      </c>
      <c r="BV182" s="48">
        <v>42842.76</v>
      </c>
      <c r="BW182" s="48">
        <v>92643.51</v>
      </c>
      <c r="BX182" s="48">
        <v>6989.83</v>
      </c>
      <c r="BY182" s="48">
        <v>37305.97</v>
      </c>
      <c r="BZ182" s="48">
        <v>61792.84</v>
      </c>
      <c r="CA182" s="48">
        <v>29590.99</v>
      </c>
      <c r="CB182" s="48">
        <v>4170.38</v>
      </c>
      <c r="CC182" s="48">
        <v>9139.2900000000009</v>
      </c>
      <c r="CD182" s="48">
        <v>20844.599999999999</v>
      </c>
      <c r="CE182" s="48">
        <v>17888.12</v>
      </c>
      <c r="CF182" s="48">
        <v>14502.18</v>
      </c>
      <c r="CG182" s="48">
        <v>11637.18</v>
      </c>
      <c r="CH182" s="48">
        <v>10635.94</v>
      </c>
      <c r="CI182" s="48">
        <v>18890.23</v>
      </c>
      <c r="CJ182" s="48">
        <v>4926.18</v>
      </c>
      <c r="CK182" s="48">
        <v>13914.78</v>
      </c>
      <c r="CL182" s="48">
        <v>26485.18</v>
      </c>
      <c r="CM182" s="48">
        <v>32355.39</v>
      </c>
      <c r="CN182" s="48">
        <v>28121.79</v>
      </c>
      <c r="CO182" s="48">
        <v>24418.34</v>
      </c>
      <c r="CP182" s="48">
        <v>24481.42</v>
      </c>
      <c r="CQ182" s="48">
        <v>32322.33</v>
      </c>
      <c r="CR182" s="48">
        <v>24039.279999999999</v>
      </c>
      <c r="CS182" s="48">
        <v>18649.62</v>
      </c>
      <c r="CT182" s="48">
        <v>39453.15</v>
      </c>
      <c r="CU182" s="48">
        <v>59784.05</v>
      </c>
      <c r="CV182" s="48">
        <v>12825.15</v>
      </c>
      <c r="CW182" s="48">
        <v>21653.83</v>
      </c>
      <c r="CX182" s="48">
        <v>31082.22</v>
      </c>
      <c r="CY182" s="48">
        <v>60685.64</v>
      </c>
      <c r="CZ182" s="48">
        <v>40969.480000000003</v>
      </c>
      <c r="DA182" s="48">
        <v>49276.71</v>
      </c>
      <c r="DB182" s="48">
        <v>49245.22</v>
      </c>
      <c r="DC182" s="48">
        <v>84222.11</v>
      </c>
      <c r="DD182" s="48">
        <v>64042.84</v>
      </c>
      <c r="DE182" s="48">
        <f>VLOOKUP($C182,'[2]Analysis 1'!$C$5:$DG$1025,107,FALSE)</f>
        <v>74513.06</v>
      </c>
      <c r="DF182" s="48">
        <f>VLOOKUP($C182,'[2]Analysis 1'!$C$5:$DG$1025,108,FALSE)</f>
        <v>75831.77</v>
      </c>
      <c r="DG182" s="48">
        <f>VLOOKUP($C182,'[2]Analysis 1'!$C$5:$DG$1025,109,FALSE)</f>
        <v>96049.76</v>
      </c>
      <c r="DH182" s="369">
        <f t="shared" si="4"/>
        <v>660397.78999999992</v>
      </c>
    </row>
    <row r="183" spans="1:112">
      <c r="A183" s="357" t="str">
        <f t="shared" si="5"/>
        <v>6030050</v>
      </c>
      <c r="B183" s="350" t="s">
        <v>2001</v>
      </c>
      <c r="C183" s="335" t="s">
        <v>1090</v>
      </c>
      <c r="D183" s="367">
        <v>8498.9699999999993</v>
      </c>
      <c r="E183" s="367">
        <v>12548.98</v>
      </c>
      <c r="F183" s="367">
        <v>15270.44</v>
      </c>
      <c r="G183" s="367">
        <v>8262.86</v>
      </c>
      <c r="H183" s="367">
        <v>12982.29</v>
      </c>
      <c r="I183" s="367">
        <v>12726.95</v>
      </c>
      <c r="J183" s="367">
        <v>15776.48</v>
      </c>
      <c r="K183" s="367">
        <v>12077.07</v>
      </c>
      <c r="L183" s="367">
        <v>13034.88</v>
      </c>
      <c r="M183" s="367">
        <v>20143.810000000001</v>
      </c>
      <c r="N183" s="367">
        <v>12980.66</v>
      </c>
      <c r="O183" s="368">
        <v>15566.51</v>
      </c>
      <c r="P183" s="48">
        <v>7172.21</v>
      </c>
      <c r="Q183" s="48">
        <v>11232.77</v>
      </c>
      <c r="R183" s="48">
        <v>13587.19</v>
      </c>
      <c r="S183" s="48">
        <v>11270.86</v>
      </c>
      <c r="T183" s="48">
        <v>11511.87</v>
      </c>
      <c r="U183" s="48">
        <v>14463.72</v>
      </c>
      <c r="V183" s="48">
        <v>14400.94</v>
      </c>
      <c r="W183" s="48">
        <v>11666.02</v>
      </c>
      <c r="X183" s="48">
        <v>8886.6299999999992</v>
      </c>
      <c r="Y183" s="48">
        <v>15834</v>
      </c>
      <c r="Z183" s="48">
        <v>12132.18</v>
      </c>
      <c r="AA183" s="48">
        <v>13833.31</v>
      </c>
      <c r="AB183" s="48">
        <v>6360.64</v>
      </c>
      <c r="AC183" s="48">
        <v>7763.56</v>
      </c>
      <c r="AD183" s="48">
        <v>8209.48</v>
      </c>
      <c r="AE183" s="48">
        <v>9945.8700000000008</v>
      </c>
      <c r="AF183" s="48">
        <v>11944.35</v>
      </c>
      <c r="AG183" s="48">
        <v>15862.88</v>
      </c>
      <c r="AH183" s="48">
        <v>4992.71</v>
      </c>
      <c r="AI183" s="48">
        <v>11832.24</v>
      </c>
      <c r="AJ183" s="48">
        <v>8924.2099999999991</v>
      </c>
      <c r="AK183" s="48">
        <v>8250.39</v>
      </c>
      <c r="AL183" s="48">
        <v>12918.36</v>
      </c>
      <c r="AM183" s="48">
        <v>11723.46</v>
      </c>
      <c r="AN183" s="48">
        <v>7013.8</v>
      </c>
      <c r="AO183" s="48">
        <v>8808.77</v>
      </c>
      <c r="AP183" s="48">
        <v>8309.5</v>
      </c>
      <c r="AQ183" s="48">
        <v>8176.76</v>
      </c>
      <c r="AR183" s="48">
        <v>8413.36</v>
      </c>
      <c r="AS183" s="48">
        <v>8373.7199999999993</v>
      </c>
      <c r="AT183" s="48">
        <v>10514.52</v>
      </c>
      <c r="AU183" s="48">
        <v>10226.26</v>
      </c>
      <c r="AV183" s="48">
        <v>8714.56</v>
      </c>
      <c r="AW183" s="48">
        <v>6507.5</v>
      </c>
      <c r="AX183" s="48">
        <v>7260.94</v>
      </c>
      <c r="AY183" s="48">
        <v>11500.36</v>
      </c>
      <c r="AZ183" s="48">
        <v>6016.55</v>
      </c>
      <c r="BA183" s="48">
        <v>6817.53</v>
      </c>
      <c r="BB183" s="48">
        <v>6216.57</v>
      </c>
      <c r="BC183" s="48">
        <v>11235.68</v>
      </c>
      <c r="BD183" s="48">
        <v>14136.23</v>
      </c>
      <c r="BE183" s="48">
        <v>10145.379999999999</v>
      </c>
      <c r="BF183" s="48">
        <v>14896.36</v>
      </c>
      <c r="BG183" s="48">
        <v>17434.919999999998</v>
      </c>
      <c r="BH183" s="48">
        <v>8102.85</v>
      </c>
      <c r="BI183" s="48">
        <v>15161.28</v>
      </c>
      <c r="BJ183" s="48">
        <v>15547.73</v>
      </c>
      <c r="BK183" s="48">
        <v>17683.23</v>
      </c>
      <c r="BL183" s="48">
        <v>9406.51</v>
      </c>
      <c r="BM183" s="48">
        <v>11302.51</v>
      </c>
      <c r="BN183" s="48">
        <v>8421.08</v>
      </c>
      <c r="BO183" s="48">
        <v>7195.48</v>
      </c>
      <c r="BP183" s="48">
        <v>12347.23</v>
      </c>
      <c r="BQ183" s="48">
        <v>13696.74</v>
      </c>
      <c r="BR183" s="48">
        <v>12425.21</v>
      </c>
      <c r="BS183" s="48">
        <v>21181.72</v>
      </c>
      <c r="BT183" s="48">
        <v>15968.86</v>
      </c>
      <c r="BU183" s="48">
        <v>15858.77</v>
      </c>
      <c r="BV183" s="48">
        <v>12697.27</v>
      </c>
      <c r="BW183" s="48">
        <v>16716.89</v>
      </c>
      <c r="BX183" s="48">
        <v>9929.9</v>
      </c>
      <c r="BY183" s="48">
        <v>10233.209999999999</v>
      </c>
      <c r="BZ183" s="48">
        <v>10259.89</v>
      </c>
      <c r="CA183" s="48">
        <v>2101.83</v>
      </c>
      <c r="CB183" s="48">
        <v>2903.76</v>
      </c>
      <c r="CC183" s="48">
        <v>4986.71</v>
      </c>
      <c r="CD183" s="48">
        <v>8249.85</v>
      </c>
      <c r="CE183" s="48">
        <v>3711.15</v>
      </c>
      <c r="CF183" s="48">
        <v>5996.37</v>
      </c>
      <c r="CG183" s="48">
        <v>2702.57</v>
      </c>
      <c r="CH183" s="48">
        <v>5471.88</v>
      </c>
      <c r="CI183" s="48">
        <v>3703.76</v>
      </c>
      <c r="CJ183" s="48">
        <v>998.22</v>
      </c>
      <c r="CK183" s="48">
        <v>6228.71</v>
      </c>
      <c r="CL183" s="48">
        <v>8185.41</v>
      </c>
      <c r="CM183" s="48">
        <v>8010.57</v>
      </c>
      <c r="CN183" s="48">
        <v>5727.43</v>
      </c>
      <c r="CO183" s="48">
        <v>6352.08</v>
      </c>
      <c r="CP183" s="48">
        <v>4477.76</v>
      </c>
      <c r="CQ183" s="48">
        <v>7178.11</v>
      </c>
      <c r="CR183" s="48">
        <v>3472.56</v>
      </c>
      <c r="CS183" s="48">
        <v>5307.12</v>
      </c>
      <c r="CT183" s="48">
        <v>5782.56</v>
      </c>
      <c r="CU183" s="48">
        <v>5649.57</v>
      </c>
      <c r="CV183" s="48">
        <v>1979.52</v>
      </c>
      <c r="CW183" s="48">
        <v>4826.2299999999996</v>
      </c>
      <c r="CX183" s="48">
        <v>5419.59</v>
      </c>
      <c r="CY183" s="48">
        <v>7425.45</v>
      </c>
      <c r="CZ183" s="48">
        <v>7985.86</v>
      </c>
      <c r="DA183" s="48">
        <v>10831.65</v>
      </c>
      <c r="DB183" s="48">
        <v>10309.09</v>
      </c>
      <c r="DC183" s="48">
        <v>14007.65</v>
      </c>
      <c r="DD183" s="48">
        <v>10627.86</v>
      </c>
      <c r="DE183" s="48">
        <f>VLOOKUP($C183,'[2]Analysis 1'!$C$5:$DG$1025,107,FALSE)</f>
        <v>13177.84</v>
      </c>
      <c r="DF183" s="48">
        <f>VLOOKUP($C183,'[2]Analysis 1'!$C$5:$DG$1025,108,FALSE)</f>
        <v>17797.03</v>
      </c>
      <c r="DG183" s="48">
        <f>VLOOKUP($C183,'[2]Analysis 1'!$C$5:$DG$1025,109,FALSE)</f>
        <v>11905.54</v>
      </c>
      <c r="DH183" s="369">
        <f t="shared" si="4"/>
        <v>116293.31</v>
      </c>
    </row>
    <row r="184" spans="1:112">
      <c r="A184" s="357" t="str">
        <f t="shared" si="5"/>
        <v>6030060</v>
      </c>
      <c r="B184" s="350" t="s">
        <v>2003</v>
      </c>
      <c r="C184" s="335" t="s">
        <v>1091</v>
      </c>
      <c r="D184" s="340">
        <v>11628.85</v>
      </c>
      <c r="E184" s="340">
        <v>19304.88</v>
      </c>
      <c r="F184" s="340">
        <v>25302.53</v>
      </c>
      <c r="G184" s="340">
        <v>12179.09</v>
      </c>
      <c r="H184" s="340">
        <v>11509.79</v>
      </c>
      <c r="I184" s="340">
        <v>12284.93</v>
      </c>
      <c r="J184" s="340">
        <v>11270.02</v>
      </c>
      <c r="K184" s="340">
        <v>9674.64</v>
      </c>
      <c r="L184" s="340">
        <v>8326.39</v>
      </c>
      <c r="M184" s="340">
        <v>9150.36</v>
      </c>
      <c r="N184" s="340">
        <v>9313.1299999999992</v>
      </c>
      <c r="O184" s="341">
        <v>6890.83</v>
      </c>
      <c r="P184" s="48">
        <v>7818.53</v>
      </c>
      <c r="Q184" s="48">
        <v>11377.61</v>
      </c>
      <c r="R184" s="48">
        <v>11586.79</v>
      </c>
      <c r="S184" s="48">
        <v>10006.89</v>
      </c>
      <c r="T184" s="48">
        <v>7701.93</v>
      </c>
      <c r="U184" s="48">
        <v>9861.36</v>
      </c>
      <c r="V184" s="48">
        <v>6838.56</v>
      </c>
      <c r="W184" s="48">
        <v>6360.27</v>
      </c>
      <c r="X184" s="48">
        <v>8962.24</v>
      </c>
      <c r="Y184" s="48">
        <v>3316.66</v>
      </c>
      <c r="Z184" s="48">
        <v>11100.87</v>
      </c>
      <c r="AA184" s="48">
        <v>6573.22</v>
      </c>
      <c r="AB184" s="48">
        <v>15195.78</v>
      </c>
      <c r="AC184" s="48">
        <v>15293.79</v>
      </c>
      <c r="AD184" s="48">
        <v>46178.12</v>
      </c>
      <c r="AE184" s="48">
        <v>21216.26</v>
      </c>
      <c r="AF184" s="48">
        <v>23882.52</v>
      </c>
      <c r="AG184" s="48">
        <v>10351.32</v>
      </c>
      <c r="AH184" s="48">
        <v>13943.52</v>
      </c>
      <c r="AI184" s="48">
        <v>28153.4</v>
      </c>
      <c r="AJ184" s="48">
        <v>7841.64</v>
      </c>
      <c r="AK184" s="48">
        <v>8318.4</v>
      </c>
      <c r="AL184" s="48">
        <v>20609.29</v>
      </c>
      <c r="AM184" s="48">
        <v>29274.03</v>
      </c>
      <c r="AN184" s="48">
        <v>22943.78</v>
      </c>
      <c r="AO184" s="48">
        <v>18865.62</v>
      </c>
      <c r="AP184" s="48">
        <v>21317.89</v>
      </c>
      <c r="AQ184" s="48">
        <v>8901.09</v>
      </c>
      <c r="AR184" s="48">
        <v>17652.310000000001</v>
      </c>
      <c r="AS184" s="48">
        <v>14138.54</v>
      </c>
      <c r="AT184" s="48">
        <v>8978.76</v>
      </c>
      <c r="AU184" s="48">
        <v>10692.28</v>
      </c>
      <c r="AV184" s="48">
        <v>17335.03</v>
      </c>
      <c r="AW184" s="48">
        <v>3999.42</v>
      </c>
      <c r="AX184" s="48">
        <v>10813.33</v>
      </c>
      <c r="AY184" s="48">
        <v>9350.76</v>
      </c>
      <c r="AZ184" s="48">
        <v>15370.14</v>
      </c>
      <c r="BA184" s="48">
        <v>25407.85</v>
      </c>
      <c r="BB184" s="48">
        <v>17785.45</v>
      </c>
      <c r="BC184" s="48">
        <v>16179.3</v>
      </c>
      <c r="BD184" s="48">
        <v>21701.42</v>
      </c>
      <c r="BE184" s="48">
        <v>15302.65</v>
      </c>
      <c r="BF184" s="48">
        <v>13492.13</v>
      </c>
      <c r="BG184" s="48">
        <v>17159.330000000002</v>
      </c>
      <c r="BH184" s="48">
        <v>9382.51</v>
      </c>
      <c r="BI184" s="48">
        <v>14942.18</v>
      </c>
      <c r="BJ184" s="48">
        <v>19083.919999999998</v>
      </c>
      <c r="BK184" s="48">
        <v>12650.97</v>
      </c>
      <c r="BL184" s="48">
        <v>20440.810000000001</v>
      </c>
      <c r="BM184" s="48">
        <v>27281.119999999999</v>
      </c>
      <c r="BN184" s="48">
        <v>30782.400000000001</v>
      </c>
      <c r="BO184" s="48">
        <v>51756.69</v>
      </c>
      <c r="BP184" s="48">
        <v>17659.849999999999</v>
      </c>
      <c r="BQ184" s="48">
        <v>106032.32000000001</v>
      </c>
      <c r="BR184" s="48">
        <v>27461.47</v>
      </c>
      <c r="BS184" s="48">
        <v>14481.89</v>
      </c>
      <c r="BT184" s="48">
        <v>29824.45</v>
      </c>
      <c r="BU184" s="48">
        <v>50170.63</v>
      </c>
      <c r="BV184" s="48">
        <v>33163.11</v>
      </c>
      <c r="BW184" s="48">
        <v>15622.01</v>
      </c>
      <c r="BX184" s="48">
        <v>16610.580000000002</v>
      </c>
      <c r="BY184" s="48">
        <v>77450.11</v>
      </c>
      <c r="BZ184" s="48">
        <v>32035.09</v>
      </c>
      <c r="CA184" s="48">
        <v>8792.25</v>
      </c>
      <c r="CB184" s="48">
        <v>25618.86</v>
      </c>
      <c r="CC184" s="48">
        <v>10053.469999999999</v>
      </c>
      <c r="CD184" s="48">
        <v>8086.65</v>
      </c>
      <c r="CE184" s="48">
        <v>17097.439999999999</v>
      </c>
      <c r="CF184" s="48">
        <v>4531.18</v>
      </c>
      <c r="CG184" s="48">
        <v>42805.66</v>
      </c>
      <c r="CH184" s="48">
        <v>73916.45</v>
      </c>
      <c r="CI184" s="48">
        <v>6370.52</v>
      </c>
      <c r="CJ184" s="48">
        <v>110493.24</v>
      </c>
      <c r="CK184" s="48">
        <v>40637.1</v>
      </c>
      <c r="CL184" s="48">
        <v>40610.32</v>
      </c>
      <c r="CM184" s="48">
        <v>27280.45</v>
      </c>
      <c r="CN184" s="48">
        <v>13747.83</v>
      </c>
      <c r="CO184" s="48">
        <v>42232.77</v>
      </c>
      <c r="CP184" s="48">
        <v>10001.27</v>
      </c>
      <c r="CQ184" s="48">
        <v>16955.3</v>
      </c>
      <c r="CR184" s="48">
        <v>6282.9</v>
      </c>
      <c r="CS184" s="48">
        <v>10884.02</v>
      </c>
      <c r="CT184" s="48">
        <v>42893.599999999999</v>
      </c>
      <c r="CU184" s="48">
        <v>50976.01</v>
      </c>
      <c r="CV184" s="48">
        <v>12848.42</v>
      </c>
      <c r="CW184" s="48">
        <v>20825.43</v>
      </c>
      <c r="CX184" s="48">
        <v>50280.63</v>
      </c>
      <c r="CY184" s="48">
        <v>32619.07</v>
      </c>
      <c r="CZ184" s="48">
        <v>21087.119999999999</v>
      </c>
      <c r="DA184" s="48">
        <v>18654.79</v>
      </c>
      <c r="DB184" s="48">
        <v>20419.55</v>
      </c>
      <c r="DC184" s="48">
        <v>41331.68</v>
      </c>
      <c r="DD184" s="48">
        <v>26246.45</v>
      </c>
      <c r="DE184" s="48">
        <f>VLOOKUP($C184,'[2]Analysis 1'!$C$5:$DG$1025,107,FALSE)</f>
        <v>16676.16</v>
      </c>
      <c r="DF184" s="48">
        <f>VLOOKUP($C184,'[2]Analysis 1'!$C$5:$DG$1025,108,FALSE)</f>
        <v>35550.370000000003</v>
      </c>
      <c r="DG184" s="48">
        <f>VLOOKUP($C184,'[2]Analysis 1'!$C$5:$DG$1025,109,FALSE)</f>
        <v>24163.24</v>
      </c>
      <c r="DH184" s="369">
        <f t="shared" si="4"/>
        <v>320702.90999999997</v>
      </c>
    </row>
    <row r="185" spans="1:112">
      <c r="A185" s="357" t="str">
        <f t="shared" si="5"/>
        <v>6030070</v>
      </c>
      <c r="B185" s="350" t="s">
        <v>2004</v>
      </c>
      <c r="C185" s="335" t="s">
        <v>1092</v>
      </c>
      <c r="D185" s="340">
        <v>13780</v>
      </c>
      <c r="E185" s="340">
        <v>13545</v>
      </c>
      <c r="F185" s="340">
        <v>12046.68</v>
      </c>
      <c r="G185" s="340">
        <v>2146.96</v>
      </c>
      <c r="H185" s="340">
        <v>3979.23</v>
      </c>
      <c r="I185" s="340">
        <v>13452.39</v>
      </c>
      <c r="J185" s="340">
        <v>5586.52</v>
      </c>
      <c r="K185" s="340">
        <v>19282.86</v>
      </c>
      <c r="L185" s="340">
        <v>12491.57</v>
      </c>
      <c r="M185" s="340">
        <v>3488.95</v>
      </c>
      <c r="N185" s="340">
        <v>1550</v>
      </c>
      <c r="O185" s="341">
        <v>6520.66</v>
      </c>
      <c r="P185" s="48">
        <v>0</v>
      </c>
      <c r="Q185" s="48">
        <v>1688.01</v>
      </c>
      <c r="R185" s="48">
        <v>13801.63</v>
      </c>
      <c r="S185" s="48">
        <v>5006.2700000000004</v>
      </c>
      <c r="T185" s="48">
        <v>1374.18</v>
      </c>
      <c r="U185" s="48">
        <v>10895.5</v>
      </c>
      <c r="V185" s="48">
        <v>1533.2</v>
      </c>
      <c r="W185" s="48">
        <v>926.34</v>
      </c>
      <c r="X185" s="48">
        <v>13090.5</v>
      </c>
      <c r="Y185" s="48">
        <v>1600.9</v>
      </c>
      <c r="Z185" s="48">
        <v>3174.36</v>
      </c>
      <c r="AA185" s="48">
        <v>16062.81</v>
      </c>
      <c r="AB185" s="48">
        <v>320</v>
      </c>
      <c r="AC185" s="48">
        <v>4030.45</v>
      </c>
      <c r="AD185" s="48">
        <v>4187.09</v>
      </c>
      <c r="AE185" s="48">
        <v>3371.3</v>
      </c>
      <c r="AF185" s="48">
        <v>5764.95</v>
      </c>
      <c r="AG185" s="48">
        <v>8523.2999999999993</v>
      </c>
      <c r="AH185" s="48">
        <v>1549.95</v>
      </c>
      <c r="AI185" s="48">
        <v>2616.65</v>
      </c>
      <c r="AJ185" s="48">
        <v>6992.8</v>
      </c>
      <c r="AK185" s="48">
        <v>3055.22</v>
      </c>
      <c r="AL185" s="48">
        <v>15674.68</v>
      </c>
      <c r="AM185" s="48">
        <v>13209.97</v>
      </c>
      <c r="AN185" s="48">
        <v>7288.72</v>
      </c>
      <c r="AO185" s="48">
        <v>4860.3</v>
      </c>
      <c r="AP185" s="48">
        <v>4737.78</v>
      </c>
      <c r="AQ185" s="48">
        <v>8685.18</v>
      </c>
      <c r="AR185" s="48">
        <v>12244.38</v>
      </c>
      <c r="AS185" s="48">
        <v>3947.62</v>
      </c>
      <c r="AT185" s="48">
        <v>5183.4799999999996</v>
      </c>
      <c r="AU185" s="48">
        <v>3715</v>
      </c>
      <c r="AV185" s="48">
        <v>4953</v>
      </c>
      <c r="AW185" s="48">
        <v>-3206.48</v>
      </c>
      <c r="AX185" s="48">
        <v>1990.4</v>
      </c>
      <c r="AY185" s="48">
        <v>3624.26</v>
      </c>
      <c r="AZ185" s="48">
        <v>0</v>
      </c>
      <c r="BA185" s="48">
        <v>3258.99</v>
      </c>
      <c r="BB185" s="48">
        <v>2741.03</v>
      </c>
      <c r="BC185" s="48">
        <v>9754.49</v>
      </c>
      <c r="BD185" s="48">
        <v>9993.14</v>
      </c>
      <c r="BE185" s="48">
        <v>2144.96</v>
      </c>
      <c r="BF185" s="48">
        <v>878.94</v>
      </c>
      <c r="BG185" s="48">
        <v>2443.1</v>
      </c>
      <c r="BH185" s="48">
        <v>3130.86</v>
      </c>
      <c r="BI185" s="48">
        <v>11343.52</v>
      </c>
      <c r="BJ185" s="48">
        <v>10898.29</v>
      </c>
      <c r="BK185" s="48">
        <v>11031.25</v>
      </c>
      <c r="BL185" s="48">
        <v>195</v>
      </c>
      <c r="BM185" s="48">
        <v>3648.97</v>
      </c>
      <c r="BN185" s="48">
        <v>9426.42</v>
      </c>
      <c r="BO185" s="48">
        <v>4780.24</v>
      </c>
      <c r="BP185" s="48">
        <v>8446.65</v>
      </c>
      <c r="BQ185" s="48">
        <v>2759.49</v>
      </c>
      <c r="BR185" s="48">
        <v>1271.1500000000001</v>
      </c>
      <c r="BS185" s="48">
        <v>8807.36</v>
      </c>
      <c r="BT185" s="48">
        <v>4084.56</v>
      </c>
      <c r="BU185" s="48">
        <v>11057.75</v>
      </c>
      <c r="BV185" s="48">
        <v>6392.59</v>
      </c>
      <c r="BW185" s="48">
        <v>12938.49</v>
      </c>
      <c r="BX185" s="48">
        <v>2841.7</v>
      </c>
      <c r="BY185" s="48">
        <v>13927.53</v>
      </c>
      <c r="BZ185" s="48">
        <v>12443.43</v>
      </c>
      <c r="CA185" s="48">
        <v>227.42</v>
      </c>
      <c r="CB185" s="48">
        <v>6584.82</v>
      </c>
      <c r="CC185" s="48">
        <v>5487.47</v>
      </c>
      <c r="CD185" s="48">
        <v>3863</v>
      </c>
      <c r="CE185" s="48">
        <v>2548.77</v>
      </c>
      <c r="CF185" s="48">
        <v>2501.54</v>
      </c>
      <c r="CG185" s="48">
        <v>5205.75</v>
      </c>
      <c r="CH185" s="48">
        <v>2759.66</v>
      </c>
      <c r="CI185" s="48">
        <v>14680.45</v>
      </c>
      <c r="CJ185" s="48">
        <v>1249</v>
      </c>
      <c r="CK185" s="48">
        <v>5627.21</v>
      </c>
      <c r="CL185" s="48">
        <v>2460</v>
      </c>
      <c r="CM185" s="48">
        <v>7386.1</v>
      </c>
      <c r="CN185" s="48">
        <v>8985.34</v>
      </c>
      <c r="CO185" s="48">
        <v>6182.16</v>
      </c>
      <c r="CP185" s="48">
        <v>5776.17</v>
      </c>
      <c r="CQ185" s="48">
        <v>4407</v>
      </c>
      <c r="CR185" s="48">
        <v>10049.299999999999</v>
      </c>
      <c r="CS185" s="48">
        <v>16048.34</v>
      </c>
      <c r="CT185" s="48">
        <v>18788.349999999999</v>
      </c>
      <c r="CU185" s="48">
        <v>15741.12</v>
      </c>
      <c r="CV185" s="48">
        <v>4715.07</v>
      </c>
      <c r="CW185" s="48">
        <v>7784.29</v>
      </c>
      <c r="CX185" s="48">
        <v>14857.68</v>
      </c>
      <c r="CY185" s="48">
        <v>22224.57</v>
      </c>
      <c r="CZ185" s="48">
        <v>50696.1</v>
      </c>
      <c r="DA185" s="48">
        <v>37082.480000000003</v>
      </c>
      <c r="DB185" s="48">
        <v>39007.94</v>
      </c>
      <c r="DC185" s="48">
        <v>25955.53</v>
      </c>
      <c r="DD185" s="48">
        <v>32321.13</v>
      </c>
      <c r="DE185" s="48">
        <f>VLOOKUP($C185,'[2]Analysis 1'!$C$5:$DG$1025,107,FALSE)</f>
        <v>49640.89</v>
      </c>
      <c r="DF185" s="48">
        <f>VLOOKUP($C185,'[2]Analysis 1'!$C$5:$DG$1025,108,FALSE)</f>
        <v>18139.240000000002</v>
      </c>
      <c r="DG185" s="48">
        <f>VLOOKUP($C185,'[2]Analysis 1'!$C$5:$DG$1025,109,FALSE)</f>
        <v>13347.88</v>
      </c>
      <c r="DH185" s="369">
        <f t="shared" si="4"/>
        <v>315772.79999999999</v>
      </c>
    </row>
    <row r="186" spans="1:112">
      <c r="A186" s="357" t="str">
        <f t="shared" si="5"/>
        <v>6030080</v>
      </c>
      <c r="B186" s="350" t="s">
        <v>2005</v>
      </c>
      <c r="C186" s="335" t="s">
        <v>1093</v>
      </c>
      <c r="D186" s="367">
        <v>7736</v>
      </c>
      <c r="E186" s="367">
        <v>40559.449999999997</v>
      </c>
      <c r="F186" s="367">
        <v>37419.449999999997</v>
      </c>
      <c r="G186" s="367">
        <v>28269.57</v>
      </c>
      <c r="H186" s="367">
        <v>43552.959999999999</v>
      </c>
      <c r="I186" s="367">
        <v>43523.97</v>
      </c>
      <c r="J186" s="367">
        <v>46204.08</v>
      </c>
      <c r="K186" s="367">
        <v>34164.769999999997</v>
      </c>
      <c r="L186" s="367">
        <v>43093.18</v>
      </c>
      <c r="M186" s="367">
        <v>46775.22</v>
      </c>
      <c r="N186" s="367">
        <v>46288.81</v>
      </c>
      <c r="O186" s="368">
        <v>61326.21</v>
      </c>
      <c r="P186" s="48">
        <v>6916.33</v>
      </c>
      <c r="Q186" s="48">
        <v>34543.440000000002</v>
      </c>
      <c r="R186" s="48">
        <v>45384.85</v>
      </c>
      <c r="S186" s="48">
        <v>46776.38</v>
      </c>
      <c r="T186" s="48">
        <v>50798.14</v>
      </c>
      <c r="U186" s="48">
        <v>59764.42</v>
      </c>
      <c r="V186" s="48">
        <v>58262.63</v>
      </c>
      <c r="W186" s="48">
        <v>44690.879999999997</v>
      </c>
      <c r="X186" s="48">
        <v>46296.63</v>
      </c>
      <c r="Y186" s="48">
        <v>70620.710000000006</v>
      </c>
      <c r="Z186" s="48">
        <v>51525.52</v>
      </c>
      <c r="AA186" s="48">
        <v>77867.92</v>
      </c>
      <c r="AB186" s="48">
        <v>2847.91</v>
      </c>
      <c r="AC186" s="48">
        <v>55202.93</v>
      </c>
      <c r="AD186" s="48">
        <v>44196.55</v>
      </c>
      <c r="AE186" s="48">
        <v>56162.720000000001</v>
      </c>
      <c r="AF186" s="48">
        <v>46056.65</v>
      </c>
      <c r="AG186" s="48">
        <v>71087.83</v>
      </c>
      <c r="AH186" s="48">
        <v>43588.21</v>
      </c>
      <c r="AI186" s="48">
        <v>41371.379999999997</v>
      </c>
      <c r="AJ186" s="48">
        <v>49421.7</v>
      </c>
      <c r="AK186" s="48">
        <v>59642.7</v>
      </c>
      <c r="AL186" s="48">
        <v>44183.79</v>
      </c>
      <c r="AM186" s="48">
        <v>91292.81</v>
      </c>
      <c r="AN186" s="48">
        <v>3192.94</v>
      </c>
      <c r="AO186" s="48">
        <v>30600.28</v>
      </c>
      <c r="AP186" s="48">
        <v>48336.75</v>
      </c>
      <c r="AQ186" s="48">
        <v>36416.910000000003</v>
      </c>
      <c r="AR186" s="48">
        <v>37977.980000000003</v>
      </c>
      <c r="AS186" s="48">
        <v>45772.37</v>
      </c>
      <c r="AT186" s="48">
        <v>40382.53</v>
      </c>
      <c r="AU186" s="48">
        <v>30051.26</v>
      </c>
      <c r="AV186" s="48">
        <v>61781.81</v>
      </c>
      <c r="AW186" s="48">
        <v>31247.68</v>
      </c>
      <c r="AX186" s="48">
        <v>48561.1</v>
      </c>
      <c r="AY186" s="48">
        <v>82167.350000000006</v>
      </c>
      <c r="AZ186" s="48">
        <v>5910.29</v>
      </c>
      <c r="BA186" s="48">
        <v>60397.09</v>
      </c>
      <c r="BB186" s="48">
        <v>80157.72</v>
      </c>
      <c r="BC186" s="48">
        <v>52719.7</v>
      </c>
      <c r="BD186" s="48">
        <v>86397.46</v>
      </c>
      <c r="BE186" s="48">
        <v>63832.38</v>
      </c>
      <c r="BF186" s="48">
        <v>59296.28</v>
      </c>
      <c r="BG186" s="48">
        <v>57948.59</v>
      </c>
      <c r="BH186" s="48">
        <v>65526.16</v>
      </c>
      <c r="BI186" s="48">
        <v>45468.6</v>
      </c>
      <c r="BJ186" s="48">
        <v>60477.42</v>
      </c>
      <c r="BK186" s="48">
        <v>107158.8</v>
      </c>
      <c r="BL186" s="48">
        <v>13068.48</v>
      </c>
      <c r="BM186" s="48">
        <v>88142.83</v>
      </c>
      <c r="BN186" s="48">
        <v>70982.2</v>
      </c>
      <c r="BO186" s="48">
        <v>51904.08</v>
      </c>
      <c r="BP186" s="48">
        <v>66110.69</v>
      </c>
      <c r="BQ186" s="48">
        <v>76297.039999999994</v>
      </c>
      <c r="BR186" s="48">
        <v>75036.28</v>
      </c>
      <c r="BS186" s="48">
        <v>76258.17</v>
      </c>
      <c r="BT186" s="48">
        <v>98859.61</v>
      </c>
      <c r="BU186" s="48">
        <v>83029.08</v>
      </c>
      <c r="BV186" s="48">
        <v>62183.839999999997</v>
      </c>
      <c r="BW186" s="48">
        <v>112337.1</v>
      </c>
      <c r="BX186" s="48">
        <v>12463.05</v>
      </c>
      <c r="BY186" s="48">
        <v>63082.85</v>
      </c>
      <c r="BZ186" s="48">
        <v>90792.7</v>
      </c>
      <c r="CA186" s="48">
        <v>45355.74</v>
      </c>
      <c r="CB186" s="48">
        <v>2199.6999999999998</v>
      </c>
      <c r="CC186" s="48">
        <v>4014.23</v>
      </c>
      <c r="CD186" s="48">
        <v>16428.41</v>
      </c>
      <c r="CE186" s="48">
        <v>28465.84</v>
      </c>
      <c r="CF186" s="48">
        <v>41892.58</v>
      </c>
      <c r="CG186" s="48">
        <v>25637.71</v>
      </c>
      <c r="CH186" s="48">
        <v>27798.720000000001</v>
      </c>
      <c r="CI186" s="48">
        <v>32269.71</v>
      </c>
      <c r="CJ186" s="48">
        <v>13099.26</v>
      </c>
      <c r="CK186" s="48">
        <v>33961.43</v>
      </c>
      <c r="CL186" s="48">
        <v>44437.73</v>
      </c>
      <c r="CM186" s="48">
        <v>43745.52</v>
      </c>
      <c r="CN186" s="48">
        <v>49384.1</v>
      </c>
      <c r="CO186" s="48">
        <v>41439.51</v>
      </c>
      <c r="CP186" s="48">
        <v>39544.49</v>
      </c>
      <c r="CQ186" s="48">
        <v>61540.95</v>
      </c>
      <c r="CR186" s="48">
        <v>52182.32</v>
      </c>
      <c r="CS186" s="48">
        <v>38707.06</v>
      </c>
      <c r="CT186" s="48">
        <v>67333.06</v>
      </c>
      <c r="CU186" s="48">
        <v>96415.49</v>
      </c>
      <c r="CV186" s="48">
        <v>22711.759999999998</v>
      </c>
      <c r="CW186" s="48">
        <v>47441.98</v>
      </c>
      <c r="CX186" s="48">
        <v>79919.55</v>
      </c>
      <c r="CY186" s="48">
        <v>83058.63</v>
      </c>
      <c r="CZ186" s="48">
        <v>97537.24</v>
      </c>
      <c r="DA186" s="48">
        <v>101485.24</v>
      </c>
      <c r="DB186" s="48">
        <v>62792.51</v>
      </c>
      <c r="DC186" s="48">
        <v>150282.47</v>
      </c>
      <c r="DD186" s="48">
        <v>97040.52</v>
      </c>
      <c r="DE186" s="48">
        <f>VLOOKUP($C186,'[2]Analysis 1'!$C$5:$DG$1025,107,FALSE)</f>
        <v>130548.85</v>
      </c>
      <c r="DF186" s="48">
        <f>VLOOKUP($C186,'[2]Analysis 1'!$C$5:$DG$1025,108,FALSE)</f>
        <v>142154.10999999999</v>
      </c>
      <c r="DG186" s="48">
        <f>VLOOKUP($C186,'[2]Analysis 1'!$C$5:$DG$1025,109,FALSE)</f>
        <v>135571.6</v>
      </c>
      <c r="DH186" s="369">
        <f t="shared" si="4"/>
        <v>1150544.46</v>
      </c>
    </row>
    <row r="187" spans="1:112">
      <c r="A187" s="357" t="str">
        <f>+B187</f>
        <v>6030090</v>
      </c>
      <c r="B187" s="350" t="s">
        <v>2528</v>
      </c>
      <c r="C187" s="955" t="s">
        <v>2530</v>
      </c>
      <c r="D187" s="48">
        <v>0</v>
      </c>
      <c r="E187" s="48">
        <v>0</v>
      </c>
      <c r="F187" s="48">
        <v>0</v>
      </c>
      <c r="G187" s="48">
        <v>0</v>
      </c>
      <c r="H187" s="48">
        <v>0</v>
      </c>
      <c r="I187" s="48">
        <v>0</v>
      </c>
      <c r="J187" s="48">
        <v>0</v>
      </c>
      <c r="K187" s="48">
        <v>0</v>
      </c>
      <c r="L187" s="48">
        <v>0</v>
      </c>
      <c r="M187" s="48">
        <v>0</v>
      </c>
      <c r="N187" s="48">
        <v>0</v>
      </c>
      <c r="O187" s="48">
        <v>0</v>
      </c>
      <c r="P187" s="48">
        <v>0</v>
      </c>
      <c r="Q187" s="48">
        <v>0</v>
      </c>
      <c r="R187" s="48">
        <v>0</v>
      </c>
      <c r="S187" s="48">
        <v>0</v>
      </c>
      <c r="T187" s="48">
        <v>0</v>
      </c>
      <c r="U187" s="48">
        <v>0</v>
      </c>
      <c r="V187" s="48">
        <v>0</v>
      </c>
      <c r="W187" s="48">
        <v>0</v>
      </c>
      <c r="X187" s="48">
        <v>0</v>
      </c>
      <c r="Y187" s="48">
        <v>0</v>
      </c>
      <c r="Z187" s="48">
        <v>0</v>
      </c>
      <c r="AA187" s="48">
        <v>0</v>
      </c>
      <c r="AB187" s="48">
        <v>0</v>
      </c>
      <c r="AC187" s="48">
        <v>0</v>
      </c>
      <c r="AD187" s="48">
        <v>0</v>
      </c>
      <c r="AE187" s="48">
        <v>0</v>
      </c>
      <c r="AF187" s="48">
        <v>0</v>
      </c>
      <c r="AG187" s="48">
        <v>0</v>
      </c>
      <c r="AH187" s="48">
        <v>0</v>
      </c>
      <c r="AI187" s="48">
        <v>0</v>
      </c>
      <c r="AJ187" s="48">
        <v>0</v>
      </c>
      <c r="AK187" s="48">
        <v>0</v>
      </c>
      <c r="AL187" s="48">
        <v>0</v>
      </c>
      <c r="AM187" s="48">
        <v>0</v>
      </c>
      <c r="AN187" s="48">
        <v>0</v>
      </c>
      <c r="AO187" s="48">
        <v>0</v>
      </c>
      <c r="AP187" s="48">
        <v>0</v>
      </c>
      <c r="AQ187" s="48">
        <v>0</v>
      </c>
      <c r="AR187" s="48">
        <v>0</v>
      </c>
      <c r="AS187" s="48">
        <v>0</v>
      </c>
      <c r="AT187" s="48">
        <v>0</v>
      </c>
      <c r="AU187" s="48">
        <v>0</v>
      </c>
      <c r="AV187" s="48">
        <v>0</v>
      </c>
      <c r="AW187" s="48">
        <v>0</v>
      </c>
      <c r="AX187" s="48">
        <v>0</v>
      </c>
      <c r="AY187" s="48">
        <v>0</v>
      </c>
      <c r="AZ187" s="48">
        <v>0</v>
      </c>
      <c r="BA187" s="48">
        <v>0</v>
      </c>
      <c r="BB187" s="48">
        <v>0</v>
      </c>
      <c r="BC187" s="48">
        <v>0</v>
      </c>
      <c r="BD187" s="48">
        <v>0</v>
      </c>
      <c r="BE187" s="48">
        <v>0</v>
      </c>
      <c r="BF187" s="48">
        <v>0</v>
      </c>
      <c r="BG187" s="48">
        <v>0</v>
      </c>
      <c r="BH187" s="48">
        <v>0</v>
      </c>
      <c r="BI187" s="48">
        <v>0</v>
      </c>
      <c r="BJ187" s="48">
        <v>0</v>
      </c>
      <c r="BK187" s="48">
        <v>0</v>
      </c>
      <c r="BL187" s="48">
        <v>0</v>
      </c>
      <c r="BM187" s="48">
        <v>0</v>
      </c>
      <c r="BN187" s="48">
        <v>0</v>
      </c>
      <c r="BO187" s="48">
        <v>0</v>
      </c>
      <c r="BP187" s="48">
        <v>0</v>
      </c>
      <c r="BQ187" s="48">
        <v>0</v>
      </c>
      <c r="BR187" s="48">
        <v>0</v>
      </c>
      <c r="BS187" s="48">
        <v>0</v>
      </c>
      <c r="BT187" s="48">
        <v>0</v>
      </c>
      <c r="BU187" s="48">
        <v>0</v>
      </c>
      <c r="BV187" s="48">
        <v>0</v>
      </c>
      <c r="BW187" s="48">
        <v>0</v>
      </c>
      <c r="BX187" s="48">
        <v>0</v>
      </c>
      <c r="BY187" s="48">
        <v>0</v>
      </c>
      <c r="BZ187" s="48">
        <v>0</v>
      </c>
      <c r="CA187" s="48">
        <v>0</v>
      </c>
      <c r="CB187" s="48">
        <v>0</v>
      </c>
      <c r="CC187" s="48">
        <v>0</v>
      </c>
      <c r="CD187" s="48">
        <v>0</v>
      </c>
      <c r="CE187" s="48">
        <v>2500</v>
      </c>
      <c r="CF187" s="48">
        <v>0</v>
      </c>
      <c r="CG187" s="48">
        <v>0</v>
      </c>
      <c r="CH187" s="48">
        <v>0</v>
      </c>
      <c r="CI187" s="48">
        <v>0</v>
      </c>
      <c r="CJ187" s="48">
        <v>0</v>
      </c>
      <c r="CK187" s="48">
        <v>0</v>
      </c>
      <c r="CL187" s="48">
        <v>0</v>
      </c>
      <c r="CM187" s="48">
        <v>0</v>
      </c>
      <c r="CN187" s="48">
        <v>0</v>
      </c>
      <c r="CO187" s="48">
        <v>0</v>
      </c>
      <c r="CP187" s="48">
        <v>0</v>
      </c>
      <c r="CQ187" s="48">
        <v>0</v>
      </c>
      <c r="CR187" s="48">
        <v>0</v>
      </c>
      <c r="CS187" s="48">
        <v>0</v>
      </c>
      <c r="CT187" s="48">
        <v>0</v>
      </c>
      <c r="CU187" s="48">
        <v>1000</v>
      </c>
      <c r="CV187" s="48">
        <v>0</v>
      </c>
      <c r="CW187" s="48">
        <v>0</v>
      </c>
      <c r="CX187" s="48">
        <v>0</v>
      </c>
      <c r="CY187" s="48">
        <v>0</v>
      </c>
      <c r="CZ187" s="48">
        <v>0</v>
      </c>
      <c r="DA187" s="48">
        <v>0</v>
      </c>
      <c r="DB187" s="48">
        <v>370</v>
      </c>
      <c r="DC187" s="48">
        <v>0</v>
      </c>
      <c r="DD187" s="48">
        <v>0</v>
      </c>
      <c r="DE187" s="48">
        <f>VLOOKUP($C187,'[2]Analysis 1'!$C$5:$DG$1025,107,FALSE)</f>
        <v>809</v>
      </c>
      <c r="DF187" s="48">
        <f>VLOOKUP($C187,'[2]Analysis 1'!$C$5:$DG$1025,108,FALSE)</f>
        <v>1230</v>
      </c>
      <c r="DG187" s="48">
        <f>VLOOKUP($C187,'[2]Analysis 1'!$C$5:$DG$1025,109,FALSE)</f>
        <v>0</v>
      </c>
      <c r="DH187" s="369">
        <f t="shared" si="4"/>
        <v>2409</v>
      </c>
    </row>
    <row r="188" spans="1:112">
      <c r="A188" s="357" t="str">
        <f>+B188</f>
        <v>6030091</v>
      </c>
      <c r="B188" s="350" t="s">
        <v>2529</v>
      </c>
      <c r="C188" s="955" t="s">
        <v>2531</v>
      </c>
      <c r="D188" s="48">
        <v>0</v>
      </c>
      <c r="E188" s="48">
        <v>0</v>
      </c>
      <c r="F188" s="48">
        <v>0</v>
      </c>
      <c r="G188" s="48">
        <v>0</v>
      </c>
      <c r="H188" s="48">
        <v>0</v>
      </c>
      <c r="I188" s="48">
        <v>0</v>
      </c>
      <c r="J188" s="48">
        <v>0</v>
      </c>
      <c r="K188" s="48">
        <v>0</v>
      </c>
      <c r="L188" s="48">
        <v>0</v>
      </c>
      <c r="M188" s="48">
        <v>0</v>
      </c>
      <c r="N188" s="48">
        <v>0</v>
      </c>
      <c r="O188" s="48">
        <v>0</v>
      </c>
      <c r="P188" s="48">
        <v>0</v>
      </c>
      <c r="Q188" s="48">
        <v>0</v>
      </c>
      <c r="R188" s="48">
        <v>0</v>
      </c>
      <c r="S188" s="48">
        <v>0</v>
      </c>
      <c r="T188" s="48">
        <v>0</v>
      </c>
      <c r="U188" s="48">
        <v>0</v>
      </c>
      <c r="V188" s="48">
        <v>0</v>
      </c>
      <c r="W188" s="48">
        <v>0</v>
      </c>
      <c r="X188" s="48">
        <v>0</v>
      </c>
      <c r="Y188" s="48">
        <v>0</v>
      </c>
      <c r="Z188" s="48">
        <v>0</v>
      </c>
      <c r="AA188" s="48">
        <v>0</v>
      </c>
      <c r="AB188" s="48">
        <v>0</v>
      </c>
      <c r="AC188" s="48">
        <v>0</v>
      </c>
      <c r="AD188" s="48">
        <v>0</v>
      </c>
      <c r="AE188" s="48">
        <v>0</v>
      </c>
      <c r="AF188" s="48">
        <v>0</v>
      </c>
      <c r="AG188" s="48">
        <v>0</v>
      </c>
      <c r="AH188" s="48">
        <v>0</v>
      </c>
      <c r="AI188" s="48">
        <v>0</v>
      </c>
      <c r="AJ188" s="48">
        <v>0</v>
      </c>
      <c r="AK188" s="48">
        <v>0</v>
      </c>
      <c r="AL188" s="48">
        <v>0</v>
      </c>
      <c r="AM188" s="48">
        <v>0</v>
      </c>
      <c r="AN188" s="48">
        <v>0</v>
      </c>
      <c r="AO188" s="48">
        <v>0</v>
      </c>
      <c r="AP188" s="48">
        <v>0</v>
      </c>
      <c r="AQ188" s="48">
        <v>0</v>
      </c>
      <c r="AR188" s="48">
        <v>0</v>
      </c>
      <c r="AS188" s="48">
        <v>0</v>
      </c>
      <c r="AT188" s="48">
        <v>0</v>
      </c>
      <c r="AU188" s="48">
        <v>0</v>
      </c>
      <c r="AV188" s="48">
        <v>0</v>
      </c>
      <c r="AW188" s="48">
        <v>0</v>
      </c>
      <c r="AX188" s="48">
        <v>0</v>
      </c>
      <c r="AY188" s="48">
        <v>0</v>
      </c>
      <c r="AZ188" s="48">
        <v>0</v>
      </c>
      <c r="BA188" s="48">
        <v>0</v>
      </c>
      <c r="BB188" s="48">
        <v>0</v>
      </c>
      <c r="BC188" s="48">
        <v>0</v>
      </c>
      <c r="BD188" s="48">
        <v>0</v>
      </c>
      <c r="BE188" s="48">
        <v>0</v>
      </c>
      <c r="BF188" s="48">
        <v>0</v>
      </c>
      <c r="BG188" s="48">
        <v>0</v>
      </c>
      <c r="BH188" s="48">
        <v>0</v>
      </c>
      <c r="BI188" s="48">
        <v>0</v>
      </c>
      <c r="BJ188" s="48">
        <v>0</v>
      </c>
      <c r="BK188" s="48">
        <v>0</v>
      </c>
      <c r="BL188" s="48">
        <v>0</v>
      </c>
      <c r="BM188" s="48">
        <v>0</v>
      </c>
      <c r="BN188" s="48">
        <v>0</v>
      </c>
      <c r="BO188" s="48">
        <v>0</v>
      </c>
      <c r="BP188" s="48">
        <v>0</v>
      </c>
      <c r="BQ188" s="48">
        <v>0</v>
      </c>
      <c r="BR188" s="48">
        <v>0</v>
      </c>
      <c r="BS188" s="48">
        <v>0</v>
      </c>
      <c r="BT188" s="48">
        <v>0</v>
      </c>
      <c r="BU188" s="48">
        <v>0</v>
      </c>
      <c r="BV188" s="48">
        <v>0</v>
      </c>
      <c r="BW188" s="48">
        <v>0</v>
      </c>
      <c r="BX188" s="48">
        <v>0</v>
      </c>
      <c r="BY188" s="48">
        <v>0</v>
      </c>
      <c r="BZ188" s="48">
        <v>0</v>
      </c>
      <c r="CA188" s="48">
        <v>0</v>
      </c>
      <c r="CB188" s="48">
        <v>0</v>
      </c>
      <c r="CC188" s="48">
        <v>0</v>
      </c>
      <c r="CD188" s="48">
        <v>0</v>
      </c>
      <c r="CE188" s="48">
        <v>320.01</v>
      </c>
      <c r="CF188" s="48">
        <v>869.41</v>
      </c>
      <c r="CG188" s="48">
        <v>216.13</v>
      </c>
      <c r="CH188" s="48">
        <v>1105.3499999999999</v>
      </c>
      <c r="CI188" s="48">
        <v>7247.38</v>
      </c>
      <c r="CJ188" s="48">
        <v>4063.79</v>
      </c>
      <c r="CK188" s="48">
        <v>794.39</v>
      </c>
      <c r="CL188" s="48">
        <v>1673.25</v>
      </c>
      <c r="CM188" s="48">
        <v>2261.7399999999998</v>
      </c>
      <c r="CN188" s="48">
        <v>1987.87</v>
      </c>
      <c r="CO188" s="48">
        <v>2663.46</v>
      </c>
      <c r="CP188" s="48">
        <v>819.08</v>
      </c>
      <c r="CQ188" s="48">
        <v>518.72</v>
      </c>
      <c r="CR188" s="48">
        <v>516.66</v>
      </c>
      <c r="CS188" s="48">
        <v>931.26</v>
      </c>
      <c r="CT188" s="48">
        <v>4634.03</v>
      </c>
      <c r="CU188" s="48">
        <v>7850.82</v>
      </c>
      <c r="CV188" s="48">
        <v>6094.89</v>
      </c>
      <c r="CW188" s="48">
        <v>2612.5100000000002</v>
      </c>
      <c r="CX188" s="48">
        <v>1293.5999999999999</v>
      </c>
      <c r="CY188" s="48">
        <v>4254.6899999999996</v>
      </c>
      <c r="CZ188" s="48">
        <v>2803.23</v>
      </c>
      <c r="DA188" s="48">
        <v>3274.12</v>
      </c>
      <c r="DB188" s="48">
        <v>311.57</v>
      </c>
      <c r="DC188" s="48">
        <v>1845.87</v>
      </c>
      <c r="DD188" s="48">
        <v>1787.77</v>
      </c>
      <c r="DE188" s="48">
        <f>VLOOKUP($C188,'[2]Analysis 1'!$C$5:$DG$1025,107,FALSE)</f>
        <v>3937.05</v>
      </c>
      <c r="DF188" s="48">
        <f>VLOOKUP($C188,'[2]Analysis 1'!$C$5:$DG$1025,108,FALSE)</f>
        <v>3647.97</v>
      </c>
      <c r="DG188" s="48">
        <f>VLOOKUP($C188,'[2]Analysis 1'!$C$5:$DG$1025,109,FALSE)</f>
        <v>5412.95</v>
      </c>
      <c r="DH188" s="369">
        <f t="shared" si="4"/>
        <v>37276.22</v>
      </c>
    </row>
    <row r="189" spans="1:112">
      <c r="A189" s="357" t="str">
        <f t="shared" si="5"/>
        <v>6030800</v>
      </c>
      <c r="B189" s="350" t="s">
        <v>2006</v>
      </c>
      <c r="C189" s="335" t="s">
        <v>1094</v>
      </c>
      <c r="D189" s="340">
        <v>20086.47</v>
      </c>
      <c r="E189" s="340">
        <v>17769.22</v>
      </c>
      <c r="F189" s="340">
        <v>13638.02</v>
      </c>
      <c r="G189" s="340">
        <v>22443.08</v>
      </c>
      <c r="H189" s="340">
        <v>11696.11</v>
      </c>
      <c r="I189" s="340">
        <v>27724.27</v>
      </c>
      <c r="J189" s="340">
        <v>12185.42</v>
      </c>
      <c r="K189" s="340">
        <v>17499.419999999998</v>
      </c>
      <c r="L189" s="340">
        <v>11313.25</v>
      </c>
      <c r="M189" s="340">
        <v>29687.79</v>
      </c>
      <c r="N189" s="340">
        <v>14899.61</v>
      </c>
      <c r="O189" s="341">
        <v>33033.26</v>
      </c>
      <c r="P189" s="48">
        <v>6000.59</v>
      </c>
      <c r="Q189" s="48">
        <v>14661.56</v>
      </c>
      <c r="R189" s="48">
        <v>15983.69</v>
      </c>
      <c r="S189" s="48">
        <v>16702.48</v>
      </c>
      <c r="T189" s="48">
        <v>21376.240000000002</v>
      </c>
      <c r="U189" s="48">
        <v>20202.59</v>
      </c>
      <c r="V189" s="48">
        <v>17610.59</v>
      </c>
      <c r="W189" s="48">
        <v>22193.08</v>
      </c>
      <c r="X189" s="48">
        <v>29491.56</v>
      </c>
      <c r="Y189" s="48">
        <v>33476.04</v>
      </c>
      <c r="Z189" s="48">
        <v>16907.310000000001</v>
      </c>
      <c r="AA189" s="48">
        <v>42782.86</v>
      </c>
      <c r="AB189" s="48">
        <v>25509.82</v>
      </c>
      <c r="AC189" s="48">
        <v>19871.55</v>
      </c>
      <c r="AD189" s="48">
        <v>16988.29</v>
      </c>
      <c r="AE189" s="48">
        <v>19511.87</v>
      </c>
      <c r="AF189" s="48">
        <v>16345.55</v>
      </c>
      <c r="AG189" s="48">
        <v>17683.38</v>
      </c>
      <c r="AH189" s="48">
        <v>14454.65</v>
      </c>
      <c r="AI189" s="48">
        <v>33103.660000000003</v>
      </c>
      <c r="AJ189" s="48">
        <v>25112.400000000001</v>
      </c>
      <c r="AK189" s="48">
        <v>19863.509999999998</v>
      </c>
      <c r="AL189" s="48">
        <v>27004.92</v>
      </c>
      <c r="AM189" s="48">
        <v>49245.77</v>
      </c>
      <c r="AN189" s="48">
        <v>4102.05</v>
      </c>
      <c r="AO189" s="48">
        <v>33113.129999999997</v>
      </c>
      <c r="AP189" s="48">
        <v>17246.810000000001</v>
      </c>
      <c r="AQ189" s="48">
        <v>23900.22</v>
      </c>
      <c r="AR189" s="48">
        <v>22583.119999999999</v>
      </c>
      <c r="AS189" s="48">
        <v>14361.51</v>
      </c>
      <c r="AT189" s="48">
        <v>13390.62</v>
      </c>
      <c r="AU189" s="48">
        <v>20852.650000000001</v>
      </c>
      <c r="AV189" s="48">
        <v>18931.23</v>
      </c>
      <c r="AW189" s="48">
        <v>25103.77</v>
      </c>
      <c r="AX189" s="48">
        <v>21376.65</v>
      </c>
      <c r="AY189" s="48">
        <v>31775.03</v>
      </c>
      <c r="AZ189" s="48">
        <v>6146.3</v>
      </c>
      <c r="BA189" s="48">
        <v>19009.09</v>
      </c>
      <c r="BB189" s="48">
        <v>16546.330000000002</v>
      </c>
      <c r="BC189" s="48">
        <v>22908.65</v>
      </c>
      <c r="BD189" s="48">
        <v>29676.02</v>
      </c>
      <c r="BE189" s="48">
        <v>30894.66</v>
      </c>
      <c r="BF189" s="48">
        <v>12786.32</v>
      </c>
      <c r="BG189" s="48">
        <v>23931.599999999999</v>
      </c>
      <c r="BH189" s="48">
        <v>13052.59</v>
      </c>
      <c r="BI189" s="48">
        <v>16266</v>
      </c>
      <c r="BJ189" s="48">
        <v>20346.7</v>
      </c>
      <c r="BK189" s="48">
        <v>22394.58</v>
      </c>
      <c r="BL189" s="48">
        <v>4335.07</v>
      </c>
      <c r="BM189" s="48">
        <v>11192.94</v>
      </c>
      <c r="BN189" s="48">
        <v>27113.66</v>
      </c>
      <c r="BO189" s="48">
        <v>9937.0400000000009</v>
      </c>
      <c r="BP189" s="48">
        <v>14410.31</v>
      </c>
      <c r="BQ189" s="48">
        <v>17696</v>
      </c>
      <c r="BR189" s="48">
        <v>43108.4</v>
      </c>
      <c r="BS189" s="48">
        <v>42107.62</v>
      </c>
      <c r="BT189" s="48">
        <v>30278.95</v>
      </c>
      <c r="BU189" s="48">
        <v>40479.57</v>
      </c>
      <c r="BV189" s="48">
        <v>85744.639999999999</v>
      </c>
      <c r="BW189" s="48">
        <v>77597.09</v>
      </c>
      <c r="BX189" s="48">
        <v>1140.3900000000001</v>
      </c>
      <c r="BY189" s="48">
        <v>37356.19</v>
      </c>
      <c r="BZ189" s="48">
        <v>85623.3</v>
      </c>
      <c r="CA189" s="48">
        <v>33287.31</v>
      </c>
      <c r="CB189" s="48">
        <v>28554.15</v>
      </c>
      <c r="CC189" s="48">
        <v>29974.95</v>
      </c>
      <c r="CD189" s="48">
        <v>-2990.04</v>
      </c>
      <c r="CE189" s="48">
        <v>29298.32</v>
      </c>
      <c r="CF189" s="48">
        <v>31958.03</v>
      </c>
      <c r="CG189" s="48">
        <v>23753.86</v>
      </c>
      <c r="CH189" s="48">
        <v>16529.13</v>
      </c>
      <c r="CI189" s="48">
        <v>33935.14</v>
      </c>
      <c r="CJ189" s="48">
        <v>6574.57</v>
      </c>
      <c r="CK189" s="48">
        <v>42065.74</v>
      </c>
      <c r="CL189" s="48">
        <v>14197.5</v>
      </c>
      <c r="CM189" s="48">
        <v>26016.91</v>
      </c>
      <c r="CN189" s="48">
        <v>18873.53</v>
      </c>
      <c r="CO189" s="48">
        <v>23484.05</v>
      </c>
      <c r="CP189" s="48">
        <v>18780.830000000002</v>
      </c>
      <c r="CQ189" s="48">
        <v>60048.38</v>
      </c>
      <c r="CR189" s="48">
        <v>28105.91</v>
      </c>
      <c r="CS189" s="48">
        <v>17673.93</v>
      </c>
      <c r="CT189" s="48">
        <v>36943.96</v>
      </c>
      <c r="CU189" s="48">
        <v>27326.76</v>
      </c>
      <c r="CV189" s="48">
        <v>25752.27</v>
      </c>
      <c r="CW189" s="48">
        <v>23537.67</v>
      </c>
      <c r="CX189" s="48">
        <v>42869.82</v>
      </c>
      <c r="CY189" s="48">
        <v>22084.13</v>
      </c>
      <c r="CZ189" s="48">
        <v>11339.15</v>
      </c>
      <c r="DA189" s="48">
        <v>26730.76</v>
      </c>
      <c r="DB189" s="48">
        <v>10354.39</v>
      </c>
      <c r="DC189" s="48">
        <v>10221.370000000001</v>
      </c>
      <c r="DD189" s="48">
        <v>67185.53</v>
      </c>
      <c r="DE189" s="48">
        <f>VLOOKUP($C189,'[2]Analysis 1'!$C$5:$DG$1025,107,FALSE)</f>
        <v>31053.53</v>
      </c>
      <c r="DF189" s="48">
        <f>VLOOKUP($C189,'[2]Analysis 1'!$C$5:$DG$1025,108,FALSE)</f>
        <v>118643.28</v>
      </c>
      <c r="DG189" s="48">
        <f>VLOOKUP($C189,'[2]Analysis 1'!$C$5:$DG$1025,109,FALSE)</f>
        <v>111379.06</v>
      </c>
      <c r="DH189" s="369">
        <f t="shared" si="4"/>
        <v>501150.96</v>
      </c>
    </row>
    <row r="190" spans="1:112">
      <c r="A190" s="357" t="str">
        <f t="shared" si="5"/>
        <v>6038999</v>
      </c>
      <c r="B190" s="350" t="s">
        <v>2007</v>
      </c>
      <c r="C190" s="335" t="s">
        <v>1095</v>
      </c>
      <c r="D190" s="367">
        <v>0</v>
      </c>
      <c r="E190" s="367">
        <v>0</v>
      </c>
      <c r="F190" s="367">
        <v>0</v>
      </c>
      <c r="G190" s="367">
        <v>0</v>
      </c>
      <c r="H190" s="367">
        <v>0</v>
      </c>
      <c r="I190" s="367">
        <v>0</v>
      </c>
      <c r="J190" s="367">
        <v>0</v>
      </c>
      <c r="K190" s="367">
        <v>0</v>
      </c>
      <c r="L190" s="367">
        <v>0</v>
      </c>
      <c r="M190" s="367">
        <v>0</v>
      </c>
      <c r="N190" s="367">
        <v>204.7</v>
      </c>
      <c r="O190" s="368">
        <v>0</v>
      </c>
      <c r="P190" s="48">
        <v>0</v>
      </c>
      <c r="Q190" s="48">
        <v>0</v>
      </c>
      <c r="R190" s="48">
        <v>0</v>
      </c>
      <c r="S190" s="48">
        <v>0</v>
      </c>
      <c r="T190" s="48">
        <v>0</v>
      </c>
      <c r="U190" s="48">
        <v>0</v>
      </c>
      <c r="V190" s="48">
        <v>204.7</v>
      </c>
      <c r="W190" s="48">
        <v>0</v>
      </c>
      <c r="X190" s="48">
        <v>0</v>
      </c>
      <c r="Y190" s="48">
        <v>0</v>
      </c>
      <c r="Z190" s="48">
        <v>0</v>
      </c>
      <c r="AA190" s="48">
        <v>0</v>
      </c>
      <c r="AB190" s="48">
        <v>0</v>
      </c>
      <c r="AC190" s="48">
        <v>0</v>
      </c>
      <c r="AD190" s="48">
        <v>0</v>
      </c>
      <c r="AE190" s="48">
        <v>0</v>
      </c>
      <c r="AF190" s="48">
        <v>0</v>
      </c>
      <c r="AG190" s="48">
        <v>0</v>
      </c>
      <c r="AH190" s="48">
        <v>0</v>
      </c>
      <c r="AI190" s="48">
        <v>0</v>
      </c>
      <c r="AJ190" s="48">
        <v>0</v>
      </c>
      <c r="AK190" s="48">
        <v>0</v>
      </c>
      <c r="AL190" s="48">
        <v>0</v>
      </c>
      <c r="AM190" s="48">
        <v>1244.3599999999999</v>
      </c>
      <c r="AN190" s="48">
        <v>53.71</v>
      </c>
      <c r="AO190" s="48">
        <v>-0.06</v>
      </c>
      <c r="AP190" s="48">
        <v>0</v>
      </c>
      <c r="AQ190" s="48">
        <v>2.4</v>
      </c>
      <c r="AR190" s="48">
        <v>0</v>
      </c>
      <c r="AS190" s="48">
        <v>0</v>
      </c>
      <c r="AT190" s="48">
        <v>0</v>
      </c>
      <c r="AU190" s="48">
        <v>0</v>
      </c>
      <c r="AV190" s="48">
        <v>0</v>
      </c>
      <c r="AW190" s="48">
        <v>0</v>
      </c>
      <c r="AX190" s="48">
        <v>0</v>
      </c>
      <c r="AY190" s="48">
        <v>0</v>
      </c>
      <c r="AZ190" s="48">
        <v>0</v>
      </c>
      <c r="BA190" s="48">
        <v>824.02</v>
      </c>
      <c r="BB190" s="48">
        <v>0</v>
      </c>
      <c r="BC190" s="48">
        <v>0</v>
      </c>
      <c r="BD190" s="48">
        <v>0</v>
      </c>
      <c r="BE190" s="48">
        <v>0</v>
      </c>
      <c r="BF190" s="48">
        <v>0</v>
      </c>
      <c r="BG190" s="48">
        <v>605.25</v>
      </c>
      <c r="BH190" s="48">
        <v>0</v>
      </c>
      <c r="BI190" s="48">
        <v>0</v>
      </c>
      <c r="BJ190" s="48">
        <v>21.89</v>
      </c>
      <c r="BK190" s="48">
        <v>1141.04</v>
      </c>
      <c r="BL190" s="48">
        <v>0</v>
      </c>
      <c r="BM190" s="48">
        <v>-377.18</v>
      </c>
      <c r="BN190" s="48">
        <v>1401.13</v>
      </c>
      <c r="BO190" s="48">
        <v>501.58</v>
      </c>
      <c r="BP190" s="48">
        <v>111.06</v>
      </c>
      <c r="BQ190" s="48">
        <v>866.07</v>
      </c>
      <c r="BR190" s="48">
        <v>946.84</v>
      </c>
      <c r="BS190" s="48">
        <v>526.53</v>
      </c>
      <c r="BT190" s="48">
        <v>1035.1199999999999</v>
      </c>
      <c r="BU190" s="48">
        <v>1707.5</v>
      </c>
      <c r="BV190" s="48">
        <v>783.36</v>
      </c>
      <c r="BW190" s="48">
        <v>1287.05</v>
      </c>
      <c r="BX190" s="48">
        <v>0</v>
      </c>
      <c r="BY190" s="48">
        <v>803.57</v>
      </c>
      <c r="BZ190" s="48">
        <v>0</v>
      </c>
      <c r="CA190" s="48">
        <v>0</v>
      </c>
      <c r="CB190" s="48">
        <v>0</v>
      </c>
      <c r="CC190" s="48">
        <v>0</v>
      </c>
      <c r="CD190" s="48">
        <v>0</v>
      </c>
      <c r="CE190" s="48">
        <v>0</v>
      </c>
      <c r="CF190" s="48">
        <v>507.97</v>
      </c>
      <c r="CG190" s="48">
        <v>0</v>
      </c>
      <c r="CH190" s="48">
        <v>0</v>
      </c>
      <c r="CI190" s="48">
        <v>0</v>
      </c>
      <c r="CJ190" s="48">
        <v>0</v>
      </c>
      <c r="CK190" s="48">
        <v>0</v>
      </c>
      <c r="CL190" s="48">
        <v>0</v>
      </c>
      <c r="CM190" s="48">
        <v>337.68</v>
      </c>
      <c r="CN190" s="48">
        <v>717.78</v>
      </c>
      <c r="CO190" s="48">
        <v>0</v>
      </c>
      <c r="CP190" s="48">
        <v>0</v>
      </c>
      <c r="CQ190" s="48">
        <v>0</v>
      </c>
      <c r="CR190" s="48">
        <v>5320</v>
      </c>
      <c r="CS190" s="48">
        <v>-5320</v>
      </c>
      <c r="CT190" s="48">
        <v>0</v>
      </c>
      <c r="CU190" s="48">
        <v>244.29</v>
      </c>
      <c r="CV190" s="48">
        <v>0</v>
      </c>
      <c r="CW190" s="48">
        <v>0</v>
      </c>
      <c r="CX190" s="48">
        <v>0</v>
      </c>
      <c r="CY190" s="48">
        <v>0</v>
      </c>
      <c r="CZ190" s="48">
        <v>0</v>
      </c>
      <c r="DA190" s="48">
        <v>0</v>
      </c>
      <c r="DB190" s="48">
        <v>0</v>
      </c>
      <c r="DC190" s="48">
        <v>26.99</v>
      </c>
      <c r="DD190" s="48">
        <v>3.26</v>
      </c>
      <c r="DE190" s="48">
        <f>VLOOKUP($C190,'[2]Analysis 1'!$C$5:$DG$1025,107,FALSE)</f>
        <v>-52514.76</v>
      </c>
      <c r="DF190" s="48">
        <f>VLOOKUP($C190,'[2]Analysis 1'!$C$5:$DG$1025,108,FALSE)</f>
        <v>52853.84</v>
      </c>
      <c r="DG190" s="48">
        <f>VLOOKUP($C190,'[2]Analysis 1'!$C$5:$DG$1025,109,FALSE)</f>
        <v>0</v>
      </c>
      <c r="DH190" s="369">
        <f t="shared" si="4"/>
        <v>369.32999999999447</v>
      </c>
    </row>
    <row r="191" spans="1:112">
      <c r="A191" s="357" t="str">
        <f t="shared" si="5"/>
        <v>6039000</v>
      </c>
      <c r="B191" s="350" t="s">
        <v>2008</v>
      </c>
      <c r="C191" s="335" t="s">
        <v>1096</v>
      </c>
      <c r="D191" s="340">
        <v>-1841.06</v>
      </c>
      <c r="E191" s="340">
        <v>-11981.54</v>
      </c>
      <c r="F191" s="340">
        <v>-6559.9</v>
      </c>
      <c r="G191" s="340">
        <v>-4153.88</v>
      </c>
      <c r="H191" s="340">
        <v>-8068.38</v>
      </c>
      <c r="I191" s="340">
        <v>-7772.81</v>
      </c>
      <c r="J191" s="340">
        <v>-5302.19</v>
      </c>
      <c r="K191" s="340">
        <v>-2680.1</v>
      </c>
      <c r="L191" s="340">
        <v>-9915.69</v>
      </c>
      <c r="M191" s="340">
        <v>-9424.4599999999991</v>
      </c>
      <c r="N191" s="340">
        <v>-7777.87</v>
      </c>
      <c r="O191" s="341">
        <v>-16588.64</v>
      </c>
      <c r="P191" s="48">
        <v>-3641.77</v>
      </c>
      <c r="Q191" s="48">
        <v>-11706.79</v>
      </c>
      <c r="R191" s="48">
        <v>-8924.2900000000009</v>
      </c>
      <c r="S191" s="48">
        <v>-6337.95</v>
      </c>
      <c r="T191" s="48">
        <v>-7431.02</v>
      </c>
      <c r="U191" s="48">
        <v>-6866.02</v>
      </c>
      <c r="V191" s="48">
        <v>-3496.21</v>
      </c>
      <c r="W191" s="48">
        <v>-3809.22</v>
      </c>
      <c r="X191" s="48">
        <v>-4407.9799999999996</v>
      </c>
      <c r="Y191" s="48">
        <v>-4455.8500000000004</v>
      </c>
      <c r="Z191" s="48">
        <v>-1550.5</v>
      </c>
      <c r="AA191" s="48">
        <v>-8971.7099999999991</v>
      </c>
      <c r="AB191" s="48">
        <v>-8572.68</v>
      </c>
      <c r="AC191" s="48">
        <v>-6825.8</v>
      </c>
      <c r="AD191" s="48">
        <v>-892.39</v>
      </c>
      <c r="AE191" s="48">
        <v>-3859.68</v>
      </c>
      <c r="AF191" s="48">
        <v>-4143.8500000000004</v>
      </c>
      <c r="AG191" s="48">
        <v>-6772.97</v>
      </c>
      <c r="AH191" s="48">
        <v>-3640.51</v>
      </c>
      <c r="AI191" s="48">
        <v>-4051.47</v>
      </c>
      <c r="AJ191" s="48">
        <v>-2074.2600000000002</v>
      </c>
      <c r="AK191" s="48">
        <v>-2969.16</v>
      </c>
      <c r="AL191" s="48">
        <v>-10107.41</v>
      </c>
      <c r="AM191" s="48">
        <v>-4748.43</v>
      </c>
      <c r="AN191" s="48">
        <v>-1504.9</v>
      </c>
      <c r="AO191" s="48">
        <v>-2303.04</v>
      </c>
      <c r="AP191" s="48">
        <v>-3542.47</v>
      </c>
      <c r="AQ191" s="48">
        <v>-6093.17</v>
      </c>
      <c r="AR191" s="48">
        <v>-8449.16</v>
      </c>
      <c r="AS191" s="48">
        <v>-5729.55</v>
      </c>
      <c r="AT191" s="48">
        <v>-4239.3</v>
      </c>
      <c r="AU191" s="48">
        <v>-7080.66</v>
      </c>
      <c r="AV191" s="48">
        <v>-84200.78</v>
      </c>
      <c r="AW191" s="48">
        <v>17415.939999999999</v>
      </c>
      <c r="AX191" s="48">
        <v>-53640.45</v>
      </c>
      <c r="AY191" s="48">
        <v>-15907.73</v>
      </c>
      <c r="AZ191" s="48">
        <v>-3941.21</v>
      </c>
      <c r="BA191" s="48">
        <v>-8812.82</v>
      </c>
      <c r="BB191" s="48">
        <v>-4069.69</v>
      </c>
      <c r="BC191" s="48">
        <v>-4065.24</v>
      </c>
      <c r="BD191" s="48">
        <v>-10058.57</v>
      </c>
      <c r="BE191" s="48">
        <v>-9702.0499999999993</v>
      </c>
      <c r="BF191" s="48">
        <v>-11651.79</v>
      </c>
      <c r="BG191" s="48">
        <v>-9020.08</v>
      </c>
      <c r="BH191" s="48">
        <v>-11091.21</v>
      </c>
      <c r="BI191" s="48">
        <v>-9277.3700000000008</v>
      </c>
      <c r="BJ191" s="48">
        <v>-335120.96000000002</v>
      </c>
      <c r="BK191" s="48">
        <v>-22298.26</v>
      </c>
      <c r="BL191" s="48">
        <v>7282.13</v>
      </c>
      <c r="BM191" s="48">
        <v>-12056.95</v>
      </c>
      <c r="BN191" s="48">
        <v>-11115.39</v>
      </c>
      <c r="BO191" s="48">
        <v>-24822.22</v>
      </c>
      <c r="BP191" s="48">
        <v>-16378.33</v>
      </c>
      <c r="BQ191" s="48">
        <v>-101946.06</v>
      </c>
      <c r="BR191" s="48">
        <v>-24552.44</v>
      </c>
      <c r="BS191" s="48">
        <v>-32665.33</v>
      </c>
      <c r="BT191" s="48">
        <v>-30619.22</v>
      </c>
      <c r="BU191" s="48">
        <v>-77353.41</v>
      </c>
      <c r="BV191" s="48">
        <v>-45570.84</v>
      </c>
      <c r="BW191" s="48">
        <v>-58794.41</v>
      </c>
      <c r="BX191" s="48">
        <v>-6147.89</v>
      </c>
      <c r="BY191" s="48">
        <v>-22340.68</v>
      </c>
      <c r="BZ191" s="48">
        <v>-38474.18</v>
      </c>
      <c r="CA191" s="48">
        <v>-10921.86</v>
      </c>
      <c r="CB191" s="48">
        <v>-12151.62</v>
      </c>
      <c r="CC191" s="48">
        <v>-11948.6</v>
      </c>
      <c r="CD191" s="48">
        <v>-19171.560000000001</v>
      </c>
      <c r="CE191" s="48">
        <v>-16054.52</v>
      </c>
      <c r="CF191" s="48">
        <v>-10413.44</v>
      </c>
      <c r="CG191" s="48">
        <v>-51950.66</v>
      </c>
      <c r="CH191" s="48">
        <v>-74510.759999999995</v>
      </c>
      <c r="CI191" s="48">
        <v>-15252.34</v>
      </c>
      <c r="CJ191" s="48">
        <v>-102143.61</v>
      </c>
      <c r="CK191" s="48">
        <v>-32358.23</v>
      </c>
      <c r="CL191" s="48">
        <v>-21000.45</v>
      </c>
      <c r="CM191" s="48">
        <v>-31899.52</v>
      </c>
      <c r="CN191" s="48">
        <v>-26840.55</v>
      </c>
      <c r="CO191" s="48">
        <v>-56043.43</v>
      </c>
      <c r="CP191" s="48">
        <v>-10218.049999999999</v>
      </c>
      <c r="CQ191" s="48">
        <v>-87947.43</v>
      </c>
      <c r="CR191" s="48">
        <v>-15208.16</v>
      </c>
      <c r="CS191" s="48">
        <v>-28586.95</v>
      </c>
      <c r="CT191" s="48">
        <v>-42932.95</v>
      </c>
      <c r="CU191" s="48">
        <v>-51231.77</v>
      </c>
      <c r="CV191" s="48">
        <v>-15229.46</v>
      </c>
      <c r="CW191" s="48">
        <v>-14014.94</v>
      </c>
      <c r="CX191" s="48">
        <v>-30154.91</v>
      </c>
      <c r="CY191" s="48">
        <v>-15087.13</v>
      </c>
      <c r="CZ191" s="48">
        <v>-18309.11</v>
      </c>
      <c r="DA191" s="48">
        <v>-25839.89</v>
      </c>
      <c r="DB191" s="48">
        <v>-15360.37</v>
      </c>
      <c r="DC191" s="48">
        <v>-63930.66</v>
      </c>
      <c r="DD191" s="48">
        <v>-47706.15</v>
      </c>
      <c r="DE191" s="48">
        <f>VLOOKUP($C191,'[2]Analysis 1'!$C$5:$DG$1025,107,FALSE)</f>
        <v>-39129.370000000003</v>
      </c>
      <c r="DF191" s="48">
        <f>VLOOKUP($C191,'[2]Analysis 1'!$C$5:$DG$1025,108,FALSE)</f>
        <v>-144770.1</v>
      </c>
      <c r="DG191" s="48">
        <f>VLOOKUP($C191,'[2]Analysis 1'!$C$5:$DG$1025,109,FALSE)</f>
        <v>-65287.63</v>
      </c>
      <c r="DH191" s="369">
        <f t="shared" si="4"/>
        <v>-494819.72</v>
      </c>
    </row>
    <row r="192" spans="1:112">
      <c r="A192" s="357" t="str">
        <f t="shared" si="5"/>
        <v>6100010</v>
      </c>
      <c r="B192" s="350" t="s">
        <v>2009</v>
      </c>
      <c r="C192" s="335" t="s">
        <v>1097</v>
      </c>
      <c r="D192" s="367">
        <v>158550.01999999999</v>
      </c>
      <c r="E192" s="367">
        <v>283898.05</v>
      </c>
      <c r="F192" s="367">
        <v>107052.03</v>
      </c>
      <c r="G192" s="367">
        <v>50398.83</v>
      </c>
      <c r="H192" s="367">
        <v>165777.04999999999</v>
      </c>
      <c r="I192" s="367">
        <v>261053.96</v>
      </c>
      <c r="J192" s="367">
        <v>78859.5</v>
      </c>
      <c r="K192" s="367">
        <v>230474.65</v>
      </c>
      <c r="L192" s="367">
        <v>329610.07</v>
      </c>
      <c r="M192" s="367">
        <v>93440.5</v>
      </c>
      <c r="N192" s="367">
        <v>26037.37</v>
      </c>
      <c r="O192" s="368">
        <v>73512.009999999995</v>
      </c>
      <c r="P192" s="48">
        <v>119530.55</v>
      </c>
      <c r="Q192" s="48">
        <v>132423.9</v>
      </c>
      <c r="R192" s="48">
        <v>106691.21</v>
      </c>
      <c r="S192" s="48">
        <v>35611.050000000003</v>
      </c>
      <c r="T192" s="48">
        <v>68139.350000000006</v>
      </c>
      <c r="U192" s="48">
        <v>126407.82</v>
      </c>
      <c r="V192" s="48">
        <v>180692.89</v>
      </c>
      <c r="W192" s="48">
        <v>241444.88</v>
      </c>
      <c r="X192" s="48">
        <v>230242.29</v>
      </c>
      <c r="Y192" s="48">
        <v>342440.74</v>
      </c>
      <c r="Z192" s="48">
        <v>44485.27</v>
      </c>
      <c r="AA192" s="48">
        <v>69699.100000000006</v>
      </c>
      <c r="AB192" s="48">
        <v>111947.84</v>
      </c>
      <c r="AC192" s="48">
        <v>39883.96</v>
      </c>
      <c r="AD192" s="48">
        <v>130017.83</v>
      </c>
      <c r="AE192" s="48">
        <v>130238.88</v>
      </c>
      <c r="AF192" s="48">
        <v>209253.15</v>
      </c>
      <c r="AG192" s="48">
        <v>83654.45</v>
      </c>
      <c r="AH192" s="48">
        <v>-46999.4</v>
      </c>
      <c r="AI192" s="48">
        <v>462674.56</v>
      </c>
      <c r="AJ192" s="48">
        <v>113677.14</v>
      </c>
      <c r="AK192" s="48">
        <v>185259.54</v>
      </c>
      <c r="AL192" s="48">
        <v>70520.850000000006</v>
      </c>
      <c r="AM192" s="48">
        <v>373784.9</v>
      </c>
      <c r="AN192" s="48">
        <v>41074.19</v>
      </c>
      <c r="AO192" s="48">
        <v>97741.119999999995</v>
      </c>
      <c r="AP192" s="48">
        <v>16106.13</v>
      </c>
      <c r="AQ192" s="48">
        <v>25285.93</v>
      </c>
      <c r="AR192" s="48">
        <v>125121.91</v>
      </c>
      <c r="AS192" s="48">
        <v>72219.27</v>
      </c>
      <c r="AT192" s="48">
        <v>62486.17</v>
      </c>
      <c r="AU192" s="48">
        <v>15788.65</v>
      </c>
      <c r="AV192" s="48">
        <v>3047.25</v>
      </c>
      <c r="AW192" s="48">
        <v>516539.53</v>
      </c>
      <c r="AX192" s="48">
        <v>281097.75</v>
      </c>
      <c r="AY192" s="48">
        <v>341429.55</v>
      </c>
      <c r="AZ192" s="48">
        <v>36850.519999999997</v>
      </c>
      <c r="BA192" s="48">
        <v>5222.59</v>
      </c>
      <c r="BB192" s="48">
        <v>97696.17</v>
      </c>
      <c r="BC192" s="48">
        <v>223851.66</v>
      </c>
      <c r="BD192" s="48">
        <v>-124706.84</v>
      </c>
      <c r="BE192" s="48">
        <v>151820.23000000001</v>
      </c>
      <c r="BF192" s="48">
        <v>238065.8</v>
      </c>
      <c r="BG192" s="48">
        <v>190194.99</v>
      </c>
      <c r="BH192" s="48">
        <v>26634.95</v>
      </c>
      <c r="BI192" s="48">
        <v>515413.04</v>
      </c>
      <c r="BJ192" s="48">
        <v>43778.68</v>
      </c>
      <c r="BK192" s="48">
        <v>175805.99</v>
      </c>
      <c r="BL192" s="48">
        <v>150060.35999999999</v>
      </c>
      <c r="BM192" s="48">
        <v>-57315.37</v>
      </c>
      <c r="BN192" s="48">
        <v>26506.1</v>
      </c>
      <c r="BO192" s="48">
        <v>239721.42</v>
      </c>
      <c r="BP192" s="48">
        <v>65428.15</v>
      </c>
      <c r="BQ192" s="48">
        <v>20677.599999999999</v>
      </c>
      <c r="BR192" s="48">
        <v>103785.94</v>
      </c>
      <c r="BS192" s="48">
        <v>31594.75</v>
      </c>
      <c r="BT192" s="48">
        <v>24637.37</v>
      </c>
      <c r="BU192" s="48">
        <v>475503.28</v>
      </c>
      <c r="BV192" s="48">
        <v>154475.43</v>
      </c>
      <c r="BW192" s="48">
        <v>209879.59</v>
      </c>
      <c r="BX192" s="48">
        <v>153244</v>
      </c>
      <c r="BY192" s="48">
        <v>27461.77</v>
      </c>
      <c r="BZ192" s="48">
        <v>69581</v>
      </c>
      <c r="CA192" s="48">
        <v>446.33</v>
      </c>
      <c r="CB192" s="48">
        <v>161762.04</v>
      </c>
      <c r="CC192" s="48">
        <v>6299.37</v>
      </c>
      <c r="CD192" s="48">
        <v>60712.54</v>
      </c>
      <c r="CE192" s="48">
        <v>203761</v>
      </c>
      <c r="CF192" s="48">
        <v>154965.47</v>
      </c>
      <c r="CG192" s="48">
        <v>545248.76</v>
      </c>
      <c r="CH192" s="48">
        <v>477452.38</v>
      </c>
      <c r="CI192" s="48">
        <v>-67182.19</v>
      </c>
      <c r="CJ192" s="48">
        <v>3943.6</v>
      </c>
      <c r="CK192" s="48">
        <v>205670.78</v>
      </c>
      <c r="CL192" s="48">
        <v>136758.85999999999</v>
      </c>
      <c r="CM192" s="48">
        <v>196553.02</v>
      </c>
      <c r="CN192" s="48">
        <v>161398.48000000001</v>
      </c>
      <c r="CO192" s="48">
        <v>205744.23</v>
      </c>
      <c r="CP192" s="48">
        <v>178624.76</v>
      </c>
      <c r="CQ192" s="48">
        <v>-12420.54</v>
      </c>
      <c r="CR192" s="48">
        <v>413967.16</v>
      </c>
      <c r="CS192" s="48">
        <v>29548.2</v>
      </c>
      <c r="CT192" s="48">
        <v>174876.71</v>
      </c>
      <c r="CU192" s="48">
        <v>788979.67</v>
      </c>
      <c r="CV192" s="48">
        <v>-86883.7</v>
      </c>
      <c r="CW192" s="48">
        <v>163864.70000000001</v>
      </c>
      <c r="CX192" s="48">
        <v>314055.7</v>
      </c>
      <c r="CY192" s="48">
        <v>165740.48000000001</v>
      </c>
      <c r="CZ192" s="48">
        <v>257270.78</v>
      </c>
      <c r="DA192" s="48">
        <v>93642.78</v>
      </c>
      <c r="DB192" s="48">
        <v>302644.13</v>
      </c>
      <c r="DC192" s="48">
        <v>299331.90999999997</v>
      </c>
      <c r="DD192" s="48">
        <v>76446.47</v>
      </c>
      <c r="DE192" s="48">
        <f>VLOOKUP($C192,'[2]Analysis 1'!$C$5:$DG$1025,107,FALSE)</f>
        <v>509205.87</v>
      </c>
      <c r="DF192" s="48">
        <f>VLOOKUP($C192,'[2]Analysis 1'!$C$5:$DG$1025,108,FALSE)</f>
        <v>276916.83</v>
      </c>
      <c r="DG192" s="48">
        <f>VLOOKUP($C192,'[2]Analysis 1'!$C$5:$DG$1025,109,FALSE)</f>
        <v>403947.26</v>
      </c>
      <c r="DH192" s="369">
        <f t="shared" si="4"/>
        <v>2776183.21</v>
      </c>
    </row>
    <row r="193" spans="1:112">
      <c r="A193" s="357" t="str">
        <f t="shared" si="5"/>
        <v>6100020</v>
      </c>
      <c r="B193" s="350" t="s">
        <v>2010</v>
      </c>
      <c r="C193" s="335" t="s">
        <v>1098</v>
      </c>
      <c r="D193" s="340">
        <v>0</v>
      </c>
      <c r="E193" s="340">
        <v>0</v>
      </c>
      <c r="F193" s="340">
        <v>0</v>
      </c>
      <c r="G193" s="340">
        <v>0</v>
      </c>
      <c r="H193" s="340">
        <v>0</v>
      </c>
      <c r="I193" s="340">
        <v>0</v>
      </c>
      <c r="J193" s="340">
        <v>0</v>
      </c>
      <c r="K193" s="340">
        <v>0</v>
      </c>
      <c r="L193" s="340">
        <v>0</v>
      </c>
      <c r="M193" s="340">
        <v>0</v>
      </c>
      <c r="N193" s="340">
        <v>160.63</v>
      </c>
      <c r="O193" s="341">
        <v>225.12</v>
      </c>
      <c r="P193" s="48">
        <v>0</v>
      </c>
      <c r="Q193" s="48">
        <v>0</v>
      </c>
      <c r="R193" s="48">
        <v>0</v>
      </c>
      <c r="S193" s="48">
        <v>0</v>
      </c>
      <c r="T193" s="48">
        <v>0</v>
      </c>
      <c r="U193" s="48">
        <v>0</v>
      </c>
      <c r="V193" s="48">
        <v>0</v>
      </c>
      <c r="W193" s="48">
        <v>0</v>
      </c>
      <c r="X193" s="48">
        <v>406.77</v>
      </c>
      <c r="Y193" s="48">
        <v>0</v>
      </c>
      <c r="Z193" s="48">
        <v>0</v>
      </c>
      <c r="AA193" s="48">
        <v>0</v>
      </c>
      <c r="AB193" s="48">
        <v>0</v>
      </c>
      <c r="AC193" s="48">
        <v>0</v>
      </c>
      <c r="AD193" s="48">
        <v>0</v>
      </c>
      <c r="AE193" s="48">
        <v>0</v>
      </c>
      <c r="AF193" s="48">
        <v>0</v>
      </c>
      <c r="AG193" s="48">
        <v>0</v>
      </c>
      <c r="AH193" s="48">
        <v>0</v>
      </c>
      <c r="AI193" s="48">
        <v>0</v>
      </c>
      <c r="AJ193" s="48">
        <v>0</v>
      </c>
      <c r="AK193" s="48">
        <v>0</v>
      </c>
      <c r="AL193" s="48">
        <v>0</v>
      </c>
      <c r="AM193" s="48">
        <v>0</v>
      </c>
      <c r="AN193" s="48">
        <v>0</v>
      </c>
      <c r="AO193" s="48">
        <v>0</v>
      </c>
      <c r="AP193" s="48">
        <v>0</v>
      </c>
      <c r="AQ193" s="48">
        <v>0</v>
      </c>
      <c r="AR193" s="48">
        <v>0</v>
      </c>
      <c r="AS193" s="48">
        <v>0</v>
      </c>
      <c r="AT193" s="48">
        <v>0</v>
      </c>
      <c r="AU193" s="48">
        <v>0</v>
      </c>
      <c r="AV193" s="48">
        <v>0</v>
      </c>
      <c r="AW193" s="48">
        <v>0</v>
      </c>
      <c r="AX193" s="48">
        <v>0</v>
      </c>
      <c r="AY193" s="48">
        <v>0</v>
      </c>
      <c r="AZ193" s="48">
        <v>0</v>
      </c>
      <c r="BA193" s="48">
        <v>0</v>
      </c>
      <c r="BB193" s="48">
        <v>0</v>
      </c>
      <c r="BC193" s="48">
        <v>0</v>
      </c>
      <c r="BD193" s="48">
        <v>0</v>
      </c>
      <c r="BE193" s="48">
        <v>0</v>
      </c>
      <c r="BF193" s="48">
        <v>0</v>
      </c>
      <c r="BG193" s="48">
        <v>0</v>
      </c>
      <c r="BH193" s="48">
        <v>0</v>
      </c>
      <c r="BI193" s="48">
        <v>0</v>
      </c>
      <c r="BJ193" s="48">
        <v>0</v>
      </c>
      <c r="BK193" s="48">
        <v>0</v>
      </c>
      <c r="BL193" s="48">
        <v>0</v>
      </c>
      <c r="BM193" s="48">
        <v>0</v>
      </c>
      <c r="BN193" s="48">
        <v>0</v>
      </c>
      <c r="BO193" s="48">
        <v>0</v>
      </c>
      <c r="BP193" s="48">
        <v>0</v>
      </c>
      <c r="BQ193" s="48">
        <v>0</v>
      </c>
      <c r="BR193" s="48">
        <v>0</v>
      </c>
      <c r="BS193" s="48">
        <v>0</v>
      </c>
      <c r="BT193" s="48">
        <v>0</v>
      </c>
      <c r="BU193" s="48">
        <v>0</v>
      </c>
      <c r="BV193" s="48">
        <v>0</v>
      </c>
      <c r="BW193" s="48">
        <v>0</v>
      </c>
      <c r="BX193" s="48">
        <v>0</v>
      </c>
      <c r="BY193" s="48">
        <v>0</v>
      </c>
      <c r="BZ193" s="48">
        <v>0</v>
      </c>
      <c r="CA193" s="48">
        <v>0</v>
      </c>
      <c r="CB193" s="48">
        <v>0</v>
      </c>
      <c r="CC193" s="48">
        <v>0</v>
      </c>
      <c r="CD193" s="48">
        <v>0</v>
      </c>
      <c r="CE193" s="48">
        <v>0</v>
      </c>
      <c r="CF193" s="48">
        <v>0</v>
      </c>
      <c r="CG193" s="48">
        <v>0</v>
      </c>
      <c r="CH193" s="48">
        <v>0</v>
      </c>
      <c r="CI193" s="48">
        <v>0</v>
      </c>
      <c r="CJ193" s="48">
        <v>0</v>
      </c>
      <c r="CK193" s="48">
        <v>0</v>
      </c>
      <c r="CL193" s="48">
        <v>0</v>
      </c>
      <c r="CM193" s="48">
        <v>0</v>
      </c>
      <c r="CN193" s="48">
        <v>0</v>
      </c>
      <c r="CO193" s="48">
        <v>0</v>
      </c>
      <c r="CP193" s="48">
        <v>0</v>
      </c>
      <c r="CQ193" s="48">
        <v>0</v>
      </c>
      <c r="CR193" s="48">
        <v>0</v>
      </c>
      <c r="CS193" s="48">
        <v>0</v>
      </c>
      <c r="CT193" s="48">
        <v>0</v>
      </c>
      <c r="CU193" s="48">
        <v>0</v>
      </c>
      <c r="CV193" s="48">
        <v>0</v>
      </c>
      <c r="CW193" s="48">
        <v>0</v>
      </c>
      <c r="CX193" s="48">
        <v>0</v>
      </c>
      <c r="CY193" s="48">
        <v>0</v>
      </c>
      <c r="CZ193" s="48">
        <v>0</v>
      </c>
      <c r="DA193" s="48">
        <v>0</v>
      </c>
      <c r="DB193" s="48">
        <v>0</v>
      </c>
      <c r="DC193" s="48">
        <v>0</v>
      </c>
      <c r="DD193" s="48">
        <v>0</v>
      </c>
      <c r="DE193" s="48">
        <f>VLOOKUP($C193,'[2]Analysis 1'!$C$5:$DG$1025,107,FALSE)</f>
        <v>0</v>
      </c>
      <c r="DF193" s="48">
        <f>VLOOKUP($C193,'[2]Analysis 1'!$C$5:$DG$1025,108,FALSE)</f>
        <v>0</v>
      </c>
      <c r="DG193" s="48">
        <f>VLOOKUP($C193,'[2]Analysis 1'!$C$5:$DG$1025,109,FALSE)</f>
        <v>0</v>
      </c>
      <c r="DH193" s="369">
        <f t="shared" si="4"/>
        <v>0</v>
      </c>
    </row>
    <row r="194" spans="1:112">
      <c r="A194" s="357" t="str">
        <f t="shared" si="5"/>
        <v>6100030</v>
      </c>
      <c r="B194" s="350" t="s">
        <v>2012</v>
      </c>
      <c r="C194" s="335" t="s">
        <v>1099</v>
      </c>
      <c r="D194" s="367">
        <v>0</v>
      </c>
      <c r="E194" s="367">
        <v>0</v>
      </c>
      <c r="F194" s="367">
        <v>23500</v>
      </c>
      <c r="G194" s="367">
        <v>53557</v>
      </c>
      <c r="H194" s="367">
        <v>53557</v>
      </c>
      <c r="I194" s="367">
        <v>53557</v>
      </c>
      <c r="J194" s="367">
        <v>0</v>
      </c>
      <c r="K194" s="367">
        <v>0</v>
      </c>
      <c r="L194" s="367">
        <v>53557</v>
      </c>
      <c r="M194" s="367">
        <v>0</v>
      </c>
      <c r="N194" s="367">
        <v>53557</v>
      </c>
      <c r="O194" s="368">
        <v>59557</v>
      </c>
      <c r="P194" s="48">
        <v>0</v>
      </c>
      <c r="Q194" s="48">
        <v>0</v>
      </c>
      <c r="R194" s="48">
        <v>0</v>
      </c>
      <c r="S194" s="48">
        <v>59020</v>
      </c>
      <c r="T194" s="48">
        <v>59020</v>
      </c>
      <c r="U194" s="48">
        <v>59020</v>
      </c>
      <c r="V194" s="48">
        <v>59020</v>
      </c>
      <c r="W194" s="48">
        <v>40591</v>
      </c>
      <c r="X194" s="48">
        <v>0</v>
      </c>
      <c r="Y194" s="48">
        <v>0</v>
      </c>
      <c r="Z194" s="48">
        <v>0</v>
      </c>
      <c r="AA194" s="48">
        <v>186082</v>
      </c>
      <c r="AB194" s="48">
        <v>0</v>
      </c>
      <c r="AC194" s="48">
        <v>0</v>
      </c>
      <c r="AD194" s="48">
        <v>58750</v>
      </c>
      <c r="AE194" s="48">
        <v>40000</v>
      </c>
      <c r="AF194" s="48">
        <v>26560</v>
      </c>
      <c r="AG194" s="48">
        <v>0</v>
      </c>
      <c r="AH194" s="48">
        <v>153837</v>
      </c>
      <c r="AI194" s="48">
        <v>0</v>
      </c>
      <c r="AJ194" s="48">
        <v>0</v>
      </c>
      <c r="AK194" s="48">
        <v>0</v>
      </c>
      <c r="AL194" s="48">
        <v>63605</v>
      </c>
      <c r="AM194" s="48">
        <v>52565</v>
      </c>
      <c r="AN194" s="48">
        <v>0</v>
      </c>
      <c r="AO194" s="48">
        <v>0</v>
      </c>
      <c r="AP194" s="48">
        <v>0</v>
      </c>
      <c r="AQ194" s="48">
        <v>0</v>
      </c>
      <c r="AR194" s="48">
        <v>140000</v>
      </c>
      <c r="AS194" s="48">
        <v>0</v>
      </c>
      <c r="AT194" s="48">
        <v>35000</v>
      </c>
      <c r="AU194" s="48">
        <v>0</v>
      </c>
      <c r="AV194" s="48">
        <v>0</v>
      </c>
      <c r="AW194" s="48">
        <v>0</v>
      </c>
      <c r="AX194" s="48">
        <v>55000</v>
      </c>
      <c r="AY194" s="48">
        <v>79799.11</v>
      </c>
      <c r="AZ194" s="48">
        <v>0</v>
      </c>
      <c r="BA194" s="48">
        <v>0</v>
      </c>
      <c r="BB194" s="48">
        <v>33333</v>
      </c>
      <c r="BC194" s="48">
        <v>10000</v>
      </c>
      <c r="BD194" s="48">
        <v>0</v>
      </c>
      <c r="BE194" s="48">
        <v>33333</v>
      </c>
      <c r="BF194" s="48">
        <v>0</v>
      </c>
      <c r="BG194" s="48">
        <v>0</v>
      </c>
      <c r="BH194" s="48">
        <v>33333</v>
      </c>
      <c r="BI194" s="48">
        <v>0</v>
      </c>
      <c r="BJ194" s="48">
        <v>0</v>
      </c>
      <c r="BK194" s="48">
        <v>33333</v>
      </c>
      <c r="BL194" s="48">
        <v>0</v>
      </c>
      <c r="BM194" s="48">
        <v>20468</v>
      </c>
      <c r="BN194" s="48">
        <v>6000</v>
      </c>
      <c r="BO194" s="48">
        <v>0</v>
      </c>
      <c r="BP194" s="48">
        <v>31250</v>
      </c>
      <c r="BQ194" s="48">
        <v>31250</v>
      </c>
      <c r="BR194" s="48">
        <v>0</v>
      </c>
      <c r="BS194" s="48">
        <v>3228.14</v>
      </c>
      <c r="BT194" s="48">
        <v>31250</v>
      </c>
      <c r="BU194" s="48">
        <v>0</v>
      </c>
      <c r="BV194" s="48">
        <v>39280.629999999997</v>
      </c>
      <c r="BW194" s="48">
        <v>0</v>
      </c>
      <c r="BX194" s="48">
        <v>0</v>
      </c>
      <c r="BY194" s="48">
        <v>15000</v>
      </c>
      <c r="BZ194" s="48">
        <v>1750</v>
      </c>
      <c r="CA194" s="48">
        <v>0</v>
      </c>
      <c r="CB194" s="48">
        <v>30000</v>
      </c>
      <c r="CC194" s="48">
        <v>30000</v>
      </c>
      <c r="CD194" s="48">
        <v>0</v>
      </c>
      <c r="CE194" s="48">
        <v>0</v>
      </c>
      <c r="CF194" s="48">
        <v>30000</v>
      </c>
      <c r="CG194" s="48">
        <v>0</v>
      </c>
      <c r="CH194" s="48">
        <v>30000</v>
      </c>
      <c r="CI194" s="48">
        <v>0</v>
      </c>
      <c r="CJ194" s="48">
        <v>0</v>
      </c>
      <c r="CK194" s="48">
        <v>10000</v>
      </c>
      <c r="CL194" s="48">
        <v>3800</v>
      </c>
      <c r="CM194" s="48">
        <v>30000</v>
      </c>
      <c r="CN194" s="48">
        <v>30000</v>
      </c>
      <c r="CO194" s="48">
        <v>0</v>
      </c>
      <c r="CP194" s="48">
        <v>0</v>
      </c>
      <c r="CQ194" s="48">
        <v>0</v>
      </c>
      <c r="CR194" s="48">
        <v>30000</v>
      </c>
      <c r="CS194" s="48">
        <v>0</v>
      </c>
      <c r="CT194" s="48">
        <v>0</v>
      </c>
      <c r="CU194" s="48">
        <v>0</v>
      </c>
      <c r="CV194" s="48">
        <v>0</v>
      </c>
      <c r="CW194" s="48">
        <v>10000</v>
      </c>
      <c r="CX194" s="48">
        <v>35265</v>
      </c>
      <c r="CY194" s="48">
        <v>0</v>
      </c>
      <c r="CZ194" s="48">
        <v>-9023</v>
      </c>
      <c r="DA194" s="48">
        <v>30000</v>
      </c>
      <c r="DB194" s="48">
        <v>0</v>
      </c>
      <c r="DC194" s="48">
        <v>7558</v>
      </c>
      <c r="DD194" s="48">
        <v>30000</v>
      </c>
      <c r="DE194" s="48">
        <f>VLOOKUP($C194,'[2]Analysis 1'!$C$5:$DG$1025,107,FALSE)</f>
        <v>0</v>
      </c>
      <c r="DF194" s="48">
        <f>VLOOKUP($C194,'[2]Analysis 1'!$C$5:$DG$1025,108,FALSE)</f>
        <v>0</v>
      </c>
      <c r="DG194" s="48">
        <f>VLOOKUP($C194,'[2]Analysis 1'!$C$5:$DG$1025,109,FALSE)</f>
        <v>213644.64</v>
      </c>
      <c r="DH194" s="369">
        <f t="shared" si="4"/>
        <v>317444.64</v>
      </c>
    </row>
    <row r="195" spans="1:112">
      <c r="A195" s="357" t="str">
        <f t="shared" si="5"/>
        <v>6100040</v>
      </c>
      <c r="B195" s="350" t="s">
        <v>2011</v>
      </c>
      <c r="C195" s="335" t="s">
        <v>1100</v>
      </c>
      <c r="D195" s="340">
        <v>193411.6</v>
      </c>
      <c r="E195" s="340">
        <v>270286.96000000002</v>
      </c>
      <c r="F195" s="340">
        <v>189276.84</v>
      </c>
      <c r="G195" s="340">
        <v>462947.75</v>
      </c>
      <c r="H195" s="340">
        <v>114333.84</v>
      </c>
      <c r="I195" s="340">
        <v>206034.03</v>
      </c>
      <c r="J195" s="340">
        <v>425733.58</v>
      </c>
      <c r="K195" s="340">
        <v>368519.04</v>
      </c>
      <c r="L195" s="340">
        <v>348022.94</v>
      </c>
      <c r="M195" s="340">
        <v>285531.59999999998</v>
      </c>
      <c r="N195" s="340">
        <v>300091.75</v>
      </c>
      <c r="O195" s="341">
        <v>121333.79</v>
      </c>
      <c r="P195" s="48">
        <v>64523.71</v>
      </c>
      <c r="Q195" s="48">
        <v>258662.73</v>
      </c>
      <c r="R195" s="48">
        <v>242012.41</v>
      </c>
      <c r="S195" s="48">
        <v>457191.93</v>
      </c>
      <c r="T195" s="48">
        <v>74220.399999999994</v>
      </c>
      <c r="U195" s="48">
        <v>181863.44</v>
      </c>
      <c r="V195" s="48">
        <v>834530.41</v>
      </c>
      <c r="W195" s="48">
        <v>209979.75</v>
      </c>
      <c r="X195" s="48">
        <v>237637.39</v>
      </c>
      <c r="Y195" s="48">
        <v>153893.06</v>
      </c>
      <c r="Z195" s="48">
        <v>334500.55</v>
      </c>
      <c r="AA195" s="48">
        <v>428143.57</v>
      </c>
      <c r="AB195" s="48">
        <v>219497.06</v>
      </c>
      <c r="AC195" s="48">
        <v>260557.84</v>
      </c>
      <c r="AD195" s="48">
        <v>240424.13</v>
      </c>
      <c r="AE195" s="48">
        <v>184358.92</v>
      </c>
      <c r="AF195" s="48">
        <v>216225.23</v>
      </c>
      <c r="AG195" s="48">
        <v>409770.36</v>
      </c>
      <c r="AH195" s="48">
        <v>151240.91</v>
      </c>
      <c r="AI195" s="48">
        <v>118754.52</v>
      </c>
      <c r="AJ195" s="48">
        <v>290153.44</v>
      </c>
      <c r="AK195" s="48">
        <v>239671.67999999999</v>
      </c>
      <c r="AL195" s="48">
        <v>306678.61</v>
      </c>
      <c r="AM195" s="48">
        <v>413187.25</v>
      </c>
      <c r="AN195" s="48">
        <v>24984.85</v>
      </c>
      <c r="AO195" s="48">
        <v>36413.18</v>
      </c>
      <c r="AP195" s="48">
        <v>-190477.71</v>
      </c>
      <c r="AQ195" s="48">
        <v>11800</v>
      </c>
      <c r="AR195" s="48">
        <v>277272.51</v>
      </c>
      <c r="AS195" s="48">
        <v>95593.85</v>
      </c>
      <c r="AT195" s="48">
        <v>30562.85</v>
      </c>
      <c r="AU195" s="48">
        <v>121412.5</v>
      </c>
      <c r="AV195" s="48">
        <v>5730</v>
      </c>
      <c r="AW195" s="48">
        <v>15045</v>
      </c>
      <c r="AX195" s="48">
        <v>45421.7</v>
      </c>
      <c r="AY195" s="48">
        <v>40180</v>
      </c>
      <c r="AZ195" s="48">
        <v>8515</v>
      </c>
      <c r="BA195" s="48">
        <v>177634.5</v>
      </c>
      <c r="BB195" s="48">
        <v>913228.80000000005</v>
      </c>
      <c r="BC195" s="48">
        <v>339923.7</v>
      </c>
      <c r="BD195" s="48">
        <v>563637.81000000006</v>
      </c>
      <c r="BE195" s="48">
        <v>312114.76</v>
      </c>
      <c r="BF195" s="48">
        <v>207672.43</v>
      </c>
      <c r="BG195" s="48">
        <v>587282.57999999996</v>
      </c>
      <c r="BH195" s="48">
        <v>410061.06</v>
      </c>
      <c r="BI195" s="48">
        <v>514822.42</v>
      </c>
      <c r="BJ195" s="48">
        <v>98387.22</v>
      </c>
      <c r="BK195" s="48">
        <v>252328.18</v>
      </c>
      <c r="BL195" s="48">
        <v>278857.25</v>
      </c>
      <c r="BM195" s="48">
        <v>113183.13</v>
      </c>
      <c r="BN195" s="48">
        <v>161748.42000000001</v>
      </c>
      <c r="BO195" s="48">
        <v>250713.8</v>
      </c>
      <c r="BP195" s="48">
        <v>229581.81</v>
      </c>
      <c r="BQ195" s="48">
        <v>181653.25</v>
      </c>
      <c r="BR195" s="48">
        <v>234848.5</v>
      </c>
      <c r="BS195" s="48">
        <v>194815.98</v>
      </c>
      <c r="BT195" s="48">
        <v>95732.88</v>
      </c>
      <c r="BU195" s="48">
        <v>302817.65999999997</v>
      </c>
      <c r="BV195" s="48">
        <v>73051.47</v>
      </c>
      <c r="BW195" s="48">
        <v>283279.55</v>
      </c>
      <c r="BX195" s="48">
        <v>213638.75</v>
      </c>
      <c r="BY195" s="48">
        <v>689452.8</v>
      </c>
      <c r="BZ195" s="48">
        <v>258382.38</v>
      </c>
      <c r="CA195" s="48">
        <v>217796.55</v>
      </c>
      <c r="CB195" s="48">
        <v>309890.38</v>
      </c>
      <c r="CC195" s="48">
        <v>333321.46999999997</v>
      </c>
      <c r="CD195" s="48">
        <v>234343.39</v>
      </c>
      <c r="CE195" s="48">
        <v>236341.44</v>
      </c>
      <c r="CF195" s="48">
        <v>494692.62</v>
      </c>
      <c r="CG195" s="48">
        <v>502522.32</v>
      </c>
      <c r="CH195" s="48">
        <v>234458.04</v>
      </c>
      <c r="CI195" s="48">
        <v>149804.38</v>
      </c>
      <c r="CJ195" s="48">
        <v>37298.1</v>
      </c>
      <c r="CK195" s="48">
        <v>273016.31</v>
      </c>
      <c r="CL195" s="48">
        <v>196232.25</v>
      </c>
      <c r="CM195" s="48">
        <v>264333.08</v>
      </c>
      <c r="CN195" s="48">
        <v>206883.1</v>
      </c>
      <c r="CO195" s="48">
        <v>298923.94</v>
      </c>
      <c r="CP195" s="48">
        <v>189362.46</v>
      </c>
      <c r="CQ195" s="48">
        <v>47546.04</v>
      </c>
      <c r="CR195" s="48">
        <v>231791.8</v>
      </c>
      <c r="CS195" s="48">
        <v>442282.9</v>
      </c>
      <c r="CT195" s="48">
        <v>-80442.98</v>
      </c>
      <c r="CU195" s="48">
        <v>111208.98</v>
      </c>
      <c r="CV195" s="48">
        <v>156975.22</v>
      </c>
      <c r="CW195" s="48">
        <v>160571.28</v>
      </c>
      <c r="CX195" s="48">
        <v>386139.9</v>
      </c>
      <c r="CY195" s="48">
        <v>289794.27</v>
      </c>
      <c r="CZ195" s="48">
        <v>264655.59000000003</v>
      </c>
      <c r="DA195" s="48">
        <v>581455.06999999995</v>
      </c>
      <c r="DB195" s="48">
        <v>229518.21</v>
      </c>
      <c r="DC195" s="48">
        <v>352529.57</v>
      </c>
      <c r="DD195" s="48">
        <v>117742.63</v>
      </c>
      <c r="DE195" s="48">
        <f>VLOOKUP($C195,'[2]Analysis 1'!$C$5:$DG$1025,107,FALSE)</f>
        <v>173001.39</v>
      </c>
      <c r="DF195" s="48">
        <f>VLOOKUP($C195,'[2]Analysis 1'!$C$5:$DG$1025,108,FALSE)</f>
        <v>41760.75</v>
      </c>
      <c r="DG195" s="48">
        <f>VLOOKUP($C195,'[2]Analysis 1'!$C$5:$DG$1025,109,FALSE)</f>
        <v>161140.15</v>
      </c>
      <c r="DH195" s="369">
        <f t="shared" si="4"/>
        <v>2915284.03</v>
      </c>
    </row>
    <row r="196" spans="1:112">
      <c r="A196" s="357" t="str">
        <f t="shared" si="5"/>
        <v>6100050</v>
      </c>
      <c r="B196" s="350" t="s">
        <v>2013</v>
      </c>
      <c r="C196" s="335" t="s">
        <v>1101</v>
      </c>
      <c r="D196" s="367">
        <v>129716.17</v>
      </c>
      <c r="E196" s="367">
        <v>1955357.08</v>
      </c>
      <c r="F196" s="367">
        <v>77191.42</v>
      </c>
      <c r="G196" s="367">
        <v>228856.14</v>
      </c>
      <c r="H196" s="367">
        <v>858214.24</v>
      </c>
      <c r="I196" s="367">
        <v>998317.48</v>
      </c>
      <c r="J196" s="367">
        <v>1299394.5900000001</v>
      </c>
      <c r="K196" s="367">
        <v>1622333.24</v>
      </c>
      <c r="L196" s="367">
        <v>131580.22</v>
      </c>
      <c r="M196" s="367">
        <v>42147.98</v>
      </c>
      <c r="N196" s="367">
        <v>189246.58</v>
      </c>
      <c r="O196" s="368">
        <v>333368.74</v>
      </c>
      <c r="P196" s="48">
        <v>181395.55</v>
      </c>
      <c r="Q196" s="48">
        <v>31888.32</v>
      </c>
      <c r="R196" s="48">
        <v>221713.32</v>
      </c>
      <c r="S196" s="48">
        <v>211261.57</v>
      </c>
      <c r="T196" s="48">
        <v>152885.68</v>
      </c>
      <c r="U196" s="48">
        <v>489794.93</v>
      </c>
      <c r="V196" s="48">
        <v>208667.6</v>
      </c>
      <c r="W196" s="48">
        <v>379214.82</v>
      </c>
      <c r="X196" s="48">
        <v>124282.65</v>
      </c>
      <c r="Y196" s="48">
        <v>66003.38</v>
      </c>
      <c r="Z196" s="48">
        <v>533260.81999999995</v>
      </c>
      <c r="AA196" s="48">
        <v>114012.01</v>
      </c>
      <c r="AB196" s="48">
        <v>204574.16</v>
      </c>
      <c r="AC196" s="48">
        <v>72539.100000000006</v>
      </c>
      <c r="AD196" s="48">
        <v>200739.56</v>
      </c>
      <c r="AE196" s="48">
        <v>29997.48</v>
      </c>
      <c r="AF196" s="48">
        <v>74341.919999999998</v>
      </c>
      <c r="AG196" s="48">
        <v>356241.2</v>
      </c>
      <c r="AH196" s="48">
        <v>50509.37</v>
      </c>
      <c r="AI196" s="48">
        <v>74945.16</v>
      </c>
      <c r="AJ196" s="48">
        <v>1797.77</v>
      </c>
      <c r="AK196" s="48">
        <v>58467.58</v>
      </c>
      <c r="AL196" s="48">
        <v>151623.85</v>
      </c>
      <c r="AM196" s="48">
        <v>305700.3</v>
      </c>
      <c r="AN196" s="48">
        <v>586024.38</v>
      </c>
      <c r="AO196" s="48">
        <v>3205.53</v>
      </c>
      <c r="AP196" s="48">
        <v>69474.820000000007</v>
      </c>
      <c r="AQ196" s="48">
        <v>108107.49</v>
      </c>
      <c r="AR196" s="48">
        <v>258994.19</v>
      </c>
      <c r="AS196" s="48">
        <v>49337.64</v>
      </c>
      <c r="AT196" s="48">
        <v>90685.74</v>
      </c>
      <c r="AU196" s="48">
        <v>517223.88</v>
      </c>
      <c r="AV196" s="48">
        <v>100778.56</v>
      </c>
      <c r="AW196" s="48">
        <v>109151.75</v>
      </c>
      <c r="AX196" s="48">
        <v>69737.95</v>
      </c>
      <c r="AY196" s="48">
        <v>20507.52</v>
      </c>
      <c r="AZ196" s="48">
        <v>284685.90000000002</v>
      </c>
      <c r="BA196" s="48">
        <v>31740.33</v>
      </c>
      <c r="BB196" s="48">
        <v>58562.78</v>
      </c>
      <c r="BC196" s="48">
        <v>164674.79999999999</v>
      </c>
      <c r="BD196" s="48">
        <v>42988.74</v>
      </c>
      <c r="BE196" s="48">
        <v>58078.12</v>
      </c>
      <c r="BF196" s="48">
        <v>200962.58</v>
      </c>
      <c r="BG196" s="48">
        <v>172512.06</v>
      </c>
      <c r="BH196" s="48">
        <v>90735.039999999994</v>
      </c>
      <c r="BI196" s="48">
        <v>181838.78</v>
      </c>
      <c r="BJ196" s="48">
        <v>123471.97</v>
      </c>
      <c r="BK196" s="48">
        <v>91266.7</v>
      </c>
      <c r="BL196" s="48">
        <v>28158.85</v>
      </c>
      <c r="BM196" s="48">
        <v>775041.24</v>
      </c>
      <c r="BN196" s="48">
        <v>84787.67</v>
      </c>
      <c r="BO196" s="48">
        <v>536350.1</v>
      </c>
      <c r="BP196" s="48">
        <v>632372.04</v>
      </c>
      <c r="BQ196" s="48">
        <v>692760.87</v>
      </c>
      <c r="BR196" s="48">
        <v>42999.29</v>
      </c>
      <c r="BS196" s="48">
        <v>75734.070000000007</v>
      </c>
      <c r="BT196" s="48">
        <v>921303.44</v>
      </c>
      <c r="BU196" s="48">
        <v>29664</v>
      </c>
      <c r="BV196" s="48">
        <v>435931.1</v>
      </c>
      <c r="BW196" s="48">
        <v>363576.74</v>
      </c>
      <c r="BX196" s="48">
        <v>24458.73</v>
      </c>
      <c r="BY196" s="48">
        <v>57751.95</v>
      </c>
      <c r="BZ196" s="48">
        <v>258628.22</v>
      </c>
      <c r="CA196" s="48">
        <v>0</v>
      </c>
      <c r="CB196" s="48">
        <v>359648.9</v>
      </c>
      <c r="CC196" s="48">
        <v>186297.98</v>
      </c>
      <c r="CD196" s="48">
        <v>250595.17</v>
      </c>
      <c r="CE196" s="48">
        <v>291151.3</v>
      </c>
      <c r="CF196" s="48">
        <v>422892.56</v>
      </c>
      <c r="CG196" s="48">
        <v>740064.38</v>
      </c>
      <c r="CH196" s="48">
        <v>1641357.25</v>
      </c>
      <c r="CI196" s="48">
        <v>777960.14</v>
      </c>
      <c r="CJ196" s="48">
        <v>19328.2</v>
      </c>
      <c r="CK196" s="48">
        <v>880376.74</v>
      </c>
      <c r="CL196" s="48">
        <v>581953.62</v>
      </c>
      <c r="CM196" s="48">
        <v>37114.35</v>
      </c>
      <c r="CN196" s="48">
        <v>1522226.35</v>
      </c>
      <c r="CO196" s="48">
        <v>65778.850000000006</v>
      </c>
      <c r="CP196" s="48">
        <v>862443.96</v>
      </c>
      <c r="CQ196" s="48">
        <v>20954</v>
      </c>
      <c r="CR196" s="48">
        <v>189715.34</v>
      </c>
      <c r="CS196" s="48">
        <v>133048.85999999999</v>
      </c>
      <c r="CT196" s="48">
        <v>1045426.93</v>
      </c>
      <c r="CU196" s="48">
        <v>199850.6</v>
      </c>
      <c r="CV196" s="48">
        <v>214155.11</v>
      </c>
      <c r="CW196" s="48">
        <v>83591.789999999994</v>
      </c>
      <c r="CX196" s="48">
        <v>57896.46</v>
      </c>
      <c r="CY196" s="48">
        <v>46683.59</v>
      </c>
      <c r="CZ196" s="48">
        <v>513774.68</v>
      </c>
      <c r="DA196" s="48">
        <v>77348.87</v>
      </c>
      <c r="DB196" s="48">
        <v>11848</v>
      </c>
      <c r="DC196" s="48">
        <v>58061.69</v>
      </c>
      <c r="DD196" s="48">
        <v>124184.36</v>
      </c>
      <c r="DE196" s="48">
        <f>VLOOKUP($C196,'[2]Analysis 1'!$C$5:$DG$1025,107,FALSE)</f>
        <v>69439.48</v>
      </c>
      <c r="DF196" s="48">
        <f>VLOOKUP($C196,'[2]Analysis 1'!$C$5:$DG$1025,108,FALSE)</f>
        <v>28108.39</v>
      </c>
      <c r="DG196" s="48">
        <f>VLOOKUP($C196,'[2]Analysis 1'!$C$5:$DG$1025,109,FALSE)</f>
        <v>84949.99</v>
      </c>
      <c r="DH196" s="369">
        <f t="shared" si="4"/>
        <v>1370042.41</v>
      </c>
    </row>
    <row r="197" spans="1:112">
      <c r="A197" s="357" t="str">
        <f t="shared" si="5"/>
        <v>6100060</v>
      </c>
      <c r="B197" s="350" t="s">
        <v>2014</v>
      </c>
      <c r="C197" s="335" t="s">
        <v>1102</v>
      </c>
      <c r="D197" s="340">
        <v>-50504.84</v>
      </c>
      <c r="E197" s="340">
        <v>87896.37</v>
      </c>
      <c r="F197" s="340">
        <v>-300957.75</v>
      </c>
      <c r="G197" s="340">
        <v>257024.83</v>
      </c>
      <c r="H197" s="340">
        <v>65548.11</v>
      </c>
      <c r="I197" s="340">
        <v>243673.5</v>
      </c>
      <c r="J197" s="340">
        <v>72122.45</v>
      </c>
      <c r="K197" s="340">
        <v>69891.490000000005</v>
      </c>
      <c r="L197" s="340">
        <v>110381.53</v>
      </c>
      <c r="M197" s="340">
        <v>140020.59</v>
      </c>
      <c r="N197" s="340">
        <v>72732.179999999993</v>
      </c>
      <c r="O197" s="341">
        <v>423205.6</v>
      </c>
      <c r="P197" s="48">
        <v>-68998.100000000006</v>
      </c>
      <c r="Q197" s="48">
        <v>176522.95</v>
      </c>
      <c r="R197" s="48">
        <v>123054.85</v>
      </c>
      <c r="S197" s="48">
        <v>80846.31</v>
      </c>
      <c r="T197" s="48">
        <v>148904.49</v>
      </c>
      <c r="U197" s="48">
        <v>214373.98</v>
      </c>
      <c r="V197" s="48">
        <v>196648.99</v>
      </c>
      <c r="W197" s="48">
        <v>134652.95000000001</v>
      </c>
      <c r="X197" s="48">
        <v>254187.78</v>
      </c>
      <c r="Y197" s="48">
        <v>94728.54</v>
      </c>
      <c r="Z197" s="48">
        <v>364653.57</v>
      </c>
      <c r="AA197" s="48">
        <v>-39685.449999999997</v>
      </c>
      <c r="AB197" s="48">
        <v>-74672.17</v>
      </c>
      <c r="AC197" s="48">
        <v>123922.24000000001</v>
      </c>
      <c r="AD197" s="48">
        <v>147924.1</v>
      </c>
      <c r="AE197" s="48">
        <v>-80116.710000000006</v>
      </c>
      <c r="AF197" s="48">
        <v>9273.32</v>
      </c>
      <c r="AG197" s="48">
        <v>494172.71</v>
      </c>
      <c r="AH197" s="48">
        <v>-149632.65</v>
      </c>
      <c r="AI197" s="48">
        <v>137096.49</v>
      </c>
      <c r="AJ197" s="48">
        <v>37906.94</v>
      </c>
      <c r="AK197" s="48">
        <v>236430.53</v>
      </c>
      <c r="AL197" s="48">
        <v>97266</v>
      </c>
      <c r="AM197" s="48">
        <v>607165.5</v>
      </c>
      <c r="AN197" s="48">
        <v>-201294.07</v>
      </c>
      <c r="AO197" s="48">
        <v>79650.34</v>
      </c>
      <c r="AP197" s="48">
        <v>65202.39</v>
      </c>
      <c r="AQ197" s="48">
        <v>117748.44</v>
      </c>
      <c r="AR197" s="48">
        <v>156934.1</v>
      </c>
      <c r="AS197" s="48">
        <v>110646.1</v>
      </c>
      <c r="AT197" s="48">
        <v>32270.91</v>
      </c>
      <c r="AU197" s="48">
        <v>-146808</v>
      </c>
      <c r="AV197" s="48">
        <v>130516.12</v>
      </c>
      <c r="AW197" s="48">
        <v>227103.09</v>
      </c>
      <c r="AX197" s="48">
        <v>50583.83</v>
      </c>
      <c r="AY197" s="48">
        <v>428949.6</v>
      </c>
      <c r="AZ197" s="48">
        <v>69639.45</v>
      </c>
      <c r="BA197" s="48">
        <v>58680.57</v>
      </c>
      <c r="BB197" s="48">
        <v>208292.87</v>
      </c>
      <c r="BC197" s="48">
        <v>121078.01</v>
      </c>
      <c r="BD197" s="48">
        <v>316921.19</v>
      </c>
      <c r="BE197" s="48">
        <v>86857.13</v>
      </c>
      <c r="BF197" s="48">
        <v>168311.6</v>
      </c>
      <c r="BG197" s="48">
        <v>-207241.15</v>
      </c>
      <c r="BH197" s="48">
        <v>55496.13</v>
      </c>
      <c r="BI197" s="48">
        <v>309295.39</v>
      </c>
      <c r="BJ197" s="48">
        <v>152309.17000000001</v>
      </c>
      <c r="BK197" s="48">
        <v>403099.83</v>
      </c>
      <c r="BL197" s="48">
        <v>-120945.99</v>
      </c>
      <c r="BM197" s="48">
        <v>231648.04</v>
      </c>
      <c r="BN197" s="48">
        <v>216772.39</v>
      </c>
      <c r="BO197" s="48">
        <v>151511.78</v>
      </c>
      <c r="BP197" s="48">
        <v>329048.71999999997</v>
      </c>
      <c r="BQ197" s="48">
        <v>-190307.1</v>
      </c>
      <c r="BR197" s="48">
        <v>267697.86</v>
      </c>
      <c r="BS197" s="48">
        <v>222748.94</v>
      </c>
      <c r="BT197" s="48">
        <v>277356.76</v>
      </c>
      <c r="BU197" s="48">
        <v>412756.87</v>
      </c>
      <c r="BV197" s="48">
        <v>531455.93999999994</v>
      </c>
      <c r="BW197" s="48">
        <v>953867.28</v>
      </c>
      <c r="BX197" s="48">
        <v>-267571.92</v>
      </c>
      <c r="BY197" s="48">
        <v>176967.77</v>
      </c>
      <c r="BZ197" s="48">
        <v>-408578.89</v>
      </c>
      <c r="CA197" s="48">
        <v>517538.04</v>
      </c>
      <c r="CB197" s="48">
        <v>153167.95000000001</v>
      </c>
      <c r="CC197" s="48">
        <v>469452.77</v>
      </c>
      <c r="CD197" s="48">
        <v>1059724.6000000001</v>
      </c>
      <c r="CE197" s="48">
        <v>606953.93999999994</v>
      </c>
      <c r="CF197" s="48">
        <v>281322.15000000002</v>
      </c>
      <c r="CG197" s="48">
        <v>481714.14</v>
      </c>
      <c r="CH197" s="48">
        <v>269922.09000000003</v>
      </c>
      <c r="CI197" s="48">
        <v>238372.01</v>
      </c>
      <c r="CJ197" s="48">
        <v>-434302.52</v>
      </c>
      <c r="CK197" s="48">
        <v>219764.49</v>
      </c>
      <c r="CL197" s="48">
        <v>239507.01</v>
      </c>
      <c r="CM197" s="48">
        <v>18038.57</v>
      </c>
      <c r="CN197" s="48">
        <v>306358.11</v>
      </c>
      <c r="CO197" s="48">
        <v>-89332.51</v>
      </c>
      <c r="CP197" s="48">
        <v>253770.97</v>
      </c>
      <c r="CQ197" s="48">
        <v>339037.47</v>
      </c>
      <c r="CR197" s="48">
        <v>-13974.11</v>
      </c>
      <c r="CS197" s="48">
        <v>110227.45</v>
      </c>
      <c r="CT197" s="48">
        <v>250550.05</v>
      </c>
      <c r="CU197" s="48">
        <v>813785.21</v>
      </c>
      <c r="CV197" s="48">
        <v>-612444.18000000005</v>
      </c>
      <c r="CW197" s="48">
        <v>221311.3</v>
      </c>
      <c r="CX197" s="48">
        <v>326588.62</v>
      </c>
      <c r="CY197" s="48">
        <v>75897.37</v>
      </c>
      <c r="CZ197" s="48">
        <v>230482.24</v>
      </c>
      <c r="DA197" s="48">
        <v>45617.94</v>
      </c>
      <c r="DB197" s="48">
        <v>604354.35</v>
      </c>
      <c r="DC197" s="48">
        <v>-268001.33</v>
      </c>
      <c r="DD197" s="48">
        <v>-826099.8</v>
      </c>
      <c r="DE197" s="48">
        <f>VLOOKUP($C197,'[2]Analysis 1'!$C$5:$DG$1025,107,FALSE)</f>
        <v>3930317.65</v>
      </c>
      <c r="DF197" s="48">
        <f>VLOOKUP($C197,'[2]Analysis 1'!$C$5:$DG$1025,108,FALSE)</f>
        <v>-407360.08</v>
      </c>
      <c r="DG197" s="48">
        <f>VLOOKUP($C197,'[2]Analysis 1'!$C$5:$DG$1025,109,FALSE)</f>
        <v>1087124.8600000001</v>
      </c>
      <c r="DH197" s="369">
        <f t="shared" si="4"/>
        <v>4407788.9399999995</v>
      </c>
    </row>
    <row r="198" spans="1:112">
      <c r="A198" s="357" t="str">
        <f t="shared" si="5"/>
        <v>6100070</v>
      </c>
      <c r="B198" s="350" t="s">
        <v>2015</v>
      </c>
      <c r="C198" s="335" t="s">
        <v>1103</v>
      </c>
      <c r="D198" s="367">
        <v>0</v>
      </c>
      <c r="E198" s="367">
        <v>0</v>
      </c>
      <c r="F198" s="367">
        <v>0</v>
      </c>
      <c r="G198" s="367">
        <v>0</v>
      </c>
      <c r="H198" s="367">
        <v>0</v>
      </c>
      <c r="I198" s="367">
        <v>0</v>
      </c>
      <c r="J198" s="367">
        <v>0</v>
      </c>
      <c r="K198" s="367">
        <v>0</v>
      </c>
      <c r="L198" s="367">
        <v>19590.32</v>
      </c>
      <c r="M198" s="367">
        <v>0</v>
      </c>
      <c r="N198" s="367">
        <v>0</v>
      </c>
      <c r="O198" s="368">
        <v>0</v>
      </c>
      <c r="P198" s="48">
        <v>0</v>
      </c>
      <c r="Q198" s="48">
        <v>0</v>
      </c>
      <c r="R198" s="48">
        <v>0</v>
      </c>
      <c r="S198" s="48">
        <v>0</v>
      </c>
      <c r="T198" s="48">
        <v>0</v>
      </c>
      <c r="U198" s="48">
        <v>0</v>
      </c>
      <c r="V198" s="48">
        <v>0</v>
      </c>
      <c r="W198" s="48">
        <v>0</v>
      </c>
      <c r="X198" s="48">
        <v>0</v>
      </c>
      <c r="Y198" s="48">
        <v>0</v>
      </c>
      <c r="Z198" s="48">
        <v>0</v>
      </c>
      <c r="AA198" s="48">
        <v>0</v>
      </c>
      <c r="AB198" s="48">
        <v>0</v>
      </c>
      <c r="AC198" s="48">
        <v>0</v>
      </c>
      <c r="AD198" s="48">
        <v>0</v>
      </c>
      <c r="AE198" s="48">
        <v>0</v>
      </c>
      <c r="AF198" s="48">
        <v>0</v>
      </c>
      <c r="AG198" s="48">
        <v>0</v>
      </c>
      <c r="AH198" s="48">
        <v>0</v>
      </c>
      <c r="AI198" s="48">
        <v>0</v>
      </c>
      <c r="AJ198" s="48">
        <v>0</v>
      </c>
      <c r="AK198" s="48">
        <v>0</v>
      </c>
      <c r="AL198" s="48">
        <v>0</v>
      </c>
      <c r="AM198" s="48">
        <v>0</v>
      </c>
      <c r="AN198" s="48">
        <v>0</v>
      </c>
      <c r="AO198" s="48">
        <v>0</v>
      </c>
      <c r="AP198" s="48">
        <v>0</v>
      </c>
      <c r="AQ198" s="48">
        <v>0</v>
      </c>
      <c r="AR198" s="48">
        <v>0</v>
      </c>
      <c r="AS198" s="48">
        <v>0</v>
      </c>
      <c r="AT198" s="48">
        <v>13004.29</v>
      </c>
      <c r="AU198" s="48">
        <v>1000</v>
      </c>
      <c r="AV198" s="48">
        <v>0</v>
      </c>
      <c r="AW198" s="48">
        <v>0</v>
      </c>
      <c r="AX198" s="48">
        <v>0</v>
      </c>
      <c r="AY198" s="48">
        <v>74230.05</v>
      </c>
      <c r="AZ198" s="48">
        <v>-1400</v>
      </c>
      <c r="BA198" s="48">
        <v>0</v>
      </c>
      <c r="BB198" s="48">
        <v>0</v>
      </c>
      <c r="BC198" s="48">
        <v>150000</v>
      </c>
      <c r="BD198" s="48">
        <v>19563.68</v>
      </c>
      <c r="BE198" s="48">
        <v>13650</v>
      </c>
      <c r="BF198" s="48">
        <v>29056.53</v>
      </c>
      <c r="BG198" s="48">
        <v>-13650</v>
      </c>
      <c r="BH198" s="48">
        <v>30837.5</v>
      </c>
      <c r="BI198" s="48">
        <v>10456.25</v>
      </c>
      <c r="BJ198" s="48">
        <v>0</v>
      </c>
      <c r="BK198" s="48">
        <v>6676.71</v>
      </c>
      <c r="BL198" s="48">
        <v>-6676.71</v>
      </c>
      <c r="BM198" s="48">
        <v>9839.2099999999991</v>
      </c>
      <c r="BN198" s="48">
        <v>0</v>
      </c>
      <c r="BO198" s="48">
        <v>0</v>
      </c>
      <c r="BP198" s="48">
        <v>0</v>
      </c>
      <c r="BQ198" s="48">
        <v>0</v>
      </c>
      <c r="BR198" s="48">
        <v>0</v>
      </c>
      <c r="BS198" s="48">
        <v>0</v>
      </c>
      <c r="BT198" s="48">
        <v>0</v>
      </c>
      <c r="BU198" s="48">
        <v>0</v>
      </c>
      <c r="BV198" s="48">
        <v>1308</v>
      </c>
      <c r="BW198" s="48">
        <v>13692</v>
      </c>
      <c r="BX198" s="48">
        <v>0</v>
      </c>
      <c r="BY198" s="48">
        <v>0</v>
      </c>
      <c r="BZ198" s="48">
        <v>0</v>
      </c>
      <c r="CA198" s="48">
        <v>0</v>
      </c>
      <c r="CB198" s="48">
        <v>0</v>
      </c>
      <c r="CC198" s="48">
        <v>0</v>
      </c>
      <c r="CD198" s="48">
        <v>0</v>
      </c>
      <c r="CE198" s="48">
        <v>0</v>
      </c>
      <c r="CF198" s="48">
        <v>0</v>
      </c>
      <c r="CG198" s="48">
        <v>0</v>
      </c>
      <c r="CH198" s="48">
        <v>0</v>
      </c>
      <c r="CI198" s="48">
        <v>0</v>
      </c>
      <c r="CJ198" s="48">
        <v>0</v>
      </c>
      <c r="CK198" s="48">
        <v>0</v>
      </c>
      <c r="CL198" s="48">
        <v>0</v>
      </c>
      <c r="CM198" s="48">
        <v>0</v>
      </c>
      <c r="CN198" s="48">
        <v>0</v>
      </c>
      <c r="CO198" s="48">
        <v>0</v>
      </c>
      <c r="CP198" s="48">
        <v>0</v>
      </c>
      <c r="CQ198" s="48">
        <v>0</v>
      </c>
      <c r="CR198" s="48">
        <v>0</v>
      </c>
      <c r="CS198" s="48">
        <v>0</v>
      </c>
      <c r="CT198" s="48">
        <v>0</v>
      </c>
      <c r="CU198" s="48">
        <v>0</v>
      </c>
      <c r="CV198" s="48">
        <v>0</v>
      </c>
      <c r="CW198" s="48">
        <v>0</v>
      </c>
      <c r="CX198" s="48">
        <v>0</v>
      </c>
      <c r="CY198" s="48">
        <v>0</v>
      </c>
      <c r="CZ198" s="48">
        <v>0</v>
      </c>
      <c r="DA198" s="48">
        <v>0</v>
      </c>
      <c r="DB198" s="48">
        <v>0</v>
      </c>
      <c r="DC198" s="48">
        <v>0</v>
      </c>
      <c r="DD198" s="48">
        <v>0</v>
      </c>
      <c r="DE198" s="48">
        <f>VLOOKUP($C198,'[2]Analysis 1'!$C$5:$DG$1025,107,FALSE)</f>
        <v>0</v>
      </c>
      <c r="DF198" s="48">
        <f>VLOOKUP($C198,'[2]Analysis 1'!$C$5:$DG$1025,108,FALSE)</f>
        <v>0</v>
      </c>
      <c r="DG198" s="48">
        <f>VLOOKUP($C198,'[2]Analysis 1'!$C$5:$DG$1025,109,FALSE)</f>
        <v>0</v>
      </c>
      <c r="DH198" s="369">
        <f t="shared" ref="DH198:DH261" si="6">SUM(CV198:DG198)</f>
        <v>0</v>
      </c>
    </row>
    <row r="199" spans="1:112">
      <c r="A199" s="357" t="str">
        <f t="shared" si="5"/>
        <v>6100080</v>
      </c>
      <c r="B199" s="350" t="s">
        <v>2017</v>
      </c>
      <c r="C199" s="335" t="s">
        <v>1104</v>
      </c>
      <c r="D199" s="340">
        <v>27256</v>
      </c>
      <c r="E199" s="340">
        <v>33317.81</v>
      </c>
      <c r="F199" s="340">
        <v>60728.57</v>
      </c>
      <c r="G199" s="340">
        <v>115212.35</v>
      </c>
      <c r="H199" s="340">
        <v>231694.48</v>
      </c>
      <c r="I199" s="340">
        <v>122798</v>
      </c>
      <c r="J199" s="340">
        <v>-55639.92</v>
      </c>
      <c r="K199" s="340">
        <v>79008.259999999995</v>
      </c>
      <c r="L199" s="340">
        <v>60185.84</v>
      </c>
      <c r="M199" s="340">
        <v>188730</v>
      </c>
      <c r="N199" s="340">
        <v>17877.259999999998</v>
      </c>
      <c r="O199" s="341">
        <v>91928.86</v>
      </c>
      <c r="P199" s="48">
        <v>108757.17</v>
      </c>
      <c r="Q199" s="48">
        <v>124027.64</v>
      </c>
      <c r="R199" s="48">
        <v>136772.04</v>
      </c>
      <c r="S199" s="48">
        <v>55429.04</v>
      </c>
      <c r="T199" s="48">
        <v>10079.6</v>
      </c>
      <c r="U199" s="48">
        <v>49301.56</v>
      </c>
      <c r="V199" s="48">
        <v>58012.57</v>
      </c>
      <c r="W199" s="48">
        <v>115758.43</v>
      </c>
      <c r="X199" s="48">
        <v>48276.74</v>
      </c>
      <c r="Y199" s="48">
        <v>80303.899999999994</v>
      </c>
      <c r="Z199" s="48">
        <v>150614.79</v>
      </c>
      <c r="AA199" s="48">
        <v>394282.55</v>
      </c>
      <c r="AB199" s="48">
        <v>12270.06</v>
      </c>
      <c r="AC199" s="48">
        <v>389445.01</v>
      </c>
      <c r="AD199" s="48">
        <v>29020.28</v>
      </c>
      <c r="AE199" s="48">
        <v>27989.52</v>
      </c>
      <c r="AF199" s="48">
        <v>45012.55</v>
      </c>
      <c r="AG199" s="48">
        <v>4418.3</v>
      </c>
      <c r="AH199" s="48">
        <v>10001.41</v>
      </c>
      <c r="AI199" s="48">
        <v>25430.5</v>
      </c>
      <c r="AJ199" s="48">
        <v>83383.070000000007</v>
      </c>
      <c r="AK199" s="48">
        <v>11122.77</v>
      </c>
      <c r="AL199" s="48">
        <v>12486.5</v>
      </c>
      <c r="AM199" s="48">
        <v>93608.44</v>
      </c>
      <c r="AN199" s="48">
        <v>3556.3</v>
      </c>
      <c r="AO199" s="48">
        <v>65728.92</v>
      </c>
      <c r="AP199" s="48">
        <v>22926.42</v>
      </c>
      <c r="AQ199" s="48">
        <v>70372.66</v>
      </c>
      <c r="AR199" s="48">
        <v>234687.03</v>
      </c>
      <c r="AS199" s="48">
        <v>26087.4</v>
      </c>
      <c r="AT199" s="48">
        <v>8790.83</v>
      </c>
      <c r="AU199" s="48">
        <v>15156.19</v>
      </c>
      <c r="AV199" s="48">
        <v>19100.23</v>
      </c>
      <c r="AW199" s="48">
        <v>8994.7099999999991</v>
      </c>
      <c r="AX199" s="48">
        <v>56651.82</v>
      </c>
      <c r="AY199" s="48">
        <v>192780.47</v>
      </c>
      <c r="AZ199" s="48">
        <v>62054.79</v>
      </c>
      <c r="BA199" s="48">
        <v>31527.65</v>
      </c>
      <c r="BB199" s="48">
        <v>416917.19</v>
      </c>
      <c r="BC199" s="48">
        <v>34962.58</v>
      </c>
      <c r="BD199" s="48">
        <v>71805.919999999998</v>
      </c>
      <c r="BE199" s="48">
        <v>41747.96</v>
      </c>
      <c r="BF199" s="48">
        <v>23250.69</v>
      </c>
      <c r="BG199" s="48">
        <v>25772.86</v>
      </c>
      <c r="BH199" s="48">
        <v>30971.63</v>
      </c>
      <c r="BI199" s="48">
        <v>715102.95</v>
      </c>
      <c r="BJ199" s="48">
        <v>301488.46999999997</v>
      </c>
      <c r="BK199" s="48">
        <v>301487.35999999999</v>
      </c>
      <c r="BL199" s="48">
        <v>1168071</v>
      </c>
      <c r="BM199" s="48">
        <v>574700.93999999994</v>
      </c>
      <c r="BN199" s="48">
        <v>325404.98</v>
      </c>
      <c r="BO199" s="48">
        <v>962313.79</v>
      </c>
      <c r="BP199" s="48">
        <v>1289557.6399999999</v>
      </c>
      <c r="BQ199" s="48">
        <v>274105.12</v>
      </c>
      <c r="BR199" s="48">
        <v>244470.21</v>
      </c>
      <c r="BS199" s="48">
        <v>872356.61</v>
      </c>
      <c r="BT199" s="48">
        <v>356211.23</v>
      </c>
      <c r="BU199" s="48">
        <v>348385.46</v>
      </c>
      <c r="BV199" s="48">
        <v>1189782.82</v>
      </c>
      <c r="BW199" s="48">
        <v>745233.88</v>
      </c>
      <c r="BX199" s="48">
        <v>441984.22</v>
      </c>
      <c r="BY199" s="48">
        <v>1313292.3999999999</v>
      </c>
      <c r="BZ199" s="48">
        <v>601362.24</v>
      </c>
      <c r="CA199" s="48">
        <v>1117504.05</v>
      </c>
      <c r="CB199" s="48">
        <v>227593.48</v>
      </c>
      <c r="CC199" s="48">
        <v>343748.83</v>
      </c>
      <c r="CD199" s="48">
        <v>381874</v>
      </c>
      <c r="CE199" s="48">
        <v>88077.22</v>
      </c>
      <c r="CF199" s="48">
        <v>120374.41</v>
      </c>
      <c r="CG199" s="48">
        <v>201578.55</v>
      </c>
      <c r="CH199" s="48">
        <v>227348.87</v>
      </c>
      <c r="CI199" s="48">
        <v>126515.26</v>
      </c>
      <c r="CJ199" s="48">
        <v>-272713.61</v>
      </c>
      <c r="CK199" s="48">
        <v>432123.07</v>
      </c>
      <c r="CL199" s="48">
        <v>159496.67000000001</v>
      </c>
      <c r="CM199" s="48">
        <v>916021.66</v>
      </c>
      <c r="CN199" s="48">
        <v>273136.03000000003</v>
      </c>
      <c r="CO199" s="48">
        <v>1058395.69</v>
      </c>
      <c r="CP199" s="48">
        <v>171373.1</v>
      </c>
      <c r="CQ199" s="48">
        <v>833528.7</v>
      </c>
      <c r="CR199" s="48">
        <v>1797798.98</v>
      </c>
      <c r="CS199" s="48">
        <v>769256.85</v>
      </c>
      <c r="CT199" s="48">
        <v>798121.51</v>
      </c>
      <c r="CU199" s="48">
        <v>1150678.0900000001</v>
      </c>
      <c r="CV199" s="48">
        <v>903299.03</v>
      </c>
      <c r="CW199" s="48">
        <v>930993.15</v>
      </c>
      <c r="CX199" s="48">
        <v>1069733.6299999999</v>
      </c>
      <c r="CY199" s="48">
        <v>1328077.92</v>
      </c>
      <c r="CZ199" s="48">
        <v>1719596.09</v>
      </c>
      <c r="DA199" s="48">
        <v>1206053.45</v>
      </c>
      <c r="DB199" s="48">
        <v>313616.71999999997</v>
      </c>
      <c r="DC199" s="48">
        <v>605131.81999999995</v>
      </c>
      <c r="DD199" s="48">
        <v>377635.43</v>
      </c>
      <c r="DE199" s="48">
        <f>VLOOKUP($C199,'[2]Analysis 1'!$C$5:$DG$1025,107,FALSE)</f>
        <v>270296.61</v>
      </c>
      <c r="DF199" s="48">
        <f>VLOOKUP($C199,'[2]Analysis 1'!$C$5:$DG$1025,108,FALSE)</f>
        <v>-230669.78</v>
      </c>
      <c r="DG199" s="48">
        <f>VLOOKUP($C199,'[2]Analysis 1'!$C$5:$DG$1025,109,FALSE)</f>
        <v>1443048.76</v>
      </c>
      <c r="DH199" s="369">
        <f t="shared" si="6"/>
        <v>9936812.8300000001</v>
      </c>
    </row>
    <row r="200" spans="1:112">
      <c r="A200" s="357" t="str">
        <f t="shared" si="5"/>
        <v>6100090</v>
      </c>
      <c r="B200" s="350" t="s">
        <v>2016</v>
      </c>
      <c r="C200" s="335" t="s">
        <v>1105</v>
      </c>
      <c r="D200" s="367">
        <v>0</v>
      </c>
      <c r="E200" s="367">
        <v>0</v>
      </c>
      <c r="F200" s="367">
        <v>4327.07</v>
      </c>
      <c r="G200" s="367">
        <v>0</v>
      </c>
      <c r="H200" s="367">
        <v>0</v>
      </c>
      <c r="I200" s="367">
        <v>0</v>
      </c>
      <c r="J200" s="367">
        <v>0</v>
      </c>
      <c r="K200" s="367">
        <v>0</v>
      </c>
      <c r="L200" s="367">
        <v>0</v>
      </c>
      <c r="M200" s="367">
        <v>0</v>
      </c>
      <c r="N200" s="367">
        <v>0</v>
      </c>
      <c r="O200" s="368">
        <v>0</v>
      </c>
      <c r="P200" s="48">
        <v>0</v>
      </c>
      <c r="Q200" s="48">
        <v>0</v>
      </c>
      <c r="R200" s="48">
        <v>0</v>
      </c>
      <c r="S200" s="48">
        <v>0</v>
      </c>
      <c r="T200" s="48">
        <v>0</v>
      </c>
      <c r="U200" s="48">
        <v>0</v>
      </c>
      <c r="V200" s="48">
        <v>0</v>
      </c>
      <c r="W200" s="48">
        <v>0</v>
      </c>
      <c r="X200" s="48">
        <v>0</v>
      </c>
      <c r="Y200" s="48">
        <v>0</v>
      </c>
      <c r="Z200" s="48">
        <v>0</v>
      </c>
      <c r="AA200" s="48">
        <v>0</v>
      </c>
      <c r="AB200" s="48">
        <v>0</v>
      </c>
      <c r="AC200" s="48">
        <v>0</v>
      </c>
      <c r="AD200" s="48">
        <v>0</v>
      </c>
      <c r="AE200" s="48">
        <v>0</v>
      </c>
      <c r="AF200" s="48">
        <v>0</v>
      </c>
      <c r="AG200" s="48">
        <v>0</v>
      </c>
      <c r="AH200" s="48">
        <v>0</v>
      </c>
      <c r="AI200" s="48">
        <v>0</v>
      </c>
      <c r="AJ200" s="48">
        <v>0</v>
      </c>
      <c r="AK200" s="48">
        <v>0</v>
      </c>
      <c r="AL200" s="48">
        <v>0</v>
      </c>
      <c r="AM200" s="48">
        <v>0</v>
      </c>
      <c r="AN200" s="48">
        <v>0</v>
      </c>
      <c r="AO200" s="48">
        <v>0</v>
      </c>
      <c r="AP200" s="48">
        <v>0</v>
      </c>
      <c r="AQ200" s="48">
        <v>0</v>
      </c>
      <c r="AR200" s="48">
        <v>0</v>
      </c>
      <c r="AS200" s="48">
        <v>0</v>
      </c>
      <c r="AT200" s="48">
        <v>0</v>
      </c>
      <c r="AU200" s="48">
        <v>0</v>
      </c>
      <c r="AV200" s="48">
        <v>0</v>
      </c>
      <c r="AW200" s="48">
        <v>0</v>
      </c>
      <c r="AX200" s="48">
        <v>0</v>
      </c>
      <c r="AY200" s="48">
        <v>0</v>
      </c>
      <c r="AZ200" s="48">
        <v>0</v>
      </c>
      <c r="BA200" s="48">
        <v>0</v>
      </c>
      <c r="BB200" s="48">
        <v>0</v>
      </c>
      <c r="BC200" s="48">
        <v>0</v>
      </c>
      <c r="BD200" s="48">
        <v>0</v>
      </c>
      <c r="BE200" s="48">
        <v>0</v>
      </c>
      <c r="BF200" s="48">
        <v>0</v>
      </c>
      <c r="BG200" s="48">
        <v>0</v>
      </c>
      <c r="BH200" s="48">
        <v>0</v>
      </c>
      <c r="BI200" s="48">
        <v>0</v>
      </c>
      <c r="BJ200" s="48">
        <v>0</v>
      </c>
      <c r="BK200" s="48">
        <v>0</v>
      </c>
      <c r="BL200" s="48">
        <v>0</v>
      </c>
      <c r="BM200" s="48">
        <v>0</v>
      </c>
      <c r="BN200" s="48">
        <v>0</v>
      </c>
      <c r="BO200" s="48">
        <v>0</v>
      </c>
      <c r="BP200" s="48">
        <v>0</v>
      </c>
      <c r="BQ200" s="48">
        <v>0</v>
      </c>
      <c r="BR200" s="48">
        <v>0</v>
      </c>
      <c r="BS200" s="48">
        <v>0</v>
      </c>
      <c r="BT200" s="48">
        <v>0</v>
      </c>
      <c r="BU200" s="48">
        <v>0</v>
      </c>
      <c r="BV200" s="48">
        <v>0</v>
      </c>
      <c r="BW200" s="48">
        <v>0</v>
      </c>
      <c r="BX200" s="48">
        <v>0</v>
      </c>
      <c r="BY200" s="48">
        <v>0</v>
      </c>
      <c r="BZ200" s="48">
        <v>0</v>
      </c>
      <c r="CA200" s="48">
        <v>0</v>
      </c>
      <c r="CB200" s="48">
        <v>0</v>
      </c>
      <c r="CC200" s="48">
        <v>0</v>
      </c>
      <c r="CD200" s="48">
        <v>0</v>
      </c>
      <c r="CE200" s="48">
        <v>0</v>
      </c>
      <c r="CF200" s="48">
        <v>0</v>
      </c>
      <c r="CG200" s="48">
        <v>0</v>
      </c>
      <c r="CH200" s="48">
        <v>0</v>
      </c>
      <c r="CI200" s="48">
        <v>0</v>
      </c>
      <c r="CJ200" s="48">
        <v>0</v>
      </c>
      <c r="CK200" s="48">
        <v>0</v>
      </c>
      <c r="CL200" s="48">
        <v>0</v>
      </c>
      <c r="CM200" s="48">
        <v>0</v>
      </c>
      <c r="CN200" s="48">
        <v>0</v>
      </c>
      <c r="CO200" s="48">
        <v>0</v>
      </c>
      <c r="CP200" s="48">
        <v>0</v>
      </c>
      <c r="CQ200" s="48">
        <v>0</v>
      </c>
      <c r="CR200" s="48">
        <v>0</v>
      </c>
      <c r="CS200" s="48">
        <v>0</v>
      </c>
      <c r="CT200" s="48">
        <v>0</v>
      </c>
      <c r="CU200" s="48">
        <v>0</v>
      </c>
      <c r="CV200" s="48">
        <v>0</v>
      </c>
      <c r="CW200" s="48">
        <v>0</v>
      </c>
      <c r="CX200" s="48">
        <v>0</v>
      </c>
      <c r="CY200" s="48">
        <v>0</v>
      </c>
      <c r="CZ200" s="48">
        <v>0</v>
      </c>
      <c r="DA200" s="48">
        <v>0</v>
      </c>
      <c r="DB200" s="48">
        <v>0</v>
      </c>
      <c r="DC200" s="48">
        <v>0</v>
      </c>
      <c r="DD200" s="48">
        <v>0</v>
      </c>
      <c r="DE200" s="48">
        <f>VLOOKUP($C200,'[2]Analysis 1'!$C$5:$DG$1025,107,FALSE)</f>
        <v>0</v>
      </c>
      <c r="DF200" s="48">
        <f>VLOOKUP($C200,'[2]Analysis 1'!$C$5:$DG$1025,108,FALSE)</f>
        <v>0</v>
      </c>
      <c r="DG200" s="48">
        <f>VLOOKUP($C200,'[2]Analysis 1'!$C$5:$DG$1025,109,FALSE)</f>
        <v>0</v>
      </c>
      <c r="DH200" s="369">
        <f t="shared" si="6"/>
        <v>0</v>
      </c>
    </row>
    <row r="201" spans="1:112">
      <c r="A201" s="357" t="str">
        <f t="shared" si="5"/>
        <v>6100100</v>
      </c>
      <c r="B201" s="350" t="s">
        <v>2018</v>
      </c>
      <c r="C201" s="335" t="s">
        <v>1106</v>
      </c>
      <c r="D201" s="340">
        <v>1685726.83</v>
      </c>
      <c r="E201" s="340">
        <v>5350547.9400000004</v>
      </c>
      <c r="F201" s="340">
        <v>4563537.0199999996</v>
      </c>
      <c r="G201" s="340">
        <v>5464513.3499999996</v>
      </c>
      <c r="H201" s="340">
        <v>3432858.86</v>
      </c>
      <c r="I201" s="340">
        <v>4733792.83</v>
      </c>
      <c r="J201" s="340">
        <v>4415239.3499999996</v>
      </c>
      <c r="K201" s="340">
        <v>5688508.5700000003</v>
      </c>
      <c r="L201" s="340">
        <v>5125766.07</v>
      </c>
      <c r="M201" s="340">
        <v>4617691.24</v>
      </c>
      <c r="N201" s="340">
        <v>3550918.5</v>
      </c>
      <c r="O201" s="341">
        <v>6134379.9699999997</v>
      </c>
      <c r="P201" s="48">
        <v>4152922.17</v>
      </c>
      <c r="Q201" s="48">
        <v>3797511.3</v>
      </c>
      <c r="R201" s="48">
        <v>4868345.0999999996</v>
      </c>
      <c r="S201" s="48">
        <v>3750571.99</v>
      </c>
      <c r="T201" s="48">
        <v>3735523.47</v>
      </c>
      <c r="U201" s="48">
        <v>6015724.8899999997</v>
      </c>
      <c r="V201" s="48">
        <v>4778624.1399999997</v>
      </c>
      <c r="W201" s="48">
        <v>3613756.87</v>
      </c>
      <c r="X201" s="48">
        <v>4620176.9400000004</v>
      </c>
      <c r="Y201" s="48">
        <v>5883898.6900000004</v>
      </c>
      <c r="Z201" s="48">
        <v>6031631.9699999997</v>
      </c>
      <c r="AA201" s="48">
        <v>7153399.2999999998</v>
      </c>
      <c r="AB201" s="48">
        <v>3995448.12</v>
      </c>
      <c r="AC201" s="48">
        <v>11504677.01</v>
      </c>
      <c r="AD201" s="48">
        <v>7220133.6399999997</v>
      </c>
      <c r="AE201" s="48">
        <v>5742721.21</v>
      </c>
      <c r="AF201" s="48">
        <v>8927845.8800000008</v>
      </c>
      <c r="AG201" s="48">
        <v>10409533.699999999</v>
      </c>
      <c r="AH201" s="48">
        <v>6866301.6100000003</v>
      </c>
      <c r="AI201" s="48">
        <v>7776848.5800000001</v>
      </c>
      <c r="AJ201" s="48">
        <v>7381397.4199999999</v>
      </c>
      <c r="AK201" s="48">
        <v>6953388.1299999999</v>
      </c>
      <c r="AL201" s="48">
        <v>9178368.75</v>
      </c>
      <c r="AM201" s="48">
        <v>11722681.48</v>
      </c>
      <c r="AN201" s="48">
        <v>4520924.96</v>
      </c>
      <c r="AO201" s="48">
        <v>7123776.4199999999</v>
      </c>
      <c r="AP201" s="48">
        <v>6881757.9900000002</v>
      </c>
      <c r="AQ201" s="48">
        <v>5617183.4699999997</v>
      </c>
      <c r="AR201" s="48">
        <v>6277465.5499999998</v>
      </c>
      <c r="AS201" s="48">
        <v>6571939.4400000004</v>
      </c>
      <c r="AT201" s="48">
        <v>8285044.8799999999</v>
      </c>
      <c r="AU201" s="48">
        <v>10147018.289999999</v>
      </c>
      <c r="AV201" s="48">
        <v>5081677.4800000004</v>
      </c>
      <c r="AW201" s="48">
        <v>8828723.6400000006</v>
      </c>
      <c r="AX201" s="48">
        <v>8469319.1799999997</v>
      </c>
      <c r="AY201" s="48">
        <v>9374221.2100000009</v>
      </c>
      <c r="AZ201" s="48">
        <v>7491679.5300000003</v>
      </c>
      <c r="BA201" s="48">
        <v>8868415.3499999996</v>
      </c>
      <c r="BB201" s="48">
        <v>8950461.0800000001</v>
      </c>
      <c r="BC201" s="48">
        <v>6668131.9299999997</v>
      </c>
      <c r="BD201" s="48">
        <v>10391864.02</v>
      </c>
      <c r="BE201" s="48">
        <v>8384423.2400000002</v>
      </c>
      <c r="BF201" s="48">
        <v>8169371.8200000003</v>
      </c>
      <c r="BG201" s="48">
        <v>10961835.24</v>
      </c>
      <c r="BH201" s="48">
        <v>10301311.83</v>
      </c>
      <c r="BI201" s="48">
        <v>14889014.060000001</v>
      </c>
      <c r="BJ201" s="48">
        <v>13704093.15</v>
      </c>
      <c r="BK201" s="48">
        <v>11948367.029999999</v>
      </c>
      <c r="BL201" s="48">
        <v>12692675.73</v>
      </c>
      <c r="BM201" s="48">
        <v>9128770.4399999995</v>
      </c>
      <c r="BN201" s="48">
        <v>11144498.1</v>
      </c>
      <c r="BO201" s="48">
        <v>8911639.8100000005</v>
      </c>
      <c r="BP201" s="48">
        <v>10450485.800000001</v>
      </c>
      <c r="BQ201" s="48">
        <v>13710438.050000001</v>
      </c>
      <c r="BR201" s="48">
        <v>9870766.5600000005</v>
      </c>
      <c r="BS201" s="48">
        <v>15857835.449999999</v>
      </c>
      <c r="BT201" s="48">
        <v>10544474.869999999</v>
      </c>
      <c r="BU201" s="48">
        <v>13554755.699999999</v>
      </c>
      <c r="BV201" s="48">
        <v>15184881.109999999</v>
      </c>
      <c r="BW201" s="48">
        <v>18847956.359999999</v>
      </c>
      <c r="BX201" s="48">
        <v>18197050.170000002</v>
      </c>
      <c r="BY201" s="48">
        <v>15655857.91</v>
      </c>
      <c r="BZ201" s="48">
        <v>18034561.41</v>
      </c>
      <c r="CA201" s="48">
        <v>19599908.649999999</v>
      </c>
      <c r="CB201" s="48">
        <v>19025598.68</v>
      </c>
      <c r="CC201" s="48">
        <v>13116330.57</v>
      </c>
      <c r="CD201" s="48">
        <v>14901364.48</v>
      </c>
      <c r="CE201" s="48">
        <v>18569338.469999999</v>
      </c>
      <c r="CF201" s="48">
        <v>17486742.57</v>
      </c>
      <c r="CG201" s="48">
        <v>24937660.300000001</v>
      </c>
      <c r="CH201" s="48">
        <v>20213901.969999999</v>
      </c>
      <c r="CI201" s="48">
        <v>26129528.07</v>
      </c>
      <c r="CJ201" s="48">
        <v>16182441.640000001</v>
      </c>
      <c r="CK201" s="48">
        <v>22008046.260000002</v>
      </c>
      <c r="CL201" s="48">
        <v>26445109.870000001</v>
      </c>
      <c r="CM201" s="48">
        <v>16935201.890000001</v>
      </c>
      <c r="CN201" s="48">
        <v>12263347.58</v>
      </c>
      <c r="CO201" s="48">
        <v>18140310.710000001</v>
      </c>
      <c r="CP201" s="48">
        <v>13684608.380000001</v>
      </c>
      <c r="CQ201" s="48">
        <v>16285214.609999999</v>
      </c>
      <c r="CR201" s="48">
        <v>20528971.620000001</v>
      </c>
      <c r="CS201" s="48">
        <v>22365182.550000001</v>
      </c>
      <c r="CT201" s="48">
        <v>19829113.629999999</v>
      </c>
      <c r="CU201" s="48">
        <v>14553761.439999999</v>
      </c>
      <c r="CV201" s="48">
        <v>17306803.920000002</v>
      </c>
      <c r="CW201" s="48">
        <v>17019094.859999999</v>
      </c>
      <c r="CX201" s="48">
        <v>16489226.83</v>
      </c>
      <c r="CY201" s="48">
        <v>20559613.379999999</v>
      </c>
      <c r="CZ201" s="48">
        <v>17661479.379999999</v>
      </c>
      <c r="DA201" s="48">
        <v>21435742.780000001</v>
      </c>
      <c r="DB201" s="48">
        <v>15424523.42</v>
      </c>
      <c r="DC201" s="48">
        <v>20636784.09</v>
      </c>
      <c r="DD201" s="48">
        <v>11478467.890000001</v>
      </c>
      <c r="DE201" s="48">
        <f>VLOOKUP($C201,'[2]Analysis 1'!$C$5:$DG$1025,107,FALSE)</f>
        <v>15731297.630000001</v>
      </c>
      <c r="DF201" s="48">
        <f>VLOOKUP($C201,'[2]Analysis 1'!$C$5:$DG$1025,108,FALSE)</f>
        <v>17169068.93</v>
      </c>
      <c r="DG201" s="48">
        <f>VLOOKUP($C201,'[2]Analysis 1'!$C$5:$DG$1025,109,FALSE)</f>
        <v>24077649.440000001</v>
      </c>
      <c r="DH201" s="369">
        <f t="shared" si="6"/>
        <v>214989752.55000001</v>
      </c>
    </row>
    <row r="202" spans="1:112">
      <c r="A202" s="357" t="str">
        <f>+B202</f>
        <v>6100110</v>
      </c>
      <c r="B202" s="350" t="s">
        <v>2229</v>
      </c>
      <c r="C202" s="335" t="s">
        <v>2230</v>
      </c>
      <c r="D202" s="340"/>
      <c r="E202" s="340"/>
      <c r="F202" s="340"/>
      <c r="G202" s="340"/>
      <c r="H202" s="340"/>
      <c r="I202" s="340"/>
      <c r="J202" s="340"/>
      <c r="K202" s="340"/>
      <c r="L202" s="340"/>
      <c r="M202" s="340"/>
      <c r="N202" s="340"/>
      <c r="O202" s="341"/>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v>0</v>
      </c>
      <c r="BD202" s="48">
        <v>87615</v>
      </c>
      <c r="BE202" s="48">
        <v>-87464</v>
      </c>
      <c r="BF202" s="48">
        <v>9</v>
      </c>
      <c r="BG202" s="48">
        <v>0</v>
      </c>
      <c r="BH202" s="48">
        <v>0</v>
      </c>
      <c r="BI202" s="48">
        <v>0</v>
      </c>
      <c r="BJ202" s="48">
        <v>0</v>
      </c>
      <c r="BK202" s="48">
        <v>189.13</v>
      </c>
      <c r="BL202" s="48">
        <v>0</v>
      </c>
      <c r="BM202" s="48">
        <v>0</v>
      </c>
      <c r="BN202" s="48">
        <v>0</v>
      </c>
      <c r="BO202" s="48">
        <v>0</v>
      </c>
      <c r="BP202" s="48">
        <v>0</v>
      </c>
      <c r="BQ202" s="48">
        <v>0</v>
      </c>
      <c r="BR202" s="48">
        <v>0</v>
      </c>
      <c r="BS202" s="48">
        <v>0</v>
      </c>
      <c r="BT202" s="48">
        <v>0</v>
      </c>
      <c r="BU202" s="48">
        <v>0</v>
      </c>
      <c r="BV202" s="48">
        <v>0</v>
      </c>
      <c r="BW202" s="48">
        <v>0</v>
      </c>
      <c r="BX202" s="48">
        <v>0</v>
      </c>
      <c r="BY202" s="48">
        <v>0</v>
      </c>
      <c r="BZ202" s="48">
        <v>0</v>
      </c>
      <c r="CA202" s="48">
        <v>0</v>
      </c>
      <c r="CB202" s="48">
        <v>0</v>
      </c>
      <c r="CC202" s="48">
        <v>0</v>
      </c>
      <c r="CD202" s="48">
        <v>0</v>
      </c>
      <c r="CE202" s="48">
        <v>0</v>
      </c>
      <c r="CF202" s="48">
        <v>0</v>
      </c>
      <c r="CG202" s="48">
        <v>0</v>
      </c>
      <c r="CH202" s="48">
        <v>0</v>
      </c>
      <c r="CI202" s="48">
        <v>0</v>
      </c>
      <c r="CJ202" s="48">
        <v>1729.9</v>
      </c>
      <c r="CK202" s="48">
        <v>0</v>
      </c>
      <c r="CL202" s="48">
        <v>0</v>
      </c>
      <c r="CM202" s="48">
        <v>0</v>
      </c>
      <c r="CN202" s="48">
        <v>0</v>
      </c>
      <c r="CO202" s="48">
        <v>0</v>
      </c>
      <c r="CP202" s="48">
        <v>0</v>
      </c>
      <c r="CQ202" s="48">
        <v>0</v>
      </c>
      <c r="CR202" s="48">
        <v>0</v>
      </c>
      <c r="CS202" s="48">
        <v>0</v>
      </c>
      <c r="CT202" s="48">
        <v>0</v>
      </c>
      <c r="CU202" s="48">
        <v>0</v>
      </c>
      <c r="CV202" s="48">
        <v>0</v>
      </c>
      <c r="CW202" s="48">
        <v>0</v>
      </c>
      <c r="CX202" s="48">
        <v>0</v>
      </c>
      <c r="CY202" s="48">
        <v>0</v>
      </c>
      <c r="CZ202" s="48">
        <v>0</v>
      </c>
      <c r="DA202" s="48">
        <v>0</v>
      </c>
      <c r="DB202" s="48">
        <v>884.59</v>
      </c>
      <c r="DC202" s="48">
        <v>0</v>
      </c>
      <c r="DD202" s="48">
        <v>0</v>
      </c>
      <c r="DE202" s="48">
        <f>VLOOKUP($C202,'[2]Analysis 1'!$C$5:$DG$1025,107,FALSE)</f>
        <v>0</v>
      </c>
      <c r="DF202" s="48">
        <f>VLOOKUP($C202,'[2]Analysis 1'!$C$5:$DG$1025,108,FALSE)</f>
        <v>0</v>
      </c>
      <c r="DG202" s="48">
        <f>VLOOKUP($C202,'[2]Analysis 1'!$C$5:$DG$1025,109,FALSE)</f>
        <v>0</v>
      </c>
      <c r="DH202" s="369">
        <f t="shared" si="6"/>
        <v>884.59</v>
      </c>
    </row>
    <row r="203" spans="1:112">
      <c r="A203" s="357" t="str">
        <f t="shared" si="5"/>
        <v>6100120</v>
      </c>
      <c r="B203" s="350" t="s">
        <v>2019</v>
      </c>
      <c r="C203" s="335" t="s">
        <v>1107</v>
      </c>
      <c r="D203" s="340">
        <v>0</v>
      </c>
      <c r="E203" s="340">
        <v>0</v>
      </c>
      <c r="F203" s="340">
        <v>208.65</v>
      </c>
      <c r="G203" s="340">
        <v>484.71</v>
      </c>
      <c r="H203" s="340">
        <v>1277.1099999999999</v>
      </c>
      <c r="I203" s="340">
        <v>1208</v>
      </c>
      <c r="J203" s="340">
        <v>0</v>
      </c>
      <c r="K203" s="340">
        <v>0</v>
      </c>
      <c r="L203" s="340">
        <v>1008.17</v>
      </c>
      <c r="M203" s="340">
        <v>0</v>
      </c>
      <c r="N203" s="340">
        <v>0</v>
      </c>
      <c r="O203" s="341">
        <v>636.12</v>
      </c>
      <c r="P203" s="48">
        <v>0</v>
      </c>
      <c r="Q203" s="48">
        <v>0</v>
      </c>
      <c r="R203" s="48">
        <v>355.62</v>
      </c>
      <c r="S203" s="48">
        <v>0</v>
      </c>
      <c r="T203" s="48">
        <v>0</v>
      </c>
      <c r="U203" s="48">
        <v>108.88</v>
      </c>
      <c r="V203" s="48">
        <v>113.1</v>
      </c>
      <c r="W203" s="48">
        <v>16.010000000000002</v>
      </c>
      <c r="X203" s="48">
        <v>1673.34</v>
      </c>
      <c r="Y203" s="48">
        <v>896.91</v>
      </c>
      <c r="Z203" s="48">
        <v>237.65</v>
      </c>
      <c r="AA203" s="48">
        <v>289.85000000000002</v>
      </c>
      <c r="AB203" s="48">
        <v>0</v>
      </c>
      <c r="AC203" s="48">
        <v>1187.8599999999999</v>
      </c>
      <c r="AD203" s="48">
        <v>0</v>
      </c>
      <c r="AE203" s="48">
        <v>0</v>
      </c>
      <c r="AF203" s="48">
        <v>2255.34</v>
      </c>
      <c r="AG203" s="48">
        <v>-104.12</v>
      </c>
      <c r="AH203" s="48">
        <v>812.3</v>
      </c>
      <c r="AI203" s="48">
        <v>-34.299999999999997</v>
      </c>
      <c r="AJ203" s="48">
        <v>322.44</v>
      </c>
      <c r="AK203" s="48">
        <v>42.58</v>
      </c>
      <c r="AL203" s="48">
        <v>32.07</v>
      </c>
      <c r="AM203" s="48">
        <v>2561.09</v>
      </c>
      <c r="AN203" s="48">
        <v>0</v>
      </c>
      <c r="AO203" s="48">
        <v>793.82</v>
      </c>
      <c r="AP203" s="48">
        <v>51.79</v>
      </c>
      <c r="AQ203" s="48">
        <v>558.95000000000005</v>
      </c>
      <c r="AR203" s="48">
        <v>261.83</v>
      </c>
      <c r="AS203" s="48">
        <v>156.78</v>
      </c>
      <c r="AT203" s="48">
        <v>0</v>
      </c>
      <c r="AU203" s="48">
        <v>0</v>
      </c>
      <c r="AV203" s="48">
        <v>172.81</v>
      </c>
      <c r="AW203" s="48">
        <v>40.82</v>
      </c>
      <c r="AX203" s="48">
        <v>2582.59</v>
      </c>
      <c r="AY203" s="48">
        <v>802.56</v>
      </c>
      <c r="AZ203" s="48">
        <v>0</v>
      </c>
      <c r="BA203" s="48">
        <v>574.42999999999995</v>
      </c>
      <c r="BB203" s="48">
        <v>4963.57</v>
      </c>
      <c r="BC203" s="48">
        <v>159.69999999999999</v>
      </c>
      <c r="BD203" s="48">
        <v>945.83</v>
      </c>
      <c r="BE203" s="48">
        <v>440.31</v>
      </c>
      <c r="BF203" s="48">
        <v>94.69</v>
      </c>
      <c r="BG203" s="48">
        <v>3026.9</v>
      </c>
      <c r="BH203" s="48">
        <v>552.66</v>
      </c>
      <c r="BI203" s="48">
        <v>1216.8399999999999</v>
      </c>
      <c r="BJ203" s="48">
        <v>429.88</v>
      </c>
      <c r="BK203" s="48">
        <v>1834.17</v>
      </c>
      <c r="BL203" s="48">
        <v>0</v>
      </c>
      <c r="BM203" s="48">
        <v>302.23</v>
      </c>
      <c r="BN203" s="48">
        <v>198.74</v>
      </c>
      <c r="BO203" s="48">
        <v>0</v>
      </c>
      <c r="BP203" s="48">
        <v>1326.2</v>
      </c>
      <c r="BQ203" s="48">
        <v>1792.84</v>
      </c>
      <c r="BR203" s="48">
        <v>54.24</v>
      </c>
      <c r="BS203" s="48">
        <v>2251.2600000000002</v>
      </c>
      <c r="BT203" s="48">
        <v>309.95</v>
      </c>
      <c r="BU203" s="48">
        <v>1028.43</v>
      </c>
      <c r="BV203" s="48">
        <v>2440.0300000000002</v>
      </c>
      <c r="BW203" s="48">
        <v>3895.01</v>
      </c>
      <c r="BX203" s="48">
        <v>0</v>
      </c>
      <c r="BY203" s="48">
        <v>1693.9</v>
      </c>
      <c r="BZ203" s="48">
        <v>802.82</v>
      </c>
      <c r="CA203" s="48">
        <v>151.16999999999999</v>
      </c>
      <c r="CB203" s="48">
        <v>63.58</v>
      </c>
      <c r="CC203" s="48">
        <v>93.07</v>
      </c>
      <c r="CD203" s="48">
        <v>772.35</v>
      </c>
      <c r="CE203" s="48">
        <v>4343.76</v>
      </c>
      <c r="CF203" s="48">
        <v>182.25</v>
      </c>
      <c r="CG203" s="48">
        <v>-11.93</v>
      </c>
      <c r="CH203" s="48">
        <v>0</v>
      </c>
      <c r="CI203" s="48">
        <v>0</v>
      </c>
      <c r="CJ203" s="48">
        <v>1209.1500000000001</v>
      </c>
      <c r="CK203" s="48">
        <v>0</v>
      </c>
      <c r="CL203" s="48">
        <v>0</v>
      </c>
      <c r="CM203" s="48">
        <v>0</v>
      </c>
      <c r="CN203" s="48">
        <v>0</v>
      </c>
      <c r="CO203" s="48">
        <v>0</v>
      </c>
      <c r="CP203" s="48">
        <v>0</v>
      </c>
      <c r="CQ203" s="48">
        <v>0</v>
      </c>
      <c r="CR203" s="48">
        <v>0</v>
      </c>
      <c r="CS203" s="48">
        <v>0</v>
      </c>
      <c r="CT203" s="48">
        <v>0</v>
      </c>
      <c r="CU203" s="48">
        <v>0</v>
      </c>
      <c r="CV203" s="48">
        <v>0</v>
      </c>
      <c r="CW203" s="48">
        <v>0</v>
      </c>
      <c r="CX203" s="48">
        <v>0</v>
      </c>
      <c r="CY203" s="48">
        <v>0</v>
      </c>
      <c r="CZ203" s="48">
        <v>0</v>
      </c>
      <c r="DA203" s="48">
        <v>0</v>
      </c>
      <c r="DB203" s="48">
        <v>0</v>
      </c>
      <c r="DC203" s="48">
        <v>0</v>
      </c>
      <c r="DD203" s="48">
        <v>3793.11</v>
      </c>
      <c r="DE203" s="48">
        <f>VLOOKUP($C203,'[2]Analysis 1'!$C$5:$DG$1025,107,FALSE)</f>
        <v>0</v>
      </c>
      <c r="DF203" s="48">
        <f>VLOOKUP($C203,'[2]Analysis 1'!$C$5:$DG$1025,108,FALSE)</f>
        <v>0</v>
      </c>
      <c r="DG203" s="48">
        <f>VLOOKUP($C203,'[2]Analysis 1'!$C$5:$DG$1025,109,FALSE)</f>
        <v>0</v>
      </c>
      <c r="DH203" s="369">
        <f t="shared" si="6"/>
        <v>3793.11</v>
      </c>
    </row>
    <row r="204" spans="1:112">
      <c r="A204" s="357" t="str">
        <f>+B204</f>
        <v>6100130</v>
      </c>
      <c r="B204" s="350" t="s">
        <v>2265</v>
      </c>
      <c r="C204" s="335" t="s">
        <v>2266</v>
      </c>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v>0</v>
      </c>
      <c r="BM204" s="48">
        <v>20</v>
      </c>
      <c r="BN204" s="48">
        <v>0</v>
      </c>
      <c r="BO204" s="48">
        <v>0</v>
      </c>
      <c r="BP204" s="48">
        <v>0</v>
      </c>
      <c r="BQ204" s="48">
        <v>0</v>
      </c>
      <c r="BR204" s="48">
        <v>0</v>
      </c>
      <c r="BS204" s="48">
        <v>0</v>
      </c>
      <c r="BT204" s="48">
        <v>0</v>
      </c>
      <c r="BU204" s="48">
        <v>0</v>
      </c>
      <c r="BV204" s="48">
        <v>0</v>
      </c>
      <c r="BW204" s="48">
        <v>0</v>
      </c>
      <c r="BX204" s="48">
        <v>0</v>
      </c>
      <c r="BY204" s="48">
        <v>0</v>
      </c>
      <c r="BZ204" s="48">
        <v>0</v>
      </c>
      <c r="CA204" s="48">
        <v>0</v>
      </c>
      <c r="CB204" s="48">
        <v>0</v>
      </c>
      <c r="CC204" s="48">
        <v>0</v>
      </c>
      <c r="CD204" s="48">
        <v>0</v>
      </c>
      <c r="CE204" s="48">
        <v>0</v>
      </c>
      <c r="CF204" s="48">
        <v>0</v>
      </c>
      <c r="CG204" s="48">
        <v>0</v>
      </c>
      <c r="CH204" s="48">
        <v>0</v>
      </c>
      <c r="CI204" s="48">
        <v>0</v>
      </c>
      <c r="CJ204" s="48">
        <v>0</v>
      </c>
      <c r="CK204" s="48">
        <v>0</v>
      </c>
      <c r="CL204" s="48">
        <v>0</v>
      </c>
      <c r="CM204" s="48">
        <v>0</v>
      </c>
      <c r="CN204" s="48">
        <v>0</v>
      </c>
      <c r="CO204" s="48">
        <v>0</v>
      </c>
      <c r="CP204" s="48">
        <v>0</v>
      </c>
      <c r="CQ204" s="48">
        <v>0</v>
      </c>
      <c r="CR204" s="48">
        <v>0</v>
      </c>
      <c r="CS204" s="48">
        <v>0</v>
      </c>
      <c r="CT204" s="48">
        <v>0</v>
      </c>
      <c r="CU204" s="48">
        <v>0</v>
      </c>
      <c r="CV204" s="48">
        <v>0</v>
      </c>
      <c r="CW204" s="48">
        <v>0</v>
      </c>
      <c r="CX204" s="48">
        <v>0</v>
      </c>
      <c r="CY204" s="48">
        <v>0</v>
      </c>
      <c r="CZ204" s="48">
        <v>0</v>
      </c>
      <c r="DA204" s="48">
        <v>0</v>
      </c>
      <c r="DB204" s="48">
        <v>0</v>
      </c>
      <c r="DC204" s="48">
        <v>0</v>
      </c>
      <c r="DD204" s="48">
        <v>0</v>
      </c>
      <c r="DE204" s="48">
        <f>VLOOKUP($C204,'[2]Analysis 1'!$C$5:$DG$1025,107,FALSE)</f>
        <v>0</v>
      </c>
      <c r="DF204" s="48">
        <f>VLOOKUP($C204,'[2]Analysis 1'!$C$5:$DG$1025,108,FALSE)</f>
        <v>0</v>
      </c>
      <c r="DG204" s="48">
        <f>VLOOKUP($C204,'[2]Analysis 1'!$C$5:$DG$1025,109,FALSE)</f>
        <v>0</v>
      </c>
      <c r="DH204" s="369">
        <f t="shared" si="6"/>
        <v>0</v>
      </c>
    </row>
    <row r="205" spans="1:112">
      <c r="A205" s="357" t="str">
        <f t="shared" si="5"/>
        <v>6100150</v>
      </c>
      <c r="B205" s="350" t="s">
        <v>2020</v>
      </c>
      <c r="C205" s="335" t="s">
        <v>1108</v>
      </c>
      <c r="D205" s="367">
        <v>-5091.95</v>
      </c>
      <c r="E205" s="367">
        <v>5714.47</v>
      </c>
      <c r="F205" s="367">
        <v>7970.87</v>
      </c>
      <c r="G205" s="367">
        <v>5906.28</v>
      </c>
      <c r="H205" s="367">
        <v>7680.45</v>
      </c>
      <c r="I205" s="367">
        <v>13728.68</v>
      </c>
      <c r="J205" s="367">
        <v>8138.19</v>
      </c>
      <c r="K205" s="367">
        <v>7121.7</v>
      </c>
      <c r="L205" s="367">
        <v>11237.22</v>
      </c>
      <c r="M205" s="367">
        <v>13329.69</v>
      </c>
      <c r="N205" s="367">
        <v>10476.459999999999</v>
      </c>
      <c r="O205" s="368">
        <v>11228.9</v>
      </c>
      <c r="P205" s="48">
        <v>11.01</v>
      </c>
      <c r="Q205" s="48">
        <v>2197.9299999999998</v>
      </c>
      <c r="R205" s="48">
        <v>125.43</v>
      </c>
      <c r="S205" s="48">
        <v>2689.88</v>
      </c>
      <c r="T205" s="48">
        <v>1044.32</v>
      </c>
      <c r="U205" s="48">
        <v>1221.1099999999999</v>
      </c>
      <c r="V205" s="48">
        <v>381.26</v>
      </c>
      <c r="W205" s="48">
        <v>1785</v>
      </c>
      <c r="X205" s="48">
        <v>26704.09</v>
      </c>
      <c r="Y205" s="48">
        <v>1925.27</v>
      </c>
      <c r="Z205" s="48">
        <v>3751.4</v>
      </c>
      <c r="AA205" s="48">
        <v>942.61</v>
      </c>
      <c r="AB205" s="48">
        <v>1400.27</v>
      </c>
      <c r="AC205" s="48">
        <v>60.92</v>
      </c>
      <c r="AD205" s="48">
        <v>659.11</v>
      </c>
      <c r="AE205" s="48">
        <v>1139.6600000000001</v>
      </c>
      <c r="AF205" s="48">
        <v>2846.55</v>
      </c>
      <c r="AG205" s="48">
        <v>8358.1200000000008</v>
      </c>
      <c r="AH205" s="48">
        <v>8755.01</v>
      </c>
      <c r="AI205" s="48">
        <v>337.01</v>
      </c>
      <c r="AJ205" s="48">
        <v>3615.45</v>
      </c>
      <c r="AK205" s="48">
        <v>5893.79</v>
      </c>
      <c r="AL205" s="48">
        <v>1209.28</v>
      </c>
      <c r="AM205" s="48">
        <v>4373.84</v>
      </c>
      <c r="AN205" s="48">
        <v>534.19000000000005</v>
      </c>
      <c r="AO205" s="48">
        <v>1860.98</v>
      </c>
      <c r="AP205" s="48">
        <v>761.93</v>
      </c>
      <c r="AQ205" s="48">
        <v>14838.04</v>
      </c>
      <c r="AR205" s="48">
        <v>-12971.17</v>
      </c>
      <c r="AS205" s="48">
        <v>525.65</v>
      </c>
      <c r="AT205" s="48">
        <v>702.14</v>
      </c>
      <c r="AU205" s="48">
        <v>2228.62</v>
      </c>
      <c r="AV205" s="48">
        <v>918.72</v>
      </c>
      <c r="AW205" s="48">
        <v>4224.6400000000003</v>
      </c>
      <c r="AX205" s="48">
        <v>110.35</v>
      </c>
      <c r="AY205" s="48">
        <v>325.58999999999997</v>
      </c>
      <c r="AZ205" s="48">
        <v>1489.39</v>
      </c>
      <c r="BA205" s="48">
        <v>793.27</v>
      </c>
      <c r="BB205" s="48">
        <v>20871.41</v>
      </c>
      <c r="BC205" s="48">
        <v>601.53</v>
      </c>
      <c r="BD205" s="48">
        <v>-11007.55</v>
      </c>
      <c r="BE205" s="48">
        <v>237.3</v>
      </c>
      <c r="BF205" s="48">
        <v>5325.61</v>
      </c>
      <c r="BG205" s="48">
        <v>1144.05</v>
      </c>
      <c r="BH205" s="48">
        <v>763.05</v>
      </c>
      <c r="BI205" s="48">
        <v>55.44</v>
      </c>
      <c r="BJ205" s="48">
        <v>829.57</v>
      </c>
      <c r="BK205" s="48">
        <v>8209.32</v>
      </c>
      <c r="BL205" s="48">
        <v>16863.21</v>
      </c>
      <c r="BM205" s="48">
        <v>4487.9799999999996</v>
      </c>
      <c r="BN205" s="48">
        <v>1057.8699999999999</v>
      </c>
      <c r="BO205" s="48">
        <v>2562.16</v>
      </c>
      <c r="BP205" s="48">
        <v>3135.81</v>
      </c>
      <c r="BQ205" s="48">
        <v>3131.82</v>
      </c>
      <c r="BR205" s="48">
        <v>2400.59</v>
      </c>
      <c r="BS205" s="48">
        <v>3358.8</v>
      </c>
      <c r="BT205" s="48">
        <v>577.36</v>
      </c>
      <c r="BU205" s="48">
        <v>2817.92</v>
      </c>
      <c r="BV205" s="48">
        <v>52.29</v>
      </c>
      <c r="BW205" s="48">
        <v>3717.83</v>
      </c>
      <c r="BX205" s="48">
        <v>5444.01</v>
      </c>
      <c r="BY205" s="48">
        <v>2763.82</v>
      </c>
      <c r="BZ205" s="48">
        <v>0</v>
      </c>
      <c r="CA205" s="48">
        <v>0</v>
      </c>
      <c r="CB205" s="48">
        <v>0</v>
      </c>
      <c r="CC205" s="48">
        <v>434.63</v>
      </c>
      <c r="CD205" s="48">
        <v>289.11</v>
      </c>
      <c r="CE205" s="48">
        <v>8628.9500000000007</v>
      </c>
      <c r="CF205" s="48">
        <v>3018.57</v>
      </c>
      <c r="CG205" s="48">
        <v>1430.51</v>
      </c>
      <c r="CH205" s="48">
        <v>5074.75</v>
      </c>
      <c r="CI205" s="48">
        <v>1807</v>
      </c>
      <c r="CJ205" s="48">
        <v>-94.12</v>
      </c>
      <c r="CK205" s="48">
        <v>361.88</v>
      </c>
      <c r="CL205" s="48">
        <v>8349.9500000000007</v>
      </c>
      <c r="CM205" s="48">
        <v>614.33000000000004</v>
      </c>
      <c r="CN205" s="48">
        <v>5773.25</v>
      </c>
      <c r="CO205" s="48">
        <v>3598.54</v>
      </c>
      <c r="CP205" s="48">
        <v>856.83</v>
      </c>
      <c r="CQ205" s="48">
        <v>1795.09</v>
      </c>
      <c r="CR205" s="48">
        <v>78.7</v>
      </c>
      <c r="CS205" s="48">
        <v>4788.3500000000004</v>
      </c>
      <c r="CT205" s="48">
        <v>2402.9699999999998</v>
      </c>
      <c r="CU205" s="48">
        <v>4071.17</v>
      </c>
      <c r="CV205" s="48">
        <v>5590.6</v>
      </c>
      <c r="CW205" s="48">
        <v>2937.04</v>
      </c>
      <c r="CX205" s="48">
        <v>906.12</v>
      </c>
      <c r="CY205" s="48">
        <v>4665.8</v>
      </c>
      <c r="CZ205" s="48">
        <v>4336.18</v>
      </c>
      <c r="DA205" s="48">
        <v>21196.54</v>
      </c>
      <c r="DB205" s="48">
        <v>8589.8799999999992</v>
      </c>
      <c r="DC205" s="48">
        <v>4439.33</v>
      </c>
      <c r="DD205" s="48">
        <v>25242.54</v>
      </c>
      <c r="DE205" s="48">
        <f>VLOOKUP($C205,'[2]Analysis 1'!$C$5:$DG$1025,107,FALSE)</f>
        <v>2510.92</v>
      </c>
      <c r="DF205" s="48">
        <f>VLOOKUP($C205,'[2]Analysis 1'!$C$5:$DG$1025,108,FALSE)</f>
        <v>2537.2600000000002</v>
      </c>
      <c r="DG205" s="48">
        <f>VLOOKUP($C205,'[2]Analysis 1'!$C$5:$DG$1025,109,FALSE)</f>
        <v>1482.1</v>
      </c>
      <c r="DH205" s="369">
        <f t="shared" si="6"/>
        <v>84434.31</v>
      </c>
    </row>
    <row r="206" spans="1:112">
      <c r="A206" s="357" t="str">
        <f t="shared" si="5"/>
        <v>6100160</v>
      </c>
      <c r="B206" s="350" t="s">
        <v>2021</v>
      </c>
      <c r="C206" s="335" t="s">
        <v>1109</v>
      </c>
      <c r="D206" s="367">
        <v>105.92</v>
      </c>
      <c r="E206" s="367">
        <v>105.92</v>
      </c>
      <c r="F206" s="367">
        <v>0</v>
      </c>
      <c r="G206" s="367">
        <v>105.92</v>
      </c>
      <c r="H206" s="367">
        <v>181.15</v>
      </c>
      <c r="I206" s="367">
        <v>105.92</v>
      </c>
      <c r="J206" s="367">
        <v>190.72</v>
      </c>
      <c r="K206" s="367">
        <v>0</v>
      </c>
      <c r="L206" s="367">
        <v>191.64</v>
      </c>
      <c r="M206" s="367">
        <v>112.28</v>
      </c>
      <c r="N206" s="367">
        <v>112.28</v>
      </c>
      <c r="O206" s="368">
        <v>5320.82</v>
      </c>
      <c r="P206" s="48">
        <v>112.28</v>
      </c>
      <c r="Q206" s="48">
        <v>645.67999999999995</v>
      </c>
      <c r="R206" s="48">
        <v>224.56</v>
      </c>
      <c r="S206" s="48">
        <v>179.59</v>
      </c>
      <c r="T206" s="48">
        <v>754.15</v>
      </c>
      <c r="U206" s="48">
        <v>112.28</v>
      </c>
      <c r="V206" s="48">
        <v>119.02</v>
      </c>
      <c r="W206" s="48">
        <v>119.03</v>
      </c>
      <c r="X206" s="48">
        <v>119.03</v>
      </c>
      <c r="Y206" s="48">
        <v>119.03</v>
      </c>
      <c r="Z206" s="48">
        <v>1712.85</v>
      </c>
      <c r="AA206" s="48">
        <v>119.03</v>
      </c>
      <c r="AB206" s="48">
        <v>816.97</v>
      </c>
      <c r="AC206" s="48">
        <v>795.25</v>
      </c>
      <c r="AD206" s="48">
        <v>119.03</v>
      </c>
      <c r="AE206" s="48">
        <v>119.03</v>
      </c>
      <c r="AF206" s="48">
        <v>0</v>
      </c>
      <c r="AG206" s="48">
        <v>1194.1500000000001</v>
      </c>
      <c r="AH206" s="48">
        <v>-1067.99</v>
      </c>
      <c r="AI206" s="48">
        <v>431.8</v>
      </c>
      <c r="AJ206" s="48">
        <v>130.22999999999999</v>
      </c>
      <c r="AK206" s="48">
        <v>67.56</v>
      </c>
      <c r="AL206" s="48">
        <v>193.74</v>
      </c>
      <c r="AM206" s="48">
        <v>1912.66</v>
      </c>
      <c r="AN206" s="48">
        <v>126.18</v>
      </c>
      <c r="AO206" s="48">
        <v>0</v>
      </c>
      <c r="AP206" s="48">
        <v>253.27</v>
      </c>
      <c r="AQ206" s="48">
        <v>126.18</v>
      </c>
      <c r="AR206" s="48">
        <v>195.74</v>
      </c>
      <c r="AS206" s="48">
        <v>126.18</v>
      </c>
      <c r="AT206" s="48">
        <v>1199.3</v>
      </c>
      <c r="AU206" s="48">
        <v>72.290000000000006</v>
      </c>
      <c r="AV206" s="48">
        <v>3335</v>
      </c>
      <c r="AW206" s="48">
        <v>1417.73</v>
      </c>
      <c r="AX206" s="48">
        <v>1799.86</v>
      </c>
      <c r="AY206" s="48">
        <v>230.99</v>
      </c>
      <c r="AZ206" s="48">
        <v>133.75</v>
      </c>
      <c r="BA206" s="48">
        <v>133.75</v>
      </c>
      <c r="BB206" s="48">
        <v>237.83</v>
      </c>
      <c r="BC206" s="48">
        <v>230.99</v>
      </c>
      <c r="BD206" s="48">
        <v>480.87</v>
      </c>
      <c r="BE206" s="48">
        <v>230.99</v>
      </c>
      <c r="BF206" s="48">
        <v>201.31</v>
      </c>
      <c r="BG206" s="48">
        <v>133.75</v>
      </c>
      <c r="BH206" s="48">
        <v>4148.24</v>
      </c>
      <c r="BI206" s="48">
        <v>480.87</v>
      </c>
      <c r="BJ206" s="48">
        <v>67.56</v>
      </c>
      <c r="BK206" s="48">
        <v>1966.54</v>
      </c>
      <c r="BL206" s="48">
        <v>5040</v>
      </c>
      <c r="BM206" s="48">
        <v>607.91999999999996</v>
      </c>
      <c r="BN206" s="48">
        <v>5022.29</v>
      </c>
      <c r="BO206" s="48">
        <v>1247.57</v>
      </c>
      <c r="BP206" s="48">
        <v>142.43</v>
      </c>
      <c r="BQ206" s="48">
        <v>4489.67</v>
      </c>
      <c r="BR206" s="48">
        <v>209.99</v>
      </c>
      <c r="BS206" s="48">
        <v>30229.72</v>
      </c>
      <c r="BT206" s="48">
        <v>142.43</v>
      </c>
      <c r="BU206" s="48">
        <v>4682.2299999999996</v>
      </c>
      <c r="BV206" s="48">
        <v>489.72</v>
      </c>
      <c r="BW206" s="48">
        <v>38789.18</v>
      </c>
      <c r="BX206" s="48">
        <v>-28552.59</v>
      </c>
      <c r="BY206" s="48">
        <v>522.52</v>
      </c>
      <c r="BZ206" s="48">
        <v>4376.8100000000004</v>
      </c>
      <c r="CA206" s="48">
        <v>412.95</v>
      </c>
      <c r="CB206" s="48">
        <v>565.76</v>
      </c>
      <c r="CC206" s="48">
        <v>4401.13</v>
      </c>
      <c r="CD206" s="48">
        <v>150.91</v>
      </c>
      <c r="CE206" s="48">
        <v>524.25</v>
      </c>
      <c r="CF206" s="48">
        <v>4498.37</v>
      </c>
      <c r="CG206" s="48">
        <v>164.8</v>
      </c>
      <c r="CH206" s="48">
        <v>1978.24</v>
      </c>
      <c r="CI206" s="48">
        <v>4250.22</v>
      </c>
      <c r="CJ206" s="48">
        <v>67.56</v>
      </c>
      <c r="CK206" s="48">
        <v>0</v>
      </c>
      <c r="CL206" s="48">
        <v>4801.84</v>
      </c>
      <c r="CM206" s="48">
        <v>1500</v>
      </c>
      <c r="CN206" s="48">
        <v>1597.24</v>
      </c>
      <c r="CO206" s="48">
        <v>7543.97</v>
      </c>
      <c r="CP206" s="48">
        <v>9071.7900000000009</v>
      </c>
      <c r="CQ206" s="48">
        <v>3960.98</v>
      </c>
      <c r="CR206" s="48">
        <v>1528.68</v>
      </c>
      <c r="CS206" s="48">
        <v>83892.19</v>
      </c>
      <c r="CT206" s="48">
        <v>34313.120000000003</v>
      </c>
      <c r="CU206" s="48">
        <v>147902.43</v>
      </c>
      <c r="CV206" s="48">
        <v>-388.05</v>
      </c>
      <c r="CW206" s="48">
        <v>1567.56</v>
      </c>
      <c r="CX206" s="48">
        <v>1878.47</v>
      </c>
      <c r="CY206" s="48">
        <v>18036.330000000002</v>
      </c>
      <c r="CZ206" s="48">
        <v>1560.83</v>
      </c>
      <c r="DA206" s="48">
        <v>41353.96</v>
      </c>
      <c r="DB206" s="48">
        <v>1696.27</v>
      </c>
      <c r="DC206" s="48">
        <v>1716.77</v>
      </c>
      <c r="DD206" s="48">
        <v>1500</v>
      </c>
      <c r="DE206" s="48">
        <f>VLOOKUP($C206,'[2]Analysis 1'!$C$5:$DG$1025,107,FALSE)</f>
        <v>32045.759999999998</v>
      </c>
      <c r="DF206" s="48">
        <f>VLOOKUP($C206,'[2]Analysis 1'!$C$5:$DG$1025,108,FALSE)</f>
        <v>18613.98</v>
      </c>
      <c r="DG206" s="48">
        <f>VLOOKUP($C206,'[2]Analysis 1'!$C$5:$DG$1025,109,FALSE)</f>
        <v>137513.26999999999</v>
      </c>
      <c r="DH206" s="369">
        <f t="shared" si="6"/>
        <v>257095.14999999997</v>
      </c>
    </row>
    <row r="207" spans="1:112">
      <c r="A207" s="357" t="str">
        <f t="shared" si="5"/>
        <v>6100170</v>
      </c>
      <c r="B207" s="350" t="s">
        <v>2022</v>
      </c>
      <c r="C207" s="335" t="s">
        <v>1110</v>
      </c>
      <c r="D207" s="340">
        <v>3863.71</v>
      </c>
      <c r="E207" s="340">
        <v>1934.42</v>
      </c>
      <c r="F207" s="340">
        <v>0</v>
      </c>
      <c r="G207" s="340">
        <v>4139.13</v>
      </c>
      <c r="H207" s="340">
        <v>4448.7</v>
      </c>
      <c r="I207" s="340">
        <v>-1312.74</v>
      </c>
      <c r="J207" s="340">
        <v>41834.589999999997</v>
      </c>
      <c r="K207" s="340">
        <v>6241.22</v>
      </c>
      <c r="L207" s="340">
        <v>1932.36</v>
      </c>
      <c r="M207" s="340">
        <v>24605.17</v>
      </c>
      <c r="N207" s="340">
        <v>3850</v>
      </c>
      <c r="O207" s="341">
        <v>1927.52</v>
      </c>
      <c r="P207" s="48">
        <v>3387</v>
      </c>
      <c r="Q207" s="48">
        <v>4697.03</v>
      </c>
      <c r="R207" s="48">
        <v>0</v>
      </c>
      <c r="S207" s="48">
        <v>9362.01</v>
      </c>
      <c r="T207" s="48">
        <v>4768</v>
      </c>
      <c r="U207" s="48">
        <v>8684.0400000000009</v>
      </c>
      <c r="V207" s="48">
        <v>10615.11</v>
      </c>
      <c r="W207" s="48">
        <v>15990.04</v>
      </c>
      <c r="X207" s="48">
        <v>11937.68</v>
      </c>
      <c r="Y207" s="48">
        <v>8642.41</v>
      </c>
      <c r="Z207" s="48">
        <v>8155</v>
      </c>
      <c r="AA207" s="48">
        <v>6709.02</v>
      </c>
      <c r="AB207" s="48">
        <v>87362</v>
      </c>
      <c r="AC207" s="48">
        <v>4040.13</v>
      </c>
      <c r="AD207" s="48">
        <v>-43284</v>
      </c>
      <c r="AE207" s="48">
        <v>5328</v>
      </c>
      <c r="AF207" s="48">
        <v>0</v>
      </c>
      <c r="AG207" s="48">
        <v>5838.27</v>
      </c>
      <c r="AH207" s="48">
        <v>3387</v>
      </c>
      <c r="AI207" s="48">
        <v>15019.5</v>
      </c>
      <c r="AJ207" s="48">
        <v>0</v>
      </c>
      <c r="AK207" s="48">
        <v>7269.3</v>
      </c>
      <c r="AL207" s="48">
        <v>11382.43</v>
      </c>
      <c r="AM207" s="48">
        <v>32240.51</v>
      </c>
      <c r="AN207" s="48">
        <v>3387</v>
      </c>
      <c r="AO207" s="48">
        <v>0</v>
      </c>
      <c r="AP207" s="48">
        <v>0</v>
      </c>
      <c r="AQ207" s="48">
        <v>0</v>
      </c>
      <c r="AR207" s="48">
        <v>3387</v>
      </c>
      <c r="AS207" s="48">
        <v>0</v>
      </c>
      <c r="AT207" s="48">
        <v>3387</v>
      </c>
      <c r="AU207" s="48">
        <v>239.4</v>
      </c>
      <c r="AV207" s="48">
        <v>0</v>
      </c>
      <c r="AW207" s="48">
        <v>3387</v>
      </c>
      <c r="AX207" s="48">
        <v>29.13</v>
      </c>
      <c r="AY207" s="48">
        <v>4025</v>
      </c>
      <c r="AZ207" s="48">
        <v>-638</v>
      </c>
      <c r="BA207" s="48">
        <v>0</v>
      </c>
      <c r="BB207" s="48">
        <v>0</v>
      </c>
      <c r="BC207" s="48">
        <v>3387</v>
      </c>
      <c r="BD207" s="48">
        <v>0</v>
      </c>
      <c r="BE207" s="48">
        <v>0</v>
      </c>
      <c r="BF207" s="48">
        <v>3387</v>
      </c>
      <c r="BG207" s="48">
        <v>0</v>
      </c>
      <c r="BH207" s="48">
        <v>0</v>
      </c>
      <c r="BI207" s="48">
        <v>3535.4</v>
      </c>
      <c r="BJ207" s="48">
        <v>0</v>
      </c>
      <c r="BK207" s="48">
        <v>0</v>
      </c>
      <c r="BL207" s="48">
        <v>3523.5</v>
      </c>
      <c r="BM207" s="48">
        <v>0</v>
      </c>
      <c r="BN207" s="48">
        <v>0</v>
      </c>
      <c r="BO207" s="48">
        <v>0</v>
      </c>
      <c r="BP207" s="48">
        <v>0</v>
      </c>
      <c r="BQ207" s="48">
        <v>3523.5</v>
      </c>
      <c r="BR207" s="48">
        <v>80.989999999999995</v>
      </c>
      <c r="BS207" s="48">
        <v>0</v>
      </c>
      <c r="BT207" s="48">
        <v>3523.5</v>
      </c>
      <c r="BU207" s="48">
        <v>3523.5</v>
      </c>
      <c r="BV207" s="48">
        <v>0</v>
      </c>
      <c r="BW207" s="48">
        <v>0</v>
      </c>
      <c r="BX207" s="48">
        <v>5242.5</v>
      </c>
      <c r="BY207" s="48">
        <v>237.5</v>
      </c>
      <c r="BZ207" s="48">
        <v>5289.42</v>
      </c>
      <c r="CA207" s="48">
        <v>3630</v>
      </c>
      <c r="CB207" s="48">
        <v>0</v>
      </c>
      <c r="CC207" s="48">
        <v>0</v>
      </c>
      <c r="CD207" s="48">
        <v>3630</v>
      </c>
      <c r="CE207" s="48">
        <v>0</v>
      </c>
      <c r="CF207" s="48">
        <v>0</v>
      </c>
      <c r="CG207" s="48">
        <v>0</v>
      </c>
      <c r="CH207" s="48">
        <v>0</v>
      </c>
      <c r="CI207" s="48">
        <v>0</v>
      </c>
      <c r="CJ207" s="48">
        <v>7260</v>
      </c>
      <c r="CK207" s="48">
        <v>0</v>
      </c>
      <c r="CL207" s="48">
        <v>0</v>
      </c>
      <c r="CM207" s="48">
        <v>3630</v>
      </c>
      <c r="CN207" s="48">
        <v>0</v>
      </c>
      <c r="CO207" s="48">
        <v>0</v>
      </c>
      <c r="CP207" s="48">
        <v>3630</v>
      </c>
      <c r="CQ207" s="48">
        <v>0</v>
      </c>
      <c r="CR207" s="48">
        <v>0</v>
      </c>
      <c r="CS207" s="48">
        <v>7260</v>
      </c>
      <c r="CT207" s="48">
        <v>0</v>
      </c>
      <c r="CU207" s="48">
        <v>0</v>
      </c>
      <c r="CV207" s="48">
        <v>0</v>
      </c>
      <c r="CW207" s="48">
        <v>0</v>
      </c>
      <c r="CX207" s="48">
        <v>4485</v>
      </c>
      <c r="CY207" s="48">
        <v>4485</v>
      </c>
      <c r="CZ207" s="48">
        <v>0</v>
      </c>
      <c r="DA207" s="48">
        <v>1050</v>
      </c>
      <c r="DB207" s="48">
        <v>4485</v>
      </c>
      <c r="DC207" s="48">
        <v>0</v>
      </c>
      <c r="DD207" s="48">
        <v>0</v>
      </c>
      <c r="DE207" s="48">
        <f>VLOOKUP($C207,'[2]Analysis 1'!$C$5:$DG$1025,107,FALSE)</f>
        <v>0</v>
      </c>
      <c r="DF207" s="48">
        <f>VLOOKUP($C207,'[2]Analysis 1'!$C$5:$DG$1025,108,FALSE)</f>
        <v>0</v>
      </c>
      <c r="DG207" s="48">
        <f>VLOOKUP($C207,'[2]Analysis 1'!$C$5:$DG$1025,109,FALSE)</f>
        <v>4485</v>
      </c>
      <c r="DH207" s="369">
        <f t="shared" si="6"/>
        <v>18990</v>
      </c>
    </row>
    <row r="208" spans="1:112">
      <c r="A208" s="357" t="str">
        <f t="shared" si="5"/>
        <v>6100180</v>
      </c>
      <c r="B208" s="350" t="s">
        <v>2023</v>
      </c>
      <c r="C208" s="335" t="s">
        <v>1111</v>
      </c>
      <c r="D208" s="367">
        <v>0</v>
      </c>
      <c r="E208" s="367">
        <v>0</v>
      </c>
      <c r="F208" s="367">
        <v>0</v>
      </c>
      <c r="G208" s="367">
        <v>0</v>
      </c>
      <c r="H208" s="367">
        <v>0</v>
      </c>
      <c r="I208" s="367">
        <v>0</v>
      </c>
      <c r="J208" s="367">
        <v>0</v>
      </c>
      <c r="K208" s="367">
        <v>0</v>
      </c>
      <c r="L208" s="367">
        <v>0</v>
      </c>
      <c r="M208" s="367">
        <v>0</v>
      </c>
      <c r="N208" s="367">
        <v>30</v>
      </c>
      <c r="O208" s="368">
        <v>0</v>
      </c>
      <c r="P208" s="48">
        <v>0</v>
      </c>
      <c r="Q208" s="48">
        <v>0</v>
      </c>
      <c r="R208" s="48">
        <v>0</v>
      </c>
      <c r="S208" s="48">
        <v>0</v>
      </c>
      <c r="T208" s="48">
        <v>0</v>
      </c>
      <c r="U208" s="48">
        <v>0</v>
      </c>
      <c r="V208" s="48">
        <v>0</v>
      </c>
      <c r="W208" s="48">
        <v>0</v>
      </c>
      <c r="X208" s="48">
        <v>0</v>
      </c>
      <c r="Y208" s="48">
        <v>360</v>
      </c>
      <c r="Z208" s="48">
        <v>0</v>
      </c>
      <c r="AA208" s="48">
        <v>0</v>
      </c>
      <c r="AB208" s="48">
        <v>0</v>
      </c>
      <c r="AC208" s="48">
        <v>0</v>
      </c>
      <c r="AD208" s="48">
        <v>0</v>
      </c>
      <c r="AE208" s="48">
        <v>0</v>
      </c>
      <c r="AF208" s="48">
        <v>0</v>
      </c>
      <c r="AG208" s="48">
        <v>0</v>
      </c>
      <c r="AH208" s="48">
        <v>0</v>
      </c>
      <c r="AI208" s="48">
        <v>0</v>
      </c>
      <c r="AJ208" s="48">
        <v>0</v>
      </c>
      <c r="AK208" s="48">
        <v>0</v>
      </c>
      <c r="AL208" s="48">
        <v>0</v>
      </c>
      <c r="AM208" s="48">
        <v>0</v>
      </c>
      <c r="AN208" s="48">
        <v>0</v>
      </c>
      <c r="AO208" s="48">
        <v>0</v>
      </c>
      <c r="AP208" s="48">
        <v>0</v>
      </c>
      <c r="AQ208" s="48">
        <v>0</v>
      </c>
      <c r="AR208" s="48">
        <v>0</v>
      </c>
      <c r="AS208" s="48">
        <v>0</v>
      </c>
      <c r="AT208" s="48">
        <v>0</v>
      </c>
      <c r="AU208" s="48">
        <v>0</v>
      </c>
      <c r="AV208" s="48">
        <v>0</v>
      </c>
      <c r="AW208" s="48">
        <v>0</v>
      </c>
      <c r="AX208" s="48">
        <v>0</v>
      </c>
      <c r="AY208" s="48">
        <v>0</v>
      </c>
      <c r="AZ208" s="48">
        <v>0</v>
      </c>
      <c r="BA208" s="48">
        <v>0</v>
      </c>
      <c r="BB208" s="48">
        <v>0</v>
      </c>
      <c r="BC208" s="48">
        <v>0</v>
      </c>
      <c r="BD208" s="48">
        <v>0</v>
      </c>
      <c r="BE208" s="48">
        <v>0</v>
      </c>
      <c r="BF208" s="48">
        <v>0</v>
      </c>
      <c r="BG208" s="48">
        <v>0</v>
      </c>
      <c r="BH208" s="48">
        <v>0</v>
      </c>
      <c r="BI208" s="48">
        <v>0</v>
      </c>
      <c r="BJ208" s="48">
        <v>0</v>
      </c>
      <c r="BK208" s="48">
        <v>150</v>
      </c>
      <c r="BL208" s="48">
        <v>0</v>
      </c>
      <c r="BM208" s="48">
        <v>0</v>
      </c>
      <c r="BN208" s="48">
        <v>0</v>
      </c>
      <c r="BO208" s="48">
        <v>0</v>
      </c>
      <c r="BP208" s="48">
        <v>0</v>
      </c>
      <c r="BQ208" s="48">
        <v>0</v>
      </c>
      <c r="BR208" s="48">
        <v>1410</v>
      </c>
      <c r="BS208" s="48">
        <v>90</v>
      </c>
      <c r="BT208" s="48">
        <v>0</v>
      </c>
      <c r="BU208" s="48">
        <v>0</v>
      </c>
      <c r="BV208" s="48">
        <v>0</v>
      </c>
      <c r="BW208" s="48">
        <v>90</v>
      </c>
      <c r="BX208" s="48">
        <v>0</v>
      </c>
      <c r="BY208" s="48">
        <v>0</v>
      </c>
      <c r="BZ208" s="48">
        <v>650</v>
      </c>
      <c r="CA208" s="48">
        <v>0</v>
      </c>
      <c r="CB208" s="48">
        <v>0</v>
      </c>
      <c r="CC208" s="48">
        <v>145</v>
      </c>
      <c r="CD208" s="48">
        <v>0</v>
      </c>
      <c r="CE208" s="48">
        <v>0</v>
      </c>
      <c r="CF208" s="48">
        <v>0</v>
      </c>
      <c r="CG208" s="48">
        <v>0</v>
      </c>
      <c r="CH208" s="48">
        <v>23760</v>
      </c>
      <c r="CI208" s="48">
        <v>-23760</v>
      </c>
      <c r="CJ208" s="48">
        <v>0</v>
      </c>
      <c r="CK208" s="48">
        <v>0</v>
      </c>
      <c r="CL208" s="48">
        <v>0</v>
      </c>
      <c r="CM208" s="48">
        <v>120</v>
      </c>
      <c r="CN208" s="48">
        <v>0</v>
      </c>
      <c r="CO208" s="48">
        <v>0</v>
      </c>
      <c r="CP208" s="48">
        <v>0</v>
      </c>
      <c r="CQ208" s="48">
        <v>0</v>
      </c>
      <c r="CR208" s="48">
        <v>0</v>
      </c>
      <c r="CS208" s="48">
        <v>23760</v>
      </c>
      <c r="CT208" s="48">
        <v>-23760</v>
      </c>
      <c r="CU208" s="48">
        <v>0</v>
      </c>
      <c r="CV208" s="48">
        <v>0</v>
      </c>
      <c r="CW208" s="48">
        <v>0</v>
      </c>
      <c r="CX208" s="48">
        <v>0</v>
      </c>
      <c r="CY208" s="48">
        <v>0</v>
      </c>
      <c r="CZ208" s="48">
        <v>0</v>
      </c>
      <c r="DA208" s="48">
        <v>69</v>
      </c>
      <c r="DB208" s="48">
        <v>23760</v>
      </c>
      <c r="DC208" s="48">
        <v>0</v>
      </c>
      <c r="DD208" s="48">
        <v>0</v>
      </c>
      <c r="DE208" s="48">
        <f>VLOOKUP($C208,'[2]Analysis 1'!$C$5:$DG$1025,107,FALSE)</f>
        <v>0</v>
      </c>
      <c r="DF208" s="48">
        <f>VLOOKUP($C208,'[2]Analysis 1'!$C$5:$DG$1025,108,FALSE)</f>
        <v>0</v>
      </c>
      <c r="DG208" s="48">
        <f>VLOOKUP($C208,'[2]Analysis 1'!$C$5:$DG$1025,109,FALSE)</f>
        <v>0</v>
      </c>
      <c r="DH208" s="369">
        <f t="shared" si="6"/>
        <v>23829</v>
      </c>
    </row>
    <row r="209" spans="1:112">
      <c r="A209" s="357" t="str">
        <f t="shared" si="5"/>
        <v>6100190</v>
      </c>
      <c r="B209" s="350" t="s">
        <v>2024</v>
      </c>
      <c r="C209" s="335" t="s">
        <v>1112</v>
      </c>
      <c r="D209" s="340">
        <v>20174.939999999999</v>
      </c>
      <c r="E209" s="340">
        <v>184504.78</v>
      </c>
      <c r="F209" s="340">
        <v>271277.39</v>
      </c>
      <c r="G209" s="340">
        <v>59548.75</v>
      </c>
      <c r="H209" s="340">
        <v>-9000</v>
      </c>
      <c r="I209" s="340">
        <v>125599.11</v>
      </c>
      <c r="J209" s="340">
        <v>150872.84</v>
      </c>
      <c r="K209" s="340">
        <v>-9414.91</v>
      </c>
      <c r="L209" s="340">
        <v>13061.5</v>
      </c>
      <c r="M209" s="340">
        <v>152383.6</v>
      </c>
      <c r="N209" s="340">
        <v>52813.32</v>
      </c>
      <c r="O209" s="341">
        <v>-84498.21</v>
      </c>
      <c r="P209" s="48">
        <v>175175.17</v>
      </c>
      <c r="Q209" s="48">
        <v>71909.899999999994</v>
      </c>
      <c r="R209" s="48">
        <v>95065.98</v>
      </c>
      <c r="S209" s="48">
        <v>194396</v>
      </c>
      <c r="T209" s="48">
        <v>73902.070000000007</v>
      </c>
      <c r="U209" s="48">
        <v>84996.39</v>
      </c>
      <c r="V209" s="48">
        <v>141632.17000000001</v>
      </c>
      <c r="W209" s="48">
        <v>89635.16</v>
      </c>
      <c r="X209" s="48">
        <v>113733.28</v>
      </c>
      <c r="Y209" s="48">
        <v>193393.67</v>
      </c>
      <c r="Z209" s="48">
        <v>107957.1</v>
      </c>
      <c r="AA209" s="48">
        <v>341808.97</v>
      </c>
      <c r="AB209" s="48">
        <v>144808.07999999999</v>
      </c>
      <c r="AC209" s="48">
        <v>95157.89</v>
      </c>
      <c r="AD209" s="48">
        <v>156373.17000000001</v>
      </c>
      <c r="AE209" s="48">
        <v>279079.53999999998</v>
      </c>
      <c r="AF209" s="48">
        <v>102411.94</v>
      </c>
      <c r="AG209" s="48">
        <v>221047.57</v>
      </c>
      <c r="AH209" s="48">
        <v>183404.63</v>
      </c>
      <c r="AI209" s="48">
        <v>-23314.37</v>
      </c>
      <c r="AJ209" s="48">
        <v>148990.57999999999</v>
      </c>
      <c r="AK209" s="48">
        <v>306509.38</v>
      </c>
      <c r="AL209" s="48">
        <v>-107708.49</v>
      </c>
      <c r="AM209" s="48">
        <v>410172.75</v>
      </c>
      <c r="AN209" s="48">
        <v>116216.05</v>
      </c>
      <c r="AO209" s="48">
        <v>132489.93</v>
      </c>
      <c r="AP209" s="48">
        <v>177555.18</v>
      </c>
      <c r="AQ209" s="48">
        <v>104418.04</v>
      </c>
      <c r="AR209" s="48">
        <v>116376.36</v>
      </c>
      <c r="AS209" s="48">
        <v>196899.66</v>
      </c>
      <c r="AT209" s="48">
        <v>116764.78</v>
      </c>
      <c r="AU209" s="48">
        <v>130937.14</v>
      </c>
      <c r="AV209" s="48">
        <v>243638.15</v>
      </c>
      <c r="AW209" s="48">
        <v>151199.54999999999</v>
      </c>
      <c r="AX209" s="48">
        <v>159510.43</v>
      </c>
      <c r="AY209" s="48">
        <v>144670.81</v>
      </c>
      <c r="AZ209" s="48">
        <v>165669.39000000001</v>
      </c>
      <c r="BA209" s="48">
        <v>222332.62</v>
      </c>
      <c r="BB209" s="48">
        <v>725576.98</v>
      </c>
      <c r="BC209" s="48">
        <v>173638.28</v>
      </c>
      <c r="BD209" s="48">
        <v>110226.6</v>
      </c>
      <c r="BE209" s="48">
        <v>164049.74</v>
      </c>
      <c r="BF209" s="48">
        <v>168582.51</v>
      </c>
      <c r="BG209" s="48">
        <v>162065.07</v>
      </c>
      <c r="BH209" s="48">
        <v>69109.31</v>
      </c>
      <c r="BI209" s="48">
        <v>192622.27</v>
      </c>
      <c r="BJ209" s="48">
        <v>126442.44</v>
      </c>
      <c r="BK209" s="48">
        <v>492995.97</v>
      </c>
      <c r="BL209" s="48">
        <v>133933.17000000001</v>
      </c>
      <c r="BM209" s="48">
        <v>60072.959999999999</v>
      </c>
      <c r="BN209" s="48">
        <v>91455.37</v>
      </c>
      <c r="BO209" s="48">
        <v>90032.11</v>
      </c>
      <c r="BP209" s="48">
        <v>213568.62</v>
      </c>
      <c r="BQ209" s="48">
        <v>80764.87</v>
      </c>
      <c r="BR209" s="48">
        <v>124389.6</v>
      </c>
      <c r="BS209" s="48">
        <v>93938.67</v>
      </c>
      <c r="BT209" s="48">
        <v>136928.75</v>
      </c>
      <c r="BU209" s="48">
        <v>155741.17000000001</v>
      </c>
      <c r="BV209" s="48">
        <v>194863.67</v>
      </c>
      <c r="BW209" s="48">
        <v>117871.33</v>
      </c>
      <c r="BX209" s="48">
        <v>109107.6</v>
      </c>
      <c r="BY209" s="48">
        <v>75632.91</v>
      </c>
      <c r="BZ209" s="48">
        <v>266533.31</v>
      </c>
      <c r="CA209" s="48">
        <v>106354.39</v>
      </c>
      <c r="CB209" s="48">
        <v>162138.06</v>
      </c>
      <c r="CC209" s="48">
        <v>154746.49</v>
      </c>
      <c r="CD209" s="48">
        <v>388966.39</v>
      </c>
      <c r="CE209" s="48">
        <v>168758.79</v>
      </c>
      <c r="CF209" s="48">
        <v>176443.05</v>
      </c>
      <c r="CG209" s="48">
        <v>133363.16</v>
      </c>
      <c r="CH209" s="48">
        <v>1097310.21</v>
      </c>
      <c r="CI209" s="48">
        <v>1614812.74</v>
      </c>
      <c r="CJ209" s="48">
        <v>179691.77</v>
      </c>
      <c r="CK209" s="48">
        <v>810197.72</v>
      </c>
      <c r="CL209" s="48">
        <v>348787.05</v>
      </c>
      <c r="CM209" s="48">
        <v>137335.35999999999</v>
      </c>
      <c r="CN209" s="48">
        <v>108168.51</v>
      </c>
      <c r="CO209" s="48">
        <v>387412.17</v>
      </c>
      <c r="CP209" s="48">
        <v>211943.76</v>
      </c>
      <c r="CQ209" s="48">
        <v>1175379.95</v>
      </c>
      <c r="CR209" s="48">
        <v>-1996452.74</v>
      </c>
      <c r="CS209" s="48">
        <v>188643.69</v>
      </c>
      <c r="CT209" s="48">
        <v>197614.57</v>
      </c>
      <c r="CU209" s="48">
        <v>734435.47</v>
      </c>
      <c r="CV209" s="48">
        <v>223927.72</v>
      </c>
      <c r="CW209" s="48">
        <v>257625.3</v>
      </c>
      <c r="CX209" s="48">
        <v>505248.22</v>
      </c>
      <c r="CY209" s="48">
        <v>392319.36</v>
      </c>
      <c r="CZ209" s="48">
        <v>180088.95999999999</v>
      </c>
      <c r="DA209" s="48">
        <v>176409.97</v>
      </c>
      <c r="DB209" s="48">
        <v>143207.63</v>
      </c>
      <c r="DC209" s="48">
        <v>191527.72</v>
      </c>
      <c r="DD209" s="48">
        <v>310983.77</v>
      </c>
      <c r="DE209" s="48">
        <f>VLOOKUP($C209,'[2]Analysis 1'!$C$5:$DG$1025,107,FALSE)</f>
        <v>166624.47</v>
      </c>
      <c r="DF209" s="48">
        <f>VLOOKUP($C209,'[2]Analysis 1'!$C$5:$DG$1025,108,FALSE)</f>
        <v>184372.83</v>
      </c>
      <c r="DG209" s="48">
        <f>VLOOKUP($C209,'[2]Analysis 1'!$C$5:$DG$1025,109,FALSE)</f>
        <v>215288.39</v>
      </c>
      <c r="DH209" s="369">
        <f t="shared" si="6"/>
        <v>2947624.3400000008</v>
      </c>
    </row>
    <row r="210" spans="1:112">
      <c r="A210" s="357" t="str">
        <f t="shared" si="5"/>
        <v>6100200</v>
      </c>
      <c r="B210" s="350" t="s">
        <v>2025</v>
      </c>
      <c r="C210" s="335" t="s">
        <v>1113</v>
      </c>
      <c r="D210" s="367">
        <v>0</v>
      </c>
      <c r="E210" s="367">
        <v>0</v>
      </c>
      <c r="F210" s="367">
        <v>0</v>
      </c>
      <c r="G210" s="367">
        <v>0</v>
      </c>
      <c r="H210" s="367">
        <v>0</v>
      </c>
      <c r="I210" s="367">
        <v>0</v>
      </c>
      <c r="J210" s="367">
        <v>0</v>
      </c>
      <c r="K210" s="367">
        <v>0</v>
      </c>
      <c r="L210" s="367">
        <v>0</v>
      </c>
      <c r="M210" s="367">
        <v>984</v>
      </c>
      <c r="N210" s="367">
        <v>95.69</v>
      </c>
      <c r="O210" s="368">
        <v>0</v>
      </c>
      <c r="P210" s="48">
        <v>0</v>
      </c>
      <c r="Q210" s="48">
        <v>0</v>
      </c>
      <c r="R210" s="48">
        <v>0</v>
      </c>
      <c r="S210" s="48">
        <v>0</v>
      </c>
      <c r="T210" s="48">
        <v>140</v>
      </c>
      <c r="U210" s="48">
        <v>0</v>
      </c>
      <c r="V210" s="48">
        <v>0</v>
      </c>
      <c r="W210" s="48">
        <v>0</v>
      </c>
      <c r="X210" s="48">
        <v>420</v>
      </c>
      <c r="Y210" s="48">
        <v>984</v>
      </c>
      <c r="Z210" s="48">
        <v>0</v>
      </c>
      <c r="AA210" s="48">
        <v>0</v>
      </c>
      <c r="AB210" s="48">
        <v>0</v>
      </c>
      <c r="AC210" s="48">
        <v>0</v>
      </c>
      <c r="AD210" s="48">
        <v>0</v>
      </c>
      <c r="AE210" s="48">
        <v>0</v>
      </c>
      <c r="AF210" s="48">
        <v>140</v>
      </c>
      <c r="AG210" s="48">
        <v>336</v>
      </c>
      <c r="AH210" s="48">
        <v>683.33</v>
      </c>
      <c r="AI210" s="48">
        <v>0</v>
      </c>
      <c r="AJ210" s="48">
        <v>420</v>
      </c>
      <c r="AK210" s="48">
        <v>984</v>
      </c>
      <c r="AL210" s="48">
        <v>0</v>
      </c>
      <c r="AM210" s="48">
        <v>0</v>
      </c>
      <c r="AN210" s="48">
        <v>0</v>
      </c>
      <c r="AO210" s="48">
        <v>0</v>
      </c>
      <c r="AP210" s="48">
        <v>0</v>
      </c>
      <c r="AQ210" s="48">
        <v>0</v>
      </c>
      <c r="AR210" s="48">
        <v>476</v>
      </c>
      <c r="AS210" s="48">
        <v>675</v>
      </c>
      <c r="AT210" s="48">
        <v>0</v>
      </c>
      <c r="AU210" s="48">
        <v>0</v>
      </c>
      <c r="AV210" s="48">
        <v>405</v>
      </c>
      <c r="AW210" s="48">
        <v>0</v>
      </c>
      <c r="AX210" s="48">
        <v>0</v>
      </c>
      <c r="AY210" s="48">
        <v>0</v>
      </c>
      <c r="AZ210" s="48">
        <v>0</v>
      </c>
      <c r="BA210" s="48">
        <v>0</v>
      </c>
      <c r="BB210" s="48">
        <v>0</v>
      </c>
      <c r="BC210" s="48">
        <v>0</v>
      </c>
      <c r="BD210" s="48">
        <v>0</v>
      </c>
      <c r="BE210" s="48">
        <v>1151</v>
      </c>
      <c r="BF210" s="48">
        <v>0</v>
      </c>
      <c r="BG210" s="48">
        <v>0</v>
      </c>
      <c r="BH210" s="48">
        <v>0</v>
      </c>
      <c r="BI210" s="48">
        <v>972</v>
      </c>
      <c r="BJ210" s="48">
        <v>0</v>
      </c>
      <c r="BK210" s="48">
        <v>420</v>
      </c>
      <c r="BL210" s="48">
        <v>0</v>
      </c>
      <c r="BM210" s="48">
        <v>0</v>
      </c>
      <c r="BN210" s="48">
        <v>0</v>
      </c>
      <c r="BO210" s="48">
        <v>0</v>
      </c>
      <c r="BP210" s="48">
        <v>0</v>
      </c>
      <c r="BQ210" s="48">
        <v>0</v>
      </c>
      <c r="BR210" s="48">
        <v>1445</v>
      </c>
      <c r="BS210" s="48">
        <v>0</v>
      </c>
      <c r="BT210" s="48">
        <v>420</v>
      </c>
      <c r="BU210" s="48">
        <v>972</v>
      </c>
      <c r="BV210" s="48">
        <v>0</v>
      </c>
      <c r="BW210" s="48">
        <v>0</v>
      </c>
      <c r="BX210" s="48">
        <v>0</v>
      </c>
      <c r="BY210" s="48">
        <v>0</v>
      </c>
      <c r="BZ210" s="48">
        <v>0</v>
      </c>
      <c r="CA210" s="48">
        <v>0</v>
      </c>
      <c r="CB210" s="48">
        <v>0</v>
      </c>
      <c r="CC210" s="48">
        <v>133.33000000000001</v>
      </c>
      <c r="CD210" s="48">
        <v>320</v>
      </c>
      <c r="CE210" s="48">
        <v>0</v>
      </c>
      <c r="CF210" s="48">
        <v>0</v>
      </c>
      <c r="CG210" s="48">
        <v>1523.87</v>
      </c>
      <c r="CH210" s="48">
        <v>0</v>
      </c>
      <c r="CI210" s="48">
        <v>1640</v>
      </c>
      <c r="CJ210" s="48">
        <v>0</v>
      </c>
      <c r="CK210" s="48">
        <v>0</v>
      </c>
      <c r="CL210" s="48">
        <v>0</v>
      </c>
      <c r="CM210" s="48">
        <v>0</v>
      </c>
      <c r="CN210" s="48">
        <v>0</v>
      </c>
      <c r="CO210" s="48">
        <v>0</v>
      </c>
      <c r="CP210" s="48">
        <v>0</v>
      </c>
      <c r="CQ210" s="48">
        <v>0</v>
      </c>
      <c r="CR210" s="48">
        <v>1310.47</v>
      </c>
      <c r="CS210" s="48">
        <v>1360</v>
      </c>
      <c r="CT210" s="48">
        <v>0</v>
      </c>
      <c r="CU210" s="48">
        <v>266.67</v>
      </c>
      <c r="CV210" s="48">
        <v>0</v>
      </c>
      <c r="CW210" s="48">
        <v>0</v>
      </c>
      <c r="CX210" s="48">
        <v>0</v>
      </c>
      <c r="CY210" s="48">
        <v>0</v>
      </c>
      <c r="CZ210" s="48">
        <v>0</v>
      </c>
      <c r="DA210" s="48">
        <v>0</v>
      </c>
      <c r="DB210" s="48">
        <v>1310.47</v>
      </c>
      <c r="DC210" s="48">
        <v>0</v>
      </c>
      <c r="DD210" s="48">
        <v>0</v>
      </c>
      <c r="DE210" s="48">
        <f>VLOOKUP($C210,'[2]Analysis 1'!$C$5:$DG$1025,107,FALSE)</f>
        <v>0</v>
      </c>
      <c r="DF210" s="48">
        <f>VLOOKUP($C210,'[2]Analysis 1'!$C$5:$DG$1025,108,FALSE)</f>
        <v>350</v>
      </c>
      <c r="DG210" s="48">
        <f>VLOOKUP($C210,'[2]Analysis 1'!$C$5:$DG$1025,109,FALSE)</f>
        <v>1226.67</v>
      </c>
      <c r="DH210" s="369">
        <f t="shared" si="6"/>
        <v>2887.1400000000003</v>
      </c>
    </row>
    <row r="211" spans="1:112">
      <c r="A211" s="357" t="str">
        <f t="shared" si="5"/>
        <v>6108999</v>
      </c>
      <c r="B211" s="350" t="s">
        <v>2026</v>
      </c>
      <c r="C211" s="335" t="s">
        <v>1114</v>
      </c>
      <c r="D211" s="340">
        <v>11877</v>
      </c>
      <c r="E211" s="340">
        <v>0</v>
      </c>
      <c r="F211" s="340">
        <v>0</v>
      </c>
      <c r="G211" s="340">
        <v>0</v>
      </c>
      <c r="H211" s="340">
        <v>0</v>
      </c>
      <c r="I211" s="340">
        <v>0</v>
      </c>
      <c r="J211" s="340">
        <v>0</v>
      </c>
      <c r="K211" s="340">
        <v>0</v>
      </c>
      <c r="L211" s="340">
        <v>0</v>
      </c>
      <c r="M211" s="340">
        <v>-197969.81</v>
      </c>
      <c r="N211" s="340">
        <v>16312.95</v>
      </c>
      <c r="O211" s="341">
        <v>-1483922.99</v>
      </c>
      <c r="P211" s="48">
        <v>0</v>
      </c>
      <c r="Q211" s="48">
        <v>0</v>
      </c>
      <c r="R211" s="48">
        <v>-208275.36</v>
      </c>
      <c r="S211" s="48">
        <v>0</v>
      </c>
      <c r="T211" s="48">
        <v>-53633.86</v>
      </c>
      <c r="U211" s="48">
        <v>53633.86</v>
      </c>
      <c r="V211" s="48">
        <v>13960.6</v>
      </c>
      <c r="W211" s="48">
        <v>0</v>
      </c>
      <c r="X211" s="48">
        <v>0</v>
      </c>
      <c r="Y211" s="48">
        <v>0</v>
      </c>
      <c r="Z211" s="48">
        <v>6500</v>
      </c>
      <c r="AA211" s="48">
        <v>56268.800000000003</v>
      </c>
      <c r="AB211" s="48">
        <v>0</v>
      </c>
      <c r="AC211" s="48">
        <v>0</v>
      </c>
      <c r="AD211" s="48">
        <v>19575</v>
      </c>
      <c r="AE211" s="48">
        <v>300</v>
      </c>
      <c r="AF211" s="48">
        <v>0</v>
      </c>
      <c r="AG211" s="48">
        <v>0</v>
      </c>
      <c r="AH211" s="48">
        <v>0</v>
      </c>
      <c r="AI211" s="48">
        <v>0</v>
      </c>
      <c r="AJ211" s="48">
        <v>12800</v>
      </c>
      <c r="AK211" s="48">
        <v>17455.13</v>
      </c>
      <c r="AL211" s="48">
        <v>23905.46</v>
      </c>
      <c r="AM211" s="48">
        <v>148971.35999999999</v>
      </c>
      <c r="AN211" s="48">
        <v>-136629.12</v>
      </c>
      <c r="AO211" s="48">
        <v>314700.71999999997</v>
      </c>
      <c r="AP211" s="48">
        <v>-161649.95000000001</v>
      </c>
      <c r="AQ211" s="48">
        <v>0</v>
      </c>
      <c r="AR211" s="48">
        <v>0</v>
      </c>
      <c r="AS211" s="48">
        <v>0</v>
      </c>
      <c r="AT211" s="48">
        <v>0</v>
      </c>
      <c r="AU211" s="48">
        <v>0</v>
      </c>
      <c r="AV211" s="48">
        <v>0</v>
      </c>
      <c r="AW211" s="48">
        <v>0</v>
      </c>
      <c r="AX211" s="48">
        <v>0</v>
      </c>
      <c r="AY211" s="48">
        <v>-219803.5</v>
      </c>
      <c r="AZ211" s="48">
        <v>0</v>
      </c>
      <c r="BA211" s="48">
        <v>150</v>
      </c>
      <c r="BB211" s="48">
        <v>8853.69</v>
      </c>
      <c r="BC211" s="48">
        <v>0</v>
      </c>
      <c r="BD211" s="48">
        <v>261420.04</v>
      </c>
      <c r="BE211" s="48">
        <v>-259170.04</v>
      </c>
      <c r="BF211" s="48">
        <v>0</v>
      </c>
      <c r="BG211" s="48">
        <v>0</v>
      </c>
      <c r="BH211" s="48">
        <v>0</v>
      </c>
      <c r="BI211" s="48">
        <v>0</v>
      </c>
      <c r="BJ211" s="48">
        <v>31369.68</v>
      </c>
      <c r="BK211" s="48">
        <v>305664.45</v>
      </c>
      <c r="BL211" s="48">
        <v>0</v>
      </c>
      <c r="BM211" s="48">
        <v>-1239.96</v>
      </c>
      <c r="BN211" s="48">
        <v>2885.25</v>
      </c>
      <c r="BO211" s="48">
        <v>19477.43</v>
      </c>
      <c r="BP211" s="48">
        <v>17002.330000000002</v>
      </c>
      <c r="BQ211" s="48">
        <v>12237.93</v>
      </c>
      <c r="BR211" s="48">
        <v>90769.25</v>
      </c>
      <c r="BS211" s="48">
        <v>191630.33</v>
      </c>
      <c r="BT211" s="48">
        <v>10026.11</v>
      </c>
      <c r="BU211" s="48">
        <v>83369.59</v>
      </c>
      <c r="BV211" s="48">
        <v>177514.17</v>
      </c>
      <c r="BW211" s="48">
        <v>11577.68</v>
      </c>
      <c r="BX211" s="48">
        <v>0</v>
      </c>
      <c r="BY211" s="48">
        <v>677.59</v>
      </c>
      <c r="BZ211" s="48">
        <v>12290.99</v>
      </c>
      <c r="CA211" s="48">
        <v>13660.86</v>
      </c>
      <c r="CB211" s="48">
        <v>2130.08</v>
      </c>
      <c r="CC211" s="48">
        <v>8174.39</v>
      </c>
      <c r="CD211" s="48">
        <v>537.03</v>
      </c>
      <c r="CE211" s="48">
        <v>1285.1099999999999</v>
      </c>
      <c r="CF211" s="48">
        <v>29333.86</v>
      </c>
      <c r="CG211" s="48">
        <v>2860.01</v>
      </c>
      <c r="CH211" s="48">
        <v>3060.52</v>
      </c>
      <c r="CI211" s="48">
        <v>16555.59</v>
      </c>
      <c r="CJ211" s="48">
        <v>7216.43</v>
      </c>
      <c r="CK211" s="48">
        <v>6198</v>
      </c>
      <c r="CL211" s="48">
        <v>-83622.73</v>
      </c>
      <c r="CM211" s="48">
        <v>25385.17</v>
      </c>
      <c r="CN211" s="48">
        <v>0</v>
      </c>
      <c r="CO211" s="48">
        <v>2387.5</v>
      </c>
      <c r="CP211" s="48">
        <v>0</v>
      </c>
      <c r="CQ211" s="48">
        <v>0</v>
      </c>
      <c r="CR211" s="48">
        <v>7878.7</v>
      </c>
      <c r="CS211" s="48">
        <v>1739.22</v>
      </c>
      <c r="CT211" s="48">
        <v>0</v>
      </c>
      <c r="CU211" s="48">
        <v>285151.52</v>
      </c>
      <c r="CV211" s="48">
        <v>238412.24</v>
      </c>
      <c r="CW211" s="48">
        <v>-34407.81</v>
      </c>
      <c r="CX211" s="48">
        <v>1510.3</v>
      </c>
      <c r="CY211" s="48">
        <v>21394.41</v>
      </c>
      <c r="CZ211" s="48">
        <v>4110.1899999999996</v>
      </c>
      <c r="DA211" s="48">
        <v>26683.35</v>
      </c>
      <c r="DB211" s="48">
        <v>22423.01</v>
      </c>
      <c r="DC211" s="48">
        <v>46297.07</v>
      </c>
      <c r="DD211" s="48">
        <v>-563064.73</v>
      </c>
      <c r="DE211" s="48">
        <f>VLOOKUP($C211,'[2]Analysis 1'!$C$5:$DG$1025,107,FALSE)</f>
        <v>-708228.09</v>
      </c>
      <c r="DF211" s="48">
        <f>VLOOKUP($C211,'[2]Analysis 1'!$C$5:$DG$1025,108,FALSE)</f>
        <v>913066.43</v>
      </c>
      <c r="DG211" s="48">
        <f>VLOOKUP($C211,'[2]Analysis 1'!$C$5:$DG$1025,109,FALSE)</f>
        <v>89152.42</v>
      </c>
      <c r="DH211" s="369">
        <f t="shared" si="6"/>
        <v>57348.79000000011</v>
      </c>
    </row>
    <row r="212" spans="1:112">
      <c r="A212" s="357" t="str">
        <f t="shared" si="5"/>
        <v>6109000</v>
      </c>
      <c r="B212" s="350" t="s">
        <v>2027</v>
      </c>
      <c r="C212" s="335" t="s">
        <v>1115</v>
      </c>
      <c r="D212" s="367">
        <v>-1537827.83</v>
      </c>
      <c r="E212" s="367">
        <v>-7004135.25</v>
      </c>
      <c r="F212" s="367">
        <v>-4450176.57</v>
      </c>
      <c r="G212" s="367">
        <v>-5756125.8300000001</v>
      </c>
      <c r="H212" s="367">
        <v>-4308297.6500000004</v>
      </c>
      <c r="I212" s="367">
        <v>-5773706.8099999996</v>
      </c>
      <c r="J212" s="367">
        <v>-5387195.9900000002</v>
      </c>
      <c r="K212" s="367">
        <v>-7172374.7599999998</v>
      </c>
      <c r="L212" s="367">
        <v>-4902110.42</v>
      </c>
      <c r="M212" s="367">
        <v>-4397713.7</v>
      </c>
      <c r="N212" s="367">
        <v>-3517633.66</v>
      </c>
      <c r="O212" s="368">
        <v>-4956266.88</v>
      </c>
      <c r="P212" s="48">
        <v>-4197744.43</v>
      </c>
      <c r="Q212" s="48">
        <v>-3668925.26</v>
      </c>
      <c r="R212" s="48">
        <v>-4439897.3099999996</v>
      </c>
      <c r="S212" s="48">
        <v>-3568571.81</v>
      </c>
      <c r="T212" s="48">
        <v>-3459380.94</v>
      </c>
      <c r="U212" s="48">
        <v>-6140978.96</v>
      </c>
      <c r="V212" s="48">
        <v>-5163173.4800000004</v>
      </c>
      <c r="W212" s="48">
        <v>-3727323.84</v>
      </c>
      <c r="X212" s="48">
        <v>-4496096.4800000004</v>
      </c>
      <c r="Y212" s="48">
        <v>-5707918.7300000004</v>
      </c>
      <c r="Z212" s="48">
        <v>-6076381.21</v>
      </c>
      <c r="AA212" s="48">
        <v>-6830272.7800000003</v>
      </c>
      <c r="AB212" s="48">
        <v>-3864344.32</v>
      </c>
      <c r="AC212" s="48">
        <v>-11285141.35</v>
      </c>
      <c r="AD212" s="48">
        <v>-6943160.6799999997</v>
      </c>
      <c r="AE212" s="48">
        <v>-5234716.13</v>
      </c>
      <c r="AF212" s="48">
        <v>-8649143.4000000004</v>
      </c>
      <c r="AG212" s="48">
        <v>-10089333.640000001</v>
      </c>
      <c r="AH212" s="48">
        <v>-6378566.2999999998</v>
      </c>
      <c r="AI212" s="48">
        <v>-7207186.7400000002</v>
      </c>
      <c r="AJ212" s="48">
        <v>-7265090.6799999997</v>
      </c>
      <c r="AK212" s="48">
        <v>-6257726.6799999997</v>
      </c>
      <c r="AL212" s="48">
        <v>-8084717.1699999999</v>
      </c>
      <c r="AM212" s="48">
        <v>-10375779.93</v>
      </c>
      <c r="AN212" s="48">
        <v>-4424849.43</v>
      </c>
      <c r="AO212" s="48">
        <v>-6533830.8099999996</v>
      </c>
      <c r="AP212" s="48">
        <v>-6006226.5300000003</v>
      </c>
      <c r="AQ212" s="48">
        <v>-5001661.2699999996</v>
      </c>
      <c r="AR212" s="48">
        <v>-6375406.04</v>
      </c>
      <c r="AS212" s="48">
        <v>-5956515.9000000004</v>
      </c>
      <c r="AT212" s="48">
        <v>-7857541.3799999999</v>
      </c>
      <c r="AU212" s="48">
        <v>-9926202.6199999992</v>
      </c>
      <c r="AV212" s="48">
        <v>-4933521.2</v>
      </c>
      <c r="AW212" s="48">
        <v>-7969617.7599999998</v>
      </c>
      <c r="AX212" s="48">
        <v>-7784337.8399999999</v>
      </c>
      <c r="AY212" s="48">
        <v>-8295610.2999999998</v>
      </c>
      <c r="AZ212" s="48">
        <v>-7195132.9000000004</v>
      </c>
      <c r="BA212" s="48">
        <v>-8487906.8599999994</v>
      </c>
      <c r="BB212" s="48">
        <v>-10031224.9</v>
      </c>
      <c r="BC212" s="48">
        <v>-6541634.0199999996</v>
      </c>
      <c r="BD212" s="48">
        <v>-10434375.279999999</v>
      </c>
      <c r="BE212" s="48">
        <v>-7758499.2599999998</v>
      </c>
      <c r="BF212" s="48">
        <v>-7844135.0099999998</v>
      </c>
      <c r="BG212" s="48">
        <v>-10588234.460000001</v>
      </c>
      <c r="BH212" s="48">
        <v>-9951816.3399999999</v>
      </c>
      <c r="BI212" s="48">
        <v>-15501397.699999999</v>
      </c>
      <c r="BJ212" s="48">
        <v>-12914923.960000001</v>
      </c>
      <c r="BK212" s="48">
        <v>-11948244.32</v>
      </c>
      <c r="BL212" s="48">
        <v>-13353247.83</v>
      </c>
      <c r="BM212" s="48">
        <v>-10040771.449999999</v>
      </c>
      <c r="BN212" s="48">
        <v>-10820792.49</v>
      </c>
      <c r="BO212" s="48">
        <v>-10043049.439999999</v>
      </c>
      <c r="BP212" s="48">
        <v>-11877161.890000001</v>
      </c>
      <c r="BQ212" s="48">
        <v>-14275810.550000001</v>
      </c>
      <c r="BR212" s="48">
        <v>-9703192.6600000001</v>
      </c>
      <c r="BS212" s="48">
        <v>-16254587.869999999</v>
      </c>
      <c r="BT212" s="48">
        <v>-10920005.970000001</v>
      </c>
      <c r="BU212" s="48">
        <v>-13323613.24</v>
      </c>
      <c r="BV212" s="48">
        <v>-16050438.18</v>
      </c>
      <c r="BW212" s="48">
        <v>-18399758.399999999</v>
      </c>
      <c r="BX212" s="48">
        <v>-18021030.140000001</v>
      </c>
      <c r="BY212" s="48">
        <v>-16796687.25</v>
      </c>
      <c r="BZ212" s="48">
        <v>-17369330.120000001</v>
      </c>
      <c r="CA212" s="48">
        <v>-20269640.899999999</v>
      </c>
      <c r="CB212" s="48">
        <v>-19262873.989999998</v>
      </c>
      <c r="CC212" s="48">
        <v>-13135641.529999999</v>
      </c>
      <c r="CD212" s="48">
        <v>-16323161.6</v>
      </c>
      <c r="CE212" s="48">
        <v>-17584058.649999999</v>
      </c>
      <c r="CF212" s="48">
        <v>-17948094.5</v>
      </c>
      <c r="CG212" s="48">
        <v>-25132074.09</v>
      </c>
      <c r="CH212" s="48">
        <v>-22817721.239999998</v>
      </c>
      <c r="CI212" s="48">
        <v>-27453822.949999999</v>
      </c>
      <c r="CJ212" s="48">
        <v>-14838057.23</v>
      </c>
      <c r="CK212" s="48">
        <v>-23793617.09</v>
      </c>
      <c r="CL212" s="48">
        <v>-25790474.5</v>
      </c>
      <c r="CM212" s="48">
        <v>-17400076.300000001</v>
      </c>
      <c r="CN212" s="48">
        <v>-12857315.23</v>
      </c>
      <c r="CO212" s="48">
        <v>-19027548.370000001</v>
      </c>
      <c r="CP212" s="48">
        <v>-14145138.640000001</v>
      </c>
      <c r="CQ212" s="48">
        <v>-17713023.34</v>
      </c>
      <c r="CR212" s="48">
        <v>-19562990.41</v>
      </c>
      <c r="CS212" s="48">
        <v>-23096137.780000001</v>
      </c>
      <c r="CT212" s="48">
        <v>-20621567.210000001</v>
      </c>
      <c r="CU212" s="48">
        <v>-15356076.060000001</v>
      </c>
      <c r="CV212" s="48">
        <v>-17818962.690000001</v>
      </c>
      <c r="CW212" s="48">
        <v>-17180427.25</v>
      </c>
      <c r="CX212" s="48">
        <v>-16334116.039999999</v>
      </c>
      <c r="CY212" s="48">
        <v>-21979419.059999999</v>
      </c>
      <c r="CZ212" s="48">
        <v>-18462016.140000001</v>
      </c>
      <c r="DA212" s="48">
        <v>-22457990.010000002</v>
      </c>
      <c r="DB212" s="48">
        <v>-14790891.289999999</v>
      </c>
      <c r="DC212" s="48">
        <v>-20098486.260000002</v>
      </c>
      <c r="DD212" s="48">
        <v>-11545970.119999999</v>
      </c>
      <c r="DE212" s="48">
        <f>VLOOKUP($C212,'[2]Analysis 1'!$C$5:$DG$1025,107,FALSE)</f>
        <v>-14349614.800000001</v>
      </c>
      <c r="DF212" s="48">
        <f>VLOOKUP($C212,'[2]Analysis 1'!$C$5:$DG$1025,108,FALSE)</f>
        <v>-16895458.149999999</v>
      </c>
      <c r="DG212" s="48">
        <f>VLOOKUP($C212,'[2]Analysis 1'!$C$5:$DG$1025,109,FALSE)</f>
        <v>-31442791.030000001</v>
      </c>
      <c r="DH212" s="369">
        <f t="shared" si="6"/>
        <v>-223356142.84</v>
      </c>
    </row>
    <row r="213" spans="1:112">
      <c r="A213" s="357" t="str">
        <f t="shared" si="5"/>
        <v>6300100</v>
      </c>
      <c r="B213" s="350" t="s">
        <v>2028</v>
      </c>
      <c r="C213" s="335" t="s">
        <v>1116</v>
      </c>
      <c r="D213" s="367">
        <v>18105919.899999999</v>
      </c>
      <c r="E213" s="367">
        <v>11602181.73</v>
      </c>
      <c r="F213" s="367">
        <v>12686883</v>
      </c>
      <c r="G213" s="367">
        <v>12086457</v>
      </c>
      <c r="H213" s="367">
        <v>9420941.6699999999</v>
      </c>
      <c r="I213" s="367">
        <v>5731486.1900000004</v>
      </c>
      <c r="J213" s="367">
        <v>8346912.8799999999</v>
      </c>
      <c r="K213" s="367">
        <v>10812765.630000001</v>
      </c>
      <c r="L213" s="367">
        <v>8469017.3599999994</v>
      </c>
      <c r="M213" s="367">
        <v>11192484.050000001</v>
      </c>
      <c r="N213" s="367">
        <v>16009560.039999999</v>
      </c>
      <c r="O213" s="368">
        <v>11324338.800000001</v>
      </c>
      <c r="P213" s="48">
        <v>14825671.380000001</v>
      </c>
      <c r="Q213" s="48">
        <v>15652198.92</v>
      </c>
      <c r="R213" s="48">
        <v>10931992.43</v>
      </c>
      <c r="S213" s="48">
        <v>12498894.16</v>
      </c>
      <c r="T213" s="48">
        <v>8506871.3100000005</v>
      </c>
      <c r="U213" s="48">
        <v>8923816.9399999995</v>
      </c>
      <c r="V213" s="48">
        <v>9406895.6999999993</v>
      </c>
      <c r="W213" s="48">
        <v>10436143.99</v>
      </c>
      <c r="X213" s="48">
        <v>9882010.9800000004</v>
      </c>
      <c r="Y213" s="48">
        <v>12510965.26</v>
      </c>
      <c r="Z213" s="48">
        <v>15720217.380000001</v>
      </c>
      <c r="AA213" s="48">
        <v>10536563.08</v>
      </c>
      <c r="AB213" s="48">
        <v>16105783.779999999</v>
      </c>
      <c r="AC213" s="48">
        <v>13782660.32</v>
      </c>
      <c r="AD213" s="48">
        <v>12768613.58</v>
      </c>
      <c r="AE213" s="48">
        <v>13301925.08</v>
      </c>
      <c r="AF213" s="48">
        <v>8937794.4000000004</v>
      </c>
      <c r="AG213" s="48">
        <v>9252533.5999999996</v>
      </c>
      <c r="AH213" s="48">
        <v>13531048.470000001</v>
      </c>
      <c r="AI213" s="48">
        <v>12901237.91</v>
      </c>
      <c r="AJ213" s="48">
        <v>12804956.369999999</v>
      </c>
      <c r="AK213" s="48">
        <v>15335376.369999999</v>
      </c>
      <c r="AL213" s="48">
        <v>11592605.810000001</v>
      </c>
      <c r="AM213" s="48">
        <v>11517591.68</v>
      </c>
      <c r="AN213" s="48">
        <v>13504230.890000001</v>
      </c>
      <c r="AO213" s="48">
        <v>9504398.3399999999</v>
      </c>
      <c r="AP213" s="48">
        <v>13430759.23</v>
      </c>
      <c r="AQ213" s="48">
        <v>12495027.68</v>
      </c>
      <c r="AR213" s="48">
        <v>11630458.27</v>
      </c>
      <c r="AS213" s="48">
        <v>10131478.07</v>
      </c>
      <c r="AT213" s="48">
        <v>12512459.17</v>
      </c>
      <c r="AU213" s="48">
        <v>17511907.039999999</v>
      </c>
      <c r="AV213" s="48">
        <v>14939705.18</v>
      </c>
      <c r="AW213" s="48">
        <v>13196656.939999999</v>
      </c>
      <c r="AX213" s="48">
        <v>13137387.17</v>
      </c>
      <c r="AY213" s="48">
        <v>16023757.890000001</v>
      </c>
      <c r="AZ213" s="48">
        <v>22850159.550000001</v>
      </c>
      <c r="BA213" s="48">
        <v>10479371.15</v>
      </c>
      <c r="BB213" s="48">
        <v>13100817.23</v>
      </c>
      <c r="BC213" s="48">
        <v>10036230.720000001</v>
      </c>
      <c r="BD213" s="48">
        <v>11484805.76</v>
      </c>
      <c r="BE213" s="48">
        <v>13247636.26</v>
      </c>
      <c r="BF213" s="48">
        <v>15100103.23</v>
      </c>
      <c r="BG213" s="48">
        <v>12089027.41</v>
      </c>
      <c r="BH213" s="48">
        <v>13588410.550000001</v>
      </c>
      <c r="BI213" s="48">
        <v>19128918.210000001</v>
      </c>
      <c r="BJ213" s="48">
        <v>20013525.68</v>
      </c>
      <c r="BK213" s="48">
        <v>18583372.300000001</v>
      </c>
      <c r="BL213" s="48">
        <v>17350300.109999999</v>
      </c>
      <c r="BM213" s="48">
        <v>11075186.949999999</v>
      </c>
      <c r="BN213" s="48">
        <v>13477264.609999999</v>
      </c>
      <c r="BO213" s="48">
        <v>11273393.310000001</v>
      </c>
      <c r="BP213" s="48">
        <v>11248857.689999999</v>
      </c>
      <c r="BQ213" s="48">
        <v>8517872.1799999997</v>
      </c>
      <c r="BR213" s="48">
        <v>9280612.1799999997</v>
      </c>
      <c r="BS213" s="48">
        <v>9764698.5999999996</v>
      </c>
      <c r="BT213" s="48">
        <v>12076834.630000001</v>
      </c>
      <c r="BU213" s="48">
        <v>13743771.84</v>
      </c>
      <c r="BV213" s="48">
        <v>13500749.42</v>
      </c>
      <c r="BW213" s="48">
        <v>13096438.33</v>
      </c>
      <c r="BX213" s="48">
        <v>13493076.57</v>
      </c>
      <c r="BY213" s="48">
        <v>10334309.369999999</v>
      </c>
      <c r="BZ213" s="48">
        <v>10126684.189999999</v>
      </c>
      <c r="CA213" s="48">
        <v>7952411.9699999997</v>
      </c>
      <c r="CB213" s="48">
        <v>8437533.1799999997</v>
      </c>
      <c r="CC213" s="48">
        <v>8310039.6200000001</v>
      </c>
      <c r="CD213" s="48">
        <v>9085074.0299999993</v>
      </c>
      <c r="CE213" s="48">
        <v>8414571.3300000001</v>
      </c>
      <c r="CF213" s="48">
        <v>7972076.46</v>
      </c>
      <c r="CG213" s="48">
        <v>11023452.66</v>
      </c>
      <c r="CH213" s="48">
        <v>13391809.560000001</v>
      </c>
      <c r="CI213" s="48">
        <v>16571536.16</v>
      </c>
      <c r="CJ213" s="48">
        <v>16439776.35</v>
      </c>
      <c r="CK213" s="48">
        <v>18676790.91</v>
      </c>
      <c r="CL213" s="48">
        <v>15324503.220000001</v>
      </c>
      <c r="CM213" s="48">
        <v>10097628.68</v>
      </c>
      <c r="CN213" s="48">
        <v>8721040.3200000003</v>
      </c>
      <c r="CO213" s="48">
        <v>10220210.140000001</v>
      </c>
      <c r="CP213" s="48">
        <v>10217298.949999999</v>
      </c>
      <c r="CQ213" s="48">
        <v>10822638.75</v>
      </c>
      <c r="CR213" s="48">
        <v>11678964.1</v>
      </c>
      <c r="CS213" s="48">
        <v>20588212.010000002</v>
      </c>
      <c r="CT213" s="48">
        <v>19603443.129999999</v>
      </c>
      <c r="CU213" s="48">
        <v>16290393.84</v>
      </c>
      <c r="CV213" s="48">
        <v>23767789.120000001</v>
      </c>
      <c r="CW213" s="48">
        <v>19580069.57</v>
      </c>
      <c r="CX213" s="48">
        <v>19768515.300000001</v>
      </c>
      <c r="CY213" s="48">
        <v>17741192.789999999</v>
      </c>
      <c r="CZ213" s="48">
        <v>25236867.84</v>
      </c>
      <c r="DA213" s="48">
        <v>22782810.190000001</v>
      </c>
      <c r="DB213" s="48">
        <v>21450416.210000001</v>
      </c>
      <c r="DC213" s="48">
        <v>23022641.379999999</v>
      </c>
      <c r="DD213" s="48">
        <v>15361180.630000001</v>
      </c>
      <c r="DE213" s="48">
        <f>VLOOKUP($C213,'[2]Analysis 1'!$C$5:$DG$1025,107,FALSE)</f>
        <v>17226748.559999999</v>
      </c>
      <c r="DF213" s="48">
        <f>VLOOKUP($C213,'[2]Analysis 1'!$C$5:$DG$1025,108,FALSE)</f>
        <v>21604629.300000001</v>
      </c>
      <c r="DG213" s="48">
        <f>VLOOKUP($C213,'[2]Analysis 1'!$C$5:$DG$1025,109,FALSE)</f>
        <v>25164343.690000001</v>
      </c>
      <c r="DH213" s="369">
        <f t="shared" si="6"/>
        <v>252707204.58000001</v>
      </c>
    </row>
    <row r="214" spans="1:112">
      <c r="A214" s="357" t="str">
        <f t="shared" si="5"/>
        <v>6400010</v>
      </c>
      <c r="B214" s="350" t="s">
        <v>2029</v>
      </c>
      <c r="C214" s="335" t="s">
        <v>1117</v>
      </c>
      <c r="D214" s="340">
        <v>68495.710000000006</v>
      </c>
      <c r="E214" s="340">
        <v>7163.99</v>
      </c>
      <c r="F214" s="340">
        <v>5141.7299999999996</v>
      </c>
      <c r="G214" s="340">
        <v>52546.87</v>
      </c>
      <c r="H214" s="340">
        <v>41383.300000000003</v>
      </c>
      <c r="I214" s="340">
        <v>182095.34</v>
      </c>
      <c r="J214" s="340">
        <v>157866.89000000001</v>
      </c>
      <c r="K214" s="340">
        <v>24350.3</v>
      </c>
      <c r="L214" s="340">
        <v>10517.69</v>
      </c>
      <c r="M214" s="340">
        <v>15802.42</v>
      </c>
      <c r="N214" s="340">
        <v>11435.05</v>
      </c>
      <c r="O214" s="341">
        <v>3330.22</v>
      </c>
      <c r="P214" s="48">
        <v>5170.96</v>
      </c>
      <c r="Q214" s="48">
        <v>2678.79</v>
      </c>
      <c r="R214" s="48">
        <v>10497.72</v>
      </c>
      <c r="S214" s="48">
        <v>35757.17</v>
      </c>
      <c r="T214" s="48">
        <v>6921.41</v>
      </c>
      <c r="U214" s="48">
        <v>451140.19</v>
      </c>
      <c r="V214" s="48">
        <v>22376.18</v>
      </c>
      <c r="W214" s="48">
        <v>-3033.91</v>
      </c>
      <c r="X214" s="48">
        <v>19865.05</v>
      </c>
      <c r="Y214" s="48">
        <v>29705.11</v>
      </c>
      <c r="Z214" s="48">
        <v>4578.6099999999997</v>
      </c>
      <c r="AA214" s="48">
        <v>83257.66</v>
      </c>
      <c r="AB214" s="48">
        <v>15721.58</v>
      </c>
      <c r="AC214" s="48">
        <v>49543.23</v>
      </c>
      <c r="AD214" s="48">
        <v>8032.97</v>
      </c>
      <c r="AE214" s="48">
        <v>350844.21</v>
      </c>
      <c r="AF214" s="48">
        <v>8141.45</v>
      </c>
      <c r="AG214" s="48">
        <v>42720.41</v>
      </c>
      <c r="AH214" s="48">
        <v>249977.68</v>
      </c>
      <c r="AI214" s="48">
        <v>8734.59</v>
      </c>
      <c r="AJ214" s="48">
        <v>46836.88</v>
      </c>
      <c r="AK214" s="48">
        <v>8759.7999999999993</v>
      </c>
      <c r="AL214" s="48">
        <v>119126.01</v>
      </c>
      <c r="AM214" s="48">
        <v>20748.38</v>
      </c>
      <c r="AN214" s="48">
        <v>1768.47</v>
      </c>
      <c r="AO214" s="48">
        <v>47423.040000000001</v>
      </c>
      <c r="AP214" s="48">
        <v>38504.230000000003</v>
      </c>
      <c r="AQ214" s="48">
        <v>24291.119999999999</v>
      </c>
      <c r="AR214" s="48">
        <v>18188.009999999998</v>
      </c>
      <c r="AS214" s="48">
        <v>24473.46</v>
      </c>
      <c r="AT214" s="48">
        <v>14125.66</v>
      </c>
      <c r="AU214" s="48">
        <v>55732.31</v>
      </c>
      <c r="AV214" s="48">
        <v>11555.11</v>
      </c>
      <c r="AW214" s="48">
        <v>21972.720000000001</v>
      </c>
      <c r="AX214" s="48">
        <v>24864.01</v>
      </c>
      <c r="AY214" s="48">
        <v>17491.91</v>
      </c>
      <c r="AZ214" s="48">
        <v>40604.879999999997</v>
      </c>
      <c r="BA214" s="48">
        <v>19529.95</v>
      </c>
      <c r="BB214" s="48">
        <v>100464.25</v>
      </c>
      <c r="BC214" s="48">
        <v>22400.94</v>
      </c>
      <c r="BD214" s="48">
        <v>25343.77</v>
      </c>
      <c r="BE214" s="48">
        <v>32845.18</v>
      </c>
      <c r="BF214" s="48">
        <v>19213.54</v>
      </c>
      <c r="BG214" s="48">
        <v>24677.62</v>
      </c>
      <c r="BH214" s="48">
        <v>96511.86</v>
      </c>
      <c r="BI214" s="48">
        <v>79330.12</v>
      </c>
      <c r="BJ214" s="48">
        <v>37453.58</v>
      </c>
      <c r="BK214" s="48">
        <v>44755.37</v>
      </c>
      <c r="BL214" s="48">
        <v>26408.880000000001</v>
      </c>
      <c r="BM214" s="48">
        <v>21110.57</v>
      </c>
      <c r="BN214" s="48">
        <v>33346.74</v>
      </c>
      <c r="BO214" s="48">
        <v>21649.4</v>
      </c>
      <c r="BP214" s="48">
        <v>26343.69</v>
      </c>
      <c r="BQ214" s="48">
        <v>373401.74</v>
      </c>
      <c r="BR214" s="48">
        <v>13471.46</v>
      </c>
      <c r="BS214" s="48">
        <v>328192.03000000003</v>
      </c>
      <c r="BT214" s="48">
        <v>216286.12</v>
      </c>
      <c r="BU214" s="48">
        <v>48639.25</v>
      </c>
      <c r="BV214" s="48">
        <v>50646.92</v>
      </c>
      <c r="BW214" s="48">
        <v>-81464.38</v>
      </c>
      <c r="BX214" s="48">
        <v>115103.48</v>
      </c>
      <c r="BY214" s="48">
        <v>26440.31</v>
      </c>
      <c r="BZ214" s="48">
        <v>1765.37</v>
      </c>
      <c r="CA214" s="48">
        <v>32538.47</v>
      </c>
      <c r="CB214" s="48">
        <v>13043.74</v>
      </c>
      <c r="CC214" s="48">
        <v>8392.2199999999993</v>
      </c>
      <c r="CD214" s="48">
        <v>41167.99</v>
      </c>
      <c r="CE214" s="48">
        <v>340636.15999999997</v>
      </c>
      <c r="CF214" s="48">
        <v>52837.79</v>
      </c>
      <c r="CG214" s="48">
        <v>100605.04</v>
      </c>
      <c r="CH214" s="48">
        <v>151455.14000000001</v>
      </c>
      <c r="CI214" s="48">
        <v>29752.959999999999</v>
      </c>
      <c r="CJ214" s="48">
        <v>11614.72</v>
      </c>
      <c r="CK214" s="48">
        <v>30652.49</v>
      </c>
      <c r="CL214" s="48">
        <v>16070.99</v>
      </c>
      <c r="CM214" s="48">
        <v>22249.35</v>
      </c>
      <c r="CN214" s="48">
        <v>19511.59</v>
      </c>
      <c r="CO214" s="48">
        <v>11113.8</v>
      </c>
      <c r="CP214" s="48">
        <v>63957.15</v>
      </c>
      <c r="CQ214" s="48">
        <v>56456.04</v>
      </c>
      <c r="CR214" s="48">
        <v>43871.360000000001</v>
      </c>
      <c r="CS214" s="48">
        <v>154121.44</v>
      </c>
      <c r="CT214" s="48">
        <v>132315.17000000001</v>
      </c>
      <c r="CU214" s="48">
        <v>712616.57</v>
      </c>
      <c r="CV214" s="48">
        <v>37367.410000000003</v>
      </c>
      <c r="CW214" s="48">
        <v>22695.87</v>
      </c>
      <c r="CX214" s="48">
        <v>42255.65</v>
      </c>
      <c r="CY214" s="48">
        <v>34356.959999999999</v>
      </c>
      <c r="CZ214" s="48">
        <v>100047.3</v>
      </c>
      <c r="DA214" s="48">
        <v>92881.29</v>
      </c>
      <c r="DB214" s="48">
        <v>38314.19</v>
      </c>
      <c r="DC214" s="48">
        <v>35032.949999999997</v>
      </c>
      <c r="DD214" s="48">
        <v>39601.199999999997</v>
      </c>
      <c r="DE214" s="48">
        <f>VLOOKUP($C214,'[2]Analysis 1'!$C$5:$DG$1025,107,FALSE)</f>
        <v>58427.91</v>
      </c>
      <c r="DF214" s="48">
        <f>VLOOKUP($C214,'[2]Analysis 1'!$C$5:$DG$1025,108,FALSE)</f>
        <v>17021.05</v>
      </c>
      <c r="DG214" s="48">
        <f>VLOOKUP($C214,'[2]Analysis 1'!$C$5:$DG$1025,109,FALSE)</f>
        <v>59934.82</v>
      </c>
      <c r="DH214" s="369">
        <f t="shared" si="6"/>
        <v>577936.6</v>
      </c>
    </row>
    <row r="215" spans="1:112">
      <c r="A215" s="357" t="str">
        <f t="shared" si="5"/>
        <v>6400020</v>
      </c>
      <c r="B215" s="350" t="s">
        <v>2030</v>
      </c>
      <c r="C215" s="335" t="s">
        <v>1118</v>
      </c>
      <c r="D215" s="367">
        <v>36530.410000000003</v>
      </c>
      <c r="E215" s="367">
        <v>36950.78</v>
      </c>
      <c r="F215" s="367">
        <v>47434.34</v>
      </c>
      <c r="G215" s="367">
        <v>30852.73</v>
      </c>
      <c r="H215" s="367">
        <v>44195.47</v>
      </c>
      <c r="I215" s="367">
        <v>28288.76</v>
      </c>
      <c r="J215" s="367">
        <v>33155.9</v>
      </c>
      <c r="K215" s="367">
        <v>55802.92</v>
      </c>
      <c r="L215" s="367">
        <v>43879.92</v>
      </c>
      <c r="M215" s="367">
        <v>20387.84</v>
      </c>
      <c r="N215" s="367">
        <v>32201.91</v>
      </c>
      <c r="O215" s="368">
        <v>63303.27</v>
      </c>
      <c r="P215" s="48">
        <v>32198.38</v>
      </c>
      <c r="Q215" s="48">
        <v>30908.23</v>
      </c>
      <c r="R215" s="48">
        <v>45495.37</v>
      </c>
      <c r="S215" s="48">
        <v>31573.94</v>
      </c>
      <c r="T215" s="48">
        <v>15849.61</v>
      </c>
      <c r="U215" s="48">
        <v>57482.76</v>
      </c>
      <c r="V215" s="48">
        <v>37575.919999999998</v>
      </c>
      <c r="W215" s="48">
        <v>17921.439999999999</v>
      </c>
      <c r="X215" s="48">
        <v>49801.95</v>
      </c>
      <c r="Y215" s="48">
        <v>37656.120000000003</v>
      </c>
      <c r="Z215" s="48">
        <v>21408.81</v>
      </c>
      <c r="AA215" s="48">
        <v>72370.73</v>
      </c>
      <c r="AB215" s="48">
        <v>19110.7</v>
      </c>
      <c r="AC215" s="48">
        <v>42877.84</v>
      </c>
      <c r="AD215" s="48">
        <v>31480.89</v>
      </c>
      <c r="AE215" s="48">
        <v>24535.74</v>
      </c>
      <c r="AF215" s="48">
        <v>41424.910000000003</v>
      </c>
      <c r="AG215" s="48">
        <v>50014.83</v>
      </c>
      <c r="AH215" s="48">
        <v>22971.040000000001</v>
      </c>
      <c r="AI215" s="48">
        <v>17325.89</v>
      </c>
      <c r="AJ215" s="48">
        <v>34995.06</v>
      </c>
      <c r="AK215" s="48">
        <v>67312.17</v>
      </c>
      <c r="AL215" s="48">
        <v>44377.56</v>
      </c>
      <c r="AM215" s="48">
        <v>44202.04</v>
      </c>
      <c r="AN215" s="48">
        <v>18555.259999999998</v>
      </c>
      <c r="AO215" s="48">
        <v>22456.07</v>
      </c>
      <c r="AP215" s="48">
        <v>44480.71</v>
      </c>
      <c r="AQ215" s="48">
        <v>12434.07</v>
      </c>
      <c r="AR215" s="48">
        <v>19854.439999999999</v>
      </c>
      <c r="AS215" s="48">
        <v>93861.8</v>
      </c>
      <c r="AT215" s="48">
        <v>16407.04</v>
      </c>
      <c r="AU215" s="48">
        <v>21349.279999999999</v>
      </c>
      <c r="AV215" s="48">
        <v>14547.76</v>
      </c>
      <c r="AW215" s="48">
        <v>24918.52</v>
      </c>
      <c r="AX215" s="48">
        <v>17615.46</v>
      </c>
      <c r="AY215" s="48">
        <v>19894.88</v>
      </c>
      <c r="AZ215" s="48">
        <v>18876.66</v>
      </c>
      <c r="BA215" s="48">
        <v>17823.96</v>
      </c>
      <c r="BB215" s="48">
        <v>18856.88</v>
      </c>
      <c r="BC215" s="48">
        <v>20218.59</v>
      </c>
      <c r="BD215" s="48">
        <v>26005.64</v>
      </c>
      <c r="BE215" s="48">
        <v>94163.86</v>
      </c>
      <c r="BF215" s="48">
        <v>16982.98</v>
      </c>
      <c r="BG215" s="48">
        <v>473210.23</v>
      </c>
      <c r="BH215" s="48">
        <v>22989.88</v>
      </c>
      <c r="BI215" s="48">
        <v>84959.06</v>
      </c>
      <c r="BJ215" s="48">
        <v>33433.17</v>
      </c>
      <c r="BK215" s="48">
        <v>67293.149999999994</v>
      </c>
      <c r="BL215" s="48">
        <v>-18678.12</v>
      </c>
      <c r="BM215" s="48">
        <v>20723.97</v>
      </c>
      <c r="BN215" s="48">
        <v>26637.19</v>
      </c>
      <c r="BO215" s="48">
        <v>17572.830000000002</v>
      </c>
      <c r="BP215" s="48">
        <v>21003.7</v>
      </c>
      <c r="BQ215" s="48">
        <v>28050.75</v>
      </c>
      <c r="BR215" s="48">
        <v>28086.23</v>
      </c>
      <c r="BS215" s="48">
        <v>26879.86</v>
      </c>
      <c r="BT215" s="48">
        <v>23589.25</v>
      </c>
      <c r="BU215" s="48">
        <v>80923.240000000005</v>
      </c>
      <c r="BV215" s="48">
        <v>24473.55</v>
      </c>
      <c r="BW215" s="48">
        <v>74378.649999999994</v>
      </c>
      <c r="BX215" s="48">
        <v>11315.94</v>
      </c>
      <c r="BY215" s="48">
        <v>15035.15</v>
      </c>
      <c r="BZ215" s="48">
        <v>28203.24</v>
      </c>
      <c r="CA215" s="48">
        <v>17847.68</v>
      </c>
      <c r="CB215" s="48">
        <v>18671.7</v>
      </c>
      <c r="CC215" s="48">
        <v>12033.24</v>
      </c>
      <c r="CD215" s="48">
        <v>13204.91</v>
      </c>
      <c r="CE215" s="48">
        <v>14677.13</v>
      </c>
      <c r="CF215" s="48">
        <v>15511.02</v>
      </c>
      <c r="CG215" s="48">
        <v>15257.32</v>
      </c>
      <c r="CH215" s="48">
        <v>20594.150000000001</v>
      </c>
      <c r="CI215" s="48">
        <v>35280.400000000001</v>
      </c>
      <c r="CJ215" s="48">
        <v>3265.36</v>
      </c>
      <c r="CK215" s="48">
        <v>14783.21</v>
      </c>
      <c r="CL215" s="48">
        <v>16418.34</v>
      </c>
      <c r="CM215" s="48">
        <v>11566.62</v>
      </c>
      <c r="CN215" s="48">
        <v>6843.37</v>
      </c>
      <c r="CO215" s="48">
        <v>19953.45</v>
      </c>
      <c r="CP215" s="48">
        <v>14364.19</v>
      </c>
      <c r="CQ215" s="48">
        <v>12668.61</v>
      </c>
      <c r="CR215" s="48">
        <v>15794.95</v>
      </c>
      <c r="CS215" s="48">
        <v>15591.71</v>
      </c>
      <c r="CT215" s="48">
        <v>21782.32</v>
      </c>
      <c r="CU215" s="48">
        <v>113460.22</v>
      </c>
      <c r="CV215" s="48">
        <v>14377.78</v>
      </c>
      <c r="CW215" s="48">
        <v>18383.86</v>
      </c>
      <c r="CX215" s="48">
        <v>22928.95</v>
      </c>
      <c r="CY215" s="48">
        <v>19033.84</v>
      </c>
      <c r="CZ215" s="48">
        <v>18497</v>
      </c>
      <c r="DA215" s="48">
        <v>25257.51</v>
      </c>
      <c r="DB215" s="48">
        <v>16278.49</v>
      </c>
      <c r="DC215" s="48">
        <v>22916.59</v>
      </c>
      <c r="DD215" s="48">
        <v>12400.29</v>
      </c>
      <c r="DE215" s="48">
        <f>VLOOKUP($C215,'[2]Analysis 1'!$C$5:$DG$1025,107,FALSE)</f>
        <v>29993.25</v>
      </c>
      <c r="DF215" s="48">
        <f>VLOOKUP($C215,'[2]Analysis 1'!$C$5:$DG$1025,108,FALSE)</f>
        <v>29101.52</v>
      </c>
      <c r="DG215" s="48">
        <f>VLOOKUP($C215,'[2]Analysis 1'!$C$5:$DG$1025,109,FALSE)</f>
        <v>20002.78</v>
      </c>
      <c r="DH215" s="369">
        <f t="shared" si="6"/>
        <v>249171.86</v>
      </c>
    </row>
    <row r="216" spans="1:112">
      <c r="A216" s="357" t="str">
        <f t="shared" si="5"/>
        <v>6400030</v>
      </c>
      <c r="B216" s="350" t="s">
        <v>2031</v>
      </c>
      <c r="C216" s="335" t="s">
        <v>1119</v>
      </c>
      <c r="D216" s="367">
        <v>0</v>
      </c>
      <c r="E216" s="367">
        <v>0</v>
      </c>
      <c r="F216" s="367">
        <v>0</v>
      </c>
      <c r="G216" s="367">
        <v>0</v>
      </c>
      <c r="H216" s="367">
        <v>0</v>
      </c>
      <c r="I216" s="367">
        <v>74.900000000000006</v>
      </c>
      <c r="J216" s="367">
        <v>74.900000000000006</v>
      </c>
      <c r="K216" s="367">
        <v>74.900000000000006</v>
      </c>
      <c r="L216" s="367">
        <v>74.900000000000006</v>
      </c>
      <c r="M216" s="367">
        <v>74.900000000000006</v>
      </c>
      <c r="N216" s="367">
        <v>74.900000000000006</v>
      </c>
      <c r="O216" s="368">
        <v>149.80000000000001</v>
      </c>
      <c r="P216" s="48">
        <v>0</v>
      </c>
      <c r="Q216" s="48">
        <v>74.900000000000006</v>
      </c>
      <c r="R216" s="48">
        <v>74.900000000000006</v>
      </c>
      <c r="S216" s="48">
        <v>0</v>
      </c>
      <c r="T216" s="48">
        <v>0</v>
      </c>
      <c r="U216" s="48">
        <v>0</v>
      </c>
      <c r="V216" s="48">
        <v>0</v>
      </c>
      <c r="W216" s="48">
        <v>0</v>
      </c>
      <c r="X216" s="48">
        <v>0</v>
      </c>
      <c r="Y216" s="48">
        <v>0</v>
      </c>
      <c r="Z216" s="48">
        <v>0</v>
      </c>
      <c r="AA216" s="48">
        <v>0</v>
      </c>
      <c r="AB216" s="48">
        <v>0</v>
      </c>
      <c r="AC216" s="48">
        <v>73.959999999999994</v>
      </c>
      <c r="AD216" s="48">
        <v>0</v>
      </c>
      <c r="AE216" s="48">
        <v>0</v>
      </c>
      <c r="AF216" s="48">
        <v>0</v>
      </c>
      <c r="AG216" s="48">
        <v>0</v>
      </c>
      <c r="AH216" s="48">
        <v>0</v>
      </c>
      <c r="AI216" s="48">
        <v>0</v>
      </c>
      <c r="AJ216" s="48">
        <v>0</v>
      </c>
      <c r="AK216" s="48">
        <v>0</v>
      </c>
      <c r="AL216" s="48">
        <v>0</v>
      </c>
      <c r="AM216" s="48">
        <v>0</v>
      </c>
      <c r="AN216" s="48">
        <v>0</v>
      </c>
      <c r="AO216" s="48">
        <v>0</v>
      </c>
      <c r="AP216" s="48">
        <v>0</v>
      </c>
      <c r="AQ216" s="48">
        <v>0</v>
      </c>
      <c r="AR216" s="48">
        <v>0</v>
      </c>
      <c r="AS216" s="48">
        <v>0</v>
      </c>
      <c r="AT216" s="48">
        <v>0</v>
      </c>
      <c r="AU216" s="48">
        <v>0</v>
      </c>
      <c r="AV216" s="48">
        <v>0</v>
      </c>
      <c r="AW216" s="48"/>
      <c r="AX216" s="48"/>
      <c r="AY216" s="48"/>
      <c r="AZ216" s="48">
        <v>0</v>
      </c>
      <c r="BA216" s="48">
        <v>0</v>
      </c>
      <c r="BB216" s="48">
        <v>0</v>
      </c>
      <c r="BC216" s="48">
        <v>0</v>
      </c>
      <c r="BD216" s="48">
        <v>0</v>
      </c>
      <c r="BE216" s="48">
        <v>0</v>
      </c>
      <c r="BF216" s="48">
        <v>0</v>
      </c>
      <c r="BG216" s="48">
        <v>0</v>
      </c>
      <c r="BH216" s="48">
        <v>0</v>
      </c>
      <c r="BI216" s="48">
        <v>0</v>
      </c>
      <c r="BJ216" s="48">
        <v>0</v>
      </c>
      <c r="BK216" s="48">
        <v>0</v>
      </c>
      <c r="BL216" s="48">
        <v>0</v>
      </c>
      <c r="BM216" s="48">
        <v>0</v>
      </c>
      <c r="BN216" s="48">
        <v>0</v>
      </c>
      <c r="BO216" s="48">
        <v>0</v>
      </c>
      <c r="BP216" s="48">
        <v>0</v>
      </c>
      <c r="BQ216" s="48">
        <v>0</v>
      </c>
      <c r="BR216" s="48">
        <v>0</v>
      </c>
      <c r="BS216" s="48">
        <v>0</v>
      </c>
      <c r="BT216" s="48">
        <v>0</v>
      </c>
      <c r="BU216" s="48">
        <v>0</v>
      </c>
      <c r="BV216" s="48">
        <v>0</v>
      </c>
      <c r="BW216" s="48">
        <v>0</v>
      </c>
      <c r="BX216" s="48">
        <v>0</v>
      </c>
      <c r="BY216" s="48">
        <v>0</v>
      </c>
      <c r="BZ216" s="48">
        <v>0</v>
      </c>
      <c r="CA216" s="48">
        <v>0</v>
      </c>
      <c r="CB216" s="48">
        <v>0</v>
      </c>
      <c r="CC216" s="48">
        <v>0</v>
      </c>
      <c r="CD216" s="48">
        <v>0</v>
      </c>
      <c r="CE216" s="48">
        <v>0</v>
      </c>
      <c r="CF216" s="48">
        <v>0</v>
      </c>
      <c r="CG216" s="48">
        <v>0</v>
      </c>
      <c r="CH216" s="48">
        <v>0</v>
      </c>
      <c r="CI216" s="48">
        <v>0</v>
      </c>
      <c r="CJ216" s="48">
        <v>0</v>
      </c>
      <c r="CK216" s="48">
        <v>0</v>
      </c>
      <c r="CL216" s="48">
        <v>0</v>
      </c>
      <c r="CM216" s="48">
        <v>0</v>
      </c>
      <c r="CN216" s="48">
        <v>0</v>
      </c>
      <c r="CO216" s="48">
        <v>0</v>
      </c>
      <c r="CP216" s="48">
        <v>0</v>
      </c>
      <c r="CQ216" s="48">
        <v>0</v>
      </c>
      <c r="CR216" s="48">
        <v>0</v>
      </c>
      <c r="CS216" s="48">
        <v>69996</v>
      </c>
      <c r="CT216" s="48">
        <v>0</v>
      </c>
      <c r="CU216" s="48">
        <v>0</v>
      </c>
      <c r="CV216" s="48">
        <v>0</v>
      </c>
      <c r="CW216" s="48">
        <v>0</v>
      </c>
      <c r="CX216" s="48">
        <v>0</v>
      </c>
      <c r="CY216" s="48">
        <v>0</v>
      </c>
      <c r="CZ216" s="48">
        <v>0</v>
      </c>
      <c r="DA216" s="48">
        <v>0</v>
      </c>
      <c r="DB216" s="48">
        <v>0</v>
      </c>
      <c r="DC216" s="48">
        <v>0</v>
      </c>
      <c r="DD216" s="48">
        <v>0</v>
      </c>
      <c r="DE216" s="48">
        <f>VLOOKUP($C216,'[2]Analysis 1'!$C$5:$DG$1025,107,FALSE)</f>
        <v>0</v>
      </c>
      <c r="DF216" s="48">
        <f>VLOOKUP($C216,'[2]Analysis 1'!$C$5:$DG$1025,108,FALSE)</f>
        <v>0</v>
      </c>
      <c r="DG216" s="48">
        <f>VLOOKUP($C216,'[2]Analysis 1'!$C$5:$DG$1025,109,FALSE)</f>
        <v>0</v>
      </c>
      <c r="DH216" s="369">
        <f t="shared" si="6"/>
        <v>0</v>
      </c>
    </row>
    <row r="217" spans="1:112">
      <c r="A217" s="357" t="str">
        <f t="shared" si="5"/>
        <v>6400040</v>
      </c>
      <c r="B217" s="350" t="s">
        <v>2032</v>
      </c>
      <c r="C217" s="335" t="s">
        <v>1696</v>
      </c>
      <c r="D217" s="367"/>
      <c r="E217" s="367"/>
      <c r="F217" s="367"/>
      <c r="G217" s="367"/>
      <c r="H217" s="367"/>
      <c r="I217" s="367"/>
      <c r="J217" s="367"/>
      <c r="K217" s="367"/>
      <c r="L217" s="367"/>
      <c r="M217" s="367"/>
      <c r="N217" s="367"/>
      <c r="O217" s="367"/>
      <c r="P217" s="367"/>
      <c r="Q217" s="367"/>
      <c r="R217" s="367"/>
      <c r="S217" s="367"/>
      <c r="T217" s="367"/>
      <c r="U217" s="367"/>
      <c r="V217" s="367"/>
      <c r="W217" s="367"/>
      <c r="X217" s="367"/>
      <c r="Y217" s="367"/>
      <c r="Z217" s="367"/>
      <c r="AA217" s="367"/>
      <c r="AB217" s="367"/>
      <c r="AC217" s="367"/>
      <c r="AD217" s="367"/>
      <c r="AE217" s="367"/>
      <c r="AF217" s="367"/>
      <c r="AG217" s="367"/>
      <c r="AH217" s="48">
        <v>457.76</v>
      </c>
      <c r="AI217" s="48">
        <v>0</v>
      </c>
      <c r="AJ217" s="48">
        <v>0</v>
      </c>
      <c r="AK217" s="48">
        <v>0</v>
      </c>
      <c r="AL217" s="48">
        <v>0</v>
      </c>
      <c r="AM217" s="48">
        <v>0</v>
      </c>
      <c r="AN217" s="48">
        <v>0</v>
      </c>
      <c r="AO217" s="48">
        <v>0</v>
      </c>
      <c r="AP217" s="48">
        <v>0</v>
      </c>
      <c r="AQ217" s="48">
        <v>0</v>
      </c>
      <c r="AR217" s="48">
        <v>0</v>
      </c>
      <c r="AS217" s="48">
        <v>0</v>
      </c>
      <c r="AT217" s="48">
        <v>0</v>
      </c>
      <c r="AU217" s="48">
        <v>0</v>
      </c>
      <c r="AV217" s="48">
        <v>0</v>
      </c>
      <c r="AW217" s="48"/>
      <c r="AX217" s="48"/>
      <c r="AY217" s="48"/>
      <c r="AZ217" s="48">
        <v>0</v>
      </c>
      <c r="BA217" s="48">
        <v>0</v>
      </c>
      <c r="BB217" s="48">
        <v>0</v>
      </c>
      <c r="BC217" s="48">
        <v>33.07</v>
      </c>
      <c r="BD217" s="48">
        <v>93.57</v>
      </c>
      <c r="BE217" s="48">
        <v>326.02999999999997</v>
      </c>
      <c r="BF217" s="48">
        <v>335.68</v>
      </c>
      <c r="BG217" s="48">
        <v>31.13</v>
      </c>
      <c r="BH217" s="48">
        <v>128.66</v>
      </c>
      <c r="BI217" s="48">
        <v>315.3</v>
      </c>
      <c r="BJ217" s="48">
        <v>644.16</v>
      </c>
      <c r="BK217" s="48">
        <v>447.91</v>
      </c>
      <c r="BL217" s="48">
        <v>0</v>
      </c>
      <c r="BM217" s="48">
        <v>28.18</v>
      </c>
      <c r="BN217" s="48">
        <v>14.05</v>
      </c>
      <c r="BO217" s="48">
        <v>0</v>
      </c>
      <c r="BP217" s="48">
        <v>211.83</v>
      </c>
      <c r="BQ217" s="48">
        <v>37.380000000000003</v>
      </c>
      <c r="BR217" s="48">
        <v>42.5</v>
      </c>
      <c r="BS217" s="48">
        <v>66.7</v>
      </c>
      <c r="BT217" s="48">
        <v>204.72</v>
      </c>
      <c r="BU217" s="48">
        <v>155.31</v>
      </c>
      <c r="BV217" s="48">
        <v>43.68</v>
      </c>
      <c r="BW217" s="48">
        <v>81.47</v>
      </c>
      <c r="BX217" s="48">
        <v>0</v>
      </c>
      <c r="BY217" s="48">
        <v>439.01</v>
      </c>
      <c r="BZ217" s="48">
        <v>111.06</v>
      </c>
      <c r="CA217" s="48">
        <v>154.46</v>
      </c>
      <c r="CB217" s="48">
        <v>135.66</v>
      </c>
      <c r="CC217" s="48">
        <v>157.19999999999999</v>
      </c>
      <c r="CD217" s="48">
        <v>18.48</v>
      </c>
      <c r="CE217" s="48">
        <v>29.21</v>
      </c>
      <c r="CF217" s="48">
        <v>0</v>
      </c>
      <c r="CG217" s="48">
        <v>0</v>
      </c>
      <c r="CH217" s="48">
        <v>0</v>
      </c>
      <c r="CI217" s="48">
        <v>0</v>
      </c>
      <c r="CJ217" s="48">
        <v>0</v>
      </c>
      <c r="CK217" s="48">
        <v>0</v>
      </c>
      <c r="CL217" s="48">
        <v>0</v>
      </c>
      <c r="CM217" s="48">
        <v>0</v>
      </c>
      <c r="CN217" s="48">
        <v>0</v>
      </c>
      <c r="CO217" s="48">
        <v>0</v>
      </c>
      <c r="CP217" s="48">
        <v>0</v>
      </c>
      <c r="CQ217" s="48">
        <v>0</v>
      </c>
      <c r="CR217" s="48">
        <v>0</v>
      </c>
      <c r="CS217" s="48">
        <v>0</v>
      </c>
      <c r="CT217" s="48">
        <v>0</v>
      </c>
      <c r="CU217" s="48">
        <v>0</v>
      </c>
      <c r="CV217" s="48">
        <v>0</v>
      </c>
      <c r="CW217" s="48">
        <v>0</v>
      </c>
      <c r="CX217" s="48">
        <v>0</v>
      </c>
      <c r="CY217" s="48">
        <v>0</v>
      </c>
      <c r="CZ217" s="48">
        <v>0</v>
      </c>
      <c r="DA217" s="48">
        <v>0</v>
      </c>
      <c r="DB217" s="48">
        <v>-120415.27</v>
      </c>
      <c r="DC217" s="48">
        <v>0</v>
      </c>
      <c r="DD217" s="48">
        <v>0</v>
      </c>
      <c r="DE217" s="48">
        <f>VLOOKUP($C217,'[2]Analysis 1'!$C$5:$DG$1025,107,FALSE)</f>
        <v>0</v>
      </c>
      <c r="DF217" s="48">
        <f>VLOOKUP($C217,'[2]Analysis 1'!$C$5:$DG$1025,108,FALSE)</f>
        <v>0</v>
      </c>
      <c r="DG217" s="48">
        <f>VLOOKUP($C217,'[2]Analysis 1'!$C$5:$DG$1025,109,FALSE)</f>
        <v>0</v>
      </c>
      <c r="DH217" s="369">
        <f t="shared" si="6"/>
        <v>-120415.27</v>
      </c>
    </row>
    <row r="218" spans="1:112">
      <c r="A218" s="357" t="str">
        <f t="shared" si="5"/>
        <v>6400050</v>
      </c>
      <c r="B218" s="350" t="s">
        <v>2033</v>
      </c>
      <c r="C218" s="335" t="s">
        <v>1120</v>
      </c>
      <c r="D218" s="340">
        <v>0</v>
      </c>
      <c r="E218" s="340">
        <v>5982.5</v>
      </c>
      <c r="F218" s="340">
        <v>19727.59</v>
      </c>
      <c r="G218" s="340">
        <v>3635.69</v>
      </c>
      <c r="H218" s="340">
        <v>357.38</v>
      </c>
      <c r="I218" s="340">
        <v>0</v>
      </c>
      <c r="J218" s="340">
        <v>0</v>
      </c>
      <c r="K218" s="340">
        <v>0</v>
      </c>
      <c r="L218" s="340">
        <v>0</v>
      </c>
      <c r="M218" s="340">
        <v>0</v>
      </c>
      <c r="N218" s="340">
        <v>0</v>
      </c>
      <c r="O218" s="341">
        <v>0</v>
      </c>
      <c r="P218" s="48">
        <v>0</v>
      </c>
      <c r="Q218" s="48">
        <v>0</v>
      </c>
      <c r="R218" s="48">
        <v>0</v>
      </c>
      <c r="S218" s="48">
        <v>0</v>
      </c>
      <c r="T218" s="48">
        <v>0</v>
      </c>
      <c r="U218" s="48">
        <v>0</v>
      </c>
      <c r="V218" s="48">
        <v>0</v>
      </c>
      <c r="W218" s="48">
        <v>0</v>
      </c>
      <c r="X218" s="48">
        <v>0</v>
      </c>
      <c r="Y218" s="48">
        <v>0</v>
      </c>
      <c r="Z218" s="48">
        <v>42.78</v>
      </c>
      <c r="AA218" s="48">
        <v>0</v>
      </c>
      <c r="AB218" s="48">
        <v>0</v>
      </c>
      <c r="AC218" s="48">
        <v>0</v>
      </c>
      <c r="AD218" s="48">
        <v>0</v>
      </c>
      <c r="AE218" s="48">
        <v>0</v>
      </c>
      <c r="AF218" s="48">
        <v>0</v>
      </c>
      <c r="AG218" s="48">
        <v>0</v>
      </c>
      <c r="AH218" s="48">
        <v>0</v>
      </c>
      <c r="AI218" s="48">
        <v>0</v>
      </c>
      <c r="AJ218" s="48">
        <v>0</v>
      </c>
      <c r="AK218" s="48">
        <v>0</v>
      </c>
      <c r="AL218" s="48">
        <v>-35.950000000000003</v>
      </c>
      <c r="AM218" s="48">
        <v>0</v>
      </c>
      <c r="AN218" s="48">
        <v>0</v>
      </c>
      <c r="AO218" s="48">
        <v>0</v>
      </c>
      <c r="AP218" s="48">
        <v>0</v>
      </c>
      <c r="AQ218" s="48">
        <v>0</v>
      </c>
      <c r="AR218" s="48">
        <v>-28.19</v>
      </c>
      <c r="AS218" s="48">
        <v>0</v>
      </c>
      <c r="AT218" s="48">
        <v>0</v>
      </c>
      <c r="AU218" s="48">
        <v>0</v>
      </c>
      <c r="AV218" s="48">
        <v>0</v>
      </c>
      <c r="AW218" s="48">
        <v>0</v>
      </c>
      <c r="AX218" s="48">
        <v>0</v>
      </c>
      <c r="AY218" s="48">
        <v>0</v>
      </c>
      <c r="AZ218" s="48">
        <v>0</v>
      </c>
      <c r="BA218" s="48">
        <v>0</v>
      </c>
      <c r="BB218" s="48">
        <v>0</v>
      </c>
      <c r="BC218" s="48">
        <v>0</v>
      </c>
      <c r="BD218" s="48">
        <v>0</v>
      </c>
      <c r="BE218" s="48">
        <v>0</v>
      </c>
      <c r="BF218" s="48">
        <v>0</v>
      </c>
      <c r="BG218" s="48">
        <v>0</v>
      </c>
      <c r="BH218" s="48">
        <v>0</v>
      </c>
      <c r="BI218" s="48">
        <v>0</v>
      </c>
      <c r="BJ218" s="48">
        <v>0</v>
      </c>
      <c r="BK218" s="48">
        <v>0</v>
      </c>
      <c r="BL218" s="48">
        <v>0</v>
      </c>
      <c r="BM218" s="48">
        <v>0</v>
      </c>
      <c r="BN218" s="48">
        <v>0</v>
      </c>
      <c r="BO218" s="48">
        <v>0</v>
      </c>
      <c r="BP218" s="48">
        <v>0</v>
      </c>
      <c r="BQ218" s="48">
        <v>0</v>
      </c>
      <c r="BR218" s="48">
        <v>0</v>
      </c>
      <c r="BS218" s="48">
        <v>0</v>
      </c>
      <c r="BT218" s="48">
        <v>0</v>
      </c>
      <c r="BU218" s="48">
        <v>0</v>
      </c>
      <c r="BV218" s="48">
        <v>0</v>
      </c>
      <c r="BW218" s="48">
        <v>0</v>
      </c>
      <c r="BX218" s="48">
        <v>0</v>
      </c>
      <c r="BY218" s="48">
        <v>0</v>
      </c>
      <c r="BZ218" s="48">
        <v>0</v>
      </c>
      <c r="CA218" s="48">
        <v>715.59</v>
      </c>
      <c r="CB218" s="48">
        <v>706.59</v>
      </c>
      <c r="CC218" s="48">
        <v>1134.08</v>
      </c>
      <c r="CD218" s="48">
        <v>471.05</v>
      </c>
      <c r="CE218" s="48">
        <v>471.05</v>
      </c>
      <c r="CF218" s="48">
        <v>0</v>
      </c>
      <c r="CG218" s="48">
        <v>0</v>
      </c>
      <c r="CH218" s="48">
        <v>0</v>
      </c>
      <c r="CI218" s="48">
        <v>0</v>
      </c>
      <c r="CJ218" s="48">
        <v>0</v>
      </c>
      <c r="CK218" s="48">
        <v>0</v>
      </c>
      <c r="CL218" s="48">
        <v>0</v>
      </c>
      <c r="CM218" s="48">
        <v>0</v>
      </c>
      <c r="CN218" s="48">
        <v>0</v>
      </c>
      <c r="CO218" s="48">
        <v>0</v>
      </c>
      <c r="CP218" s="48">
        <v>0</v>
      </c>
      <c r="CQ218" s="48">
        <v>0</v>
      </c>
      <c r="CR218" s="48">
        <v>0</v>
      </c>
      <c r="CS218" s="48">
        <v>0</v>
      </c>
      <c r="CT218" s="48">
        <v>0</v>
      </c>
      <c r="CU218" s="48">
        <v>0</v>
      </c>
      <c r="CV218" s="48">
        <v>0</v>
      </c>
      <c r="CW218" s="48">
        <v>0</v>
      </c>
      <c r="CX218" s="48">
        <v>0</v>
      </c>
      <c r="CY218" s="48">
        <v>0</v>
      </c>
      <c r="CZ218" s="48">
        <v>0</v>
      </c>
      <c r="DA218" s="48">
        <v>0</v>
      </c>
      <c r="DB218" s="48">
        <v>0</v>
      </c>
      <c r="DC218" s="48">
        <v>0</v>
      </c>
      <c r="DD218" s="48">
        <v>0</v>
      </c>
      <c r="DE218" s="48">
        <f>VLOOKUP($C218,'[2]Analysis 1'!$C$5:$DG$1025,107,FALSE)</f>
        <v>0</v>
      </c>
      <c r="DF218" s="48">
        <f>VLOOKUP($C218,'[2]Analysis 1'!$C$5:$DG$1025,108,FALSE)</f>
        <v>0</v>
      </c>
      <c r="DG218" s="48">
        <f>VLOOKUP($C218,'[2]Analysis 1'!$C$5:$DG$1025,109,FALSE)</f>
        <v>0</v>
      </c>
      <c r="DH218" s="369">
        <f t="shared" si="6"/>
        <v>0</v>
      </c>
    </row>
    <row r="219" spans="1:112">
      <c r="A219" s="357" t="str">
        <f t="shared" si="5"/>
        <v>6400060</v>
      </c>
      <c r="B219" s="350" t="s">
        <v>2034</v>
      </c>
      <c r="C219" s="335" t="s">
        <v>1121</v>
      </c>
      <c r="D219" s="367">
        <v>51516.31</v>
      </c>
      <c r="E219" s="367">
        <v>50210.61</v>
      </c>
      <c r="F219" s="367">
        <v>28421.52</v>
      </c>
      <c r="G219" s="367">
        <v>20697.46</v>
      </c>
      <c r="H219" s="367">
        <v>67028.649999999994</v>
      </c>
      <c r="I219" s="367">
        <v>55957.760000000002</v>
      </c>
      <c r="J219" s="367">
        <v>15258.55</v>
      </c>
      <c r="K219" s="367">
        <v>21487.22</v>
      </c>
      <c r="L219" s="367">
        <v>102639.87</v>
      </c>
      <c r="M219" s="367">
        <v>67207.08</v>
      </c>
      <c r="N219" s="367">
        <v>35531.599999999999</v>
      </c>
      <c r="O219" s="368">
        <v>72754.84</v>
      </c>
      <c r="P219" s="48">
        <v>25184.11</v>
      </c>
      <c r="Q219" s="48">
        <v>34699.97</v>
      </c>
      <c r="R219" s="48">
        <v>18006.73</v>
      </c>
      <c r="S219" s="48">
        <v>58985.06</v>
      </c>
      <c r="T219" s="48">
        <v>53654.68</v>
      </c>
      <c r="U219" s="48">
        <v>32094.37</v>
      </c>
      <c r="V219" s="48">
        <v>100394.81</v>
      </c>
      <c r="W219" s="48">
        <v>23364.97</v>
      </c>
      <c r="X219" s="48">
        <v>61049.1</v>
      </c>
      <c r="Y219" s="48">
        <v>101684.81</v>
      </c>
      <c r="Z219" s="48">
        <v>45797.69</v>
      </c>
      <c r="AA219" s="48">
        <v>88843.14</v>
      </c>
      <c r="AB219" s="48">
        <v>29990.21</v>
      </c>
      <c r="AC219" s="48">
        <v>67798.009999999995</v>
      </c>
      <c r="AD219" s="48">
        <v>57003.41</v>
      </c>
      <c r="AE219" s="48">
        <v>36139.47</v>
      </c>
      <c r="AF219" s="48">
        <v>65630.460000000006</v>
      </c>
      <c r="AG219" s="48">
        <v>56090.87</v>
      </c>
      <c r="AH219" s="48">
        <v>44639.37</v>
      </c>
      <c r="AI219" s="48">
        <v>84099.06</v>
      </c>
      <c r="AJ219" s="48">
        <v>40610.949999999997</v>
      </c>
      <c r="AK219" s="48">
        <v>52495.58</v>
      </c>
      <c r="AL219" s="48">
        <v>30154.77</v>
      </c>
      <c r="AM219" s="48">
        <v>36490.5</v>
      </c>
      <c r="AN219" s="48">
        <v>2797.38</v>
      </c>
      <c r="AO219" s="48">
        <v>6077.08</v>
      </c>
      <c r="AP219" s="48">
        <v>28654.78</v>
      </c>
      <c r="AQ219" s="48">
        <v>2257.1799999999998</v>
      </c>
      <c r="AR219" s="48">
        <v>2472.85</v>
      </c>
      <c r="AS219" s="48">
        <v>11189.43</v>
      </c>
      <c r="AT219" s="48">
        <v>4153.9799999999996</v>
      </c>
      <c r="AU219" s="48">
        <v>4168.82</v>
      </c>
      <c r="AV219" s="48">
        <v>4536.13</v>
      </c>
      <c r="AW219" s="48">
        <v>4037.46</v>
      </c>
      <c r="AX219" s="48">
        <v>4250.32</v>
      </c>
      <c r="AY219" s="48">
        <v>2575.6799999999998</v>
      </c>
      <c r="AZ219" s="48">
        <v>2104.8200000000002</v>
      </c>
      <c r="BA219" s="48">
        <v>1766.31</v>
      </c>
      <c r="BB219" s="48">
        <v>2325.38</v>
      </c>
      <c r="BC219" s="48">
        <v>4417.07</v>
      </c>
      <c r="BD219" s="48">
        <v>4934.4799999999996</v>
      </c>
      <c r="BE219" s="48">
        <v>2938.25</v>
      </c>
      <c r="BF219" s="48">
        <v>2152.15</v>
      </c>
      <c r="BG219" s="48">
        <v>2701.76</v>
      </c>
      <c r="BH219" s="48">
        <v>2957.12</v>
      </c>
      <c r="BI219" s="48">
        <v>6518</v>
      </c>
      <c r="BJ219" s="48">
        <v>2093.59</v>
      </c>
      <c r="BK219" s="48">
        <v>3031.16</v>
      </c>
      <c r="BL219" s="48">
        <v>11001.94</v>
      </c>
      <c r="BM219" s="48">
        <v>2728.13</v>
      </c>
      <c r="BN219" s="48">
        <v>2308.42</v>
      </c>
      <c r="BO219" s="48">
        <v>2430.61</v>
      </c>
      <c r="BP219" s="48">
        <v>2734.42</v>
      </c>
      <c r="BQ219" s="48">
        <v>5909.83</v>
      </c>
      <c r="BR219" s="48">
        <v>-522.36</v>
      </c>
      <c r="BS219" s="48">
        <v>2385.65</v>
      </c>
      <c r="BT219" s="48">
        <v>3012.31</v>
      </c>
      <c r="BU219" s="48">
        <v>5122.41</v>
      </c>
      <c r="BV219" s="48">
        <v>1211.8800000000001</v>
      </c>
      <c r="BW219" s="48">
        <v>4354.2299999999996</v>
      </c>
      <c r="BX219" s="48">
        <v>5895.93</v>
      </c>
      <c r="BY219" s="48">
        <v>768.59</v>
      </c>
      <c r="BZ219" s="48">
        <v>3076.61</v>
      </c>
      <c r="CA219" s="48">
        <v>2548.9699999999998</v>
      </c>
      <c r="CB219" s="48">
        <v>2880.33</v>
      </c>
      <c r="CC219" s="48">
        <v>1412.08</v>
      </c>
      <c r="CD219" s="48">
        <v>4518.3500000000004</v>
      </c>
      <c r="CE219" s="48">
        <v>6890.35</v>
      </c>
      <c r="CF219" s="48">
        <v>1702.31</v>
      </c>
      <c r="CG219" s="48">
        <v>1750.98</v>
      </c>
      <c r="CH219" s="48">
        <v>521.70000000000005</v>
      </c>
      <c r="CI219" s="48">
        <v>1679.4</v>
      </c>
      <c r="CJ219" s="48">
        <v>6396.43</v>
      </c>
      <c r="CK219" s="48">
        <v>3231.97</v>
      </c>
      <c r="CL219" s="48">
        <v>1048.6099999999999</v>
      </c>
      <c r="CM219" s="48">
        <v>2215.1999999999998</v>
      </c>
      <c r="CN219" s="48">
        <v>4066.47</v>
      </c>
      <c r="CO219" s="48">
        <v>3825.85</v>
      </c>
      <c r="CP219" s="48">
        <v>2242.44</v>
      </c>
      <c r="CQ219" s="48">
        <v>6391.32</v>
      </c>
      <c r="CR219" s="48">
        <v>3197.14</v>
      </c>
      <c r="CS219" s="48">
        <v>1942.11</v>
      </c>
      <c r="CT219" s="48">
        <v>2816.38</v>
      </c>
      <c r="CU219" s="48">
        <v>3100.44</v>
      </c>
      <c r="CV219" s="48">
        <v>4265.41</v>
      </c>
      <c r="CW219" s="48">
        <v>1394.11</v>
      </c>
      <c r="CX219" s="48">
        <v>-3014.55</v>
      </c>
      <c r="CY219" s="48">
        <v>2751.07</v>
      </c>
      <c r="CZ219" s="48">
        <v>2421.35</v>
      </c>
      <c r="DA219" s="48">
        <v>3062.64</v>
      </c>
      <c r="DB219" s="48">
        <v>1965.29</v>
      </c>
      <c r="DC219" s="48">
        <v>3364.31</v>
      </c>
      <c r="DD219" s="48">
        <v>2101.92</v>
      </c>
      <c r="DE219" s="48">
        <f>VLOOKUP($C219,'[2]Analysis 1'!$C$5:$DG$1025,107,FALSE)</f>
        <v>1557.95</v>
      </c>
      <c r="DF219" s="48">
        <f>VLOOKUP($C219,'[2]Analysis 1'!$C$5:$DG$1025,108,FALSE)</f>
        <v>1888.88</v>
      </c>
      <c r="DG219" s="48">
        <f>VLOOKUP($C219,'[2]Analysis 1'!$C$5:$DG$1025,109,FALSE)</f>
        <v>1430.22</v>
      </c>
      <c r="DH219" s="369">
        <f t="shared" si="6"/>
        <v>23188.600000000002</v>
      </c>
    </row>
    <row r="220" spans="1:112">
      <c r="A220" s="357" t="str">
        <f t="shared" si="5"/>
        <v>6400070</v>
      </c>
      <c r="B220" s="350" t="s">
        <v>2035</v>
      </c>
      <c r="C220" s="335" t="s">
        <v>1122</v>
      </c>
      <c r="D220" s="340">
        <v>5079.3500000000004</v>
      </c>
      <c r="E220" s="340">
        <v>14155.06</v>
      </c>
      <c r="F220" s="340">
        <v>2316.86</v>
      </c>
      <c r="G220" s="340">
        <v>5412.14</v>
      </c>
      <c r="H220" s="340">
        <v>6259.31</v>
      </c>
      <c r="I220" s="340">
        <v>3929.48</v>
      </c>
      <c r="J220" s="340">
        <v>2823.41</v>
      </c>
      <c r="K220" s="340">
        <v>8236.89</v>
      </c>
      <c r="L220" s="340">
        <v>3411.09</v>
      </c>
      <c r="M220" s="340">
        <v>4925.08</v>
      </c>
      <c r="N220" s="340">
        <v>9135.19</v>
      </c>
      <c r="O220" s="341">
        <v>2378.16</v>
      </c>
      <c r="P220" s="48">
        <v>10665.16</v>
      </c>
      <c r="Q220" s="48">
        <v>2514.88</v>
      </c>
      <c r="R220" s="48">
        <v>2889.04</v>
      </c>
      <c r="S220" s="48">
        <v>1605.72</v>
      </c>
      <c r="T220" s="48">
        <v>3587.7</v>
      </c>
      <c r="U220" s="48">
        <v>8145.14</v>
      </c>
      <c r="V220" s="48">
        <v>2431.94</v>
      </c>
      <c r="W220" s="48">
        <v>379.31</v>
      </c>
      <c r="X220" s="48">
        <v>10438.99</v>
      </c>
      <c r="Y220" s="48">
        <v>10052.34</v>
      </c>
      <c r="Z220" s="48">
        <v>17512.27</v>
      </c>
      <c r="AA220" s="48">
        <v>12620.32</v>
      </c>
      <c r="AB220" s="48">
        <v>9369.2199999999993</v>
      </c>
      <c r="AC220" s="48">
        <v>13044.06</v>
      </c>
      <c r="AD220" s="48">
        <v>6800.26</v>
      </c>
      <c r="AE220" s="48">
        <v>2882.38</v>
      </c>
      <c r="AF220" s="48">
        <v>4228.2299999999996</v>
      </c>
      <c r="AG220" s="48">
        <v>6527.87</v>
      </c>
      <c r="AH220" s="48">
        <v>10158.75</v>
      </c>
      <c r="AI220" s="48">
        <v>10426.73</v>
      </c>
      <c r="AJ220" s="48">
        <v>7853.2</v>
      </c>
      <c r="AK220" s="48">
        <v>12274.71</v>
      </c>
      <c r="AL220" s="48">
        <v>12665.66</v>
      </c>
      <c r="AM220" s="48">
        <v>7675.62</v>
      </c>
      <c r="AN220" s="48">
        <v>3941.17</v>
      </c>
      <c r="AO220" s="48">
        <v>4611.17</v>
      </c>
      <c r="AP220" s="48">
        <v>20343.11</v>
      </c>
      <c r="AQ220" s="48">
        <v>5028.2</v>
      </c>
      <c r="AR220" s="48">
        <v>24775.15</v>
      </c>
      <c r="AS220" s="48">
        <v>22786.54</v>
      </c>
      <c r="AT220" s="48">
        <v>3224.83</v>
      </c>
      <c r="AU220" s="48">
        <v>4838.1400000000003</v>
      </c>
      <c r="AV220" s="48">
        <v>12467.73</v>
      </c>
      <c r="AW220" s="48">
        <v>10652.15</v>
      </c>
      <c r="AX220" s="48">
        <v>3250.04</v>
      </c>
      <c r="AY220" s="48">
        <v>19886.52</v>
      </c>
      <c r="AZ220" s="48">
        <v>21337.19</v>
      </c>
      <c r="BA220" s="48">
        <v>70232.12</v>
      </c>
      <c r="BB220" s="48">
        <v>5394.94</v>
      </c>
      <c r="BC220" s="48">
        <v>3356.5</v>
      </c>
      <c r="BD220" s="48">
        <v>16940.53</v>
      </c>
      <c r="BE220" s="48">
        <v>4316.74</v>
      </c>
      <c r="BF220" s="48">
        <v>6758.11</v>
      </c>
      <c r="BG220" s="48">
        <v>4121.03</v>
      </c>
      <c r="BH220" s="48">
        <v>2563.23</v>
      </c>
      <c r="BI220" s="48">
        <v>5299.41</v>
      </c>
      <c r="BJ220" s="48">
        <v>17058.8</v>
      </c>
      <c r="BK220" s="48">
        <v>16769.52</v>
      </c>
      <c r="BL220" s="48">
        <v>4486.09</v>
      </c>
      <c r="BM220" s="48">
        <v>11106.36</v>
      </c>
      <c r="BN220" s="48">
        <v>13855.78</v>
      </c>
      <c r="BO220" s="48">
        <v>6728.34</v>
      </c>
      <c r="BP220" s="48">
        <v>9187.1</v>
      </c>
      <c r="BQ220" s="48">
        <v>2932.87</v>
      </c>
      <c r="BR220" s="48">
        <v>3966.98</v>
      </c>
      <c r="BS220" s="48">
        <v>5712.92</v>
      </c>
      <c r="BT220" s="48">
        <v>10553.84</v>
      </c>
      <c r="BU220" s="48">
        <v>22310.84</v>
      </c>
      <c r="BV220" s="48">
        <v>764.59</v>
      </c>
      <c r="BW220" s="48">
        <v>12667.24</v>
      </c>
      <c r="BX220" s="48">
        <v>18356.02</v>
      </c>
      <c r="BY220" s="48">
        <v>13929.51</v>
      </c>
      <c r="BZ220" s="48">
        <v>6289.38</v>
      </c>
      <c r="CA220" s="48">
        <v>7939.36</v>
      </c>
      <c r="CB220" s="48">
        <v>80183.94</v>
      </c>
      <c r="CC220" s="48">
        <v>85886.18</v>
      </c>
      <c r="CD220" s="48">
        <v>9066.68</v>
      </c>
      <c r="CE220" s="48">
        <v>4779.26</v>
      </c>
      <c r="CF220" s="48">
        <v>5708.16</v>
      </c>
      <c r="CG220" s="48">
        <v>11160.78</v>
      </c>
      <c r="CH220" s="48">
        <v>8781.0300000000007</v>
      </c>
      <c r="CI220" s="48">
        <v>4235.91</v>
      </c>
      <c r="CJ220" s="48">
        <v>5983.46</v>
      </c>
      <c r="CK220" s="48">
        <v>20117.11</v>
      </c>
      <c r="CL220" s="48">
        <v>4552.57</v>
      </c>
      <c r="CM220" s="48">
        <v>31633.7</v>
      </c>
      <c r="CN220" s="48">
        <v>20291.13</v>
      </c>
      <c r="CO220" s="48">
        <v>5820.95</v>
      </c>
      <c r="CP220" s="48">
        <v>4516.37</v>
      </c>
      <c r="CQ220" s="48">
        <v>2019.85</v>
      </c>
      <c r="CR220" s="48">
        <v>6353.46</v>
      </c>
      <c r="CS220" s="48">
        <v>8894.76</v>
      </c>
      <c r="CT220" s="48">
        <v>227058.51</v>
      </c>
      <c r="CU220" s="48">
        <v>21430.35</v>
      </c>
      <c r="CV220" s="48">
        <v>11645.38</v>
      </c>
      <c r="CW220" s="48">
        <v>14712.72</v>
      </c>
      <c r="CX220" s="48">
        <v>15840.8</v>
      </c>
      <c r="CY220" s="48">
        <v>6782.9</v>
      </c>
      <c r="CZ220" s="48">
        <v>21342.639999999999</v>
      </c>
      <c r="DA220" s="48">
        <v>7850.54</v>
      </c>
      <c r="DB220" s="48">
        <v>15738.5</v>
      </c>
      <c r="DC220" s="48">
        <v>7797.03</v>
      </c>
      <c r="DD220" s="48">
        <v>2221.7800000000002</v>
      </c>
      <c r="DE220" s="48">
        <f>VLOOKUP($C220,'[2]Analysis 1'!$C$5:$DG$1025,107,FALSE)</f>
        <v>7444.85</v>
      </c>
      <c r="DF220" s="48">
        <f>VLOOKUP($C220,'[2]Analysis 1'!$C$5:$DG$1025,108,FALSE)</f>
        <v>10421.299999999999</v>
      </c>
      <c r="DG220" s="48">
        <f>VLOOKUP($C220,'[2]Analysis 1'!$C$5:$DG$1025,109,FALSE)</f>
        <v>116023.16</v>
      </c>
      <c r="DH220" s="369">
        <f t="shared" si="6"/>
        <v>237821.6</v>
      </c>
    </row>
    <row r="221" spans="1:112">
      <c r="A221" s="357" t="str">
        <f t="shared" si="5"/>
        <v>6400080</v>
      </c>
      <c r="B221" s="350" t="s">
        <v>2036</v>
      </c>
      <c r="C221" s="335" t="s">
        <v>1123</v>
      </c>
      <c r="D221" s="367">
        <v>22751.82</v>
      </c>
      <c r="E221" s="367">
        <v>24321.91</v>
      </c>
      <c r="F221" s="367">
        <v>35729.620000000003</v>
      </c>
      <c r="G221" s="367">
        <v>20301.310000000001</v>
      </c>
      <c r="H221" s="367">
        <v>588.9</v>
      </c>
      <c r="I221" s="367">
        <v>6639.82</v>
      </c>
      <c r="J221" s="367">
        <v>3576.89</v>
      </c>
      <c r="K221" s="367">
        <v>25448.18</v>
      </c>
      <c r="L221" s="367">
        <v>31390.14</v>
      </c>
      <c r="M221" s="367">
        <v>18962.95</v>
      </c>
      <c r="N221" s="367">
        <v>17207.39</v>
      </c>
      <c r="O221" s="368">
        <v>13948.32</v>
      </c>
      <c r="P221" s="48">
        <v>11696.42</v>
      </c>
      <c r="Q221" s="48">
        <v>10989</v>
      </c>
      <c r="R221" s="48">
        <v>10652.99</v>
      </c>
      <c r="S221" s="48">
        <v>12982.01</v>
      </c>
      <c r="T221" s="48">
        <v>14079.39</v>
      </c>
      <c r="U221" s="48">
        <v>17919.349999999999</v>
      </c>
      <c r="V221" s="48">
        <v>14370.34</v>
      </c>
      <c r="W221" s="48">
        <v>11217.3</v>
      </c>
      <c r="X221" s="48">
        <v>12292.5</v>
      </c>
      <c r="Y221" s="48">
        <v>260.57</v>
      </c>
      <c r="Z221" s="48">
        <v>1368.87</v>
      </c>
      <c r="AA221" s="48">
        <v>1550.5</v>
      </c>
      <c r="AB221" s="48">
        <v>948</v>
      </c>
      <c r="AC221" s="48">
        <v>1826.91</v>
      </c>
      <c r="AD221" s="48">
        <v>979.98</v>
      </c>
      <c r="AE221" s="48">
        <v>1539.65</v>
      </c>
      <c r="AF221" s="48">
        <v>773.05</v>
      </c>
      <c r="AG221" s="48">
        <v>1944</v>
      </c>
      <c r="AH221" s="48">
        <v>2185.12</v>
      </c>
      <c r="AI221" s="48">
        <v>2430.5100000000002</v>
      </c>
      <c r="AJ221" s="48">
        <v>999.89</v>
      </c>
      <c r="AK221" s="48">
        <v>1023.39</v>
      </c>
      <c r="AL221" s="48">
        <v>1229.6500000000001</v>
      </c>
      <c r="AM221" s="48">
        <v>1617.21</v>
      </c>
      <c r="AN221" s="48">
        <v>553</v>
      </c>
      <c r="AO221" s="48">
        <v>1136</v>
      </c>
      <c r="AP221" s="48">
        <v>992.79</v>
      </c>
      <c r="AQ221" s="48">
        <v>510.79</v>
      </c>
      <c r="AR221" s="48">
        <v>3539.88</v>
      </c>
      <c r="AS221" s="48">
        <v>1257.24</v>
      </c>
      <c r="AT221" s="48">
        <v>430.69</v>
      </c>
      <c r="AU221" s="48">
        <v>600.4</v>
      </c>
      <c r="AV221" s="48">
        <v>884.27</v>
      </c>
      <c r="AW221" s="48">
        <v>4299.07</v>
      </c>
      <c r="AX221" s="48">
        <v>1604.05</v>
      </c>
      <c r="AY221" s="48">
        <v>9831.17</v>
      </c>
      <c r="AZ221" s="48">
        <v>442</v>
      </c>
      <c r="BA221" s="48">
        <v>1122.04</v>
      </c>
      <c r="BB221" s="48">
        <v>839.13</v>
      </c>
      <c r="BC221" s="48">
        <v>1685.08</v>
      </c>
      <c r="BD221" s="48">
        <v>1299.03</v>
      </c>
      <c r="BE221" s="48">
        <v>6505.62</v>
      </c>
      <c r="BF221" s="48">
        <v>1273.8900000000001</v>
      </c>
      <c r="BG221" s="48">
        <v>-3696.17</v>
      </c>
      <c r="BH221" s="48">
        <v>1190.23</v>
      </c>
      <c r="BI221" s="48">
        <v>5402.82</v>
      </c>
      <c r="BJ221" s="48">
        <v>2810.76</v>
      </c>
      <c r="BK221" s="48">
        <v>43405.08</v>
      </c>
      <c r="BL221" s="48">
        <v>5800.3</v>
      </c>
      <c r="BM221" s="48">
        <v>1640.11</v>
      </c>
      <c r="BN221" s="48">
        <v>1912.48</v>
      </c>
      <c r="BO221" s="48">
        <v>1761.07</v>
      </c>
      <c r="BP221" s="48">
        <v>1343.8</v>
      </c>
      <c r="BQ221" s="48">
        <v>2153.89</v>
      </c>
      <c r="BR221" s="48">
        <v>7251.48</v>
      </c>
      <c r="BS221" s="48">
        <v>2732.99</v>
      </c>
      <c r="BT221" s="48">
        <v>2097.9699999999998</v>
      </c>
      <c r="BU221" s="48">
        <v>2020.46</v>
      </c>
      <c r="BV221" s="48">
        <v>693.45</v>
      </c>
      <c r="BW221" s="48">
        <v>1715.61</v>
      </c>
      <c r="BX221" s="48">
        <v>99</v>
      </c>
      <c r="BY221" s="48">
        <v>1033.54</v>
      </c>
      <c r="BZ221" s="48">
        <v>506.61</v>
      </c>
      <c r="CA221" s="48">
        <v>566.91999999999996</v>
      </c>
      <c r="CB221" s="48">
        <v>1585</v>
      </c>
      <c r="CC221" s="48">
        <v>2426.0100000000002</v>
      </c>
      <c r="CD221" s="48">
        <v>3422.23</v>
      </c>
      <c r="CE221" s="48">
        <v>6034.97</v>
      </c>
      <c r="CF221" s="48">
        <v>772.62</v>
      </c>
      <c r="CG221" s="48">
        <v>615.97</v>
      </c>
      <c r="CH221" s="48">
        <v>1170.71</v>
      </c>
      <c r="CI221" s="48">
        <v>1060.3699999999999</v>
      </c>
      <c r="CJ221" s="48">
        <v>81.790000000000006</v>
      </c>
      <c r="CK221" s="48">
        <v>816.27</v>
      </c>
      <c r="CL221" s="48">
        <v>1366.54</v>
      </c>
      <c r="CM221" s="48">
        <v>1157.18</v>
      </c>
      <c r="CN221" s="48">
        <v>4505.79</v>
      </c>
      <c r="CO221" s="48">
        <v>4118.76</v>
      </c>
      <c r="CP221" s="48">
        <v>2788.33</v>
      </c>
      <c r="CQ221" s="48">
        <v>5531.82</v>
      </c>
      <c r="CR221" s="48">
        <v>1270.1500000000001</v>
      </c>
      <c r="CS221" s="48">
        <v>1414.54</v>
      </c>
      <c r="CT221" s="48">
        <v>1844.6</v>
      </c>
      <c r="CU221" s="48">
        <v>5368.04</v>
      </c>
      <c r="CV221" s="48">
        <v>1971.52</v>
      </c>
      <c r="CW221" s="48">
        <v>1176.24</v>
      </c>
      <c r="CX221" s="48">
        <v>1169.55</v>
      </c>
      <c r="CY221" s="48">
        <v>1264.45</v>
      </c>
      <c r="CZ221" s="48">
        <v>2163.46</v>
      </c>
      <c r="DA221" s="48">
        <v>6022.67</v>
      </c>
      <c r="DB221" s="48">
        <v>6088.37</v>
      </c>
      <c r="DC221" s="48">
        <v>2550.16</v>
      </c>
      <c r="DD221" s="48">
        <v>3257.7</v>
      </c>
      <c r="DE221" s="48">
        <f>VLOOKUP($C221,'[2]Analysis 1'!$C$5:$DG$1025,107,FALSE)</f>
        <v>1495.76</v>
      </c>
      <c r="DF221" s="48">
        <f>VLOOKUP($C221,'[2]Analysis 1'!$C$5:$DG$1025,108,FALSE)</f>
        <v>2819.87</v>
      </c>
      <c r="DG221" s="48">
        <f>VLOOKUP($C221,'[2]Analysis 1'!$C$5:$DG$1025,109,FALSE)</f>
        <v>2566.54</v>
      </c>
      <c r="DH221" s="369">
        <f t="shared" si="6"/>
        <v>32546.289999999997</v>
      </c>
    </row>
    <row r="222" spans="1:112">
      <c r="A222" s="357" t="str">
        <f t="shared" ref="A222:A291" si="7">+B222</f>
        <v>6400100</v>
      </c>
      <c r="B222" s="350" t="s">
        <v>2037</v>
      </c>
      <c r="C222" s="335" t="s">
        <v>1124</v>
      </c>
      <c r="D222" s="340">
        <v>642228.73</v>
      </c>
      <c r="E222" s="340">
        <v>323335.33</v>
      </c>
      <c r="F222" s="340">
        <v>493114.24</v>
      </c>
      <c r="G222" s="340">
        <v>723222.93</v>
      </c>
      <c r="H222" s="340">
        <v>772048.62</v>
      </c>
      <c r="I222" s="340">
        <v>631826.17000000004</v>
      </c>
      <c r="J222" s="340">
        <v>1444557.23</v>
      </c>
      <c r="K222" s="340">
        <v>669659.49</v>
      </c>
      <c r="L222" s="340">
        <v>598351.24</v>
      </c>
      <c r="M222" s="340">
        <v>1330511.17</v>
      </c>
      <c r="N222" s="340">
        <v>860466.05</v>
      </c>
      <c r="O222" s="341">
        <v>1659423.58</v>
      </c>
      <c r="P222" s="48">
        <v>638872.13</v>
      </c>
      <c r="Q222" s="48">
        <v>472564.45</v>
      </c>
      <c r="R222" s="48">
        <v>1179066.83</v>
      </c>
      <c r="S222" s="48">
        <v>848353.11</v>
      </c>
      <c r="T222" s="48">
        <v>1672124.57</v>
      </c>
      <c r="U222" s="48">
        <v>1124284.6200000001</v>
      </c>
      <c r="V222" s="48">
        <v>1146352.55</v>
      </c>
      <c r="W222" s="48">
        <v>660463.18999999994</v>
      </c>
      <c r="X222" s="48">
        <v>1045720.19</v>
      </c>
      <c r="Y222" s="48">
        <v>1288356.43</v>
      </c>
      <c r="Z222" s="48">
        <v>1980547.07</v>
      </c>
      <c r="AA222" s="48">
        <v>3103931.57</v>
      </c>
      <c r="AB222" s="48">
        <v>330056.65999999997</v>
      </c>
      <c r="AC222" s="48">
        <v>995195.71</v>
      </c>
      <c r="AD222" s="48">
        <v>1526984.74</v>
      </c>
      <c r="AE222" s="48">
        <v>976204.11</v>
      </c>
      <c r="AF222" s="48">
        <v>994575.7</v>
      </c>
      <c r="AG222" s="48">
        <v>2054497.62</v>
      </c>
      <c r="AH222" s="48">
        <v>1035393.03</v>
      </c>
      <c r="AI222" s="48">
        <v>1616548.84</v>
      </c>
      <c r="AJ222" s="48">
        <v>1423807.71</v>
      </c>
      <c r="AK222" s="48">
        <v>1427223.63</v>
      </c>
      <c r="AL222" s="48">
        <v>1425455.25</v>
      </c>
      <c r="AM222" s="48">
        <v>2636591.65</v>
      </c>
      <c r="AN222" s="48">
        <v>865147.74</v>
      </c>
      <c r="AO222" s="48">
        <v>1182371.43</v>
      </c>
      <c r="AP222" s="48">
        <v>1375667.61</v>
      </c>
      <c r="AQ222" s="48">
        <v>833520.78</v>
      </c>
      <c r="AR222" s="48">
        <v>2116793.85</v>
      </c>
      <c r="AS222" s="48">
        <v>1662189.4</v>
      </c>
      <c r="AT222" s="48">
        <v>1856104.62</v>
      </c>
      <c r="AU222" s="48">
        <v>2020065.54</v>
      </c>
      <c r="AV222" s="48">
        <v>2186907.9900000002</v>
      </c>
      <c r="AW222" s="48">
        <v>1580372.81</v>
      </c>
      <c r="AX222" s="48">
        <v>1413647.46</v>
      </c>
      <c r="AY222" s="48">
        <v>2057608.6</v>
      </c>
      <c r="AZ222" s="48">
        <v>920006.98</v>
      </c>
      <c r="BA222" s="48">
        <v>781255.42</v>
      </c>
      <c r="BB222" s="48">
        <v>2211066.85</v>
      </c>
      <c r="BC222" s="48">
        <v>1184531.42</v>
      </c>
      <c r="BD222" s="48">
        <v>2851367.79</v>
      </c>
      <c r="BE222" s="48">
        <v>1649932.65</v>
      </c>
      <c r="BF222" s="48">
        <v>1350621.55</v>
      </c>
      <c r="BG222" s="48">
        <v>2237110.2400000002</v>
      </c>
      <c r="BH222" s="48">
        <v>3720138.28</v>
      </c>
      <c r="BI222" s="48">
        <v>1431995.37</v>
      </c>
      <c r="BJ222" s="48">
        <v>2501664.0699999998</v>
      </c>
      <c r="BK222" s="48">
        <v>2109160.98</v>
      </c>
      <c r="BL222" s="48">
        <v>1467964.73</v>
      </c>
      <c r="BM222" s="48">
        <v>1586384.62</v>
      </c>
      <c r="BN222" s="48">
        <v>3059123.49</v>
      </c>
      <c r="BO222" s="48">
        <v>1741223.19</v>
      </c>
      <c r="BP222" s="48">
        <v>2214510.33</v>
      </c>
      <c r="BQ222" s="48">
        <v>2565375.2200000002</v>
      </c>
      <c r="BR222" s="48">
        <v>2988280.27</v>
      </c>
      <c r="BS222" s="48">
        <v>2082331.87</v>
      </c>
      <c r="BT222" s="48">
        <v>1555801.95</v>
      </c>
      <c r="BU222" s="48">
        <v>2951148.72</v>
      </c>
      <c r="BV222" s="48">
        <v>1554136.29</v>
      </c>
      <c r="BW222" s="48">
        <v>2826343.14</v>
      </c>
      <c r="BX222" s="48">
        <v>3154882.96</v>
      </c>
      <c r="BY222" s="48">
        <v>1715611.21</v>
      </c>
      <c r="BZ222" s="48">
        <v>2116557.56</v>
      </c>
      <c r="CA222" s="48">
        <v>2946194.02</v>
      </c>
      <c r="CB222" s="48">
        <v>3471987.55</v>
      </c>
      <c r="CC222" s="48">
        <v>2151193.23</v>
      </c>
      <c r="CD222" s="48">
        <v>2714482.81</v>
      </c>
      <c r="CE222" s="48">
        <v>6576755.04</v>
      </c>
      <c r="CF222" s="48">
        <v>5043303.8899999997</v>
      </c>
      <c r="CG222" s="48">
        <v>3819233.41</v>
      </c>
      <c r="CH222" s="48">
        <v>4289050.97</v>
      </c>
      <c r="CI222" s="48">
        <v>4358261.0599999996</v>
      </c>
      <c r="CJ222" s="48">
        <v>2915113.16</v>
      </c>
      <c r="CK222" s="48">
        <v>1317847.68</v>
      </c>
      <c r="CL222" s="48">
        <v>2039596.36</v>
      </c>
      <c r="CM222" s="48">
        <v>2760289.77</v>
      </c>
      <c r="CN222" s="48">
        <v>2356080.7999999998</v>
      </c>
      <c r="CO222" s="48">
        <v>3854071.3</v>
      </c>
      <c r="CP222" s="48">
        <v>9825471.8300000001</v>
      </c>
      <c r="CQ222" s="48">
        <v>4032012.51</v>
      </c>
      <c r="CR222" s="48">
        <v>3228118.89</v>
      </c>
      <c r="CS222" s="48">
        <v>3721083.84</v>
      </c>
      <c r="CT222" s="48">
        <v>2996582.74</v>
      </c>
      <c r="CU222" s="48">
        <v>4080500.26</v>
      </c>
      <c r="CV222" s="48">
        <v>3026506.21</v>
      </c>
      <c r="CW222" s="48">
        <v>3204363.94</v>
      </c>
      <c r="CX222" s="48">
        <v>5500315.9800000004</v>
      </c>
      <c r="CY222" s="48">
        <v>3074265.21</v>
      </c>
      <c r="CZ222" s="48">
        <v>2944454.17</v>
      </c>
      <c r="DA222" s="48">
        <v>3882748.68</v>
      </c>
      <c r="DB222" s="48">
        <v>3358067.2</v>
      </c>
      <c r="DC222" s="48">
        <v>4346077.29</v>
      </c>
      <c r="DD222" s="48">
        <v>5800052.3200000003</v>
      </c>
      <c r="DE222" s="48">
        <f>VLOOKUP($C222,'[2]Analysis 1'!$C$5:$DG$1025,107,FALSE)</f>
        <v>3372911.6</v>
      </c>
      <c r="DF222" s="48">
        <f>VLOOKUP($C222,'[2]Analysis 1'!$C$5:$DG$1025,108,FALSE)</f>
        <v>2519871.94</v>
      </c>
      <c r="DG222" s="48">
        <f>VLOOKUP($C222,'[2]Analysis 1'!$C$5:$DG$1025,109,FALSE)</f>
        <v>5886892.3200000003</v>
      </c>
      <c r="DH222" s="369">
        <f t="shared" si="6"/>
        <v>46916526.859999999</v>
      </c>
    </row>
    <row r="223" spans="1:112">
      <c r="A223" s="357" t="str">
        <f t="shared" si="7"/>
        <v>6400500</v>
      </c>
      <c r="B223" s="350" t="s">
        <v>2038</v>
      </c>
      <c r="C223" s="335" t="s">
        <v>1125</v>
      </c>
      <c r="D223" s="367">
        <v>114911.83</v>
      </c>
      <c r="E223" s="367">
        <v>181984.01</v>
      </c>
      <c r="F223" s="367">
        <v>105354.58</v>
      </c>
      <c r="G223" s="367">
        <v>174628.67</v>
      </c>
      <c r="H223" s="367">
        <v>86705.13</v>
      </c>
      <c r="I223" s="367">
        <v>102941.39</v>
      </c>
      <c r="J223" s="367">
        <v>104147.84</v>
      </c>
      <c r="K223" s="367">
        <v>76320.990000000005</v>
      </c>
      <c r="L223" s="367">
        <v>55573.24</v>
      </c>
      <c r="M223" s="367">
        <v>101729.55</v>
      </c>
      <c r="N223" s="367">
        <v>37375.040000000001</v>
      </c>
      <c r="O223" s="368">
        <v>59534.1</v>
      </c>
      <c r="P223" s="48">
        <v>38075.769999999997</v>
      </c>
      <c r="Q223" s="48">
        <v>19002.349999999999</v>
      </c>
      <c r="R223" s="48">
        <v>37511.370000000003</v>
      </c>
      <c r="S223" s="48">
        <v>57307.92</v>
      </c>
      <c r="T223" s="48">
        <v>24837.63</v>
      </c>
      <c r="U223" s="48">
        <v>54980.77</v>
      </c>
      <c r="V223" s="48">
        <v>18599.740000000002</v>
      </c>
      <c r="W223" s="48">
        <v>19114.73</v>
      </c>
      <c r="X223" s="48">
        <v>78027.509999999995</v>
      </c>
      <c r="Y223" s="48">
        <v>100304.99</v>
      </c>
      <c r="Z223" s="48">
        <v>33893.53</v>
      </c>
      <c r="AA223" s="48">
        <v>109563.97</v>
      </c>
      <c r="AB223" s="48">
        <v>20659.12</v>
      </c>
      <c r="AC223" s="48">
        <v>83940.75</v>
      </c>
      <c r="AD223" s="48">
        <v>49621.73</v>
      </c>
      <c r="AE223" s="48">
        <v>25039.45</v>
      </c>
      <c r="AF223" s="48">
        <v>37631.440000000002</v>
      </c>
      <c r="AG223" s="48">
        <v>30874.59</v>
      </c>
      <c r="AH223" s="48">
        <v>18214.27</v>
      </c>
      <c r="AI223" s="48">
        <v>55886.78</v>
      </c>
      <c r="AJ223" s="48">
        <v>30707.72</v>
      </c>
      <c r="AK223" s="48">
        <v>24696.02</v>
      </c>
      <c r="AL223" s="48">
        <v>28882.46</v>
      </c>
      <c r="AM223" s="48">
        <v>39143.919999999998</v>
      </c>
      <c r="AN223" s="48">
        <v>6969.53</v>
      </c>
      <c r="AO223" s="48">
        <v>29418.32</v>
      </c>
      <c r="AP223" s="48">
        <v>31609.09</v>
      </c>
      <c r="AQ223" s="48">
        <v>12916.81</v>
      </c>
      <c r="AR223" s="48">
        <v>9367.1</v>
      </c>
      <c r="AS223" s="48">
        <v>12669.52</v>
      </c>
      <c r="AT223" s="48">
        <v>14661.99</v>
      </c>
      <c r="AU223" s="48">
        <v>16667.29</v>
      </c>
      <c r="AV223" s="48">
        <v>20691.02</v>
      </c>
      <c r="AW223" s="48">
        <v>18379.82</v>
      </c>
      <c r="AX223" s="48">
        <v>13196.68</v>
      </c>
      <c r="AY223" s="48">
        <v>32096.86</v>
      </c>
      <c r="AZ223" s="48">
        <v>3136.9</v>
      </c>
      <c r="BA223" s="48">
        <v>9472.94</v>
      </c>
      <c r="BB223" s="48">
        <v>5438.58</v>
      </c>
      <c r="BC223" s="48">
        <v>34642.43</v>
      </c>
      <c r="BD223" s="48">
        <v>11199.16</v>
      </c>
      <c r="BE223" s="48">
        <v>4050.69</v>
      </c>
      <c r="BF223" s="48">
        <v>145382.15</v>
      </c>
      <c r="BG223" s="48">
        <v>5138.05</v>
      </c>
      <c r="BH223" s="48">
        <v>19763.82</v>
      </c>
      <c r="BI223" s="48">
        <v>28534.98</v>
      </c>
      <c r="BJ223" s="48">
        <v>43735.86</v>
      </c>
      <c r="BK223" s="48">
        <v>37352.54</v>
      </c>
      <c r="BL223" s="48">
        <v>16384.810000000001</v>
      </c>
      <c r="BM223" s="48">
        <v>24967.72</v>
      </c>
      <c r="BN223" s="48">
        <v>13092.22</v>
      </c>
      <c r="BO223" s="48">
        <v>22414.18</v>
      </c>
      <c r="BP223" s="48">
        <v>18910.849999999999</v>
      </c>
      <c r="BQ223" s="48">
        <v>16391.43</v>
      </c>
      <c r="BR223" s="48">
        <v>28066.35</v>
      </c>
      <c r="BS223" s="48">
        <v>40906.07</v>
      </c>
      <c r="BT223" s="48">
        <v>12420.74</v>
      </c>
      <c r="BU223" s="48">
        <v>47834.74</v>
      </c>
      <c r="BV223" s="48">
        <v>11085.84</v>
      </c>
      <c r="BW223" s="48">
        <v>39367.449999999997</v>
      </c>
      <c r="BX223" s="48">
        <v>5416.97</v>
      </c>
      <c r="BY223" s="48">
        <v>40470.03</v>
      </c>
      <c r="BZ223" s="48">
        <v>28892.47</v>
      </c>
      <c r="CA223" s="48">
        <v>5309.17</v>
      </c>
      <c r="CB223" s="48">
        <v>8510.2800000000007</v>
      </c>
      <c r="CC223" s="48">
        <v>2179.5500000000002</v>
      </c>
      <c r="CD223" s="48">
        <v>82158.75</v>
      </c>
      <c r="CE223" s="48">
        <v>55830.98</v>
      </c>
      <c r="CF223" s="48">
        <v>18428.349999999999</v>
      </c>
      <c r="CG223" s="48">
        <v>26467.11</v>
      </c>
      <c r="CH223" s="48">
        <v>28809.68</v>
      </c>
      <c r="CI223" s="48">
        <v>33146.589999999997</v>
      </c>
      <c r="CJ223" s="48">
        <v>8970.7099999999991</v>
      </c>
      <c r="CK223" s="48">
        <v>17865.509999999998</v>
      </c>
      <c r="CL223" s="48">
        <v>37036.04</v>
      </c>
      <c r="CM223" s="48">
        <v>1806.68</v>
      </c>
      <c r="CN223" s="48">
        <v>11541.38</v>
      </c>
      <c r="CO223" s="48">
        <v>14895.86</v>
      </c>
      <c r="CP223" s="48">
        <v>37411</v>
      </c>
      <c r="CQ223" s="48">
        <v>3455.63</v>
      </c>
      <c r="CR223" s="48">
        <v>3907.54</v>
      </c>
      <c r="CS223" s="48">
        <v>7041.16</v>
      </c>
      <c r="CT223" s="48">
        <v>6053.83</v>
      </c>
      <c r="CU223" s="48">
        <v>9978.2000000000007</v>
      </c>
      <c r="CV223" s="48">
        <v>642.9</v>
      </c>
      <c r="CW223" s="48">
        <v>11045.33</v>
      </c>
      <c r="CX223" s="48">
        <v>7054.12</v>
      </c>
      <c r="CY223" s="48">
        <v>5179.2</v>
      </c>
      <c r="CZ223" s="48">
        <v>11840.77</v>
      </c>
      <c r="DA223" s="48">
        <v>3934.31</v>
      </c>
      <c r="DB223" s="48">
        <v>3625.98</v>
      </c>
      <c r="DC223" s="48">
        <v>4364.5600000000004</v>
      </c>
      <c r="DD223" s="48">
        <v>5960.52</v>
      </c>
      <c r="DE223" s="48">
        <f>VLOOKUP($C223,'[2]Analysis 1'!$C$5:$DG$1025,107,FALSE)</f>
        <v>10058.780000000001</v>
      </c>
      <c r="DF223" s="48">
        <f>VLOOKUP($C223,'[2]Analysis 1'!$C$5:$DG$1025,108,FALSE)</f>
        <v>4766.29</v>
      </c>
      <c r="DG223" s="48">
        <f>VLOOKUP($C223,'[2]Analysis 1'!$C$5:$DG$1025,109,FALSE)</f>
        <v>3373.96</v>
      </c>
      <c r="DH223" s="369">
        <f t="shared" si="6"/>
        <v>71846.720000000001</v>
      </c>
    </row>
    <row r="224" spans="1:112">
      <c r="A224" s="357" t="str">
        <f t="shared" si="7"/>
        <v>6400505</v>
      </c>
      <c r="B224" s="350" t="s">
        <v>2040</v>
      </c>
      <c r="C224" s="335" t="s">
        <v>1437</v>
      </c>
      <c r="D224" s="367"/>
      <c r="E224" s="367"/>
      <c r="F224" s="367"/>
      <c r="G224" s="367"/>
      <c r="H224" s="367"/>
      <c r="I224" s="367"/>
      <c r="J224" s="367"/>
      <c r="K224" s="367"/>
      <c r="L224" s="367"/>
      <c r="M224" s="367"/>
      <c r="N224" s="367"/>
      <c r="O224" s="368"/>
      <c r="P224" s="48"/>
      <c r="Q224" s="48"/>
      <c r="R224" s="48"/>
      <c r="S224" s="48"/>
      <c r="T224" s="48"/>
      <c r="U224" s="48"/>
      <c r="V224" s="48"/>
      <c r="W224" s="48"/>
      <c r="X224" s="48"/>
      <c r="Y224" s="48"/>
      <c r="Z224" s="48"/>
      <c r="AA224" s="48"/>
      <c r="AB224" s="48"/>
      <c r="AC224" s="48"/>
      <c r="AD224" s="48"/>
      <c r="AE224" s="48">
        <v>0</v>
      </c>
      <c r="AF224" s="48">
        <v>136.91999999999999</v>
      </c>
      <c r="AG224" s="48">
        <v>0</v>
      </c>
      <c r="AH224" s="48">
        <v>24.59</v>
      </c>
      <c r="AI224" s="48">
        <v>733.73</v>
      </c>
      <c r="AJ224" s="48">
        <v>146.04</v>
      </c>
      <c r="AK224" s="48">
        <v>48.15</v>
      </c>
      <c r="AL224" s="48">
        <v>44.35</v>
      </c>
      <c r="AM224" s="48">
        <v>219.99</v>
      </c>
      <c r="AN224" s="48">
        <v>0</v>
      </c>
      <c r="AO224" s="48">
        <v>2106.1999999999998</v>
      </c>
      <c r="AP224" s="48">
        <v>145.91999999999999</v>
      </c>
      <c r="AQ224" s="48">
        <v>0</v>
      </c>
      <c r="AR224" s="48">
        <v>0</v>
      </c>
      <c r="AS224" s="48">
        <v>0</v>
      </c>
      <c r="AT224" s="48">
        <v>75.61</v>
      </c>
      <c r="AU224" s="48">
        <v>0</v>
      </c>
      <c r="AV224" s="48">
        <v>566.84</v>
      </c>
      <c r="AW224" s="48">
        <v>0</v>
      </c>
      <c r="AX224" s="48">
        <v>0</v>
      </c>
      <c r="AY224" s="48">
        <v>0</v>
      </c>
      <c r="AZ224" s="48">
        <v>0</v>
      </c>
      <c r="BA224" s="48">
        <v>0</v>
      </c>
      <c r="BB224" s="48">
        <v>0</v>
      </c>
      <c r="BC224" s="48">
        <v>464.43</v>
      </c>
      <c r="BD224" s="48">
        <v>57.66</v>
      </c>
      <c r="BE224" s="48">
        <v>473.18</v>
      </c>
      <c r="BF224" s="48">
        <v>0</v>
      </c>
      <c r="BG224" s="48">
        <v>768.22</v>
      </c>
      <c r="BH224" s="48">
        <v>0</v>
      </c>
      <c r="BI224" s="48">
        <v>269.33999999999997</v>
      </c>
      <c r="BJ224" s="48">
        <v>0</v>
      </c>
      <c r="BK224" s="48">
        <v>359.43</v>
      </c>
      <c r="BL224" s="48">
        <v>0</v>
      </c>
      <c r="BM224" s="48">
        <v>119.63</v>
      </c>
      <c r="BN224" s="48">
        <v>17.079999999999998</v>
      </c>
      <c r="BO224" s="48">
        <v>48.15</v>
      </c>
      <c r="BP224" s="48">
        <v>0</v>
      </c>
      <c r="BQ224" s="48">
        <v>0</v>
      </c>
      <c r="BR224" s="48">
        <v>145.24</v>
      </c>
      <c r="BS224" s="48">
        <v>9.5399999999999991</v>
      </c>
      <c r="BT224" s="48">
        <v>50.11</v>
      </c>
      <c r="BU224" s="48">
        <v>235.46</v>
      </c>
      <c r="BV224" s="48">
        <v>224.8</v>
      </c>
      <c r="BW224" s="48">
        <v>104.28</v>
      </c>
      <c r="BX224" s="48">
        <v>0</v>
      </c>
      <c r="BY224" s="48">
        <v>721.64</v>
      </c>
      <c r="BZ224" s="48">
        <v>1779.87</v>
      </c>
      <c r="CA224" s="48">
        <v>112.77</v>
      </c>
      <c r="CB224" s="48">
        <v>4.79</v>
      </c>
      <c r="CC224" s="48">
        <v>10.67</v>
      </c>
      <c r="CD224" s="48">
        <v>161.56</v>
      </c>
      <c r="CE224" s="48">
        <v>0</v>
      </c>
      <c r="CF224" s="48">
        <v>0</v>
      </c>
      <c r="CG224" s="48">
        <v>0</v>
      </c>
      <c r="CH224" s="48">
        <v>0</v>
      </c>
      <c r="CI224" s="48">
        <v>0</v>
      </c>
      <c r="CJ224" s="48">
        <v>0</v>
      </c>
      <c r="CK224" s="48">
        <v>0</v>
      </c>
      <c r="CL224" s="48">
        <v>0</v>
      </c>
      <c r="CM224" s="48">
        <v>0</v>
      </c>
      <c r="CN224" s="48">
        <v>0</v>
      </c>
      <c r="CO224" s="48">
        <v>0</v>
      </c>
      <c r="CP224" s="48">
        <v>0</v>
      </c>
      <c r="CQ224" s="48">
        <v>0</v>
      </c>
      <c r="CR224" s="48">
        <v>0</v>
      </c>
      <c r="CS224" s="48">
        <v>0</v>
      </c>
      <c r="CT224" s="48">
        <v>0</v>
      </c>
      <c r="CU224" s="48">
        <v>0</v>
      </c>
      <c r="CV224" s="48">
        <v>0</v>
      </c>
      <c r="CW224" s="48">
        <v>0</v>
      </c>
      <c r="CX224" s="48">
        <v>0</v>
      </c>
      <c r="CY224" s="48">
        <v>0</v>
      </c>
      <c r="CZ224" s="48">
        <v>0</v>
      </c>
      <c r="DA224" s="48">
        <v>0</v>
      </c>
      <c r="DB224" s="48">
        <v>0</v>
      </c>
      <c r="DC224" s="48">
        <v>0</v>
      </c>
      <c r="DD224" s="48">
        <v>0</v>
      </c>
      <c r="DE224" s="48">
        <f>VLOOKUP($C224,'[2]Analysis 1'!$C$5:$DG$1025,107,FALSE)</f>
        <v>0</v>
      </c>
      <c r="DF224" s="48">
        <f>VLOOKUP($C224,'[2]Analysis 1'!$C$5:$DG$1025,108,FALSE)</f>
        <v>1622.38</v>
      </c>
      <c r="DG224" s="48">
        <f>VLOOKUP($C224,'[2]Analysis 1'!$C$5:$DG$1025,109,FALSE)</f>
        <v>0</v>
      </c>
      <c r="DH224" s="369">
        <f t="shared" si="6"/>
        <v>1622.38</v>
      </c>
    </row>
    <row r="225" spans="1:112">
      <c r="A225" s="357" t="str">
        <f t="shared" si="7"/>
        <v>6400510</v>
      </c>
      <c r="B225" s="350" t="s">
        <v>2039</v>
      </c>
      <c r="C225" s="335" t="s">
        <v>1126</v>
      </c>
      <c r="D225" s="367">
        <v>3981.7</v>
      </c>
      <c r="E225" s="367">
        <v>7733.5</v>
      </c>
      <c r="F225" s="367">
        <v>15644.96</v>
      </c>
      <c r="G225" s="367">
        <v>28317.68</v>
      </c>
      <c r="H225" s="367">
        <v>9703.16</v>
      </c>
      <c r="I225" s="367">
        <v>10492.62</v>
      </c>
      <c r="J225" s="367">
        <v>7449.85</v>
      </c>
      <c r="K225" s="367">
        <v>11307.68</v>
      </c>
      <c r="L225" s="367">
        <v>20275.59</v>
      </c>
      <c r="M225" s="367">
        <v>22273.91</v>
      </c>
      <c r="N225" s="367">
        <v>33518.46</v>
      </c>
      <c r="O225" s="368">
        <v>24759.360000000001</v>
      </c>
      <c r="P225" s="48">
        <v>5019.2700000000004</v>
      </c>
      <c r="Q225" s="48">
        <v>6927.76</v>
      </c>
      <c r="R225" s="48">
        <v>3541.29</v>
      </c>
      <c r="S225" s="48">
        <v>12914.75</v>
      </c>
      <c r="T225" s="48">
        <v>6312.45</v>
      </c>
      <c r="U225" s="48">
        <v>11106.31</v>
      </c>
      <c r="V225" s="48">
        <v>28188.92</v>
      </c>
      <c r="W225" s="48">
        <v>22559.599999999999</v>
      </c>
      <c r="X225" s="48">
        <v>7997.64</v>
      </c>
      <c r="Y225" s="48">
        <v>48056.29</v>
      </c>
      <c r="Z225" s="48">
        <v>38203.69</v>
      </c>
      <c r="AA225" s="48">
        <v>11609.43</v>
      </c>
      <c r="AB225" s="48">
        <v>2423.09</v>
      </c>
      <c r="AC225" s="48">
        <v>8447.7800000000007</v>
      </c>
      <c r="AD225" s="48">
        <v>10086.76</v>
      </c>
      <c r="AE225" s="48">
        <v>7694.67</v>
      </c>
      <c r="AF225" s="48">
        <v>40877.58</v>
      </c>
      <c r="AG225" s="48">
        <v>4772.0600000000004</v>
      </c>
      <c r="AH225" s="48">
        <v>5207.75</v>
      </c>
      <c r="AI225" s="48">
        <v>6549.53</v>
      </c>
      <c r="AJ225" s="48">
        <v>7670.58</v>
      </c>
      <c r="AK225" s="48">
        <v>4866.49</v>
      </c>
      <c r="AL225" s="48">
        <v>8505.68</v>
      </c>
      <c r="AM225" s="48">
        <v>39413.33</v>
      </c>
      <c r="AN225" s="48">
        <v>1634.6</v>
      </c>
      <c r="AO225" s="48">
        <v>6260.15</v>
      </c>
      <c r="AP225" s="48">
        <v>8642.93</v>
      </c>
      <c r="AQ225" s="48">
        <v>8129.78</v>
      </c>
      <c r="AR225" s="48">
        <v>9188.9</v>
      </c>
      <c r="AS225" s="48">
        <v>7479.1</v>
      </c>
      <c r="AT225" s="48">
        <v>5625.48</v>
      </c>
      <c r="AU225" s="48">
        <v>11046.4</v>
      </c>
      <c r="AV225" s="48">
        <v>6809.14</v>
      </c>
      <c r="AW225" s="48">
        <v>23730.76</v>
      </c>
      <c r="AX225" s="48">
        <v>5734.19</v>
      </c>
      <c r="AY225" s="48">
        <v>95362.42</v>
      </c>
      <c r="AZ225" s="48">
        <v>2624.87</v>
      </c>
      <c r="BA225" s="48">
        <v>6123.96</v>
      </c>
      <c r="BB225" s="48">
        <v>14602.43</v>
      </c>
      <c r="BC225" s="48">
        <v>13712.45</v>
      </c>
      <c r="BD225" s="48">
        <v>27541.599999999999</v>
      </c>
      <c r="BE225" s="48">
        <v>20492.07</v>
      </c>
      <c r="BF225" s="48">
        <v>152.11000000000001</v>
      </c>
      <c r="BG225" s="48">
        <v>6249.12</v>
      </c>
      <c r="BH225" s="48">
        <v>2395.0700000000002</v>
      </c>
      <c r="BI225" s="48">
        <v>14224.09</v>
      </c>
      <c r="BJ225" s="48">
        <v>12852.95</v>
      </c>
      <c r="BK225" s="48">
        <v>11989.6</v>
      </c>
      <c r="BL225" s="48">
        <v>33162.910000000003</v>
      </c>
      <c r="BM225" s="48">
        <v>6700.12</v>
      </c>
      <c r="BN225" s="48">
        <v>8288.9500000000007</v>
      </c>
      <c r="BO225" s="48">
        <v>1726.97</v>
      </c>
      <c r="BP225" s="48">
        <v>4003.59</v>
      </c>
      <c r="BQ225" s="48">
        <v>5119.93</v>
      </c>
      <c r="BR225" s="48">
        <v>35628.269999999997</v>
      </c>
      <c r="BS225" s="48">
        <v>6415.95</v>
      </c>
      <c r="BT225" s="48">
        <v>3338.01</v>
      </c>
      <c r="BU225" s="48">
        <v>7585.88</v>
      </c>
      <c r="BV225" s="48">
        <v>4741.74</v>
      </c>
      <c r="BW225" s="48">
        <v>11461.52</v>
      </c>
      <c r="BX225" s="48">
        <v>0</v>
      </c>
      <c r="BY225" s="48">
        <v>3613.78</v>
      </c>
      <c r="BZ225" s="48">
        <v>3537.6</v>
      </c>
      <c r="CA225" s="48">
        <v>4549.47</v>
      </c>
      <c r="CB225" s="48">
        <v>5251.71</v>
      </c>
      <c r="CC225" s="48">
        <v>3948.85</v>
      </c>
      <c r="CD225" s="48">
        <v>6634.23</v>
      </c>
      <c r="CE225" s="48">
        <v>7032.36</v>
      </c>
      <c r="CF225" s="48">
        <v>15501.82</v>
      </c>
      <c r="CG225" s="48">
        <v>8555.58</v>
      </c>
      <c r="CH225" s="48">
        <v>2625.07</v>
      </c>
      <c r="CI225" s="48">
        <v>26164.240000000002</v>
      </c>
      <c r="CJ225" s="48">
        <v>3350.62</v>
      </c>
      <c r="CK225" s="48">
        <v>4844.38</v>
      </c>
      <c r="CL225" s="48">
        <v>5594.89</v>
      </c>
      <c r="CM225" s="48">
        <v>12538.96</v>
      </c>
      <c r="CN225" s="48">
        <v>27996.84</v>
      </c>
      <c r="CO225" s="48">
        <v>5582.7</v>
      </c>
      <c r="CP225" s="48">
        <v>8540</v>
      </c>
      <c r="CQ225" s="48">
        <v>5029.2299999999996</v>
      </c>
      <c r="CR225" s="48">
        <v>9467.06</v>
      </c>
      <c r="CS225" s="48">
        <v>7302.07</v>
      </c>
      <c r="CT225" s="48">
        <v>7600.98</v>
      </c>
      <c r="CU225" s="48">
        <v>12850.87</v>
      </c>
      <c r="CV225" s="48">
        <v>2519.04</v>
      </c>
      <c r="CW225" s="48">
        <v>5836.81</v>
      </c>
      <c r="CX225" s="48">
        <v>6844.72</v>
      </c>
      <c r="CY225" s="48">
        <v>6434.36</v>
      </c>
      <c r="CZ225" s="48">
        <v>5787.12</v>
      </c>
      <c r="DA225" s="48">
        <v>7507.9</v>
      </c>
      <c r="DB225" s="48">
        <v>13092.13</v>
      </c>
      <c r="DC225" s="48">
        <v>12597.8</v>
      </c>
      <c r="DD225" s="48">
        <v>12344.25</v>
      </c>
      <c r="DE225" s="48">
        <f>VLOOKUP($C225,'[2]Analysis 1'!$C$5:$DG$1025,107,FALSE)</f>
        <v>15084.83</v>
      </c>
      <c r="DF225" s="48">
        <f>VLOOKUP($C225,'[2]Analysis 1'!$C$5:$DG$1025,108,FALSE)</f>
        <v>10428.91</v>
      </c>
      <c r="DG225" s="48">
        <f>VLOOKUP($C225,'[2]Analysis 1'!$C$5:$DG$1025,109,FALSE)</f>
        <v>7599.54</v>
      </c>
      <c r="DH225" s="369">
        <f t="shared" si="6"/>
        <v>106077.40999999999</v>
      </c>
    </row>
    <row r="226" spans="1:112">
      <c r="A226" s="357" t="str">
        <f t="shared" si="7"/>
        <v>6400520</v>
      </c>
      <c r="B226" s="350" t="s">
        <v>2041</v>
      </c>
      <c r="C226" s="335" t="s">
        <v>1733</v>
      </c>
      <c r="D226" s="367"/>
      <c r="E226" s="367"/>
      <c r="F226" s="367"/>
      <c r="G226" s="367"/>
      <c r="H226" s="367"/>
      <c r="I226" s="367"/>
      <c r="J226" s="367"/>
      <c r="K226" s="367"/>
      <c r="L226" s="367"/>
      <c r="M226" s="367"/>
      <c r="N226" s="367"/>
      <c r="O226" s="368"/>
      <c r="P226" s="48"/>
      <c r="Q226" s="48"/>
      <c r="R226" s="48"/>
      <c r="S226" s="48"/>
      <c r="T226" s="48"/>
      <c r="U226" s="48"/>
      <c r="V226" s="48"/>
      <c r="W226" s="48"/>
      <c r="X226" s="48"/>
      <c r="Y226" s="48"/>
      <c r="Z226" s="48"/>
      <c r="AA226" s="48"/>
      <c r="AB226" s="48"/>
      <c r="AC226" s="48"/>
      <c r="AD226" s="48"/>
      <c r="AE226" s="48"/>
      <c r="AF226" s="48"/>
      <c r="AG226" s="48"/>
      <c r="AH226" s="48"/>
      <c r="AI226" s="48"/>
      <c r="AJ226" s="48"/>
      <c r="AK226" s="48">
        <v>0</v>
      </c>
      <c r="AL226" s="48">
        <v>15910.38</v>
      </c>
      <c r="AM226" s="48">
        <v>27068.04</v>
      </c>
      <c r="AN226" s="48">
        <v>204.9</v>
      </c>
      <c r="AO226" s="48">
        <v>0</v>
      </c>
      <c r="AP226" s="48">
        <v>0</v>
      </c>
      <c r="AQ226" s="48">
        <v>0</v>
      </c>
      <c r="AR226" s="48">
        <v>0</v>
      </c>
      <c r="AS226" s="48">
        <v>0</v>
      </c>
      <c r="AT226" s="48">
        <v>0</v>
      </c>
      <c r="AU226" s="48">
        <v>0</v>
      </c>
      <c r="AV226" s="48">
        <v>0</v>
      </c>
      <c r="AW226" s="48">
        <v>0</v>
      </c>
      <c r="AX226" s="48">
        <v>0</v>
      </c>
      <c r="AY226" s="48">
        <v>0</v>
      </c>
      <c r="AZ226" s="48">
        <v>0</v>
      </c>
      <c r="BA226" s="48">
        <v>0</v>
      </c>
      <c r="BB226" s="48">
        <v>0</v>
      </c>
      <c r="BC226" s="48">
        <v>0</v>
      </c>
      <c r="BD226" s="48">
        <v>0</v>
      </c>
      <c r="BE226" s="48">
        <v>0</v>
      </c>
      <c r="BF226" s="48">
        <v>0</v>
      </c>
      <c r="BG226" s="48">
        <v>0</v>
      </c>
      <c r="BH226" s="48">
        <v>0</v>
      </c>
      <c r="BI226" s="48">
        <v>0</v>
      </c>
      <c r="BJ226" s="48">
        <v>0</v>
      </c>
      <c r="BK226" s="48">
        <v>0</v>
      </c>
      <c r="BL226" s="48">
        <v>0</v>
      </c>
      <c r="BM226" s="48">
        <v>0</v>
      </c>
      <c r="BN226" s="48">
        <v>0</v>
      </c>
      <c r="BO226" s="48">
        <v>0</v>
      </c>
      <c r="BP226" s="48">
        <v>0</v>
      </c>
      <c r="BQ226" s="48">
        <v>0</v>
      </c>
      <c r="BR226" s="48">
        <v>0</v>
      </c>
      <c r="BS226" s="48">
        <v>0</v>
      </c>
      <c r="BT226" s="48">
        <v>0</v>
      </c>
      <c r="BU226" s="48">
        <v>1063.53</v>
      </c>
      <c r="BV226" s="48">
        <v>461.13</v>
      </c>
      <c r="BW226" s="48">
        <v>9092.85</v>
      </c>
      <c r="BX226" s="48">
        <v>0</v>
      </c>
      <c r="BY226" s="48">
        <v>0</v>
      </c>
      <c r="BZ226" s="48">
        <v>0</v>
      </c>
      <c r="CA226" s="48">
        <v>0</v>
      </c>
      <c r="CB226" s="48">
        <v>0</v>
      </c>
      <c r="CC226" s="48">
        <v>0</v>
      </c>
      <c r="CD226" s="48">
        <v>0</v>
      </c>
      <c r="CE226" s="48">
        <v>0</v>
      </c>
      <c r="CF226" s="48">
        <v>0</v>
      </c>
      <c r="CG226" s="48">
        <v>0</v>
      </c>
      <c r="CH226" s="48">
        <v>0</v>
      </c>
      <c r="CI226" s="48">
        <v>0</v>
      </c>
      <c r="CJ226" s="48">
        <v>0</v>
      </c>
      <c r="CK226" s="48">
        <v>0</v>
      </c>
      <c r="CL226" s="48">
        <v>0</v>
      </c>
      <c r="CM226" s="48">
        <v>0</v>
      </c>
      <c r="CN226" s="48">
        <v>0</v>
      </c>
      <c r="CO226" s="48">
        <v>0</v>
      </c>
      <c r="CP226" s="48">
        <v>0</v>
      </c>
      <c r="CQ226" s="48">
        <v>0</v>
      </c>
      <c r="CR226" s="48">
        <v>0</v>
      </c>
      <c r="CS226" s="48">
        <v>0</v>
      </c>
      <c r="CT226" s="48">
        <v>0</v>
      </c>
      <c r="CU226" s="48">
        <v>0</v>
      </c>
      <c r="CV226" s="48">
        <v>0</v>
      </c>
      <c r="CW226" s="48">
        <v>0</v>
      </c>
      <c r="CX226" s="48">
        <v>0</v>
      </c>
      <c r="CY226" s="48">
        <v>0</v>
      </c>
      <c r="CZ226" s="48">
        <v>0</v>
      </c>
      <c r="DA226" s="48">
        <v>0</v>
      </c>
      <c r="DB226" s="48">
        <v>0</v>
      </c>
      <c r="DC226" s="48">
        <v>0</v>
      </c>
      <c r="DD226" s="48">
        <v>0</v>
      </c>
      <c r="DE226" s="48">
        <f>VLOOKUP($C226,'[2]Analysis 1'!$C$5:$DG$1025,107,FALSE)</f>
        <v>0</v>
      </c>
      <c r="DF226" s="48">
        <f>VLOOKUP($C226,'[2]Analysis 1'!$C$5:$DG$1025,108,FALSE)</f>
        <v>0</v>
      </c>
      <c r="DG226" s="48">
        <f>VLOOKUP($C226,'[2]Analysis 1'!$C$5:$DG$1025,109,FALSE)</f>
        <v>0</v>
      </c>
      <c r="DH226" s="369">
        <f t="shared" si="6"/>
        <v>0</v>
      </c>
    </row>
    <row r="227" spans="1:112">
      <c r="A227" s="357" t="str">
        <f t="shared" si="7"/>
        <v>6400521</v>
      </c>
      <c r="B227" s="350" t="s">
        <v>2044</v>
      </c>
      <c r="C227" s="335" t="s">
        <v>1127</v>
      </c>
      <c r="D227" s="340">
        <v>0</v>
      </c>
      <c r="E227" s="340">
        <v>0</v>
      </c>
      <c r="F227" s="340">
        <v>0</v>
      </c>
      <c r="G227" s="340">
        <v>0</v>
      </c>
      <c r="H227" s="340">
        <v>0</v>
      </c>
      <c r="I227" s="340">
        <v>0</v>
      </c>
      <c r="J227" s="340">
        <v>0</v>
      </c>
      <c r="K227" s="340">
        <v>0</v>
      </c>
      <c r="L227" s="340">
        <v>1805.04</v>
      </c>
      <c r="M227" s="340">
        <v>0</v>
      </c>
      <c r="N227" s="340">
        <v>0</v>
      </c>
      <c r="O227" s="341">
        <v>0</v>
      </c>
      <c r="P227" s="48">
        <v>0</v>
      </c>
      <c r="Q227" s="48">
        <v>0</v>
      </c>
      <c r="R227" s="48">
        <v>0</v>
      </c>
      <c r="S227" s="48">
        <v>0</v>
      </c>
      <c r="T227" s="48">
        <v>0</v>
      </c>
      <c r="U227" s="48">
        <v>0</v>
      </c>
      <c r="V227" s="48">
        <v>0</v>
      </c>
      <c r="W227" s="48">
        <v>0</v>
      </c>
      <c r="X227" s="48">
        <v>0</v>
      </c>
      <c r="Y227" s="48">
        <v>0</v>
      </c>
      <c r="Z227" s="48">
        <v>0</v>
      </c>
      <c r="AA227" s="48">
        <v>0</v>
      </c>
      <c r="AB227" s="48">
        <v>0</v>
      </c>
      <c r="AC227" s="48">
        <v>0</v>
      </c>
      <c r="AD227" s="48">
        <v>0</v>
      </c>
      <c r="AE227" s="48">
        <v>0</v>
      </c>
      <c r="AF227" s="48">
        <v>0</v>
      </c>
      <c r="AG227" s="48">
        <v>0</v>
      </c>
      <c r="AH227" s="48">
        <v>0</v>
      </c>
      <c r="AI227" s="48">
        <v>0</v>
      </c>
      <c r="AJ227" s="48">
        <v>0</v>
      </c>
      <c r="AK227" s="48">
        <v>0</v>
      </c>
      <c r="AL227" s="48">
        <v>0</v>
      </c>
      <c r="AM227" s="48">
        <v>0</v>
      </c>
      <c r="AN227" s="48">
        <v>0</v>
      </c>
      <c r="AO227" s="48">
        <v>0</v>
      </c>
      <c r="AP227" s="48">
        <v>0</v>
      </c>
      <c r="AQ227" s="48">
        <v>0</v>
      </c>
      <c r="AR227" s="48">
        <v>0</v>
      </c>
      <c r="AS227" s="48">
        <v>0</v>
      </c>
      <c r="AT227" s="48">
        <v>0</v>
      </c>
      <c r="AU227" s="48">
        <v>0</v>
      </c>
      <c r="AV227" s="48">
        <v>0</v>
      </c>
      <c r="AW227" s="48"/>
      <c r="AX227" s="48"/>
      <c r="AY227" s="48"/>
      <c r="AZ227" s="48">
        <v>0</v>
      </c>
      <c r="BA227" s="48">
        <v>0</v>
      </c>
      <c r="BB227" s="48">
        <v>0</v>
      </c>
      <c r="BC227" s="48">
        <v>0</v>
      </c>
      <c r="BD227" s="48">
        <v>0</v>
      </c>
      <c r="BE227" s="48">
        <v>0</v>
      </c>
      <c r="BF227" s="48">
        <v>0</v>
      </c>
      <c r="BG227" s="48">
        <v>0</v>
      </c>
      <c r="BH227" s="48">
        <v>0</v>
      </c>
      <c r="BI227" s="48">
        <v>0</v>
      </c>
      <c r="BJ227" s="48">
        <v>0</v>
      </c>
      <c r="BK227" s="48">
        <v>0</v>
      </c>
      <c r="BL227" s="48">
        <v>0</v>
      </c>
      <c r="BM227" s="48">
        <v>0</v>
      </c>
      <c r="BN227" s="48">
        <v>0</v>
      </c>
      <c r="BO227" s="48">
        <v>0</v>
      </c>
      <c r="BP227" s="48">
        <v>0</v>
      </c>
      <c r="BQ227" s="48">
        <v>0</v>
      </c>
      <c r="BR227" s="48">
        <v>0</v>
      </c>
      <c r="BS227" s="48">
        <v>0</v>
      </c>
      <c r="BT227" s="48">
        <v>0</v>
      </c>
      <c r="BU227" s="48">
        <v>0</v>
      </c>
      <c r="BV227" s="48">
        <v>0</v>
      </c>
      <c r="BW227" s="48">
        <v>0</v>
      </c>
      <c r="BX227" s="48">
        <v>0</v>
      </c>
      <c r="BY227" s="48">
        <v>0</v>
      </c>
      <c r="BZ227" s="48">
        <v>0</v>
      </c>
      <c r="CA227" s="48">
        <v>0</v>
      </c>
      <c r="CB227" s="48">
        <v>0</v>
      </c>
      <c r="CC227" s="48">
        <v>0</v>
      </c>
      <c r="CD227" s="48">
        <v>0</v>
      </c>
      <c r="CE227" s="48">
        <v>0</v>
      </c>
      <c r="CF227" s="48">
        <v>0</v>
      </c>
      <c r="CG227" s="48">
        <v>0</v>
      </c>
      <c r="CH227" s="48">
        <v>0</v>
      </c>
      <c r="CI227" s="48">
        <v>0</v>
      </c>
      <c r="CJ227" s="48">
        <v>0</v>
      </c>
      <c r="CK227" s="48">
        <v>0</v>
      </c>
      <c r="CL227" s="48">
        <v>0</v>
      </c>
      <c r="CM227" s="48">
        <v>0</v>
      </c>
      <c r="CN227" s="48">
        <v>0</v>
      </c>
      <c r="CO227" s="48">
        <v>0</v>
      </c>
      <c r="CP227" s="48">
        <v>0</v>
      </c>
      <c r="CQ227" s="48">
        <v>0</v>
      </c>
      <c r="CR227" s="48">
        <v>0</v>
      </c>
      <c r="CS227" s="48">
        <v>0</v>
      </c>
      <c r="CT227" s="48">
        <v>0</v>
      </c>
      <c r="CU227" s="48">
        <v>0</v>
      </c>
      <c r="CV227" s="48">
        <v>0</v>
      </c>
      <c r="CW227" s="48">
        <v>0</v>
      </c>
      <c r="CX227" s="48">
        <v>0</v>
      </c>
      <c r="CY227" s="48">
        <v>0</v>
      </c>
      <c r="CZ227" s="48">
        <v>0</v>
      </c>
      <c r="DA227" s="48">
        <v>0</v>
      </c>
      <c r="DB227" s="48">
        <v>0</v>
      </c>
      <c r="DC227" s="48">
        <v>0</v>
      </c>
      <c r="DD227" s="48">
        <v>0</v>
      </c>
      <c r="DE227" s="48">
        <f>VLOOKUP($C227,'[2]Analysis 1'!$C$5:$DG$1025,107,FALSE)</f>
        <v>0</v>
      </c>
      <c r="DF227" s="48">
        <f>VLOOKUP($C227,'[2]Analysis 1'!$C$5:$DG$1025,108,FALSE)</f>
        <v>0</v>
      </c>
      <c r="DG227" s="48">
        <f>VLOOKUP($C227,'[2]Analysis 1'!$C$5:$DG$1025,109,FALSE)</f>
        <v>0</v>
      </c>
      <c r="DH227" s="369">
        <f t="shared" si="6"/>
        <v>0</v>
      </c>
    </row>
    <row r="228" spans="1:112">
      <c r="A228" s="357" t="str">
        <f t="shared" si="7"/>
        <v>6400530</v>
      </c>
      <c r="B228" s="350" t="s">
        <v>2042</v>
      </c>
      <c r="C228" s="335" t="s">
        <v>1128</v>
      </c>
      <c r="D228" s="367">
        <v>51.19</v>
      </c>
      <c r="E228" s="367">
        <v>279.48</v>
      </c>
      <c r="F228" s="367">
        <v>0</v>
      </c>
      <c r="G228" s="367">
        <v>0</v>
      </c>
      <c r="H228" s="367">
        <v>0</v>
      </c>
      <c r="I228" s="367">
        <v>0</v>
      </c>
      <c r="J228" s="367">
        <v>0</v>
      </c>
      <c r="K228" s="367">
        <v>-427.02</v>
      </c>
      <c r="L228" s="367">
        <v>0</v>
      </c>
      <c r="M228" s="367">
        <v>0</v>
      </c>
      <c r="N228" s="367">
        <v>0</v>
      </c>
      <c r="O228" s="368">
        <v>0</v>
      </c>
      <c r="P228" s="48">
        <v>0</v>
      </c>
      <c r="Q228" s="48">
        <v>0</v>
      </c>
      <c r="R228" s="48">
        <v>0</v>
      </c>
      <c r="S228" s="48">
        <v>0</v>
      </c>
      <c r="T228" s="48">
        <v>0</v>
      </c>
      <c r="U228" s="48">
        <v>0</v>
      </c>
      <c r="V228" s="48">
        <v>0</v>
      </c>
      <c r="W228" s="48">
        <v>0</v>
      </c>
      <c r="X228" s="48">
        <v>0</v>
      </c>
      <c r="Y228" s="48">
        <v>0</v>
      </c>
      <c r="Z228" s="48">
        <v>0</v>
      </c>
      <c r="AA228" s="48">
        <v>0</v>
      </c>
      <c r="AB228" s="48">
        <v>0</v>
      </c>
      <c r="AC228" s="48">
        <v>0</v>
      </c>
      <c r="AD228" s="48">
        <v>0</v>
      </c>
      <c r="AE228" s="48">
        <v>0</v>
      </c>
      <c r="AF228" s="48">
        <v>0</v>
      </c>
      <c r="AG228" s="48">
        <v>0</v>
      </c>
      <c r="AH228" s="48">
        <v>0</v>
      </c>
      <c r="AI228" s="48">
        <v>0</v>
      </c>
      <c r="AJ228" s="48">
        <v>0</v>
      </c>
      <c r="AK228" s="48">
        <v>0</v>
      </c>
      <c r="AL228" s="48">
        <v>0</v>
      </c>
      <c r="AM228" s="48">
        <v>0</v>
      </c>
      <c r="AN228" s="48">
        <v>0</v>
      </c>
      <c r="AO228" s="48">
        <v>0</v>
      </c>
      <c r="AP228" s="48">
        <v>0</v>
      </c>
      <c r="AQ228" s="48">
        <v>0</v>
      </c>
      <c r="AR228" s="48">
        <v>0</v>
      </c>
      <c r="AS228" s="48">
        <v>0</v>
      </c>
      <c r="AT228" s="48">
        <v>0</v>
      </c>
      <c r="AU228" s="48">
        <v>0</v>
      </c>
      <c r="AV228" s="48">
        <v>0</v>
      </c>
      <c r="AW228" s="48">
        <v>24320</v>
      </c>
      <c r="AX228" s="48">
        <v>0</v>
      </c>
      <c r="AY228" s="48">
        <v>0</v>
      </c>
      <c r="AZ228" s="48">
        <v>0</v>
      </c>
      <c r="BA228" s="48">
        <v>0</v>
      </c>
      <c r="BB228" s="48">
        <v>0</v>
      </c>
      <c r="BC228" s="48">
        <v>0</v>
      </c>
      <c r="BD228" s="48">
        <v>0</v>
      </c>
      <c r="BE228" s="48">
        <v>0</v>
      </c>
      <c r="BF228" s="48">
        <v>0</v>
      </c>
      <c r="BG228" s="48">
        <v>0</v>
      </c>
      <c r="BH228" s="48">
        <v>0</v>
      </c>
      <c r="BI228" s="48">
        <v>0</v>
      </c>
      <c r="BJ228" s="48">
        <v>0</v>
      </c>
      <c r="BK228" s="48">
        <v>0</v>
      </c>
      <c r="BL228" s="48">
        <v>0</v>
      </c>
      <c r="BM228" s="48">
        <v>0</v>
      </c>
      <c r="BN228" s="48">
        <v>0</v>
      </c>
      <c r="BO228" s="48">
        <v>0</v>
      </c>
      <c r="BP228" s="48">
        <v>0</v>
      </c>
      <c r="BQ228" s="48">
        <v>0</v>
      </c>
      <c r="BR228" s="48">
        <v>0</v>
      </c>
      <c r="BS228" s="48">
        <v>0</v>
      </c>
      <c r="BT228" s="48">
        <v>0</v>
      </c>
      <c r="BU228" s="48">
        <v>0</v>
      </c>
      <c r="BV228" s="48">
        <v>0</v>
      </c>
      <c r="BW228" s="48">
        <v>0</v>
      </c>
      <c r="BX228" s="48">
        <v>0</v>
      </c>
      <c r="BY228" s="48">
        <v>0</v>
      </c>
      <c r="BZ228" s="48">
        <v>0</v>
      </c>
      <c r="CA228" s="48">
        <v>0</v>
      </c>
      <c r="CB228" s="48">
        <v>0</v>
      </c>
      <c r="CC228" s="48">
        <v>0</v>
      </c>
      <c r="CD228" s="48">
        <v>0</v>
      </c>
      <c r="CE228" s="48">
        <v>0</v>
      </c>
      <c r="CF228" s="48">
        <v>0</v>
      </c>
      <c r="CG228" s="48">
        <v>0</v>
      </c>
      <c r="CH228" s="48">
        <v>0</v>
      </c>
      <c r="CI228" s="48">
        <v>0</v>
      </c>
      <c r="CJ228" s="48">
        <v>0</v>
      </c>
      <c r="CK228" s="48">
        <v>0</v>
      </c>
      <c r="CL228" s="48">
        <v>0</v>
      </c>
      <c r="CM228" s="48">
        <v>0</v>
      </c>
      <c r="CN228" s="48">
        <v>0</v>
      </c>
      <c r="CO228" s="48">
        <v>0</v>
      </c>
      <c r="CP228" s="48">
        <v>0</v>
      </c>
      <c r="CQ228" s="48">
        <v>0</v>
      </c>
      <c r="CR228" s="48">
        <v>0</v>
      </c>
      <c r="CS228" s="48">
        <v>0</v>
      </c>
      <c r="CT228" s="48">
        <v>0</v>
      </c>
      <c r="CU228" s="48">
        <v>0</v>
      </c>
      <c r="CV228" s="48">
        <v>0</v>
      </c>
      <c r="CW228" s="48">
        <v>0</v>
      </c>
      <c r="CX228" s="48">
        <v>0</v>
      </c>
      <c r="CY228" s="48">
        <v>0</v>
      </c>
      <c r="CZ228" s="48">
        <v>0</v>
      </c>
      <c r="DA228" s="48">
        <v>0</v>
      </c>
      <c r="DB228" s="48">
        <v>0</v>
      </c>
      <c r="DC228" s="48">
        <v>0</v>
      </c>
      <c r="DD228" s="48">
        <v>0</v>
      </c>
      <c r="DE228" s="48">
        <f>VLOOKUP($C228,'[2]Analysis 1'!$C$5:$DG$1025,107,FALSE)</f>
        <v>0</v>
      </c>
      <c r="DF228" s="48">
        <f>VLOOKUP($C228,'[2]Analysis 1'!$C$5:$DG$1025,108,FALSE)</f>
        <v>0</v>
      </c>
      <c r="DG228" s="48">
        <f>VLOOKUP($C228,'[2]Analysis 1'!$C$5:$DG$1025,109,FALSE)</f>
        <v>0</v>
      </c>
      <c r="DH228" s="369">
        <f t="shared" si="6"/>
        <v>0</v>
      </c>
    </row>
    <row r="229" spans="1:112">
      <c r="A229" s="357" t="str">
        <f t="shared" si="7"/>
        <v>6401000</v>
      </c>
      <c r="B229" s="350" t="s">
        <v>2043</v>
      </c>
      <c r="C229" s="335" t="s">
        <v>1129</v>
      </c>
      <c r="D229" s="340">
        <v>1074317.43</v>
      </c>
      <c r="E229" s="340">
        <v>531247.84</v>
      </c>
      <c r="F229" s="340">
        <v>946982.1</v>
      </c>
      <c r="G229" s="340">
        <v>863954.56</v>
      </c>
      <c r="H229" s="340">
        <v>712465.91</v>
      </c>
      <c r="I229" s="340">
        <v>706040.77</v>
      </c>
      <c r="J229" s="340">
        <v>692789.34</v>
      </c>
      <c r="K229" s="340">
        <v>1088196.6599999999</v>
      </c>
      <c r="L229" s="340">
        <v>608513.26</v>
      </c>
      <c r="M229" s="340">
        <v>916387.27</v>
      </c>
      <c r="N229" s="340">
        <v>499554.32</v>
      </c>
      <c r="O229" s="341">
        <v>1166292.56</v>
      </c>
      <c r="P229" s="48">
        <v>418423.92</v>
      </c>
      <c r="Q229" s="48">
        <v>418441.1</v>
      </c>
      <c r="R229" s="48">
        <v>636470.1</v>
      </c>
      <c r="S229" s="48">
        <v>893774.41</v>
      </c>
      <c r="T229" s="48">
        <v>473041.27</v>
      </c>
      <c r="U229" s="48">
        <v>617063.36</v>
      </c>
      <c r="V229" s="48">
        <v>795537.05</v>
      </c>
      <c r="W229" s="48">
        <v>926787.25</v>
      </c>
      <c r="X229" s="48">
        <v>1094429.05</v>
      </c>
      <c r="Y229" s="48">
        <v>842892.79</v>
      </c>
      <c r="Z229" s="48">
        <v>1758219.46</v>
      </c>
      <c r="AA229" s="48">
        <v>926725.88</v>
      </c>
      <c r="AB229" s="48">
        <v>432900.24</v>
      </c>
      <c r="AC229" s="48">
        <v>1112032.33</v>
      </c>
      <c r="AD229" s="48">
        <v>872787.45</v>
      </c>
      <c r="AE229" s="48">
        <v>644333.34</v>
      </c>
      <c r="AF229" s="48">
        <v>758952.31</v>
      </c>
      <c r="AG229" s="48">
        <v>2176140.85</v>
      </c>
      <c r="AH229" s="48">
        <v>486211.76</v>
      </c>
      <c r="AI229" s="48">
        <v>768792.79</v>
      </c>
      <c r="AJ229" s="48">
        <v>652093.49</v>
      </c>
      <c r="AK229" s="48">
        <v>844289.93</v>
      </c>
      <c r="AL229" s="48">
        <v>956561.8</v>
      </c>
      <c r="AM229" s="48">
        <v>770671.37</v>
      </c>
      <c r="AN229" s="48">
        <v>608272.37</v>
      </c>
      <c r="AO229" s="48">
        <v>765679.38</v>
      </c>
      <c r="AP229" s="48">
        <v>948619.26</v>
      </c>
      <c r="AQ229" s="48">
        <v>702093.95</v>
      </c>
      <c r="AR229" s="48">
        <v>944913.03</v>
      </c>
      <c r="AS229" s="48">
        <v>623682.48</v>
      </c>
      <c r="AT229" s="48">
        <v>686633.1</v>
      </c>
      <c r="AU229" s="48">
        <v>1110021.67</v>
      </c>
      <c r="AV229" s="48">
        <v>460910.45</v>
      </c>
      <c r="AW229" s="48">
        <v>1063240.71</v>
      </c>
      <c r="AX229" s="48">
        <v>684883.09</v>
      </c>
      <c r="AY229" s="48">
        <v>1769601.82</v>
      </c>
      <c r="AZ229" s="48">
        <v>616877.66</v>
      </c>
      <c r="BA229" s="48">
        <v>796954.04</v>
      </c>
      <c r="BB229" s="48">
        <v>1080581.51</v>
      </c>
      <c r="BC229" s="48">
        <v>828860.57</v>
      </c>
      <c r="BD229" s="48">
        <v>806928.58</v>
      </c>
      <c r="BE229" s="48">
        <v>777231.61</v>
      </c>
      <c r="BF229" s="48">
        <v>942952.89</v>
      </c>
      <c r="BG229" s="48">
        <v>1300843.75</v>
      </c>
      <c r="BH229" s="48">
        <v>1206377.26</v>
      </c>
      <c r="BI229" s="48">
        <v>1589863.6</v>
      </c>
      <c r="BJ229" s="48">
        <v>1010800.24</v>
      </c>
      <c r="BK229" s="48">
        <v>1239649.8899999999</v>
      </c>
      <c r="BL229" s="48">
        <v>738972.02</v>
      </c>
      <c r="BM229" s="48">
        <v>1074480.42</v>
      </c>
      <c r="BN229" s="48">
        <v>977932.58</v>
      </c>
      <c r="BO229" s="48">
        <v>993606.24</v>
      </c>
      <c r="BP229" s="48">
        <v>1069150.56</v>
      </c>
      <c r="BQ229" s="48">
        <v>656121.44999999995</v>
      </c>
      <c r="BR229" s="48">
        <v>1147543.6399999999</v>
      </c>
      <c r="BS229" s="48">
        <v>673286.08</v>
      </c>
      <c r="BT229" s="48">
        <v>1134713.6599999999</v>
      </c>
      <c r="BU229" s="48">
        <v>1274987.78</v>
      </c>
      <c r="BV229" s="48">
        <v>1038740.83</v>
      </c>
      <c r="BW229" s="48">
        <v>5587768.0099999998</v>
      </c>
      <c r="BX229" s="48">
        <v>1475032.89</v>
      </c>
      <c r="BY229" s="48">
        <v>1416982.07</v>
      </c>
      <c r="BZ229" s="48">
        <v>917865.68</v>
      </c>
      <c r="CA229" s="48">
        <v>1766896.6</v>
      </c>
      <c r="CB229" s="48">
        <v>2848920.59</v>
      </c>
      <c r="CC229" s="48">
        <v>2776865.97</v>
      </c>
      <c r="CD229" s="48">
        <v>1438564.4</v>
      </c>
      <c r="CE229" s="48">
        <v>1869501.16</v>
      </c>
      <c r="CF229" s="48">
        <v>1399877.4</v>
      </c>
      <c r="CG229" s="48">
        <v>747968.95</v>
      </c>
      <c r="CH229" s="48">
        <v>1430279.66</v>
      </c>
      <c r="CI229" s="48">
        <v>1425204.5</v>
      </c>
      <c r="CJ229" s="48">
        <v>1280210.1299999999</v>
      </c>
      <c r="CK229" s="48">
        <v>1128257.6100000001</v>
      </c>
      <c r="CL229" s="48">
        <v>1114325.8400000001</v>
      </c>
      <c r="CM229" s="48">
        <v>937953.58</v>
      </c>
      <c r="CN229" s="48">
        <v>949342.56</v>
      </c>
      <c r="CO229" s="48">
        <v>1485890.3</v>
      </c>
      <c r="CP229" s="48">
        <v>1774479.95</v>
      </c>
      <c r="CQ229" s="48">
        <v>1012909.15</v>
      </c>
      <c r="CR229" s="48">
        <v>661369.13</v>
      </c>
      <c r="CS229" s="48">
        <v>1315989.27</v>
      </c>
      <c r="CT229" s="48">
        <v>7057556.2800000003</v>
      </c>
      <c r="CU229" s="48">
        <v>2530823.4500000002</v>
      </c>
      <c r="CV229" s="48">
        <v>632915.78</v>
      </c>
      <c r="CW229" s="48">
        <v>1276776.67</v>
      </c>
      <c r="CX229" s="48">
        <v>839987.51</v>
      </c>
      <c r="CY229" s="48">
        <v>802972.31</v>
      </c>
      <c r="CZ229" s="48">
        <v>826146.06</v>
      </c>
      <c r="DA229" s="48">
        <v>1401900.4</v>
      </c>
      <c r="DB229" s="48">
        <v>1015474.29</v>
      </c>
      <c r="DC229" s="48">
        <v>1201228.71</v>
      </c>
      <c r="DD229" s="48">
        <v>543409.59</v>
      </c>
      <c r="DE229" s="48">
        <f>VLOOKUP($C229,'[2]Analysis 1'!$C$5:$DG$1025,107,FALSE)</f>
        <v>1077688.92</v>
      </c>
      <c r="DF229" s="48">
        <f>VLOOKUP($C229,'[2]Analysis 1'!$C$5:$DG$1025,108,FALSE)</f>
        <v>1797688.11</v>
      </c>
      <c r="DG229" s="48">
        <f>VLOOKUP($C229,'[2]Analysis 1'!$C$5:$DG$1025,109,FALSE)</f>
        <v>3111552.86</v>
      </c>
      <c r="DH229" s="369">
        <f t="shared" si="6"/>
        <v>14527741.209999999</v>
      </c>
    </row>
    <row r="230" spans="1:112">
      <c r="A230" s="357" t="str">
        <f t="shared" si="7"/>
        <v>6401100</v>
      </c>
      <c r="B230" s="350" t="s">
        <v>2045</v>
      </c>
      <c r="C230" s="335" t="s">
        <v>1130</v>
      </c>
      <c r="D230" s="340">
        <v>1233.9000000000001</v>
      </c>
      <c r="E230" s="340">
        <v>0</v>
      </c>
      <c r="F230" s="340">
        <v>0</v>
      </c>
      <c r="G230" s="340">
        <v>-679.07</v>
      </c>
      <c r="H230" s="340">
        <v>-6446.57</v>
      </c>
      <c r="I230" s="340">
        <v>0</v>
      </c>
      <c r="J230" s="340">
        <v>-10273.32</v>
      </c>
      <c r="K230" s="340">
        <v>3495.56</v>
      </c>
      <c r="L230" s="340">
        <v>7697.07</v>
      </c>
      <c r="M230" s="340">
        <v>10784.47</v>
      </c>
      <c r="N230" s="340">
        <v>-16403.16</v>
      </c>
      <c r="O230" s="341">
        <v>0</v>
      </c>
      <c r="P230" s="48">
        <v>0</v>
      </c>
      <c r="Q230" s="48">
        <v>0</v>
      </c>
      <c r="R230" s="48">
        <v>0</v>
      </c>
      <c r="S230" s="48">
        <v>2046.6</v>
      </c>
      <c r="T230" s="48">
        <v>0</v>
      </c>
      <c r="U230" s="48">
        <v>0</v>
      </c>
      <c r="V230" s="48">
        <v>-2833.19</v>
      </c>
      <c r="W230" s="48">
        <v>0</v>
      </c>
      <c r="X230" s="48">
        <v>-579.17999999999995</v>
      </c>
      <c r="Y230" s="48">
        <v>17330.03</v>
      </c>
      <c r="Z230" s="48">
        <v>-989.65</v>
      </c>
      <c r="AA230" s="48">
        <v>88704.3</v>
      </c>
      <c r="AB230" s="48">
        <v>0</v>
      </c>
      <c r="AC230" s="48">
        <v>0</v>
      </c>
      <c r="AD230" s="48">
        <v>0</v>
      </c>
      <c r="AE230" s="48">
        <v>0</v>
      </c>
      <c r="AF230" s="48">
        <v>0</v>
      </c>
      <c r="AG230" s="48">
        <v>0</v>
      </c>
      <c r="AH230" s="48">
        <v>0</v>
      </c>
      <c r="AI230" s="48">
        <v>3898.72</v>
      </c>
      <c r="AJ230" s="48">
        <v>0</v>
      </c>
      <c r="AK230" s="48">
        <v>2057.1</v>
      </c>
      <c r="AL230" s="48">
        <v>-13743.96</v>
      </c>
      <c r="AM230" s="48">
        <v>24072.79</v>
      </c>
      <c r="AN230" s="48">
        <v>0</v>
      </c>
      <c r="AO230" s="48">
        <v>0</v>
      </c>
      <c r="AP230" s="48">
        <v>0</v>
      </c>
      <c r="AQ230" s="48">
        <v>0</v>
      </c>
      <c r="AR230" s="48">
        <v>0</v>
      </c>
      <c r="AS230" s="48">
        <v>0</v>
      </c>
      <c r="AT230" s="48">
        <v>0</v>
      </c>
      <c r="AU230" s="48">
        <v>-247.94</v>
      </c>
      <c r="AV230" s="48">
        <v>0</v>
      </c>
      <c r="AW230" s="48">
        <v>539.41999999999996</v>
      </c>
      <c r="AX230" s="48">
        <v>58107.08</v>
      </c>
      <c r="AY230" s="48">
        <v>35600.089999999997</v>
      </c>
      <c r="AZ230" s="48">
        <v>74382.91</v>
      </c>
      <c r="BA230" s="48">
        <v>0</v>
      </c>
      <c r="BB230" s="48">
        <v>0</v>
      </c>
      <c r="BC230" s="48">
        <v>0</v>
      </c>
      <c r="BD230" s="48">
        <v>0</v>
      </c>
      <c r="BE230" s="48">
        <v>0</v>
      </c>
      <c r="BF230" s="48">
        <v>0</v>
      </c>
      <c r="BG230" s="48">
        <v>-145.26</v>
      </c>
      <c r="BH230" s="48">
        <v>-80.5</v>
      </c>
      <c r="BI230" s="48">
        <v>4477.1000000000004</v>
      </c>
      <c r="BJ230" s="48">
        <v>24554.68</v>
      </c>
      <c r="BK230" s="48">
        <v>5794.79</v>
      </c>
      <c r="BL230" s="48">
        <v>0</v>
      </c>
      <c r="BM230" s="48">
        <v>0</v>
      </c>
      <c r="BN230" s="48">
        <v>0</v>
      </c>
      <c r="BO230" s="48">
        <v>0</v>
      </c>
      <c r="BP230" s="48">
        <v>0</v>
      </c>
      <c r="BQ230" s="48">
        <v>0</v>
      </c>
      <c r="BR230" s="48">
        <v>0</v>
      </c>
      <c r="BS230" s="48">
        <v>475.28</v>
      </c>
      <c r="BT230" s="48">
        <v>0</v>
      </c>
      <c r="BU230" s="48">
        <v>-7281.67</v>
      </c>
      <c r="BV230" s="48">
        <v>6573.71</v>
      </c>
      <c r="BW230" s="48">
        <v>91201.27</v>
      </c>
      <c r="BX230" s="48">
        <v>-199.77</v>
      </c>
      <c r="BY230" s="48">
        <v>0</v>
      </c>
      <c r="BZ230" s="48">
        <v>0</v>
      </c>
      <c r="CA230" s="48">
        <v>43.34</v>
      </c>
      <c r="CB230" s="48">
        <v>0</v>
      </c>
      <c r="CC230" s="48">
        <v>0</v>
      </c>
      <c r="CD230" s="48">
        <v>0</v>
      </c>
      <c r="CE230" s="48">
        <v>0</v>
      </c>
      <c r="CF230" s="48">
        <v>158.86000000000001</v>
      </c>
      <c r="CG230" s="48">
        <v>0</v>
      </c>
      <c r="CH230" s="48">
        <v>137311.67000000001</v>
      </c>
      <c r="CI230" s="48">
        <v>1685.02</v>
      </c>
      <c r="CJ230" s="48">
        <v>0</v>
      </c>
      <c r="CK230" s="48">
        <v>0</v>
      </c>
      <c r="CL230" s="48">
        <v>-43.34</v>
      </c>
      <c r="CM230" s="48">
        <v>0</v>
      </c>
      <c r="CN230" s="48">
        <v>0</v>
      </c>
      <c r="CO230" s="48">
        <v>0</v>
      </c>
      <c r="CP230" s="48">
        <v>0</v>
      </c>
      <c r="CQ230" s="48">
        <v>0</v>
      </c>
      <c r="CR230" s="48">
        <v>0</v>
      </c>
      <c r="CS230" s="48">
        <v>80.88</v>
      </c>
      <c r="CT230" s="48">
        <v>-5492736.71</v>
      </c>
      <c r="CU230" s="48">
        <v>87447.82</v>
      </c>
      <c r="CV230" s="48">
        <v>0</v>
      </c>
      <c r="CW230" s="48">
        <v>0</v>
      </c>
      <c r="CX230" s="48">
        <v>0</v>
      </c>
      <c r="CY230" s="48">
        <v>0</v>
      </c>
      <c r="CZ230" s="48">
        <v>0</v>
      </c>
      <c r="DA230" s="48">
        <v>0</v>
      </c>
      <c r="DB230" s="48">
        <v>0</v>
      </c>
      <c r="DC230" s="48">
        <v>0</v>
      </c>
      <c r="DD230" s="48">
        <v>0</v>
      </c>
      <c r="DE230" s="48">
        <f>VLOOKUP($C230,'[2]Analysis 1'!$C$5:$DG$1025,107,FALSE)</f>
        <v>0</v>
      </c>
      <c r="DF230" s="48">
        <f>VLOOKUP($C230,'[2]Analysis 1'!$C$5:$DG$1025,108,FALSE)</f>
        <v>-13329.34</v>
      </c>
      <c r="DG230" s="48">
        <f>VLOOKUP($C230,'[2]Analysis 1'!$C$5:$DG$1025,109,FALSE)</f>
        <v>564693.31000000006</v>
      </c>
      <c r="DH230" s="369">
        <f t="shared" si="6"/>
        <v>551363.97000000009</v>
      </c>
    </row>
    <row r="231" spans="1:112">
      <c r="A231" s="357" t="str">
        <f t="shared" si="7"/>
        <v>6401200</v>
      </c>
      <c r="B231" s="350" t="s">
        <v>2046</v>
      </c>
      <c r="C231" s="335" t="s">
        <v>1131</v>
      </c>
      <c r="D231" s="340">
        <v>-4149.79</v>
      </c>
      <c r="E231" s="340">
        <v>-639.63</v>
      </c>
      <c r="F231" s="340">
        <v>-1449.44</v>
      </c>
      <c r="G231" s="340">
        <v>1646.49</v>
      </c>
      <c r="H231" s="340">
        <v>-350.41</v>
      </c>
      <c r="I231" s="340">
        <v>132.36000000000001</v>
      </c>
      <c r="J231" s="340">
        <v>1216.77</v>
      </c>
      <c r="K231" s="340">
        <v>-255.32</v>
      </c>
      <c r="L231" s="340">
        <v>-742.23</v>
      </c>
      <c r="M231" s="340">
        <v>400.81</v>
      </c>
      <c r="N231" s="340">
        <v>-3420.89</v>
      </c>
      <c r="O231" s="341">
        <v>-459.92</v>
      </c>
      <c r="P231" s="48">
        <v>6985.58</v>
      </c>
      <c r="Q231" s="48">
        <v>-261.22000000000003</v>
      </c>
      <c r="R231" s="48">
        <v>-120.27</v>
      </c>
      <c r="S231" s="48">
        <v>-303.20999999999998</v>
      </c>
      <c r="T231" s="48">
        <v>6833.23</v>
      </c>
      <c r="U231" s="48">
        <v>-252.9</v>
      </c>
      <c r="V231" s="48">
        <v>-109.47</v>
      </c>
      <c r="W231" s="48">
        <v>1819.78</v>
      </c>
      <c r="X231" s="48">
        <v>-994.3</v>
      </c>
      <c r="Y231" s="48">
        <v>-1501.44</v>
      </c>
      <c r="Z231" s="48">
        <v>1593.99</v>
      </c>
      <c r="AA231" s="48">
        <v>2432.75</v>
      </c>
      <c r="AB231" s="48">
        <v>-340.05</v>
      </c>
      <c r="AC231" s="48">
        <v>-3367.92</v>
      </c>
      <c r="AD231" s="48">
        <v>-658.86</v>
      </c>
      <c r="AE231" s="48">
        <v>-1316.26</v>
      </c>
      <c r="AF231" s="48">
        <v>51.92</v>
      </c>
      <c r="AG231" s="48">
        <v>-333.68</v>
      </c>
      <c r="AH231" s="48">
        <v>-63.89</v>
      </c>
      <c r="AI231" s="48">
        <v>-2396.66</v>
      </c>
      <c r="AJ231" s="48">
        <v>-217.35</v>
      </c>
      <c r="AK231" s="48">
        <v>-6500.29</v>
      </c>
      <c r="AL231" s="48">
        <v>805.9</v>
      </c>
      <c r="AM231" s="48">
        <v>901.45</v>
      </c>
      <c r="AN231" s="48">
        <v>-105.53</v>
      </c>
      <c r="AO231" s="48">
        <v>-595.63</v>
      </c>
      <c r="AP231" s="48">
        <v>-135.69999999999999</v>
      </c>
      <c r="AQ231" s="48">
        <v>-3617.52</v>
      </c>
      <c r="AR231" s="48">
        <v>5132.51</v>
      </c>
      <c r="AS231" s="48">
        <v>-161.07</v>
      </c>
      <c r="AT231" s="48">
        <v>-1050.7</v>
      </c>
      <c r="AU231" s="48">
        <v>-2164.7399999999998</v>
      </c>
      <c r="AV231" s="48">
        <v>2120.8200000000002</v>
      </c>
      <c r="AW231" s="48">
        <v>1467.49</v>
      </c>
      <c r="AX231" s="48">
        <v>-449.38</v>
      </c>
      <c r="AY231" s="48">
        <v>-1335.21</v>
      </c>
      <c r="AZ231" s="48">
        <v>-1073.9000000000001</v>
      </c>
      <c r="BA231" s="48">
        <v>501.09</v>
      </c>
      <c r="BB231" s="48">
        <v>-865.29</v>
      </c>
      <c r="BC231" s="48">
        <v>-868.27</v>
      </c>
      <c r="BD231" s="48">
        <v>-1547.76</v>
      </c>
      <c r="BE231" s="48">
        <v>-927.41</v>
      </c>
      <c r="BF231" s="48">
        <v>-1396.02</v>
      </c>
      <c r="BG231" s="48">
        <v>-18345.18</v>
      </c>
      <c r="BH231" s="48">
        <v>-22374.97</v>
      </c>
      <c r="BI231" s="48">
        <v>436.58</v>
      </c>
      <c r="BJ231" s="48">
        <v>-521.5</v>
      </c>
      <c r="BK231" s="48">
        <v>-3757.94</v>
      </c>
      <c r="BL231" s="48">
        <v>-3103.29</v>
      </c>
      <c r="BM231" s="48">
        <v>-6433.94</v>
      </c>
      <c r="BN231" s="48">
        <v>-627.89</v>
      </c>
      <c r="BO231" s="48">
        <v>16179.03</v>
      </c>
      <c r="BP231" s="48">
        <v>-739.01</v>
      </c>
      <c r="BQ231" s="48">
        <v>7314.98</v>
      </c>
      <c r="BR231" s="48">
        <v>-9113.7800000000007</v>
      </c>
      <c r="BS231" s="48">
        <v>174.77</v>
      </c>
      <c r="BT231" s="48">
        <v>-721.42</v>
      </c>
      <c r="BU231" s="48">
        <v>-2896.02</v>
      </c>
      <c r="BV231" s="48">
        <v>-1008.1</v>
      </c>
      <c r="BW231" s="48">
        <v>-486.92</v>
      </c>
      <c r="BX231" s="48">
        <v>-622.09</v>
      </c>
      <c r="BY231" s="48">
        <v>-1649.27</v>
      </c>
      <c r="BZ231" s="48">
        <v>-780.34</v>
      </c>
      <c r="CA231" s="48">
        <v>-599.75</v>
      </c>
      <c r="CB231" s="48">
        <v>-3829.62</v>
      </c>
      <c r="CC231" s="48">
        <v>-6529.1</v>
      </c>
      <c r="CD231" s="48">
        <v>-2331.41</v>
      </c>
      <c r="CE231" s="48">
        <v>-1592.63</v>
      </c>
      <c r="CF231" s="48">
        <v>-1691.32</v>
      </c>
      <c r="CG231" s="48">
        <v>-1206.0999999999999</v>
      </c>
      <c r="CH231" s="48">
        <v>-2874.83</v>
      </c>
      <c r="CI231" s="48">
        <v>-1960.36</v>
      </c>
      <c r="CJ231" s="48">
        <v>-3253.64</v>
      </c>
      <c r="CK231" s="48">
        <v>3966.27</v>
      </c>
      <c r="CL231" s="48">
        <v>-2510.98</v>
      </c>
      <c r="CM231" s="48">
        <v>-1116.5</v>
      </c>
      <c r="CN231" s="48">
        <v>1063.33</v>
      </c>
      <c r="CO231" s="48">
        <v>10457.32</v>
      </c>
      <c r="CP231" s="48">
        <v>39407.85</v>
      </c>
      <c r="CQ231" s="48">
        <v>2468.21</v>
      </c>
      <c r="CR231" s="48">
        <v>636.54</v>
      </c>
      <c r="CS231" s="48">
        <v>-424.52</v>
      </c>
      <c r="CT231" s="48">
        <v>-141.5</v>
      </c>
      <c r="CU231" s="48">
        <v>-4318.1400000000003</v>
      </c>
      <c r="CV231" s="48">
        <v>2590.1799999999998</v>
      </c>
      <c r="CW231" s="48">
        <v>-189.73</v>
      </c>
      <c r="CX231" s="48">
        <v>-500.17</v>
      </c>
      <c r="CY231" s="48">
        <v>-602.41999999999996</v>
      </c>
      <c r="CZ231" s="48">
        <v>1160.52</v>
      </c>
      <c r="DA231" s="48">
        <v>-490.71</v>
      </c>
      <c r="DB231" s="48">
        <v>-51.2</v>
      </c>
      <c r="DC231" s="48">
        <v>0.2</v>
      </c>
      <c r="DD231" s="48">
        <v>6.12</v>
      </c>
      <c r="DE231" s="48">
        <f>VLOOKUP($C231,'[2]Analysis 1'!$C$5:$DG$1025,107,FALSE)</f>
        <v>-21.11</v>
      </c>
      <c r="DF231" s="48">
        <f>VLOOKUP($C231,'[2]Analysis 1'!$C$5:$DG$1025,108,FALSE)</f>
        <v>-93.73</v>
      </c>
      <c r="DG231" s="48">
        <f>VLOOKUP($C231,'[2]Analysis 1'!$C$5:$DG$1025,109,FALSE)</f>
        <v>-141.16999999999999</v>
      </c>
      <c r="DH231" s="369">
        <f t="shared" si="6"/>
        <v>1666.7799999999995</v>
      </c>
    </row>
    <row r="232" spans="1:112">
      <c r="A232" s="357" t="str">
        <f t="shared" si="7"/>
        <v>6401300</v>
      </c>
      <c r="B232" s="350" t="s">
        <v>2048</v>
      </c>
      <c r="C232" s="335" t="s">
        <v>1132</v>
      </c>
      <c r="D232" s="367">
        <v>0</v>
      </c>
      <c r="E232" s="367">
        <v>-2631.05</v>
      </c>
      <c r="F232" s="367">
        <v>0</v>
      </c>
      <c r="G232" s="367">
        <v>64.540000000000006</v>
      </c>
      <c r="H232" s="367">
        <v>134.11000000000001</v>
      </c>
      <c r="I232" s="367">
        <v>0</v>
      </c>
      <c r="J232" s="367">
        <v>0</v>
      </c>
      <c r="K232" s="367">
        <v>0</v>
      </c>
      <c r="L232" s="367">
        <v>0</v>
      </c>
      <c r="M232" s="367">
        <v>0</v>
      </c>
      <c r="N232" s="367">
        <v>0</v>
      </c>
      <c r="O232" s="368">
        <v>0</v>
      </c>
      <c r="P232" s="48">
        <v>0</v>
      </c>
      <c r="Q232" s="48">
        <v>0</v>
      </c>
      <c r="R232" s="48">
        <v>0</v>
      </c>
      <c r="S232" s="48">
        <v>0</v>
      </c>
      <c r="T232" s="48">
        <v>0</v>
      </c>
      <c r="U232" s="48">
        <v>0</v>
      </c>
      <c r="V232" s="48">
        <v>0</v>
      </c>
      <c r="W232" s="48">
        <v>0</v>
      </c>
      <c r="X232" s="48">
        <v>0</v>
      </c>
      <c r="Y232" s="48">
        <v>0</v>
      </c>
      <c r="Z232" s="48">
        <v>0</v>
      </c>
      <c r="AA232" s="48">
        <v>0</v>
      </c>
      <c r="AB232" s="48">
        <v>0</v>
      </c>
      <c r="AC232" s="48">
        <v>0</v>
      </c>
      <c r="AD232" s="48">
        <v>0</v>
      </c>
      <c r="AE232" s="48">
        <v>0</v>
      </c>
      <c r="AF232" s="48">
        <v>0</v>
      </c>
      <c r="AG232" s="48">
        <v>0</v>
      </c>
      <c r="AH232" s="48">
        <v>0</v>
      </c>
      <c r="AI232" s="48">
        <v>0</v>
      </c>
      <c r="AJ232" s="48">
        <v>0</v>
      </c>
      <c r="AK232" s="48">
        <v>0</v>
      </c>
      <c r="AL232" s="48">
        <v>0</v>
      </c>
      <c r="AM232" s="48">
        <v>0</v>
      </c>
      <c r="AN232" s="48">
        <v>0</v>
      </c>
      <c r="AO232" s="48">
        <v>0</v>
      </c>
      <c r="AP232" s="48">
        <v>0</v>
      </c>
      <c r="AQ232" s="48">
        <v>0</v>
      </c>
      <c r="AR232" s="48">
        <v>0</v>
      </c>
      <c r="AS232" s="48">
        <v>0</v>
      </c>
      <c r="AT232" s="48">
        <v>0</v>
      </c>
      <c r="AU232" s="48">
        <v>0</v>
      </c>
      <c r="AV232" s="48">
        <v>0</v>
      </c>
      <c r="AW232" s="48">
        <v>0</v>
      </c>
      <c r="AX232" s="48">
        <v>0</v>
      </c>
      <c r="AY232" s="48">
        <v>0</v>
      </c>
      <c r="AZ232" s="48">
        <v>0</v>
      </c>
      <c r="BA232" s="48">
        <v>0</v>
      </c>
      <c r="BB232" s="48">
        <v>0</v>
      </c>
      <c r="BC232" s="48">
        <v>0</v>
      </c>
      <c r="BD232" s="48">
        <v>0</v>
      </c>
      <c r="BE232" s="48">
        <v>0</v>
      </c>
      <c r="BF232" s="48">
        <v>0</v>
      </c>
      <c r="BG232" s="48">
        <v>0</v>
      </c>
      <c r="BH232" s="48">
        <v>0</v>
      </c>
      <c r="BI232" s="48">
        <v>0</v>
      </c>
      <c r="BJ232" s="48">
        <v>0</v>
      </c>
      <c r="BK232" s="48">
        <v>0</v>
      </c>
      <c r="BL232" s="48">
        <v>0</v>
      </c>
      <c r="BM232" s="48">
        <v>0</v>
      </c>
      <c r="BN232" s="48">
        <v>0</v>
      </c>
      <c r="BO232" s="48">
        <v>0</v>
      </c>
      <c r="BP232" s="48">
        <v>0</v>
      </c>
      <c r="BQ232" s="48">
        <v>0</v>
      </c>
      <c r="BR232" s="48">
        <v>0</v>
      </c>
      <c r="BS232" s="48">
        <v>0</v>
      </c>
      <c r="BT232" s="48">
        <v>0</v>
      </c>
      <c r="BU232" s="48">
        <v>0</v>
      </c>
      <c r="BV232" s="48">
        <v>0</v>
      </c>
      <c r="BW232" s="48">
        <v>0</v>
      </c>
      <c r="BX232" s="48">
        <v>0</v>
      </c>
      <c r="BY232" s="48">
        <v>0</v>
      </c>
      <c r="BZ232" s="48">
        <v>0</v>
      </c>
      <c r="CA232" s="48">
        <v>0</v>
      </c>
      <c r="CB232" s="48">
        <v>0</v>
      </c>
      <c r="CC232" s="48">
        <v>0</v>
      </c>
      <c r="CD232" s="48">
        <v>0</v>
      </c>
      <c r="CE232" s="48">
        <v>0</v>
      </c>
      <c r="CF232" s="48">
        <v>0</v>
      </c>
      <c r="CG232" s="48">
        <v>0</v>
      </c>
      <c r="CH232" s="48">
        <v>0</v>
      </c>
      <c r="CI232" s="48">
        <v>0</v>
      </c>
      <c r="CJ232" s="48">
        <v>0</v>
      </c>
      <c r="CK232" s="48">
        <v>0</v>
      </c>
      <c r="CL232" s="48">
        <v>0</v>
      </c>
      <c r="CM232" s="48">
        <v>0</v>
      </c>
      <c r="CN232" s="48">
        <v>0</v>
      </c>
      <c r="CO232" s="48">
        <v>0</v>
      </c>
      <c r="CP232" s="48">
        <v>0</v>
      </c>
      <c r="CQ232" s="48">
        <v>0</v>
      </c>
      <c r="CR232" s="48">
        <v>0</v>
      </c>
      <c r="CS232" s="48">
        <v>0</v>
      </c>
      <c r="CT232" s="48">
        <v>0</v>
      </c>
      <c r="CU232" s="48">
        <v>0</v>
      </c>
      <c r="CV232" s="48">
        <v>0</v>
      </c>
      <c r="CW232" s="48">
        <v>0</v>
      </c>
      <c r="CX232" s="48">
        <v>0</v>
      </c>
      <c r="CY232" s="48">
        <v>0</v>
      </c>
      <c r="CZ232" s="48">
        <v>0</v>
      </c>
      <c r="DA232" s="48">
        <v>0</v>
      </c>
      <c r="DB232" s="48">
        <v>0</v>
      </c>
      <c r="DC232" s="48">
        <v>0</v>
      </c>
      <c r="DD232" s="48">
        <v>0</v>
      </c>
      <c r="DE232" s="48">
        <f>VLOOKUP($C232,'[2]Analysis 1'!$C$5:$DG$1025,107,FALSE)</f>
        <v>0</v>
      </c>
      <c r="DF232" s="48">
        <f>VLOOKUP($C232,'[2]Analysis 1'!$C$5:$DG$1025,108,FALSE)</f>
        <v>0</v>
      </c>
      <c r="DG232" s="48">
        <f>VLOOKUP($C232,'[2]Analysis 1'!$C$5:$DG$1025,109,FALSE)</f>
        <v>0</v>
      </c>
      <c r="DH232" s="369">
        <f t="shared" si="6"/>
        <v>0</v>
      </c>
    </row>
    <row r="233" spans="1:112">
      <c r="A233" s="357" t="str">
        <f t="shared" si="7"/>
        <v>6408999</v>
      </c>
      <c r="B233" s="350" t="s">
        <v>2047</v>
      </c>
      <c r="C233" s="335" t="s">
        <v>1133</v>
      </c>
      <c r="D233" s="367">
        <v>1026893.67</v>
      </c>
      <c r="E233" s="367">
        <v>0</v>
      </c>
      <c r="F233" s="367">
        <v>0</v>
      </c>
      <c r="G233" s="367">
        <v>-3981.66</v>
      </c>
      <c r="H233" s="367">
        <v>3981.66</v>
      </c>
      <c r="I233" s="367">
        <v>0</v>
      </c>
      <c r="J233" s="367">
        <v>0</v>
      </c>
      <c r="K233" s="367">
        <v>0</v>
      </c>
      <c r="L233" s="367">
        <v>0</v>
      </c>
      <c r="M233" s="367">
        <v>-959650.73</v>
      </c>
      <c r="N233" s="367">
        <v>641</v>
      </c>
      <c r="O233" s="368">
        <v>12135.48</v>
      </c>
      <c r="P233" s="48">
        <v>0</v>
      </c>
      <c r="Q233" s="48">
        <v>0</v>
      </c>
      <c r="R233" s="48">
        <v>0</v>
      </c>
      <c r="S233" s="48">
        <v>0</v>
      </c>
      <c r="T233" s="48">
        <v>-1137.6600000000001</v>
      </c>
      <c r="U233" s="48">
        <v>0</v>
      </c>
      <c r="V233" s="48">
        <v>-0.44</v>
      </c>
      <c r="W233" s="48">
        <v>0</v>
      </c>
      <c r="X233" s="48">
        <v>0</v>
      </c>
      <c r="Y233" s="48">
        <v>0</v>
      </c>
      <c r="Z233" s="48">
        <v>-6963.15</v>
      </c>
      <c r="AA233" s="48">
        <v>-873.64</v>
      </c>
      <c r="AB233" s="48">
        <v>-29.29</v>
      </c>
      <c r="AC233" s="48">
        <v>0</v>
      </c>
      <c r="AD233" s="48">
        <v>0</v>
      </c>
      <c r="AE233" s="48">
        <v>0</v>
      </c>
      <c r="AF233" s="48">
        <v>0</v>
      </c>
      <c r="AG233" s="48">
        <v>0</v>
      </c>
      <c r="AH233" s="48">
        <v>0</v>
      </c>
      <c r="AI233" s="48">
        <v>0</v>
      </c>
      <c r="AJ233" s="48">
        <v>0</v>
      </c>
      <c r="AK233" s="48">
        <v>0</v>
      </c>
      <c r="AL233" s="48">
        <v>0</v>
      </c>
      <c r="AM233" s="48">
        <v>-85500</v>
      </c>
      <c r="AN233" s="48">
        <v>0</v>
      </c>
      <c r="AO233" s="48">
        <v>0</v>
      </c>
      <c r="AP233" s="48">
        <v>0</v>
      </c>
      <c r="AQ233" s="48">
        <v>0</v>
      </c>
      <c r="AR233" s="48">
        <v>0</v>
      </c>
      <c r="AS233" s="48">
        <v>0</v>
      </c>
      <c r="AT233" s="48">
        <v>0</v>
      </c>
      <c r="AU233" s="48">
        <v>0</v>
      </c>
      <c r="AV233" s="48">
        <v>0</v>
      </c>
      <c r="AW233" s="48">
        <v>0</v>
      </c>
      <c r="AX233" s="48">
        <v>0</v>
      </c>
      <c r="AY233" s="48">
        <v>0</v>
      </c>
      <c r="AZ233" s="48">
        <v>0</v>
      </c>
      <c r="BA233" s="48">
        <v>0</v>
      </c>
      <c r="BB233" s="48">
        <v>0</v>
      </c>
      <c r="BC233" s="48">
        <v>0</v>
      </c>
      <c r="BD233" s="48">
        <v>0</v>
      </c>
      <c r="BE233" s="48">
        <v>48.79</v>
      </c>
      <c r="BF233" s="48">
        <v>0</v>
      </c>
      <c r="BG233" s="48">
        <v>-452827.39</v>
      </c>
      <c r="BH233" s="48">
        <v>452901.08</v>
      </c>
      <c r="BI233" s="48">
        <v>0</v>
      </c>
      <c r="BJ233" s="48">
        <v>48.79</v>
      </c>
      <c r="BK233" s="48">
        <v>161168.89000000001</v>
      </c>
      <c r="BL233" s="48">
        <v>0</v>
      </c>
      <c r="BM233" s="48">
        <v>0</v>
      </c>
      <c r="BN233" s="48">
        <v>0</v>
      </c>
      <c r="BO233" s="48">
        <v>11440.09</v>
      </c>
      <c r="BP233" s="48">
        <v>0</v>
      </c>
      <c r="BQ233" s="48">
        <v>0</v>
      </c>
      <c r="BR233" s="48">
        <v>0</v>
      </c>
      <c r="BS233" s="48">
        <v>0</v>
      </c>
      <c r="BT233" s="48">
        <v>0</v>
      </c>
      <c r="BU233" s="48">
        <v>0</v>
      </c>
      <c r="BV233" s="48">
        <v>0</v>
      </c>
      <c r="BW233" s="48">
        <v>30170.34</v>
      </c>
      <c r="BX233" s="48">
        <v>0</v>
      </c>
      <c r="BY233" s="48">
        <v>0</v>
      </c>
      <c r="BZ233" s="48">
        <v>0</v>
      </c>
      <c r="CA233" s="48">
        <v>0</v>
      </c>
      <c r="CB233" s="48">
        <v>0</v>
      </c>
      <c r="CC233" s="48">
        <v>0</v>
      </c>
      <c r="CD233" s="48">
        <v>0</v>
      </c>
      <c r="CE233" s="48">
        <v>101945.03</v>
      </c>
      <c r="CF233" s="48">
        <v>56526.81</v>
      </c>
      <c r="CG233" s="48">
        <v>0</v>
      </c>
      <c r="CH233" s="48">
        <v>0</v>
      </c>
      <c r="CI233" s="48">
        <v>0</v>
      </c>
      <c r="CJ233" s="48">
        <v>0</v>
      </c>
      <c r="CK233" s="48">
        <v>876.27</v>
      </c>
      <c r="CL233" s="48">
        <v>0</v>
      </c>
      <c r="CM233" s="48">
        <v>2469.14</v>
      </c>
      <c r="CN233" s="48">
        <v>0</v>
      </c>
      <c r="CO233" s="48">
        <v>83903.02</v>
      </c>
      <c r="CP233" s="48">
        <v>63300</v>
      </c>
      <c r="CQ233" s="48">
        <v>0</v>
      </c>
      <c r="CR233" s="48">
        <v>384738.61</v>
      </c>
      <c r="CS233" s="48">
        <v>0</v>
      </c>
      <c r="CT233" s="48">
        <v>19092.32</v>
      </c>
      <c r="CU233" s="48">
        <v>226.63</v>
      </c>
      <c r="CV233" s="48">
        <v>0</v>
      </c>
      <c r="CW233" s="48">
        <v>74.12</v>
      </c>
      <c r="CX233" s="48">
        <v>1177.97</v>
      </c>
      <c r="CY233" s="48">
        <v>0</v>
      </c>
      <c r="CZ233" s="48">
        <v>0</v>
      </c>
      <c r="DA233" s="48">
        <v>0</v>
      </c>
      <c r="DB233" s="48">
        <v>0</v>
      </c>
      <c r="DC233" s="48">
        <v>22825.48</v>
      </c>
      <c r="DD233" s="48">
        <v>0</v>
      </c>
      <c r="DE233" s="48">
        <f>VLOOKUP($C233,'[2]Analysis 1'!$C$5:$DG$1025,107,FALSE)</f>
        <v>-8381.5300000000007</v>
      </c>
      <c r="DF233" s="48">
        <f>VLOOKUP($C233,'[2]Analysis 1'!$C$5:$DG$1025,108,FALSE)</f>
        <v>8381.5300000000007</v>
      </c>
      <c r="DG233" s="48">
        <f>VLOOKUP($C233,'[2]Analysis 1'!$C$5:$DG$1025,109,FALSE)</f>
        <v>162.13</v>
      </c>
      <c r="DH233" s="369">
        <f t="shared" si="6"/>
        <v>24239.7</v>
      </c>
    </row>
    <row r="234" spans="1:112">
      <c r="A234" s="357" t="str">
        <f t="shared" si="7"/>
        <v>6409000</v>
      </c>
      <c r="B234" s="350" t="s">
        <v>2049</v>
      </c>
      <c r="C234" s="335" t="s">
        <v>1134</v>
      </c>
      <c r="D234" s="340">
        <v>-2758645.01</v>
      </c>
      <c r="E234" s="340">
        <v>-920758.37</v>
      </c>
      <c r="F234" s="340">
        <v>-1381855.96</v>
      </c>
      <c r="G234" s="340">
        <v>-1695441.76</v>
      </c>
      <c r="H234" s="340">
        <v>-1442301.38</v>
      </c>
      <c r="I234" s="340">
        <v>-1466946.29</v>
      </c>
      <c r="J234" s="340">
        <v>-2172415.09</v>
      </c>
      <c r="K234" s="340">
        <v>-1733613.53</v>
      </c>
      <c r="L234" s="340">
        <v>-1202704.48</v>
      </c>
      <c r="M234" s="340">
        <v>-1303447.6000000001</v>
      </c>
      <c r="N234" s="340">
        <v>-1409146.25</v>
      </c>
      <c r="O234" s="341">
        <v>-2819093.78</v>
      </c>
      <c r="P234" s="48">
        <v>-1005298.41</v>
      </c>
      <c r="Q234" s="48">
        <v>-817746.12</v>
      </c>
      <c r="R234" s="48">
        <v>-1718895.03</v>
      </c>
      <c r="S234" s="48">
        <v>-1639780.21</v>
      </c>
      <c r="T234" s="48">
        <v>-2066942.23</v>
      </c>
      <c r="U234" s="48">
        <v>-2029589.37</v>
      </c>
      <c r="V234" s="48">
        <v>-1823598.59</v>
      </c>
      <c r="W234" s="48">
        <v>-1502290.8</v>
      </c>
      <c r="X234" s="48">
        <v>-2032095.11</v>
      </c>
      <c r="Y234" s="48">
        <v>-2183928.1800000002</v>
      </c>
      <c r="Z234" s="48">
        <v>-3592335.43</v>
      </c>
      <c r="AA234" s="48">
        <v>-4064351.95</v>
      </c>
      <c r="AB234" s="48">
        <v>-706616.8</v>
      </c>
      <c r="AC234" s="48">
        <v>-2118030.9500000002</v>
      </c>
      <c r="AD234" s="48">
        <v>-2335664.17</v>
      </c>
      <c r="AE234" s="48">
        <v>-1813758.93</v>
      </c>
      <c r="AF234" s="48">
        <v>-1710020.85</v>
      </c>
      <c r="AG234" s="48">
        <v>-3897707.61</v>
      </c>
      <c r="AH234" s="48">
        <v>-1720276.09</v>
      </c>
      <c r="AI234" s="48">
        <v>-2326367.0099999998</v>
      </c>
      <c r="AJ234" s="48">
        <v>-2040477.11</v>
      </c>
      <c r="AK234" s="48">
        <v>-2089394.06</v>
      </c>
      <c r="AL234" s="48">
        <v>-2279002</v>
      </c>
      <c r="AM234" s="48">
        <v>-3067547.3</v>
      </c>
      <c r="AN234" s="48">
        <v>-1462777.24</v>
      </c>
      <c r="AO234" s="48">
        <v>-1672115.31</v>
      </c>
      <c r="AP234" s="48">
        <v>-2252201.09</v>
      </c>
      <c r="AQ234" s="48">
        <v>-1510765.73</v>
      </c>
      <c r="AR234" s="48">
        <v>-2967458.42</v>
      </c>
      <c r="AS234" s="48">
        <v>-1959867.59</v>
      </c>
      <c r="AT234" s="48">
        <v>-2650906.85</v>
      </c>
      <c r="AU234" s="48">
        <v>-3083565.28</v>
      </c>
      <c r="AV234" s="48">
        <v>-2551535.0299999998</v>
      </c>
      <c r="AW234" s="48">
        <v>-2580997.5</v>
      </c>
      <c r="AX234" s="48">
        <v>-1884347.65</v>
      </c>
      <c r="AY234" s="48">
        <v>-3984262.28</v>
      </c>
      <c r="AZ234" s="48">
        <v>-1420871.9</v>
      </c>
      <c r="BA234" s="48">
        <v>-1528271.19</v>
      </c>
      <c r="BB234" s="48">
        <v>-3159835.78</v>
      </c>
      <c r="BC234" s="48">
        <v>-1848206.21</v>
      </c>
      <c r="BD234" s="48">
        <v>-3369369.19</v>
      </c>
      <c r="BE234" s="48">
        <v>-2385002.71</v>
      </c>
      <c r="BF234" s="48">
        <v>-2278675</v>
      </c>
      <c r="BG234" s="48">
        <v>-3450410.86</v>
      </c>
      <c r="BH234" s="48">
        <v>-5359974.1100000003</v>
      </c>
      <c r="BI234" s="48">
        <v>-3085838.56</v>
      </c>
      <c r="BJ234" s="48">
        <v>-3452224.34</v>
      </c>
      <c r="BK234" s="48">
        <v>-3423844.66</v>
      </c>
      <c r="BL234" s="48">
        <v>-2110527.15</v>
      </c>
      <c r="BM234" s="48">
        <v>-2501240.35</v>
      </c>
      <c r="BN234" s="48">
        <v>-3936260.13</v>
      </c>
      <c r="BO234" s="48">
        <v>-2576315.1</v>
      </c>
      <c r="BP234" s="48">
        <v>-3185382.69</v>
      </c>
      <c r="BQ234" s="48">
        <v>-3469052.66</v>
      </c>
      <c r="BR234" s="48">
        <v>-4032479.04</v>
      </c>
      <c r="BS234" s="48">
        <v>-2984259.98</v>
      </c>
      <c r="BT234" s="48">
        <v>-2704487.76</v>
      </c>
      <c r="BU234" s="48">
        <v>-4211562.62</v>
      </c>
      <c r="BV234" s="48">
        <v>-2498060</v>
      </c>
      <c r="BW234" s="48">
        <v>-8113109.3899999997</v>
      </c>
      <c r="BX234" s="48">
        <v>-4576454.42</v>
      </c>
      <c r="BY234" s="48">
        <v>-3074556.9</v>
      </c>
      <c r="BZ234" s="48">
        <v>-2823729.72</v>
      </c>
      <c r="CA234" s="48">
        <v>-4456861.91</v>
      </c>
      <c r="CB234" s="48">
        <v>-5733922.71</v>
      </c>
      <c r="CC234" s="48">
        <v>-4787216.2</v>
      </c>
      <c r="CD234" s="48">
        <v>-4033866.19</v>
      </c>
      <c r="CE234" s="48">
        <v>-8669109.6999999993</v>
      </c>
      <c r="CF234" s="48">
        <v>-6339240.3300000001</v>
      </c>
      <c r="CG234" s="48">
        <v>-4466791.9000000004</v>
      </c>
      <c r="CH234" s="48">
        <v>-5829363.1299999999</v>
      </c>
      <c r="CI234" s="48">
        <v>-5616227.7300000004</v>
      </c>
      <c r="CJ234" s="48">
        <v>-4121136.4</v>
      </c>
      <c r="CK234" s="48">
        <v>-1691773.01</v>
      </c>
      <c r="CL234" s="48">
        <v>-2705260.6</v>
      </c>
      <c r="CM234" s="48">
        <v>-3531773.36</v>
      </c>
      <c r="CN234" s="48">
        <v>-2761956.59</v>
      </c>
      <c r="CO234" s="48">
        <v>-4711989.93</v>
      </c>
      <c r="CP234" s="48">
        <v>-11371396.76</v>
      </c>
      <c r="CQ234" s="48">
        <v>-4911564.78</v>
      </c>
      <c r="CR234" s="48">
        <v>-4199378.24</v>
      </c>
      <c r="CS234" s="48">
        <v>-4901816.71</v>
      </c>
      <c r="CT234" s="48">
        <v>-4179269.59</v>
      </c>
      <c r="CU234" s="48">
        <v>-7019557.3899999997</v>
      </c>
      <c r="CV234" s="48">
        <v>-3518727.79</v>
      </c>
      <c r="CW234" s="48">
        <v>-4035774.88</v>
      </c>
      <c r="CX234" s="48">
        <v>-5635484.4100000001</v>
      </c>
      <c r="CY234" s="48">
        <v>-3691653.92</v>
      </c>
      <c r="CZ234" s="48">
        <v>-3751600.4</v>
      </c>
      <c r="DA234" s="48">
        <v>-5347840.16</v>
      </c>
      <c r="DB234" s="48">
        <v>-4090204.01</v>
      </c>
      <c r="DC234" s="48">
        <v>-5305238.12</v>
      </c>
      <c r="DD234" s="48">
        <v>-6300967.1900000004</v>
      </c>
      <c r="DE234" s="48">
        <f>VLOOKUP($C234,'[2]Analysis 1'!$C$5:$DG$1025,107,FALSE)</f>
        <v>-4348603.97</v>
      </c>
      <c r="DF234" s="48">
        <f>VLOOKUP($C234,'[2]Analysis 1'!$C$5:$DG$1025,108,FALSE)</f>
        <v>-4198940.3899999997</v>
      </c>
      <c r="DG234" s="48">
        <f>VLOOKUP($C234,'[2]Analysis 1'!$C$5:$DG$1025,109,FALSE)</f>
        <v>-8809582.7599999998</v>
      </c>
      <c r="DH234" s="369">
        <f t="shared" si="6"/>
        <v>-59034617.999999993</v>
      </c>
    </row>
    <row r="235" spans="1:112">
      <c r="A235" s="357" t="str">
        <f t="shared" si="7"/>
        <v>6500010</v>
      </c>
      <c r="B235" s="350" t="s">
        <v>2050</v>
      </c>
      <c r="C235" s="335" t="s">
        <v>1135</v>
      </c>
      <c r="D235" s="340">
        <v>82290.67</v>
      </c>
      <c r="E235" s="340">
        <v>82751.92</v>
      </c>
      <c r="F235" s="340">
        <v>98162.95</v>
      </c>
      <c r="G235" s="340">
        <v>66569.990000000005</v>
      </c>
      <c r="H235" s="340">
        <v>91203.44</v>
      </c>
      <c r="I235" s="340">
        <v>92610.14</v>
      </c>
      <c r="J235" s="340">
        <v>83068.83</v>
      </c>
      <c r="K235" s="340">
        <v>115090.97</v>
      </c>
      <c r="L235" s="340">
        <v>59249.68</v>
      </c>
      <c r="M235" s="340">
        <v>162576.28</v>
      </c>
      <c r="N235" s="340">
        <v>61791.65</v>
      </c>
      <c r="O235" s="341">
        <v>65772.69</v>
      </c>
      <c r="P235" s="48">
        <v>50632.09</v>
      </c>
      <c r="Q235" s="48">
        <v>66504.42</v>
      </c>
      <c r="R235" s="48">
        <v>63185.15</v>
      </c>
      <c r="S235" s="48">
        <v>77760.639999999999</v>
      </c>
      <c r="T235" s="48">
        <v>119029.41</v>
      </c>
      <c r="U235" s="48">
        <v>71557.94</v>
      </c>
      <c r="V235" s="48">
        <v>80732.84</v>
      </c>
      <c r="W235" s="48">
        <v>69941.47</v>
      </c>
      <c r="X235" s="48">
        <v>76524.75</v>
      </c>
      <c r="Y235" s="48">
        <v>63626.5</v>
      </c>
      <c r="Z235" s="48">
        <v>119308.45</v>
      </c>
      <c r="AA235" s="48">
        <v>73138.69</v>
      </c>
      <c r="AB235" s="48">
        <v>13316.47</v>
      </c>
      <c r="AC235" s="48">
        <v>65655.740000000005</v>
      </c>
      <c r="AD235" s="48">
        <v>109954.69</v>
      </c>
      <c r="AE235" s="48">
        <v>86849.29</v>
      </c>
      <c r="AF235" s="48">
        <v>77943.520000000004</v>
      </c>
      <c r="AG235" s="48">
        <v>80254.95</v>
      </c>
      <c r="AH235" s="48">
        <v>80448.490000000005</v>
      </c>
      <c r="AI235" s="48">
        <v>84474.34</v>
      </c>
      <c r="AJ235" s="48">
        <v>78444.08</v>
      </c>
      <c r="AK235" s="48">
        <v>166089.15</v>
      </c>
      <c r="AL235" s="48">
        <v>66982.960000000006</v>
      </c>
      <c r="AM235" s="48">
        <v>102320.4</v>
      </c>
      <c r="AN235" s="48">
        <v>72855.009999999995</v>
      </c>
      <c r="AO235" s="48">
        <v>92155.83</v>
      </c>
      <c r="AP235" s="48">
        <v>129366.86</v>
      </c>
      <c r="AQ235" s="48">
        <v>104835.62</v>
      </c>
      <c r="AR235" s="48">
        <v>58584.42</v>
      </c>
      <c r="AS235" s="48">
        <v>103822.65</v>
      </c>
      <c r="AT235" s="48">
        <v>77993.83</v>
      </c>
      <c r="AU235" s="48">
        <v>73673.42</v>
      </c>
      <c r="AV235" s="48">
        <v>85244.97</v>
      </c>
      <c r="AW235" s="48">
        <v>70444.160000000003</v>
      </c>
      <c r="AX235" s="48">
        <v>87179.89</v>
      </c>
      <c r="AY235" s="48">
        <v>126385.77</v>
      </c>
      <c r="AZ235" s="48">
        <v>52373.33</v>
      </c>
      <c r="BA235" s="48">
        <v>85210.8</v>
      </c>
      <c r="BB235" s="48">
        <v>76488.02</v>
      </c>
      <c r="BC235" s="48">
        <v>60060.35</v>
      </c>
      <c r="BD235" s="48">
        <v>136767.42000000001</v>
      </c>
      <c r="BE235" s="48">
        <v>56508.68</v>
      </c>
      <c r="BF235" s="48">
        <v>111269.49</v>
      </c>
      <c r="BG235" s="48">
        <v>96830.26</v>
      </c>
      <c r="BH235" s="48">
        <v>52159.83</v>
      </c>
      <c r="BI235" s="48">
        <v>112341.15</v>
      </c>
      <c r="BJ235" s="48">
        <v>83777.320000000007</v>
      </c>
      <c r="BK235" s="48">
        <v>129895.16</v>
      </c>
      <c r="BL235" s="48">
        <v>61156.76</v>
      </c>
      <c r="BM235" s="48">
        <v>111669.02</v>
      </c>
      <c r="BN235" s="48">
        <v>125516.73</v>
      </c>
      <c r="BO235" s="48">
        <v>82252.789999999994</v>
      </c>
      <c r="BP235" s="48">
        <v>92542.76</v>
      </c>
      <c r="BQ235" s="48">
        <v>86585.44</v>
      </c>
      <c r="BR235" s="48">
        <v>93764.84</v>
      </c>
      <c r="BS235" s="48">
        <v>108406.8</v>
      </c>
      <c r="BT235" s="48">
        <v>61711.71</v>
      </c>
      <c r="BU235" s="48">
        <v>106888.97</v>
      </c>
      <c r="BV235" s="48">
        <v>99646.95</v>
      </c>
      <c r="BW235" s="48">
        <v>126823.49</v>
      </c>
      <c r="BX235" s="48">
        <v>63789.51</v>
      </c>
      <c r="BY235" s="48">
        <v>90871.74</v>
      </c>
      <c r="BZ235" s="48">
        <v>77757.399999999994</v>
      </c>
      <c r="CA235" s="48">
        <v>106774.93</v>
      </c>
      <c r="CB235" s="48">
        <v>70560.02</v>
      </c>
      <c r="CC235" s="48">
        <v>46811.54</v>
      </c>
      <c r="CD235" s="48">
        <v>93693.65</v>
      </c>
      <c r="CE235" s="48">
        <v>95853</v>
      </c>
      <c r="CF235" s="48">
        <v>69294.47</v>
      </c>
      <c r="CG235" s="48">
        <v>81386.460000000006</v>
      </c>
      <c r="CH235" s="48">
        <v>71092.25</v>
      </c>
      <c r="CI235" s="48">
        <v>125792.62</v>
      </c>
      <c r="CJ235" s="48">
        <v>42583.53</v>
      </c>
      <c r="CK235" s="48">
        <v>104889.31</v>
      </c>
      <c r="CL235" s="48">
        <v>67520.7</v>
      </c>
      <c r="CM235" s="48">
        <v>118971.97</v>
      </c>
      <c r="CN235" s="48">
        <v>62273.67</v>
      </c>
      <c r="CO235" s="48">
        <v>128691.57</v>
      </c>
      <c r="CP235" s="48">
        <v>176299.67</v>
      </c>
      <c r="CQ235" s="48">
        <v>90601.33</v>
      </c>
      <c r="CR235" s="48">
        <v>71065.62</v>
      </c>
      <c r="CS235" s="48">
        <v>155657.04</v>
      </c>
      <c r="CT235" s="48">
        <v>93574.82</v>
      </c>
      <c r="CU235" s="48">
        <v>103274.37</v>
      </c>
      <c r="CV235" s="48">
        <v>90585.29</v>
      </c>
      <c r="CW235" s="48">
        <v>81292.52</v>
      </c>
      <c r="CX235" s="48">
        <v>137633.71</v>
      </c>
      <c r="CY235" s="48">
        <v>211481.98</v>
      </c>
      <c r="CZ235" s="48">
        <v>54435.02</v>
      </c>
      <c r="DA235" s="48">
        <v>61790.879999999997</v>
      </c>
      <c r="DB235" s="48">
        <v>72198.490000000005</v>
      </c>
      <c r="DC235" s="48">
        <v>135126.09</v>
      </c>
      <c r="DD235" s="48">
        <v>102753.35</v>
      </c>
      <c r="DE235" s="48">
        <f>VLOOKUP($C235,'[2]Analysis 1'!$C$5:$DG$1025,107,FALSE)</f>
        <v>167438.37</v>
      </c>
      <c r="DF235" s="48">
        <f>VLOOKUP($C235,'[2]Analysis 1'!$C$5:$DG$1025,108,FALSE)</f>
        <v>232029.45</v>
      </c>
      <c r="DG235" s="48">
        <f>VLOOKUP($C235,'[2]Analysis 1'!$C$5:$DG$1025,109,FALSE)</f>
        <v>130237.37</v>
      </c>
      <c r="DH235" s="369">
        <f t="shared" si="6"/>
        <v>1477002.52</v>
      </c>
    </row>
    <row r="236" spans="1:112">
      <c r="A236" s="357" t="str">
        <f t="shared" si="7"/>
        <v>6500015</v>
      </c>
      <c r="B236" s="350" t="s">
        <v>2051</v>
      </c>
      <c r="C236" s="335" t="s">
        <v>1136</v>
      </c>
      <c r="D236" s="367">
        <v>102151.31</v>
      </c>
      <c r="E236" s="367">
        <v>108533.07</v>
      </c>
      <c r="F236" s="367">
        <v>110507.11</v>
      </c>
      <c r="G236" s="367">
        <v>85669.21</v>
      </c>
      <c r="H236" s="367">
        <v>118527.05</v>
      </c>
      <c r="I236" s="367">
        <v>115356.25</v>
      </c>
      <c r="J236" s="367">
        <v>137077.09</v>
      </c>
      <c r="K236" s="367">
        <v>121006.48</v>
      </c>
      <c r="L236" s="367">
        <v>120425.63</v>
      </c>
      <c r="M236" s="367">
        <v>138226.09</v>
      </c>
      <c r="N236" s="367">
        <v>140663.67000000001</v>
      </c>
      <c r="O236" s="368">
        <v>99592.87</v>
      </c>
      <c r="P236" s="48">
        <v>97811.67</v>
      </c>
      <c r="Q236" s="48">
        <v>87664.71</v>
      </c>
      <c r="R236" s="48">
        <v>84446.23</v>
      </c>
      <c r="S236" s="48">
        <v>109891.07</v>
      </c>
      <c r="T236" s="48">
        <v>108263.18</v>
      </c>
      <c r="U236" s="48">
        <v>107299.84</v>
      </c>
      <c r="V236" s="48">
        <v>120516.43</v>
      </c>
      <c r="W236" s="48">
        <v>101631</v>
      </c>
      <c r="X236" s="48">
        <v>100259.04</v>
      </c>
      <c r="Y236" s="48">
        <v>98761.14</v>
      </c>
      <c r="Z236" s="48">
        <v>102654.39999999999</v>
      </c>
      <c r="AA236" s="48">
        <v>85245.27</v>
      </c>
      <c r="AB236" s="48">
        <v>86348.25</v>
      </c>
      <c r="AC236" s="48">
        <v>84322.16</v>
      </c>
      <c r="AD236" s="48">
        <v>90733.68</v>
      </c>
      <c r="AE236" s="48">
        <v>85888.94</v>
      </c>
      <c r="AF236" s="48">
        <v>90756.99</v>
      </c>
      <c r="AG236" s="48">
        <v>99051.01</v>
      </c>
      <c r="AH236" s="48">
        <v>108583.23</v>
      </c>
      <c r="AI236" s="48">
        <v>92241.25</v>
      </c>
      <c r="AJ236" s="48">
        <v>106847.88</v>
      </c>
      <c r="AK236" s="48">
        <v>104561.28</v>
      </c>
      <c r="AL236" s="48">
        <v>120492.62</v>
      </c>
      <c r="AM236" s="48">
        <v>92986.41</v>
      </c>
      <c r="AN236" s="48">
        <v>85732.34</v>
      </c>
      <c r="AO236" s="48">
        <v>109492.93</v>
      </c>
      <c r="AP236" s="48">
        <v>99027.39</v>
      </c>
      <c r="AQ236" s="48">
        <v>99666.26</v>
      </c>
      <c r="AR236" s="48">
        <v>104591</v>
      </c>
      <c r="AS236" s="48">
        <v>119544.71</v>
      </c>
      <c r="AT236" s="48">
        <v>109208.19</v>
      </c>
      <c r="AU236" s="48">
        <v>98542.16</v>
      </c>
      <c r="AV236" s="48">
        <v>127829.14</v>
      </c>
      <c r="AW236" s="48">
        <v>114084.48</v>
      </c>
      <c r="AX236" s="48">
        <v>118764.48</v>
      </c>
      <c r="AY236" s="48">
        <v>111069.2</v>
      </c>
      <c r="AZ236" s="48">
        <v>97746.72</v>
      </c>
      <c r="BA236" s="48">
        <v>129975.23</v>
      </c>
      <c r="BB236" s="48">
        <v>119032.49</v>
      </c>
      <c r="BC236" s="48">
        <v>121195.64</v>
      </c>
      <c r="BD236" s="48">
        <v>127484.97</v>
      </c>
      <c r="BE236" s="48">
        <v>134312.09</v>
      </c>
      <c r="BF236" s="48">
        <v>134924.04</v>
      </c>
      <c r="BG236" s="48">
        <v>159017.15</v>
      </c>
      <c r="BH236" s="48">
        <v>133982.01999999999</v>
      </c>
      <c r="BI236" s="48">
        <v>128700.48</v>
      </c>
      <c r="BJ236" s="48">
        <v>147143.91</v>
      </c>
      <c r="BK236" s="48">
        <v>130993.61</v>
      </c>
      <c r="BL236" s="48">
        <v>98353.72</v>
      </c>
      <c r="BM236" s="48">
        <v>138757</v>
      </c>
      <c r="BN236" s="48">
        <v>89637.3</v>
      </c>
      <c r="BO236" s="48">
        <v>125041.81</v>
      </c>
      <c r="BP236" s="48">
        <v>129403.89</v>
      </c>
      <c r="BQ236" s="48">
        <v>135457.41</v>
      </c>
      <c r="BR236" s="48">
        <v>115093.07</v>
      </c>
      <c r="BS236" s="48">
        <v>140107.51999999999</v>
      </c>
      <c r="BT236" s="48">
        <v>140317.12</v>
      </c>
      <c r="BU236" s="48">
        <v>121235.06</v>
      </c>
      <c r="BV236" s="48">
        <v>141316.85</v>
      </c>
      <c r="BW236" s="48">
        <v>113365.75999999999</v>
      </c>
      <c r="BX236" s="48">
        <v>117773.78</v>
      </c>
      <c r="BY236" s="48">
        <v>135300.34</v>
      </c>
      <c r="BZ236" s="48">
        <v>124370.56</v>
      </c>
      <c r="CA236" s="48">
        <v>105916.1</v>
      </c>
      <c r="CB236" s="48">
        <v>85671.44</v>
      </c>
      <c r="CC236" s="48">
        <v>81964.52</v>
      </c>
      <c r="CD236" s="48">
        <v>106780.66</v>
      </c>
      <c r="CE236" s="48">
        <v>111063.63</v>
      </c>
      <c r="CF236" s="48">
        <v>107521.33</v>
      </c>
      <c r="CG236" s="48">
        <v>114629.14</v>
      </c>
      <c r="CH236" s="48">
        <v>116804.52</v>
      </c>
      <c r="CI236" s="48">
        <v>92227.520000000004</v>
      </c>
      <c r="CJ236" s="48">
        <v>104034.91</v>
      </c>
      <c r="CK236" s="48">
        <v>109252.26</v>
      </c>
      <c r="CL236" s="48">
        <v>123241.45</v>
      </c>
      <c r="CM236" s="48">
        <v>153745.13</v>
      </c>
      <c r="CN236" s="48">
        <v>138229.28</v>
      </c>
      <c r="CO236" s="48">
        <v>136601.45000000001</v>
      </c>
      <c r="CP236" s="48">
        <v>150155.65</v>
      </c>
      <c r="CQ236" s="48">
        <v>174614.13</v>
      </c>
      <c r="CR236" s="48">
        <v>169082.22</v>
      </c>
      <c r="CS236" s="48">
        <v>167118.35999999999</v>
      </c>
      <c r="CT236" s="48">
        <v>176100.67</v>
      </c>
      <c r="CU236" s="48">
        <v>154221.82999999999</v>
      </c>
      <c r="CV236" s="48">
        <v>152146.13</v>
      </c>
      <c r="CW236" s="48">
        <v>166918.43</v>
      </c>
      <c r="CX236" s="48">
        <v>178761.92</v>
      </c>
      <c r="CY236" s="48">
        <v>235523.26</v>
      </c>
      <c r="CZ236" s="48">
        <v>214091.64</v>
      </c>
      <c r="DA236" s="48">
        <v>243820.51</v>
      </c>
      <c r="DB236" s="48">
        <v>283312.40999999997</v>
      </c>
      <c r="DC236" s="48">
        <v>238027.37</v>
      </c>
      <c r="DD236" s="48">
        <v>245219.5</v>
      </c>
      <c r="DE236" s="48">
        <f>VLOOKUP($C236,'[2]Analysis 1'!$C$5:$DG$1025,107,FALSE)</f>
        <v>208364.5</v>
      </c>
      <c r="DF236" s="48">
        <f>VLOOKUP($C236,'[2]Analysis 1'!$C$5:$DG$1025,108,FALSE)</f>
        <v>202789.91</v>
      </c>
      <c r="DG236" s="48">
        <f>VLOOKUP($C236,'[2]Analysis 1'!$C$5:$DG$1025,109,FALSE)</f>
        <v>197160.23</v>
      </c>
      <c r="DH236" s="369">
        <f t="shared" si="6"/>
        <v>2566135.81</v>
      </c>
    </row>
    <row r="237" spans="1:112">
      <c r="A237" s="357" t="str">
        <f t="shared" si="7"/>
        <v>6500020</v>
      </c>
      <c r="B237" s="350" t="s">
        <v>2052</v>
      </c>
      <c r="C237" s="335" t="s">
        <v>1137</v>
      </c>
      <c r="D237" s="340">
        <v>130</v>
      </c>
      <c r="E237" s="340">
        <v>13</v>
      </c>
      <c r="F237" s="340">
        <v>156</v>
      </c>
      <c r="G237" s="340">
        <v>13</v>
      </c>
      <c r="H237" s="340">
        <v>11731.3</v>
      </c>
      <c r="I237" s="340">
        <v>143</v>
      </c>
      <c r="J237" s="340">
        <v>143</v>
      </c>
      <c r="K237" s="340">
        <v>-292.47000000000003</v>
      </c>
      <c r="L237" s="340">
        <v>221885</v>
      </c>
      <c r="M237" s="340">
        <v>228635.89</v>
      </c>
      <c r="N237" s="340">
        <v>143</v>
      </c>
      <c r="O237" s="341">
        <v>143</v>
      </c>
      <c r="P237" s="48">
        <v>143</v>
      </c>
      <c r="Q237" s="48">
        <v>143</v>
      </c>
      <c r="R237" s="48">
        <v>143</v>
      </c>
      <c r="S237" s="48">
        <v>192.15</v>
      </c>
      <c r="T237" s="48">
        <v>126.21</v>
      </c>
      <c r="U237" s="48">
        <v>147.41</v>
      </c>
      <c r="V237" s="48">
        <v>91</v>
      </c>
      <c r="W237" s="48">
        <v>-1104.27</v>
      </c>
      <c r="X237" s="48">
        <v>0</v>
      </c>
      <c r="Y237" s="48">
        <v>0</v>
      </c>
      <c r="Z237" s="48">
        <v>0</v>
      </c>
      <c r="AA237" s="48">
        <v>0</v>
      </c>
      <c r="AB237" s="48">
        <v>0</v>
      </c>
      <c r="AC237" s="48">
        <v>0</v>
      </c>
      <c r="AD237" s="48">
        <v>0</v>
      </c>
      <c r="AE237" s="48">
        <v>0</v>
      </c>
      <c r="AF237" s="48">
        <v>100.88</v>
      </c>
      <c r="AG237" s="48">
        <v>0</v>
      </c>
      <c r="AH237" s="48">
        <v>0</v>
      </c>
      <c r="AI237" s="48">
        <v>0</v>
      </c>
      <c r="AJ237" s="48">
        <v>0</v>
      </c>
      <c r="AK237" s="48">
        <v>0</v>
      </c>
      <c r="AL237" s="48">
        <v>0</v>
      </c>
      <c r="AM237" s="48">
        <v>98.01</v>
      </c>
      <c r="AN237" s="48">
        <v>619.59</v>
      </c>
      <c r="AO237" s="48">
        <v>0</v>
      </c>
      <c r="AP237" s="48">
        <v>191.23</v>
      </c>
      <c r="AQ237" s="48">
        <v>0</v>
      </c>
      <c r="AR237" s="48">
        <v>0</v>
      </c>
      <c r="AS237" s="48">
        <v>0</v>
      </c>
      <c r="AT237" s="48">
        <v>0</v>
      </c>
      <c r="AU237" s="48">
        <v>0</v>
      </c>
      <c r="AV237" s="48">
        <v>0</v>
      </c>
      <c r="AW237" s="48">
        <v>0</v>
      </c>
      <c r="AX237" s="48">
        <v>0</v>
      </c>
      <c r="AY237" s="48">
        <v>0</v>
      </c>
      <c r="AZ237" s="48">
        <v>0</v>
      </c>
      <c r="BA237" s="48">
        <v>0</v>
      </c>
      <c r="BB237" s="48">
        <v>1079.5</v>
      </c>
      <c r="BC237" s="48">
        <v>-70.63</v>
      </c>
      <c r="BD237" s="48">
        <v>252.83</v>
      </c>
      <c r="BE237" s="48">
        <v>0</v>
      </c>
      <c r="BF237" s="48">
        <v>0</v>
      </c>
      <c r="BG237" s="48">
        <v>0</v>
      </c>
      <c r="BH237" s="48">
        <v>0</v>
      </c>
      <c r="BI237" s="48">
        <v>0</v>
      </c>
      <c r="BJ237" s="48">
        <v>0</v>
      </c>
      <c r="BK237" s="48">
        <v>0</v>
      </c>
      <c r="BL237" s="48">
        <v>0</v>
      </c>
      <c r="BM237" s="48">
        <v>608.26</v>
      </c>
      <c r="BN237" s="48">
        <v>-0.54</v>
      </c>
      <c r="BO237" s="48">
        <v>0</v>
      </c>
      <c r="BP237" s="48">
        <v>0</v>
      </c>
      <c r="BQ237" s="48">
        <v>0</v>
      </c>
      <c r="BR237" s="48">
        <v>0</v>
      </c>
      <c r="BS237" s="48">
        <v>2561.6799999999998</v>
      </c>
      <c r="BT237" s="48">
        <v>0</v>
      </c>
      <c r="BU237" s="48">
        <v>0</v>
      </c>
      <c r="BV237" s="48">
        <v>0</v>
      </c>
      <c r="BW237" s="48">
        <v>0</v>
      </c>
      <c r="BX237" s="48">
        <v>24.05</v>
      </c>
      <c r="BY237" s="48">
        <v>612.88</v>
      </c>
      <c r="BZ237" s="48">
        <v>0</v>
      </c>
      <c r="CA237" s="48">
        <v>0</v>
      </c>
      <c r="CB237" s="48">
        <v>0</v>
      </c>
      <c r="CC237" s="48">
        <v>13.99</v>
      </c>
      <c r="CD237" s="48">
        <v>0</v>
      </c>
      <c r="CE237" s="48">
        <v>0</v>
      </c>
      <c r="CF237" s="48">
        <v>0</v>
      </c>
      <c r="CG237" s="48">
        <v>0</v>
      </c>
      <c r="CH237" s="48">
        <v>0</v>
      </c>
      <c r="CI237" s="48">
        <v>0</v>
      </c>
      <c r="CJ237" s="48">
        <v>0</v>
      </c>
      <c r="CK237" s="48">
        <v>0</v>
      </c>
      <c r="CL237" s="48">
        <v>0</v>
      </c>
      <c r="CM237" s="48">
        <v>0</v>
      </c>
      <c r="CN237" s="48">
        <v>74.55</v>
      </c>
      <c r="CO237" s="48">
        <v>0</v>
      </c>
      <c r="CP237" s="48">
        <v>0</v>
      </c>
      <c r="CQ237" s="48">
        <v>0</v>
      </c>
      <c r="CR237" s="48">
        <v>0</v>
      </c>
      <c r="CS237" s="48">
        <v>93</v>
      </c>
      <c r="CT237" s="48">
        <v>-6.08</v>
      </c>
      <c r="CU237" s="48">
        <v>6.08</v>
      </c>
      <c r="CV237" s="48">
        <v>0</v>
      </c>
      <c r="CW237" s="48">
        <v>337.74</v>
      </c>
      <c r="CX237" s="48">
        <v>0</v>
      </c>
      <c r="CY237" s="48">
        <v>0</v>
      </c>
      <c r="CZ237" s="48">
        <v>0</v>
      </c>
      <c r="DA237" s="48">
        <v>0</v>
      </c>
      <c r="DB237" s="48">
        <v>0</v>
      </c>
      <c r="DC237" s="48">
        <v>0</v>
      </c>
      <c r="DD237" s="48">
        <v>0</v>
      </c>
      <c r="DE237" s="48">
        <f>VLOOKUP($C237,'[2]Analysis 1'!$C$5:$DG$1025,107,FALSE)</f>
        <v>0</v>
      </c>
      <c r="DF237" s="48">
        <f>VLOOKUP($C237,'[2]Analysis 1'!$C$5:$DG$1025,108,FALSE)</f>
        <v>0</v>
      </c>
      <c r="DG237" s="48">
        <f>VLOOKUP($C237,'[2]Analysis 1'!$C$5:$DG$1025,109,FALSE)</f>
        <v>0</v>
      </c>
      <c r="DH237" s="369">
        <f t="shared" si="6"/>
        <v>337.74</v>
      </c>
    </row>
    <row r="238" spans="1:112">
      <c r="A238" s="357" t="str">
        <f t="shared" si="7"/>
        <v>6500810</v>
      </c>
      <c r="B238" s="350" t="s">
        <v>2053</v>
      </c>
      <c r="C238" s="335" t="s">
        <v>1138</v>
      </c>
      <c r="D238" s="340">
        <v>139519.41</v>
      </c>
      <c r="E238" s="340">
        <v>135950.64000000001</v>
      </c>
      <c r="F238" s="340">
        <v>134421.28</v>
      </c>
      <c r="G238" s="340">
        <v>133855.57999999999</v>
      </c>
      <c r="H238" s="340">
        <v>133855.57999999999</v>
      </c>
      <c r="I238" s="340">
        <v>137512.59</v>
      </c>
      <c r="J238" s="340">
        <v>135624.81</v>
      </c>
      <c r="K238" s="340">
        <v>135629.15</v>
      </c>
      <c r="L238" s="340">
        <v>135620.42000000001</v>
      </c>
      <c r="M238" s="340">
        <v>135403.43</v>
      </c>
      <c r="N238" s="340">
        <v>137826.23000000001</v>
      </c>
      <c r="O238" s="341">
        <v>138371.76</v>
      </c>
      <c r="P238" s="48">
        <v>144483.5</v>
      </c>
      <c r="Q238" s="48">
        <v>144483.38</v>
      </c>
      <c r="R238" s="48">
        <v>144495.34</v>
      </c>
      <c r="S238" s="48">
        <v>140363.54</v>
      </c>
      <c r="T238" s="48">
        <v>141938.13</v>
      </c>
      <c r="U238" s="48">
        <v>143883.85999999999</v>
      </c>
      <c r="V238" s="48">
        <v>143886.72</v>
      </c>
      <c r="W238" s="48">
        <v>143894.41</v>
      </c>
      <c r="X238" s="48">
        <v>149508.57</v>
      </c>
      <c r="Y238" s="48">
        <v>155002.18</v>
      </c>
      <c r="Z238" s="48">
        <v>155899.26999999999</v>
      </c>
      <c r="AA238" s="48">
        <v>158734.78</v>
      </c>
      <c r="AB238" s="48">
        <v>159282.70000000001</v>
      </c>
      <c r="AC238" s="48">
        <v>161866.49</v>
      </c>
      <c r="AD238" s="48">
        <v>163028.34</v>
      </c>
      <c r="AE238" s="48">
        <v>161386.68</v>
      </c>
      <c r="AF238" s="48">
        <v>162039.95000000001</v>
      </c>
      <c r="AG238" s="48">
        <v>161607.31</v>
      </c>
      <c r="AH238" s="48">
        <v>83037.63</v>
      </c>
      <c r="AI238" s="48">
        <v>232331.28</v>
      </c>
      <c r="AJ238" s="48">
        <v>161073.94</v>
      </c>
      <c r="AK238" s="48">
        <v>160482.73000000001</v>
      </c>
      <c r="AL238" s="48">
        <v>163282.16</v>
      </c>
      <c r="AM238" s="48">
        <v>203401.38</v>
      </c>
      <c r="AN238" s="48">
        <v>173289.34</v>
      </c>
      <c r="AO238" s="48">
        <v>177967.55</v>
      </c>
      <c r="AP238" s="48">
        <v>177443.52</v>
      </c>
      <c r="AQ238" s="48">
        <v>179730.22</v>
      </c>
      <c r="AR238" s="48">
        <v>176589.98</v>
      </c>
      <c r="AS238" s="48">
        <v>176619.51</v>
      </c>
      <c r="AT238" s="48">
        <v>176481.19</v>
      </c>
      <c r="AU238" s="48">
        <v>176469.5</v>
      </c>
      <c r="AV238" s="48">
        <v>175937.82</v>
      </c>
      <c r="AW238" s="48">
        <v>175922.51</v>
      </c>
      <c r="AX238" s="48">
        <v>176492.47</v>
      </c>
      <c r="AY238" s="48">
        <v>180652.67</v>
      </c>
      <c r="AZ238" s="48">
        <v>181486.2</v>
      </c>
      <c r="BA238" s="48">
        <v>187257.89</v>
      </c>
      <c r="BB238" s="48">
        <v>188943.81</v>
      </c>
      <c r="BC238" s="48">
        <v>190724.2</v>
      </c>
      <c r="BD238" s="48">
        <v>189770.71</v>
      </c>
      <c r="BE238" s="48">
        <v>189929.92</v>
      </c>
      <c r="BF238" s="48">
        <v>191681.92000000001</v>
      </c>
      <c r="BG238" s="48">
        <v>192029.68</v>
      </c>
      <c r="BH238" s="48">
        <v>176492.47</v>
      </c>
      <c r="BI238" s="48">
        <v>206927.43</v>
      </c>
      <c r="BJ238" s="48">
        <v>190050.34</v>
      </c>
      <c r="BK238" s="48">
        <v>193413.34</v>
      </c>
      <c r="BL238" s="48">
        <v>197794.25</v>
      </c>
      <c r="BM238" s="48">
        <v>198024.19</v>
      </c>
      <c r="BN238" s="48">
        <v>199805.51</v>
      </c>
      <c r="BO238" s="48">
        <v>209287.97</v>
      </c>
      <c r="BP238" s="48">
        <v>213854.51</v>
      </c>
      <c r="BQ238" s="48">
        <v>214060.7</v>
      </c>
      <c r="BR238" s="48">
        <v>212505.22</v>
      </c>
      <c r="BS238" s="48">
        <v>208079.5</v>
      </c>
      <c r="BT238" s="48">
        <v>207477</v>
      </c>
      <c r="BU238" s="48">
        <v>207477</v>
      </c>
      <c r="BV238" s="48">
        <v>223186.22</v>
      </c>
      <c r="BW238" s="48">
        <v>225445.92</v>
      </c>
      <c r="BX238" s="48">
        <v>227176.11</v>
      </c>
      <c r="BY238" s="48">
        <v>232401.55</v>
      </c>
      <c r="BZ238" s="48">
        <v>233955.19</v>
      </c>
      <c r="CA238" s="48">
        <v>234145.58</v>
      </c>
      <c r="CB238" s="48">
        <v>233372.48</v>
      </c>
      <c r="CC238" s="48">
        <v>234886.39999999999</v>
      </c>
      <c r="CD238" s="48">
        <v>236769.55</v>
      </c>
      <c r="CE238" s="48">
        <v>240999.25</v>
      </c>
      <c r="CF238" s="48">
        <v>245333.42</v>
      </c>
      <c r="CG238" s="48">
        <v>248903.8</v>
      </c>
      <c r="CH238" s="48">
        <v>248986.57</v>
      </c>
      <c r="CI238" s="48">
        <v>252306.74</v>
      </c>
      <c r="CJ238" s="48">
        <v>136639.43</v>
      </c>
      <c r="CK238" s="48">
        <v>138801.04</v>
      </c>
      <c r="CL238" s="48">
        <v>141073.32</v>
      </c>
      <c r="CM238" s="48">
        <v>142702.07999999999</v>
      </c>
      <c r="CN238" s="48">
        <v>142250.14000000001</v>
      </c>
      <c r="CO238" s="48">
        <v>142442.78</v>
      </c>
      <c r="CP238" s="48">
        <v>142694.13</v>
      </c>
      <c r="CQ238" s="48">
        <v>143826.01999999999</v>
      </c>
      <c r="CR238" s="48">
        <v>145415.67999999999</v>
      </c>
      <c r="CS238" s="48">
        <v>145447.49</v>
      </c>
      <c r="CT238" s="48">
        <v>142863.26</v>
      </c>
      <c r="CU238" s="48">
        <v>142717.09</v>
      </c>
      <c r="CV238" s="48">
        <v>144125.07</v>
      </c>
      <c r="CW238" s="48">
        <v>141784.79</v>
      </c>
      <c r="CX238" s="48">
        <v>142703.99</v>
      </c>
      <c r="CY238" s="48">
        <v>144112.24</v>
      </c>
      <c r="CZ238" s="48">
        <v>144116.6</v>
      </c>
      <c r="DA238" s="48">
        <v>145352.06</v>
      </c>
      <c r="DB238" s="48">
        <v>147849.89000000001</v>
      </c>
      <c r="DC238" s="48">
        <v>148648.04999999999</v>
      </c>
      <c r="DD238" s="48">
        <v>152805.35</v>
      </c>
      <c r="DE238" s="48">
        <f>VLOOKUP($C238,'[2]Analysis 1'!$C$5:$DG$1025,107,FALSE)</f>
        <v>157524.31</v>
      </c>
      <c r="DF238" s="48">
        <f>VLOOKUP($C238,'[2]Analysis 1'!$C$5:$DG$1025,108,FALSE)</f>
        <v>157936.97</v>
      </c>
      <c r="DG238" s="48">
        <f>VLOOKUP($C238,'[2]Analysis 1'!$C$5:$DG$1025,109,FALSE)</f>
        <v>162956.41</v>
      </c>
      <c r="DH238" s="369">
        <f t="shared" si="6"/>
        <v>1789915.73</v>
      </c>
    </row>
    <row r="239" spans="1:112">
      <c r="A239" s="357" t="str">
        <f t="shared" si="7"/>
        <v>6508999</v>
      </c>
      <c r="B239" s="350" t="s">
        <v>2054</v>
      </c>
      <c r="C239" s="335" t="s">
        <v>1139</v>
      </c>
      <c r="D239" s="367">
        <v>1314.52</v>
      </c>
      <c r="E239" s="367">
        <v>0</v>
      </c>
      <c r="F239" s="367">
        <v>0</v>
      </c>
      <c r="G239" s="367">
        <v>0</v>
      </c>
      <c r="H239" s="367">
        <v>0</v>
      </c>
      <c r="I239" s="367">
        <v>0</v>
      </c>
      <c r="J239" s="367">
        <v>0</v>
      </c>
      <c r="K239" s="367">
        <v>0</v>
      </c>
      <c r="L239" s="367">
        <v>0</v>
      </c>
      <c r="M239" s="367">
        <v>0</v>
      </c>
      <c r="N239" s="367">
        <v>2033.57</v>
      </c>
      <c r="O239" s="368">
        <v>164.9</v>
      </c>
      <c r="P239" s="48">
        <v>0</v>
      </c>
      <c r="Q239" s="48">
        <v>0</v>
      </c>
      <c r="R239" s="48">
        <v>0</v>
      </c>
      <c r="S239" s="48">
        <v>0</v>
      </c>
      <c r="T239" s="48">
        <v>647</v>
      </c>
      <c r="U239" s="48">
        <v>180.81</v>
      </c>
      <c r="V239" s="48">
        <v>135.59</v>
      </c>
      <c r="W239" s="48">
        <v>176.43</v>
      </c>
      <c r="X239" s="48">
        <v>201</v>
      </c>
      <c r="Y239" s="48">
        <v>124.29</v>
      </c>
      <c r="Z239" s="48">
        <v>549.87</v>
      </c>
      <c r="AA239" s="48">
        <v>326.7</v>
      </c>
      <c r="AB239" s="48">
        <v>257.38</v>
      </c>
      <c r="AC239" s="48">
        <v>246.11</v>
      </c>
      <c r="AD239" s="48">
        <v>136.61000000000001</v>
      </c>
      <c r="AE239" s="48">
        <v>161.88999999999999</v>
      </c>
      <c r="AF239" s="48">
        <v>0</v>
      </c>
      <c r="AG239" s="48">
        <v>547.36</v>
      </c>
      <c r="AH239" s="48">
        <v>489.15</v>
      </c>
      <c r="AI239" s="48">
        <v>332.2</v>
      </c>
      <c r="AJ239" s="48">
        <v>598.54999999999995</v>
      </c>
      <c r="AK239" s="48">
        <v>335.01</v>
      </c>
      <c r="AL239" s="48">
        <v>759.58</v>
      </c>
      <c r="AM239" s="48">
        <v>-2028.53</v>
      </c>
      <c r="AN239" s="48">
        <v>733.42</v>
      </c>
      <c r="AO239" s="48">
        <v>0.06</v>
      </c>
      <c r="AP239" s="48">
        <v>0</v>
      </c>
      <c r="AQ239" s="48">
        <v>0</v>
      </c>
      <c r="AR239" s="48">
        <v>0</v>
      </c>
      <c r="AS239" s="48">
        <v>0</v>
      </c>
      <c r="AT239" s="48">
        <v>0</v>
      </c>
      <c r="AU239" s="48">
        <v>0</v>
      </c>
      <c r="AV239" s="48">
        <v>0</v>
      </c>
      <c r="AW239" s="48">
        <v>0</v>
      </c>
      <c r="AX239" s="48">
        <v>0</v>
      </c>
      <c r="AY239" s="48">
        <v>0</v>
      </c>
      <c r="AZ239" s="48">
        <v>0</v>
      </c>
      <c r="BA239" s="48">
        <v>0</v>
      </c>
      <c r="BB239" s="48">
        <v>0</v>
      </c>
      <c r="BC239" s="48">
        <v>0</v>
      </c>
      <c r="BD239" s="48">
        <v>0</v>
      </c>
      <c r="BE239" s="48">
        <v>0</v>
      </c>
      <c r="BF239" s="48">
        <v>0</v>
      </c>
      <c r="BG239" s="48">
        <v>0</v>
      </c>
      <c r="BH239" s="48">
        <v>0</v>
      </c>
      <c r="BI239" s="48">
        <v>0</v>
      </c>
      <c r="BJ239" s="48">
        <v>0</v>
      </c>
      <c r="BK239" s="48">
        <v>7</v>
      </c>
      <c r="BL239" s="48">
        <v>0</v>
      </c>
      <c r="BM239" s="48">
        <v>0</v>
      </c>
      <c r="BN239" s="48">
        <v>0</v>
      </c>
      <c r="BO239" s="48">
        <v>0</v>
      </c>
      <c r="BP239" s="48">
        <v>0</v>
      </c>
      <c r="BQ239" s="48">
        <v>0</v>
      </c>
      <c r="BR239" s="48">
        <v>0</v>
      </c>
      <c r="BS239" s="48">
        <v>0</v>
      </c>
      <c r="BT239" s="48">
        <v>0</v>
      </c>
      <c r="BU239" s="48">
        <v>0</v>
      </c>
      <c r="BV239" s="48">
        <v>0</v>
      </c>
      <c r="BW239" s="48">
        <v>0</v>
      </c>
      <c r="BX239" s="48">
        <v>0</v>
      </c>
      <c r="BY239" s="48">
        <v>0</v>
      </c>
      <c r="BZ239" s="48">
        <v>0</v>
      </c>
      <c r="CA239" s="48">
        <v>0</v>
      </c>
      <c r="CB239" s="48">
        <v>0</v>
      </c>
      <c r="CC239" s="48">
        <v>0</v>
      </c>
      <c r="CD239" s="48">
        <v>0</v>
      </c>
      <c r="CE239" s="48">
        <v>0</v>
      </c>
      <c r="CF239" s="48">
        <v>0</v>
      </c>
      <c r="CG239" s="48">
        <v>0</v>
      </c>
      <c r="CH239" s="48">
        <v>0</v>
      </c>
      <c r="CI239" s="48">
        <v>0</v>
      </c>
      <c r="CJ239" s="48">
        <v>0</v>
      </c>
      <c r="CK239" s="48">
        <v>-2077.02</v>
      </c>
      <c r="CL239" s="48">
        <v>1977.54</v>
      </c>
      <c r="CM239" s="48">
        <v>0</v>
      </c>
      <c r="CN239" s="48">
        <v>0</v>
      </c>
      <c r="CO239" s="48">
        <v>0</v>
      </c>
      <c r="CP239" s="48">
        <v>0</v>
      </c>
      <c r="CQ239" s="48">
        <v>0</v>
      </c>
      <c r="CR239" s="48">
        <v>0</v>
      </c>
      <c r="CS239" s="48">
        <v>0</v>
      </c>
      <c r="CT239" s="48">
        <v>0</v>
      </c>
      <c r="CU239" s="48">
        <v>0</v>
      </c>
      <c r="CV239" s="48">
        <v>0</v>
      </c>
      <c r="CW239" s="48">
        <v>0</v>
      </c>
      <c r="CX239" s="48">
        <v>0</v>
      </c>
      <c r="CY239" s="48">
        <v>0</v>
      </c>
      <c r="CZ239" s="48">
        <v>0</v>
      </c>
      <c r="DA239" s="48">
        <v>0</v>
      </c>
      <c r="DB239" s="48">
        <v>0</v>
      </c>
      <c r="DC239" s="48">
        <v>0</v>
      </c>
      <c r="DD239" s="48">
        <v>0</v>
      </c>
      <c r="DE239" s="48">
        <f>VLOOKUP($C239,'[2]Analysis 1'!$C$5:$DG$1025,107,FALSE)</f>
        <v>-221.26</v>
      </c>
      <c r="DF239" s="48">
        <f>VLOOKUP($C239,'[2]Analysis 1'!$C$5:$DG$1025,108,FALSE)</f>
        <v>221.26</v>
      </c>
      <c r="DG239" s="48">
        <f>VLOOKUP($C239,'[2]Analysis 1'!$C$5:$DG$1025,109,FALSE)</f>
        <v>0</v>
      </c>
      <c r="DH239" s="369">
        <f t="shared" si="6"/>
        <v>0</v>
      </c>
    </row>
    <row r="240" spans="1:112">
      <c r="A240" s="357" t="str">
        <f t="shared" si="7"/>
        <v>6509000</v>
      </c>
      <c r="B240" s="350" t="s">
        <v>2055</v>
      </c>
      <c r="C240" s="335" t="s">
        <v>1140</v>
      </c>
      <c r="D240" s="367">
        <v>19396.150000000001</v>
      </c>
      <c r="E240" s="367">
        <v>0</v>
      </c>
      <c r="F240" s="367">
        <v>-2473.4299999999998</v>
      </c>
      <c r="G240" s="367">
        <v>0</v>
      </c>
      <c r="H240" s="367">
        <v>0</v>
      </c>
      <c r="I240" s="367">
        <v>-306.83999999999997</v>
      </c>
      <c r="J240" s="367">
        <v>3018.5</v>
      </c>
      <c r="K240" s="367">
        <v>-10171.290000000001</v>
      </c>
      <c r="L240" s="367">
        <v>-224010.14</v>
      </c>
      <c r="M240" s="367">
        <v>-320682.71999999997</v>
      </c>
      <c r="N240" s="367">
        <v>439.86</v>
      </c>
      <c r="O240" s="368">
        <v>-164.9</v>
      </c>
      <c r="P240" s="48">
        <v>0</v>
      </c>
      <c r="Q240" s="48">
        <v>-5</v>
      </c>
      <c r="R240" s="48">
        <v>-40</v>
      </c>
      <c r="S240" s="48">
        <v>0</v>
      </c>
      <c r="T240" s="48">
        <v>-647</v>
      </c>
      <c r="U240" s="48">
        <v>-180.81</v>
      </c>
      <c r="V240" s="48">
        <v>1458.41</v>
      </c>
      <c r="W240" s="48">
        <v>324.54000000000002</v>
      </c>
      <c r="X240" s="48">
        <v>-485.39</v>
      </c>
      <c r="Y240" s="48">
        <v>-104.05</v>
      </c>
      <c r="Z240" s="48">
        <v>-3.94</v>
      </c>
      <c r="AA240" s="48">
        <v>-729.67</v>
      </c>
      <c r="AB240" s="48">
        <v>-182.57</v>
      </c>
      <c r="AC240" s="48">
        <v>-46.41</v>
      </c>
      <c r="AD240" s="48">
        <v>-12530.67</v>
      </c>
      <c r="AE240" s="48">
        <v>-763.65</v>
      </c>
      <c r="AF240" s="48">
        <v>-443.6</v>
      </c>
      <c r="AG240" s="48">
        <v>5263.11</v>
      </c>
      <c r="AH240" s="48">
        <v>-361.82</v>
      </c>
      <c r="AI240" s="48">
        <v>-176.88</v>
      </c>
      <c r="AJ240" s="48">
        <v>-6053.75</v>
      </c>
      <c r="AK240" s="48">
        <v>-72579.649999999994</v>
      </c>
      <c r="AL240" s="48">
        <v>-15759.57</v>
      </c>
      <c r="AM240" s="48">
        <v>370.2</v>
      </c>
      <c r="AN240" s="48">
        <v>-495.29</v>
      </c>
      <c r="AO240" s="48">
        <v>-50</v>
      </c>
      <c r="AP240" s="48">
        <v>-26834.27</v>
      </c>
      <c r="AQ240" s="48">
        <v>47.3</v>
      </c>
      <c r="AR240" s="48">
        <v>0</v>
      </c>
      <c r="AS240" s="48">
        <v>-200</v>
      </c>
      <c r="AT240" s="48">
        <v>-200</v>
      </c>
      <c r="AU240" s="48">
        <v>-1263.92</v>
      </c>
      <c r="AV240" s="48">
        <v>-6067.7</v>
      </c>
      <c r="AW240" s="48">
        <v>4238.05</v>
      </c>
      <c r="AX240" s="48">
        <v>-6062.73</v>
      </c>
      <c r="AY240" s="48">
        <v>-4758.84</v>
      </c>
      <c r="AZ240" s="48">
        <v>0</v>
      </c>
      <c r="BA240" s="48">
        <v>-1956.95</v>
      </c>
      <c r="BB240" s="48">
        <v>-2735.05</v>
      </c>
      <c r="BC240" s="48">
        <v>-4483.76</v>
      </c>
      <c r="BD240" s="48">
        <v>-23363.08</v>
      </c>
      <c r="BE240" s="48">
        <v>-13213.91</v>
      </c>
      <c r="BF240" s="48">
        <v>-1490.04</v>
      </c>
      <c r="BG240" s="48">
        <v>-6440.9</v>
      </c>
      <c r="BH240" s="48">
        <v>-2301.2399999999998</v>
      </c>
      <c r="BI240" s="48">
        <v>-1618.12</v>
      </c>
      <c r="BJ240" s="48">
        <v>-6022.69</v>
      </c>
      <c r="BK240" s="48">
        <v>-3929.4</v>
      </c>
      <c r="BL240" s="48">
        <v>0</v>
      </c>
      <c r="BM240" s="48">
        <v>0</v>
      </c>
      <c r="BN240" s="48">
        <v>-358.93</v>
      </c>
      <c r="BO240" s="48">
        <v>-163</v>
      </c>
      <c r="BP240" s="48">
        <v>-763</v>
      </c>
      <c r="BQ240" s="48">
        <v>-50</v>
      </c>
      <c r="BR240" s="48">
        <v>-2583.6799999999998</v>
      </c>
      <c r="BS240" s="48">
        <v>-1720.46</v>
      </c>
      <c r="BT240" s="48">
        <v>-377.5</v>
      </c>
      <c r="BU240" s="48">
        <v>-682.48</v>
      </c>
      <c r="BV240" s="48">
        <v>-4510.68</v>
      </c>
      <c r="BW240" s="48">
        <v>-1998.59</v>
      </c>
      <c r="BX240" s="48">
        <v>0</v>
      </c>
      <c r="BY240" s="48">
        <v>-5659.21</v>
      </c>
      <c r="BZ240" s="48">
        <v>0</v>
      </c>
      <c r="CA240" s="48">
        <v>0</v>
      </c>
      <c r="CB240" s="48">
        <v>-1</v>
      </c>
      <c r="CC240" s="48">
        <v>10000</v>
      </c>
      <c r="CD240" s="48">
        <v>-5685.29</v>
      </c>
      <c r="CE240" s="48">
        <v>-1730.5</v>
      </c>
      <c r="CF240" s="48">
        <v>-13237.47</v>
      </c>
      <c r="CG240" s="48">
        <v>-548</v>
      </c>
      <c r="CH240" s="48">
        <v>-2466.25</v>
      </c>
      <c r="CI240" s="48">
        <v>-2581.81</v>
      </c>
      <c r="CJ240" s="48">
        <v>-285.75</v>
      </c>
      <c r="CK240" s="48">
        <v>-40</v>
      </c>
      <c r="CL240" s="48">
        <v>-4106.55</v>
      </c>
      <c r="CM240" s="48">
        <v>-1698.57</v>
      </c>
      <c r="CN240" s="48">
        <v>-154.88999999999999</v>
      </c>
      <c r="CO240" s="48">
        <v>-386.86</v>
      </c>
      <c r="CP240" s="48">
        <v>-270.12</v>
      </c>
      <c r="CQ240" s="48">
        <v>-536.65</v>
      </c>
      <c r="CR240" s="48">
        <v>-12</v>
      </c>
      <c r="CS240" s="48">
        <v>-306.26</v>
      </c>
      <c r="CT240" s="48">
        <v>-40.549999999999997</v>
      </c>
      <c r="CU240" s="48">
        <v>-1496.26</v>
      </c>
      <c r="CV240" s="48">
        <v>-1291.5999999999999</v>
      </c>
      <c r="CW240" s="48">
        <v>-1300.5899999999999</v>
      </c>
      <c r="CX240" s="48">
        <v>-1325.31</v>
      </c>
      <c r="CY240" s="48">
        <v>-7642.07</v>
      </c>
      <c r="CZ240" s="48">
        <v>0</v>
      </c>
      <c r="DA240" s="48">
        <v>-1040.58</v>
      </c>
      <c r="DB240" s="48">
        <v>-1458.99</v>
      </c>
      <c r="DC240" s="48">
        <v>-393.85</v>
      </c>
      <c r="DD240" s="48">
        <v>-5292.45</v>
      </c>
      <c r="DE240" s="48">
        <f>VLOOKUP($C240,'[2]Analysis 1'!$C$5:$DG$1025,107,FALSE)</f>
        <v>-11671.95</v>
      </c>
      <c r="DF240" s="48">
        <f>VLOOKUP($C240,'[2]Analysis 1'!$C$5:$DG$1025,108,FALSE)</f>
        <v>-9609.5300000000007</v>
      </c>
      <c r="DG240" s="48">
        <f>VLOOKUP($C240,'[2]Analysis 1'!$C$5:$DG$1025,109,FALSE)</f>
        <v>-1831.94</v>
      </c>
      <c r="DH240" s="369">
        <f t="shared" si="6"/>
        <v>-42858.86</v>
      </c>
    </row>
    <row r="241" spans="1:112">
      <c r="A241" s="357" t="str">
        <f t="shared" si="7"/>
        <v>6700400</v>
      </c>
      <c r="B241" s="350" t="s">
        <v>2056</v>
      </c>
      <c r="C241" s="335" t="s">
        <v>1141</v>
      </c>
      <c r="D241" s="340">
        <v>4791.67</v>
      </c>
      <c r="E241" s="340">
        <v>4791.67</v>
      </c>
      <c r="F241" s="340">
        <v>4791.67</v>
      </c>
      <c r="G241" s="340">
        <v>4791.67</v>
      </c>
      <c r="H241" s="340">
        <v>4791.67</v>
      </c>
      <c r="I241" s="340">
        <v>4791.67</v>
      </c>
      <c r="J241" s="340">
        <v>4791.67</v>
      </c>
      <c r="K241" s="340">
        <v>4791.67</v>
      </c>
      <c r="L241" s="340">
        <v>4791.67</v>
      </c>
      <c r="M241" s="340">
        <v>4791.67</v>
      </c>
      <c r="N241" s="340">
        <v>4791.67</v>
      </c>
      <c r="O241" s="341">
        <v>4791.67</v>
      </c>
      <c r="P241" s="48">
        <v>4791.67</v>
      </c>
      <c r="Q241" s="48">
        <v>4791.67</v>
      </c>
      <c r="R241" s="48">
        <v>4791.67</v>
      </c>
      <c r="S241" s="48">
        <v>4791.67</v>
      </c>
      <c r="T241" s="48">
        <v>4791.67</v>
      </c>
      <c r="U241" s="48">
        <v>4791.67</v>
      </c>
      <c r="V241" s="48">
        <v>4791.67</v>
      </c>
      <c r="W241" s="48">
        <v>4791.67</v>
      </c>
      <c r="X241" s="48">
        <v>4791.67</v>
      </c>
      <c r="Y241" s="48">
        <v>4791.67</v>
      </c>
      <c r="Z241" s="48">
        <v>4791.67</v>
      </c>
      <c r="AA241" s="48">
        <v>4791.67</v>
      </c>
      <c r="AB241" s="48">
        <v>4791.67</v>
      </c>
      <c r="AC241" s="48">
        <v>4791.67</v>
      </c>
      <c r="AD241" s="48">
        <v>4791.67</v>
      </c>
      <c r="AE241" s="48">
        <v>4791.67</v>
      </c>
      <c r="AF241" s="48">
        <v>4791.67</v>
      </c>
      <c r="AG241" s="48">
        <v>4791.67</v>
      </c>
      <c r="AH241" s="48">
        <v>4791.67</v>
      </c>
      <c r="AI241" s="48">
        <v>4791.67</v>
      </c>
      <c r="AJ241" s="48">
        <v>4791.67</v>
      </c>
      <c r="AK241" s="48">
        <v>4791.67</v>
      </c>
      <c r="AL241" s="48">
        <v>4791.67</v>
      </c>
      <c r="AM241" s="48">
        <v>4791.67</v>
      </c>
      <c r="AN241" s="48">
        <v>4791.67</v>
      </c>
      <c r="AO241" s="48">
        <v>4791.67</v>
      </c>
      <c r="AP241" s="48">
        <v>4791.67</v>
      </c>
      <c r="AQ241" s="48">
        <v>4791.67</v>
      </c>
      <c r="AR241" s="48">
        <v>4791.67</v>
      </c>
      <c r="AS241" s="48">
        <v>4791.67</v>
      </c>
      <c r="AT241" s="48">
        <v>4791.67</v>
      </c>
      <c r="AU241" s="48">
        <v>4791.67</v>
      </c>
      <c r="AV241" s="48">
        <v>4791.67</v>
      </c>
      <c r="AW241" s="48">
        <v>4791.67</v>
      </c>
      <c r="AX241" s="48">
        <v>4791.67</v>
      </c>
      <c r="AY241" s="48">
        <v>4791.67</v>
      </c>
      <c r="AZ241" s="48">
        <v>4791.67</v>
      </c>
      <c r="BA241" s="48">
        <v>4791.67</v>
      </c>
      <c r="BB241" s="48">
        <v>4791.67</v>
      </c>
      <c r="BC241" s="48">
        <v>4791.67</v>
      </c>
      <c r="BD241" s="48">
        <v>4791.67</v>
      </c>
      <c r="BE241" s="48">
        <v>4791.67</v>
      </c>
      <c r="BF241" s="48">
        <v>4791.67</v>
      </c>
      <c r="BG241" s="48">
        <v>4791.67</v>
      </c>
      <c r="BH241" s="48">
        <v>4791.67</v>
      </c>
      <c r="BI241" s="48">
        <v>4791.67</v>
      </c>
      <c r="BJ241" s="48">
        <v>4791.67</v>
      </c>
      <c r="BK241" s="48">
        <v>4791.67</v>
      </c>
      <c r="BL241" s="48">
        <v>4791.67</v>
      </c>
      <c r="BM241" s="48">
        <v>4791.67</v>
      </c>
      <c r="BN241" s="48">
        <v>4791.67</v>
      </c>
      <c r="BO241" s="48">
        <v>4791.67</v>
      </c>
      <c r="BP241" s="48">
        <v>4791.67</v>
      </c>
      <c r="BQ241" s="48">
        <v>4791.67</v>
      </c>
      <c r="BR241" s="48">
        <v>4791.67</v>
      </c>
      <c r="BS241" s="48">
        <v>579712.71</v>
      </c>
      <c r="BT241" s="48">
        <v>610759.89</v>
      </c>
      <c r="BU241" s="48">
        <v>608844.72</v>
      </c>
      <c r="BV241" s="48">
        <v>688731.05</v>
      </c>
      <c r="BW241" s="48">
        <v>957540.55</v>
      </c>
      <c r="BX241" s="48">
        <v>4791.67</v>
      </c>
      <c r="BY241" s="48">
        <v>4791.67</v>
      </c>
      <c r="BZ241" s="48">
        <v>4791.67</v>
      </c>
      <c r="CA241" s="48">
        <v>4791.67</v>
      </c>
      <c r="CB241" s="48">
        <v>4791.67</v>
      </c>
      <c r="CC241" s="48">
        <v>4791.67</v>
      </c>
      <c r="CD241" s="48">
        <v>4791.67</v>
      </c>
      <c r="CE241" s="48">
        <v>4791.67</v>
      </c>
      <c r="CF241" s="48">
        <v>4791.67</v>
      </c>
      <c r="CG241" s="48">
        <v>4791.67</v>
      </c>
      <c r="CH241" s="48">
        <v>4791.67</v>
      </c>
      <c r="CI241" s="48">
        <v>4791.67</v>
      </c>
      <c r="CJ241" s="48">
        <v>31666.67</v>
      </c>
      <c r="CK241" s="48">
        <v>31666.67</v>
      </c>
      <c r="CL241" s="48">
        <v>31666.67</v>
      </c>
      <c r="CM241" s="48">
        <v>31666.67</v>
      </c>
      <c r="CN241" s="48">
        <v>31666.67</v>
      </c>
      <c r="CO241" s="48">
        <v>31666.67</v>
      </c>
      <c r="CP241" s="48">
        <v>31666.67</v>
      </c>
      <c r="CQ241" s="48">
        <v>31666.67</v>
      </c>
      <c r="CR241" s="48">
        <v>31666.67</v>
      </c>
      <c r="CS241" s="48">
        <v>31666.67</v>
      </c>
      <c r="CT241" s="48">
        <v>31666.67</v>
      </c>
      <c r="CU241" s="48">
        <v>31666.67</v>
      </c>
      <c r="CV241" s="48">
        <v>31666.67</v>
      </c>
      <c r="CW241" s="48">
        <v>31666.67</v>
      </c>
      <c r="CX241" s="48">
        <v>31666.67</v>
      </c>
      <c r="CY241" s="48">
        <v>31666.67</v>
      </c>
      <c r="CZ241" s="48">
        <v>31666.67</v>
      </c>
      <c r="DA241" s="48">
        <v>31666.67</v>
      </c>
      <c r="DB241" s="48">
        <v>31666.67</v>
      </c>
      <c r="DC241" s="48">
        <v>31666.67</v>
      </c>
      <c r="DD241" s="48">
        <v>31666.67</v>
      </c>
      <c r="DE241" s="48">
        <f>VLOOKUP($C241,'[2]Analysis 1'!$C$5:$DG$1025,107,FALSE)</f>
        <v>31666.67</v>
      </c>
      <c r="DF241" s="48">
        <f>VLOOKUP($C241,'[2]Analysis 1'!$C$5:$DG$1025,108,FALSE)</f>
        <v>31666.67</v>
      </c>
      <c r="DG241" s="48">
        <f>VLOOKUP($C241,'[2]Analysis 1'!$C$5:$DG$1025,109,FALSE)</f>
        <v>31666.67</v>
      </c>
      <c r="DH241" s="369">
        <f t="shared" si="6"/>
        <v>380000.03999999986</v>
      </c>
    </row>
    <row r="242" spans="1:112">
      <c r="A242" s="357" t="str">
        <f t="shared" si="7"/>
        <v>6700500</v>
      </c>
      <c r="B242" s="350" t="s">
        <v>2057</v>
      </c>
      <c r="C242" s="335" t="s">
        <v>1142</v>
      </c>
      <c r="D242" s="340">
        <v>0</v>
      </c>
      <c r="E242" s="340">
        <v>0</v>
      </c>
      <c r="F242" s="340">
        <v>-0.06</v>
      </c>
      <c r="G242" s="340">
        <v>0</v>
      </c>
      <c r="H242" s="340">
        <v>0</v>
      </c>
      <c r="I242" s="340">
        <v>0</v>
      </c>
      <c r="J242" s="340">
        <v>0</v>
      </c>
      <c r="K242" s="340">
        <v>0</v>
      </c>
      <c r="L242" s="340">
        <v>0</v>
      </c>
      <c r="M242" s="340">
        <v>0</v>
      </c>
      <c r="N242" s="340">
        <v>0</v>
      </c>
      <c r="O242" s="341">
        <v>0</v>
      </c>
      <c r="P242" s="48">
        <v>0</v>
      </c>
      <c r="Q242" s="48">
        <v>0</v>
      </c>
      <c r="R242" s="48">
        <v>0</v>
      </c>
      <c r="S242" s="48">
        <v>0</v>
      </c>
      <c r="T242" s="48">
        <v>0</v>
      </c>
      <c r="U242" s="48">
        <v>0</v>
      </c>
      <c r="V242" s="48">
        <v>0</v>
      </c>
      <c r="W242" s="48">
        <v>0</v>
      </c>
      <c r="X242" s="48">
        <v>0</v>
      </c>
      <c r="Y242" s="48">
        <v>0</v>
      </c>
      <c r="Z242" s="48">
        <v>0</v>
      </c>
      <c r="AA242" s="48">
        <v>0</v>
      </c>
      <c r="AB242" s="48">
        <v>0</v>
      </c>
      <c r="AC242" s="48">
        <v>0</v>
      </c>
      <c r="AD242" s="48">
        <v>0</v>
      </c>
      <c r="AE242" s="48">
        <v>0</v>
      </c>
      <c r="AF242" s="48">
        <v>0</v>
      </c>
      <c r="AG242" s="48">
        <v>0</v>
      </c>
      <c r="AH242" s="48">
        <v>0</v>
      </c>
      <c r="AI242" s="48">
        <v>0</v>
      </c>
      <c r="AJ242" s="48">
        <v>0</v>
      </c>
      <c r="AK242" s="48">
        <v>0</v>
      </c>
      <c r="AL242" s="48">
        <v>0</v>
      </c>
      <c r="AM242" s="48">
        <v>0</v>
      </c>
      <c r="AN242" s="48">
        <v>0</v>
      </c>
      <c r="AO242" s="48">
        <v>0</v>
      </c>
      <c r="AP242" s="48">
        <v>0</v>
      </c>
      <c r="AQ242" s="48">
        <v>0</v>
      </c>
      <c r="AR242" s="48">
        <v>0</v>
      </c>
      <c r="AS242" s="48">
        <v>0</v>
      </c>
      <c r="AT242" s="48">
        <v>0</v>
      </c>
      <c r="AU242" s="48">
        <v>0</v>
      </c>
      <c r="AV242" s="48">
        <v>0</v>
      </c>
      <c r="AW242" s="48">
        <v>0</v>
      </c>
      <c r="AX242" s="48">
        <v>0</v>
      </c>
      <c r="AY242" s="48">
        <v>0</v>
      </c>
      <c r="AZ242" s="48">
        <v>0</v>
      </c>
      <c r="BA242" s="48">
        <v>0</v>
      </c>
      <c r="BB242" s="48">
        <v>0</v>
      </c>
      <c r="BC242" s="48">
        <v>0</v>
      </c>
      <c r="BD242" s="48">
        <v>0</v>
      </c>
      <c r="BE242" s="48">
        <v>0</v>
      </c>
      <c r="BF242" s="48">
        <v>0</v>
      </c>
      <c r="BG242" s="48">
        <v>0</v>
      </c>
      <c r="BH242" s="48">
        <v>0</v>
      </c>
      <c r="BI242" s="48">
        <v>0</v>
      </c>
      <c r="BJ242" s="48">
        <v>0</v>
      </c>
      <c r="BK242" s="48">
        <v>0</v>
      </c>
      <c r="BL242" s="48">
        <v>0</v>
      </c>
      <c r="BM242" s="48">
        <v>0</v>
      </c>
      <c r="BN242" s="48">
        <v>0</v>
      </c>
      <c r="BO242" s="48">
        <v>0</v>
      </c>
      <c r="BP242" s="48">
        <v>0</v>
      </c>
      <c r="BQ242" s="48">
        <v>0</v>
      </c>
      <c r="BR242" s="48">
        <v>0</v>
      </c>
      <c r="BS242" s="48">
        <v>0</v>
      </c>
      <c r="BT242" s="48">
        <v>0</v>
      </c>
      <c r="BU242" s="48">
        <v>0</v>
      </c>
      <c r="BV242" s="48">
        <v>0</v>
      </c>
      <c r="BW242" s="48">
        <v>0</v>
      </c>
      <c r="BX242" s="48">
        <v>0</v>
      </c>
      <c r="BY242" s="48">
        <v>0</v>
      </c>
      <c r="BZ242" s="48">
        <v>0</v>
      </c>
      <c r="CA242" s="48">
        <v>0</v>
      </c>
      <c r="CB242" s="48">
        <v>0</v>
      </c>
      <c r="CC242" s="48">
        <v>0</v>
      </c>
      <c r="CD242" s="48">
        <v>0</v>
      </c>
      <c r="CE242" s="48">
        <v>0</v>
      </c>
      <c r="CF242" s="48">
        <v>0</v>
      </c>
      <c r="CG242" s="48">
        <v>0</v>
      </c>
      <c r="CH242" s="48">
        <v>0</v>
      </c>
      <c r="CI242" s="48">
        <v>0</v>
      </c>
      <c r="CJ242" s="48">
        <v>0</v>
      </c>
      <c r="CK242" s="48">
        <v>0</v>
      </c>
      <c r="CL242" s="48">
        <v>0</v>
      </c>
      <c r="CM242" s="48">
        <v>0</v>
      </c>
      <c r="CN242" s="48">
        <v>0</v>
      </c>
      <c r="CO242" s="48">
        <v>0</v>
      </c>
      <c r="CP242" s="48">
        <v>0</v>
      </c>
      <c r="CQ242" s="48">
        <v>0</v>
      </c>
      <c r="CR242" s="48">
        <v>0</v>
      </c>
      <c r="CS242" s="48">
        <v>0</v>
      </c>
      <c r="CT242" s="48">
        <v>0</v>
      </c>
      <c r="CU242" s="48">
        <v>0</v>
      </c>
      <c r="CV242" s="48">
        <v>0</v>
      </c>
      <c r="CW242" s="48">
        <v>0</v>
      </c>
      <c r="CX242" s="48">
        <v>0</v>
      </c>
      <c r="CY242" s="48">
        <v>0</v>
      </c>
      <c r="CZ242" s="48">
        <v>0</v>
      </c>
      <c r="DA242" s="48">
        <v>0</v>
      </c>
      <c r="DB242" s="48">
        <v>0</v>
      </c>
      <c r="DC242" s="48">
        <v>0</v>
      </c>
      <c r="DD242" s="48">
        <v>0</v>
      </c>
      <c r="DE242" s="48">
        <f>VLOOKUP($C242,'[2]Analysis 1'!$C$5:$DG$1025,107,FALSE)</f>
        <v>0</v>
      </c>
      <c r="DF242" s="48">
        <f>VLOOKUP($C242,'[2]Analysis 1'!$C$5:$DG$1025,108,FALSE)</f>
        <v>0</v>
      </c>
      <c r="DG242" s="48">
        <f>VLOOKUP($C242,'[2]Analysis 1'!$C$5:$DG$1025,109,FALSE)</f>
        <v>0</v>
      </c>
      <c r="DH242" s="369">
        <f t="shared" si="6"/>
        <v>0</v>
      </c>
    </row>
    <row r="243" spans="1:112">
      <c r="A243" s="357" t="str">
        <f t="shared" si="7"/>
        <v>6700502</v>
      </c>
      <c r="B243" s="350" t="s">
        <v>2058</v>
      </c>
      <c r="C243" s="335" t="s">
        <v>1143</v>
      </c>
      <c r="D243" s="367">
        <v>0</v>
      </c>
      <c r="E243" s="367">
        <v>0</v>
      </c>
      <c r="F243" s="367">
        <v>0.04</v>
      </c>
      <c r="G243" s="367">
        <v>0</v>
      </c>
      <c r="H243" s="367">
        <v>26000</v>
      </c>
      <c r="I243" s="367">
        <v>0</v>
      </c>
      <c r="J243" s="367">
        <v>0</v>
      </c>
      <c r="K243" s="367">
        <v>-22700</v>
      </c>
      <c r="L243" s="367">
        <v>19720</v>
      </c>
      <c r="M243" s="367">
        <v>0</v>
      </c>
      <c r="N243" s="367">
        <v>0</v>
      </c>
      <c r="O243" s="368">
        <v>0</v>
      </c>
      <c r="P243" s="48">
        <v>0</v>
      </c>
      <c r="Q243" s="48">
        <v>0</v>
      </c>
      <c r="R243" s="48">
        <v>0</v>
      </c>
      <c r="S243" s="48">
        <v>0</v>
      </c>
      <c r="T243" s="48">
        <v>2500</v>
      </c>
      <c r="U243" s="48">
        <v>0</v>
      </c>
      <c r="V243" s="48">
        <v>0</v>
      </c>
      <c r="W243" s="48">
        <v>16870</v>
      </c>
      <c r="X243" s="48">
        <v>0</v>
      </c>
      <c r="Y243" s="48">
        <v>0</v>
      </c>
      <c r="Z243" s="48">
        <v>0</v>
      </c>
      <c r="AA243" s="48">
        <v>0</v>
      </c>
      <c r="AB243" s="48">
        <v>0</v>
      </c>
      <c r="AC243" s="48">
        <v>0</v>
      </c>
      <c r="AD243" s="48">
        <v>0</v>
      </c>
      <c r="AE243" s="48">
        <v>0</v>
      </c>
      <c r="AF243" s="48">
        <v>2450</v>
      </c>
      <c r="AG243" s="48">
        <v>17771.53</v>
      </c>
      <c r="AH243" s="48">
        <v>-4080.46</v>
      </c>
      <c r="AI243" s="48">
        <v>0</v>
      </c>
      <c r="AJ243" s="48">
        <v>0</v>
      </c>
      <c r="AK243" s="48">
        <v>0</v>
      </c>
      <c r="AL243" s="48">
        <v>0</v>
      </c>
      <c r="AM243" s="48">
        <v>12416.21</v>
      </c>
      <c r="AN243" s="48">
        <v>0</v>
      </c>
      <c r="AO243" s="48">
        <v>0</v>
      </c>
      <c r="AP243" s="48">
        <v>2164.0100000000002</v>
      </c>
      <c r="AQ243" s="48">
        <v>0</v>
      </c>
      <c r="AR243" s="48">
        <v>0</v>
      </c>
      <c r="AS243" s="48">
        <v>0</v>
      </c>
      <c r="AT243" s="48">
        <v>0</v>
      </c>
      <c r="AU243" s="48">
        <v>0</v>
      </c>
      <c r="AV243" s="48">
        <v>0</v>
      </c>
      <c r="AW243" s="48">
        <v>0</v>
      </c>
      <c r="AX243" s="48">
        <v>0</v>
      </c>
      <c r="AY243" s="48">
        <v>42500</v>
      </c>
      <c r="AZ243" s="48">
        <v>-19833.47</v>
      </c>
      <c r="BA243" s="48">
        <v>23132.639999999999</v>
      </c>
      <c r="BB243" s="48">
        <v>650</v>
      </c>
      <c r="BC243" s="48">
        <v>0</v>
      </c>
      <c r="BD243" s="48">
        <v>0</v>
      </c>
      <c r="BE243" s="48">
        <v>0</v>
      </c>
      <c r="BF243" s="48">
        <v>0</v>
      </c>
      <c r="BG243" s="48">
        <v>0</v>
      </c>
      <c r="BH243" s="48">
        <v>0</v>
      </c>
      <c r="BI243" s="48">
        <v>0</v>
      </c>
      <c r="BJ243" s="48">
        <v>0</v>
      </c>
      <c r="BK243" s="48">
        <v>45500</v>
      </c>
      <c r="BL243" s="48">
        <v>0</v>
      </c>
      <c r="BM243" s="48">
        <v>0</v>
      </c>
      <c r="BN243" s="48">
        <v>0</v>
      </c>
      <c r="BO243" s="48">
        <v>-8688.82</v>
      </c>
      <c r="BP243" s="48">
        <v>650</v>
      </c>
      <c r="BQ243" s="48">
        <v>0</v>
      </c>
      <c r="BR243" s="48">
        <v>0</v>
      </c>
      <c r="BS243" s="48">
        <v>0</v>
      </c>
      <c r="BT243" s="48">
        <v>0</v>
      </c>
      <c r="BU243" s="48">
        <v>0</v>
      </c>
      <c r="BV243" s="48">
        <v>0</v>
      </c>
      <c r="BW243" s="48">
        <v>65500</v>
      </c>
      <c r="BX243" s="48">
        <v>-5807.18</v>
      </c>
      <c r="BY243" s="48">
        <v>650</v>
      </c>
      <c r="BZ243" s="48">
        <v>0</v>
      </c>
      <c r="CA243" s="48">
        <v>0</v>
      </c>
      <c r="CB243" s="48">
        <v>125</v>
      </c>
      <c r="CC243" s="48">
        <v>0</v>
      </c>
      <c r="CD243" s="48">
        <v>0</v>
      </c>
      <c r="CE243" s="48">
        <v>0</v>
      </c>
      <c r="CF243" s="48">
        <v>0</v>
      </c>
      <c r="CG243" s="48">
        <v>0</v>
      </c>
      <c r="CH243" s="48">
        <v>0</v>
      </c>
      <c r="CI243" s="48">
        <v>82000</v>
      </c>
      <c r="CJ243" s="48">
        <v>-28429.58</v>
      </c>
      <c r="CK243" s="48">
        <v>0</v>
      </c>
      <c r="CL243" s="48">
        <v>800</v>
      </c>
      <c r="CM243" s="48">
        <v>0</v>
      </c>
      <c r="CN243" s="48">
        <v>0</v>
      </c>
      <c r="CO243" s="48">
        <v>0</v>
      </c>
      <c r="CP243" s="48">
        <v>800</v>
      </c>
      <c r="CQ243" s="48">
        <v>0</v>
      </c>
      <c r="CR243" s="48">
        <v>0</v>
      </c>
      <c r="CS243" s="48">
        <v>0</v>
      </c>
      <c r="CT243" s="48">
        <v>0</v>
      </c>
      <c r="CU243" s="48">
        <v>59500</v>
      </c>
      <c r="CV243" s="48">
        <v>-1771.86</v>
      </c>
      <c r="CW243" s="48">
        <v>0</v>
      </c>
      <c r="CX243" s="48">
        <v>0</v>
      </c>
      <c r="CY243" s="48">
        <v>-111</v>
      </c>
      <c r="CZ243" s="48">
        <v>0</v>
      </c>
      <c r="DA243" s="48">
        <v>0</v>
      </c>
      <c r="DB243" s="48">
        <v>-2600</v>
      </c>
      <c r="DC243" s="48">
        <v>889</v>
      </c>
      <c r="DD243" s="48">
        <v>0</v>
      </c>
      <c r="DE243" s="48">
        <f>VLOOKUP($C243,'[2]Analysis 1'!$C$5:$DG$1025,107,FALSE)</f>
        <v>0</v>
      </c>
      <c r="DF243" s="48">
        <f>VLOOKUP($C243,'[2]Analysis 1'!$C$5:$DG$1025,108,FALSE)</f>
        <v>0</v>
      </c>
      <c r="DG243" s="48">
        <f>VLOOKUP($C243,'[2]Analysis 1'!$C$5:$DG$1025,109,FALSE)</f>
        <v>119000</v>
      </c>
      <c r="DH243" s="369">
        <f t="shared" si="6"/>
        <v>115406.14</v>
      </c>
    </row>
    <row r="244" spans="1:112">
      <c r="A244" s="357" t="str">
        <f t="shared" si="7"/>
        <v>6700503</v>
      </c>
      <c r="B244" s="350" t="s">
        <v>2059</v>
      </c>
      <c r="C244" s="335" t="s">
        <v>1144</v>
      </c>
      <c r="D244" s="340">
        <v>378.63</v>
      </c>
      <c r="E244" s="340">
        <v>378.63</v>
      </c>
      <c r="F244" s="340">
        <v>378.63</v>
      </c>
      <c r="G244" s="340">
        <v>378.63</v>
      </c>
      <c r="H244" s="340">
        <v>378.63</v>
      </c>
      <c r="I244" s="340">
        <v>378.63</v>
      </c>
      <c r="J244" s="340">
        <v>401.34</v>
      </c>
      <c r="K244" s="340">
        <v>401.34</v>
      </c>
      <c r="L244" s="340">
        <v>401.34</v>
      </c>
      <c r="M244" s="340">
        <v>401.34</v>
      </c>
      <c r="N244" s="340">
        <v>401.34</v>
      </c>
      <c r="O244" s="341">
        <v>401.34</v>
      </c>
      <c r="P244" s="48">
        <v>401.34</v>
      </c>
      <c r="Q244" s="48">
        <v>401.34</v>
      </c>
      <c r="R244" s="48">
        <v>401.34</v>
      </c>
      <c r="S244" s="48">
        <v>401.34</v>
      </c>
      <c r="T244" s="48">
        <v>401.34</v>
      </c>
      <c r="U244" s="48">
        <v>792.75</v>
      </c>
      <c r="V244" s="48">
        <v>391.46</v>
      </c>
      <c r="W244" s="48">
        <v>391.46</v>
      </c>
      <c r="X244" s="48">
        <v>391.46</v>
      </c>
      <c r="Y244" s="48">
        <v>391.46</v>
      </c>
      <c r="Z244" s="48">
        <v>391.46</v>
      </c>
      <c r="AA244" s="48">
        <v>391.46</v>
      </c>
      <c r="AB244" s="48">
        <v>391.46</v>
      </c>
      <c r="AC244" s="48">
        <v>391.46</v>
      </c>
      <c r="AD244" s="48">
        <v>391.46</v>
      </c>
      <c r="AE244" s="48">
        <v>391.46</v>
      </c>
      <c r="AF244" s="48">
        <v>391.48</v>
      </c>
      <c r="AG244" s="48">
        <v>388.95</v>
      </c>
      <c r="AH244" s="48">
        <v>582.36</v>
      </c>
      <c r="AI244" s="48">
        <v>193.41</v>
      </c>
      <c r="AJ244" s="48">
        <v>971.29</v>
      </c>
      <c r="AK244" s="48">
        <v>193.41</v>
      </c>
      <c r="AL244" s="48">
        <v>193.41</v>
      </c>
      <c r="AM244" s="48">
        <v>193.39</v>
      </c>
      <c r="AN244" s="48">
        <v>0</v>
      </c>
      <c r="AO244" s="48">
        <v>0</v>
      </c>
      <c r="AP244" s="48">
        <v>1384.28</v>
      </c>
      <c r="AQ244" s="48">
        <v>461.45</v>
      </c>
      <c r="AR244" s="48">
        <v>461.45</v>
      </c>
      <c r="AS244" s="48">
        <v>461.45</v>
      </c>
      <c r="AT244" s="48">
        <v>461.45</v>
      </c>
      <c r="AU244" s="48">
        <v>461.45</v>
      </c>
      <c r="AV244" s="48">
        <v>461.45</v>
      </c>
      <c r="AW244" s="48">
        <v>461.45</v>
      </c>
      <c r="AX244" s="48">
        <v>461.45</v>
      </c>
      <c r="AY244" s="48">
        <v>461.45</v>
      </c>
      <c r="AZ244" s="48">
        <v>450</v>
      </c>
      <c r="BA244" s="48">
        <v>450</v>
      </c>
      <c r="BB244" s="48">
        <v>1223.8499999999999</v>
      </c>
      <c r="BC244" s="48">
        <v>707.95</v>
      </c>
      <c r="BD244" s="48">
        <v>707.95</v>
      </c>
      <c r="BE244" s="48">
        <v>707.95</v>
      </c>
      <c r="BF244" s="48">
        <v>707.95</v>
      </c>
      <c r="BG244" s="48">
        <v>707.95</v>
      </c>
      <c r="BH244" s="48">
        <v>707.95</v>
      </c>
      <c r="BI244" s="48">
        <v>707.95</v>
      </c>
      <c r="BJ244" s="48">
        <v>707.95</v>
      </c>
      <c r="BK244" s="48">
        <v>707.95</v>
      </c>
      <c r="BL244" s="48">
        <v>679.01</v>
      </c>
      <c r="BM244" s="48">
        <v>678.98</v>
      </c>
      <c r="BN244" s="48">
        <v>678.98</v>
      </c>
      <c r="BO244" s="48">
        <v>678.98</v>
      </c>
      <c r="BP244" s="48">
        <v>678.98</v>
      </c>
      <c r="BQ244" s="48">
        <v>678.98</v>
      </c>
      <c r="BR244" s="48">
        <v>678.98</v>
      </c>
      <c r="BS244" s="48">
        <v>678.98</v>
      </c>
      <c r="BT244" s="48">
        <v>678.98</v>
      </c>
      <c r="BU244" s="48">
        <v>678.98</v>
      </c>
      <c r="BV244" s="48">
        <v>678.98</v>
      </c>
      <c r="BW244" s="48">
        <v>678.98</v>
      </c>
      <c r="BX244" s="48">
        <v>327.78</v>
      </c>
      <c r="BY244" s="48">
        <v>583.63</v>
      </c>
      <c r="BZ244" s="48">
        <v>455.69</v>
      </c>
      <c r="CA244" s="48">
        <v>455.69</v>
      </c>
      <c r="CB244" s="48">
        <v>455.69</v>
      </c>
      <c r="CC244" s="48">
        <v>455.69</v>
      </c>
      <c r="CD244" s="48">
        <v>455.69</v>
      </c>
      <c r="CE244" s="48">
        <v>455.69</v>
      </c>
      <c r="CF244" s="48">
        <v>455.69</v>
      </c>
      <c r="CG244" s="48">
        <v>455.69</v>
      </c>
      <c r="CH244" s="48">
        <v>455.69</v>
      </c>
      <c r="CI244" s="48">
        <v>455.69</v>
      </c>
      <c r="CJ244" s="48">
        <v>567.25</v>
      </c>
      <c r="CK244" s="48">
        <v>567.23</v>
      </c>
      <c r="CL244" s="48">
        <v>567.23</v>
      </c>
      <c r="CM244" s="48">
        <v>567.23</v>
      </c>
      <c r="CN244" s="48">
        <v>567.23</v>
      </c>
      <c r="CO244" s="48">
        <v>567.23</v>
      </c>
      <c r="CP244" s="48">
        <v>567.23</v>
      </c>
      <c r="CQ244" s="48">
        <v>567.23</v>
      </c>
      <c r="CR244" s="48">
        <v>567.23</v>
      </c>
      <c r="CS244" s="48">
        <v>567.23</v>
      </c>
      <c r="CT244" s="48">
        <v>567.23</v>
      </c>
      <c r="CU244" s="48">
        <v>567.23</v>
      </c>
      <c r="CV244" s="48">
        <v>700</v>
      </c>
      <c r="CW244" s="48">
        <v>844.5</v>
      </c>
      <c r="CX244" s="48">
        <v>772.23</v>
      </c>
      <c r="CY244" s="48">
        <v>772.23</v>
      </c>
      <c r="CZ244" s="48">
        <v>772.23</v>
      </c>
      <c r="DA244" s="48">
        <v>772.23</v>
      </c>
      <c r="DB244" s="48">
        <v>772.23</v>
      </c>
      <c r="DC244" s="48">
        <v>772.23</v>
      </c>
      <c r="DD244" s="48">
        <v>772.23</v>
      </c>
      <c r="DE244" s="48">
        <f>VLOOKUP($C244,'[2]Analysis 1'!$C$5:$DG$1025,107,FALSE)</f>
        <v>772.23</v>
      </c>
      <c r="DF244" s="48">
        <f>VLOOKUP($C244,'[2]Analysis 1'!$C$5:$DG$1025,108,FALSE)</f>
        <v>772.23</v>
      </c>
      <c r="DG244" s="48">
        <f>VLOOKUP($C244,'[2]Analysis 1'!$C$5:$DG$1025,109,FALSE)</f>
        <v>772.23</v>
      </c>
      <c r="DH244" s="369">
        <f t="shared" si="6"/>
        <v>9266.7999999999975</v>
      </c>
    </row>
    <row r="245" spans="1:112">
      <c r="A245" s="357" t="str">
        <f t="shared" si="7"/>
        <v>6700504</v>
      </c>
      <c r="B245" s="350" t="s">
        <v>2460</v>
      </c>
      <c r="C245" s="335" t="s">
        <v>2462</v>
      </c>
      <c r="D245" s="367"/>
      <c r="E245" s="367"/>
      <c r="F245" s="367"/>
      <c r="G245" s="367"/>
      <c r="H245" s="367"/>
      <c r="I245" s="367"/>
      <c r="J245" s="367"/>
      <c r="K245" s="367"/>
      <c r="L245" s="367"/>
      <c r="M245" s="367"/>
      <c r="N245" s="367"/>
      <c r="O245" s="36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c r="BQ245" s="48"/>
      <c r="BR245" s="48"/>
      <c r="BS245" s="48"/>
      <c r="BT245" s="48"/>
      <c r="BU245" s="48"/>
      <c r="BV245" s="48"/>
      <c r="BW245" s="48"/>
      <c r="BX245" s="48">
        <v>4002.17</v>
      </c>
      <c r="BY245" s="48">
        <v>4002.15</v>
      </c>
      <c r="BZ245" s="48">
        <v>4002.15</v>
      </c>
      <c r="CA245" s="48">
        <v>4002.15</v>
      </c>
      <c r="CB245" s="48">
        <v>4002.15</v>
      </c>
      <c r="CC245" s="48">
        <v>4002.15</v>
      </c>
      <c r="CD245" s="48">
        <v>4002.15</v>
      </c>
      <c r="CE245" s="48">
        <v>4002.15</v>
      </c>
      <c r="CF245" s="48">
        <v>4002.15</v>
      </c>
      <c r="CG245" s="48">
        <v>4002.15</v>
      </c>
      <c r="CH245" s="48">
        <v>4002.15</v>
      </c>
      <c r="CI245" s="48">
        <v>4002.15</v>
      </c>
      <c r="CJ245" s="48">
        <v>4725.03</v>
      </c>
      <c r="CK245" s="48">
        <v>4795.7299999999996</v>
      </c>
      <c r="CL245" s="48">
        <v>4760.63</v>
      </c>
      <c r="CM245" s="48">
        <v>4760.63</v>
      </c>
      <c r="CN245" s="48">
        <v>4760.63</v>
      </c>
      <c r="CO245" s="48">
        <v>4760.63</v>
      </c>
      <c r="CP245" s="48">
        <v>4760.63</v>
      </c>
      <c r="CQ245" s="48">
        <v>4760.63</v>
      </c>
      <c r="CR245" s="48">
        <v>4760.63</v>
      </c>
      <c r="CS245" s="48">
        <v>4760.63</v>
      </c>
      <c r="CT245" s="48">
        <v>4760.63</v>
      </c>
      <c r="CU245" s="48">
        <v>4760.63</v>
      </c>
      <c r="CV245" s="48">
        <v>5892.02</v>
      </c>
      <c r="CW245" s="48">
        <v>5892.02</v>
      </c>
      <c r="CX245" s="48">
        <v>5892.02</v>
      </c>
      <c r="CY245" s="48">
        <v>5892.02</v>
      </c>
      <c r="CZ245" s="48">
        <v>5892.02</v>
      </c>
      <c r="DA245" s="48">
        <v>5892.02</v>
      </c>
      <c r="DB245" s="48">
        <v>5892.02</v>
      </c>
      <c r="DC245" s="48">
        <v>5892.02</v>
      </c>
      <c r="DD245" s="48">
        <v>5892.02</v>
      </c>
      <c r="DE245" s="48">
        <f>VLOOKUP($C245,'[2]Analysis 1'!$C$5:$DG$1025,107,FALSE)</f>
        <v>5892.02</v>
      </c>
      <c r="DF245" s="48">
        <f>VLOOKUP($C245,'[2]Analysis 1'!$C$5:$DG$1025,108,FALSE)</f>
        <v>5892.02</v>
      </c>
      <c r="DG245" s="48">
        <f>VLOOKUP($C245,'[2]Analysis 1'!$C$5:$DG$1025,109,FALSE)</f>
        <v>5892.02</v>
      </c>
      <c r="DH245" s="369">
        <f t="shared" si="6"/>
        <v>70704.24000000002</v>
      </c>
    </row>
    <row r="246" spans="1:112">
      <c r="A246" s="357" t="str">
        <f t="shared" si="7"/>
        <v>6700505</v>
      </c>
      <c r="B246" s="350" t="s">
        <v>2061</v>
      </c>
      <c r="C246" s="335" t="s">
        <v>1145</v>
      </c>
      <c r="D246" s="367">
        <v>2120.6999999999998</v>
      </c>
      <c r="E246" s="367">
        <v>2120.6999999999998</v>
      </c>
      <c r="F246" s="367">
        <v>2120.6999999999998</v>
      </c>
      <c r="G246" s="367">
        <v>2120.6999999999998</v>
      </c>
      <c r="H246" s="367">
        <v>2120.6999999999998</v>
      </c>
      <c r="I246" s="367">
        <v>2120.6999999999998</v>
      </c>
      <c r="J246" s="367">
        <v>2258.3000000000002</v>
      </c>
      <c r="K246" s="367">
        <v>2258.3000000000002</v>
      </c>
      <c r="L246" s="367">
        <v>2258.3000000000002</v>
      </c>
      <c r="M246" s="367">
        <v>2258.3000000000002</v>
      </c>
      <c r="N246" s="367">
        <v>2258.3000000000002</v>
      </c>
      <c r="O246" s="368">
        <v>2258.3000000000002</v>
      </c>
      <c r="P246" s="48">
        <v>2258.3000000000002</v>
      </c>
      <c r="Q246" s="48">
        <v>2258.3000000000002</v>
      </c>
      <c r="R246" s="48">
        <v>2258.3000000000002</v>
      </c>
      <c r="S246" s="48">
        <v>2258.3000000000002</v>
      </c>
      <c r="T246" s="48">
        <v>2258.3000000000002</v>
      </c>
      <c r="U246" s="48">
        <v>2258.2800000000002</v>
      </c>
      <c r="V246" s="48">
        <v>348.55</v>
      </c>
      <c r="W246" s="48">
        <v>348.55</v>
      </c>
      <c r="X246" s="48">
        <v>348.55</v>
      </c>
      <c r="Y246" s="48">
        <v>348.55</v>
      </c>
      <c r="Z246" s="48">
        <v>348.55</v>
      </c>
      <c r="AA246" s="48">
        <v>348.55</v>
      </c>
      <c r="AB246" s="48">
        <v>348.55</v>
      </c>
      <c r="AC246" s="48">
        <v>348.55</v>
      </c>
      <c r="AD246" s="48">
        <v>348.55</v>
      </c>
      <c r="AE246" s="48">
        <v>348.55</v>
      </c>
      <c r="AF246" s="48">
        <v>348.55</v>
      </c>
      <c r="AG246" s="48">
        <v>348.56</v>
      </c>
      <c r="AH246" s="48">
        <v>223.02</v>
      </c>
      <c r="AI246" s="48">
        <v>223.02</v>
      </c>
      <c r="AJ246" s="48">
        <v>223.02</v>
      </c>
      <c r="AK246" s="48">
        <v>223.02</v>
      </c>
      <c r="AL246" s="48">
        <v>223.02</v>
      </c>
      <c r="AM246" s="48">
        <v>223.02</v>
      </c>
      <c r="AN246" s="48">
        <v>223.02</v>
      </c>
      <c r="AO246" s="48">
        <v>223.02</v>
      </c>
      <c r="AP246" s="48">
        <v>223.02</v>
      </c>
      <c r="AQ246" s="48">
        <v>223.02</v>
      </c>
      <c r="AR246" s="48">
        <v>223.02</v>
      </c>
      <c r="AS246" s="48">
        <v>223.02</v>
      </c>
      <c r="AT246" s="48">
        <v>224.15</v>
      </c>
      <c r="AU246" s="48">
        <v>224.17</v>
      </c>
      <c r="AV246" s="48">
        <v>224.17</v>
      </c>
      <c r="AW246" s="48">
        <v>224.17</v>
      </c>
      <c r="AX246" s="48">
        <v>224.17</v>
      </c>
      <c r="AY246" s="48">
        <v>246.67</v>
      </c>
      <c r="AZ246" s="48">
        <v>246.66</v>
      </c>
      <c r="BA246" s="48">
        <v>175.44</v>
      </c>
      <c r="BB246" s="48">
        <v>222.91</v>
      </c>
      <c r="BC246" s="48">
        <v>222.91</v>
      </c>
      <c r="BD246" s="48">
        <v>222.91</v>
      </c>
      <c r="BE246" s="48">
        <v>222.91</v>
      </c>
      <c r="BF246" s="48">
        <v>222.91</v>
      </c>
      <c r="BG246" s="48">
        <v>222.91</v>
      </c>
      <c r="BH246" s="48">
        <v>222.91</v>
      </c>
      <c r="BI246" s="48">
        <v>222.91</v>
      </c>
      <c r="BJ246" s="48">
        <v>222.91</v>
      </c>
      <c r="BK246" s="48">
        <v>200</v>
      </c>
      <c r="BL246" s="48">
        <v>245.86</v>
      </c>
      <c r="BM246" s="48">
        <v>222.91</v>
      </c>
      <c r="BN246" s="48">
        <v>222.91</v>
      </c>
      <c r="BO246" s="48">
        <v>222.91</v>
      </c>
      <c r="BP246" s="48">
        <v>222.91</v>
      </c>
      <c r="BQ246" s="48">
        <v>222.91</v>
      </c>
      <c r="BR246" s="48">
        <v>222.91</v>
      </c>
      <c r="BS246" s="48">
        <v>222.91</v>
      </c>
      <c r="BT246" s="48">
        <v>222.91</v>
      </c>
      <c r="BU246" s="48">
        <v>222.91</v>
      </c>
      <c r="BV246" s="48">
        <v>222.91</v>
      </c>
      <c r="BW246" s="48">
        <v>222.95</v>
      </c>
      <c r="BX246" s="48">
        <v>222.91</v>
      </c>
      <c r="BY246" s="48">
        <v>222.91</v>
      </c>
      <c r="BZ246" s="48">
        <v>222.91</v>
      </c>
      <c r="CA246" s="48">
        <v>222.91</v>
      </c>
      <c r="CB246" s="48">
        <v>222.91</v>
      </c>
      <c r="CC246" s="48">
        <v>222.91</v>
      </c>
      <c r="CD246" s="48">
        <v>222.91</v>
      </c>
      <c r="CE246" s="48">
        <v>222.91</v>
      </c>
      <c r="CF246" s="48">
        <v>222.91</v>
      </c>
      <c r="CG246" s="48">
        <v>222.91</v>
      </c>
      <c r="CH246" s="48">
        <v>222.91</v>
      </c>
      <c r="CI246" s="48">
        <v>280</v>
      </c>
      <c r="CJ246" s="48">
        <v>210</v>
      </c>
      <c r="CK246" s="48">
        <v>245</v>
      </c>
      <c r="CL246" s="48">
        <v>245</v>
      </c>
      <c r="CM246" s="48">
        <v>257.45</v>
      </c>
      <c r="CN246" s="48">
        <v>245</v>
      </c>
      <c r="CO246" s="48">
        <v>245</v>
      </c>
      <c r="CP246" s="48">
        <v>245</v>
      </c>
      <c r="CQ246" s="48">
        <v>245</v>
      </c>
      <c r="CR246" s="48">
        <v>245</v>
      </c>
      <c r="CS246" s="48">
        <v>245</v>
      </c>
      <c r="CT246" s="48">
        <v>245</v>
      </c>
      <c r="CU246" s="48">
        <v>300</v>
      </c>
      <c r="CV246" s="48">
        <v>214.15</v>
      </c>
      <c r="CW246" s="48">
        <v>257.08</v>
      </c>
      <c r="CX246" s="48">
        <v>257.08</v>
      </c>
      <c r="CY246" s="48">
        <v>257.08</v>
      </c>
      <c r="CZ246" s="48">
        <v>257.08</v>
      </c>
      <c r="DA246" s="48">
        <v>257.08</v>
      </c>
      <c r="DB246" s="48">
        <v>257.08</v>
      </c>
      <c r="DC246" s="48">
        <v>257.08</v>
      </c>
      <c r="DD246" s="48">
        <v>257.08</v>
      </c>
      <c r="DE246" s="48">
        <f>VLOOKUP($C246,'[2]Analysis 1'!$C$5:$DG$1025,107,FALSE)</f>
        <v>257.08</v>
      </c>
      <c r="DF246" s="48">
        <f>VLOOKUP($C246,'[2]Analysis 1'!$C$5:$DG$1025,108,FALSE)</f>
        <v>257.08</v>
      </c>
      <c r="DG246" s="48">
        <f>VLOOKUP($C246,'[2]Analysis 1'!$C$5:$DG$1025,109,FALSE)</f>
        <v>257.08</v>
      </c>
      <c r="DH246" s="369">
        <f t="shared" si="6"/>
        <v>3042.0299999999993</v>
      </c>
    </row>
    <row r="247" spans="1:112">
      <c r="A247" s="357" t="str">
        <f t="shared" si="7"/>
        <v>6700506</v>
      </c>
      <c r="B247" s="350" t="s">
        <v>2060</v>
      </c>
      <c r="C247" s="335" t="s">
        <v>1146</v>
      </c>
      <c r="D247" s="340">
        <v>11540.95</v>
      </c>
      <c r="E247" s="340">
        <v>11540.95</v>
      </c>
      <c r="F247" s="340">
        <v>11540.95</v>
      </c>
      <c r="G247" s="340">
        <v>11540.95</v>
      </c>
      <c r="H247" s="340">
        <v>11540.95</v>
      </c>
      <c r="I247" s="340">
        <v>11540.95</v>
      </c>
      <c r="J247" s="340">
        <v>12607.86</v>
      </c>
      <c r="K247" s="340">
        <v>12607.86</v>
      </c>
      <c r="L247" s="340">
        <v>12607.86</v>
      </c>
      <c r="M247" s="340">
        <v>12607.86</v>
      </c>
      <c r="N247" s="340">
        <v>12607.86</v>
      </c>
      <c r="O247" s="341">
        <v>12607.86</v>
      </c>
      <c r="P247" s="48">
        <v>12607.86</v>
      </c>
      <c r="Q247" s="48">
        <v>12607.86</v>
      </c>
      <c r="R247" s="48">
        <v>12607.86</v>
      </c>
      <c r="S247" s="48">
        <v>12607.86</v>
      </c>
      <c r="T247" s="48">
        <v>12607.86</v>
      </c>
      <c r="U247" s="48">
        <v>12607.81</v>
      </c>
      <c r="V247" s="48">
        <v>8963.99</v>
      </c>
      <c r="W247" s="48">
        <v>8963.99</v>
      </c>
      <c r="X247" s="48">
        <v>8963.99</v>
      </c>
      <c r="Y247" s="48">
        <v>8963.99</v>
      </c>
      <c r="Z247" s="48">
        <v>8963.99</v>
      </c>
      <c r="AA247" s="48">
        <v>8963.99</v>
      </c>
      <c r="AB247" s="48">
        <v>8963.99</v>
      </c>
      <c r="AC247" s="48">
        <v>9962.81</v>
      </c>
      <c r="AD247" s="48">
        <v>8963.99</v>
      </c>
      <c r="AE247" s="48">
        <v>8963.99</v>
      </c>
      <c r="AF247" s="48">
        <v>8963.99</v>
      </c>
      <c r="AG247" s="48">
        <v>8964</v>
      </c>
      <c r="AH247" s="48">
        <v>10196.56</v>
      </c>
      <c r="AI247" s="48">
        <v>10196.56</v>
      </c>
      <c r="AJ247" s="48">
        <v>10196.56</v>
      </c>
      <c r="AK247" s="48">
        <v>10196.56</v>
      </c>
      <c r="AL247" s="48">
        <v>10196.56</v>
      </c>
      <c r="AM247" s="48">
        <v>10196.56</v>
      </c>
      <c r="AN247" s="48">
        <v>10196.56</v>
      </c>
      <c r="AO247" s="48">
        <v>10196.56</v>
      </c>
      <c r="AP247" s="48">
        <v>12585.18</v>
      </c>
      <c r="AQ247" s="48">
        <v>10770.32</v>
      </c>
      <c r="AR247" s="48">
        <v>10770.32</v>
      </c>
      <c r="AS247" s="48">
        <v>10770.32</v>
      </c>
      <c r="AT247" s="48">
        <v>10770.32</v>
      </c>
      <c r="AU247" s="48">
        <v>10770.32</v>
      </c>
      <c r="AV247" s="48">
        <v>10770.32</v>
      </c>
      <c r="AW247" s="48">
        <v>10770.32</v>
      </c>
      <c r="AX247" s="48">
        <v>10770.32</v>
      </c>
      <c r="AY247" s="48">
        <v>11857</v>
      </c>
      <c r="AZ247" s="48">
        <v>21697.58</v>
      </c>
      <c r="BA247" s="48">
        <v>16777.29</v>
      </c>
      <c r="BB247" s="48">
        <v>16777.29</v>
      </c>
      <c r="BC247" s="48">
        <v>16777.29</v>
      </c>
      <c r="BD247" s="48">
        <v>16777.29</v>
      </c>
      <c r="BE247" s="48">
        <v>16777.29</v>
      </c>
      <c r="BF247" s="48">
        <v>16777.29</v>
      </c>
      <c r="BG247" s="48">
        <v>16777.29</v>
      </c>
      <c r="BH247" s="48">
        <v>16777.29</v>
      </c>
      <c r="BI247" s="48">
        <v>16777.29</v>
      </c>
      <c r="BJ247" s="48">
        <v>16777.29</v>
      </c>
      <c r="BK247" s="48">
        <v>17000</v>
      </c>
      <c r="BL247" s="48">
        <v>16978.060000000001</v>
      </c>
      <c r="BM247" s="48">
        <v>16989.02</v>
      </c>
      <c r="BN247" s="48">
        <v>16989.02</v>
      </c>
      <c r="BO247" s="48">
        <v>16989.02</v>
      </c>
      <c r="BP247" s="48">
        <v>16989.02</v>
      </c>
      <c r="BQ247" s="48">
        <v>16989.02</v>
      </c>
      <c r="BR247" s="48">
        <v>16989.02</v>
      </c>
      <c r="BS247" s="48">
        <v>16989.02</v>
      </c>
      <c r="BT247" s="48">
        <v>16989.02</v>
      </c>
      <c r="BU247" s="48">
        <v>16989.02</v>
      </c>
      <c r="BV247" s="48">
        <v>16989.02</v>
      </c>
      <c r="BW247" s="48">
        <v>17000</v>
      </c>
      <c r="BX247" s="48">
        <v>17000</v>
      </c>
      <c r="BY247" s="48">
        <v>17251.38</v>
      </c>
      <c r="BZ247" s="48">
        <v>17083.79</v>
      </c>
      <c r="CA247" s="48">
        <v>17083.79</v>
      </c>
      <c r="CB247" s="48">
        <v>17083.79</v>
      </c>
      <c r="CC247" s="48">
        <v>-12267.53</v>
      </c>
      <c r="CD247" s="48">
        <v>12890.73</v>
      </c>
      <c r="CE247" s="48">
        <v>12890.73</v>
      </c>
      <c r="CF247" s="48">
        <v>12890.73</v>
      </c>
      <c r="CG247" s="48">
        <v>12890.73</v>
      </c>
      <c r="CH247" s="48">
        <v>12890.73</v>
      </c>
      <c r="CI247" s="48">
        <v>11701.38</v>
      </c>
      <c r="CJ247" s="48">
        <v>12799.25</v>
      </c>
      <c r="CK247" s="48">
        <v>12799.25</v>
      </c>
      <c r="CL247" s="48">
        <v>12799.25</v>
      </c>
      <c r="CM247" s="48">
        <v>12799.25</v>
      </c>
      <c r="CN247" s="48">
        <v>12799.25</v>
      </c>
      <c r="CO247" s="48">
        <v>6126.84</v>
      </c>
      <c r="CP247" s="48">
        <v>6126.87</v>
      </c>
      <c r="CQ247" s="48">
        <v>6126.87</v>
      </c>
      <c r="CR247" s="48">
        <v>6126.87</v>
      </c>
      <c r="CS247" s="48">
        <v>6126.87</v>
      </c>
      <c r="CT247" s="48">
        <v>6126.87</v>
      </c>
      <c r="CU247" s="48">
        <v>6126.87</v>
      </c>
      <c r="CV247" s="48">
        <v>6126.87</v>
      </c>
      <c r="CW247" s="48">
        <v>6126.87</v>
      </c>
      <c r="CX247" s="48">
        <v>6126.87</v>
      </c>
      <c r="CY247" s="48">
        <v>6126.87</v>
      </c>
      <c r="CZ247" s="48">
        <v>6126.87</v>
      </c>
      <c r="DA247" s="48">
        <v>7700</v>
      </c>
      <c r="DB247" s="48">
        <v>14413.83</v>
      </c>
      <c r="DC247" s="48">
        <v>11056.89</v>
      </c>
      <c r="DD247" s="48">
        <v>11056.89</v>
      </c>
      <c r="DE247" s="48">
        <f>VLOOKUP($C247,'[2]Analysis 1'!$C$5:$DG$1025,107,FALSE)</f>
        <v>11056.89</v>
      </c>
      <c r="DF247" s="48">
        <f>VLOOKUP($C247,'[2]Analysis 1'!$C$5:$DG$1025,108,FALSE)</f>
        <v>11056.89</v>
      </c>
      <c r="DG247" s="48">
        <f>VLOOKUP($C247,'[2]Analysis 1'!$C$5:$DG$1025,109,FALSE)</f>
        <v>11056.89</v>
      </c>
      <c r="DH247" s="369">
        <f t="shared" si="6"/>
        <v>108032.62999999999</v>
      </c>
    </row>
    <row r="248" spans="1:112">
      <c r="A248" s="357" t="str">
        <f t="shared" si="7"/>
        <v>6700507</v>
      </c>
      <c r="B248" s="350" t="s">
        <v>2062</v>
      </c>
      <c r="C248" s="335" t="s">
        <v>1147</v>
      </c>
      <c r="D248" s="367">
        <v>89093.21</v>
      </c>
      <c r="E248" s="367">
        <v>89093.21</v>
      </c>
      <c r="F248" s="367">
        <v>89093.21</v>
      </c>
      <c r="G248" s="367">
        <v>85232.8</v>
      </c>
      <c r="H248" s="367">
        <v>85232.8</v>
      </c>
      <c r="I248" s="367">
        <v>85232.8</v>
      </c>
      <c r="J248" s="367">
        <v>99227.12</v>
      </c>
      <c r="K248" s="367">
        <v>86341.47</v>
      </c>
      <c r="L248" s="367">
        <v>92784.29</v>
      </c>
      <c r="M248" s="367">
        <v>96677.91</v>
      </c>
      <c r="N248" s="367">
        <v>93757.7</v>
      </c>
      <c r="O248" s="368">
        <v>93757.7</v>
      </c>
      <c r="P248" s="48">
        <v>93757.7</v>
      </c>
      <c r="Q248" s="48">
        <v>93757.7</v>
      </c>
      <c r="R248" s="48">
        <v>82476.7</v>
      </c>
      <c r="S248" s="48">
        <v>93757.7</v>
      </c>
      <c r="T248" s="48">
        <v>93757.7</v>
      </c>
      <c r="U248" s="48">
        <v>93757.66</v>
      </c>
      <c r="V248" s="48">
        <v>102857.26</v>
      </c>
      <c r="W248" s="48">
        <v>102857.26</v>
      </c>
      <c r="X248" s="48">
        <v>102857.26</v>
      </c>
      <c r="Y248" s="48">
        <v>111792.82</v>
      </c>
      <c r="Z248" s="48">
        <v>102857.26</v>
      </c>
      <c r="AA248" s="48">
        <v>102857.26</v>
      </c>
      <c r="AB248" s="48">
        <v>102857.26</v>
      </c>
      <c r="AC248" s="48">
        <v>102857.26</v>
      </c>
      <c r="AD248" s="48">
        <v>102857.26</v>
      </c>
      <c r="AE248" s="48">
        <v>42217.26</v>
      </c>
      <c r="AF248" s="48">
        <v>102857.26</v>
      </c>
      <c r="AG248" s="48">
        <v>102857.22</v>
      </c>
      <c r="AH248" s="48">
        <v>102891.89</v>
      </c>
      <c r="AI248" s="48">
        <v>102891.89</v>
      </c>
      <c r="AJ248" s="48">
        <v>102891.89</v>
      </c>
      <c r="AK248" s="48">
        <v>111803.45</v>
      </c>
      <c r="AL248" s="48">
        <v>102891.89</v>
      </c>
      <c r="AM248" s="48">
        <v>102891.89</v>
      </c>
      <c r="AN248" s="48">
        <v>111399.93</v>
      </c>
      <c r="AO248" s="48">
        <v>102891.89</v>
      </c>
      <c r="AP248" s="48">
        <v>116539.58</v>
      </c>
      <c r="AQ248" s="48">
        <v>104278.56</v>
      </c>
      <c r="AR248" s="48">
        <v>101514.43</v>
      </c>
      <c r="AS248" s="48">
        <v>103906.08</v>
      </c>
      <c r="AT248" s="48">
        <v>103925.44</v>
      </c>
      <c r="AU248" s="48">
        <v>103925.44</v>
      </c>
      <c r="AV248" s="48">
        <v>103925.44</v>
      </c>
      <c r="AW248" s="48">
        <v>104686.92</v>
      </c>
      <c r="AX248" s="48">
        <v>103925.44</v>
      </c>
      <c r="AY248" s="48">
        <v>132138.37</v>
      </c>
      <c r="AZ248" s="48">
        <v>98538.95</v>
      </c>
      <c r="BA248" s="48">
        <v>114464.52</v>
      </c>
      <c r="BB248" s="48">
        <v>115361.19</v>
      </c>
      <c r="BC248" s="48">
        <v>115361.19</v>
      </c>
      <c r="BD248" s="48">
        <v>119310.41</v>
      </c>
      <c r="BE248" s="48">
        <v>-40032.6</v>
      </c>
      <c r="BF248" s="48">
        <v>116019.4</v>
      </c>
      <c r="BG248" s="48">
        <v>116019.4</v>
      </c>
      <c r="BH248" s="48">
        <v>116019.4</v>
      </c>
      <c r="BI248" s="48">
        <v>116019.4</v>
      </c>
      <c r="BJ248" s="48">
        <v>116019.4</v>
      </c>
      <c r="BK248" s="48">
        <v>156300</v>
      </c>
      <c r="BL248" s="48">
        <v>149276.47</v>
      </c>
      <c r="BM248" s="48">
        <v>127294.1</v>
      </c>
      <c r="BN248" s="48">
        <v>144388.78</v>
      </c>
      <c r="BO248" s="48">
        <v>144314.87</v>
      </c>
      <c r="BP248" s="48">
        <v>-48839.87</v>
      </c>
      <c r="BQ248" s="48">
        <v>144236.41</v>
      </c>
      <c r="BR248" s="48">
        <v>144236.41</v>
      </c>
      <c r="BS248" s="48">
        <v>144236.41</v>
      </c>
      <c r="BT248" s="48">
        <v>144236.41</v>
      </c>
      <c r="BU248" s="48">
        <v>144236.41</v>
      </c>
      <c r="BV248" s="48">
        <v>144236.41</v>
      </c>
      <c r="BW248" s="48">
        <v>183732.99</v>
      </c>
      <c r="BX248" s="48">
        <v>-55560.92</v>
      </c>
      <c r="BY248" s="48">
        <v>237346.96</v>
      </c>
      <c r="BZ248" s="48">
        <v>222134.02</v>
      </c>
      <c r="CA248" s="48">
        <v>191171.51</v>
      </c>
      <c r="CB248" s="48">
        <v>191171.51</v>
      </c>
      <c r="CC248" s="48">
        <v>111925.15</v>
      </c>
      <c r="CD248" s="48">
        <v>207876.92</v>
      </c>
      <c r="CE248" s="48">
        <v>207819.03</v>
      </c>
      <c r="CF248" s="48">
        <v>207819.03</v>
      </c>
      <c r="CG248" s="48">
        <v>207819.03</v>
      </c>
      <c r="CH248" s="48">
        <v>207819.03</v>
      </c>
      <c r="CI248" s="48">
        <v>253175.74</v>
      </c>
      <c r="CJ248" s="48">
        <v>244428.74</v>
      </c>
      <c r="CK248" s="48">
        <v>284780.65000000002</v>
      </c>
      <c r="CL248" s="48">
        <v>243893.02</v>
      </c>
      <c r="CM248" s="48">
        <v>242374.02</v>
      </c>
      <c r="CN248" s="48">
        <v>243893.02</v>
      </c>
      <c r="CO248" s="48">
        <v>367168.1</v>
      </c>
      <c r="CP248" s="48">
        <v>367168.13</v>
      </c>
      <c r="CQ248" s="48">
        <v>367168.13</v>
      </c>
      <c r="CR248" s="48">
        <v>367168.13</v>
      </c>
      <c r="CS248" s="48">
        <v>367168.13</v>
      </c>
      <c r="CT248" s="48">
        <v>367168.13</v>
      </c>
      <c r="CU248" s="48">
        <v>402662.11</v>
      </c>
      <c r="CV248" s="48">
        <v>397730.88</v>
      </c>
      <c r="CW248" s="48">
        <v>400196.52</v>
      </c>
      <c r="CX248" s="48">
        <v>400196.52</v>
      </c>
      <c r="CY248" s="48">
        <v>400196.52</v>
      </c>
      <c r="CZ248" s="48">
        <v>400196.52</v>
      </c>
      <c r="DA248" s="48">
        <v>469034.41</v>
      </c>
      <c r="DB248" s="48">
        <v>497509.42</v>
      </c>
      <c r="DC248" s="48">
        <v>483271.93</v>
      </c>
      <c r="DD248" s="48">
        <v>483271.93</v>
      </c>
      <c r="DE248" s="48">
        <f>VLOOKUP($C248,'[2]Analysis 1'!$C$5:$DG$1025,107,FALSE)</f>
        <v>483271.93</v>
      </c>
      <c r="DF248" s="48">
        <f>VLOOKUP($C248,'[2]Analysis 1'!$C$5:$DG$1025,108,FALSE)</f>
        <v>483271.93</v>
      </c>
      <c r="DG248" s="48">
        <f>VLOOKUP($C248,'[2]Analysis 1'!$C$5:$DG$1025,109,FALSE)</f>
        <v>483271.93</v>
      </c>
      <c r="DH248" s="369">
        <f t="shared" si="6"/>
        <v>5381420.4399999995</v>
      </c>
    </row>
    <row r="249" spans="1:112">
      <c r="A249" s="357" t="str">
        <f>+B249</f>
        <v>6700508</v>
      </c>
      <c r="B249" s="350" t="s">
        <v>2459</v>
      </c>
      <c r="C249" s="335" t="s">
        <v>2461</v>
      </c>
      <c r="D249" s="367"/>
      <c r="E249" s="367"/>
      <c r="F249" s="367"/>
      <c r="G249" s="367"/>
      <c r="H249" s="367"/>
      <c r="I249" s="367"/>
      <c r="J249" s="367"/>
      <c r="K249" s="367"/>
      <c r="L249" s="367"/>
      <c r="M249" s="367"/>
      <c r="N249" s="367"/>
      <c r="O249" s="36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v>562.26</v>
      </c>
      <c r="BY249" s="48">
        <v>562.17999999999995</v>
      </c>
      <c r="BZ249" s="48">
        <v>562.17999999999995</v>
      </c>
      <c r="CA249" s="48">
        <v>562.17999999999995</v>
      </c>
      <c r="CB249" s="48">
        <v>562.17999999999995</v>
      </c>
      <c r="CC249" s="48">
        <v>562.17999999999995</v>
      </c>
      <c r="CD249" s="48">
        <v>562.17999999999995</v>
      </c>
      <c r="CE249" s="48">
        <v>562.17999999999995</v>
      </c>
      <c r="CF249" s="48">
        <v>562.17999999999995</v>
      </c>
      <c r="CG249" s="48">
        <v>562.17999999999995</v>
      </c>
      <c r="CH249" s="48">
        <v>562.17999999999995</v>
      </c>
      <c r="CI249" s="48">
        <v>562.17999999999995</v>
      </c>
      <c r="CJ249" s="48">
        <v>640</v>
      </c>
      <c r="CK249" s="48">
        <v>665.71</v>
      </c>
      <c r="CL249" s="48">
        <v>652.86</v>
      </c>
      <c r="CM249" s="48">
        <v>652.86</v>
      </c>
      <c r="CN249" s="48">
        <v>652.86</v>
      </c>
      <c r="CO249" s="48">
        <v>652.86</v>
      </c>
      <c r="CP249" s="48">
        <v>652.86</v>
      </c>
      <c r="CQ249" s="48">
        <v>652.86</v>
      </c>
      <c r="CR249" s="48">
        <v>652.86</v>
      </c>
      <c r="CS249" s="48">
        <v>652.86</v>
      </c>
      <c r="CT249" s="48">
        <v>652.86</v>
      </c>
      <c r="CU249" s="48">
        <v>652.86</v>
      </c>
      <c r="CV249" s="48">
        <v>800</v>
      </c>
      <c r="CW249" s="48">
        <v>678.42</v>
      </c>
      <c r="CX249" s="48">
        <v>739.23</v>
      </c>
      <c r="CY249" s="48">
        <v>739.23</v>
      </c>
      <c r="CZ249" s="48">
        <v>739.23</v>
      </c>
      <c r="DA249" s="48">
        <v>739.23</v>
      </c>
      <c r="DB249" s="48">
        <v>739.23</v>
      </c>
      <c r="DC249" s="48">
        <v>739.23</v>
      </c>
      <c r="DD249" s="48">
        <v>739.23</v>
      </c>
      <c r="DE249" s="48">
        <f>VLOOKUP($C249,'[2]Analysis 1'!$C$5:$DG$1025,107,FALSE)</f>
        <v>739.23</v>
      </c>
      <c r="DF249" s="48">
        <f>VLOOKUP($C249,'[2]Analysis 1'!$C$5:$DG$1025,108,FALSE)</f>
        <v>739.23</v>
      </c>
      <c r="DG249" s="48">
        <f>VLOOKUP($C249,'[2]Analysis 1'!$C$5:$DG$1025,109,FALSE)</f>
        <v>739.23</v>
      </c>
      <c r="DH249" s="369">
        <f t="shared" si="6"/>
        <v>8870.7199999999975</v>
      </c>
    </row>
    <row r="250" spans="1:112">
      <c r="A250" s="357" t="str">
        <f t="shared" si="7"/>
        <v>6700509</v>
      </c>
      <c r="B250" s="350" t="s">
        <v>2063</v>
      </c>
      <c r="C250" s="335" t="s">
        <v>1148</v>
      </c>
      <c r="D250" s="367">
        <v>150000</v>
      </c>
      <c r="E250" s="367">
        <v>150000</v>
      </c>
      <c r="F250" s="367">
        <v>7818</v>
      </c>
      <c r="G250" s="367">
        <v>152455.17000000001</v>
      </c>
      <c r="H250" s="367">
        <v>150000</v>
      </c>
      <c r="I250" s="367">
        <v>-297537</v>
      </c>
      <c r="J250" s="367">
        <v>150000</v>
      </c>
      <c r="K250" s="367">
        <v>147544.82999999999</v>
      </c>
      <c r="L250" s="367">
        <v>-97262</v>
      </c>
      <c r="M250" s="367">
        <v>150000</v>
      </c>
      <c r="N250" s="367">
        <v>150000</v>
      </c>
      <c r="O250" s="368">
        <v>-438330</v>
      </c>
      <c r="P250" s="48">
        <v>0</v>
      </c>
      <c r="Q250" s="48">
        <v>0</v>
      </c>
      <c r="R250" s="48">
        <v>-428325</v>
      </c>
      <c r="S250" s="48">
        <v>0</v>
      </c>
      <c r="T250" s="48">
        <v>0</v>
      </c>
      <c r="U250" s="48">
        <v>-276270</v>
      </c>
      <c r="V250" s="48">
        <v>0</v>
      </c>
      <c r="W250" s="48">
        <v>0</v>
      </c>
      <c r="X250" s="48">
        <v>-233969</v>
      </c>
      <c r="Y250" s="48">
        <v>0</v>
      </c>
      <c r="Z250" s="48">
        <v>0</v>
      </c>
      <c r="AA250" s="48">
        <v>386533</v>
      </c>
      <c r="AB250" s="48">
        <v>0</v>
      </c>
      <c r="AC250" s="48">
        <v>0</v>
      </c>
      <c r="AD250" s="48">
        <v>-424390</v>
      </c>
      <c r="AE250" s="48">
        <v>0</v>
      </c>
      <c r="AF250" s="48">
        <v>0</v>
      </c>
      <c r="AG250" s="48">
        <v>393830</v>
      </c>
      <c r="AH250" s="48">
        <v>0</v>
      </c>
      <c r="AI250" s="48">
        <v>0</v>
      </c>
      <c r="AJ250" s="48">
        <v>-100932</v>
      </c>
      <c r="AK250" s="48">
        <v>0</v>
      </c>
      <c r="AL250" s="48">
        <v>0</v>
      </c>
      <c r="AM250" s="48">
        <v>256623</v>
      </c>
      <c r="AN250" s="48">
        <v>0</v>
      </c>
      <c r="AO250" s="48">
        <v>0</v>
      </c>
      <c r="AP250" s="48">
        <v>6256.16</v>
      </c>
      <c r="AQ250" s="48">
        <v>0</v>
      </c>
      <c r="AR250" s="48">
        <v>0</v>
      </c>
      <c r="AS250" s="48">
        <v>-157045.1</v>
      </c>
      <c r="AT250" s="48">
        <v>0</v>
      </c>
      <c r="AU250" s="48">
        <v>0</v>
      </c>
      <c r="AV250" s="48">
        <v>380555.37</v>
      </c>
      <c r="AW250" s="48">
        <v>0</v>
      </c>
      <c r="AX250" s="48">
        <v>0</v>
      </c>
      <c r="AY250" s="48">
        <v>-413670.95</v>
      </c>
      <c r="AZ250" s="48">
        <v>0</v>
      </c>
      <c r="BA250" s="48">
        <v>0</v>
      </c>
      <c r="BB250" s="48">
        <v>-120050.22</v>
      </c>
      <c r="BC250" s="48">
        <v>0</v>
      </c>
      <c r="BD250" s="48">
        <v>0</v>
      </c>
      <c r="BE250" s="48">
        <v>89915</v>
      </c>
      <c r="BF250" s="48">
        <v>0</v>
      </c>
      <c r="BG250" s="48">
        <v>0</v>
      </c>
      <c r="BH250" s="48">
        <v>35400.9</v>
      </c>
      <c r="BI250" s="48">
        <v>0</v>
      </c>
      <c r="BJ250" s="48">
        <v>0</v>
      </c>
      <c r="BK250" s="48">
        <v>-62119.5</v>
      </c>
      <c r="BL250" s="48">
        <v>0</v>
      </c>
      <c r="BM250" s="48">
        <v>0</v>
      </c>
      <c r="BN250" s="48">
        <v>810725</v>
      </c>
      <c r="BO250" s="48">
        <v>0</v>
      </c>
      <c r="BP250" s="48">
        <v>0</v>
      </c>
      <c r="BQ250" s="48">
        <v>212852</v>
      </c>
      <c r="BR250" s="48">
        <v>1000000</v>
      </c>
      <c r="BS250" s="48">
        <v>0</v>
      </c>
      <c r="BT250" s="48">
        <v>-554591</v>
      </c>
      <c r="BU250" s="48">
        <v>0</v>
      </c>
      <c r="BV250" s="48">
        <v>135000</v>
      </c>
      <c r="BW250" s="48">
        <v>104572</v>
      </c>
      <c r="BX250" s="48">
        <v>0</v>
      </c>
      <c r="BY250" s="48">
        <v>0</v>
      </c>
      <c r="BZ250" s="48">
        <v>-335653</v>
      </c>
      <c r="CA250" s="48">
        <v>0</v>
      </c>
      <c r="CB250" s="48">
        <v>0</v>
      </c>
      <c r="CC250" s="48">
        <v>306401</v>
      </c>
      <c r="CD250" s="48">
        <v>0</v>
      </c>
      <c r="CE250" s="48">
        <v>0</v>
      </c>
      <c r="CF250" s="48">
        <v>-90453</v>
      </c>
      <c r="CG250" s="48">
        <v>0</v>
      </c>
      <c r="CH250" s="48">
        <v>0</v>
      </c>
      <c r="CI250" s="48">
        <v>646145</v>
      </c>
      <c r="CJ250" s="48">
        <v>0</v>
      </c>
      <c r="CK250" s="48">
        <v>0</v>
      </c>
      <c r="CL250" s="48">
        <v>143683</v>
      </c>
      <c r="CM250" s="48">
        <v>0</v>
      </c>
      <c r="CN250" s="48">
        <v>0</v>
      </c>
      <c r="CO250" s="48">
        <v>-97206.01</v>
      </c>
      <c r="CP250" s="48">
        <v>0</v>
      </c>
      <c r="CQ250" s="48">
        <v>0</v>
      </c>
      <c r="CR250" s="48">
        <v>312483.59999999998</v>
      </c>
      <c r="CS250" s="48">
        <v>0</v>
      </c>
      <c r="CT250" s="48">
        <v>0</v>
      </c>
      <c r="CU250" s="48">
        <v>1091826</v>
      </c>
      <c r="CV250" s="48">
        <v>0</v>
      </c>
      <c r="CW250" s="48">
        <v>0</v>
      </c>
      <c r="CX250" s="48">
        <v>-520268</v>
      </c>
      <c r="CY250" s="48">
        <v>0</v>
      </c>
      <c r="CZ250" s="48">
        <v>0</v>
      </c>
      <c r="DA250" s="48">
        <v>-27882</v>
      </c>
      <c r="DB250" s="48">
        <v>0</v>
      </c>
      <c r="DC250" s="48">
        <v>0</v>
      </c>
      <c r="DD250" s="48">
        <v>-1160726</v>
      </c>
      <c r="DE250" s="48">
        <f>VLOOKUP($C250,'[2]Analysis 1'!$C$5:$DG$1025,107,FALSE)</f>
        <v>0</v>
      </c>
      <c r="DF250" s="48">
        <f>VLOOKUP($C250,'[2]Analysis 1'!$C$5:$DG$1025,108,FALSE)</f>
        <v>0</v>
      </c>
      <c r="DG250" s="48">
        <f>VLOOKUP($C250,'[2]Analysis 1'!$C$5:$DG$1025,109,FALSE)</f>
        <v>-872065</v>
      </c>
      <c r="DH250" s="369">
        <f t="shared" si="6"/>
        <v>-2580941</v>
      </c>
    </row>
    <row r="251" spans="1:112">
      <c r="A251" s="357" t="str">
        <f t="shared" si="7"/>
        <v>6700513</v>
      </c>
      <c r="B251" s="350" t="s">
        <v>2064</v>
      </c>
      <c r="C251" s="335" t="s">
        <v>1149</v>
      </c>
      <c r="D251" s="367">
        <v>2401.92</v>
      </c>
      <c r="E251" s="367">
        <v>2401.92</v>
      </c>
      <c r="F251" s="367">
        <v>2401.92</v>
      </c>
      <c r="G251" s="367">
        <v>2401.92</v>
      </c>
      <c r="H251" s="367">
        <v>2401.92</v>
      </c>
      <c r="I251" s="367">
        <v>2401.92</v>
      </c>
      <c r="J251" s="367">
        <v>2792.05</v>
      </c>
      <c r="K251" s="367">
        <v>2792.05</v>
      </c>
      <c r="L251" s="367">
        <v>2792.05</v>
      </c>
      <c r="M251" s="367">
        <v>2792.05</v>
      </c>
      <c r="N251" s="367">
        <v>2792.05</v>
      </c>
      <c r="O251" s="368">
        <v>2792.05</v>
      </c>
      <c r="P251" s="48">
        <v>2792.05</v>
      </c>
      <c r="Q251" s="48">
        <v>2792.05</v>
      </c>
      <c r="R251" s="48">
        <v>2792.05</v>
      </c>
      <c r="S251" s="48">
        <v>2792.05</v>
      </c>
      <c r="T251" s="48">
        <v>2792.05</v>
      </c>
      <c r="U251" s="48">
        <v>2792.01</v>
      </c>
      <c r="V251" s="48">
        <v>926.87</v>
      </c>
      <c r="W251" s="48">
        <v>926.87</v>
      </c>
      <c r="X251" s="48">
        <v>926.87</v>
      </c>
      <c r="Y251" s="48">
        <v>926.87</v>
      </c>
      <c r="Z251" s="48">
        <v>926.87</v>
      </c>
      <c r="AA251" s="48">
        <v>926.87</v>
      </c>
      <c r="AB251" s="48">
        <v>926.87</v>
      </c>
      <c r="AC251" s="48">
        <v>926.87</v>
      </c>
      <c r="AD251" s="48">
        <v>926.87</v>
      </c>
      <c r="AE251" s="48">
        <v>926.87</v>
      </c>
      <c r="AF251" s="48">
        <v>926.87</v>
      </c>
      <c r="AG251" s="48">
        <v>926.84</v>
      </c>
      <c r="AH251" s="48">
        <v>910.15</v>
      </c>
      <c r="AI251" s="48">
        <v>910.15</v>
      </c>
      <c r="AJ251" s="48">
        <v>910.15</v>
      </c>
      <c r="AK251" s="48">
        <v>910.15</v>
      </c>
      <c r="AL251" s="48">
        <v>910.15</v>
      </c>
      <c r="AM251" s="48">
        <v>910.15</v>
      </c>
      <c r="AN251" s="48">
        <v>910.15</v>
      </c>
      <c r="AO251" s="48">
        <v>910.15</v>
      </c>
      <c r="AP251" s="48">
        <v>1128.71</v>
      </c>
      <c r="AQ251" s="48">
        <v>959.08</v>
      </c>
      <c r="AR251" s="48">
        <v>959.08</v>
      </c>
      <c r="AS251" s="48">
        <v>959.08</v>
      </c>
      <c r="AT251" s="48">
        <v>959.08</v>
      </c>
      <c r="AU251" s="48">
        <v>959.08</v>
      </c>
      <c r="AV251" s="48">
        <v>959.08</v>
      </c>
      <c r="AW251" s="48">
        <v>959.08</v>
      </c>
      <c r="AX251" s="48">
        <v>959.08</v>
      </c>
      <c r="AY251" s="48">
        <v>941.67</v>
      </c>
      <c r="AZ251" s="48">
        <v>-941.67</v>
      </c>
      <c r="BA251" s="48">
        <v>941.67</v>
      </c>
      <c r="BB251" s="48">
        <v>0</v>
      </c>
      <c r="BC251" s="48">
        <v>0</v>
      </c>
      <c r="BD251" s="48">
        <v>0</v>
      </c>
      <c r="BE251" s="48">
        <v>0</v>
      </c>
      <c r="BF251" s="48">
        <v>0</v>
      </c>
      <c r="BG251" s="48">
        <v>0</v>
      </c>
      <c r="BH251" s="48">
        <v>0</v>
      </c>
      <c r="BI251" s="48">
        <v>0</v>
      </c>
      <c r="BJ251" s="48">
        <v>0</v>
      </c>
      <c r="BK251" s="48">
        <v>0</v>
      </c>
      <c r="BL251" s="48">
        <v>0</v>
      </c>
      <c r="BM251" s="48">
        <v>0</v>
      </c>
      <c r="BN251" s="48">
        <v>0</v>
      </c>
      <c r="BO251" s="48">
        <v>0</v>
      </c>
      <c r="BP251" s="48">
        <v>0</v>
      </c>
      <c r="BQ251" s="48">
        <v>0</v>
      </c>
      <c r="BR251" s="48">
        <v>0</v>
      </c>
      <c r="BS251" s="48">
        <v>0</v>
      </c>
      <c r="BT251" s="48">
        <v>0</v>
      </c>
      <c r="BU251" s="48">
        <v>0</v>
      </c>
      <c r="BV251" s="48">
        <v>0</v>
      </c>
      <c r="BW251" s="48">
        <v>0</v>
      </c>
      <c r="BX251" s="48">
        <v>0</v>
      </c>
      <c r="BY251" s="48">
        <v>0</v>
      </c>
      <c r="BZ251" s="48">
        <v>0</v>
      </c>
      <c r="CA251" s="48">
        <v>0</v>
      </c>
      <c r="CB251" s="48">
        <v>0</v>
      </c>
      <c r="CC251" s="48">
        <v>0</v>
      </c>
      <c r="CD251" s="48">
        <v>0</v>
      </c>
      <c r="CE251" s="48">
        <v>0</v>
      </c>
      <c r="CF251" s="48">
        <v>0</v>
      </c>
      <c r="CG251" s="48">
        <v>0</v>
      </c>
      <c r="CH251" s="48">
        <v>0</v>
      </c>
      <c r="CI251" s="48">
        <v>0</v>
      </c>
      <c r="CJ251" s="48">
        <v>0</v>
      </c>
      <c r="CK251" s="48">
        <v>0</v>
      </c>
      <c r="CL251" s="48">
        <v>0</v>
      </c>
      <c r="CM251" s="48">
        <v>0</v>
      </c>
      <c r="CN251" s="48">
        <v>0</v>
      </c>
      <c r="CO251" s="48">
        <v>0</v>
      </c>
      <c r="CP251" s="48">
        <v>0</v>
      </c>
      <c r="CQ251" s="48">
        <v>0</v>
      </c>
      <c r="CR251" s="48">
        <v>0</v>
      </c>
      <c r="CS251" s="48">
        <v>0</v>
      </c>
      <c r="CT251" s="48">
        <v>0</v>
      </c>
      <c r="CU251" s="48">
        <v>0</v>
      </c>
      <c r="CV251" s="48">
        <v>0</v>
      </c>
      <c r="CW251" s="48">
        <v>0</v>
      </c>
      <c r="CX251" s="48">
        <v>0</v>
      </c>
      <c r="CY251" s="48">
        <v>0</v>
      </c>
      <c r="CZ251" s="48">
        <v>0</v>
      </c>
      <c r="DA251" s="48">
        <v>0</v>
      </c>
      <c r="DB251" s="48">
        <v>0</v>
      </c>
      <c r="DC251" s="48">
        <v>0</v>
      </c>
      <c r="DD251" s="48">
        <v>0</v>
      </c>
      <c r="DE251" s="48">
        <f>VLOOKUP($C251,'[2]Analysis 1'!$C$5:$DG$1025,107,FALSE)</f>
        <v>0</v>
      </c>
      <c r="DF251" s="48">
        <f>VLOOKUP($C251,'[2]Analysis 1'!$C$5:$DG$1025,108,FALSE)</f>
        <v>0</v>
      </c>
      <c r="DG251" s="48">
        <f>VLOOKUP($C251,'[2]Analysis 1'!$C$5:$DG$1025,109,FALSE)</f>
        <v>0</v>
      </c>
      <c r="DH251" s="369">
        <f t="shared" si="6"/>
        <v>0</v>
      </c>
    </row>
    <row r="252" spans="1:112">
      <c r="A252" s="357" t="str">
        <f t="shared" si="7"/>
        <v>6700514</v>
      </c>
      <c r="B252" s="350" t="s">
        <v>2065</v>
      </c>
      <c r="C252" s="335" t="s">
        <v>1150</v>
      </c>
      <c r="D252" s="340">
        <v>8055.68</v>
      </c>
      <c r="E252" s="340">
        <v>8055.68</v>
      </c>
      <c r="F252" s="340">
        <v>8055.68</v>
      </c>
      <c r="G252" s="340">
        <v>7505.76</v>
      </c>
      <c r="H252" s="340">
        <v>7641.25</v>
      </c>
      <c r="I252" s="340">
        <v>7641.25</v>
      </c>
      <c r="J252" s="340">
        <v>7550.97</v>
      </c>
      <c r="K252" s="340">
        <v>7652.55</v>
      </c>
      <c r="L252" s="340">
        <v>7571.42</v>
      </c>
      <c r="M252" s="340">
        <v>7639.03</v>
      </c>
      <c r="N252" s="340">
        <v>7639.03</v>
      </c>
      <c r="O252" s="341">
        <v>7639.03</v>
      </c>
      <c r="P252" s="48">
        <v>7639.03</v>
      </c>
      <c r="Q252" s="48">
        <v>7639.03</v>
      </c>
      <c r="R252" s="48">
        <v>7603.03</v>
      </c>
      <c r="S252" s="48">
        <v>7639.03</v>
      </c>
      <c r="T252" s="48">
        <v>5319.61</v>
      </c>
      <c r="U252" s="48">
        <v>6055.6</v>
      </c>
      <c r="V252" s="48">
        <v>6055.6</v>
      </c>
      <c r="W252" s="48">
        <v>6055.6</v>
      </c>
      <c r="X252" s="48">
        <v>6055.6</v>
      </c>
      <c r="Y252" s="48">
        <v>6055.6</v>
      </c>
      <c r="Z252" s="48">
        <v>6055.6</v>
      </c>
      <c r="AA252" s="48">
        <v>6055.6</v>
      </c>
      <c r="AB252" s="48">
        <v>6005.6</v>
      </c>
      <c r="AC252" s="48">
        <v>6032.9</v>
      </c>
      <c r="AD252" s="48">
        <v>6055.58</v>
      </c>
      <c r="AE252" s="48">
        <v>5361.56</v>
      </c>
      <c r="AF252" s="48">
        <v>5383.56</v>
      </c>
      <c r="AG252" s="48">
        <v>5383.56</v>
      </c>
      <c r="AH252" s="48">
        <v>5383.56</v>
      </c>
      <c r="AI252" s="48">
        <v>5383.56</v>
      </c>
      <c r="AJ252" s="48">
        <v>5383.56</v>
      </c>
      <c r="AK252" s="48">
        <v>5383.56</v>
      </c>
      <c r="AL252" s="48">
        <v>5383.56</v>
      </c>
      <c r="AM252" s="48">
        <v>5383.56</v>
      </c>
      <c r="AN252" s="48">
        <v>5383.56</v>
      </c>
      <c r="AO252" s="48">
        <v>5383.56</v>
      </c>
      <c r="AP252" s="48">
        <v>2484.86</v>
      </c>
      <c r="AQ252" s="48">
        <v>2767.37</v>
      </c>
      <c r="AR252" s="48">
        <v>3085.84</v>
      </c>
      <c r="AS252" s="48">
        <v>3033.31</v>
      </c>
      <c r="AT252" s="48">
        <v>2985.03</v>
      </c>
      <c r="AU252" s="48">
        <v>3033.31</v>
      </c>
      <c r="AV252" s="48">
        <v>3033.31</v>
      </c>
      <c r="AW252" s="48">
        <v>3033.31</v>
      </c>
      <c r="AX252" s="48">
        <v>3033.31</v>
      </c>
      <c r="AY252" s="48">
        <v>2962.42</v>
      </c>
      <c r="AZ252" s="48">
        <v>2867.66</v>
      </c>
      <c r="BA252" s="48">
        <v>3289.98</v>
      </c>
      <c r="BB252" s="48">
        <v>2872.54</v>
      </c>
      <c r="BC252" s="48">
        <v>2998.14</v>
      </c>
      <c r="BD252" s="48">
        <v>2998.14</v>
      </c>
      <c r="BE252" s="48">
        <v>2998.14</v>
      </c>
      <c r="BF252" s="48">
        <v>2998.14</v>
      </c>
      <c r="BG252" s="48">
        <v>2998.14</v>
      </c>
      <c r="BH252" s="48">
        <v>2998.14</v>
      </c>
      <c r="BI252" s="48">
        <v>2998.14</v>
      </c>
      <c r="BJ252" s="48">
        <v>2998.14</v>
      </c>
      <c r="BK252" s="48">
        <v>5000</v>
      </c>
      <c r="BL252" s="48">
        <v>5000</v>
      </c>
      <c r="BM252" s="48">
        <v>-1180.4100000000001</v>
      </c>
      <c r="BN252" s="48">
        <v>2943.82</v>
      </c>
      <c r="BO252" s="48">
        <v>2943.82</v>
      </c>
      <c r="BP252" s="48">
        <v>2943.82</v>
      </c>
      <c r="BQ252" s="48">
        <v>2943.82</v>
      </c>
      <c r="BR252" s="48">
        <v>2943.82</v>
      </c>
      <c r="BS252" s="48">
        <v>2943.82</v>
      </c>
      <c r="BT252" s="48">
        <v>2943.82</v>
      </c>
      <c r="BU252" s="48">
        <v>2943.82</v>
      </c>
      <c r="BV252" s="48">
        <v>2943.82</v>
      </c>
      <c r="BW252" s="48">
        <v>3593.8</v>
      </c>
      <c r="BX252" s="48">
        <v>3593.81</v>
      </c>
      <c r="BY252" s="48">
        <v>3593.81</v>
      </c>
      <c r="BZ252" s="48">
        <v>3542.31</v>
      </c>
      <c r="CA252" s="48">
        <v>3542.31</v>
      </c>
      <c r="CB252" s="48">
        <v>3542.31</v>
      </c>
      <c r="CC252" s="48">
        <v>1353.89</v>
      </c>
      <c r="CD252" s="48">
        <v>2576.0500000000002</v>
      </c>
      <c r="CE252" s="48">
        <v>3145.35</v>
      </c>
      <c r="CF252" s="48">
        <v>3032.77</v>
      </c>
      <c r="CG252" s="48">
        <v>-5194.93</v>
      </c>
      <c r="CH252" s="48">
        <v>-1823.43</v>
      </c>
      <c r="CI252" s="48">
        <v>2493.19</v>
      </c>
      <c r="CJ252" s="48">
        <v>2508.91</v>
      </c>
      <c r="CK252" s="48">
        <v>2494.62</v>
      </c>
      <c r="CL252" s="48">
        <v>3640</v>
      </c>
      <c r="CM252" s="48">
        <v>3640</v>
      </c>
      <c r="CN252" s="48">
        <v>3917.84</v>
      </c>
      <c r="CO252" s="48">
        <v>3732.63</v>
      </c>
      <c r="CP252" s="48">
        <v>3756.58</v>
      </c>
      <c r="CQ252" s="48">
        <v>3732.63</v>
      </c>
      <c r="CR252" s="48">
        <v>3732.63</v>
      </c>
      <c r="CS252" s="48">
        <v>3732.63</v>
      </c>
      <c r="CT252" s="48">
        <v>3732.63</v>
      </c>
      <c r="CU252" s="48">
        <v>3732.63</v>
      </c>
      <c r="CV252" s="48">
        <v>3732.63</v>
      </c>
      <c r="CW252" s="48">
        <v>3732.63</v>
      </c>
      <c r="CX252" s="48">
        <v>4636.28</v>
      </c>
      <c r="CY252" s="48">
        <v>3111.32</v>
      </c>
      <c r="CZ252" s="48">
        <v>4736.32</v>
      </c>
      <c r="DA252" s="48">
        <v>4710.12</v>
      </c>
      <c r="DB252" s="48">
        <v>10012.5</v>
      </c>
      <c r="DC252" s="48">
        <v>4968.7700000000004</v>
      </c>
      <c r="DD252" s="48">
        <v>5842.34</v>
      </c>
      <c r="DE252" s="48">
        <f>VLOOKUP($C252,'[2]Analysis 1'!$C$5:$DG$1025,107,FALSE)</f>
        <v>5757.78</v>
      </c>
      <c r="DF252" s="48">
        <f>VLOOKUP($C252,'[2]Analysis 1'!$C$5:$DG$1025,108,FALSE)</f>
        <v>5757.78</v>
      </c>
      <c r="DG252" s="48">
        <f>VLOOKUP($C252,'[2]Analysis 1'!$C$5:$DG$1025,109,FALSE)</f>
        <v>5757.78</v>
      </c>
      <c r="DH252" s="369">
        <f t="shared" si="6"/>
        <v>62756.25</v>
      </c>
    </row>
    <row r="253" spans="1:112">
      <c r="A253" s="357" t="str">
        <f t="shared" si="7"/>
        <v>6700515</v>
      </c>
      <c r="B253" s="350" t="s">
        <v>2066</v>
      </c>
      <c r="C253" s="335" t="s">
        <v>1151</v>
      </c>
      <c r="D253" s="367">
        <v>3495.2</v>
      </c>
      <c r="E253" s="367">
        <v>3495.2</v>
      </c>
      <c r="F253" s="367">
        <v>3495.2</v>
      </c>
      <c r="G253" s="367">
        <v>3495.2</v>
      </c>
      <c r="H253" s="367">
        <v>3495.2</v>
      </c>
      <c r="I253" s="367">
        <v>3495.2</v>
      </c>
      <c r="J253" s="367">
        <v>3750.97</v>
      </c>
      <c r="K253" s="367">
        <v>3750.97</v>
      </c>
      <c r="L253" s="367">
        <v>3750.97</v>
      </c>
      <c r="M253" s="367">
        <v>3750.97</v>
      </c>
      <c r="N253" s="367">
        <v>3750.97</v>
      </c>
      <c r="O253" s="368">
        <v>3750.97</v>
      </c>
      <c r="P253" s="48">
        <v>3750.97</v>
      </c>
      <c r="Q253" s="48">
        <v>3750.97</v>
      </c>
      <c r="R253" s="48">
        <v>3750.97</v>
      </c>
      <c r="S253" s="48">
        <v>3750.97</v>
      </c>
      <c r="T253" s="48">
        <v>3750.97</v>
      </c>
      <c r="U253" s="48">
        <v>3751.7</v>
      </c>
      <c r="V253" s="48">
        <v>2707.24</v>
      </c>
      <c r="W253" s="48">
        <v>2707.24</v>
      </c>
      <c r="X253" s="48">
        <v>2707.24</v>
      </c>
      <c r="Y253" s="48">
        <v>2707.24</v>
      </c>
      <c r="Z253" s="48">
        <v>2707.24</v>
      </c>
      <c r="AA253" s="48">
        <v>2707.24</v>
      </c>
      <c r="AB253" s="48">
        <v>2707.24</v>
      </c>
      <c r="AC253" s="48">
        <v>2707.24</v>
      </c>
      <c r="AD253" s="48">
        <v>2707.24</v>
      </c>
      <c r="AE253" s="48">
        <v>2707.24</v>
      </c>
      <c r="AF253" s="48">
        <v>2707.24</v>
      </c>
      <c r="AG253" s="48">
        <v>2707.21</v>
      </c>
      <c r="AH253" s="48">
        <v>2816.35</v>
      </c>
      <c r="AI253" s="48">
        <v>2816.35</v>
      </c>
      <c r="AJ253" s="48">
        <v>2816.35</v>
      </c>
      <c r="AK253" s="48">
        <v>2816.35</v>
      </c>
      <c r="AL253" s="48">
        <v>2816.35</v>
      </c>
      <c r="AM253" s="48">
        <v>2816.35</v>
      </c>
      <c r="AN253" s="48">
        <v>2816.35</v>
      </c>
      <c r="AO253" s="48">
        <v>2816.35</v>
      </c>
      <c r="AP253" s="48">
        <v>3919.51</v>
      </c>
      <c r="AQ253" s="48">
        <v>2887.24</v>
      </c>
      <c r="AR253" s="48">
        <v>2887.24</v>
      </c>
      <c r="AS253" s="48">
        <v>2887.24</v>
      </c>
      <c r="AT253" s="48">
        <v>2887.24</v>
      </c>
      <c r="AU253" s="48">
        <v>2887.24</v>
      </c>
      <c r="AV253" s="48">
        <v>2887.24</v>
      </c>
      <c r="AW253" s="48">
        <v>2887.24</v>
      </c>
      <c r="AX253" s="48">
        <v>2887.24</v>
      </c>
      <c r="AY253" s="48">
        <v>2998.72</v>
      </c>
      <c r="AZ253" s="48">
        <v>2998.73</v>
      </c>
      <c r="BA253" s="48">
        <v>2998.73</v>
      </c>
      <c r="BB253" s="48">
        <v>2998.73</v>
      </c>
      <c r="BC253" s="48">
        <v>2998.73</v>
      </c>
      <c r="BD253" s="48">
        <v>3916.31</v>
      </c>
      <c r="BE253" s="48">
        <v>3151.67</v>
      </c>
      <c r="BF253" s="48">
        <v>3151.67</v>
      </c>
      <c r="BG253" s="48">
        <v>3151.67</v>
      </c>
      <c r="BH253" s="48">
        <v>3151.67</v>
      </c>
      <c r="BI253" s="48">
        <v>3151.67</v>
      </c>
      <c r="BJ253" s="48">
        <v>3151.67</v>
      </c>
      <c r="BK253" s="48">
        <v>3200</v>
      </c>
      <c r="BL253" s="48">
        <v>2759.19</v>
      </c>
      <c r="BM253" s="48">
        <v>2979.57</v>
      </c>
      <c r="BN253" s="48">
        <v>3075.38</v>
      </c>
      <c r="BO253" s="48">
        <v>3003.51</v>
      </c>
      <c r="BP253" s="48">
        <v>3003.51</v>
      </c>
      <c r="BQ253" s="48">
        <v>3003.51</v>
      </c>
      <c r="BR253" s="48">
        <v>3003.51</v>
      </c>
      <c r="BS253" s="48">
        <v>3003.51</v>
      </c>
      <c r="BT253" s="48">
        <v>3003.51</v>
      </c>
      <c r="BU253" s="48">
        <v>3003.51</v>
      </c>
      <c r="BV253" s="48">
        <v>3003.51</v>
      </c>
      <c r="BW253" s="48">
        <v>3197.09</v>
      </c>
      <c r="BX253" s="48">
        <v>3197.11</v>
      </c>
      <c r="BY253" s="48">
        <v>3197.11</v>
      </c>
      <c r="BZ253" s="48">
        <v>3197.11</v>
      </c>
      <c r="CA253" s="48">
        <v>3197.11</v>
      </c>
      <c r="CB253" s="48">
        <v>3197.11</v>
      </c>
      <c r="CC253" s="48">
        <v>3197.11</v>
      </c>
      <c r="CD253" s="48">
        <v>3197.11</v>
      </c>
      <c r="CE253" s="48">
        <v>3197.11</v>
      </c>
      <c r="CF253" s="48">
        <v>3197.11</v>
      </c>
      <c r="CG253" s="48">
        <v>3197.11</v>
      </c>
      <c r="CH253" s="48">
        <v>3197.11</v>
      </c>
      <c r="CI253" s="48">
        <v>3197.11</v>
      </c>
      <c r="CJ253" s="48">
        <v>3197.11</v>
      </c>
      <c r="CK253" s="48">
        <v>3197.11</v>
      </c>
      <c r="CL253" s="48">
        <v>3197.11</v>
      </c>
      <c r="CM253" s="48">
        <v>3197.11</v>
      </c>
      <c r="CN253" s="48">
        <v>3197.11</v>
      </c>
      <c r="CO253" s="48">
        <v>2834.56</v>
      </c>
      <c r="CP253" s="48">
        <v>2834.59</v>
      </c>
      <c r="CQ253" s="48">
        <v>2834.59</v>
      </c>
      <c r="CR253" s="48">
        <v>2834.59</v>
      </c>
      <c r="CS253" s="48">
        <v>2834.59</v>
      </c>
      <c r="CT253" s="48">
        <v>2834.59</v>
      </c>
      <c r="CU253" s="48">
        <v>2834.59</v>
      </c>
      <c r="CV253" s="48">
        <v>2834.59</v>
      </c>
      <c r="CW253" s="48">
        <v>2834.59</v>
      </c>
      <c r="CX253" s="48">
        <v>2834.59</v>
      </c>
      <c r="CY253" s="48">
        <v>2834.59</v>
      </c>
      <c r="CZ253" s="48">
        <v>2834.59</v>
      </c>
      <c r="DA253" s="48">
        <v>3500</v>
      </c>
      <c r="DB253" s="48">
        <v>2169.14</v>
      </c>
      <c r="DC253" s="48">
        <v>2834.59</v>
      </c>
      <c r="DD253" s="48">
        <v>2834.59</v>
      </c>
      <c r="DE253" s="48">
        <f>VLOOKUP($C253,'[2]Analysis 1'!$C$5:$DG$1025,107,FALSE)</f>
        <v>2834.59</v>
      </c>
      <c r="DF253" s="48">
        <f>VLOOKUP($C253,'[2]Analysis 1'!$C$5:$DG$1025,108,FALSE)</f>
        <v>2834.59</v>
      </c>
      <c r="DG253" s="48">
        <f>VLOOKUP($C253,'[2]Analysis 1'!$C$5:$DG$1025,109,FALSE)</f>
        <v>2834.59</v>
      </c>
      <c r="DH253" s="369">
        <f t="shared" si="6"/>
        <v>34015.040000000001</v>
      </c>
    </row>
    <row r="254" spans="1:112">
      <c r="A254" s="357" t="str">
        <f t="shared" si="7"/>
        <v>6700516</v>
      </c>
      <c r="B254" s="350" t="s">
        <v>2067</v>
      </c>
      <c r="C254" s="335" t="s">
        <v>1152</v>
      </c>
      <c r="D254" s="340">
        <v>0</v>
      </c>
      <c r="E254" s="340">
        <v>0</v>
      </c>
      <c r="F254" s="340">
        <v>0</v>
      </c>
      <c r="G254" s="340">
        <v>0</v>
      </c>
      <c r="H254" s="340">
        <v>0</v>
      </c>
      <c r="I254" s="340">
        <v>0</v>
      </c>
      <c r="J254" s="340">
        <v>0</v>
      </c>
      <c r="K254" s="340">
        <v>0</v>
      </c>
      <c r="L254" s="340">
        <v>0</v>
      </c>
      <c r="M254" s="340">
        <v>243.85</v>
      </c>
      <c r="N254" s="340">
        <v>243.85</v>
      </c>
      <c r="O254" s="341">
        <v>1471.82</v>
      </c>
      <c r="P254" s="48">
        <v>243.85</v>
      </c>
      <c r="Q254" s="48">
        <v>243.85</v>
      </c>
      <c r="R254" s="48">
        <v>243.85</v>
      </c>
      <c r="S254" s="48">
        <v>243.85</v>
      </c>
      <c r="T254" s="48">
        <v>243.85</v>
      </c>
      <c r="U254" s="48">
        <v>243.85</v>
      </c>
      <c r="V254" s="48">
        <v>-1381.85</v>
      </c>
      <c r="W254" s="48">
        <v>81.28</v>
      </c>
      <c r="X254" s="48">
        <v>81.28</v>
      </c>
      <c r="Y254" s="48">
        <v>81.28</v>
      </c>
      <c r="Z254" s="48">
        <v>81.28</v>
      </c>
      <c r="AA254" s="48">
        <v>81.28</v>
      </c>
      <c r="AB254" s="48">
        <v>81.28</v>
      </c>
      <c r="AC254" s="48">
        <v>81.28</v>
      </c>
      <c r="AD254" s="48">
        <v>81.28</v>
      </c>
      <c r="AE254" s="48">
        <v>81.28</v>
      </c>
      <c r="AF254" s="48">
        <v>81.28</v>
      </c>
      <c r="AG254" s="48">
        <v>81.28</v>
      </c>
      <c r="AH254" s="48">
        <v>81.28</v>
      </c>
      <c r="AI254" s="48">
        <v>81.28</v>
      </c>
      <c r="AJ254" s="48">
        <v>81.28</v>
      </c>
      <c r="AK254" s="48">
        <v>81.28</v>
      </c>
      <c r="AL254" s="48">
        <v>81.28</v>
      </c>
      <c r="AM254" s="48">
        <v>81.28</v>
      </c>
      <c r="AN254" s="48">
        <v>81.28</v>
      </c>
      <c r="AO254" s="48">
        <v>81.28</v>
      </c>
      <c r="AP254" s="48">
        <v>81.28</v>
      </c>
      <c r="AQ254" s="48">
        <v>81.28</v>
      </c>
      <c r="AR254" s="48">
        <v>81.28</v>
      </c>
      <c r="AS254" s="48">
        <v>81.28</v>
      </c>
      <c r="AT254" s="48">
        <v>81.28</v>
      </c>
      <c r="AU254" s="48">
        <v>-287</v>
      </c>
      <c r="AV254" s="48">
        <v>20.59</v>
      </c>
      <c r="AW254" s="48">
        <v>20.59</v>
      </c>
      <c r="AX254" s="48">
        <v>20.59</v>
      </c>
      <c r="AY254" s="48">
        <v>20.59</v>
      </c>
      <c r="AZ254" s="48">
        <v>0</v>
      </c>
      <c r="BA254" s="48">
        <v>37.5</v>
      </c>
      <c r="BB254" s="48">
        <v>184.87</v>
      </c>
      <c r="BC254" s="48">
        <v>74.13</v>
      </c>
      <c r="BD254" s="48">
        <v>74.13</v>
      </c>
      <c r="BE254" s="48">
        <v>74.13</v>
      </c>
      <c r="BF254" s="48">
        <v>74.13</v>
      </c>
      <c r="BG254" s="48">
        <v>74.13</v>
      </c>
      <c r="BH254" s="48">
        <v>74.13</v>
      </c>
      <c r="BI254" s="48">
        <v>74.13</v>
      </c>
      <c r="BJ254" s="48">
        <v>74.13</v>
      </c>
      <c r="BK254" s="48">
        <v>74.13</v>
      </c>
      <c r="BL254" s="48">
        <v>74.03</v>
      </c>
      <c r="BM254" s="48">
        <v>74.08</v>
      </c>
      <c r="BN254" s="48">
        <v>74.08</v>
      </c>
      <c r="BO254" s="48">
        <v>74.08</v>
      </c>
      <c r="BP254" s="48">
        <v>74.08</v>
      </c>
      <c r="BQ254" s="48">
        <v>74.08</v>
      </c>
      <c r="BR254" s="48">
        <v>74.08</v>
      </c>
      <c r="BS254" s="48">
        <v>74.08</v>
      </c>
      <c r="BT254" s="48">
        <v>74.08</v>
      </c>
      <c r="BU254" s="48">
        <v>74.08</v>
      </c>
      <c r="BV254" s="48">
        <v>74.08</v>
      </c>
      <c r="BW254" s="48">
        <v>74.08</v>
      </c>
      <c r="BX254" s="48">
        <v>154.93</v>
      </c>
      <c r="BY254" s="48">
        <v>154.97</v>
      </c>
      <c r="BZ254" s="48">
        <v>154.97</v>
      </c>
      <c r="CA254" s="48">
        <v>154.97</v>
      </c>
      <c r="CB254" s="48">
        <v>154.97</v>
      </c>
      <c r="CC254" s="48">
        <v>154.97</v>
      </c>
      <c r="CD254" s="48">
        <v>154.97</v>
      </c>
      <c r="CE254" s="48">
        <v>154.97</v>
      </c>
      <c r="CF254" s="48">
        <v>154.97</v>
      </c>
      <c r="CG254" s="48">
        <v>154.97</v>
      </c>
      <c r="CH254" s="48">
        <v>154.97</v>
      </c>
      <c r="CI254" s="48">
        <v>154.97</v>
      </c>
      <c r="CJ254" s="48">
        <v>85.89</v>
      </c>
      <c r="CK254" s="48">
        <v>85.84</v>
      </c>
      <c r="CL254" s="48">
        <v>85.84</v>
      </c>
      <c r="CM254" s="48">
        <v>85.84</v>
      </c>
      <c r="CN254" s="48">
        <v>85.84</v>
      </c>
      <c r="CO254" s="48">
        <v>85.84</v>
      </c>
      <c r="CP254" s="48">
        <v>85.84</v>
      </c>
      <c r="CQ254" s="48">
        <v>85.84</v>
      </c>
      <c r="CR254" s="48">
        <v>85.84</v>
      </c>
      <c r="CS254" s="48">
        <v>85.84</v>
      </c>
      <c r="CT254" s="48">
        <v>85.84</v>
      </c>
      <c r="CU254" s="48">
        <v>85.84</v>
      </c>
      <c r="CV254" s="48">
        <v>90</v>
      </c>
      <c r="CW254" s="48">
        <v>-840.02</v>
      </c>
      <c r="CX254" s="48">
        <v>88.28</v>
      </c>
      <c r="CY254" s="48">
        <v>88.28</v>
      </c>
      <c r="CZ254" s="48">
        <v>88.28</v>
      </c>
      <c r="DA254" s="48">
        <v>88.28</v>
      </c>
      <c r="DB254" s="48">
        <v>88.28</v>
      </c>
      <c r="DC254" s="48">
        <v>88.28</v>
      </c>
      <c r="DD254" s="48">
        <v>88.28</v>
      </c>
      <c r="DE254" s="48">
        <f>VLOOKUP($C254,'[2]Analysis 1'!$C$5:$DG$1025,107,FALSE)</f>
        <v>88.28</v>
      </c>
      <c r="DF254" s="48">
        <f>VLOOKUP($C254,'[2]Analysis 1'!$C$5:$DG$1025,108,FALSE)</f>
        <v>88.28</v>
      </c>
      <c r="DG254" s="48">
        <f>VLOOKUP($C254,'[2]Analysis 1'!$C$5:$DG$1025,109,FALSE)</f>
        <v>88.28</v>
      </c>
      <c r="DH254" s="369">
        <f t="shared" si="6"/>
        <v>132.77999999999989</v>
      </c>
    </row>
    <row r="255" spans="1:112">
      <c r="A255" s="357" t="str">
        <f t="shared" si="7"/>
        <v>6700517</v>
      </c>
      <c r="B255" s="350" t="s">
        <v>2068</v>
      </c>
      <c r="C255" s="335" t="s">
        <v>1153</v>
      </c>
      <c r="D255" s="367">
        <v>0</v>
      </c>
      <c r="E255" s="367">
        <v>214.76</v>
      </c>
      <c r="F255" s="367">
        <v>101.31</v>
      </c>
      <c r="G255" s="367">
        <v>2431.1999999999998</v>
      </c>
      <c r="H255" s="367">
        <v>0</v>
      </c>
      <c r="I255" s="367">
        <v>1836.57</v>
      </c>
      <c r="J255" s="367">
        <v>0</v>
      </c>
      <c r="K255" s="367">
        <v>506.5</v>
      </c>
      <c r="L255" s="367">
        <v>0</v>
      </c>
      <c r="M255" s="367">
        <v>-2153.64</v>
      </c>
      <c r="N255" s="367">
        <v>0</v>
      </c>
      <c r="O255" s="368">
        <v>0</v>
      </c>
      <c r="P255" s="48">
        <v>0</v>
      </c>
      <c r="Q255" s="48">
        <v>0</v>
      </c>
      <c r="R255" s="48">
        <v>1013.46</v>
      </c>
      <c r="S255" s="48">
        <v>2200</v>
      </c>
      <c r="T255" s="48">
        <v>0</v>
      </c>
      <c r="U255" s="48">
        <v>3100</v>
      </c>
      <c r="V255" s="48">
        <v>0</v>
      </c>
      <c r="W255" s="48">
        <v>0</v>
      </c>
      <c r="X255" s="48">
        <v>0</v>
      </c>
      <c r="Y255" s="48">
        <v>0</v>
      </c>
      <c r="Z255" s="48">
        <v>112</v>
      </c>
      <c r="AA255" s="48">
        <v>300</v>
      </c>
      <c r="AB255" s="48">
        <v>0</v>
      </c>
      <c r="AC255" s="48">
        <v>500</v>
      </c>
      <c r="AD255" s="48">
        <v>300</v>
      </c>
      <c r="AE255" s="48">
        <v>0</v>
      </c>
      <c r="AF255" s="48">
        <v>7555</v>
      </c>
      <c r="AG255" s="48">
        <v>1875</v>
      </c>
      <c r="AH255" s="48">
        <v>700</v>
      </c>
      <c r="AI255" s="48">
        <v>1100</v>
      </c>
      <c r="AJ255" s="48">
        <v>10562</v>
      </c>
      <c r="AK255" s="48">
        <v>0</v>
      </c>
      <c r="AL255" s="48">
        <v>0</v>
      </c>
      <c r="AM255" s="48">
        <v>1451</v>
      </c>
      <c r="AN255" s="48">
        <v>-112</v>
      </c>
      <c r="AO255" s="48">
        <v>0</v>
      </c>
      <c r="AP255" s="48">
        <v>900</v>
      </c>
      <c r="AQ255" s="48">
        <v>2200</v>
      </c>
      <c r="AR255" s="48">
        <v>0</v>
      </c>
      <c r="AS255" s="48">
        <v>800</v>
      </c>
      <c r="AT255" s="48">
        <v>-1534</v>
      </c>
      <c r="AU255" s="48">
        <v>600</v>
      </c>
      <c r="AV255" s="48">
        <v>200</v>
      </c>
      <c r="AW255" s="48">
        <v>100</v>
      </c>
      <c r="AX255" s="48">
        <v>-1875</v>
      </c>
      <c r="AY255" s="48">
        <v>0</v>
      </c>
      <c r="AZ255" s="48">
        <v>0</v>
      </c>
      <c r="BA255" s="48">
        <v>2100</v>
      </c>
      <c r="BB255" s="48">
        <v>800</v>
      </c>
      <c r="BC255" s="48">
        <v>100</v>
      </c>
      <c r="BD255" s="48">
        <v>3399</v>
      </c>
      <c r="BE255" s="48">
        <v>500</v>
      </c>
      <c r="BF255" s="48">
        <v>0</v>
      </c>
      <c r="BG255" s="48">
        <v>2950</v>
      </c>
      <c r="BH255" s="48">
        <v>0</v>
      </c>
      <c r="BI255" s="48">
        <v>100</v>
      </c>
      <c r="BJ255" s="48">
        <v>300</v>
      </c>
      <c r="BK255" s="48">
        <v>0</v>
      </c>
      <c r="BL255" s="48">
        <v>0</v>
      </c>
      <c r="BM255" s="48">
        <v>-30</v>
      </c>
      <c r="BN255" s="48">
        <v>0</v>
      </c>
      <c r="BO255" s="48">
        <v>420</v>
      </c>
      <c r="BP255" s="48">
        <v>0</v>
      </c>
      <c r="BQ255" s="48">
        <v>0</v>
      </c>
      <c r="BR255" s="48">
        <v>0</v>
      </c>
      <c r="BS255" s="48">
        <v>0</v>
      </c>
      <c r="BT255" s="48">
        <v>0</v>
      </c>
      <c r="BU255" s="48">
        <v>0</v>
      </c>
      <c r="BV255" s="48">
        <v>370</v>
      </c>
      <c r="BW255" s="48">
        <v>54354</v>
      </c>
      <c r="BX255" s="48">
        <v>200</v>
      </c>
      <c r="BY255" s="48">
        <v>1280</v>
      </c>
      <c r="BZ255" s="48">
        <v>3750</v>
      </c>
      <c r="CA255" s="48">
        <v>0</v>
      </c>
      <c r="CB255" s="48">
        <v>0</v>
      </c>
      <c r="CC255" s="48">
        <v>0</v>
      </c>
      <c r="CD255" s="48">
        <v>174</v>
      </c>
      <c r="CE255" s="48">
        <v>0</v>
      </c>
      <c r="CF255" s="48">
        <v>0</v>
      </c>
      <c r="CG255" s="48">
        <v>4619</v>
      </c>
      <c r="CH255" s="48">
        <v>2300</v>
      </c>
      <c r="CI255" s="48">
        <v>48884</v>
      </c>
      <c r="CJ255" s="48">
        <v>100</v>
      </c>
      <c r="CK255" s="48">
        <v>0</v>
      </c>
      <c r="CL255" s="48">
        <v>0</v>
      </c>
      <c r="CM255" s="48">
        <v>799</v>
      </c>
      <c r="CN255" s="48">
        <v>770</v>
      </c>
      <c r="CO255" s="48">
        <v>2950</v>
      </c>
      <c r="CP255" s="48">
        <v>0</v>
      </c>
      <c r="CQ255" s="48">
        <v>0</v>
      </c>
      <c r="CR255" s="48">
        <v>0</v>
      </c>
      <c r="CS255" s="48">
        <v>2000</v>
      </c>
      <c r="CT255" s="48">
        <v>100</v>
      </c>
      <c r="CU255" s="48">
        <v>0</v>
      </c>
      <c r="CV255" s="48">
        <v>0</v>
      </c>
      <c r="CW255" s="48">
        <v>0</v>
      </c>
      <c r="CX255" s="48">
        <v>0</v>
      </c>
      <c r="CY255" s="48">
        <v>5342</v>
      </c>
      <c r="CZ255" s="48">
        <v>15121</v>
      </c>
      <c r="DA255" s="48">
        <v>0</v>
      </c>
      <c r="DB255" s="48">
        <v>0</v>
      </c>
      <c r="DC255" s="48">
        <v>750</v>
      </c>
      <c r="DD255" s="48">
        <v>640</v>
      </c>
      <c r="DE255" s="48">
        <f>VLOOKUP($C255,'[2]Analysis 1'!$C$5:$DG$1025,107,FALSE)</f>
        <v>2207.1</v>
      </c>
      <c r="DF255" s="48">
        <f>VLOOKUP($C255,'[2]Analysis 1'!$C$5:$DG$1025,108,FALSE)</f>
        <v>2000</v>
      </c>
      <c r="DG255" s="48">
        <f>VLOOKUP($C255,'[2]Analysis 1'!$C$5:$DG$1025,109,FALSE)</f>
        <v>0</v>
      </c>
      <c r="DH255" s="369">
        <f t="shared" si="6"/>
        <v>26060.1</v>
      </c>
    </row>
    <row r="256" spans="1:112">
      <c r="A256" s="357" t="str">
        <f t="shared" si="7"/>
        <v>6700518</v>
      </c>
      <c r="B256" s="350" t="s">
        <v>2070</v>
      </c>
      <c r="C256" s="335" t="s">
        <v>1154</v>
      </c>
      <c r="D256" s="340">
        <v>0</v>
      </c>
      <c r="E256" s="340">
        <v>0</v>
      </c>
      <c r="F256" s="340">
        <v>0</v>
      </c>
      <c r="G256" s="340">
        <v>0</v>
      </c>
      <c r="H256" s="340">
        <v>0</v>
      </c>
      <c r="I256" s="340">
        <v>0</v>
      </c>
      <c r="J256" s="340">
        <v>0</v>
      </c>
      <c r="K256" s="340">
        <v>0</v>
      </c>
      <c r="L256" s="340">
        <v>0</v>
      </c>
      <c r="M256" s="340">
        <v>0</v>
      </c>
      <c r="N256" s="340">
        <v>0</v>
      </c>
      <c r="O256" s="341">
        <v>853.5</v>
      </c>
      <c r="P256" s="48">
        <v>853.5</v>
      </c>
      <c r="Q256" s="48">
        <v>-946.17</v>
      </c>
      <c r="R256" s="48">
        <v>278</v>
      </c>
      <c r="S256" s="48">
        <v>-92.67</v>
      </c>
      <c r="T256" s="48">
        <v>370.68</v>
      </c>
      <c r="U256" s="48">
        <v>92.67</v>
      </c>
      <c r="V256" s="48">
        <v>92.67</v>
      </c>
      <c r="W256" s="48">
        <v>92.67</v>
      </c>
      <c r="X256" s="48">
        <v>92.67</v>
      </c>
      <c r="Y256" s="48">
        <v>92.67</v>
      </c>
      <c r="Z256" s="48">
        <v>92.67</v>
      </c>
      <c r="AA256" s="48">
        <v>92.64</v>
      </c>
      <c r="AB256" s="48">
        <v>75.400000000000006</v>
      </c>
      <c r="AC256" s="48">
        <v>75.400000000000006</v>
      </c>
      <c r="AD256" s="48">
        <v>75.400000000000006</v>
      </c>
      <c r="AE256" s="48">
        <v>75.400000000000006</v>
      </c>
      <c r="AF256" s="48">
        <v>75.400000000000006</v>
      </c>
      <c r="AG256" s="48">
        <v>75.400000000000006</v>
      </c>
      <c r="AH256" s="48">
        <v>75.400000000000006</v>
      </c>
      <c r="AI256" s="48">
        <v>75.400000000000006</v>
      </c>
      <c r="AJ256" s="48">
        <v>75.400000000000006</v>
      </c>
      <c r="AK256" s="48">
        <v>75.400000000000006</v>
      </c>
      <c r="AL256" s="48">
        <v>75.400000000000006</v>
      </c>
      <c r="AM256" s="48">
        <v>75.34</v>
      </c>
      <c r="AN256" s="48">
        <v>0</v>
      </c>
      <c r="AO256" s="48">
        <v>0</v>
      </c>
      <c r="AP256" s="48">
        <v>218</v>
      </c>
      <c r="AQ256" s="48">
        <v>72.66</v>
      </c>
      <c r="AR256" s="48">
        <v>72.66</v>
      </c>
      <c r="AS256" s="48">
        <v>72.66</v>
      </c>
      <c r="AT256" s="48">
        <v>72.66</v>
      </c>
      <c r="AU256" s="48">
        <v>72.66</v>
      </c>
      <c r="AV256" s="48">
        <v>72.66</v>
      </c>
      <c r="AW256" s="48">
        <v>72.66</v>
      </c>
      <c r="AX256" s="48">
        <v>72.66</v>
      </c>
      <c r="AY256" s="48">
        <v>72.66</v>
      </c>
      <c r="AZ256" s="48">
        <v>72.66</v>
      </c>
      <c r="BA256" s="48">
        <v>72.66</v>
      </c>
      <c r="BB256" s="48">
        <v>72.66</v>
      </c>
      <c r="BC256" s="48">
        <v>72.66</v>
      </c>
      <c r="BD256" s="48">
        <v>72.66</v>
      </c>
      <c r="BE256" s="48">
        <v>72.66</v>
      </c>
      <c r="BF256" s="48">
        <v>72.66</v>
      </c>
      <c r="BG256" s="48">
        <v>72.66</v>
      </c>
      <c r="BH256" s="48">
        <v>72.66</v>
      </c>
      <c r="BI256" s="48">
        <v>72.66</v>
      </c>
      <c r="BJ256" s="48">
        <v>72.66</v>
      </c>
      <c r="BK256" s="48">
        <v>72.66</v>
      </c>
      <c r="BL256" s="48">
        <v>72.66</v>
      </c>
      <c r="BM256" s="48">
        <v>72.66</v>
      </c>
      <c r="BN256" s="48">
        <v>72.66</v>
      </c>
      <c r="BO256" s="48">
        <v>72.66</v>
      </c>
      <c r="BP256" s="48">
        <v>72.66</v>
      </c>
      <c r="BQ256" s="48">
        <v>72.66</v>
      </c>
      <c r="BR256" s="48">
        <v>72.66</v>
      </c>
      <c r="BS256" s="48">
        <v>72.66</v>
      </c>
      <c r="BT256" s="48">
        <v>90.94</v>
      </c>
      <c r="BU256" s="48">
        <v>81.81</v>
      </c>
      <c r="BV256" s="48">
        <v>81.81</v>
      </c>
      <c r="BW256" s="48">
        <v>81.81</v>
      </c>
      <c r="BX256" s="48">
        <v>63.35</v>
      </c>
      <c r="BY256" s="48">
        <v>63.36</v>
      </c>
      <c r="BZ256" s="48">
        <v>63.36</v>
      </c>
      <c r="CA256" s="48">
        <v>63.36</v>
      </c>
      <c r="CB256" s="48">
        <v>63.36</v>
      </c>
      <c r="CC256" s="48">
        <v>63.36</v>
      </c>
      <c r="CD256" s="48">
        <v>63.36</v>
      </c>
      <c r="CE256" s="48">
        <v>63.36</v>
      </c>
      <c r="CF256" s="48">
        <v>63.36</v>
      </c>
      <c r="CG256" s="48">
        <v>63.36</v>
      </c>
      <c r="CH256" s="48">
        <v>63.36</v>
      </c>
      <c r="CI256" s="48">
        <v>63.36</v>
      </c>
      <c r="CJ256" s="48">
        <v>63.36</v>
      </c>
      <c r="CK256" s="48">
        <v>63.36</v>
      </c>
      <c r="CL256" s="48">
        <v>63.36</v>
      </c>
      <c r="CM256" s="48">
        <v>63.36</v>
      </c>
      <c r="CN256" s="48">
        <v>63.36</v>
      </c>
      <c r="CO256" s="48">
        <v>63.36</v>
      </c>
      <c r="CP256" s="48">
        <v>63.36</v>
      </c>
      <c r="CQ256" s="48">
        <v>63.36</v>
      </c>
      <c r="CR256" s="48">
        <v>63.36</v>
      </c>
      <c r="CS256" s="48">
        <v>63.36</v>
      </c>
      <c r="CT256" s="48">
        <v>63.36</v>
      </c>
      <c r="CU256" s="48">
        <v>63.36</v>
      </c>
      <c r="CV256" s="48">
        <v>63.36</v>
      </c>
      <c r="CW256" s="48">
        <v>63.36</v>
      </c>
      <c r="CX256" s="48">
        <v>63.36</v>
      </c>
      <c r="CY256" s="48">
        <v>63.36</v>
      </c>
      <c r="CZ256" s="48">
        <v>63.36</v>
      </c>
      <c r="DA256" s="48">
        <v>63.36</v>
      </c>
      <c r="DB256" s="48">
        <v>63.36</v>
      </c>
      <c r="DC256" s="48">
        <v>63.36</v>
      </c>
      <c r="DD256" s="48">
        <v>63.36</v>
      </c>
      <c r="DE256" s="48">
        <f>VLOOKUP($C256,'[2]Analysis 1'!$C$5:$DG$1025,107,FALSE)</f>
        <v>63.36</v>
      </c>
      <c r="DF256" s="48">
        <f>VLOOKUP($C256,'[2]Analysis 1'!$C$5:$DG$1025,108,FALSE)</f>
        <v>63.36</v>
      </c>
      <c r="DG256" s="48">
        <f>VLOOKUP($C256,'[2]Analysis 1'!$C$5:$DG$1025,109,FALSE)</f>
        <v>63.36</v>
      </c>
      <c r="DH256" s="369">
        <f t="shared" si="6"/>
        <v>760.32</v>
      </c>
    </row>
    <row r="257" spans="1:112">
      <c r="A257" s="357" t="str">
        <f t="shared" si="7"/>
        <v>6700519</v>
      </c>
      <c r="B257" s="350" t="s">
        <v>2069</v>
      </c>
      <c r="C257" s="335" t="s">
        <v>1155</v>
      </c>
      <c r="D257" s="367">
        <v>10644.05</v>
      </c>
      <c r="E257" s="367">
        <v>10644.05</v>
      </c>
      <c r="F257" s="367">
        <v>10644.05</v>
      </c>
      <c r="G257" s="367">
        <v>8742.0499999999993</v>
      </c>
      <c r="H257" s="367">
        <v>10644.05</v>
      </c>
      <c r="I257" s="367">
        <v>10644.05</v>
      </c>
      <c r="J257" s="367">
        <v>11078.65</v>
      </c>
      <c r="K257" s="367">
        <v>11078.65</v>
      </c>
      <c r="L257" s="367">
        <v>11078.65</v>
      </c>
      <c r="M257" s="367">
        <v>11078.65</v>
      </c>
      <c r="N257" s="367">
        <v>11078.65</v>
      </c>
      <c r="O257" s="368">
        <v>11078.65</v>
      </c>
      <c r="P257" s="48">
        <v>11078.65</v>
      </c>
      <c r="Q257" s="48">
        <v>11078.65</v>
      </c>
      <c r="R257" s="48">
        <v>11078.65</v>
      </c>
      <c r="S257" s="48">
        <v>11078.65</v>
      </c>
      <c r="T257" s="48">
        <v>11078.65</v>
      </c>
      <c r="U257" s="48">
        <v>11078.63</v>
      </c>
      <c r="V257" s="48">
        <v>13334.49</v>
      </c>
      <c r="W257" s="48">
        <v>13334.49</v>
      </c>
      <c r="X257" s="48">
        <v>13334.49</v>
      </c>
      <c r="Y257" s="48">
        <v>13334.49</v>
      </c>
      <c r="Z257" s="48">
        <v>13334.49</v>
      </c>
      <c r="AA257" s="48">
        <v>13334.49</v>
      </c>
      <c r="AB257" s="48">
        <v>15517.79</v>
      </c>
      <c r="AC257" s="48">
        <v>13334.49</v>
      </c>
      <c r="AD257" s="48">
        <v>13334.49</v>
      </c>
      <c r="AE257" s="48">
        <v>15189.59</v>
      </c>
      <c r="AF257" s="48">
        <v>4422.82</v>
      </c>
      <c r="AG257" s="48">
        <v>13334.46</v>
      </c>
      <c r="AH257" s="48">
        <v>8327.2900000000009</v>
      </c>
      <c r="AI257" s="48">
        <v>6472.19</v>
      </c>
      <c r="AJ257" s="48">
        <v>6472.19</v>
      </c>
      <c r="AK257" s="48">
        <v>13248.75</v>
      </c>
      <c r="AL257" s="48">
        <v>6472.19</v>
      </c>
      <c r="AM257" s="48">
        <v>6472.19</v>
      </c>
      <c r="AN257" s="48">
        <v>8327.2900000000009</v>
      </c>
      <c r="AO257" s="48">
        <v>6472.19</v>
      </c>
      <c r="AP257" s="48">
        <v>6472.19</v>
      </c>
      <c r="AQ257" s="48">
        <v>6472.19</v>
      </c>
      <c r="AR257" s="48">
        <v>6472.19</v>
      </c>
      <c r="AS257" s="48">
        <v>8749.59</v>
      </c>
      <c r="AT257" s="48">
        <v>7935.95</v>
      </c>
      <c r="AU257" s="48">
        <v>5658.55</v>
      </c>
      <c r="AV257" s="48">
        <v>5658.55</v>
      </c>
      <c r="AW257" s="48">
        <v>7935.95</v>
      </c>
      <c r="AX257" s="48">
        <v>5658.55</v>
      </c>
      <c r="AY257" s="48">
        <v>5916.83</v>
      </c>
      <c r="AZ257" s="48">
        <v>7965.12</v>
      </c>
      <c r="BA257" s="48">
        <v>5802.25</v>
      </c>
      <c r="BB257" s="48">
        <v>5802.25</v>
      </c>
      <c r="BC257" s="48">
        <v>7089.96</v>
      </c>
      <c r="BD257" s="48">
        <v>5802.25</v>
      </c>
      <c r="BE257" s="48">
        <v>5802.25</v>
      </c>
      <c r="BF257" s="48">
        <v>7089.96</v>
      </c>
      <c r="BG257" s="48">
        <v>5802.25</v>
      </c>
      <c r="BH257" s="48">
        <v>5802.25</v>
      </c>
      <c r="BI257" s="48">
        <v>7089.96</v>
      </c>
      <c r="BJ257" s="48">
        <v>7089.96</v>
      </c>
      <c r="BK257" s="48">
        <v>5524.86</v>
      </c>
      <c r="BL257" s="48">
        <v>5524.88</v>
      </c>
      <c r="BM257" s="48">
        <v>5524.88</v>
      </c>
      <c r="BN257" s="48">
        <v>5524.88</v>
      </c>
      <c r="BO257" s="48">
        <v>5524.88</v>
      </c>
      <c r="BP257" s="48">
        <v>5524.88</v>
      </c>
      <c r="BQ257" s="48">
        <v>5524.88</v>
      </c>
      <c r="BR257" s="48">
        <v>5524.88</v>
      </c>
      <c r="BS257" s="48">
        <v>5524.88</v>
      </c>
      <c r="BT257" s="48">
        <v>7137.68</v>
      </c>
      <c r="BU257" s="48">
        <v>5524.88</v>
      </c>
      <c r="BV257" s="48">
        <v>5524.88</v>
      </c>
      <c r="BW257" s="48">
        <v>5800</v>
      </c>
      <c r="BX257" s="48">
        <v>5800</v>
      </c>
      <c r="BY257" s="48">
        <v>7840.54</v>
      </c>
      <c r="BZ257" s="48">
        <v>7954.8</v>
      </c>
      <c r="CA257" s="48">
        <v>6480.18</v>
      </c>
      <c r="CB257" s="48">
        <v>6480.18</v>
      </c>
      <c r="CC257" s="48">
        <v>6480.18</v>
      </c>
      <c r="CD257" s="48">
        <v>6480.18</v>
      </c>
      <c r="CE257" s="48">
        <v>6480.18</v>
      </c>
      <c r="CF257" s="48">
        <v>6480.18</v>
      </c>
      <c r="CG257" s="48">
        <v>6480.18</v>
      </c>
      <c r="CH257" s="48">
        <v>6480.18</v>
      </c>
      <c r="CI257" s="48">
        <v>7324</v>
      </c>
      <c r="CJ257" s="48">
        <v>7300</v>
      </c>
      <c r="CK257" s="48">
        <v>9561.58</v>
      </c>
      <c r="CL257" s="48">
        <v>8053.88</v>
      </c>
      <c r="CM257" s="48">
        <v>12023.96</v>
      </c>
      <c r="CN257" s="48">
        <v>8053.88</v>
      </c>
      <c r="CO257" s="48">
        <v>8053.88</v>
      </c>
      <c r="CP257" s="48">
        <v>8053.88</v>
      </c>
      <c r="CQ257" s="48">
        <v>8053.88</v>
      </c>
      <c r="CR257" s="48">
        <v>8053.88</v>
      </c>
      <c r="CS257" s="48">
        <v>8053.88</v>
      </c>
      <c r="CT257" s="48">
        <v>8053.88</v>
      </c>
      <c r="CU257" s="48">
        <v>8991.6299999999992</v>
      </c>
      <c r="CV257" s="48">
        <v>8065.1</v>
      </c>
      <c r="CW257" s="48">
        <v>10138.049999999999</v>
      </c>
      <c r="CX257" s="48">
        <v>12821.01</v>
      </c>
      <c r="CY257" s="48">
        <v>8482.5499999999993</v>
      </c>
      <c r="CZ257" s="48">
        <v>8482.5499999999993</v>
      </c>
      <c r="DA257" s="48">
        <v>8900</v>
      </c>
      <c r="DB257" s="48">
        <v>9302.06</v>
      </c>
      <c r="DC257" s="48">
        <v>8767.0300000000007</v>
      </c>
      <c r="DD257" s="48">
        <v>8767.0300000000007</v>
      </c>
      <c r="DE257" s="48">
        <f>VLOOKUP($C257,'[2]Analysis 1'!$C$5:$DG$1025,107,FALSE)</f>
        <v>8767.0300000000007</v>
      </c>
      <c r="DF257" s="48">
        <f>VLOOKUP($C257,'[2]Analysis 1'!$C$5:$DG$1025,108,FALSE)</f>
        <v>8858.66</v>
      </c>
      <c r="DG257" s="48">
        <f>VLOOKUP($C257,'[2]Analysis 1'!$C$5:$DG$1025,109,FALSE)</f>
        <v>11220.03</v>
      </c>
      <c r="DH257" s="369">
        <f t="shared" si="6"/>
        <v>112571.1</v>
      </c>
    </row>
    <row r="258" spans="1:112">
      <c r="A258" s="357" t="str">
        <f t="shared" si="7"/>
        <v>6700520</v>
      </c>
      <c r="B258" s="350" t="s">
        <v>2071</v>
      </c>
      <c r="C258" s="335" t="s">
        <v>1156</v>
      </c>
      <c r="D258" s="340">
        <v>-8456.66</v>
      </c>
      <c r="E258" s="340">
        <v>0</v>
      </c>
      <c r="F258" s="340">
        <v>-0.03</v>
      </c>
      <c r="G258" s="340">
        <v>-12035</v>
      </c>
      <c r="H258" s="340">
        <v>-25336</v>
      </c>
      <c r="I258" s="340">
        <v>0</v>
      </c>
      <c r="J258" s="340">
        <v>0</v>
      </c>
      <c r="K258" s="340">
        <v>0</v>
      </c>
      <c r="L258" s="340">
        <v>0</v>
      </c>
      <c r="M258" s="340">
        <v>0</v>
      </c>
      <c r="N258" s="340">
        <v>0</v>
      </c>
      <c r="O258" s="341">
        <v>0</v>
      </c>
      <c r="P258" s="48">
        <v>0</v>
      </c>
      <c r="Q258" s="48">
        <v>0</v>
      </c>
      <c r="R258" s="48">
        <v>69</v>
      </c>
      <c r="S258" s="48">
        <v>-109</v>
      </c>
      <c r="T258" s="48">
        <v>0</v>
      </c>
      <c r="U258" s="48">
        <v>0</v>
      </c>
      <c r="V258" s="48">
        <v>0</v>
      </c>
      <c r="W258" s="48">
        <v>0</v>
      </c>
      <c r="X258" s="48">
        <v>0</v>
      </c>
      <c r="Y258" s="48">
        <v>0</v>
      </c>
      <c r="Z258" s="48">
        <v>0</v>
      </c>
      <c r="AA258" s="48">
        <v>0</v>
      </c>
      <c r="AB258" s="48">
        <v>0</v>
      </c>
      <c r="AC258" s="48">
        <v>0</v>
      </c>
      <c r="AD258" s="48">
        <v>114</v>
      </c>
      <c r="AE258" s="48">
        <v>0</v>
      </c>
      <c r="AF258" s="48">
        <v>0</v>
      </c>
      <c r="AG258" s="48">
        <v>0</v>
      </c>
      <c r="AH258" s="48">
        <v>-30750.53</v>
      </c>
      <c r="AI258" s="48">
        <v>0</v>
      </c>
      <c r="AJ258" s="48">
        <v>0</v>
      </c>
      <c r="AK258" s="48">
        <v>0</v>
      </c>
      <c r="AL258" s="48">
        <v>0</v>
      </c>
      <c r="AM258" s="48">
        <v>0</v>
      </c>
      <c r="AN258" s="48">
        <v>0</v>
      </c>
      <c r="AO258" s="48">
        <v>0</v>
      </c>
      <c r="AP258" s="48">
        <v>7526</v>
      </c>
      <c r="AQ258" s="48">
        <v>0</v>
      </c>
      <c r="AR258" s="48">
        <v>0</v>
      </c>
      <c r="AS258" s="48">
        <v>0</v>
      </c>
      <c r="AT258" s="48">
        <v>0</v>
      </c>
      <c r="AU258" s="48">
        <v>0</v>
      </c>
      <c r="AV258" s="48">
        <v>0</v>
      </c>
      <c r="AW258" s="48">
        <v>0</v>
      </c>
      <c r="AX258" s="48">
        <v>0</v>
      </c>
      <c r="AY258" s="48">
        <v>0</v>
      </c>
      <c r="AZ258" s="48">
        <v>0</v>
      </c>
      <c r="BA258" s="48">
        <v>0</v>
      </c>
      <c r="BB258" s="48">
        <v>0</v>
      </c>
      <c r="BC258" s="48">
        <v>0</v>
      </c>
      <c r="BD258" s="48">
        <v>0</v>
      </c>
      <c r="BE258" s="48">
        <v>0</v>
      </c>
      <c r="BF258" s="48">
        <v>0</v>
      </c>
      <c r="BG258" s="48">
        <v>0</v>
      </c>
      <c r="BH258" s="48">
        <v>0</v>
      </c>
      <c r="BI258" s="48">
        <v>0</v>
      </c>
      <c r="BJ258" s="48">
        <v>0</v>
      </c>
      <c r="BK258" s="48">
        <v>0</v>
      </c>
      <c r="BL258" s="48">
        <v>0</v>
      </c>
      <c r="BM258" s="48">
        <v>0</v>
      </c>
      <c r="BN258" s="48">
        <v>0</v>
      </c>
      <c r="BO258" s="48">
        <v>0</v>
      </c>
      <c r="BP258" s="48">
        <v>0</v>
      </c>
      <c r="BQ258" s="48">
        <v>0</v>
      </c>
      <c r="BR258" s="48">
        <v>0</v>
      </c>
      <c r="BS258" s="48">
        <v>0</v>
      </c>
      <c r="BT258" s="48">
        <v>0</v>
      </c>
      <c r="BU258" s="48">
        <v>0</v>
      </c>
      <c r="BV258" s="48">
        <v>0</v>
      </c>
      <c r="BW258" s="48">
        <v>0</v>
      </c>
      <c r="BX258" s="48">
        <v>0</v>
      </c>
      <c r="BY258" s="48">
        <v>0</v>
      </c>
      <c r="BZ258" s="48">
        <v>0</v>
      </c>
      <c r="CA258" s="48">
        <v>0</v>
      </c>
      <c r="CB258" s="48">
        <v>0</v>
      </c>
      <c r="CC258" s="48">
        <v>0</v>
      </c>
      <c r="CD258" s="48">
        <v>0</v>
      </c>
      <c r="CE258" s="48">
        <v>0</v>
      </c>
      <c r="CF258" s="48">
        <v>0</v>
      </c>
      <c r="CG258" s="48">
        <v>0</v>
      </c>
      <c r="CH258" s="48">
        <v>0</v>
      </c>
      <c r="CI258" s="48">
        <v>0</v>
      </c>
      <c r="CJ258" s="48">
        <v>0</v>
      </c>
      <c r="CK258" s="48">
        <v>0</v>
      </c>
      <c r="CL258" s="48">
        <v>0</v>
      </c>
      <c r="CM258" s="48">
        <v>0</v>
      </c>
      <c r="CN258" s="48">
        <v>0</v>
      </c>
      <c r="CO258" s="48">
        <v>0</v>
      </c>
      <c r="CP258" s="48">
        <v>0</v>
      </c>
      <c r="CQ258" s="48">
        <v>0</v>
      </c>
      <c r="CR258" s="48">
        <v>0</v>
      </c>
      <c r="CS258" s="48">
        <v>0</v>
      </c>
      <c r="CT258" s="48">
        <v>0</v>
      </c>
      <c r="CU258" s="48">
        <v>0</v>
      </c>
      <c r="CV258" s="48">
        <v>0</v>
      </c>
      <c r="CW258" s="48">
        <v>0</v>
      </c>
      <c r="CX258" s="48">
        <v>0</v>
      </c>
      <c r="CY258" s="48">
        <v>0</v>
      </c>
      <c r="CZ258" s="48">
        <v>0</v>
      </c>
      <c r="DA258" s="48">
        <v>0</v>
      </c>
      <c r="DB258" s="48">
        <v>0</v>
      </c>
      <c r="DC258" s="48">
        <v>0</v>
      </c>
      <c r="DD258" s="48">
        <v>0</v>
      </c>
      <c r="DE258" s="48">
        <f>VLOOKUP($C258,'[2]Analysis 1'!$C$5:$DG$1025,107,FALSE)</f>
        <v>0</v>
      </c>
      <c r="DF258" s="48">
        <f>VLOOKUP($C258,'[2]Analysis 1'!$C$5:$DG$1025,108,FALSE)</f>
        <v>0</v>
      </c>
      <c r="DG258" s="48">
        <f>VLOOKUP($C258,'[2]Analysis 1'!$C$5:$DG$1025,109,FALSE)</f>
        <v>0</v>
      </c>
      <c r="DH258" s="369">
        <f t="shared" si="6"/>
        <v>0</v>
      </c>
    </row>
    <row r="259" spans="1:112">
      <c r="A259" s="357" t="str">
        <f t="shared" si="7"/>
        <v>6700599</v>
      </c>
      <c r="B259" s="350" t="s">
        <v>2073</v>
      </c>
      <c r="C259" s="335" t="s">
        <v>1157</v>
      </c>
      <c r="D259" s="340">
        <v>2670.57</v>
      </c>
      <c r="E259" s="340">
        <v>0</v>
      </c>
      <c r="F259" s="340">
        <v>506</v>
      </c>
      <c r="G259" s="340">
        <v>0</v>
      </c>
      <c r="H259" s="340">
        <v>0</v>
      </c>
      <c r="I259" s="340">
        <v>0</v>
      </c>
      <c r="J259" s="340">
        <v>3400.29</v>
      </c>
      <c r="K259" s="340">
        <v>8770.2099999999991</v>
      </c>
      <c r="L259" s="340">
        <v>315.04000000000002</v>
      </c>
      <c r="M259" s="340">
        <v>2896.21</v>
      </c>
      <c r="N259" s="340">
        <v>315.04000000000002</v>
      </c>
      <c r="O259" s="341">
        <v>315.04000000000002</v>
      </c>
      <c r="P259" s="48">
        <v>2770.49</v>
      </c>
      <c r="Q259" s="48">
        <v>315.04000000000002</v>
      </c>
      <c r="R259" s="48">
        <v>315.04000000000002</v>
      </c>
      <c r="S259" s="48">
        <v>2498.34</v>
      </c>
      <c r="T259" s="48">
        <v>315.04000000000002</v>
      </c>
      <c r="U259" s="48">
        <v>-504.67</v>
      </c>
      <c r="V259" s="48">
        <v>2183.3000000000002</v>
      </c>
      <c r="W259" s="48">
        <v>6000</v>
      </c>
      <c r="X259" s="48">
        <v>0</v>
      </c>
      <c r="Y259" s="48">
        <v>2183.3000000000002</v>
      </c>
      <c r="Z259" s="48">
        <v>0</v>
      </c>
      <c r="AA259" s="48">
        <v>0</v>
      </c>
      <c r="AB259" s="48">
        <v>0</v>
      </c>
      <c r="AC259" s="48">
        <v>0</v>
      </c>
      <c r="AD259" s="48">
        <v>0</v>
      </c>
      <c r="AE259" s="48">
        <v>0</v>
      </c>
      <c r="AF259" s="48">
        <v>118.5</v>
      </c>
      <c r="AG259" s="48">
        <v>118.5</v>
      </c>
      <c r="AH259" s="48">
        <v>118.5</v>
      </c>
      <c r="AI259" s="48">
        <v>358.5</v>
      </c>
      <c r="AJ259" s="48">
        <v>358.5</v>
      </c>
      <c r="AK259" s="48">
        <v>358.5</v>
      </c>
      <c r="AL259" s="48">
        <v>358.5</v>
      </c>
      <c r="AM259" s="48">
        <v>358.5</v>
      </c>
      <c r="AN259" s="48">
        <v>358.5</v>
      </c>
      <c r="AO259" s="48">
        <v>358.5</v>
      </c>
      <c r="AP259" s="48">
        <v>358.5</v>
      </c>
      <c r="AQ259" s="48">
        <v>358.5</v>
      </c>
      <c r="AR259" s="48">
        <v>406.75</v>
      </c>
      <c r="AS259" s="48">
        <v>406.75</v>
      </c>
      <c r="AT259" s="48">
        <v>1924.68</v>
      </c>
      <c r="AU259" s="48">
        <v>1165.74</v>
      </c>
      <c r="AV259" s="48">
        <v>1165.74</v>
      </c>
      <c r="AW259" s="48">
        <v>1165.74</v>
      </c>
      <c r="AX259" s="48">
        <v>1165.74</v>
      </c>
      <c r="AY259" s="48">
        <v>1384.42</v>
      </c>
      <c r="AZ259" s="48">
        <v>1193.07</v>
      </c>
      <c r="BA259" s="48">
        <v>1193.07</v>
      </c>
      <c r="BB259" s="48">
        <v>1193.07</v>
      </c>
      <c r="BC259" s="48">
        <v>1193.07</v>
      </c>
      <c r="BD259" s="48">
        <v>1224.5</v>
      </c>
      <c r="BE259" s="48">
        <v>465.51</v>
      </c>
      <c r="BF259" s="48">
        <v>465.51</v>
      </c>
      <c r="BG259" s="48">
        <v>2800.59</v>
      </c>
      <c r="BH259" s="48">
        <v>3441.54</v>
      </c>
      <c r="BI259" s="48">
        <v>2346.04</v>
      </c>
      <c r="BJ259" s="48">
        <v>2346.04</v>
      </c>
      <c r="BK259" s="48">
        <v>2346.04</v>
      </c>
      <c r="BL259" s="48">
        <v>3718.68</v>
      </c>
      <c r="BM259" s="48">
        <v>6556.49</v>
      </c>
      <c r="BN259" s="48">
        <v>2689.21</v>
      </c>
      <c r="BO259" s="48">
        <v>2689.21</v>
      </c>
      <c r="BP259" s="48">
        <v>2463.6999999999998</v>
      </c>
      <c r="BQ259" s="48">
        <v>1272.3699999999999</v>
      </c>
      <c r="BR259" s="48">
        <v>5084.8</v>
      </c>
      <c r="BS259" s="48">
        <v>3008.76</v>
      </c>
      <c r="BT259" s="48">
        <v>3008.76</v>
      </c>
      <c r="BU259" s="48">
        <v>2765.59</v>
      </c>
      <c r="BV259" s="48">
        <v>3351.89</v>
      </c>
      <c r="BW259" s="48">
        <v>3008.76</v>
      </c>
      <c r="BX259" s="48">
        <v>3008.76</v>
      </c>
      <c r="BY259" s="48">
        <v>3008.76</v>
      </c>
      <c r="BZ259" s="48">
        <v>6204.4</v>
      </c>
      <c r="CA259" s="48">
        <v>3008.76</v>
      </c>
      <c r="CB259" s="48">
        <v>2669.18</v>
      </c>
      <c r="CC259" s="48">
        <v>2807.17</v>
      </c>
      <c r="CD259" s="48">
        <v>4302.67</v>
      </c>
      <c r="CE259" s="48">
        <v>841.67</v>
      </c>
      <c r="CF259" s="48">
        <v>13813.48</v>
      </c>
      <c r="CG259" s="48">
        <v>62157.99</v>
      </c>
      <c r="CH259" s="48">
        <v>4337.29</v>
      </c>
      <c r="CI259" s="48">
        <v>4043.16</v>
      </c>
      <c r="CJ259" s="48">
        <v>4316.3</v>
      </c>
      <c r="CK259" s="48">
        <v>4179.7299999999996</v>
      </c>
      <c r="CL259" s="48">
        <v>4179.7299999999996</v>
      </c>
      <c r="CM259" s="48">
        <v>4179.7299999999996</v>
      </c>
      <c r="CN259" s="48">
        <v>4498.7299999999996</v>
      </c>
      <c r="CO259" s="48">
        <v>4498.7299999999996</v>
      </c>
      <c r="CP259" s="48">
        <v>4139.33</v>
      </c>
      <c r="CQ259" s="48">
        <v>5882.3</v>
      </c>
      <c r="CR259" s="48">
        <v>5882.3</v>
      </c>
      <c r="CS259" s="48">
        <v>5588.13</v>
      </c>
      <c r="CT259" s="48">
        <v>6176.33</v>
      </c>
      <c r="CU259" s="48">
        <v>5882.16</v>
      </c>
      <c r="CV259" s="48">
        <v>5882.22</v>
      </c>
      <c r="CW259" s="48">
        <v>5882.22</v>
      </c>
      <c r="CX259" s="48">
        <v>5882.22</v>
      </c>
      <c r="CY259" s="48">
        <v>5882.22</v>
      </c>
      <c r="CZ259" s="48">
        <v>6064.72</v>
      </c>
      <c r="DA259" s="48">
        <v>6064.72</v>
      </c>
      <c r="DB259" s="48">
        <v>5560.12</v>
      </c>
      <c r="DC259" s="48">
        <v>8772.92</v>
      </c>
      <c r="DD259" s="48">
        <v>8772.98</v>
      </c>
      <c r="DE259" s="48">
        <f>VLOOKUP($C259,'[2]Analysis 1'!$C$5:$DG$1025,107,FALSE)</f>
        <v>8772.9</v>
      </c>
      <c r="DF259" s="48">
        <f>VLOOKUP($C259,'[2]Analysis 1'!$C$5:$DG$1025,108,FALSE)</f>
        <v>8184.9</v>
      </c>
      <c r="DG259" s="48">
        <f>VLOOKUP($C259,'[2]Analysis 1'!$C$5:$DG$1025,109,FALSE)</f>
        <v>9424.2099999999991</v>
      </c>
      <c r="DH259" s="369">
        <f t="shared" si="6"/>
        <v>85146.349999999977</v>
      </c>
    </row>
    <row r="260" spans="1:112">
      <c r="A260" s="357" t="str">
        <f t="shared" si="7"/>
        <v>6709000</v>
      </c>
      <c r="B260" s="350" t="s">
        <v>2072</v>
      </c>
      <c r="C260" s="335" t="s">
        <v>1444</v>
      </c>
      <c r="D260" s="340"/>
      <c r="E260" s="340"/>
      <c r="F260" s="340"/>
      <c r="G260" s="340"/>
      <c r="H260" s="340"/>
      <c r="I260" s="340"/>
      <c r="J260" s="340"/>
      <c r="K260" s="340"/>
      <c r="L260" s="340"/>
      <c r="M260" s="340"/>
      <c r="N260" s="340"/>
      <c r="O260" s="341"/>
      <c r="P260" s="48"/>
      <c r="Q260" s="48"/>
      <c r="R260" s="48"/>
      <c r="S260" s="48"/>
      <c r="T260" s="48"/>
      <c r="U260" s="48"/>
      <c r="V260" s="48"/>
      <c r="W260" s="48"/>
      <c r="X260" s="48"/>
      <c r="Y260" s="48"/>
      <c r="Z260" s="48"/>
      <c r="AA260" s="48"/>
      <c r="AB260" s="48"/>
      <c r="AC260" s="48"/>
      <c r="AD260" s="48"/>
      <c r="AE260" s="48">
        <v>0</v>
      </c>
      <c r="AF260" s="48">
        <v>-2275</v>
      </c>
      <c r="AG260" s="48">
        <v>-1875</v>
      </c>
      <c r="AH260" s="48">
        <v>-100</v>
      </c>
      <c r="AI260" s="48">
        <v>0</v>
      </c>
      <c r="AJ260" s="48">
        <v>-10450</v>
      </c>
      <c r="AK260" s="48">
        <v>0</v>
      </c>
      <c r="AL260" s="48">
        <v>0</v>
      </c>
      <c r="AM260" s="48">
        <v>-1151</v>
      </c>
      <c r="AN260" s="48">
        <v>0</v>
      </c>
      <c r="AO260" s="48">
        <v>0</v>
      </c>
      <c r="AP260" s="48">
        <v>-400</v>
      </c>
      <c r="AQ260" s="48">
        <v>0</v>
      </c>
      <c r="AR260" s="48">
        <v>0</v>
      </c>
      <c r="AS260" s="48">
        <v>0</v>
      </c>
      <c r="AT260" s="48">
        <v>1202</v>
      </c>
      <c r="AU260" s="48">
        <v>-100</v>
      </c>
      <c r="AV260" s="48">
        <v>0</v>
      </c>
      <c r="AW260" s="48">
        <v>0</v>
      </c>
      <c r="AX260" s="48">
        <v>1875</v>
      </c>
      <c r="AY260" s="48">
        <v>0</v>
      </c>
      <c r="AZ260" s="48">
        <v>0</v>
      </c>
      <c r="BA260" s="48">
        <v>-100</v>
      </c>
      <c r="BB260" s="48">
        <v>0</v>
      </c>
      <c r="BC260" s="48">
        <v>0</v>
      </c>
      <c r="BD260" s="48">
        <v>-899</v>
      </c>
      <c r="BE260" s="48">
        <v>0</v>
      </c>
      <c r="BF260" s="48">
        <v>0</v>
      </c>
      <c r="BG260" s="48">
        <v>-850</v>
      </c>
      <c r="BH260" s="48">
        <v>0</v>
      </c>
      <c r="BI260" s="48">
        <v>-100</v>
      </c>
      <c r="BJ260" s="48">
        <v>-100</v>
      </c>
      <c r="BK260" s="48">
        <v>0</v>
      </c>
      <c r="BL260" s="48">
        <v>0</v>
      </c>
      <c r="BM260" s="48">
        <v>0</v>
      </c>
      <c r="BN260" s="48">
        <v>0</v>
      </c>
      <c r="BO260" s="48">
        <v>0</v>
      </c>
      <c r="BP260" s="48">
        <v>0</v>
      </c>
      <c r="BQ260" s="48">
        <v>0</v>
      </c>
      <c r="BR260" s="48">
        <v>0</v>
      </c>
      <c r="BS260" s="48">
        <v>0</v>
      </c>
      <c r="BT260" s="48">
        <v>0</v>
      </c>
      <c r="BU260" s="48">
        <v>-100</v>
      </c>
      <c r="BV260" s="48">
        <v>0</v>
      </c>
      <c r="BW260" s="48">
        <v>-53754</v>
      </c>
      <c r="BX260" s="48">
        <v>-200</v>
      </c>
      <c r="BY260" s="48">
        <v>-1280</v>
      </c>
      <c r="BZ260" s="48">
        <v>-1750</v>
      </c>
      <c r="CA260" s="48">
        <v>0</v>
      </c>
      <c r="CB260" s="48">
        <v>0</v>
      </c>
      <c r="CC260" s="48">
        <v>0</v>
      </c>
      <c r="CD260" s="48">
        <v>0</v>
      </c>
      <c r="CE260" s="48">
        <v>0</v>
      </c>
      <c r="CF260" s="48">
        <v>-6471</v>
      </c>
      <c r="CG260" s="48">
        <v>-3820</v>
      </c>
      <c r="CH260" s="48">
        <v>-2300</v>
      </c>
      <c r="CI260" s="48">
        <v>-48884</v>
      </c>
      <c r="CJ260" s="48">
        <v>-100</v>
      </c>
      <c r="CK260" s="48">
        <v>0</v>
      </c>
      <c r="CL260" s="48">
        <v>0</v>
      </c>
      <c r="CM260" s="48">
        <v>-799</v>
      </c>
      <c r="CN260" s="48">
        <v>-770</v>
      </c>
      <c r="CO260" s="48">
        <v>-2950</v>
      </c>
      <c r="CP260" s="48">
        <v>0</v>
      </c>
      <c r="CQ260" s="48">
        <v>0</v>
      </c>
      <c r="CR260" s="48">
        <v>0</v>
      </c>
      <c r="CS260" s="48">
        <v>-2000</v>
      </c>
      <c r="CT260" s="48">
        <v>-100</v>
      </c>
      <c r="CU260" s="48">
        <v>0</v>
      </c>
      <c r="CV260" s="48">
        <v>0</v>
      </c>
      <c r="CW260" s="48">
        <v>0</v>
      </c>
      <c r="CX260" s="48">
        <v>0</v>
      </c>
      <c r="CY260" s="48">
        <v>-2543</v>
      </c>
      <c r="CZ260" s="48">
        <v>-15121</v>
      </c>
      <c r="DA260" s="48">
        <v>0</v>
      </c>
      <c r="DB260" s="48">
        <v>0</v>
      </c>
      <c r="DC260" s="48">
        <v>-750</v>
      </c>
      <c r="DD260" s="48">
        <v>-640</v>
      </c>
      <c r="DE260" s="48">
        <f>VLOOKUP($C260,'[2]Analysis 1'!$C$5:$DG$1025,107,FALSE)</f>
        <v>-2207.1</v>
      </c>
      <c r="DF260" s="48">
        <f>VLOOKUP($C260,'[2]Analysis 1'!$C$5:$DG$1025,108,FALSE)</f>
        <v>0</v>
      </c>
      <c r="DG260" s="48">
        <f>VLOOKUP($C260,'[2]Analysis 1'!$C$5:$DG$1025,109,FALSE)</f>
        <v>0</v>
      </c>
      <c r="DH260" s="369">
        <f t="shared" si="6"/>
        <v>-21261.1</v>
      </c>
    </row>
    <row r="261" spans="1:112">
      <c r="A261" s="357" t="str">
        <f>+B261</f>
        <v>6710030</v>
      </c>
      <c r="B261" s="350" t="s">
        <v>2488</v>
      </c>
      <c r="C261" s="335" t="s">
        <v>2489</v>
      </c>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48"/>
      <c r="BU261" s="48"/>
      <c r="BV261" s="48"/>
      <c r="BW261" s="48"/>
      <c r="BX261" s="48"/>
      <c r="BY261" s="48"/>
      <c r="BZ261" s="48"/>
      <c r="CA261" s="48"/>
      <c r="CB261" s="48">
        <v>28</v>
      </c>
      <c r="CC261" s="48">
        <v>0</v>
      </c>
      <c r="CD261" s="48">
        <v>0</v>
      </c>
      <c r="CE261" s="48">
        <v>0</v>
      </c>
      <c r="CF261" s="48">
        <v>0</v>
      </c>
      <c r="CG261" s="48">
        <v>0</v>
      </c>
      <c r="CH261" s="48">
        <v>0</v>
      </c>
      <c r="CI261" s="48">
        <v>0</v>
      </c>
      <c r="CJ261" s="48">
        <v>0</v>
      </c>
      <c r="CK261" s="48">
        <v>0</v>
      </c>
      <c r="CL261" s="48">
        <v>0</v>
      </c>
      <c r="CM261" s="48">
        <v>0</v>
      </c>
      <c r="CN261" s="48">
        <v>0</v>
      </c>
      <c r="CO261" s="48">
        <v>0</v>
      </c>
      <c r="CP261" s="48">
        <v>0</v>
      </c>
      <c r="CQ261" s="48">
        <v>0</v>
      </c>
      <c r="CR261" s="48">
        <v>0</v>
      </c>
      <c r="CS261" s="48">
        <v>0</v>
      </c>
      <c r="CT261" s="48">
        <v>0</v>
      </c>
      <c r="CU261" s="48">
        <v>0</v>
      </c>
      <c r="CV261" s="48">
        <v>0</v>
      </c>
      <c r="CW261" s="48">
        <v>0</v>
      </c>
      <c r="CX261" s="48">
        <v>0</v>
      </c>
      <c r="CY261" s="48">
        <v>0</v>
      </c>
      <c r="CZ261" s="48">
        <v>0</v>
      </c>
      <c r="DA261" s="48">
        <v>0</v>
      </c>
      <c r="DB261" s="48">
        <v>0</v>
      </c>
      <c r="DC261" s="48">
        <v>0</v>
      </c>
      <c r="DD261" s="48">
        <v>0</v>
      </c>
      <c r="DE261" s="48">
        <f>VLOOKUP($C261,'[2]Analysis 1'!$C$5:$DG$1025,107,FALSE)</f>
        <v>0</v>
      </c>
      <c r="DF261" s="48">
        <f>VLOOKUP($C261,'[2]Analysis 1'!$C$5:$DG$1025,108,FALSE)</f>
        <v>0</v>
      </c>
      <c r="DG261" s="48">
        <f>VLOOKUP($C261,'[2]Analysis 1'!$C$5:$DG$1025,109,FALSE)</f>
        <v>0</v>
      </c>
      <c r="DH261" s="369">
        <f t="shared" si="6"/>
        <v>0</v>
      </c>
    </row>
    <row r="262" spans="1:112">
      <c r="A262" s="357" t="str">
        <f>+B262</f>
        <v>6710040</v>
      </c>
      <c r="B262" s="1236" t="s">
        <v>2853</v>
      </c>
      <c r="C262" s="1237" t="s">
        <v>2854</v>
      </c>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48"/>
      <c r="BU262" s="48"/>
      <c r="BV262" s="48"/>
      <c r="BW262" s="48"/>
      <c r="BX262" s="48"/>
      <c r="BY262" s="48"/>
      <c r="BZ262" s="48"/>
      <c r="CA262" s="48"/>
      <c r="CB262" s="48">
        <v>28</v>
      </c>
      <c r="CC262" s="48">
        <v>0</v>
      </c>
      <c r="CD262" s="48">
        <v>0</v>
      </c>
      <c r="CE262" s="48">
        <v>0</v>
      </c>
      <c r="CF262" s="48">
        <v>0</v>
      </c>
      <c r="CG262" s="48">
        <v>0</v>
      </c>
      <c r="CH262" s="48">
        <v>0</v>
      </c>
      <c r="CI262" s="48">
        <v>0</v>
      </c>
      <c r="CJ262" s="48">
        <v>0</v>
      </c>
      <c r="CK262" s="48">
        <v>0</v>
      </c>
      <c r="CL262" s="48">
        <v>0</v>
      </c>
      <c r="CM262" s="48">
        <v>0</v>
      </c>
      <c r="CN262" s="48">
        <v>0</v>
      </c>
      <c r="CO262" s="48">
        <v>0</v>
      </c>
      <c r="CP262" s="48">
        <v>0</v>
      </c>
      <c r="CQ262" s="48">
        <v>0</v>
      </c>
      <c r="CR262" s="48">
        <v>0</v>
      </c>
      <c r="CS262" s="48">
        <v>0</v>
      </c>
      <c r="CT262" s="48">
        <v>0</v>
      </c>
      <c r="CU262" s="48">
        <v>0</v>
      </c>
      <c r="CV262" s="48">
        <v>0</v>
      </c>
      <c r="CW262" s="48">
        <v>0</v>
      </c>
      <c r="CX262" s="48">
        <v>-913.37</v>
      </c>
      <c r="CY262" s="48">
        <v>0</v>
      </c>
      <c r="CZ262" s="48">
        <v>0</v>
      </c>
      <c r="DA262" s="48">
        <v>0</v>
      </c>
      <c r="DB262" s="48">
        <v>0</v>
      </c>
      <c r="DC262" s="48">
        <v>0</v>
      </c>
      <c r="DD262" s="48">
        <v>0</v>
      </c>
      <c r="DE262" s="48">
        <f>VLOOKUP($C262,'[2]Analysis 1'!$C$5:$DG$1025,107,FALSE)</f>
        <v>0</v>
      </c>
      <c r="DF262" s="48">
        <f>VLOOKUP($C262,'[2]Analysis 1'!$C$5:$DG$1025,108,FALSE)</f>
        <v>0</v>
      </c>
      <c r="DG262" s="48">
        <f>VLOOKUP($C262,'[2]Analysis 1'!$C$5:$DG$1025,109,FALSE)</f>
        <v>0</v>
      </c>
      <c r="DH262" s="369">
        <f t="shared" ref="DH262:DH325" si="8">SUM(CV262:DG262)</f>
        <v>-913.37</v>
      </c>
    </row>
    <row r="263" spans="1:112">
      <c r="A263" s="357" t="str">
        <f t="shared" si="7"/>
        <v>6710050</v>
      </c>
      <c r="B263" s="350" t="s">
        <v>2074</v>
      </c>
      <c r="C263" s="335" t="s">
        <v>1158</v>
      </c>
      <c r="D263" s="340">
        <v>7580</v>
      </c>
      <c r="E263" s="340">
        <v>3203.74</v>
      </c>
      <c r="F263" s="340">
        <v>1270.1600000000001</v>
      </c>
      <c r="G263" s="340">
        <v>524.29999999999995</v>
      </c>
      <c r="H263" s="340">
        <v>140</v>
      </c>
      <c r="I263" s="340">
        <v>17096.61</v>
      </c>
      <c r="J263" s="340">
        <v>2518.2199999999998</v>
      </c>
      <c r="K263" s="340">
        <v>15396.64</v>
      </c>
      <c r="L263" s="340">
        <v>1508.81</v>
      </c>
      <c r="M263" s="340">
        <v>2110.6999999999998</v>
      </c>
      <c r="N263" s="340">
        <v>115790.79</v>
      </c>
      <c r="O263" s="341">
        <v>-576.91</v>
      </c>
      <c r="P263" s="48">
        <v>13704</v>
      </c>
      <c r="Q263" s="48">
        <v>8178.82</v>
      </c>
      <c r="R263" s="48">
        <v>23849.85</v>
      </c>
      <c r="S263" s="48">
        <v>190.65</v>
      </c>
      <c r="T263" s="48">
        <v>16773.86</v>
      </c>
      <c r="U263" s="48">
        <v>6218.45</v>
      </c>
      <c r="V263" s="48">
        <v>417.6</v>
      </c>
      <c r="W263" s="48">
        <v>880.75</v>
      </c>
      <c r="X263" s="48">
        <v>7535.49</v>
      </c>
      <c r="Y263" s="48">
        <v>11865.38</v>
      </c>
      <c r="Z263" s="48">
        <v>114504.17</v>
      </c>
      <c r="AA263" s="48">
        <v>1135212.3700000001</v>
      </c>
      <c r="AB263" s="48">
        <v>67179.62</v>
      </c>
      <c r="AC263" s="48">
        <v>14128.68</v>
      </c>
      <c r="AD263" s="48">
        <v>10521.23</v>
      </c>
      <c r="AE263" s="48">
        <v>2058.41</v>
      </c>
      <c r="AF263" s="48">
        <v>1122</v>
      </c>
      <c r="AG263" s="48">
        <v>6297.08</v>
      </c>
      <c r="AH263" s="48">
        <v>96176.8</v>
      </c>
      <c r="AI263" s="48">
        <v>5070.54</v>
      </c>
      <c r="AJ263" s="48">
        <v>1704.11</v>
      </c>
      <c r="AK263" s="48">
        <v>112971.5</v>
      </c>
      <c r="AL263" s="48">
        <v>1775.35</v>
      </c>
      <c r="AM263" s="48">
        <v>49750.93</v>
      </c>
      <c r="AN263" s="48">
        <v>10658.77</v>
      </c>
      <c r="AO263" s="48">
        <v>15698.14</v>
      </c>
      <c r="AP263" s="48">
        <v>5533.62</v>
      </c>
      <c r="AQ263" s="48">
        <v>4292.8100000000004</v>
      </c>
      <c r="AR263" s="48">
        <v>6631.85</v>
      </c>
      <c r="AS263" s="48">
        <v>1657</v>
      </c>
      <c r="AT263" s="48">
        <v>7439.38</v>
      </c>
      <c r="AU263" s="48">
        <v>17055.8</v>
      </c>
      <c r="AV263" s="48">
        <v>2583.09</v>
      </c>
      <c r="AW263" s="48">
        <v>-2415.1</v>
      </c>
      <c r="AX263" s="48">
        <v>129590.59</v>
      </c>
      <c r="AY263" s="48">
        <v>32820.36</v>
      </c>
      <c r="AZ263" s="48">
        <v>7870.25</v>
      </c>
      <c r="BA263" s="48">
        <v>19243.009999999998</v>
      </c>
      <c r="BB263" s="48">
        <v>1795.12</v>
      </c>
      <c r="BC263" s="48">
        <v>4020.95</v>
      </c>
      <c r="BD263" s="48">
        <v>1231.8499999999999</v>
      </c>
      <c r="BE263" s="48">
        <v>2290.9499999999998</v>
      </c>
      <c r="BF263" s="48">
        <v>55924.39</v>
      </c>
      <c r="BG263" s="48">
        <v>14378.89</v>
      </c>
      <c r="BH263" s="48">
        <v>13545.21</v>
      </c>
      <c r="BI263" s="48">
        <v>3404.04</v>
      </c>
      <c r="BJ263" s="48">
        <v>118306.73</v>
      </c>
      <c r="BK263" s="48">
        <v>43350.05</v>
      </c>
      <c r="BL263" s="48">
        <v>13747.43</v>
      </c>
      <c r="BM263" s="48">
        <v>9129.11</v>
      </c>
      <c r="BN263" s="48">
        <v>9494.82</v>
      </c>
      <c r="BO263" s="48">
        <v>2919.86</v>
      </c>
      <c r="BP263" s="48">
        <v>1040.44</v>
      </c>
      <c r="BQ263" s="48">
        <v>-388.63</v>
      </c>
      <c r="BR263" s="48">
        <v>5085.68</v>
      </c>
      <c r="BS263" s="48">
        <v>3373.28</v>
      </c>
      <c r="BT263" s="48">
        <v>-284.25</v>
      </c>
      <c r="BU263" s="48">
        <v>6932.65</v>
      </c>
      <c r="BV263" s="48">
        <v>136641.88</v>
      </c>
      <c r="BW263" s="48">
        <v>51623.26</v>
      </c>
      <c r="BX263" s="48">
        <v>7159.89</v>
      </c>
      <c r="BY263" s="48">
        <v>6337.99</v>
      </c>
      <c r="BZ263" s="48">
        <v>21381.41</v>
      </c>
      <c r="CA263" s="48">
        <v>2626.93</v>
      </c>
      <c r="CB263" s="48">
        <v>6376.55</v>
      </c>
      <c r="CC263" s="48">
        <v>7477.61</v>
      </c>
      <c r="CD263" s="48">
        <v>7493.89</v>
      </c>
      <c r="CE263" s="48">
        <v>2497.8200000000002</v>
      </c>
      <c r="CF263" s="48">
        <v>2563.13</v>
      </c>
      <c r="CG263" s="48">
        <v>18377.38</v>
      </c>
      <c r="CH263" s="48">
        <v>19356.02</v>
      </c>
      <c r="CI263" s="48">
        <v>155763.98000000001</v>
      </c>
      <c r="CJ263" s="48">
        <v>566.51</v>
      </c>
      <c r="CK263" s="48">
        <v>10848.11</v>
      </c>
      <c r="CL263" s="48">
        <v>13076.58</v>
      </c>
      <c r="CM263" s="48">
        <v>4407.54</v>
      </c>
      <c r="CN263" s="48">
        <v>5486.93</v>
      </c>
      <c r="CO263" s="48">
        <v>10558.41</v>
      </c>
      <c r="CP263" s="48">
        <v>5436.02</v>
      </c>
      <c r="CQ263" s="48">
        <v>1639.69</v>
      </c>
      <c r="CR263" s="48">
        <v>1509</v>
      </c>
      <c r="CS263" s="48">
        <v>1355.7</v>
      </c>
      <c r="CT263" s="48">
        <v>143490.14000000001</v>
      </c>
      <c r="CU263" s="48">
        <v>36021.599999999999</v>
      </c>
      <c r="CV263" s="48">
        <v>3517.29</v>
      </c>
      <c r="CW263" s="48">
        <v>1602.17</v>
      </c>
      <c r="CX263" s="48">
        <v>3080.87</v>
      </c>
      <c r="CY263" s="48">
        <v>974.3</v>
      </c>
      <c r="CZ263" s="48">
        <v>24720.18</v>
      </c>
      <c r="DA263" s="48">
        <v>1137.5899999999999</v>
      </c>
      <c r="DB263" s="48">
        <v>8636.9599999999991</v>
      </c>
      <c r="DC263" s="48">
        <v>12522.75</v>
      </c>
      <c r="DD263" s="48">
        <v>18436.04</v>
      </c>
      <c r="DE263" s="48">
        <f>VLOOKUP($C263,'[2]Analysis 1'!$C$5:$DG$1025,107,FALSE)</f>
        <v>2419.89</v>
      </c>
      <c r="DF263" s="48">
        <f>VLOOKUP($C263,'[2]Analysis 1'!$C$5:$DG$1025,108,FALSE)</f>
        <v>14417.92</v>
      </c>
      <c r="DG263" s="48">
        <f>VLOOKUP($C263,'[2]Analysis 1'!$C$5:$DG$1025,109,FALSE)</f>
        <v>144629.6</v>
      </c>
      <c r="DH263" s="369">
        <f t="shared" si="8"/>
        <v>236095.56</v>
      </c>
    </row>
    <row r="264" spans="1:112">
      <c r="A264" s="357" t="str">
        <f t="shared" si="7"/>
        <v>6710060</v>
      </c>
      <c r="B264" s="350" t="s">
        <v>2076</v>
      </c>
      <c r="C264" s="335" t="s">
        <v>1438</v>
      </c>
      <c r="D264" s="340"/>
      <c r="E264" s="340"/>
      <c r="F264" s="340"/>
      <c r="G264" s="340"/>
      <c r="H264" s="340"/>
      <c r="I264" s="340"/>
      <c r="J264" s="340"/>
      <c r="K264" s="340"/>
      <c r="L264" s="340"/>
      <c r="M264" s="340"/>
      <c r="N264" s="340"/>
      <c r="O264" s="341"/>
      <c r="P264" s="48"/>
      <c r="Q264" s="48"/>
      <c r="R264" s="48"/>
      <c r="S264" s="48"/>
      <c r="T264" s="48"/>
      <c r="U264" s="48"/>
      <c r="V264" s="48"/>
      <c r="W264" s="48"/>
      <c r="X264" s="48"/>
      <c r="Y264" s="48"/>
      <c r="Z264" s="48"/>
      <c r="AA264" s="48"/>
      <c r="AB264" s="48"/>
      <c r="AC264" s="48"/>
      <c r="AD264" s="48"/>
      <c r="AE264" s="48">
        <v>0</v>
      </c>
      <c r="AF264" s="48">
        <v>151.84</v>
      </c>
      <c r="AG264" s="48">
        <v>0</v>
      </c>
      <c r="AH264" s="48">
        <v>0</v>
      </c>
      <c r="AI264" s="48">
        <v>0</v>
      </c>
      <c r="AJ264" s="48">
        <v>0</v>
      </c>
      <c r="AK264" s="48">
        <v>152.44</v>
      </c>
      <c r="AL264" s="48">
        <v>0</v>
      </c>
      <c r="AM264" s="48">
        <v>0</v>
      </c>
      <c r="AN264" s="48">
        <v>0</v>
      </c>
      <c r="AO264" s="48">
        <v>0</v>
      </c>
      <c r="AP264" s="48">
        <v>0</v>
      </c>
      <c r="AQ264" s="48">
        <v>0</v>
      </c>
      <c r="AR264" s="48">
        <v>0</v>
      </c>
      <c r="AS264" s="48">
        <v>10.88</v>
      </c>
      <c r="AT264" s="48">
        <v>159.63</v>
      </c>
      <c r="AU264" s="48">
        <v>0</v>
      </c>
      <c r="AV264" s="48">
        <v>0</v>
      </c>
      <c r="AW264" s="48">
        <v>0</v>
      </c>
      <c r="AX264" s="48">
        <v>84.19</v>
      </c>
      <c r="AY264" s="48">
        <v>161.05000000000001</v>
      </c>
      <c r="AZ264" s="48">
        <v>0</v>
      </c>
      <c r="BA264" s="48">
        <v>0</v>
      </c>
      <c r="BB264" s="48">
        <v>0</v>
      </c>
      <c r="BC264" s="48">
        <v>202.57</v>
      </c>
      <c r="BD264" s="48">
        <v>0</v>
      </c>
      <c r="BE264" s="48">
        <v>394</v>
      </c>
      <c r="BF264" s="48">
        <v>0</v>
      </c>
      <c r="BG264" s="48">
        <v>322.27</v>
      </c>
      <c r="BH264" s="48">
        <v>0</v>
      </c>
      <c r="BI264" s="48">
        <v>0</v>
      </c>
      <c r="BJ264" s="48">
        <v>0</v>
      </c>
      <c r="BK264" s="48">
        <v>0</v>
      </c>
      <c r="BL264" s="48">
        <v>0</v>
      </c>
      <c r="BM264" s="48">
        <v>0</v>
      </c>
      <c r="BN264" s="48">
        <v>0</v>
      </c>
      <c r="BO264" s="48">
        <v>0</v>
      </c>
      <c r="BP264" s="48">
        <v>0</v>
      </c>
      <c r="BQ264" s="48">
        <v>0</v>
      </c>
      <c r="BR264" s="48">
        <v>0</v>
      </c>
      <c r="BS264" s="48">
        <v>475.26</v>
      </c>
      <c r="BT264" s="48">
        <v>27.49</v>
      </c>
      <c r="BU264" s="48">
        <v>629.82000000000005</v>
      </c>
      <c r="BV264" s="48">
        <v>536.71</v>
      </c>
      <c r="BW264" s="48">
        <v>460.42</v>
      </c>
      <c r="BX264" s="48">
        <v>0</v>
      </c>
      <c r="BY264" s="48">
        <v>573.94000000000005</v>
      </c>
      <c r="BZ264" s="48">
        <v>432.4</v>
      </c>
      <c r="CA264" s="48">
        <v>114.05</v>
      </c>
      <c r="CB264" s="48">
        <v>0</v>
      </c>
      <c r="CC264" s="48">
        <v>2622.21</v>
      </c>
      <c r="CD264" s="48">
        <v>3262.12</v>
      </c>
      <c r="CE264" s="48">
        <v>1357.45</v>
      </c>
      <c r="CF264" s="48">
        <v>0</v>
      </c>
      <c r="CG264" s="48">
        <v>0</v>
      </c>
      <c r="CH264" s="48">
        <v>101</v>
      </c>
      <c r="CI264" s="48">
        <v>0</v>
      </c>
      <c r="CJ264" s="48">
        <v>156.19999999999999</v>
      </c>
      <c r="CK264" s="48">
        <v>0</v>
      </c>
      <c r="CL264" s="48">
        <v>0</v>
      </c>
      <c r="CM264" s="48">
        <v>0</v>
      </c>
      <c r="CN264" s="48">
        <v>0</v>
      </c>
      <c r="CO264" s="48">
        <v>0</v>
      </c>
      <c r="CP264" s="48">
        <v>0</v>
      </c>
      <c r="CQ264" s="48">
        <v>0</v>
      </c>
      <c r="CR264" s="48">
        <v>70.02</v>
      </c>
      <c r="CS264" s="48">
        <v>0</v>
      </c>
      <c r="CT264" s="48">
        <v>0</v>
      </c>
      <c r="CU264" s="48">
        <v>0</v>
      </c>
      <c r="CV264" s="48">
        <v>0</v>
      </c>
      <c r="CW264" s="48">
        <v>0</v>
      </c>
      <c r="CX264" s="48">
        <v>0</v>
      </c>
      <c r="CY264" s="48">
        <v>27</v>
      </c>
      <c r="CZ264" s="48">
        <v>0</v>
      </c>
      <c r="DA264" s="48">
        <v>0</v>
      </c>
      <c r="DB264" s="48">
        <v>0</v>
      </c>
      <c r="DC264" s="48">
        <v>4.0599999999999996</v>
      </c>
      <c r="DD264" s="48">
        <v>100</v>
      </c>
      <c r="DE264" s="48">
        <f>VLOOKUP($C264,'[2]Analysis 1'!$C$5:$DG$1025,107,FALSE)</f>
        <v>227</v>
      </c>
      <c r="DF264" s="48">
        <f>VLOOKUP($C264,'[2]Analysis 1'!$C$5:$DG$1025,108,FALSE)</f>
        <v>77.72</v>
      </c>
      <c r="DG264" s="48">
        <f>VLOOKUP($C264,'[2]Analysis 1'!$C$5:$DG$1025,109,FALSE)</f>
        <v>0</v>
      </c>
      <c r="DH264" s="369">
        <f t="shared" si="8"/>
        <v>435.78</v>
      </c>
    </row>
    <row r="265" spans="1:112">
      <c r="A265" s="357" t="str">
        <f t="shared" si="7"/>
        <v>6710700</v>
      </c>
      <c r="B265" s="350" t="s">
        <v>2075</v>
      </c>
      <c r="C265" s="335" t="s">
        <v>1159</v>
      </c>
      <c r="D265" s="340">
        <v>39564</v>
      </c>
      <c r="E265" s="340">
        <v>39564</v>
      </c>
      <c r="F265" s="340">
        <v>39564</v>
      </c>
      <c r="G265" s="340">
        <v>39564</v>
      </c>
      <c r="H265" s="340">
        <v>39564</v>
      </c>
      <c r="I265" s="340">
        <v>38709</v>
      </c>
      <c r="J265" s="340">
        <v>38709</v>
      </c>
      <c r="K265" s="340">
        <v>38577</v>
      </c>
      <c r="L265" s="340">
        <v>38577</v>
      </c>
      <c r="M265" s="340">
        <v>38577</v>
      </c>
      <c r="N265" s="340">
        <v>38577</v>
      </c>
      <c r="O265" s="341">
        <v>38577</v>
      </c>
      <c r="P265" s="48">
        <v>31608</v>
      </c>
      <c r="Q265" s="48">
        <v>31608</v>
      </c>
      <c r="R265" s="48">
        <v>31608</v>
      </c>
      <c r="S265" s="48">
        <v>31608</v>
      </c>
      <c r="T265" s="48">
        <v>31608</v>
      </c>
      <c r="U265" s="48">
        <v>31608</v>
      </c>
      <c r="V265" s="48">
        <v>31608</v>
      </c>
      <c r="W265" s="48">
        <v>31608</v>
      </c>
      <c r="X265" s="48">
        <v>32587</v>
      </c>
      <c r="Y265" s="48">
        <v>32587</v>
      </c>
      <c r="Z265" s="48">
        <v>32587</v>
      </c>
      <c r="AA265" s="48">
        <v>32587</v>
      </c>
      <c r="AB265" s="48">
        <v>31083</v>
      </c>
      <c r="AC265" s="48">
        <v>31315</v>
      </c>
      <c r="AD265" s="48">
        <v>31315</v>
      </c>
      <c r="AE265" s="48">
        <v>31106.400000000001</v>
      </c>
      <c r="AF265" s="48">
        <v>31106.400000000001</v>
      </c>
      <c r="AG265" s="48">
        <v>31106.400000000001</v>
      </c>
      <c r="AH265" s="48">
        <v>31106.400000000001</v>
      </c>
      <c r="AI265" s="48">
        <v>31106.400000000001</v>
      </c>
      <c r="AJ265" s="48">
        <v>31106.400000000001</v>
      </c>
      <c r="AK265" s="48">
        <v>31106.400000000001</v>
      </c>
      <c r="AL265" s="48">
        <v>31315.38</v>
      </c>
      <c r="AM265" s="48">
        <v>31315.38</v>
      </c>
      <c r="AN265" s="48">
        <v>37688.89</v>
      </c>
      <c r="AO265" s="48">
        <v>37688.89</v>
      </c>
      <c r="AP265" s="48">
        <v>37688.89</v>
      </c>
      <c r="AQ265" s="48">
        <v>37688.89</v>
      </c>
      <c r="AR265" s="48">
        <v>37688.89</v>
      </c>
      <c r="AS265" s="48">
        <v>37688.89</v>
      </c>
      <c r="AT265" s="48">
        <v>37688.89</v>
      </c>
      <c r="AU265" s="48">
        <v>37688.89</v>
      </c>
      <c r="AV265" s="48">
        <v>37688.89</v>
      </c>
      <c r="AW265" s="48">
        <v>37688.89</v>
      </c>
      <c r="AX265" s="48">
        <v>37688.89</v>
      </c>
      <c r="AY265" s="48">
        <v>37688.89</v>
      </c>
      <c r="AZ265" s="48">
        <v>36540.01</v>
      </c>
      <c r="BA265" s="48">
        <v>36540.01</v>
      </c>
      <c r="BB265" s="48">
        <v>36540.01</v>
      </c>
      <c r="BC265" s="48">
        <v>36540.01</v>
      </c>
      <c r="BD265" s="48">
        <v>36540.01</v>
      </c>
      <c r="BE265" s="48">
        <v>36540.01</v>
      </c>
      <c r="BF265" s="48">
        <v>36540.01</v>
      </c>
      <c r="BG265" s="48">
        <v>36540.01</v>
      </c>
      <c r="BH265" s="48">
        <v>36540.01</v>
      </c>
      <c r="BI265" s="48">
        <v>36540.01</v>
      </c>
      <c r="BJ265" s="48">
        <v>36540.01</v>
      </c>
      <c r="BK265" s="48">
        <v>36540.01</v>
      </c>
      <c r="BL265" s="48">
        <v>36897.919999999998</v>
      </c>
      <c r="BM265" s="48">
        <v>36897.919999999998</v>
      </c>
      <c r="BN265" s="48">
        <v>36897.919999999998</v>
      </c>
      <c r="BO265" s="48">
        <v>36897.919999999998</v>
      </c>
      <c r="BP265" s="48">
        <v>36897.919999999998</v>
      </c>
      <c r="BQ265" s="48">
        <v>36897.919999999998</v>
      </c>
      <c r="BR265" s="48">
        <v>36897.919999999998</v>
      </c>
      <c r="BS265" s="48">
        <v>36897.919999999998</v>
      </c>
      <c r="BT265" s="48">
        <v>36897.919999999998</v>
      </c>
      <c r="BU265" s="48">
        <v>36897.919999999998</v>
      </c>
      <c r="BV265" s="48">
        <v>36897.919999999998</v>
      </c>
      <c r="BW265" s="48">
        <v>36897.919999999998</v>
      </c>
      <c r="BX265" s="48">
        <v>44750.7</v>
      </c>
      <c r="BY265" s="48">
        <v>44750.7</v>
      </c>
      <c r="BZ265" s="48">
        <v>44750.7</v>
      </c>
      <c r="CA265" s="48">
        <v>44750.7</v>
      </c>
      <c r="CB265" s="48">
        <v>44750.7</v>
      </c>
      <c r="CC265" s="48">
        <v>44750.7</v>
      </c>
      <c r="CD265" s="48">
        <v>44750.7</v>
      </c>
      <c r="CE265" s="48">
        <v>44750.7</v>
      </c>
      <c r="CF265" s="48">
        <v>44750.7</v>
      </c>
      <c r="CG265" s="48">
        <v>44750.7</v>
      </c>
      <c r="CH265" s="48">
        <v>44750.7</v>
      </c>
      <c r="CI265" s="48">
        <v>44750.7</v>
      </c>
      <c r="CJ265" s="48">
        <v>37378</v>
      </c>
      <c r="CK265" s="48">
        <v>37378</v>
      </c>
      <c r="CL265" s="48">
        <v>62470</v>
      </c>
      <c r="CM265" s="48">
        <v>45742</v>
      </c>
      <c r="CN265" s="48">
        <v>45742</v>
      </c>
      <c r="CO265" s="48">
        <v>45742</v>
      </c>
      <c r="CP265" s="48">
        <v>45742</v>
      </c>
      <c r="CQ265" s="48">
        <v>45742</v>
      </c>
      <c r="CR265" s="48">
        <v>45742</v>
      </c>
      <c r="CS265" s="48">
        <v>45742</v>
      </c>
      <c r="CT265" s="48">
        <v>45742</v>
      </c>
      <c r="CU265" s="48">
        <v>45742</v>
      </c>
      <c r="CV265" s="48">
        <v>45742</v>
      </c>
      <c r="CW265" s="48">
        <v>45742</v>
      </c>
      <c r="CX265" s="48">
        <v>45742</v>
      </c>
      <c r="CY265" s="48">
        <v>45742</v>
      </c>
      <c r="CZ265" s="48">
        <v>45742</v>
      </c>
      <c r="DA265" s="48">
        <v>45742</v>
      </c>
      <c r="DB265" s="48">
        <v>45742</v>
      </c>
      <c r="DC265" s="48">
        <v>45742</v>
      </c>
      <c r="DD265" s="48">
        <v>45742</v>
      </c>
      <c r="DE265" s="48">
        <f>VLOOKUP($C265,'[2]Analysis 1'!$C$5:$DG$1025,107,FALSE)</f>
        <v>45742</v>
      </c>
      <c r="DF265" s="48">
        <f>VLOOKUP($C265,'[2]Analysis 1'!$C$5:$DG$1025,108,FALSE)</f>
        <v>45742</v>
      </c>
      <c r="DG265" s="48">
        <f>VLOOKUP($C265,'[2]Analysis 1'!$C$5:$DG$1025,109,FALSE)</f>
        <v>45742</v>
      </c>
      <c r="DH265" s="369">
        <f t="shared" si="8"/>
        <v>548904</v>
      </c>
    </row>
    <row r="266" spans="1:112">
      <c r="A266" s="357" t="str">
        <f t="shared" si="7"/>
        <v>6710800</v>
      </c>
      <c r="B266" s="350" t="s">
        <v>2077</v>
      </c>
      <c r="C266" s="335" t="s">
        <v>1160</v>
      </c>
      <c r="D266" s="367">
        <v>1234.57</v>
      </c>
      <c r="E266" s="367">
        <v>2508.5500000000002</v>
      </c>
      <c r="F266" s="367">
        <v>889.77</v>
      </c>
      <c r="G266" s="367">
        <v>1711.53</v>
      </c>
      <c r="H266" s="367">
        <v>1109.3900000000001</v>
      </c>
      <c r="I266" s="367">
        <v>1056.22</v>
      </c>
      <c r="J266" s="367">
        <v>3792.89</v>
      </c>
      <c r="K266" s="367">
        <v>248.58</v>
      </c>
      <c r="L266" s="367">
        <v>996.35</v>
      </c>
      <c r="M266" s="367">
        <v>1770.18</v>
      </c>
      <c r="N266" s="367">
        <v>2681.29</v>
      </c>
      <c r="O266" s="368">
        <v>948.41</v>
      </c>
      <c r="P266" s="48">
        <v>1350.45</v>
      </c>
      <c r="Q266" s="48">
        <v>1095.32</v>
      </c>
      <c r="R266" s="48">
        <v>1626.23</v>
      </c>
      <c r="S266" s="48">
        <v>911.12</v>
      </c>
      <c r="T266" s="48">
        <v>4297.37</v>
      </c>
      <c r="U266" s="48">
        <v>2059.62</v>
      </c>
      <c r="V266" s="48">
        <v>2268.6999999999998</v>
      </c>
      <c r="W266" s="48">
        <v>541.9</v>
      </c>
      <c r="X266" s="48">
        <v>1774.02</v>
      </c>
      <c r="Y266" s="48">
        <v>3753.19</v>
      </c>
      <c r="Z266" s="48">
        <v>849.29</v>
      </c>
      <c r="AA266" s="48">
        <v>3419.06</v>
      </c>
      <c r="AB266" s="48">
        <v>1004.45</v>
      </c>
      <c r="AC266" s="48">
        <v>835.29</v>
      </c>
      <c r="AD266" s="48">
        <v>444.2</v>
      </c>
      <c r="AE266" s="48">
        <v>620.02</v>
      </c>
      <c r="AF266" s="48">
        <v>1199.71</v>
      </c>
      <c r="AG266" s="48">
        <v>1876.6</v>
      </c>
      <c r="AH266" s="48">
        <v>1670.98</v>
      </c>
      <c r="AI266" s="48">
        <v>2597.88</v>
      </c>
      <c r="AJ266" s="48">
        <v>929.78</v>
      </c>
      <c r="AK266" s="48">
        <v>938.91</v>
      </c>
      <c r="AL266" s="48">
        <v>1315.73</v>
      </c>
      <c r="AM266" s="48">
        <v>2869.84</v>
      </c>
      <c r="AN266" s="48">
        <v>2478.2399999999998</v>
      </c>
      <c r="AO266" s="48">
        <v>2001.41</v>
      </c>
      <c r="AP266" s="48">
        <v>7638.09</v>
      </c>
      <c r="AQ266" s="48">
        <v>2064.3200000000002</v>
      </c>
      <c r="AR266" s="48">
        <v>6701.37</v>
      </c>
      <c r="AS266" s="48">
        <v>1620.02</v>
      </c>
      <c r="AT266" s="48">
        <v>3888.18</v>
      </c>
      <c r="AU266" s="48">
        <v>4527.17</v>
      </c>
      <c r="AV266" s="48">
        <v>1814.91</v>
      </c>
      <c r="AW266" s="48">
        <v>2770.1</v>
      </c>
      <c r="AX266" s="48">
        <v>1923.59</v>
      </c>
      <c r="AY266" s="48">
        <v>1204.8499999999999</v>
      </c>
      <c r="AZ266" s="48">
        <v>8206.7900000000009</v>
      </c>
      <c r="BA266" s="48">
        <v>3097.62</v>
      </c>
      <c r="BB266" s="48">
        <v>2929.7</v>
      </c>
      <c r="BC266" s="48">
        <v>1633.1</v>
      </c>
      <c r="BD266" s="48">
        <v>19319.169999999998</v>
      </c>
      <c r="BE266" s="48">
        <v>1154.08</v>
      </c>
      <c r="BF266" s="48">
        <v>1429.6</v>
      </c>
      <c r="BG266" s="48">
        <v>4408.5200000000004</v>
      </c>
      <c r="BH266" s="48">
        <v>1594.38</v>
      </c>
      <c r="BI266" s="48">
        <v>1292.47</v>
      </c>
      <c r="BJ266" s="48">
        <v>5010.0200000000004</v>
      </c>
      <c r="BK266" s="48">
        <v>1793.08</v>
      </c>
      <c r="BL266" s="48">
        <v>8068.35</v>
      </c>
      <c r="BM266" s="48">
        <v>1110.8399999999999</v>
      </c>
      <c r="BN266" s="48">
        <v>874.72</v>
      </c>
      <c r="BO266" s="48">
        <v>-84.61</v>
      </c>
      <c r="BP266" s="48">
        <v>1130.43</v>
      </c>
      <c r="BQ266" s="48">
        <v>1108.3800000000001</v>
      </c>
      <c r="BR266" s="48">
        <v>1012.83</v>
      </c>
      <c r="BS266" s="48">
        <v>1372.55</v>
      </c>
      <c r="BT266" s="48">
        <v>1364.22</v>
      </c>
      <c r="BU266" s="48">
        <v>1747.61</v>
      </c>
      <c r="BV266" s="48">
        <v>1482.04</v>
      </c>
      <c r="BW266" s="48">
        <v>1265.5999999999999</v>
      </c>
      <c r="BX266" s="48">
        <v>1158.72</v>
      </c>
      <c r="BY266" s="48">
        <v>890.25</v>
      </c>
      <c r="BZ266" s="48">
        <v>801.28</v>
      </c>
      <c r="CA266" s="48">
        <v>588.70000000000005</v>
      </c>
      <c r="CB266" s="48">
        <v>1344.31</v>
      </c>
      <c r="CC266" s="48">
        <v>658.07</v>
      </c>
      <c r="CD266" s="48">
        <v>306.44</v>
      </c>
      <c r="CE266" s="48">
        <v>840.03</v>
      </c>
      <c r="CF266" s="48">
        <v>3365.92</v>
      </c>
      <c r="CG266" s="48">
        <v>1255.9100000000001</v>
      </c>
      <c r="CH266" s="48">
        <v>737.32</v>
      </c>
      <c r="CI266" s="48">
        <v>860.52</v>
      </c>
      <c r="CJ266" s="48">
        <v>7902.99</v>
      </c>
      <c r="CK266" s="48">
        <v>1894.09</v>
      </c>
      <c r="CL266" s="48">
        <v>1204.1300000000001</v>
      </c>
      <c r="CM266" s="48">
        <v>2359.84</v>
      </c>
      <c r="CN266" s="48">
        <v>1801.75</v>
      </c>
      <c r="CO266" s="48">
        <v>884.67</v>
      </c>
      <c r="CP266" s="48">
        <v>714.64</v>
      </c>
      <c r="CQ266" s="48">
        <v>1616.17</v>
      </c>
      <c r="CR266" s="48">
        <v>3394.57</v>
      </c>
      <c r="CS266" s="48">
        <v>348.98</v>
      </c>
      <c r="CT266" s="48">
        <v>1659.99</v>
      </c>
      <c r="CU266" s="48">
        <v>1271.46</v>
      </c>
      <c r="CV266" s="48">
        <v>1575.27</v>
      </c>
      <c r="CW266" s="48">
        <v>2703.78</v>
      </c>
      <c r="CX266" s="48">
        <v>1204.78</v>
      </c>
      <c r="CY266" s="48">
        <v>3506.96</v>
      </c>
      <c r="CZ266" s="48">
        <v>3367.3</v>
      </c>
      <c r="DA266" s="48">
        <v>3751.11</v>
      </c>
      <c r="DB266" s="48">
        <v>1733.92</v>
      </c>
      <c r="DC266" s="48">
        <v>1388.56</v>
      </c>
      <c r="DD266" s="48">
        <v>3724.09</v>
      </c>
      <c r="DE266" s="48">
        <f>VLOOKUP($C266,'[2]Analysis 1'!$C$5:$DG$1025,107,FALSE)</f>
        <v>5536.91</v>
      </c>
      <c r="DF266" s="48">
        <f>VLOOKUP($C266,'[2]Analysis 1'!$C$5:$DG$1025,108,FALSE)</f>
        <v>5710.19</v>
      </c>
      <c r="DG266" s="48">
        <f>VLOOKUP($C266,'[2]Analysis 1'!$C$5:$DG$1025,109,FALSE)</f>
        <v>1831.06</v>
      </c>
      <c r="DH266" s="369">
        <f t="shared" si="8"/>
        <v>36033.93</v>
      </c>
    </row>
    <row r="267" spans="1:112">
      <c r="A267" s="357" t="str">
        <f t="shared" si="7"/>
        <v>6719000</v>
      </c>
      <c r="B267" s="350" t="s">
        <v>2078</v>
      </c>
      <c r="C267" s="335" t="s">
        <v>1161</v>
      </c>
      <c r="D267" s="367">
        <v>0</v>
      </c>
      <c r="E267" s="367">
        <v>0</v>
      </c>
      <c r="F267" s="367">
        <v>0</v>
      </c>
      <c r="G267" s="367">
        <v>0</v>
      </c>
      <c r="H267" s="367">
        <v>-40</v>
      </c>
      <c r="I267" s="367">
        <v>-203.5</v>
      </c>
      <c r="J267" s="367">
        <v>-235.7</v>
      </c>
      <c r="K267" s="367">
        <v>-11081.59</v>
      </c>
      <c r="L267" s="367">
        <v>-311.39999999999998</v>
      </c>
      <c r="M267" s="367">
        <v>-507.92</v>
      </c>
      <c r="N267" s="367">
        <v>0</v>
      </c>
      <c r="O267" s="368">
        <v>-231.15</v>
      </c>
      <c r="P267" s="48">
        <v>-195.21</v>
      </c>
      <c r="Q267" s="48">
        <v>-89.9</v>
      </c>
      <c r="R267" s="48">
        <v>-80.7</v>
      </c>
      <c r="S267" s="48">
        <v>-171.3</v>
      </c>
      <c r="T267" s="48">
        <v>-366.8</v>
      </c>
      <c r="U267" s="48">
        <v>-295.55</v>
      </c>
      <c r="V267" s="48">
        <v>-390.11</v>
      </c>
      <c r="W267" s="48">
        <v>-219.8</v>
      </c>
      <c r="X267" s="48">
        <v>-588.89</v>
      </c>
      <c r="Y267" s="48">
        <v>-665.2</v>
      </c>
      <c r="Z267" s="48">
        <v>-5704.26</v>
      </c>
      <c r="AA267" s="48">
        <v>-1128933.93</v>
      </c>
      <c r="AB267" s="48">
        <v>-31040.9</v>
      </c>
      <c r="AC267" s="48">
        <v>-3932.12</v>
      </c>
      <c r="AD267" s="48">
        <v>-230.8</v>
      </c>
      <c r="AE267" s="48">
        <v>-229</v>
      </c>
      <c r="AF267" s="48">
        <v>0</v>
      </c>
      <c r="AG267" s="48">
        <v>-973.01</v>
      </c>
      <c r="AH267" s="48">
        <v>-95072.9</v>
      </c>
      <c r="AI267" s="48">
        <v>-2565.0500000000002</v>
      </c>
      <c r="AJ267" s="48">
        <v>-179.8</v>
      </c>
      <c r="AK267" s="48">
        <v>-252.7</v>
      </c>
      <c r="AL267" s="48">
        <v>-539.54999999999995</v>
      </c>
      <c r="AM267" s="48">
        <v>0</v>
      </c>
      <c r="AN267" s="48">
        <v>-5163.87</v>
      </c>
      <c r="AO267" s="48">
        <v>0</v>
      </c>
      <c r="AP267" s="48">
        <v>-4936.9799999999996</v>
      </c>
      <c r="AQ267" s="48">
        <v>-846.65</v>
      </c>
      <c r="AR267" s="48">
        <v>-8719.7199999999993</v>
      </c>
      <c r="AS267" s="48">
        <v>-301.89999999999998</v>
      </c>
      <c r="AT267" s="48">
        <v>-5419.98</v>
      </c>
      <c r="AU267" s="48">
        <v>-1791.13</v>
      </c>
      <c r="AV267" s="48">
        <v>37.840000000000003</v>
      </c>
      <c r="AW267" s="48">
        <v>-364.15</v>
      </c>
      <c r="AX267" s="48">
        <v>-1479.05</v>
      </c>
      <c r="AY267" s="48">
        <v>-1105.68</v>
      </c>
      <c r="AZ267" s="48">
        <v>-4494.33</v>
      </c>
      <c r="BA267" s="48">
        <v>-3427.11</v>
      </c>
      <c r="BB267" s="48">
        <v>-1250.0999999999999</v>
      </c>
      <c r="BC267" s="48">
        <v>-996.69</v>
      </c>
      <c r="BD267" s="48">
        <v>-18154.7</v>
      </c>
      <c r="BE267" s="48">
        <v>0</v>
      </c>
      <c r="BF267" s="48">
        <v>-53260.3</v>
      </c>
      <c r="BG267" s="48">
        <v>-2963</v>
      </c>
      <c r="BH267" s="48">
        <v>-721</v>
      </c>
      <c r="BI267" s="48">
        <v>-301.87</v>
      </c>
      <c r="BJ267" s="48">
        <v>-3799.5</v>
      </c>
      <c r="BK267" s="48">
        <v>-1139.0999999999999</v>
      </c>
      <c r="BL267" s="48">
        <v>-6737.08</v>
      </c>
      <c r="BM267" s="48">
        <v>-220.5</v>
      </c>
      <c r="BN267" s="48">
        <v>-81.400000000000006</v>
      </c>
      <c r="BO267" s="48">
        <v>959.3</v>
      </c>
      <c r="BP267" s="48">
        <v>-925.2</v>
      </c>
      <c r="BQ267" s="48">
        <v>-132.6</v>
      </c>
      <c r="BR267" s="48">
        <v>-714.98</v>
      </c>
      <c r="BS267" s="48">
        <v>-824.29</v>
      </c>
      <c r="BT267" s="48">
        <v>-535.09</v>
      </c>
      <c r="BU267" s="48">
        <v>-576.49</v>
      </c>
      <c r="BV267" s="48">
        <v>-1996.59</v>
      </c>
      <c r="BW267" s="48">
        <v>-1331.79</v>
      </c>
      <c r="BX267" s="48">
        <v>-1838.9</v>
      </c>
      <c r="BY267" s="48">
        <v>-1369.32</v>
      </c>
      <c r="BZ267" s="48">
        <v>-2135.58</v>
      </c>
      <c r="CA267" s="48">
        <v>-1674.81</v>
      </c>
      <c r="CB267" s="48">
        <v>-1110.5</v>
      </c>
      <c r="CC267" s="48">
        <v>-903.63</v>
      </c>
      <c r="CD267" s="48">
        <v>-1329.93</v>
      </c>
      <c r="CE267" s="48">
        <v>-1117.1300000000001</v>
      </c>
      <c r="CF267" s="48">
        <v>-3867.77</v>
      </c>
      <c r="CG267" s="48">
        <v>-3634.47</v>
      </c>
      <c r="CH267" s="48">
        <v>-1297.9000000000001</v>
      </c>
      <c r="CI267" s="48">
        <v>-731.46</v>
      </c>
      <c r="CJ267" s="48">
        <v>-6753.53</v>
      </c>
      <c r="CK267" s="48">
        <v>-164.73</v>
      </c>
      <c r="CL267" s="48">
        <v>-447.7</v>
      </c>
      <c r="CM267" s="48">
        <v>-1104.9000000000001</v>
      </c>
      <c r="CN267" s="48">
        <v>-480.1</v>
      </c>
      <c r="CO267" s="48">
        <v>-673.8</v>
      </c>
      <c r="CP267" s="48">
        <v>-807.8</v>
      </c>
      <c r="CQ267" s="48">
        <v>-350.9</v>
      </c>
      <c r="CR267" s="48">
        <v>-943.6</v>
      </c>
      <c r="CS267" s="48">
        <v>-999.9</v>
      </c>
      <c r="CT267" s="48">
        <v>-709.75</v>
      </c>
      <c r="CU267" s="48">
        <v>-700.7</v>
      </c>
      <c r="CV267" s="48">
        <v>-1053.5999999999999</v>
      </c>
      <c r="CW267" s="48">
        <v>-1025.8</v>
      </c>
      <c r="CX267" s="48">
        <v>-423.3</v>
      </c>
      <c r="CY267" s="48">
        <v>-761.3</v>
      </c>
      <c r="CZ267" s="48">
        <v>-916.6</v>
      </c>
      <c r="DA267" s="48">
        <v>-526.70000000000005</v>
      </c>
      <c r="DB267" s="48">
        <v>-858.4</v>
      </c>
      <c r="DC267" s="48">
        <v>-728.05</v>
      </c>
      <c r="DD267" s="48">
        <v>-919.19</v>
      </c>
      <c r="DE267" s="48">
        <f>VLOOKUP($C267,'[2]Analysis 1'!$C$5:$DG$1025,107,FALSE)</f>
        <v>-615.79999999999995</v>
      </c>
      <c r="DF267" s="48">
        <f>VLOOKUP($C267,'[2]Analysis 1'!$C$5:$DG$1025,108,FALSE)</f>
        <v>-605.20000000000005</v>
      </c>
      <c r="DG267" s="48">
        <f>VLOOKUP($C267,'[2]Analysis 1'!$C$5:$DG$1025,109,FALSE)</f>
        <v>-255.75</v>
      </c>
      <c r="DH267" s="369">
        <f t="shared" si="8"/>
        <v>-8689.69</v>
      </c>
    </row>
    <row r="268" spans="1:112">
      <c r="A268" s="357" t="str">
        <f t="shared" si="7"/>
        <v>6720010</v>
      </c>
      <c r="B268" s="350" t="s">
        <v>2079</v>
      </c>
      <c r="C268" s="335" t="s">
        <v>1162</v>
      </c>
      <c r="D268" s="367">
        <v>30744.87</v>
      </c>
      <c r="E268" s="367">
        <v>26649.51</v>
      </c>
      <c r="F268" s="367">
        <v>21204.15</v>
      </c>
      <c r="G268" s="367">
        <v>32094.87</v>
      </c>
      <c r="H268" s="367">
        <v>21204.15</v>
      </c>
      <c r="I268" s="367">
        <v>26649.51</v>
      </c>
      <c r="J268" s="367">
        <v>26649.51</v>
      </c>
      <c r="K268" s="367">
        <v>21362.76</v>
      </c>
      <c r="L268" s="367">
        <v>21204.15</v>
      </c>
      <c r="M268" s="367">
        <v>30816.87</v>
      </c>
      <c r="N268" s="367">
        <v>25371.51</v>
      </c>
      <c r="O268" s="368">
        <v>32421.57</v>
      </c>
      <c r="P268" s="48">
        <v>18015.38</v>
      </c>
      <c r="Q268" s="48">
        <v>44183.54</v>
      </c>
      <c r="R268" s="48">
        <v>34288.94</v>
      </c>
      <c r="S268" s="48">
        <v>24321.79</v>
      </c>
      <c r="T268" s="48">
        <v>23624.09</v>
      </c>
      <c r="U268" s="48">
        <v>16665.38</v>
      </c>
      <c r="V268" s="48">
        <v>32132.799999999999</v>
      </c>
      <c r="W268" s="48">
        <v>22274.09</v>
      </c>
      <c r="X268" s="48">
        <v>24384.25</v>
      </c>
      <c r="Y268" s="48">
        <v>18831.18</v>
      </c>
      <c r="Z268" s="48">
        <v>24539.89</v>
      </c>
      <c r="AA268" s="48">
        <v>28698.6</v>
      </c>
      <c r="AB268" s="48">
        <v>25985.14</v>
      </c>
      <c r="AC268" s="48">
        <v>24727.15</v>
      </c>
      <c r="AD268" s="48">
        <v>24727.15</v>
      </c>
      <c r="AE268" s="48">
        <v>24727.15</v>
      </c>
      <c r="AF268" s="48">
        <v>24727.15</v>
      </c>
      <c r="AG268" s="48">
        <v>33412.43</v>
      </c>
      <c r="AH268" s="48">
        <v>26020.7</v>
      </c>
      <c r="AI268" s="48">
        <v>26020.7</v>
      </c>
      <c r="AJ268" s="48">
        <v>26020.7</v>
      </c>
      <c r="AK268" s="48">
        <v>26020.7</v>
      </c>
      <c r="AL268" s="48">
        <v>26209.52</v>
      </c>
      <c r="AM268" s="48">
        <v>19119.419999999998</v>
      </c>
      <c r="AN268" s="48">
        <v>37508.769999999997</v>
      </c>
      <c r="AO268" s="48">
        <v>28912.639999999999</v>
      </c>
      <c r="AP268" s="48">
        <v>29697.42</v>
      </c>
      <c r="AQ268" s="48">
        <v>29944.81</v>
      </c>
      <c r="AR268" s="48">
        <v>29816.33</v>
      </c>
      <c r="AS268" s="48">
        <v>29816.33</v>
      </c>
      <c r="AT268" s="48">
        <v>29816.33</v>
      </c>
      <c r="AU268" s="48">
        <v>29816.33</v>
      </c>
      <c r="AV268" s="48">
        <v>29816.33</v>
      </c>
      <c r="AW268" s="48">
        <v>29816.33</v>
      </c>
      <c r="AX268" s="48">
        <v>30005.13</v>
      </c>
      <c r="AY268" s="48">
        <v>21778.240000000002</v>
      </c>
      <c r="AZ268" s="48">
        <v>37307.980000000003</v>
      </c>
      <c r="BA268" s="48">
        <v>27701.82</v>
      </c>
      <c r="BB268" s="48">
        <v>29318.71</v>
      </c>
      <c r="BC268" s="48">
        <v>29479.119999999999</v>
      </c>
      <c r="BD268" s="48">
        <v>29479.119999999999</v>
      </c>
      <c r="BE268" s="48">
        <v>29479.119999999999</v>
      </c>
      <c r="BF268" s="48">
        <v>29479.119999999999</v>
      </c>
      <c r="BG268" s="48">
        <v>29479.119999999999</v>
      </c>
      <c r="BH268" s="48">
        <v>22757.200000000001</v>
      </c>
      <c r="BI268" s="48">
        <v>36201.040000000001</v>
      </c>
      <c r="BJ268" s="48">
        <v>29658.69</v>
      </c>
      <c r="BK268" s="48">
        <v>29640.560000000001</v>
      </c>
      <c r="BL268" s="48">
        <v>27564.79</v>
      </c>
      <c r="BM268" s="48">
        <v>21935.87</v>
      </c>
      <c r="BN268" s="48">
        <v>28884.34</v>
      </c>
      <c r="BO268" s="48">
        <v>35832.81</v>
      </c>
      <c r="BP268" s="48">
        <v>28884.34</v>
      </c>
      <c r="BQ268" s="48">
        <v>28884.34</v>
      </c>
      <c r="BR268" s="48">
        <v>28884.34</v>
      </c>
      <c r="BS268" s="48">
        <v>28884.34</v>
      </c>
      <c r="BT268" s="48">
        <v>28884.34</v>
      </c>
      <c r="BU268" s="48">
        <v>28884.34</v>
      </c>
      <c r="BV268" s="48">
        <v>21935.87</v>
      </c>
      <c r="BW268" s="48">
        <v>35089.97</v>
      </c>
      <c r="BX268" s="48">
        <v>41663.120000000003</v>
      </c>
      <c r="BY268" s="48">
        <v>42749.48</v>
      </c>
      <c r="BZ268" s="48">
        <v>37666.129999999997</v>
      </c>
      <c r="CA268" s="48">
        <v>35636.910000000003</v>
      </c>
      <c r="CB268" s="48">
        <v>28366.76</v>
      </c>
      <c r="CC268" s="48">
        <v>42907.06</v>
      </c>
      <c r="CD268" s="48">
        <v>35636.910000000003</v>
      </c>
      <c r="CE268" s="48">
        <v>35636.910000000003</v>
      </c>
      <c r="CF268" s="48">
        <v>35636.910000000003</v>
      </c>
      <c r="CG268" s="48">
        <v>35740.44</v>
      </c>
      <c r="CH268" s="48">
        <v>34740.44</v>
      </c>
      <c r="CI268" s="48">
        <v>36740.44</v>
      </c>
      <c r="CJ268" s="48">
        <v>36526.44</v>
      </c>
      <c r="CK268" s="48">
        <v>29062.79</v>
      </c>
      <c r="CL268" s="48">
        <v>36526.44</v>
      </c>
      <c r="CM268" s="48">
        <v>44085.65</v>
      </c>
      <c r="CN268" s="48">
        <v>38467.800000000003</v>
      </c>
      <c r="CO268" s="48">
        <v>36372.080000000002</v>
      </c>
      <c r="CP268" s="48">
        <v>36372.080000000002</v>
      </c>
      <c r="CQ268" s="48">
        <v>36372.080000000002</v>
      </c>
      <c r="CR268" s="48">
        <v>28785.16</v>
      </c>
      <c r="CS268" s="48">
        <v>44338.34</v>
      </c>
      <c r="CT268" s="48">
        <v>35372.080000000002</v>
      </c>
      <c r="CU268" s="48">
        <v>37372.080000000002</v>
      </c>
      <c r="CV268" s="48">
        <v>28322.11</v>
      </c>
      <c r="CW268" s="48">
        <v>45199.99</v>
      </c>
      <c r="CX268" s="48">
        <v>36553.1</v>
      </c>
      <c r="CY268" s="48">
        <v>36594.080000000002</v>
      </c>
      <c r="CZ268" s="48">
        <v>36569.18</v>
      </c>
      <c r="DA268" s="48">
        <v>36569.18</v>
      </c>
      <c r="DB268" s="48">
        <v>36569.18</v>
      </c>
      <c r="DC268" s="48">
        <v>36569.18</v>
      </c>
      <c r="DD268" s="48">
        <v>36569.18</v>
      </c>
      <c r="DE268" s="48">
        <f>VLOOKUP($C268,'[2]Analysis 1'!$C$5:$DG$1025,107,FALSE)</f>
        <v>36569.18</v>
      </c>
      <c r="DF268" s="48">
        <f>VLOOKUP($C268,'[2]Analysis 1'!$C$5:$DG$1025,108,FALSE)</f>
        <v>36569.18</v>
      </c>
      <c r="DG268" s="48">
        <f>VLOOKUP($C268,'[2]Analysis 1'!$C$5:$DG$1025,109,FALSE)</f>
        <v>28785.16</v>
      </c>
      <c r="DH268" s="369">
        <f t="shared" si="8"/>
        <v>431438.69999999995</v>
      </c>
    </row>
    <row r="269" spans="1:112">
      <c r="A269" s="357" t="str">
        <f t="shared" si="7"/>
        <v>6720020</v>
      </c>
      <c r="B269" s="350" t="s">
        <v>2080</v>
      </c>
      <c r="C269" s="335" t="s">
        <v>1163</v>
      </c>
      <c r="D269" s="340">
        <v>0</v>
      </c>
      <c r="E269" s="340">
        <v>0</v>
      </c>
      <c r="F269" s="340">
        <v>0</v>
      </c>
      <c r="G269" s="340">
        <v>0</v>
      </c>
      <c r="H269" s="340">
        <v>0</v>
      </c>
      <c r="I269" s="340">
        <v>0</v>
      </c>
      <c r="J269" s="340">
        <v>0</v>
      </c>
      <c r="K269" s="340">
        <v>0</v>
      </c>
      <c r="L269" s="340">
        <v>0</v>
      </c>
      <c r="M269" s="340">
        <v>18.739999999999998</v>
      </c>
      <c r="N269" s="340">
        <v>0</v>
      </c>
      <c r="O269" s="341">
        <v>0</v>
      </c>
      <c r="P269" s="48">
        <v>0</v>
      </c>
      <c r="Q269" s="48">
        <v>0</v>
      </c>
      <c r="R269" s="48">
        <v>233.74</v>
      </c>
      <c r="S269" s="48">
        <v>0</v>
      </c>
      <c r="T269" s="48">
        <v>0</v>
      </c>
      <c r="U269" s="48">
        <v>0</v>
      </c>
      <c r="V269" s="48">
        <v>0</v>
      </c>
      <c r="W269" s="48">
        <v>0</v>
      </c>
      <c r="X269" s="48">
        <v>0</v>
      </c>
      <c r="Y269" s="48">
        <v>0</v>
      </c>
      <c r="Z269" s="48">
        <v>0</v>
      </c>
      <c r="AA269" s="48">
        <v>0</v>
      </c>
      <c r="AB269" s="48">
        <v>0</v>
      </c>
      <c r="AC269" s="48">
        <v>0</v>
      </c>
      <c r="AD269" s="48">
        <v>0</v>
      </c>
      <c r="AE269" s="48">
        <v>0</v>
      </c>
      <c r="AF269" s="48">
        <v>0</v>
      </c>
      <c r="AG269" s="48">
        <v>330.23</v>
      </c>
      <c r="AH269" s="48">
        <v>-330.23</v>
      </c>
      <c r="AI269" s="48">
        <v>0</v>
      </c>
      <c r="AJ269" s="48">
        <v>0</v>
      </c>
      <c r="AK269" s="48">
        <v>0</v>
      </c>
      <c r="AL269" s="48">
        <v>0</v>
      </c>
      <c r="AM269" s="48">
        <v>0</v>
      </c>
      <c r="AN269" s="48">
        <v>0</v>
      </c>
      <c r="AO269" s="48">
        <v>0</v>
      </c>
      <c r="AP269" s="48">
        <v>0</v>
      </c>
      <c r="AQ269" s="48">
        <v>0</v>
      </c>
      <c r="AR269" s="48">
        <v>35</v>
      </c>
      <c r="AS269" s="48">
        <v>-35</v>
      </c>
      <c r="AT269" s="48">
        <v>0</v>
      </c>
      <c r="AU269" s="48">
        <v>105</v>
      </c>
      <c r="AV269" s="48">
        <v>7.35</v>
      </c>
      <c r="AW269" s="48">
        <v>0</v>
      </c>
      <c r="AX269" s="48">
        <v>874.54</v>
      </c>
      <c r="AY269" s="48">
        <v>657.5</v>
      </c>
      <c r="AZ269" s="48">
        <v>93.63</v>
      </c>
      <c r="BA269" s="48">
        <v>17.5</v>
      </c>
      <c r="BB269" s="48">
        <v>594.38</v>
      </c>
      <c r="BC269" s="48">
        <v>-518.26</v>
      </c>
      <c r="BD269" s="48">
        <v>348.96</v>
      </c>
      <c r="BE269" s="48">
        <v>-119.28</v>
      </c>
      <c r="BF269" s="48">
        <v>2.4500000000000002</v>
      </c>
      <c r="BG269" s="48">
        <v>0</v>
      </c>
      <c r="BH269" s="48">
        <v>0</v>
      </c>
      <c r="BI269" s="48">
        <v>0</v>
      </c>
      <c r="BJ269" s="48">
        <v>0</v>
      </c>
      <c r="BK269" s="48">
        <v>0</v>
      </c>
      <c r="BL269" s="48">
        <v>0</v>
      </c>
      <c r="BM269" s="48">
        <v>0</v>
      </c>
      <c r="BN269" s="48">
        <v>0</v>
      </c>
      <c r="BO269" s="48">
        <v>0</v>
      </c>
      <c r="BP269" s="48">
        <v>0</v>
      </c>
      <c r="BQ269" s="48">
        <v>0</v>
      </c>
      <c r="BR269" s="48">
        <v>0</v>
      </c>
      <c r="BS269" s="48">
        <v>0</v>
      </c>
      <c r="BT269" s="48">
        <v>0</v>
      </c>
      <c r="BU269" s="48">
        <v>0</v>
      </c>
      <c r="BV269" s="48">
        <v>0</v>
      </c>
      <c r="BW269" s="48">
        <v>0</v>
      </c>
      <c r="BX269" s="48">
        <v>0</v>
      </c>
      <c r="BY269" s="48">
        <v>0</v>
      </c>
      <c r="BZ269" s="48">
        <v>0</v>
      </c>
      <c r="CA269" s="48">
        <v>0</v>
      </c>
      <c r="CB269" s="48">
        <v>0</v>
      </c>
      <c r="CC269" s="48">
        <v>0</v>
      </c>
      <c r="CD269" s="48">
        <v>0</v>
      </c>
      <c r="CE269" s="48">
        <v>0</v>
      </c>
      <c r="CF269" s="48">
        <v>0</v>
      </c>
      <c r="CG269" s="48">
        <v>0</v>
      </c>
      <c r="CH269" s="48">
        <v>0</v>
      </c>
      <c r="CI269" s="48">
        <v>0</v>
      </c>
      <c r="CJ269" s="48">
        <v>0</v>
      </c>
      <c r="CK269" s="48">
        <v>0</v>
      </c>
      <c r="CL269" s="48">
        <v>0</v>
      </c>
      <c r="CM269" s="48">
        <v>0</v>
      </c>
      <c r="CN269" s="48">
        <v>0</v>
      </c>
      <c r="CO269" s="48">
        <v>0</v>
      </c>
      <c r="CP269" s="48">
        <v>0</v>
      </c>
      <c r="CQ269" s="48">
        <v>0</v>
      </c>
      <c r="CR269" s="48">
        <v>0</v>
      </c>
      <c r="CS269" s="48">
        <v>0</v>
      </c>
      <c r="CT269" s="48">
        <v>0</v>
      </c>
      <c r="CU269" s="48">
        <v>0</v>
      </c>
      <c r="CV269" s="48">
        <v>0</v>
      </c>
      <c r="CW269" s="48">
        <v>0</v>
      </c>
      <c r="CX269" s="48">
        <v>0</v>
      </c>
      <c r="CY269" s="48">
        <v>0</v>
      </c>
      <c r="CZ269" s="48">
        <v>0</v>
      </c>
      <c r="DA269" s="48">
        <v>0</v>
      </c>
      <c r="DB269" s="48">
        <v>0</v>
      </c>
      <c r="DC269" s="48">
        <v>0</v>
      </c>
      <c r="DD269" s="48">
        <v>0</v>
      </c>
      <c r="DE269" s="48">
        <f>VLOOKUP($C269,'[2]Analysis 1'!$C$5:$DG$1025,107,FALSE)</f>
        <v>0</v>
      </c>
      <c r="DF269" s="48">
        <f>VLOOKUP($C269,'[2]Analysis 1'!$C$5:$DG$1025,108,FALSE)</f>
        <v>0</v>
      </c>
      <c r="DG269" s="48">
        <f>VLOOKUP($C269,'[2]Analysis 1'!$C$5:$DG$1025,109,FALSE)</f>
        <v>0</v>
      </c>
      <c r="DH269" s="369">
        <f t="shared" si="8"/>
        <v>0</v>
      </c>
    </row>
    <row r="270" spans="1:112">
      <c r="A270" s="357" t="str">
        <f t="shared" si="7"/>
        <v>6720030</v>
      </c>
      <c r="B270" s="350" t="s">
        <v>2081</v>
      </c>
      <c r="C270" s="335" t="s">
        <v>1164</v>
      </c>
      <c r="D270" s="367">
        <v>11027.1</v>
      </c>
      <c r="E270" s="367">
        <v>25033.759999999998</v>
      </c>
      <c r="F270" s="367">
        <v>29946.22</v>
      </c>
      <c r="G270" s="367">
        <v>22146.45</v>
      </c>
      <c r="H270" s="367">
        <v>17937.240000000002</v>
      </c>
      <c r="I270" s="367">
        <v>30357.5</v>
      </c>
      <c r="J270" s="367">
        <v>2651</v>
      </c>
      <c r="K270" s="367">
        <v>12042.43</v>
      </c>
      <c r="L270" s="367">
        <v>12020.83</v>
      </c>
      <c r="M270" s="367">
        <v>11799.72</v>
      </c>
      <c r="N270" s="367">
        <v>19584.099999999999</v>
      </c>
      <c r="O270" s="368">
        <v>15559.54</v>
      </c>
      <c r="P270" s="48">
        <v>7301.85</v>
      </c>
      <c r="Q270" s="48">
        <v>18327.849999999999</v>
      </c>
      <c r="R270" s="48">
        <v>11306.07</v>
      </c>
      <c r="S270" s="48">
        <v>5162.2299999999996</v>
      </c>
      <c r="T270" s="48">
        <v>12835.51</v>
      </c>
      <c r="U270" s="48">
        <v>4973.37</v>
      </c>
      <c r="V270" s="48">
        <v>3051.82</v>
      </c>
      <c r="W270" s="48">
        <v>6342.26</v>
      </c>
      <c r="X270" s="48">
        <v>18675.77</v>
      </c>
      <c r="Y270" s="48">
        <v>3436.43</v>
      </c>
      <c r="Z270" s="48">
        <v>12093.9</v>
      </c>
      <c r="AA270" s="48">
        <v>3256.83</v>
      </c>
      <c r="AB270" s="48">
        <v>3520.97</v>
      </c>
      <c r="AC270" s="48">
        <v>11639.02</v>
      </c>
      <c r="AD270" s="48">
        <v>3374.66</v>
      </c>
      <c r="AE270" s="48">
        <v>-4943.5600000000004</v>
      </c>
      <c r="AF270" s="48">
        <v>9637.59</v>
      </c>
      <c r="AG270" s="48">
        <v>3177.66</v>
      </c>
      <c r="AH270" s="48">
        <v>10035.41</v>
      </c>
      <c r="AI270" s="48">
        <v>209.16</v>
      </c>
      <c r="AJ270" s="48">
        <v>1882.99</v>
      </c>
      <c r="AK270" s="48">
        <v>1566.97</v>
      </c>
      <c r="AL270" s="48">
        <v>2003.92</v>
      </c>
      <c r="AM270" s="48">
        <v>1882.99</v>
      </c>
      <c r="AN270" s="48">
        <v>2507.41</v>
      </c>
      <c r="AO270" s="48">
        <v>1936.27</v>
      </c>
      <c r="AP270" s="48">
        <v>2204.98</v>
      </c>
      <c r="AQ270" s="48">
        <v>2067.8000000000002</v>
      </c>
      <c r="AR270" s="48">
        <v>0</v>
      </c>
      <c r="AS270" s="48">
        <v>0</v>
      </c>
      <c r="AT270" s="48">
        <v>0</v>
      </c>
      <c r="AU270" s="48">
        <v>0</v>
      </c>
      <c r="AV270" s="48">
        <v>0</v>
      </c>
      <c r="AW270" s="48">
        <v>0</v>
      </c>
      <c r="AX270" s="48">
        <v>0</v>
      </c>
      <c r="AY270" s="48">
        <v>610.65</v>
      </c>
      <c r="AZ270" s="48">
        <v>173.1</v>
      </c>
      <c r="BA270" s="48">
        <v>23075.78</v>
      </c>
      <c r="BB270" s="48">
        <v>0</v>
      </c>
      <c r="BC270" s="48">
        <v>0</v>
      </c>
      <c r="BD270" s="48">
        <v>-1755.18</v>
      </c>
      <c r="BE270" s="48">
        <v>-26.45</v>
      </c>
      <c r="BF270" s="48">
        <v>0</v>
      </c>
      <c r="BG270" s="48">
        <v>0</v>
      </c>
      <c r="BH270" s="48">
        <v>0</v>
      </c>
      <c r="BI270" s="48">
        <v>0</v>
      </c>
      <c r="BJ270" s="48">
        <v>0</v>
      </c>
      <c r="BK270" s="48">
        <v>0</v>
      </c>
      <c r="BL270" s="48">
        <v>0</v>
      </c>
      <c r="BM270" s="48">
        <v>0</v>
      </c>
      <c r="BN270" s="48">
        <v>0</v>
      </c>
      <c r="BO270" s="48">
        <v>0</v>
      </c>
      <c r="BP270" s="48">
        <v>0</v>
      </c>
      <c r="BQ270" s="48">
        <v>0</v>
      </c>
      <c r="BR270" s="48">
        <v>0</v>
      </c>
      <c r="BS270" s="48">
        <v>0</v>
      </c>
      <c r="BT270" s="48">
        <v>0</v>
      </c>
      <c r="BU270" s="48">
        <v>-549.45000000000005</v>
      </c>
      <c r="BV270" s="48">
        <v>0</v>
      </c>
      <c r="BW270" s="48">
        <v>0</v>
      </c>
      <c r="BX270" s="48">
        <v>0</v>
      </c>
      <c r="BY270" s="48">
        <v>0</v>
      </c>
      <c r="BZ270" s="48">
        <v>0</v>
      </c>
      <c r="CA270" s="48">
        <v>0</v>
      </c>
      <c r="CB270" s="48">
        <v>0</v>
      </c>
      <c r="CC270" s="48">
        <v>0</v>
      </c>
      <c r="CD270" s="48">
        <v>0</v>
      </c>
      <c r="CE270" s="48">
        <v>0</v>
      </c>
      <c r="CF270" s="48">
        <v>0</v>
      </c>
      <c r="CG270" s="48">
        <v>0</v>
      </c>
      <c r="CH270" s="48">
        <v>0</v>
      </c>
      <c r="CI270" s="48">
        <v>0</v>
      </c>
      <c r="CJ270" s="48">
        <v>0</v>
      </c>
      <c r="CK270" s="48">
        <v>0</v>
      </c>
      <c r="CL270" s="48">
        <v>0</v>
      </c>
      <c r="CM270" s="48">
        <v>0</v>
      </c>
      <c r="CN270" s="48">
        <v>0</v>
      </c>
      <c r="CO270" s="48">
        <v>0</v>
      </c>
      <c r="CP270" s="48">
        <v>0</v>
      </c>
      <c r="CQ270" s="48">
        <v>0</v>
      </c>
      <c r="CR270" s="48">
        <v>0</v>
      </c>
      <c r="CS270" s="48">
        <v>0</v>
      </c>
      <c r="CT270" s="48">
        <v>0</v>
      </c>
      <c r="CU270" s="48">
        <v>0</v>
      </c>
      <c r="CV270" s="48">
        <v>0</v>
      </c>
      <c r="CW270" s="48">
        <v>0</v>
      </c>
      <c r="CX270" s="48">
        <v>0</v>
      </c>
      <c r="CY270" s="48">
        <v>0</v>
      </c>
      <c r="CZ270" s="48">
        <v>0</v>
      </c>
      <c r="DA270" s="48">
        <v>0</v>
      </c>
      <c r="DB270" s="48">
        <v>0</v>
      </c>
      <c r="DC270" s="48">
        <v>0</v>
      </c>
      <c r="DD270" s="48">
        <v>0</v>
      </c>
      <c r="DE270" s="48">
        <f>VLOOKUP($C270,'[2]Analysis 1'!$C$5:$DG$1025,107,FALSE)</f>
        <v>0</v>
      </c>
      <c r="DF270" s="48">
        <f>VLOOKUP($C270,'[2]Analysis 1'!$C$5:$DG$1025,108,FALSE)</f>
        <v>0</v>
      </c>
      <c r="DG270" s="48">
        <f>VLOOKUP($C270,'[2]Analysis 1'!$C$5:$DG$1025,109,FALSE)</f>
        <v>0</v>
      </c>
      <c r="DH270" s="369">
        <f t="shared" si="8"/>
        <v>0</v>
      </c>
    </row>
    <row r="271" spans="1:112">
      <c r="A271" s="357" t="str">
        <f t="shared" si="7"/>
        <v>6720050</v>
      </c>
      <c r="B271" s="350" t="s">
        <v>2082</v>
      </c>
      <c r="C271" s="335" t="s">
        <v>1165</v>
      </c>
      <c r="D271" s="367">
        <v>110.48</v>
      </c>
      <c r="E271" s="367">
        <v>181.95</v>
      </c>
      <c r="F271" s="367">
        <v>187.32</v>
      </c>
      <c r="G271" s="367">
        <v>216.4</v>
      </c>
      <c r="H271" s="367">
        <v>180.83</v>
      </c>
      <c r="I271" s="367">
        <v>370.03</v>
      </c>
      <c r="J271" s="367">
        <v>202.28</v>
      </c>
      <c r="K271" s="367">
        <v>110.48</v>
      </c>
      <c r="L271" s="367">
        <v>287.52</v>
      </c>
      <c r="M271" s="367">
        <v>110.48</v>
      </c>
      <c r="N271" s="367">
        <v>166.37</v>
      </c>
      <c r="O271" s="368">
        <v>226.68</v>
      </c>
      <c r="P271" s="48">
        <v>0</v>
      </c>
      <c r="Q271" s="48">
        <v>38.299999999999997</v>
      </c>
      <c r="R271" s="48">
        <v>0</v>
      </c>
      <c r="S271" s="48">
        <v>40.97</v>
      </c>
      <c r="T271" s="48">
        <v>332.81</v>
      </c>
      <c r="U271" s="48">
        <v>75.03</v>
      </c>
      <c r="V271" s="48">
        <v>94.46</v>
      </c>
      <c r="W271" s="48">
        <v>59.47</v>
      </c>
      <c r="X271" s="48">
        <v>46.72</v>
      </c>
      <c r="Y271" s="48">
        <v>0</v>
      </c>
      <c r="Z271" s="48">
        <v>0</v>
      </c>
      <c r="AA271" s="48">
        <v>57.95</v>
      </c>
      <c r="AB271" s="48">
        <v>335.98</v>
      </c>
      <c r="AC271" s="48">
        <v>377.18</v>
      </c>
      <c r="AD271" s="48">
        <v>364.8</v>
      </c>
      <c r="AE271" s="48">
        <v>146.49</v>
      </c>
      <c r="AF271" s="48">
        <v>150.6</v>
      </c>
      <c r="AG271" s="48">
        <v>111.21</v>
      </c>
      <c r="AH271" s="48">
        <v>111.21</v>
      </c>
      <c r="AI271" s="48">
        <v>111.21</v>
      </c>
      <c r="AJ271" s="48">
        <v>178.4</v>
      </c>
      <c r="AK271" s="48">
        <v>146.53</v>
      </c>
      <c r="AL271" s="48">
        <v>144.52000000000001</v>
      </c>
      <c r="AM271" s="48">
        <v>111.21</v>
      </c>
      <c r="AN271" s="48">
        <v>76.5</v>
      </c>
      <c r="AO271" s="48">
        <v>115.85</v>
      </c>
      <c r="AP271" s="48">
        <v>41.97</v>
      </c>
      <c r="AQ271" s="48">
        <v>53.5</v>
      </c>
      <c r="AR271" s="48">
        <v>37.549999999999997</v>
      </c>
      <c r="AS271" s="48">
        <v>50.44</v>
      </c>
      <c r="AT271" s="48">
        <v>195.45</v>
      </c>
      <c r="AU271" s="48">
        <v>78.14</v>
      </c>
      <c r="AV271" s="48">
        <v>0</v>
      </c>
      <c r="AW271" s="48">
        <v>0</v>
      </c>
      <c r="AX271" s="48">
        <v>56.64</v>
      </c>
      <c r="AY271" s="48">
        <v>68.8</v>
      </c>
      <c r="AZ271" s="48">
        <v>0</v>
      </c>
      <c r="BA271" s="48">
        <v>85.99</v>
      </c>
      <c r="BB271" s="48">
        <v>0</v>
      </c>
      <c r="BC271" s="48">
        <v>87.44</v>
      </c>
      <c r="BD271" s="48">
        <v>264.52</v>
      </c>
      <c r="BE271" s="48">
        <v>92.56</v>
      </c>
      <c r="BF271" s="48">
        <v>98.36</v>
      </c>
      <c r="BG271" s="48">
        <v>0</v>
      </c>
      <c r="BH271" s="48">
        <v>221.61</v>
      </c>
      <c r="BI271" s="48">
        <v>70.84</v>
      </c>
      <c r="BJ271" s="48">
        <v>109.95</v>
      </c>
      <c r="BK271" s="48">
        <v>74.709999999999994</v>
      </c>
      <c r="BL271" s="48">
        <v>0</v>
      </c>
      <c r="BM271" s="48">
        <v>0</v>
      </c>
      <c r="BN271" s="48">
        <v>0</v>
      </c>
      <c r="BO271" s="48">
        <v>0</v>
      </c>
      <c r="BP271" s="48">
        <v>0</v>
      </c>
      <c r="BQ271" s="48">
        <v>0</v>
      </c>
      <c r="BR271" s="48">
        <v>0</v>
      </c>
      <c r="BS271" s="48">
        <v>0</v>
      </c>
      <c r="BT271" s="48">
        <v>0</v>
      </c>
      <c r="BU271" s="48">
        <v>0</v>
      </c>
      <c r="BV271" s="48">
        <v>0</v>
      </c>
      <c r="BW271" s="48">
        <v>0</v>
      </c>
      <c r="BX271" s="48">
        <v>0</v>
      </c>
      <c r="BY271" s="48">
        <v>0</v>
      </c>
      <c r="BZ271" s="48">
        <v>0</v>
      </c>
      <c r="CA271" s="48">
        <v>0</v>
      </c>
      <c r="CB271" s="48">
        <v>0</v>
      </c>
      <c r="CC271" s="48">
        <v>0</v>
      </c>
      <c r="CD271" s="48">
        <v>0</v>
      </c>
      <c r="CE271" s="48">
        <v>0</v>
      </c>
      <c r="CF271" s="48">
        <v>0</v>
      </c>
      <c r="CG271" s="48">
        <v>0</v>
      </c>
      <c r="CH271" s="48">
        <v>0</v>
      </c>
      <c r="CI271" s="48">
        <v>0</v>
      </c>
      <c r="CJ271" s="48">
        <v>0</v>
      </c>
      <c r="CK271" s="48">
        <v>0</v>
      </c>
      <c r="CL271" s="48">
        <v>0</v>
      </c>
      <c r="CM271" s="48">
        <v>0</v>
      </c>
      <c r="CN271" s="48">
        <v>545.88</v>
      </c>
      <c r="CO271" s="48">
        <v>0</v>
      </c>
      <c r="CP271" s="48">
        <v>0</v>
      </c>
      <c r="CQ271" s="48">
        <v>0</v>
      </c>
      <c r="CR271" s="48">
        <v>0</v>
      </c>
      <c r="CS271" s="48">
        <v>0</v>
      </c>
      <c r="CT271" s="48">
        <v>0</v>
      </c>
      <c r="CU271" s="48">
        <v>0</v>
      </c>
      <c r="CV271" s="48">
        <v>0</v>
      </c>
      <c r="CW271" s="48">
        <v>0</v>
      </c>
      <c r="CX271" s="48">
        <v>0</v>
      </c>
      <c r="CY271" s="48">
        <v>0</v>
      </c>
      <c r="CZ271" s="48">
        <v>0</v>
      </c>
      <c r="DA271" s="48">
        <v>0</v>
      </c>
      <c r="DB271" s="48">
        <v>0</v>
      </c>
      <c r="DC271" s="48">
        <v>0</v>
      </c>
      <c r="DD271" s="48">
        <v>0</v>
      </c>
      <c r="DE271" s="48">
        <f>VLOOKUP($C271,'[2]Analysis 1'!$C$5:$DG$1025,107,FALSE)</f>
        <v>0</v>
      </c>
      <c r="DF271" s="48">
        <f>VLOOKUP($C271,'[2]Analysis 1'!$C$5:$DG$1025,108,FALSE)</f>
        <v>0</v>
      </c>
      <c r="DG271" s="48">
        <f>VLOOKUP($C271,'[2]Analysis 1'!$C$5:$DG$1025,109,FALSE)</f>
        <v>0</v>
      </c>
      <c r="DH271" s="369">
        <f t="shared" si="8"/>
        <v>0</v>
      </c>
    </row>
    <row r="272" spans="1:112">
      <c r="A272" s="357" t="str">
        <f t="shared" si="7"/>
        <v>6720060</v>
      </c>
      <c r="B272" s="350" t="s">
        <v>2457</v>
      </c>
      <c r="C272" s="335" t="s">
        <v>2458</v>
      </c>
      <c r="D272" s="367"/>
      <c r="E272" s="367"/>
      <c r="F272" s="367"/>
      <c r="G272" s="367"/>
      <c r="H272" s="367"/>
      <c r="I272" s="367"/>
      <c r="J272" s="367"/>
      <c r="K272" s="367"/>
      <c r="L272" s="367"/>
      <c r="M272" s="367"/>
      <c r="N272" s="367"/>
      <c r="O272" s="36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c r="BM272" s="48"/>
      <c r="BN272" s="48"/>
      <c r="BO272" s="48"/>
      <c r="BP272" s="48"/>
      <c r="BQ272" s="48"/>
      <c r="BR272" s="48"/>
      <c r="BS272" s="48"/>
      <c r="BT272" s="48"/>
      <c r="BU272" s="48"/>
      <c r="BV272" s="48"/>
      <c r="BW272" s="48"/>
      <c r="BX272" s="48">
        <v>0</v>
      </c>
      <c r="BY272" s="48">
        <v>0</v>
      </c>
      <c r="BZ272" s="48">
        <v>0</v>
      </c>
      <c r="CA272" s="48">
        <v>0</v>
      </c>
      <c r="CB272" s="48">
        <v>0</v>
      </c>
      <c r="CC272" s="48">
        <v>0</v>
      </c>
      <c r="CD272" s="48">
        <v>0</v>
      </c>
      <c r="CE272" s="48">
        <v>0</v>
      </c>
      <c r="CF272" s="48">
        <v>0</v>
      </c>
      <c r="CG272" s="48">
        <v>0</v>
      </c>
      <c r="CH272" s="48">
        <v>0</v>
      </c>
      <c r="CI272" s="48">
        <v>0</v>
      </c>
      <c r="CJ272" s="48">
        <v>0</v>
      </c>
      <c r="CK272" s="48">
        <v>0</v>
      </c>
      <c r="CL272" s="48">
        <v>0</v>
      </c>
      <c r="CM272" s="48">
        <v>0</v>
      </c>
      <c r="CN272" s="48">
        <v>0</v>
      </c>
      <c r="CO272" s="48">
        <v>0</v>
      </c>
      <c r="CP272" s="48">
        <v>0</v>
      </c>
      <c r="CQ272" s="48">
        <v>0</v>
      </c>
      <c r="CR272" s="48">
        <v>0</v>
      </c>
      <c r="CS272" s="48">
        <v>0</v>
      </c>
      <c r="CT272" s="48">
        <v>0</v>
      </c>
      <c r="CU272" s="48">
        <v>0</v>
      </c>
      <c r="CV272" s="48">
        <v>0</v>
      </c>
      <c r="CW272" s="48">
        <v>0</v>
      </c>
      <c r="CX272" s="48">
        <v>0</v>
      </c>
      <c r="CY272" s="48">
        <v>0</v>
      </c>
      <c r="CZ272" s="48">
        <v>0</v>
      </c>
      <c r="DA272" s="48">
        <v>0</v>
      </c>
      <c r="DB272" s="48">
        <v>0</v>
      </c>
      <c r="DC272" s="48">
        <v>0</v>
      </c>
      <c r="DD272" s="48">
        <v>0</v>
      </c>
      <c r="DE272" s="48">
        <f>VLOOKUP($C272,'[2]Analysis 1'!$C$5:$DG$1025,107,FALSE)</f>
        <v>0</v>
      </c>
      <c r="DF272" s="48">
        <f>VLOOKUP($C272,'[2]Analysis 1'!$C$5:$DG$1025,108,FALSE)</f>
        <v>0</v>
      </c>
      <c r="DG272" s="48">
        <f>VLOOKUP($C272,'[2]Analysis 1'!$C$5:$DG$1025,109,FALSE)</f>
        <v>0</v>
      </c>
      <c r="DH272" s="369">
        <f t="shared" si="8"/>
        <v>0</v>
      </c>
    </row>
    <row r="273" spans="1:112">
      <c r="A273" s="357" t="str">
        <f t="shared" si="7"/>
        <v>6720800</v>
      </c>
      <c r="B273" s="350" t="s">
        <v>2083</v>
      </c>
      <c r="C273" s="335" t="s">
        <v>1166</v>
      </c>
      <c r="D273" s="340">
        <v>202.08</v>
      </c>
      <c r="E273" s="340">
        <v>0</v>
      </c>
      <c r="F273" s="340">
        <v>0</v>
      </c>
      <c r="G273" s="340">
        <v>202.08</v>
      </c>
      <c r="H273" s="340">
        <v>0</v>
      </c>
      <c r="I273" s="340">
        <v>0</v>
      </c>
      <c r="J273" s="340">
        <v>3894.52</v>
      </c>
      <c r="K273" s="340">
        <v>0</v>
      </c>
      <c r="L273" s="340">
        <v>0</v>
      </c>
      <c r="M273" s="340">
        <v>0</v>
      </c>
      <c r="N273" s="340">
        <v>1280.31</v>
      </c>
      <c r="O273" s="341">
        <v>2182.09</v>
      </c>
      <c r="P273" s="48">
        <v>1465.66</v>
      </c>
      <c r="Q273" s="48">
        <v>16.45</v>
      </c>
      <c r="R273" s="48">
        <v>1394.11</v>
      </c>
      <c r="S273" s="48">
        <v>67.67</v>
      </c>
      <c r="T273" s="48">
        <v>94.47</v>
      </c>
      <c r="U273" s="48">
        <v>0</v>
      </c>
      <c r="V273" s="48">
        <v>0</v>
      </c>
      <c r="W273" s="48">
        <v>0</v>
      </c>
      <c r="X273" s="48">
        <v>0</v>
      </c>
      <c r="Y273" s="48">
        <v>67.2</v>
      </c>
      <c r="Z273" s="48">
        <v>0</v>
      </c>
      <c r="AA273" s="48">
        <v>0</v>
      </c>
      <c r="AB273" s="48">
        <v>0</v>
      </c>
      <c r="AC273" s="48">
        <v>0</v>
      </c>
      <c r="AD273" s="48">
        <v>513.6</v>
      </c>
      <c r="AE273" s="48">
        <v>128.4</v>
      </c>
      <c r="AF273" s="48">
        <v>128.4</v>
      </c>
      <c r="AG273" s="48">
        <v>128.4</v>
      </c>
      <c r="AH273" s="48">
        <v>128.4</v>
      </c>
      <c r="AI273" s="48">
        <v>128.4</v>
      </c>
      <c r="AJ273" s="48">
        <v>128.4</v>
      </c>
      <c r="AK273" s="48">
        <v>128.4</v>
      </c>
      <c r="AL273" s="48">
        <v>893.4</v>
      </c>
      <c r="AM273" s="48">
        <v>181.95</v>
      </c>
      <c r="AN273" s="48">
        <v>128.4</v>
      </c>
      <c r="AO273" s="48">
        <v>128.4</v>
      </c>
      <c r="AP273" s="48">
        <v>493.08</v>
      </c>
      <c r="AQ273" s="48">
        <v>153.88</v>
      </c>
      <c r="AR273" s="48">
        <v>128.4</v>
      </c>
      <c r="AS273" s="48">
        <v>120</v>
      </c>
      <c r="AT273" s="48">
        <v>136.80000000000001</v>
      </c>
      <c r="AU273" s="48">
        <v>0</v>
      </c>
      <c r="AV273" s="48">
        <v>129</v>
      </c>
      <c r="AW273" s="48">
        <v>129</v>
      </c>
      <c r="AX273" s="48">
        <v>249.6</v>
      </c>
      <c r="AY273" s="48">
        <v>129</v>
      </c>
      <c r="AZ273" s="48">
        <v>129</v>
      </c>
      <c r="BA273" s="48">
        <v>329.55</v>
      </c>
      <c r="BB273" s="48">
        <v>382.46</v>
      </c>
      <c r="BC273" s="48">
        <v>314.07</v>
      </c>
      <c r="BD273" s="48">
        <v>2656.66</v>
      </c>
      <c r="BE273" s="48">
        <v>401.18</v>
      </c>
      <c r="BF273" s="48">
        <v>659.7</v>
      </c>
      <c r="BG273" s="48">
        <v>333.73</v>
      </c>
      <c r="BH273" s="48">
        <v>348.58</v>
      </c>
      <c r="BI273" s="48">
        <v>331.18</v>
      </c>
      <c r="BJ273" s="48">
        <v>-240</v>
      </c>
      <c r="BK273" s="48">
        <v>258</v>
      </c>
      <c r="BL273" s="48">
        <v>349</v>
      </c>
      <c r="BM273" s="48">
        <v>349</v>
      </c>
      <c r="BN273" s="48">
        <v>317.47000000000003</v>
      </c>
      <c r="BO273" s="48">
        <v>362.2</v>
      </c>
      <c r="BP273" s="48">
        <v>342.89</v>
      </c>
      <c r="BQ273" s="48">
        <v>349</v>
      </c>
      <c r="BR273" s="48">
        <v>362.58</v>
      </c>
      <c r="BS273" s="48">
        <v>129</v>
      </c>
      <c r="BT273" s="48">
        <v>593.30999999999995</v>
      </c>
      <c r="BU273" s="48">
        <v>865.34</v>
      </c>
      <c r="BV273" s="48">
        <v>344.3</v>
      </c>
      <c r="BW273" s="48">
        <v>387.29</v>
      </c>
      <c r="BX273" s="48">
        <v>369.01</v>
      </c>
      <c r="BY273" s="48">
        <v>360.01</v>
      </c>
      <c r="BZ273" s="48">
        <v>374.45</v>
      </c>
      <c r="CA273" s="48">
        <v>378.96</v>
      </c>
      <c r="CB273" s="48">
        <v>372.21</v>
      </c>
      <c r="CC273" s="48">
        <v>129</v>
      </c>
      <c r="CD273" s="48">
        <v>376.06</v>
      </c>
      <c r="CE273" s="48">
        <v>394.06</v>
      </c>
      <c r="CF273" s="48">
        <v>376.06</v>
      </c>
      <c r="CG273" s="48">
        <v>378.3</v>
      </c>
      <c r="CH273" s="48">
        <v>385.06</v>
      </c>
      <c r="CI273" s="48">
        <v>369.3</v>
      </c>
      <c r="CJ273" s="48">
        <v>376.06</v>
      </c>
      <c r="CK273" s="48">
        <v>376.06</v>
      </c>
      <c r="CL273" s="48">
        <v>421.01</v>
      </c>
      <c r="CM273" s="48">
        <v>405.45</v>
      </c>
      <c r="CN273" s="48">
        <v>407.31</v>
      </c>
      <c r="CO273" s="48">
        <v>294.45</v>
      </c>
      <c r="CP273" s="48">
        <v>278.31</v>
      </c>
      <c r="CQ273" s="48">
        <v>266.77</v>
      </c>
      <c r="CR273" s="48">
        <v>524.77</v>
      </c>
      <c r="CS273" s="48">
        <v>138.66999999999999</v>
      </c>
      <c r="CT273" s="48">
        <v>553.96</v>
      </c>
      <c r="CU273" s="48">
        <v>452.63</v>
      </c>
      <c r="CV273" s="48">
        <v>434.8</v>
      </c>
      <c r="CW273" s="48">
        <v>438.8</v>
      </c>
      <c r="CX273" s="48">
        <v>282.17</v>
      </c>
      <c r="CY273" s="48">
        <v>749.21</v>
      </c>
      <c r="CZ273" s="48">
        <v>1138.74</v>
      </c>
      <c r="DA273" s="48">
        <v>355.3</v>
      </c>
      <c r="DB273" s="48">
        <v>472.18</v>
      </c>
      <c r="DC273" s="48">
        <v>484.3</v>
      </c>
      <c r="DD273" s="48">
        <v>444.6</v>
      </c>
      <c r="DE273" s="48">
        <f>VLOOKUP($C273,'[2]Analysis 1'!$C$5:$DG$1025,107,FALSE)</f>
        <v>444.25</v>
      </c>
      <c r="DF273" s="48">
        <f>VLOOKUP($C273,'[2]Analysis 1'!$C$5:$DG$1025,108,FALSE)</f>
        <v>323.04000000000002</v>
      </c>
      <c r="DG273" s="48">
        <f>VLOOKUP($C273,'[2]Analysis 1'!$C$5:$DG$1025,109,FALSE)</f>
        <v>315.25</v>
      </c>
      <c r="DH273" s="369">
        <f t="shared" si="8"/>
        <v>5882.64</v>
      </c>
    </row>
    <row r="274" spans="1:112">
      <c r="A274" s="357" t="str">
        <f t="shared" si="7"/>
        <v>6729000</v>
      </c>
      <c r="B274" s="350" t="s">
        <v>2084</v>
      </c>
      <c r="C274" s="335" t="s">
        <v>1167</v>
      </c>
      <c r="D274" s="340">
        <v>0</v>
      </c>
      <c r="E274" s="340">
        <v>0</v>
      </c>
      <c r="F274" s="340">
        <v>0</v>
      </c>
      <c r="G274" s="340">
        <v>0</v>
      </c>
      <c r="H274" s="340">
        <v>0</v>
      </c>
      <c r="I274" s="340">
        <v>0</v>
      </c>
      <c r="J274" s="340">
        <v>-3894.52</v>
      </c>
      <c r="K274" s="340">
        <v>0</v>
      </c>
      <c r="L274" s="340">
        <v>0</v>
      </c>
      <c r="M274" s="340">
        <v>0</v>
      </c>
      <c r="N274" s="340">
        <v>0</v>
      </c>
      <c r="O274" s="341">
        <v>0</v>
      </c>
      <c r="P274" s="48">
        <v>0</v>
      </c>
      <c r="Q274" s="48">
        <v>0</v>
      </c>
      <c r="R274" s="48">
        <v>0</v>
      </c>
      <c r="S274" s="48">
        <v>0</v>
      </c>
      <c r="T274" s="48">
        <v>0</v>
      </c>
      <c r="U274" s="48">
        <v>0</v>
      </c>
      <c r="V274" s="48">
        <v>0</v>
      </c>
      <c r="W274" s="48">
        <v>0</v>
      </c>
      <c r="X274" s="48">
        <v>0</v>
      </c>
      <c r="Y274" s="48">
        <v>0</v>
      </c>
      <c r="Z274" s="48">
        <v>0</v>
      </c>
      <c r="AA274" s="48">
        <v>0</v>
      </c>
      <c r="AB274" s="48">
        <v>1</v>
      </c>
      <c r="AC274" s="48">
        <v>2</v>
      </c>
      <c r="AD274" s="48">
        <v>3</v>
      </c>
      <c r="AE274" s="48">
        <v>0</v>
      </c>
      <c r="AF274" s="48">
        <v>0</v>
      </c>
      <c r="AG274" s="48">
        <v>0</v>
      </c>
      <c r="AH274" s="48">
        <v>0</v>
      </c>
      <c r="AI274" s="48">
        <v>0</v>
      </c>
      <c r="AJ274" s="48">
        <v>0</v>
      </c>
      <c r="AK274" s="48">
        <v>0</v>
      </c>
      <c r="AL274" s="48">
        <v>0</v>
      </c>
      <c r="AM274" s="48">
        <v>0</v>
      </c>
      <c r="AN274" s="48">
        <v>0</v>
      </c>
      <c r="AO274" s="48">
        <v>0</v>
      </c>
      <c r="AP274" s="48">
        <v>0</v>
      </c>
      <c r="AQ274" s="48">
        <v>0</v>
      </c>
      <c r="AR274" s="48">
        <v>0</v>
      </c>
      <c r="AS274" s="48">
        <v>0</v>
      </c>
      <c r="AT274" s="48">
        <v>0</v>
      </c>
      <c r="AU274" s="48">
        <v>0</v>
      </c>
      <c r="AV274" s="48">
        <v>0</v>
      </c>
      <c r="AW274" s="48">
        <v>0</v>
      </c>
      <c r="AX274" s="48">
        <v>0</v>
      </c>
      <c r="AY274" s="48">
        <v>0</v>
      </c>
      <c r="AZ274" s="48">
        <v>0</v>
      </c>
      <c r="BA274" s="48">
        <v>-8.4</v>
      </c>
      <c r="BB274" s="48">
        <v>-240</v>
      </c>
      <c r="BC274" s="48">
        <v>0</v>
      </c>
      <c r="BD274" s="48">
        <v>0</v>
      </c>
      <c r="BE274" s="48">
        <v>0</v>
      </c>
      <c r="BF274" s="48">
        <v>0</v>
      </c>
      <c r="BG274" s="48">
        <v>0</v>
      </c>
      <c r="BH274" s="48">
        <v>0</v>
      </c>
      <c r="BI274" s="48">
        <v>8.4</v>
      </c>
      <c r="BJ274" s="48">
        <v>240</v>
      </c>
      <c r="BK274" s="48">
        <v>0</v>
      </c>
      <c r="BL274" s="48">
        <v>0</v>
      </c>
      <c r="BM274" s="48">
        <v>0</v>
      </c>
      <c r="BN274" s="48">
        <v>0</v>
      </c>
      <c r="BO274" s="48">
        <v>0</v>
      </c>
      <c r="BP274" s="48">
        <v>0</v>
      </c>
      <c r="BQ274" s="48">
        <v>0</v>
      </c>
      <c r="BR274" s="48">
        <v>0</v>
      </c>
      <c r="BS274" s="48">
        <v>0</v>
      </c>
      <c r="BT274" s="48">
        <v>0</v>
      </c>
      <c r="BU274" s="48">
        <v>0</v>
      </c>
      <c r="BV274" s="48">
        <v>0</v>
      </c>
      <c r="BW274" s="48">
        <v>0</v>
      </c>
      <c r="BX274" s="48">
        <v>0</v>
      </c>
      <c r="BY274" s="48">
        <v>0</v>
      </c>
      <c r="BZ274" s="48">
        <v>0</v>
      </c>
      <c r="CA274" s="48">
        <v>0</v>
      </c>
      <c r="CB274" s="48">
        <v>0</v>
      </c>
      <c r="CC274" s="48">
        <v>0</v>
      </c>
      <c r="CD274" s="48">
        <v>0</v>
      </c>
      <c r="CE274" s="48">
        <v>0</v>
      </c>
      <c r="CF274" s="48">
        <v>0</v>
      </c>
      <c r="CG274" s="48">
        <v>0</v>
      </c>
      <c r="CH274" s="48">
        <v>0</v>
      </c>
      <c r="CI274" s="48">
        <v>0</v>
      </c>
      <c r="CJ274" s="48">
        <v>0</v>
      </c>
      <c r="CK274" s="48">
        <v>0</v>
      </c>
      <c r="CL274" s="48">
        <v>0</v>
      </c>
      <c r="CM274" s="48">
        <v>0</v>
      </c>
      <c r="CN274" s="48">
        <v>0</v>
      </c>
      <c r="CO274" s="48">
        <v>0</v>
      </c>
      <c r="CP274" s="48">
        <v>0</v>
      </c>
      <c r="CQ274" s="48">
        <v>0</v>
      </c>
      <c r="CR274" s="48">
        <v>0</v>
      </c>
      <c r="CS274" s="48">
        <v>0</v>
      </c>
      <c r="CT274" s="48">
        <v>0</v>
      </c>
      <c r="CU274" s="48">
        <v>0</v>
      </c>
      <c r="CV274" s="48">
        <v>0</v>
      </c>
      <c r="CW274" s="48">
        <v>0</v>
      </c>
      <c r="CX274" s="48">
        <v>0</v>
      </c>
      <c r="CY274" s="48">
        <v>0</v>
      </c>
      <c r="CZ274" s="48">
        <v>0</v>
      </c>
      <c r="DA274" s="48">
        <v>0</v>
      </c>
      <c r="DB274" s="48">
        <v>0</v>
      </c>
      <c r="DC274" s="48">
        <v>0</v>
      </c>
      <c r="DD274" s="48">
        <v>0</v>
      </c>
      <c r="DE274" s="48">
        <f>VLOOKUP($C274,'[2]Analysis 1'!$C$5:$DG$1025,107,FALSE)</f>
        <v>0</v>
      </c>
      <c r="DF274" s="48">
        <f>VLOOKUP($C274,'[2]Analysis 1'!$C$5:$DG$1025,108,FALSE)</f>
        <v>0</v>
      </c>
      <c r="DG274" s="48">
        <f>VLOOKUP($C274,'[2]Analysis 1'!$C$5:$DG$1025,109,FALSE)</f>
        <v>0</v>
      </c>
      <c r="DH274" s="369">
        <f t="shared" si="8"/>
        <v>0</v>
      </c>
    </row>
    <row r="275" spans="1:112">
      <c r="A275" s="357" t="str">
        <f t="shared" si="7"/>
        <v>6730010</v>
      </c>
      <c r="B275" s="350" t="s">
        <v>2085</v>
      </c>
      <c r="C275" s="335" t="s">
        <v>1168</v>
      </c>
      <c r="D275" s="340">
        <v>38582.300000000003</v>
      </c>
      <c r="E275" s="340">
        <v>32458.61</v>
      </c>
      <c r="F275" s="340">
        <v>27738.880000000001</v>
      </c>
      <c r="G275" s="340">
        <v>2077.59</v>
      </c>
      <c r="H275" s="340">
        <v>44902.23</v>
      </c>
      <c r="I275" s="340">
        <v>28939.01</v>
      </c>
      <c r="J275" s="340">
        <v>52039.06</v>
      </c>
      <c r="K275" s="340">
        <v>39061.370000000003</v>
      </c>
      <c r="L275" s="340">
        <v>27598.14</v>
      </c>
      <c r="M275" s="340">
        <v>56319.28</v>
      </c>
      <c r="N275" s="340">
        <v>19776.62</v>
      </c>
      <c r="O275" s="341">
        <v>39070.19</v>
      </c>
      <c r="P275" s="48">
        <v>38729.360000000001</v>
      </c>
      <c r="Q275" s="48">
        <v>26891.119999999999</v>
      </c>
      <c r="R275" s="48">
        <v>39443.61</v>
      </c>
      <c r="S275" s="48">
        <v>30166.3</v>
      </c>
      <c r="T275" s="48">
        <v>22979.96</v>
      </c>
      <c r="U275" s="48">
        <v>46305.95</v>
      </c>
      <c r="V275" s="48">
        <v>37873.33</v>
      </c>
      <c r="W275" s="48">
        <v>27001.97</v>
      </c>
      <c r="X275" s="48">
        <v>47023.82</v>
      </c>
      <c r="Y275" s="48">
        <v>27943.84</v>
      </c>
      <c r="Z275" s="48">
        <v>31362.44</v>
      </c>
      <c r="AA275" s="48">
        <v>165929.21</v>
      </c>
      <c r="AB275" s="48">
        <v>30390.48</v>
      </c>
      <c r="AC275" s="48">
        <v>31989.46</v>
      </c>
      <c r="AD275" s="48">
        <v>31325.27</v>
      </c>
      <c r="AE275" s="48">
        <v>38089.64</v>
      </c>
      <c r="AF275" s="48">
        <v>29155.01</v>
      </c>
      <c r="AG275" s="48">
        <v>32998.230000000003</v>
      </c>
      <c r="AH275" s="48">
        <v>32584.7</v>
      </c>
      <c r="AI275" s="48">
        <v>43469.22</v>
      </c>
      <c r="AJ275" s="48">
        <v>36691.1</v>
      </c>
      <c r="AK275" s="48">
        <v>34333.370000000003</v>
      </c>
      <c r="AL275" s="48">
        <v>36553.589999999997</v>
      </c>
      <c r="AM275" s="48">
        <v>39447.35</v>
      </c>
      <c r="AN275" s="48">
        <v>29785.599999999999</v>
      </c>
      <c r="AO275" s="48">
        <v>33462.910000000003</v>
      </c>
      <c r="AP275" s="48">
        <v>29175.08</v>
      </c>
      <c r="AQ275" s="48">
        <v>32877.9</v>
      </c>
      <c r="AR275" s="48">
        <v>32154.23</v>
      </c>
      <c r="AS275" s="48">
        <v>38178.910000000003</v>
      </c>
      <c r="AT275" s="48">
        <v>34915.31</v>
      </c>
      <c r="AU275" s="48">
        <v>33532.43</v>
      </c>
      <c r="AV275" s="48">
        <v>33316.080000000002</v>
      </c>
      <c r="AW275" s="48">
        <v>37530.660000000003</v>
      </c>
      <c r="AX275" s="48">
        <v>31691.599999999999</v>
      </c>
      <c r="AY275" s="48">
        <v>33210.42</v>
      </c>
      <c r="AZ275" s="48">
        <v>38026.519999999997</v>
      </c>
      <c r="BA275" s="48">
        <v>25705.35</v>
      </c>
      <c r="BB275" s="48">
        <v>27658.44</v>
      </c>
      <c r="BC275" s="48">
        <v>35701.19</v>
      </c>
      <c r="BD275" s="48">
        <v>25243.61</v>
      </c>
      <c r="BE275" s="48">
        <v>41066.6</v>
      </c>
      <c r="BF275" s="48">
        <v>27509.97</v>
      </c>
      <c r="BG275" s="48">
        <v>32781.61</v>
      </c>
      <c r="BH275" s="48">
        <v>38432.54</v>
      </c>
      <c r="BI275" s="48">
        <v>31151.3</v>
      </c>
      <c r="BJ275" s="48">
        <v>25897.56</v>
      </c>
      <c r="BK275" s="48">
        <v>44002.09</v>
      </c>
      <c r="BL275" s="48">
        <v>25193.31</v>
      </c>
      <c r="BM275" s="48">
        <v>27887.759999999998</v>
      </c>
      <c r="BN275" s="48">
        <v>32195.08</v>
      </c>
      <c r="BO275" s="48">
        <v>27325.77</v>
      </c>
      <c r="BP275" s="48">
        <v>30371.39</v>
      </c>
      <c r="BQ275" s="48">
        <v>28483.759999999998</v>
      </c>
      <c r="BR275" s="48">
        <v>26645.26</v>
      </c>
      <c r="BS275" s="48">
        <v>24088.68</v>
      </c>
      <c r="BT275" s="48">
        <v>51231.95</v>
      </c>
      <c r="BU275" s="48">
        <v>44542.87</v>
      </c>
      <c r="BV275" s="48">
        <v>23037.64</v>
      </c>
      <c r="BW275" s="48">
        <v>30776.18</v>
      </c>
      <c r="BX275" s="48">
        <v>28210.39</v>
      </c>
      <c r="BY275" s="48">
        <v>26817.5</v>
      </c>
      <c r="BZ275" s="48">
        <v>24689.16</v>
      </c>
      <c r="CA275" s="48">
        <v>25792.02</v>
      </c>
      <c r="CB275" s="48">
        <v>24909.58</v>
      </c>
      <c r="CC275" s="48">
        <v>27460.799999999999</v>
      </c>
      <c r="CD275" s="48">
        <v>28563.82</v>
      </c>
      <c r="CE275" s="48">
        <v>32688.75</v>
      </c>
      <c r="CF275" s="48">
        <v>21140.26</v>
      </c>
      <c r="CG275" s="48">
        <v>20877.09</v>
      </c>
      <c r="CH275" s="48">
        <v>51214.92</v>
      </c>
      <c r="CI275" s="48">
        <v>26184.66</v>
      </c>
      <c r="CJ275" s="48">
        <v>70697.070000000007</v>
      </c>
      <c r="CK275" s="48">
        <v>34231.980000000003</v>
      </c>
      <c r="CL275" s="48">
        <v>26457.49</v>
      </c>
      <c r="CM275" s="48">
        <v>40135.96</v>
      </c>
      <c r="CN275" s="48">
        <v>21958.79</v>
      </c>
      <c r="CO275" s="48">
        <v>46467.76</v>
      </c>
      <c r="CP275" s="48">
        <v>41887.339999999997</v>
      </c>
      <c r="CQ275" s="48">
        <v>17989.57</v>
      </c>
      <c r="CR275" s="48">
        <v>72135.22</v>
      </c>
      <c r="CS275" s="48">
        <v>46795.87</v>
      </c>
      <c r="CT275" s="48">
        <v>27883.040000000001</v>
      </c>
      <c r="CU275" s="48">
        <v>28558.39</v>
      </c>
      <c r="CV275" s="48">
        <v>36723.19</v>
      </c>
      <c r="CW275" s="48">
        <v>60913.96</v>
      </c>
      <c r="CX275" s="48">
        <v>50639.38</v>
      </c>
      <c r="CY275" s="48">
        <v>46097.59</v>
      </c>
      <c r="CZ275" s="48">
        <v>39539.360000000001</v>
      </c>
      <c r="DA275" s="48">
        <v>30133.81</v>
      </c>
      <c r="DB275" s="48">
        <v>47552.7</v>
      </c>
      <c r="DC275" s="48">
        <v>53499.97</v>
      </c>
      <c r="DD275" s="48">
        <v>48435.74</v>
      </c>
      <c r="DE275" s="48">
        <f>VLOOKUP($C275,'[2]Analysis 1'!$C$5:$DG$1025,107,FALSE)</f>
        <v>49555.839999999997</v>
      </c>
      <c r="DF275" s="48">
        <f>VLOOKUP($C275,'[2]Analysis 1'!$C$5:$DG$1025,108,FALSE)</f>
        <v>37429.24</v>
      </c>
      <c r="DG275" s="48">
        <f>VLOOKUP($C275,'[2]Analysis 1'!$C$5:$DG$1025,109,FALSE)</f>
        <v>51886.48</v>
      </c>
      <c r="DH275" s="369">
        <f t="shared" si="8"/>
        <v>552407.25999999989</v>
      </c>
    </row>
    <row r="276" spans="1:112">
      <c r="A276" s="357" t="str">
        <f t="shared" si="7"/>
        <v>6730020</v>
      </c>
      <c r="B276" s="350" t="s">
        <v>2086</v>
      </c>
      <c r="C276" s="335" t="s">
        <v>1169</v>
      </c>
      <c r="D276" s="367">
        <v>0</v>
      </c>
      <c r="E276" s="367">
        <v>0</v>
      </c>
      <c r="F276" s="367">
        <v>0</v>
      </c>
      <c r="G276" s="367">
        <v>0</v>
      </c>
      <c r="H276" s="367">
        <v>0</v>
      </c>
      <c r="I276" s="367">
        <v>0</v>
      </c>
      <c r="J276" s="367">
        <v>0</v>
      </c>
      <c r="K276" s="367">
        <v>13.22</v>
      </c>
      <c r="L276" s="367">
        <v>0</v>
      </c>
      <c r="M276" s="367">
        <v>0</v>
      </c>
      <c r="N276" s="367">
        <v>0</v>
      </c>
      <c r="O276" s="368">
        <v>0</v>
      </c>
      <c r="P276" s="48">
        <v>0</v>
      </c>
      <c r="Q276" s="48">
        <v>0</v>
      </c>
      <c r="R276" s="48">
        <v>0</v>
      </c>
      <c r="S276" s="48">
        <v>0</v>
      </c>
      <c r="T276" s="48">
        <v>0</v>
      </c>
      <c r="U276" s="48">
        <v>0</v>
      </c>
      <c r="V276" s="48">
        <v>0</v>
      </c>
      <c r="W276" s="48">
        <v>0</v>
      </c>
      <c r="X276" s="48">
        <v>0</v>
      </c>
      <c r="Y276" s="48">
        <v>0</v>
      </c>
      <c r="Z276" s="48">
        <v>0</v>
      </c>
      <c r="AA276" s="48">
        <v>0</v>
      </c>
      <c r="AB276" s="48">
        <v>0</v>
      </c>
      <c r="AC276" s="48">
        <v>0</v>
      </c>
      <c r="AD276" s="48">
        <v>0</v>
      </c>
      <c r="AE276" s="48">
        <v>0</v>
      </c>
      <c r="AF276" s="48">
        <v>0</v>
      </c>
      <c r="AG276" s="48">
        <v>0</v>
      </c>
      <c r="AH276" s="48">
        <v>0</v>
      </c>
      <c r="AI276" s="48">
        <v>0</v>
      </c>
      <c r="AJ276" s="48">
        <v>0</v>
      </c>
      <c r="AK276" s="48">
        <v>0</v>
      </c>
      <c r="AL276" s="48">
        <v>0</v>
      </c>
      <c r="AM276" s="48">
        <v>48.02</v>
      </c>
      <c r="AN276" s="48">
        <v>0</v>
      </c>
      <c r="AO276" s="48">
        <v>14.42</v>
      </c>
      <c r="AP276" s="48">
        <v>0</v>
      </c>
      <c r="AQ276" s="48">
        <v>0</v>
      </c>
      <c r="AR276" s="48">
        <v>0</v>
      </c>
      <c r="AS276" s="48">
        <v>0</v>
      </c>
      <c r="AT276" s="48">
        <v>24.01</v>
      </c>
      <c r="AU276" s="48">
        <v>0</v>
      </c>
      <c r="AV276" s="48">
        <v>0</v>
      </c>
      <c r="AW276" s="48">
        <v>0</v>
      </c>
      <c r="AX276" s="48">
        <v>0</v>
      </c>
      <c r="AY276" s="48">
        <v>0</v>
      </c>
      <c r="AZ276" s="48">
        <v>138.41999999999999</v>
      </c>
      <c r="BA276" s="48">
        <v>57.31</v>
      </c>
      <c r="BB276" s="48">
        <v>970.05</v>
      </c>
      <c r="BC276" s="48">
        <v>18.77</v>
      </c>
      <c r="BD276" s="48">
        <v>32.08</v>
      </c>
      <c r="BE276" s="48">
        <v>64.209999999999994</v>
      </c>
      <c r="BF276" s="48">
        <v>71.739999999999995</v>
      </c>
      <c r="BG276" s="48">
        <v>29.38</v>
      </c>
      <c r="BH276" s="48">
        <v>789.31</v>
      </c>
      <c r="BI276" s="48">
        <v>95.87</v>
      </c>
      <c r="BJ276" s="48">
        <v>0</v>
      </c>
      <c r="BK276" s="48">
        <v>0</v>
      </c>
      <c r="BL276" s="48">
        <v>0</v>
      </c>
      <c r="BM276" s="48">
        <v>0</v>
      </c>
      <c r="BN276" s="48">
        <v>0</v>
      </c>
      <c r="BO276" s="48">
        <v>0</v>
      </c>
      <c r="BP276" s="48">
        <v>0</v>
      </c>
      <c r="BQ276" s="48">
        <v>0</v>
      </c>
      <c r="BR276" s="48">
        <v>0</v>
      </c>
      <c r="BS276" s="48">
        <v>0</v>
      </c>
      <c r="BT276" s="48">
        <v>0</v>
      </c>
      <c r="BU276" s="48">
        <v>0</v>
      </c>
      <c r="BV276" s="48">
        <v>0</v>
      </c>
      <c r="BW276" s="48">
        <v>0</v>
      </c>
      <c r="BX276" s="48">
        <v>0</v>
      </c>
      <c r="BY276" s="48">
        <v>0</v>
      </c>
      <c r="BZ276" s="48">
        <v>0</v>
      </c>
      <c r="CA276" s="48">
        <v>23.08</v>
      </c>
      <c r="CB276" s="48">
        <v>24.68</v>
      </c>
      <c r="CC276" s="48">
        <v>0</v>
      </c>
      <c r="CD276" s="48">
        <v>0</v>
      </c>
      <c r="CE276" s="48">
        <v>0</v>
      </c>
      <c r="CF276" s="48">
        <v>0</v>
      </c>
      <c r="CG276" s="48">
        <v>0</v>
      </c>
      <c r="CH276" s="48">
        <v>0</v>
      </c>
      <c r="CI276" s="48">
        <v>0</v>
      </c>
      <c r="CJ276" s="48">
        <v>53.41</v>
      </c>
      <c r="CK276" s="48">
        <v>0</v>
      </c>
      <c r="CL276" s="48">
        <v>0</v>
      </c>
      <c r="CM276" s="48">
        <v>0</v>
      </c>
      <c r="CN276" s="48">
        <v>0</v>
      </c>
      <c r="CO276" s="48">
        <v>0</v>
      </c>
      <c r="CP276" s="48">
        <v>0</v>
      </c>
      <c r="CQ276" s="48">
        <v>0</v>
      </c>
      <c r="CR276" s="48">
        <v>0</v>
      </c>
      <c r="CS276" s="48">
        <v>0</v>
      </c>
      <c r="CT276" s="48">
        <v>0</v>
      </c>
      <c r="CU276" s="48">
        <v>0</v>
      </c>
      <c r="CV276" s="48">
        <v>0</v>
      </c>
      <c r="CW276" s="48">
        <v>0</v>
      </c>
      <c r="CX276" s="48">
        <v>0</v>
      </c>
      <c r="CY276" s="48">
        <v>0</v>
      </c>
      <c r="CZ276" s="48">
        <v>0</v>
      </c>
      <c r="DA276" s="48">
        <v>0</v>
      </c>
      <c r="DB276" s="48">
        <v>0</v>
      </c>
      <c r="DC276" s="48">
        <v>0</v>
      </c>
      <c r="DD276" s="48">
        <v>0</v>
      </c>
      <c r="DE276" s="48">
        <f>VLOOKUP($C276,'[2]Analysis 1'!$C$5:$DG$1025,107,FALSE)</f>
        <v>0</v>
      </c>
      <c r="DF276" s="48">
        <f>VLOOKUP($C276,'[2]Analysis 1'!$C$5:$DG$1025,108,FALSE)</f>
        <v>0</v>
      </c>
      <c r="DG276" s="48">
        <f>VLOOKUP($C276,'[2]Analysis 1'!$C$5:$DG$1025,109,FALSE)</f>
        <v>0</v>
      </c>
      <c r="DH276" s="369">
        <f t="shared" si="8"/>
        <v>0</v>
      </c>
    </row>
    <row r="277" spans="1:112">
      <c r="A277" s="357" t="str">
        <f t="shared" si="7"/>
        <v>6730030</v>
      </c>
      <c r="B277" s="350" t="s">
        <v>2087</v>
      </c>
      <c r="C277" s="335" t="s">
        <v>1170</v>
      </c>
      <c r="D277" s="367">
        <v>176788.81</v>
      </c>
      <c r="E277" s="367">
        <v>145555.42000000001</v>
      </c>
      <c r="F277" s="367">
        <v>161197.93</v>
      </c>
      <c r="G277" s="367">
        <v>126214.65</v>
      </c>
      <c r="H277" s="367">
        <v>147677.04</v>
      </c>
      <c r="I277" s="367">
        <v>149750.67000000001</v>
      </c>
      <c r="J277" s="367">
        <v>155734.81</v>
      </c>
      <c r="K277" s="367">
        <v>137475.04999999999</v>
      </c>
      <c r="L277" s="367">
        <v>167229.82999999999</v>
      </c>
      <c r="M277" s="367">
        <v>151027.67000000001</v>
      </c>
      <c r="N277" s="367">
        <v>147217.85</v>
      </c>
      <c r="O277" s="368">
        <v>143483.09</v>
      </c>
      <c r="P277" s="48">
        <v>146617.5</v>
      </c>
      <c r="Q277" s="48">
        <v>133016.59</v>
      </c>
      <c r="R277" s="48">
        <v>149443.44</v>
      </c>
      <c r="S277" s="48">
        <v>123127.17</v>
      </c>
      <c r="T277" s="48">
        <v>181405.97</v>
      </c>
      <c r="U277" s="48">
        <v>153520.53</v>
      </c>
      <c r="V277" s="48">
        <v>125888.78</v>
      </c>
      <c r="W277" s="48">
        <v>139733.49</v>
      </c>
      <c r="X277" s="48">
        <v>139229.32</v>
      </c>
      <c r="Y277" s="48">
        <v>130513.05</v>
      </c>
      <c r="Z277" s="48">
        <v>138718.28</v>
      </c>
      <c r="AA277" s="48">
        <v>142083.19</v>
      </c>
      <c r="AB277" s="48">
        <v>138364.07</v>
      </c>
      <c r="AC277" s="48">
        <v>133533.26</v>
      </c>
      <c r="AD277" s="48">
        <v>145948.32999999999</v>
      </c>
      <c r="AE277" s="48">
        <v>135603.72</v>
      </c>
      <c r="AF277" s="48">
        <v>125423.99</v>
      </c>
      <c r="AG277" s="48">
        <v>146671.71</v>
      </c>
      <c r="AH277" s="48">
        <v>141236.49</v>
      </c>
      <c r="AI277" s="48">
        <v>118139.84</v>
      </c>
      <c r="AJ277" s="48">
        <v>163599.39000000001</v>
      </c>
      <c r="AK277" s="48">
        <v>136204.46</v>
      </c>
      <c r="AL277" s="48">
        <v>140349.26</v>
      </c>
      <c r="AM277" s="48">
        <v>136928.60999999999</v>
      </c>
      <c r="AN277" s="48">
        <v>123011.08</v>
      </c>
      <c r="AO277" s="48">
        <v>145641.01999999999</v>
      </c>
      <c r="AP277" s="48">
        <v>137982.6</v>
      </c>
      <c r="AQ277" s="48">
        <v>139182.43</v>
      </c>
      <c r="AR277" s="48">
        <v>141378.19</v>
      </c>
      <c r="AS277" s="48">
        <v>168620.7</v>
      </c>
      <c r="AT277" s="48">
        <v>137143.38</v>
      </c>
      <c r="AU277" s="48">
        <v>149938.54999999999</v>
      </c>
      <c r="AV277" s="48">
        <v>137088.44</v>
      </c>
      <c r="AW277" s="48">
        <v>139200.04</v>
      </c>
      <c r="AX277" s="48">
        <v>142470.76999999999</v>
      </c>
      <c r="AY277" s="48">
        <v>124478.6</v>
      </c>
      <c r="AZ277" s="48">
        <v>138374.63</v>
      </c>
      <c r="BA277" s="48">
        <v>138280.82</v>
      </c>
      <c r="BB277" s="48">
        <v>141506.64000000001</v>
      </c>
      <c r="BC277" s="48">
        <v>136381.26999999999</v>
      </c>
      <c r="BD277" s="48">
        <v>137852.01999999999</v>
      </c>
      <c r="BE277" s="48">
        <v>130842.25</v>
      </c>
      <c r="BF277" s="48">
        <v>138334.6</v>
      </c>
      <c r="BG277" s="48">
        <v>144030.18</v>
      </c>
      <c r="BH277" s="48">
        <v>201401.99</v>
      </c>
      <c r="BI277" s="48">
        <v>175894.5</v>
      </c>
      <c r="BJ277" s="48">
        <v>160234.70000000001</v>
      </c>
      <c r="BK277" s="48">
        <v>138029.57999999999</v>
      </c>
      <c r="BL277" s="48">
        <v>158529.16</v>
      </c>
      <c r="BM277" s="48">
        <v>148842.38</v>
      </c>
      <c r="BN277" s="48">
        <v>158694.07</v>
      </c>
      <c r="BO277" s="48">
        <v>165537.39000000001</v>
      </c>
      <c r="BP277" s="48">
        <v>164345.19</v>
      </c>
      <c r="BQ277" s="48">
        <v>166354.26999999999</v>
      </c>
      <c r="BR277" s="48">
        <v>173096.38</v>
      </c>
      <c r="BS277" s="48">
        <v>172676.2</v>
      </c>
      <c r="BT277" s="48">
        <v>169425.88</v>
      </c>
      <c r="BU277" s="48">
        <v>175355.68</v>
      </c>
      <c r="BV277" s="48">
        <v>160127.63</v>
      </c>
      <c r="BW277" s="48">
        <v>194068.06</v>
      </c>
      <c r="BX277" s="48">
        <v>175483.01</v>
      </c>
      <c r="BY277" s="48">
        <v>178595.39</v>
      </c>
      <c r="BZ277" s="48">
        <v>170596.56</v>
      </c>
      <c r="CA277" s="48">
        <v>171965.4</v>
      </c>
      <c r="CB277" s="48">
        <v>153265.34</v>
      </c>
      <c r="CC277" s="48">
        <v>216286.97</v>
      </c>
      <c r="CD277" s="48">
        <v>179080.1</v>
      </c>
      <c r="CE277" s="48">
        <v>166829.85999999999</v>
      </c>
      <c r="CF277" s="48">
        <v>202440.53</v>
      </c>
      <c r="CG277" s="48">
        <v>185784.2</v>
      </c>
      <c r="CH277" s="48">
        <v>190125.42</v>
      </c>
      <c r="CI277" s="48">
        <v>188999.67999999999</v>
      </c>
      <c r="CJ277" s="48">
        <v>186271.83</v>
      </c>
      <c r="CK277" s="48">
        <v>197590.1</v>
      </c>
      <c r="CL277" s="48">
        <v>195323.95</v>
      </c>
      <c r="CM277" s="48">
        <v>196774.11</v>
      </c>
      <c r="CN277" s="48">
        <v>192961.76</v>
      </c>
      <c r="CO277" s="48">
        <v>194595.65</v>
      </c>
      <c r="CP277" s="48">
        <v>208472.32000000001</v>
      </c>
      <c r="CQ277" s="48">
        <v>206692.66</v>
      </c>
      <c r="CR277" s="48">
        <v>197976.18</v>
      </c>
      <c r="CS277" s="48">
        <v>201793.24</v>
      </c>
      <c r="CT277" s="48">
        <v>234118.61</v>
      </c>
      <c r="CU277" s="48">
        <v>203116.25</v>
      </c>
      <c r="CV277" s="48">
        <v>192083.52</v>
      </c>
      <c r="CW277" s="48">
        <v>197950.32</v>
      </c>
      <c r="CX277" s="48">
        <v>195074.99</v>
      </c>
      <c r="CY277" s="48">
        <v>200962.13</v>
      </c>
      <c r="CZ277" s="48">
        <v>191977.9</v>
      </c>
      <c r="DA277" s="48">
        <v>217519.63</v>
      </c>
      <c r="DB277" s="48">
        <v>196946.76</v>
      </c>
      <c r="DC277" s="48">
        <v>172578.56</v>
      </c>
      <c r="DD277" s="48">
        <v>157751.04999999999</v>
      </c>
      <c r="DE277" s="48">
        <f>VLOOKUP($C277,'[2]Analysis 1'!$C$5:$DG$1025,107,FALSE)</f>
        <v>566558.18999999994</v>
      </c>
      <c r="DF277" s="48">
        <f>VLOOKUP($C277,'[2]Analysis 1'!$C$5:$DG$1025,108,FALSE)</f>
        <v>194350.97</v>
      </c>
      <c r="DG277" s="48">
        <f>VLOOKUP($C277,'[2]Analysis 1'!$C$5:$DG$1025,109,FALSE)</f>
        <v>199157.46</v>
      </c>
      <c r="DH277" s="369">
        <f t="shared" si="8"/>
        <v>2682911.48</v>
      </c>
    </row>
    <row r="278" spans="1:112">
      <c r="A278" s="357" t="str">
        <f t="shared" si="7"/>
        <v>6730050</v>
      </c>
      <c r="B278" s="350" t="s">
        <v>2088</v>
      </c>
      <c r="C278" s="335" t="s">
        <v>1171</v>
      </c>
      <c r="D278" s="340">
        <v>8534.77</v>
      </c>
      <c r="E278" s="340">
        <v>5612.72</v>
      </c>
      <c r="F278" s="340">
        <v>6202.99</v>
      </c>
      <c r="G278" s="340">
        <v>6960.79</v>
      </c>
      <c r="H278" s="340">
        <v>8077.71</v>
      </c>
      <c r="I278" s="340">
        <v>7221.53</v>
      </c>
      <c r="J278" s="340">
        <v>7673.15</v>
      </c>
      <c r="K278" s="340">
        <v>6380.41</v>
      </c>
      <c r="L278" s="340">
        <v>5572.29</v>
      </c>
      <c r="M278" s="340">
        <v>10429.129999999999</v>
      </c>
      <c r="N278" s="340">
        <v>6175</v>
      </c>
      <c r="O278" s="341">
        <v>7130.14</v>
      </c>
      <c r="P278" s="48">
        <v>6312.31</v>
      </c>
      <c r="Q278" s="48">
        <v>5424.86</v>
      </c>
      <c r="R278" s="48">
        <v>5363.7</v>
      </c>
      <c r="S278" s="48">
        <v>9008.58</v>
      </c>
      <c r="T278" s="48">
        <v>5284.79</v>
      </c>
      <c r="U278" s="48">
        <v>4934.5600000000004</v>
      </c>
      <c r="V278" s="48">
        <v>10712.86</v>
      </c>
      <c r="W278" s="48">
        <v>4417.76</v>
      </c>
      <c r="X278" s="48">
        <v>4508.1400000000003</v>
      </c>
      <c r="Y278" s="48">
        <v>7800.69</v>
      </c>
      <c r="Z278" s="48">
        <v>5221.92</v>
      </c>
      <c r="AA278" s="48">
        <v>5081.9399999999996</v>
      </c>
      <c r="AB278" s="48">
        <v>6850.96</v>
      </c>
      <c r="AC278" s="48">
        <v>5052.87</v>
      </c>
      <c r="AD278" s="48">
        <v>5593.55</v>
      </c>
      <c r="AE278" s="48">
        <v>7261.46</v>
      </c>
      <c r="AF278" s="48">
        <v>6841.84</v>
      </c>
      <c r="AG278" s="48">
        <v>7098.02</v>
      </c>
      <c r="AH278" s="48">
        <v>6902.9</v>
      </c>
      <c r="AI278" s="48">
        <v>5137.8599999999997</v>
      </c>
      <c r="AJ278" s="48">
        <v>10487.3</v>
      </c>
      <c r="AK278" s="48">
        <v>3558.62</v>
      </c>
      <c r="AL278" s="48">
        <v>8055.54</v>
      </c>
      <c r="AM278" s="48">
        <v>6733.78</v>
      </c>
      <c r="AN278" s="48">
        <v>11943.24</v>
      </c>
      <c r="AO278" s="48">
        <v>4077.8</v>
      </c>
      <c r="AP278" s="48">
        <v>3081.83</v>
      </c>
      <c r="AQ278" s="48">
        <v>4353.08</v>
      </c>
      <c r="AR278" s="48">
        <v>4322.3100000000004</v>
      </c>
      <c r="AS278" s="48">
        <v>2313.4</v>
      </c>
      <c r="AT278" s="48">
        <v>4553.32</v>
      </c>
      <c r="AU278" s="48">
        <v>3450.01</v>
      </c>
      <c r="AV278" s="48">
        <v>3448.84</v>
      </c>
      <c r="AW278" s="48">
        <v>7421.59</v>
      </c>
      <c r="AX278" s="48">
        <v>3572.91</v>
      </c>
      <c r="AY278" s="48">
        <v>3379.65</v>
      </c>
      <c r="AZ278" s="48">
        <v>4435.1499999999996</v>
      </c>
      <c r="BA278" s="48">
        <v>3246.09</v>
      </c>
      <c r="BB278" s="48">
        <v>2031.81</v>
      </c>
      <c r="BC278" s="48">
        <v>7134.7</v>
      </c>
      <c r="BD278" s="48">
        <v>3834.52</v>
      </c>
      <c r="BE278" s="48">
        <v>2885.1</v>
      </c>
      <c r="BF278" s="48">
        <v>7335.27</v>
      </c>
      <c r="BG278" s="48">
        <v>6204.1</v>
      </c>
      <c r="BH278" s="48">
        <v>962.14</v>
      </c>
      <c r="BI278" s="48">
        <v>3365.18</v>
      </c>
      <c r="BJ278" s="48">
        <v>6962.2</v>
      </c>
      <c r="BK278" s="48">
        <v>2022.95</v>
      </c>
      <c r="BL278" s="48">
        <v>6266.28</v>
      </c>
      <c r="BM278" s="48">
        <v>3904.66</v>
      </c>
      <c r="BN278" s="48">
        <v>4387.49</v>
      </c>
      <c r="BO278" s="48">
        <v>4639.37</v>
      </c>
      <c r="BP278" s="48">
        <v>6725.54</v>
      </c>
      <c r="BQ278" s="48">
        <v>3026.35</v>
      </c>
      <c r="BR278" s="48">
        <v>6793.21</v>
      </c>
      <c r="BS278" s="48">
        <v>5288.25</v>
      </c>
      <c r="BT278" s="48">
        <v>6026.93</v>
      </c>
      <c r="BU278" s="48">
        <v>7381.67</v>
      </c>
      <c r="BV278" s="48">
        <v>6499.53</v>
      </c>
      <c r="BW278" s="48">
        <v>5143.0200000000004</v>
      </c>
      <c r="BX278" s="48">
        <v>8908.19</v>
      </c>
      <c r="BY278" s="48">
        <v>6960.34</v>
      </c>
      <c r="BZ278" s="48">
        <v>6608.39</v>
      </c>
      <c r="CA278" s="48">
        <v>7767.43</v>
      </c>
      <c r="CB278" s="48">
        <v>12918.15</v>
      </c>
      <c r="CC278" s="48">
        <v>12304.93</v>
      </c>
      <c r="CD278" s="48">
        <v>1512.05</v>
      </c>
      <c r="CE278" s="48">
        <v>5095.22</v>
      </c>
      <c r="CF278" s="48">
        <v>5508.99</v>
      </c>
      <c r="CG278" s="48">
        <v>6151.77</v>
      </c>
      <c r="CH278" s="48">
        <v>6457.96</v>
      </c>
      <c r="CI278" s="48">
        <v>5778.79</v>
      </c>
      <c r="CJ278" s="48">
        <v>16088.08</v>
      </c>
      <c r="CK278" s="48">
        <v>3117.8</v>
      </c>
      <c r="CL278" s="48">
        <v>10264.73</v>
      </c>
      <c r="CM278" s="48">
        <v>7361.33</v>
      </c>
      <c r="CN278" s="48">
        <v>6251.09</v>
      </c>
      <c r="CO278" s="48">
        <v>9154.32</v>
      </c>
      <c r="CP278" s="48">
        <v>9728</v>
      </c>
      <c r="CQ278" s="48">
        <v>6710.73</v>
      </c>
      <c r="CR278" s="48">
        <v>15562.68</v>
      </c>
      <c r="CS278" s="48">
        <v>6636.96</v>
      </c>
      <c r="CT278" s="48">
        <v>10563.15</v>
      </c>
      <c r="CU278" s="48">
        <v>9157.1</v>
      </c>
      <c r="CV278" s="48">
        <v>14006.31</v>
      </c>
      <c r="CW278" s="48">
        <v>3636.76</v>
      </c>
      <c r="CX278" s="48">
        <v>8312.66</v>
      </c>
      <c r="CY278" s="48">
        <v>9362.99</v>
      </c>
      <c r="CZ278" s="48">
        <v>11634.43</v>
      </c>
      <c r="DA278" s="48">
        <v>12853.09</v>
      </c>
      <c r="DB278" s="48">
        <v>5929.35</v>
      </c>
      <c r="DC278" s="48">
        <v>4375.6099999999997</v>
      </c>
      <c r="DD278" s="48">
        <v>4546.8999999999996</v>
      </c>
      <c r="DE278" s="48">
        <f>VLOOKUP($C278,'[2]Analysis 1'!$C$5:$DG$1025,107,FALSE)</f>
        <v>12287.94</v>
      </c>
      <c r="DF278" s="48">
        <f>VLOOKUP($C278,'[2]Analysis 1'!$C$5:$DG$1025,108,FALSE)</f>
        <v>5593.98</v>
      </c>
      <c r="DG278" s="48">
        <f>VLOOKUP($C278,'[2]Analysis 1'!$C$5:$DG$1025,109,FALSE)</f>
        <v>4477.6899999999996</v>
      </c>
      <c r="DH278" s="369">
        <f t="shared" si="8"/>
        <v>97017.71</v>
      </c>
    </row>
    <row r="279" spans="1:112">
      <c r="A279" s="357" t="str">
        <f t="shared" si="7"/>
        <v>6730060</v>
      </c>
      <c r="B279" s="350" t="s">
        <v>2089</v>
      </c>
      <c r="C279" s="335" t="s">
        <v>1172</v>
      </c>
      <c r="D279" s="367">
        <v>1625.42</v>
      </c>
      <c r="E279" s="367">
        <v>2114.34</v>
      </c>
      <c r="F279" s="367">
        <v>2582.84</v>
      </c>
      <c r="G279" s="367">
        <v>500.83</v>
      </c>
      <c r="H279" s="367">
        <v>3133.64</v>
      </c>
      <c r="I279" s="367">
        <v>1673.29</v>
      </c>
      <c r="J279" s="367">
        <v>2129.3200000000002</v>
      </c>
      <c r="K279" s="367">
        <v>715.06</v>
      </c>
      <c r="L279" s="367">
        <v>1172.21</v>
      </c>
      <c r="M279" s="367">
        <v>2507.29</v>
      </c>
      <c r="N279" s="367">
        <v>1090.3900000000001</v>
      </c>
      <c r="O279" s="368">
        <v>1316.64</v>
      </c>
      <c r="P279" s="48">
        <v>1741.6</v>
      </c>
      <c r="Q279" s="48">
        <v>296.45</v>
      </c>
      <c r="R279" s="48">
        <v>2362.83</v>
      </c>
      <c r="S279" s="48">
        <v>1823.5</v>
      </c>
      <c r="T279" s="48">
        <v>937.43</v>
      </c>
      <c r="U279" s="48">
        <v>1763.05</v>
      </c>
      <c r="V279" s="48">
        <v>1530.4</v>
      </c>
      <c r="W279" s="48">
        <v>502.28</v>
      </c>
      <c r="X279" s="48">
        <v>2453.06</v>
      </c>
      <c r="Y279" s="48">
        <v>1500.49</v>
      </c>
      <c r="Z279" s="48">
        <v>1371</v>
      </c>
      <c r="AA279" s="48">
        <v>1241.26</v>
      </c>
      <c r="AB279" s="48">
        <v>734.83</v>
      </c>
      <c r="AC279" s="48">
        <v>1376.13</v>
      </c>
      <c r="AD279" s="48">
        <v>1240.76</v>
      </c>
      <c r="AE279" s="48">
        <v>1323.14</v>
      </c>
      <c r="AF279" s="48">
        <v>1280.75</v>
      </c>
      <c r="AG279" s="48">
        <v>1678.26</v>
      </c>
      <c r="AH279" s="48">
        <v>1385.17</v>
      </c>
      <c r="AI279" s="48">
        <v>1826.87</v>
      </c>
      <c r="AJ279" s="48">
        <v>704</v>
      </c>
      <c r="AK279" s="48">
        <v>2059.04</v>
      </c>
      <c r="AL279" s="48">
        <v>1472.07</v>
      </c>
      <c r="AM279" s="48">
        <v>4281.84</v>
      </c>
      <c r="AN279" s="48">
        <v>1859.11</v>
      </c>
      <c r="AO279" s="48">
        <v>1529.68</v>
      </c>
      <c r="AP279" s="48">
        <v>2072.2199999999998</v>
      </c>
      <c r="AQ279" s="48">
        <v>1397.06</v>
      </c>
      <c r="AR279" s="48">
        <v>1235.6099999999999</v>
      </c>
      <c r="AS279" s="48">
        <v>2824.4</v>
      </c>
      <c r="AT279" s="48">
        <v>5553.41</v>
      </c>
      <c r="AU279" s="48">
        <v>3414.51</v>
      </c>
      <c r="AV279" s="48">
        <v>3575.5</v>
      </c>
      <c r="AW279" s="48">
        <v>9530.73</v>
      </c>
      <c r="AX279" s="48">
        <v>2071.98</v>
      </c>
      <c r="AY279" s="48">
        <v>8313.15</v>
      </c>
      <c r="AZ279" s="48">
        <v>12581.92</v>
      </c>
      <c r="BA279" s="48">
        <v>3483.88</v>
      </c>
      <c r="BB279" s="48">
        <v>3217.75</v>
      </c>
      <c r="BC279" s="48">
        <v>3790.01</v>
      </c>
      <c r="BD279" s="48">
        <v>2885.68</v>
      </c>
      <c r="BE279" s="48">
        <v>5041.07</v>
      </c>
      <c r="BF279" s="48">
        <v>9084.4500000000007</v>
      </c>
      <c r="BG279" s="48">
        <v>1666.38</v>
      </c>
      <c r="BH279" s="48">
        <v>674.04</v>
      </c>
      <c r="BI279" s="48">
        <v>10996.08</v>
      </c>
      <c r="BJ279" s="48">
        <v>2918.35</v>
      </c>
      <c r="BK279" s="48">
        <v>2893.69</v>
      </c>
      <c r="BL279" s="48">
        <v>9703.66</v>
      </c>
      <c r="BM279" s="48">
        <v>2266.37</v>
      </c>
      <c r="BN279" s="48">
        <v>5068.99</v>
      </c>
      <c r="BO279" s="48">
        <v>4803.55</v>
      </c>
      <c r="BP279" s="48">
        <v>7047.93</v>
      </c>
      <c r="BQ279" s="48">
        <v>3775.37</v>
      </c>
      <c r="BR279" s="48">
        <v>3118.77</v>
      </c>
      <c r="BS279" s="48">
        <v>1477.91</v>
      </c>
      <c r="BT279" s="48">
        <v>3561.98</v>
      </c>
      <c r="BU279" s="48">
        <v>6921.73</v>
      </c>
      <c r="BV279" s="48">
        <v>2949.25</v>
      </c>
      <c r="BW279" s="48">
        <v>3569.77</v>
      </c>
      <c r="BX279" s="48">
        <v>3113.87</v>
      </c>
      <c r="BY279" s="48">
        <v>3294.7</v>
      </c>
      <c r="BZ279" s="48">
        <v>3333.15</v>
      </c>
      <c r="CA279" s="48">
        <v>4920.92</v>
      </c>
      <c r="CB279" s="48">
        <v>1172.76</v>
      </c>
      <c r="CC279" s="48">
        <v>306.29000000000002</v>
      </c>
      <c r="CD279" s="48">
        <v>17439.62</v>
      </c>
      <c r="CE279" s="48">
        <v>3775.06</v>
      </c>
      <c r="CF279" s="48">
        <v>702.26</v>
      </c>
      <c r="CG279" s="48">
        <v>2454.54</v>
      </c>
      <c r="CH279" s="48">
        <v>6010.88</v>
      </c>
      <c r="CI279" s="48">
        <v>6675.81</v>
      </c>
      <c r="CJ279" s="48">
        <v>4508.09</v>
      </c>
      <c r="CK279" s="48">
        <v>1378.69</v>
      </c>
      <c r="CL279" s="48">
        <v>6098.82</v>
      </c>
      <c r="CM279" s="48">
        <v>4422.08</v>
      </c>
      <c r="CN279" s="48">
        <v>3969.17</v>
      </c>
      <c r="CO279" s="48">
        <v>4261.03</v>
      </c>
      <c r="CP279" s="48">
        <v>3909.56</v>
      </c>
      <c r="CQ279" s="48">
        <v>3136.6</v>
      </c>
      <c r="CR279" s="48">
        <v>3928.99</v>
      </c>
      <c r="CS279" s="48">
        <v>1122.46</v>
      </c>
      <c r="CT279" s="48">
        <v>6466.73</v>
      </c>
      <c r="CU279" s="48">
        <v>467.35</v>
      </c>
      <c r="CV279" s="48">
        <v>706.08</v>
      </c>
      <c r="CW279" s="48">
        <v>14985.57</v>
      </c>
      <c r="CX279" s="48">
        <v>2022.32</v>
      </c>
      <c r="CY279" s="48">
        <v>1246.03</v>
      </c>
      <c r="CZ279" s="48">
        <v>1003.18</v>
      </c>
      <c r="DA279" s="48">
        <v>1694.46</v>
      </c>
      <c r="DB279" s="48">
        <v>5585.77</v>
      </c>
      <c r="DC279" s="48">
        <v>10722.74</v>
      </c>
      <c r="DD279" s="48">
        <v>7847.61</v>
      </c>
      <c r="DE279" s="48">
        <f>VLOOKUP($C279,'[2]Analysis 1'!$C$5:$DG$1025,107,FALSE)</f>
        <v>23479.59</v>
      </c>
      <c r="DF279" s="48">
        <f>VLOOKUP($C279,'[2]Analysis 1'!$C$5:$DG$1025,108,FALSE)</f>
        <v>7398.82</v>
      </c>
      <c r="DG279" s="48">
        <f>VLOOKUP($C279,'[2]Analysis 1'!$C$5:$DG$1025,109,FALSE)</f>
        <v>1584.66</v>
      </c>
      <c r="DH279" s="369">
        <f t="shared" si="8"/>
        <v>78276.830000000016</v>
      </c>
    </row>
    <row r="280" spans="1:112">
      <c r="A280" s="357" t="str">
        <f t="shared" si="7"/>
        <v>6730800</v>
      </c>
      <c r="B280" s="350" t="s">
        <v>2090</v>
      </c>
      <c r="C280" s="335" t="s">
        <v>1173</v>
      </c>
      <c r="D280" s="340">
        <v>1992</v>
      </c>
      <c r="E280" s="340">
        <v>672.53</v>
      </c>
      <c r="F280" s="340">
        <v>770.04</v>
      </c>
      <c r="G280" s="340">
        <v>1029.6500000000001</v>
      </c>
      <c r="H280" s="340">
        <v>573.97</v>
      </c>
      <c r="I280" s="340">
        <v>1239.57</v>
      </c>
      <c r="J280" s="340">
        <v>1284.55</v>
      </c>
      <c r="K280" s="340">
        <v>175.09</v>
      </c>
      <c r="L280" s="340">
        <v>1458.17</v>
      </c>
      <c r="M280" s="340">
        <v>1879.26</v>
      </c>
      <c r="N280" s="340">
        <v>321.35000000000002</v>
      </c>
      <c r="O280" s="341">
        <v>831.08</v>
      </c>
      <c r="P280" s="48">
        <v>464.97</v>
      </c>
      <c r="Q280" s="48">
        <v>-42.86</v>
      </c>
      <c r="R280" s="48">
        <v>1027.07</v>
      </c>
      <c r="S280" s="48">
        <v>524.83000000000004</v>
      </c>
      <c r="T280" s="48">
        <v>1262.1400000000001</v>
      </c>
      <c r="U280" s="48">
        <v>1005.68</v>
      </c>
      <c r="V280" s="48">
        <v>458.23</v>
      </c>
      <c r="W280" s="48">
        <v>469.51</v>
      </c>
      <c r="X280" s="48">
        <v>840.45</v>
      </c>
      <c r="Y280" s="48">
        <v>347</v>
      </c>
      <c r="Z280" s="48">
        <v>596.02</v>
      </c>
      <c r="AA280" s="48">
        <v>913.47</v>
      </c>
      <c r="AB280" s="48">
        <v>342.34</v>
      </c>
      <c r="AC280" s="48">
        <v>789.26</v>
      </c>
      <c r="AD280" s="48">
        <v>711.35</v>
      </c>
      <c r="AE280" s="48">
        <v>650.57000000000005</v>
      </c>
      <c r="AF280" s="48">
        <v>9988.69</v>
      </c>
      <c r="AG280" s="48">
        <v>681.23</v>
      </c>
      <c r="AH280" s="48">
        <v>652.67999999999995</v>
      </c>
      <c r="AI280" s="48">
        <v>1262.43</v>
      </c>
      <c r="AJ280" s="48">
        <v>110.13</v>
      </c>
      <c r="AK280" s="48">
        <v>791.77</v>
      </c>
      <c r="AL280" s="48">
        <v>2870.39</v>
      </c>
      <c r="AM280" s="48">
        <v>714.77</v>
      </c>
      <c r="AN280" s="48">
        <v>801.01</v>
      </c>
      <c r="AO280" s="48">
        <v>504.66</v>
      </c>
      <c r="AP280" s="48">
        <v>791.96</v>
      </c>
      <c r="AQ280" s="48">
        <v>780.73</v>
      </c>
      <c r="AR280" s="48">
        <v>428.61</v>
      </c>
      <c r="AS280" s="48">
        <v>585.73</v>
      </c>
      <c r="AT280" s="48">
        <v>763.84</v>
      </c>
      <c r="AU280" s="48">
        <v>1878.36</v>
      </c>
      <c r="AV280" s="48">
        <v>651.07000000000005</v>
      </c>
      <c r="AW280" s="48">
        <v>1141.5899999999999</v>
      </c>
      <c r="AX280" s="48">
        <v>780.22</v>
      </c>
      <c r="AY280" s="48">
        <v>1024.17</v>
      </c>
      <c r="AZ280" s="48">
        <v>1620.3</v>
      </c>
      <c r="BA280" s="48">
        <v>555.69000000000005</v>
      </c>
      <c r="BB280" s="48">
        <v>785.72</v>
      </c>
      <c r="BC280" s="48">
        <v>998.77</v>
      </c>
      <c r="BD280" s="48">
        <v>664.9</v>
      </c>
      <c r="BE280" s="48">
        <v>952.39</v>
      </c>
      <c r="BF280" s="48">
        <v>336.33</v>
      </c>
      <c r="BG280" s="48">
        <v>813.45</v>
      </c>
      <c r="BH280" s="48">
        <v>599.64</v>
      </c>
      <c r="BI280" s="48">
        <v>1102.56</v>
      </c>
      <c r="BJ280" s="48">
        <v>421.14</v>
      </c>
      <c r="BK280" s="48">
        <v>707.63</v>
      </c>
      <c r="BL280" s="48">
        <v>538.19000000000005</v>
      </c>
      <c r="BM280" s="48">
        <v>2482.0300000000002</v>
      </c>
      <c r="BN280" s="48">
        <v>495.64</v>
      </c>
      <c r="BO280" s="48">
        <v>411.88</v>
      </c>
      <c r="BP280" s="48">
        <v>763.9</v>
      </c>
      <c r="BQ280" s="48">
        <v>929.99</v>
      </c>
      <c r="BR280" s="48">
        <v>894.56</v>
      </c>
      <c r="BS280" s="48">
        <v>2308.25</v>
      </c>
      <c r="BT280" s="48">
        <v>758.15</v>
      </c>
      <c r="BU280" s="48">
        <v>1403.5</v>
      </c>
      <c r="BV280" s="48">
        <v>421.37</v>
      </c>
      <c r="BW280" s="48">
        <v>882.35</v>
      </c>
      <c r="BX280" s="48">
        <v>1594.23</v>
      </c>
      <c r="BY280" s="48">
        <v>1052.82</v>
      </c>
      <c r="BZ280" s="48">
        <v>1243.1300000000001</v>
      </c>
      <c r="CA280" s="48">
        <v>512.80999999999995</v>
      </c>
      <c r="CB280" s="48">
        <v>937.02</v>
      </c>
      <c r="CC280" s="48">
        <v>1409.76</v>
      </c>
      <c r="CD280" s="48">
        <v>1745.31</v>
      </c>
      <c r="CE280" s="48">
        <v>2141.73</v>
      </c>
      <c r="CF280" s="48">
        <v>1922.42</v>
      </c>
      <c r="CG280" s="48">
        <v>1696.64</v>
      </c>
      <c r="CH280" s="48">
        <v>4218.18</v>
      </c>
      <c r="CI280" s="48">
        <v>1539.97</v>
      </c>
      <c r="CJ280" s="48">
        <v>2308.0700000000002</v>
      </c>
      <c r="CK280" s="48">
        <v>3010.39</v>
      </c>
      <c r="CL280" s="48">
        <v>2181.4499999999998</v>
      </c>
      <c r="CM280" s="48">
        <v>856.68</v>
      </c>
      <c r="CN280" s="48">
        <v>840.85</v>
      </c>
      <c r="CO280" s="48">
        <v>1477.27</v>
      </c>
      <c r="CP280" s="48">
        <v>1844.23</v>
      </c>
      <c r="CQ280" s="48">
        <v>2349.7600000000002</v>
      </c>
      <c r="CR280" s="48">
        <v>1552.46</v>
      </c>
      <c r="CS280" s="48">
        <v>8057.66</v>
      </c>
      <c r="CT280" s="48">
        <v>1134.54</v>
      </c>
      <c r="CU280" s="48">
        <v>13260.27</v>
      </c>
      <c r="CV280" s="48">
        <v>3870.94</v>
      </c>
      <c r="CW280" s="48">
        <v>6408.42</v>
      </c>
      <c r="CX280" s="48">
        <v>-4313.96</v>
      </c>
      <c r="CY280" s="48">
        <v>3964.26</v>
      </c>
      <c r="CZ280" s="48">
        <v>2431.5300000000002</v>
      </c>
      <c r="DA280" s="48">
        <v>1630.11</v>
      </c>
      <c r="DB280" s="48">
        <v>2370.3000000000002</v>
      </c>
      <c r="DC280" s="48">
        <v>3521.08</v>
      </c>
      <c r="DD280" s="48">
        <v>5005.46</v>
      </c>
      <c r="DE280" s="48">
        <f>VLOOKUP($C280,'[2]Analysis 1'!$C$5:$DG$1025,107,FALSE)</f>
        <v>-1308.19</v>
      </c>
      <c r="DF280" s="48">
        <f>VLOOKUP($C280,'[2]Analysis 1'!$C$5:$DG$1025,108,FALSE)</f>
        <v>3290.79</v>
      </c>
      <c r="DG280" s="48">
        <f>VLOOKUP($C280,'[2]Analysis 1'!$C$5:$DG$1025,109,FALSE)</f>
        <v>5865.67</v>
      </c>
      <c r="DH280" s="369">
        <f t="shared" si="8"/>
        <v>32736.410000000003</v>
      </c>
    </row>
    <row r="281" spans="1:112">
      <c r="A281" s="357" t="str">
        <f t="shared" si="7"/>
        <v>6739000</v>
      </c>
      <c r="B281" s="350" t="s">
        <v>2091</v>
      </c>
      <c r="C281" s="335" t="s">
        <v>1174</v>
      </c>
      <c r="D281" s="367">
        <v>-4481.5200000000004</v>
      </c>
      <c r="E281" s="367">
        <v>-8.15</v>
      </c>
      <c r="F281" s="367">
        <v>-4478.99</v>
      </c>
      <c r="G281" s="367">
        <v>-5.34</v>
      </c>
      <c r="H281" s="367">
        <v>-5.53</v>
      </c>
      <c r="I281" s="367">
        <v>-8.14</v>
      </c>
      <c r="J281" s="367">
        <v>-9.59</v>
      </c>
      <c r="K281" s="367">
        <v>0</v>
      </c>
      <c r="L281" s="367">
        <v>-5.18</v>
      </c>
      <c r="M281" s="367">
        <v>-10.16</v>
      </c>
      <c r="N281" s="367">
        <v>0</v>
      </c>
      <c r="O281" s="368">
        <v>-5.08</v>
      </c>
      <c r="P281" s="48">
        <v>-5.18</v>
      </c>
      <c r="Q281" s="48">
        <v>-5.04</v>
      </c>
      <c r="R281" s="48">
        <v>-35.96</v>
      </c>
      <c r="S281" s="48">
        <v>-5.07</v>
      </c>
      <c r="T281" s="48">
        <v>-260.33999999999997</v>
      </c>
      <c r="U281" s="48">
        <v>-173.33</v>
      </c>
      <c r="V281" s="48">
        <v>-130.44</v>
      </c>
      <c r="W281" s="48">
        <v>-132.30000000000001</v>
      </c>
      <c r="X281" s="48">
        <v>-137.49</v>
      </c>
      <c r="Y281" s="48">
        <v>-137.38999999999999</v>
      </c>
      <c r="Z281" s="48">
        <v>-137.35</v>
      </c>
      <c r="AA281" s="48">
        <v>-125094.92</v>
      </c>
      <c r="AB281" s="48">
        <v>-138.08000000000001</v>
      </c>
      <c r="AC281" s="48">
        <v>-138.54</v>
      </c>
      <c r="AD281" s="48">
        <v>-133.13</v>
      </c>
      <c r="AE281" s="48">
        <v>-133.13999999999999</v>
      </c>
      <c r="AF281" s="48">
        <v>-9189.2099999999991</v>
      </c>
      <c r="AG281" s="48">
        <v>-266.24</v>
      </c>
      <c r="AH281" s="48">
        <v>-135.49</v>
      </c>
      <c r="AI281" s="48">
        <v>-141.91</v>
      </c>
      <c r="AJ281" s="48">
        <v>-5.2</v>
      </c>
      <c r="AK281" s="48">
        <v>-7.47</v>
      </c>
      <c r="AL281" s="48">
        <v>-5.07</v>
      </c>
      <c r="AM281" s="48">
        <v>-5.07</v>
      </c>
      <c r="AN281" s="48">
        <v>-7.43</v>
      </c>
      <c r="AO281" s="48">
        <v>-6.03</v>
      </c>
      <c r="AP281" s="48">
        <v>-8.49</v>
      </c>
      <c r="AQ281" s="48">
        <v>-14.93</v>
      </c>
      <c r="AR281" s="48">
        <v>-6.4</v>
      </c>
      <c r="AS281" s="48">
        <v>-499.96</v>
      </c>
      <c r="AT281" s="48">
        <v>-6.48</v>
      </c>
      <c r="AU281" s="48">
        <v>-6.25</v>
      </c>
      <c r="AV281" s="48">
        <v>-221.27</v>
      </c>
      <c r="AW281" s="48">
        <v>-7550.18</v>
      </c>
      <c r="AX281" s="48">
        <v>-487.7</v>
      </c>
      <c r="AY281" s="48">
        <v>-214.64</v>
      </c>
      <c r="AZ281" s="48">
        <v>-11059.83</v>
      </c>
      <c r="BA281" s="48">
        <v>-82.36</v>
      </c>
      <c r="BB281" s="48">
        <v>-1940.76</v>
      </c>
      <c r="BC281" s="48">
        <v>572.87</v>
      </c>
      <c r="BD281" s="48">
        <v>-165.04</v>
      </c>
      <c r="BE281" s="48">
        <v>-252.73</v>
      </c>
      <c r="BF281" s="48">
        <v>-7264.39</v>
      </c>
      <c r="BG281" s="48">
        <v>-195.47</v>
      </c>
      <c r="BH281" s="48">
        <v>-52136.61</v>
      </c>
      <c r="BI281" s="48">
        <v>-7082.86</v>
      </c>
      <c r="BJ281" s="48">
        <v>-839.53</v>
      </c>
      <c r="BK281" s="48">
        <v>-99.13</v>
      </c>
      <c r="BL281" s="48">
        <v>-5229.2299999999996</v>
      </c>
      <c r="BM281" s="48">
        <v>-63.4</v>
      </c>
      <c r="BN281" s="48">
        <v>-1203.19</v>
      </c>
      <c r="BO281" s="48">
        <v>-87.81</v>
      </c>
      <c r="BP281" s="48">
        <v>-4992.5</v>
      </c>
      <c r="BQ281" s="48">
        <v>-2403.25</v>
      </c>
      <c r="BR281" s="48">
        <v>-4045.79</v>
      </c>
      <c r="BS281" s="48">
        <v>-5927.36</v>
      </c>
      <c r="BT281" s="48">
        <v>-3671.55</v>
      </c>
      <c r="BU281" s="48">
        <v>-4938.47</v>
      </c>
      <c r="BV281" s="48">
        <v>-3589.58</v>
      </c>
      <c r="BW281" s="48">
        <v>-4350.41</v>
      </c>
      <c r="BX281" s="48">
        <v>-4839.62</v>
      </c>
      <c r="BY281" s="48">
        <v>-5898.09</v>
      </c>
      <c r="BZ281" s="48">
        <v>-4473.38</v>
      </c>
      <c r="CA281" s="48">
        <v>-4397.03</v>
      </c>
      <c r="CB281" s="48">
        <v>-4001.23</v>
      </c>
      <c r="CC281" s="48">
        <v>-4195.29</v>
      </c>
      <c r="CD281" s="48">
        <v>-5017.08</v>
      </c>
      <c r="CE281" s="48">
        <v>-4685.84</v>
      </c>
      <c r="CF281" s="48">
        <v>-5692.38</v>
      </c>
      <c r="CG281" s="48">
        <v>-4276.1000000000004</v>
      </c>
      <c r="CH281" s="48">
        <v>-11217.75</v>
      </c>
      <c r="CI281" s="48">
        <v>-6359.23</v>
      </c>
      <c r="CJ281" s="48">
        <v>-6451.39</v>
      </c>
      <c r="CK281" s="48">
        <v>-8000.49</v>
      </c>
      <c r="CL281" s="48">
        <v>-4909.33</v>
      </c>
      <c r="CM281" s="48">
        <v>-9028.7099999999991</v>
      </c>
      <c r="CN281" s="48">
        <v>-9500.5300000000007</v>
      </c>
      <c r="CO281" s="48">
        <v>-8620.61</v>
      </c>
      <c r="CP281" s="48">
        <v>-20779.169999999998</v>
      </c>
      <c r="CQ281" s="48">
        <v>-14865.6</v>
      </c>
      <c r="CR281" s="48">
        <v>-12642.8</v>
      </c>
      <c r="CS281" s="48">
        <v>-14440.88</v>
      </c>
      <c r="CT281" s="48">
        <v>-46456.03</v>
      </c>
      <c r="CU281" s="48">
        <v>-20917.5</v>
      </c>
      <c r="CV281" s="48">
        <v>-11773.84</v>
      </c>
      <c r="CW281" s="48">
        <v>-11590.87</v>
      </c>
      <c r="CX281" s="48">
        <v>-10563.38</v>
      </c>
      <c r="CY281" s="48">
        <v>-22788.2</v>
      </c>
      <c r="CZ281" s="48">
        <v>-4891.95</v>
      </c>
      <c r="DA281" s="48">
        <v>-32301.68</v>
      </c>
      <c r="DB281" s="48">
        <v>-4542.97</v>
      </c>
      <c r="DC281" s="48">
        <v>-4404.3999999999996</v>
      </c>
      <c r="DD281" s="48">
        <v>-4690.8900000000003</v>
      </c>
      <c r="DE281" s="48">
        <f>VLOOKUP($C281,'[2]Analysis 1'!$C$5:$DG$1025,107,FALSE)</f>
        <v>-460584.16</v>
      </c>
      <c r="DF281" s="48">
        <f>VLOOKUP($C281,'[2]Analysis 1'!$C$5:$DG$1025,108,FALSE)</f>
        <v>-11610.64</v>
      </c>
      <c r="DG281" s="48">
        <f>VLOOKUP($C281,'[2]Analysis 1'!$C$5:$DG$1025,109,FALSE)</f>
        <v>-11632.73</v>
      </c>
      <c r="DH281" s="369">
        <f t="shared" si="8"/>
        <v>-591375.71</v>
      </c>
    </row>
    <row r="282" spans="1:112">
      <c r="A282" s="357" t="str">
        <f t="shared" si="7"/>
        <v>6780020</v>
      </c>
      <c r="B282" s="350" t="s">
        <v>2092</v>
      </c>
      <c r="C282" s="335" t="s">
        <v>1175</v>
      </c>
      <c r="D282" s="340">
        <v>-19918.57</v>
      </c>
      <c r="E282" s="340">
        <v>-23155.26</v>
      </c>
      <c r="F282" s="340">
        <v>-18041.55</v>
      </c>
      <c r="G282" s="340">
        <v>-1248.47</v>
      </c>
      <c r="H282" s="340">
        <v>-25829</v>
      </c>
      <c r="I282" s="340">
        <v>-17092.75</v>
      </c>
      <c r="J282" s="340">
        <v>-30366.15</v>
      </c>
      <c r="K282" s="340">
        <v>0</v>
      </c>
      <c r="L282" s="340">
        <v>-13574.4</v>
      </c>
      <c r="M282" s="340">
        <v>-14021.25</v>
      </c>
      <c r="N282" s="340">
        <v>-14421.05</v>
      </c>
      <c r="O282" s="341">
        <v>-11276.9</v>
      </c>
      <c r="P282" s="48">
        <v>-96</v>
      </c>
      <c r="Q282" s="48">
        <v>0</v>
      </c>
      <c r="R282" s="48">
        <v>-62233.55</v>
      </c>
      <c r="S282" s="48">
        <v>-1472</v>
      </c>
      <c r="T282" s="48">
        <v>-31357.65</v>
      </c>
      <c r="U282" s="48">
        <v>-10410.6</v>
      </c>
      <c r="V282" s="48">
        <v>-4293.6000000000004</v>
      </c>
      <c r="W282" s="48">
        <v>-10551.7</v>
      </c>
      <c r="X282" s="48">
        <v>-3344.1</v>
      </c>
      <c r="Y282" s="48">
        <v>-34312.75</v>
      </c>
      <c r="Z282" s="48">
        <v>-29056.75</v>
      </c>
      <c r="AA282" s="48">
        <v>-12343.95</v>
      </c>
      <c r="AB282" s="48">
        <v>-8394.65</v>
      </c>
      <c r="AC282" s="48">
        <v>-2894.4</v>
      </c>
      <c r="AD282" s="48">
        <v>-64921.15</v>
      </c>
      <c r="AE282" s="48">
        <v>-4216.8999999999996</v>
      </c>
      <c r="AF282" s="48">
        <v>-77657.95</v>
      </c>
      <c r="AG282" s="48">
        <v>-10459.15</v>
      </c>
      <c r="AH282" s="48">
        <v>-3006</v>
      </c>
      <c r="AI282" s="48">
        <v>-13665.1</v>
      </c>
      <c r="AJ282" s="48">
        <v>-39087.199999999997</v>
      </c>
      <c r="AK282" s="48">
        <v>-26559.65</v>
      </c>
      <c r="AL282" s="48">
        <v>-8182.63</v>
      </c>
      <c r="AM282" s="48">
        <v>-12216.13</v>
      </c>
      <c r="AN282" s="48">
        <v>-5086</v>
      </c>
      <c r="AO282" s="48">
        <v>-28667.15</v>
      </c>
      <c r="AP282" s="48">
        <v>-6065</v>
      </c>
      <c r="AQ282" s="48">
        <v>-43566.5</v>
      </c>
      <c r="AR282" s="48">
        <v>-29775</v>
      </c>
      <c r="AS282" s="48">
        <v>-8865</v>
      </c>
      <c r="AT282" s="48">
        <v>-20945</v>
      </c>
      <c r="AU282" s="48">
        <v>-15809.55</v>
      </c>
      <c r="AV282" s="48">
        <v>0</v>
      </c>
      <c r="AW282" s="48">
        <v>-1363.8</v>
      </c>
      <c r="AX282" s="48">
        <v>-34450</v>
      </c>
      <c r="AY282" s="48">
        <v>-1470.25</v>
      </c>
      <c r="AZ282" s="48">
        <v>-326</v>
      </c>
      <c r="BA282" s="48">
        <v>0</v>
      </c>
      <c r="BB282" s="48">
        <v>-1268.45</v>
      </c>
      <c r="BC282" s="48">
        <v>-33161.5</v>
      </c>
      <c r="BD282" s="48">
        <v>-46608.04</v>
      </c>
      <c r="BE282" s="48">
        <v>0</v>
      </c>
      <c r="BF282" s="48">
        <v>-1731.9</v>
      </c>
      <c r="BG282" s="48">
        <v>-45791.75</v>
      </c>
      <c r="BH282" s="48">
        <v>-74534</v>
      </c>
      <c r="BI282" s="48">
        <v>-287.01</v>
      </c>
      <c r="BJ282" s="48">
        <v>0</v>
      </c>
      <c r="BK282" s="48">
        <v>213.89</v>
      </c>
      <c r="BL282" s="48">
        <v>-1042.5999999999999</v>
      </c>
      <c r="BM282" s="48">
        <v>-1351.1</v>
      </c>
      <c r="BN282" s="48">
        <v>0</v>
      </c>
      <c r="BO282" s="48">
        <v>-53581.1</v>
      </c>
      <c r="BP282" s="48">
        <v>0</v>
      </c>
      <c r="BQ282" s="48">
        <v>-108136</v>
      </c>
      <c r="BR282" s="48">
        <v>-39928.949999999997</v>
      </c>
      <c r="BS282" s="48">
        <v>-12960</v>
      </c>
      <c r="BT282" s="48">
        <v>-661.6</v>
      </c>
      <c r="BU282" s="48">
        <v>-17596.87</v>
      </c>
      <c r="BV282" s="48">
        <v>-3840</v>
      </c>
      <c r="BW282" s="48">
        <v>-47940</v>
      </c>
      <c r="BX282" s="48">
        <v>-29753.34</v>
      </c>
      <c r="BY282" s="48">
        <v>-5918.3</v>
      </c>
      <c r="BZ282" s="48">
        <v>-79035</v>
      </c>
      <c r="CA282" s="48">
        <v>-1264.55</v>
      </c>
      <c r="CB282" s="48">
        <v>735.3</v>
      </c>
      <c r="CC282" s="48">
        <v>-573.04999999999995</v>
      </c>
      <c r="CD282" s="48">
        <v>-47047.8</v>
      </c>
      <c r="CE282" s="48">
        <v>-226.56</v>
      </c>
      <c r="CF282" s="48">
        <v>-37229.550000000003</v>
      </c>
      <c r="CG282" s="48">
        <v>-10522</v>
      </c>
      <c r="CH282" s="48">
        <v>-42081.5</v>
      </c>
      <c r="CI282" s="48">
        <v>0</v>
      </c>
      <c r="CJ282" s="48">
        <v>0</v>
      </c>
      <c r="CK282" s="48">
        <v>0</v>
      </c>
      <c r="CL282" s="48">
        <v>-32490</v>
      </c>
      <c r="CM282" s="48">
        <v>0</v>
      </c>
      <c r="CN282" s="48">
        <v>-67925</v>
      </c>
      <c r="CO282" s="48">
        <v>-12587</v>
      </c>
      <c r="CP282" s="48">
        <v>0</v>
      </c>
      <c r="CQ282" s="48">
        <v>0</v>
      </c>
      <c r="CR282" s="48">
        <v>-137560</v>
      </c>
      <c r="CS282" s="48">
        <v>-25256.5</v>
      </c>
      <c r="CT282" s="48">
        <v>-21506.95</v>
      </c>
      <c r="CU282" s="48">
        <v>-112385</v>
      </c>
      <c r="CV282" s="48">
        <v>0</v>
      </c>
      <c r="CW282" s="48">
        <v>0</v>
      </c>
      <c r="CX282" s="48">
        <v>0</v>
      </c>
      <c r="CY282" s="48">
        <v>0</v>
      </c>
      <c r="CZ282" s="48">
        <v>-1710</v>
      </c>
      <c r="DA282" s="48">
        <v>0</v>
      </c>
      <c r="DB282" s="48">
        <v>-33089.19</v>
      </c>
      <c r="DC282" s="48">
        <v>0</v>
      </c>
      <c r="DD282" s="48">
        <v>0</v>
      </c>
      <c r="DE282" s="48">
        <f>VLOOKUP($C282,'[2]Analysis 1'!$C$5:$DG$1025,107,FALSE)</f>
        <v>0</v>
      </c>
      <c r="DF282" s="48">
        <f>VLOOKUP($C282,'[2]Analysis 1'!$C$5:$DG$1025,108,FALSE)</f>
        <v>-136962</v>
      </c>
      <c r="DG282" s="48">
        <f>VLOOKUP($C282,'[2]Analysis 1'!$C$5:$DG$1025,109,FALSE)</f>
        <v>0</v>
      </c>
      <c r="DH282" s="369">
        <f t="shared" si="8"/>
        <v>-171761.19</v>
      </c>
    </row>
    <row r="283" spans="1:112">
      <c r="A283" s="357" t="str">
        <f t="shared" si="7"/>
        <v>6780040</v>
      </c>
      <c r="B283" s="350" t="s">
        <v>2093</v>
      </c>
      <c r="C283" s="335" t="s">
        <v>1176</v>
      </c>
      <c r="D283" s="340">
        <v>185206.3</v>
      </c>
      <c r="E283" s="340">
        <v>20677.919999999998</v>
      </c>
      <c r="F283" s="340">
        <v>-62019.05</v>
      </c>
      <c r="G283" s="340">
        <v>-35352.910000000003</v>
      </c>
      <c r="H283" s="340">
        <v>51380.92</v>
      </c>
      <c r="I283" s="340">
        <v>-26610.67</v>
      </c>
      <c r="J283" s="340">
        <v>-76924.94</v>
      </c>
      <c r="K283" s="340">
        <v>-42186.38</v>
      </c>
      <c r="L283" s="340">
        <v>-10100.209999999999</v>
      </c>
      <c r="M283" s="340">
        <v>-29464.85</v>
      </c>
      <c r="N283" s="340">
        <v>-25741.58</v>
      </c>
      <c r="O283" s="341">
        <v>-43746.91</v>
      </c>
      <c r="P283" s="48">
        <v>24565.05</v>
      </c>
      <c r="Q283" s="48">
        <v>-51131.45</v>
      </c>
      <c r="R283" s="48">
        <v>-96891.61</v>
      </c>
      <c r="S283" s="48">
        <v>-30756.76</v>
      </c>
      <c r="T283" s="48">
        <v>-44437.38</v>
      </c>
      <c r="U283" s="48">
        <v>-32046.6</v>
      </c>
      <c r="V283" s="48">
        <v>-17744.650000000001</v>
      </c>
      <c r="W283" s="48">
        <v>-25125.02</v>
      </c>
      <c r="X283" s="48">
        <v>23952.19</v>
      </c>
      <c r="Y283" s="48">
        <v>-37612.25</v>
      </c>
      <c r="Z283" s="48">
        <v>-37180.910000000003</v>
      </c>
      <c r="AA283" s="48">
        <v>-127421.75999999999</v>
      </c>
      <c r="AB283" s="48">
        <v>-38496.86</v>
      </c>
      <c r="AC283" s="48">
        <v>-12543.69</v>
      </c>
      <c r="AD283" s="48">
        <v>-43962.19</v>
      </c>
      <c r="AE283" s="48">
        <v>-39427.370000000003</v>
      </c>
      <c r="AF283" s="48">
        <v>-7778.84</v>
      </c>
      <c r="AG283" s="48">
        <v>-125545.84</v>
      </c>
      <c r="AH283" s="48">
        <v>3596.23</v>
      </c>
      <c r="AI283" s="48">
        <v>22783.24</v>
      </c>
      <c r="AJ283" s="48">
        <v>-106393.7</v>
      </c>
      <c r="AK283" s="48">
        <v>-133099.81</v>
      </c>
      <c r="AL283" s="48">
        <v>-52250.57</v>
      </c>
      <c r="AM283" s="48">
        <v>-67705.2</v>
      </c>
      <c r="AN283" s="48">
        <v>-23239.16</v>
      </c>
      <c r="AO283" s="48">
        <v>-35364.11</v>
      </c>
      <c r="AP283" s="48">
        <v>-230422.62</v>
      </c>
      <c r="AQ283" s="48">
        <v>145888.79999999999</v>
      </c>
      <c r="AR283" s="48">
        <v>-68297.19</v>
      </c>
      <c r="AS283" s="48">
        <v>-25271.040000000001</v>
      </c>
      <c r="AT283" s="48">
        <v>10790.61</v>
      </c>
      <c r="AU283" s="48">
        <v>80139.47</v>
      </c>
      <c r="AV283" s="48">
        <v>-36115.839999999997</v>
      </c>
      <c r="AW283" s="48">
        <v>-127152.89</v>
      </c>
      <c r="AX283" s="48">
        <v>19301.5</v>
      </c>
      <c r="AY283" s="48">
        <v>-241846.27</v>
      </c>
      <c r="AZ283" s="48">
        <v>24834.94</v>
      </c>
      <c r="BA283" s="48">
        <v>-50747.74</v>
      </c>
      <c r="BB283" s="48">
        <v>-60514.78</v>
      </c>
      <c r="BC283" s="48">
        <v>-115303.62</v>
      </c>
      <c r="BD283" s="48">
        <v>-40473.94</v>
      </c>
      <c r="BE283" s="48">
        <v>-51231.16</v>
      </c>
      <c r="BF283" s="48">
        <v>-122511.52</v>
      </c>
      <c r="BG283" s="48">
        <v>-139039.94</v>
      </c>
      <c r="BH283" s="48">
        <v>-69582.429999999993</v>
      </c>
      <c r="BI283" s="48">
        <v>-4463.28</v>
      </c>
      <c r="BJ283" s="48">
        <v>-3857.55</v>
      </c>
      <c r="BK283" s="48">
        <v>-175220.58</v>
      </c>
      <c r="BL283" s="48">
        <v>-22386.79</v>
      </c>
      <c r="BM283" s="48">
        <v>-64029.42</v>
      </c>
      <c r="BN283" s="48">
        <v>-97432.2</v>
      </c>
      <c r="BO283" s="48">
        <v>-89058.14</v>
      </c>
      <c r="BP283" s="48">
        <v>-42857.11</v>
      </c>
      <c r="BQ283" s="48">
        <v>-45772.639999999999</v>
      </c>
      <c r="BR283" s="48">
        <v>-114816.58</v>
      </c>
      <c r="BS283" s="48">
        <v>-13020.95</v>
      </c>
      <c r="BT283" s="48">
        <v>-130794.84</v>
      </c>
      <c r="BU283" s="48">
        <v>-19817.52</v>
      </c>
      <c r="BV283" s="48">
        <v>-75682.19</v>
      </c>
      <c r="BW283" s="48">
        <v>-71333.039999999994</v>
      </c>
      <c r="BX283" s="48">
        <v>-20416.759999999998</v>
      </c>
      <c r="BY283" s="48">
        <v>-53993.99</v>
      </c>
      <c r="BZ283" s="48">
        <v>-46214.5</v>
      </c>
      <c r="CA283" s="48">
        <v>-141281.96</v>
      </c>
      <c r="CB283" s="48">
        <v>-205545.59</v>
      </c>
      <c r="CC283" s="48">
        <v>-180735.1</v>
      </c>
      <c r="CD283" s="48">
        <v>-83813.75</v>
      </c>
      <c r="CE283" s="48">
        <v>-9950.61</v>
      </c>
      <c r="CF283" s="48">
        <v>-83191.070000000007</v>
      </c>
      <c r="CG283" s="48">
        <v>19442.89</v>
      </c>
      <c r="CH283" s="48">
        <v>-116876.74</v>
      </c>
      <c r="CI283" s="48">
        <v>14461.41</v>
      </c>
      <c r="CJ283" s="48">
        <v>-18379.419999999998</v>
      </c>
      <c r="CK283" s="48">
        <v>-110492.69</v>
      </c>
      <c r="CL283" s="48">
        <v>-15737.33</v>
      </c>
      <c r="CM283" s="48">
        <v>-132804.34</v>
      </c>
      <c r="CN283" s="48">
        <v>-21256.46</v>
      </c>
      <c r="CO283" s="48">
        <v>-130532.43</v>
      </c>
      <c r="CP283" s="48">
        <v>-49612.9</v>
      </c>
      <c r="CQ283" s="48">
        <v>-272228.08</v>
      </c>
      <c r="CR283" s="48">
        <v>-44816.65</v>
      </c>
      <c r="CS283" s="48">
        <v>-24077.27</v>
      </c>
      <c r="CT283" s="48">
        <v>-88668.09</v>
      </c>
      <c r="CU283" s="48">
        <v>-7388.53</v>
      </c>
      <c r="CV283" s="48">
        <v>-82048.039999999994</v>
      </c>
      <c r="CW283" s="48">
        <v>-111546.69</v>
      </c>
      <c r="CX283" s="48">
        <v>-59414.31</v>
      </c>
      <c r="CY283" s="48">
        <v>-101246.36</v>
      </c>
      <c r="CZ283" s="48">
        <v>-62090.69</v>
      </c>
      <c r="DA283" s="48">
        <v>2447.17</v>
      </c>
      <c r="DB283" s="48">
        <v>-230045.9</v>
      </c>
      <c r="DC283" s="48">
        <v>-246742.14</v>
      </c>
      <c r="DD283" s="48">
        <v>-49813.599999999999</v>
      </c>
      <c r="DE283" s="48">
        <f>VLOOKUP($C283,'[2]Analysis 1'!$C$5:$DG$1025,107,FALSE)</f>
        <v>-87744.35</v>
      </c>
      <c r="DF283" s="48">
        <f>VLOOKUP($C283,'[2]Analysis 1'!$C$5:$DG$1025,108,FALSE)</f>
        <v>31297.51</v>
      </c>
      <c r="DG283" s="48">
        <f>VLOOKUP($C283,'[2]Analysis 1'!$C$5:$DG$1025,109,FALSE)</f>
        <v>-531274.30000000005</v>
      </c>
      <c r="DH283" s="369">
        <f t="shared" si="8"/>
        <v>-1528221.7</v>
      </c>
    </row>
    <row r="284" spans="1:112">
      <c r="A284" s="357" t="str">
        <f t="shared" si="7"/>
        <v>6780800</v>
      </c>
      <c r="B284" s="350" t="s">
        <v>2094</v>
      </c>
      <c r="C284" s="335" t="s">
        <v>1177</v>
      </c>
      <c r="D284" s="367">
        <v>0</v>
      </c>
      <c r="E284" s="367">
        <v>0</v>
      </c>
      <c r="F284" s="367">
        <v>0</v>
      </c>
      <c r="G284" s="367">
        <v>-26.62</v>
      </c>
      <c r="H284" s="367">
        <v>0</v>
      </c>
      <c r="I284" s="367">
        <v>-50690.51</v>
      </c>
      <c r="J284" s="367">
        <v>0</v>
      </c>
      <c r="K284" s="367">
        <v>-59737.5</v>
      </c>
      <c r="L284" s="367">
        <v>-17083.330000000002</v>
      </c>
      <c r="M284" s="367">
        <v>-53.17</v>
      </c>
      <c r="N284" s="367">
        <v>0</v>
      </c>
      <c r="O284" s="368">
        <v>-4559.6000000000004</v>
      </c>
      <c r="P284" s="48">
        <v>0</v>
      </c>
      <c r="Q284" s="48">
        <v>0</v>
      </c>
      <c r="R284" s="48">
        <v>-3020.5</v>
      </c>
      <c r="S284" s="48">
        <v>-31109.47</v>
      </c>
      <c r="T284" s="48">
        <v>-588.36</v>
      </c>
      <c r="U284" s="48">
        <v>-588.36</v>
      </c>
      <c r="V284" s="48">
        <v>-60502.8</v>
      </c>
      <c r="W284" s="48">
        <v>-2995.87</v>
      </c>
      <c r="X284" s="48">
        <v>-2349.62</v>
      </c>
      <c r="Y284" s="48">
        <v>-3037.83</v>
      </c>
      <c r="Z284" s="48">
        <v>-943.51</v>
      </c>
      <c r="AA284" s="48">
        <v>0</v>
      </c>
      <c r="AB284" s="48">
        <v>0</v>
      </c>
      <c r="AC284" s="48">
        <v>-46897.38</v>
      </c>
      <c r="AD284" s="48">
        <v>-615.24</v>
      </c>
      <c r="AE284" s="48">
        <v>-33506.86</v>
      </c>
      <c r="AF284" s="48">
        <v>-566363.25</v>
      </c>
      <c r="AG284" s="48">
        <v>-2923.93</v>
      </c>
      <c r="AH284" s="48">
        <v>-746.21</v>
      </c>
      <c r="AI284" s="48">
        <v>-24611.72</v>
      </c>
      <c r="AJ284" s="48">
        <v>24865.68</v>
      </c>
      <c r="AK284" s="48">
        <v>-687.49</v>
      </c>
      <c r="AL284" s="48">
        <v>-98.36</v>
      </c>
      <c r="AM284" s="48">
        <v>-27663.69</v>
      </c>
      <c r="AN284" s="48">
        <v>-1343.27</v>
      </c>
      <c r="AO284" s="48">
        <v>-42.1</v>
      </c>
      <c r="AP284" s="48">
        <v>-321.29000000000002</v>
      </c>
      <c r="AQ284" s="48">
        <v>-283.56</v>
      </c>
      <c r="AR284" s="48">
        <v>-358201.59</v>
      </c>
      <c r="AS284" s="48">
        <v>67654.94</v>
      </c>
      <c r="AT284" s="48">
        <v>-59471.29</v>
      </c>
      <c r="AU284" s="48">
        <v>-404.89</v>
      </c>
      <c r="AV284" s="48">
        <v>-228.4</v>
      </c>
      <c r="AW284" s="48">
        <v>-911.99</v>
      </c>
      <c r="AX284" s="48">
        <v>0</v>
      </c>
      <c r="AY284" s="48">
        <v>-224.01</v>
      </c>
      <c r="AZ284" s="48">
        <v>-149.69</v>
      </c>
      <c r="BA284" s="48">
        <v>59014.99</v>
      </c>
      <c r="BB284" s="48">
        <v>-7640.01</v>
      </c>
      <c r="BC284" s="48">
        <v>-5335.77</v>
      </c>
      <c r="BD284" s="48">
        <v>-387613.36</v>
      </c>
      <c r="BE284" s="48">
        <v>236979.51</v>
      </c>
      <c r="BF284" s="48">
        <v>-4579</v>
      </c>
      <c r="BG284" s="48">
        <v>-22746.98</v>
      </c>
      <c r="BH284" s="48">
        <v>97980.66</v>
      </c>
      <c r="BI284" s="48">
        <v>-624.96</v>
      </c>
      <c r="BJ284" s="48">
        <v>-1755.49</v>
      </c>
      <c r="BK284" s="48">
        <v>-2089.9299999999998</v>
      </c>
      <c r="BL284" s="48">
        <v>-3957.31</v>
      </c>
      <c r="BM284" s="48">
        <v>-815.89</v>
      </c>
      <c r="BN284" s="48">
        <v>-1218.1099999999999</v>
      </c>
      <c r="BO284" s="48">
        <v>-9572.4699999999993</v>
      </c>
      <c r="BP284" s="48">
        <v>-31408.63</v>
      </c>
      <c r="BQ284" s="48">
        <v>-1033.0899999999999</v>
      </c>
      <c r="BR284" s="48">
        <v>-35972.97</v>
      </c>
      <c r="BS284" s="48">
        <v>-1045.04</v>
      </c>
      <c r="BT284" s="48">
        <v>-988.77</v>
      </c>
      <c r="BU284" s="48">
        <v>-681.46</v>
      </c>
      <c r="BV284" s="48">
        <v>-2280.9499999999998</v>
      </c>
      <c r="BW284" s="48">
        <v>0</v>
      </c>
      <c r="BX284" s="48">
        <v>-62.19</v>
      </c>
      <c r="BY284" s="48">
        <v>0</v>
      </c>
      <c r="BZ284" s="48">
        <v>-7931.33</v>
      </c>
      <c r="CA284" s="48">
        <v>-712.3</v>
      </c>
      <c r="CB284" s="48">
        <v>-19212.36</v>
      </c>
      <c r="CC284" s="48">
        <v>-73882.7</v>
      </c>
      <c r="CD284" s="48">
        <v>-2844.76</v>
      </c>
      <c r="CE284" s="48">
        <v>-19714.36</v>
      </c>
      <c r="CF284" s="48">
        <v>-38169.47</v>
      </c>
      <c r="CG284" s="48">
        <v>-10657.67</v>
      </c>
      <c r="CH284" s="48">
        <v>-746732.71</v>
      </c>
      <c r="CI284" s="48">
        <v>15821.74</v>
      </c>
      <c r="CJ284" s="48">
        <v>-1504.65</v>
      </c>
      <c r="CK284" s="48">
        <v>-1260.1099999999999</v>
      </c>
      <c r="CL284" s="48">
        <v>-573.03</v>
      </c>
      <c r="CM284" s="48">
        <v>-57097.83</v>
      </c>
      <c r="CN284" s="48">
        <v>-343.91</v>
      </c>
      <c r="CO284" s="48">
        <v>-913.94</v>
      </c>
      <c r="CP284" s="48">
        <v>-686.18</v>
      </c>
      <c r="CQ284" s="48">
        <v>-3438.63</v>
      </c>
      <c r="CR284" s="48">
        <v>-633.44000000000005</v>
      </c>
      <c r="CS284" s="48">
        <v>-777.69</v>
      </c>
      <c r="CT284" s="48">
        <v>45000.42</v>
      </c>
      <c r="CU284" s="48">
        <v>-671.61</v>
      </c>
      <c r="CV284" s="48">
        <v>-1505.86</v>
      </c>
      <c r="CW284" s="48">
        <v>-1128.27</v>
      </c>
      <c r="CX284" s="48">
        <v>-97.91</v>
      </c>
      <c r="CY284" s="48">
        <v>-674.22</v>
      </c>
      <c r="CZ284" s="48">
        <v>-310.98</v>
      </c>
      <c r="DA284" s="48">
        <v>-10882.65</v>
      </c>
      <c r="DB284" s="48">
        <v>-4797.8999999999996</v>
      </c>
      <c r="DC284" s="48">
        <v>-7086</v>
      </c>
      <c r="DD284" s="48">
        <v>-3924.34</v>
      </c>
      <c r="DE284" s="48">
        <f>VLOOKUP($C284,'[2]Analysis 1'!$C$5:$DG$1025,107,FALSE)</f>
        <v>-179.77</v>
      </c>
      <c r="DF284" s="48">
        <f>VLOOKUP($C284,'[2]Analysis 1'!$C$5:$DG$1025,108,FALSE)</f>
        <v>0</v>
      </c>
      <c r="DG284" s="48">
        <f>VLOOKUP($C284,'[2]Analysis 1'!$C$5:$DG$1025,109,FALSE)</f>
        <v>-34536.46</v>
      </c>
      <c r="DH284" s="369">
        <f t="shared" si="8"/>
        <v>-65124.36</v>
      </c>
    </row>
    <row r="285" spans="1:112">
      <c r="A285" s="357" t="str">
        <f t="shared" si="7"/>
        <v>6789000</v>
      </c>
      <c r="B285" s="350" t="s">
        <v>2095</v>
      </c>
      <c r="C285" s="335" t="s">
        <v>1178</v>
      </c>
      <c r="D285" s="340">
        <v>19918.57</v>
      </c>
      <c r="E285" s="340">
        <v>23155.26</v>
      </c>
      <c r="F285" s="340">
        <v>18041.55</v>
      </c>
      <c r="G285" s="340">
        <v>1248.47</v>
      </c>
      <c r="H285" s="340">
        <v>25829</v>
      </c>
      <c r="I285" s="340">
        <v>67783.259999999995</v>
      </c>
      <c r="J285" s="340">
        <v>30366.15</v>
      </c>
      <c r="K285" s="340">
        <v>0</v>
      </c>
      <c r="L285" s="340">
        <v>13574.4</v>
      </c>
      <c r="M285" s="340">
        <v>14021.25</v>
      </c>
      <c r="N285" s="340">
        <v>14421.05</v>
      </c>
      <c r="O285" s="341">
        <v>11276.9</v>
      </c>
      <c r="P285" s="48">
        <v>96</v>
      </c>
      <c r="Q285" s="48">
        <v>0</v>
      </c>
      <c r="R285" s="48">
        <v>62233.55</v>
      </c>
      <c r="S285" s="48">
        <v>24404.89</v>
      </c>
      <c r="T285" s="48">
        <v>31357.65</v>
      </c>
      <c r="U285" s="48">
        <v>24593.01</v>
      </c>
      <c r="V285" s="48">
        <v>64208.04</v>
      </c>
      <c r="W285" s="48">
        <v>10551.7</v>
      </c>
      <c r="X285" s="48">
        <v>3344.1</v>
      </c>
      <c r="Y285" s="48">
        <v>34312.75</v>
      </c>
      <c r="Z285" s="48">
        <v>29056.75</v>
      </c>
      <c r="AA285" s="48">
        <v>40426.480000000003</v>
      </c>
      <c r="AB285" s="48">
        <v>8394.65</v>
      </c>
      <c r="AC285" s="48">
        <v>49791.78</v>
      </c>
      <c r="AD285" s="48">
        <v>64921.15</v>
      </c>
      <c r="AE285" s="48">
        <v>29511.31</v>
      </c>
      <c r="AF285" s="48">
        <v>77657.95</v>
      </c>
      <c r="AG285" s="48">
        <v>10459.15</v>
      </c>
      <c r="AH285" s="48">
        <v>3006</v>
      </c>
      <c r="AI285" s="48">
        <v>37784.51</v>
      </c>
      <c r="AJ285" s="48">
        <v>13792.79</v>
      </c>
      <c r="AK285" s="48">
        <v>26559.65</v>
      </c>
      <c r="AL285" s="48">
        <v>4806.5</v>
      </c>
      <c r="AM285" s="48">
        <v>-15531.7</v>
      </c>
      <c r="AN285" s="48">
        <v>5086</v>
      </c>
      <c r="AO285" s="48">
        <v>28667.15</v>
      </c>
      <c r="AP285" s="48">
        <v>72382.8</v>
      </c>
      <c r="AQ285" s="48">
        <v>43566.5</v>
      </c>
      <c r="AR285" s="48">
        <v>386538.41</v>
      </c>
      <c r="AS285" s="48">
        <v>-63642.19</v>
      </c>
      <c r="AT285" s="48">
        <v>80021.759999999995</v>
      </c>
      <c r="AU285" s="48">
        <v>15809.55</v>
      </c>
      <c r="AV285" s="48">
        <v>0</v>
      </c>
      <c r="AW285" s="48">
        <v>1363.8</v>
      </c>
      <c r="AX285" s="48">
        <v>34450</v>
      </c>
      <c r="AY285" s="48">
        <v>1470.25</v>
      </c>
      <c r="AZ285" s="48">
        <v>326</v>
      </c>
      <c r="BA285" s="48">
        <v>-59076.76</v>
      </c>
      <c r="BB285" s="48">
        <v>1268.45</v>
      </c>
      <c r="BC285" s="48">
        <v>33161.5</v>
      </c>
      <c r="BD285" s="48">
        <v>433929.75</v>
      </c>
      <c r="BE285" s="48">
        <v>-243123.01</v>
      </c>
      <c r="BF285" s="48">
        <v>1731.9</v>
      </c>
      <c r="BG285" s="48">
        <v>67487.81</v>
      </c>
      <c r="BH285" s="48">
        <v>-31354.43</v>
      </c>
      <c r="BI285" s="48">
        <v>500.9</v>
      </c>
      <c r="BJ285" s="48">
        <v>0</v>
      </c>
      <c r="BK285" s="48">
        <v>0</v>
      </c>
      <c r="BL285" s="48">
        <v>1042.5999999999999</v>
      </c>
      <c r="BM285" s="48">
        <v>1351.1</v>
      </c>
      <c r="BN285" s="48">
        <v>0</v>
      </c>
      <c r="BO285" s="48">
        <v>53581.1</v>
      </c>
      <c r="BP285" s="48">
        <v>24180.68</v>
      </c>
      <c r="BQ285" s="48">
        <v>108136</v>
      </c>
      <c r="BR285" s="48">
        <v>75588.679999999993</v>
      </c>
      <c r="BS285" s="48">
        <v>12960</v>
      </c>
      <c r="BT285" s="48">
        <v>42921.01</v>
      </c>
      <c r="BU285" s="48">
        <v>17596.87</v>
      </c>
      <c r="BV285" s="48">
        <v>3840</v>
      </c>
      <c r="BW285" s="48">
        <v>47940</v>
      </c>
      <c r="BX285" s="48">
        <v>29753.34</v>
      </c>
      <c r="BY285" s="48">
        <v>5918.3</v>
      </c>
      <c r="BZ285" s="48">
        <v>79035</v>
      </c>
      <c r="CA285" s="48">
        <v>1264.55</v>
      </c>
      <c r="CB285" s="48">
        <v>-735.3</v>
      </c>
      <c r="CC285" s="48">
        <v>12532.23</v>
      </c>
      <c r="CD285" s="48">
        <v>47047.8</v>
      </c>
      <c r="CE285" s="48">
        <v>16273.92</v>
      </c>
      <c r="CF285" s="48">
        <v>73721.539999999994</v>
      </c>
      <c r="CG285" s="48">
        <v>10522</v>
      </c>
      <c r="CH285" s="48">
        <v>786710</v>
      </c>
      <c r="CI285" s="48">
        <v>-16273.92</v>
      </c>
      <c r="CJ285" s="48">
        <v>0</v>
      </c>
      <c r="CK285" s="48">
        <v>0</v>
      </c>
      <c r="CL285" s="48">
        <v>32490</v>
      </c>
      <c r="CM285" s="48">
        <v>33399.33</v>
      </c>
      <c r="CN285" s="48">
        <v>67925</v>
      </c>
      <c r="CO285" s="48">
        <v>12587</v>
      </c>
      <c r="CP285" s="48">
        <v>0</v>
      </c>
      <c r="CQ285" s="48">
        <v>0</v>
      </c>
      <c r="CR285" s="48">
        <v>144750.03</v>
      </c>
      <c r="CS285" s="48">
        <v>25256.5</v>
      </c>
      <c r="CT285" s="48">
        <v>-25221.7</v>
      </c>
      <c r="CU285" s="48">
        <v>112385</v>
      </c>
      <c r="CV285" s="48">
        <v>0</v>
      </c>
      <c r="CW285" s="48">
        <v>0</v>
      </c>
      <c r="CX285" s="48">
        <v>0</v>
      </c>
      <c r="CY285" s="48">
        <v>0</v>
      </c>
      <c r="CZ285" s="48">
        <v>1710</v>
      </c>
      <c r="DA285" s="48">
        <v>0</v>
      </c>
      <c r="DB285" s="48">
        <v>37887.089999999997</v>
      </c>
      <c r="DC285" s="48">
        <v>0</v>
      </c>
      <c r="DD285" s="48">
        <v>0</v>
      </c>
      <c r="DE285" s="48">
        <f>VLOOKUP($C285,'[2]Analysis 1'!$C$5:$DG$1025,107,FALSE)</f>
        <v>0</v>
      </c>
      <c r="DF285" s="48">
        <f>VLOOKUP($C285,'[2]Analysis 1'!$C$5:$DG$1025,108,FALSE)</f>
        <v>136962</v>
      </c>
      <c r="DG285" s="48">
        <f>VLOOKUP($C285,'[2]Analysis 1'!$C$5:$DG$1025,109,FALSE)</f>
        <v>25347.040000000001</v>
      </c>
      <c r="DH285" s="369">
        <f t="shared" si="8"/>
        <v>201906.13</v>
      </c>
    </row>
    <row r="286" spans="1:112">
      <c r="A286" s="357" t="str">
        <f t="shared" si="7"/>
        <v>6790010</v>
      </c>
      <c r="B286" s="350" t="s">
        <v>2096</v>
      </c>
      <c r="C286" s="335" t="s">
        <v>1179</v>
      </c>
      <c r="D286" s="340">
        <v>97804.19</v>
      </c>
      <c r="E286" s="340">
        <v>82692.84</v>
      </c>
      <c r="F286" s="340">
        <v>70189.19</v>
      </c>
      <c r="G286" s="340">
        <v>59875.16</v>
      </c>
      <c r="H286" s="340">
        <v>53558.16</v>
      </c>
      <c r="I286" s="340">
        <v>58082.75</v>
      </c>
      <c r="J286" s="340">
        <v>54404.7</v>
      </c>
      <c r="K286" s="340">
        <v>51660.88</v>
      </c>
      <c r="L286" s="340">
        <v>70514.58</v>
      </c>
      <c r="M286" s="340">
        <v>59189.55</v>
      </c>
      <c r="N286" s="340">
        <v>65188.66</v>
      </c>
      <c r="O286" s="341">
        <v>85258.13</v>
      </c>
      <c r="P286" s="48">
        <v>93028.45</v>
      </c>
      <c r="Q286" s="48">
        <v>107974.73</v>
      </c>
      <c r="R286" s="48">
        <v>83578.3</v>
      </c>
      <c r="S286" s="48">
        <v>68383.14</v>
      </c>
      <c r="T286" s="48">
        <v>60045.99</v>
      </c>
      <c r="U286" s="48">
        <v>62134.94</v>
      </c>
      <c r="V286" s="48">
        <v>58948.7</v>
      </c>
      <c r="W286" s="48">
        <v>55054.61</v>
      </c>
      <c r="X286" s="48">
        <v>51768.56</v>
      </c>
      <c r="Y286" s="48">
        <v>51341.64</v>
      </c>
      <c r="Z286" s="48">
        <v>53788.18</v>
      </c>
      <c r="AA286" s="48">
        <v>59504.91</v>
      </c>
      <c r="AB286" s="48">
        <v>74274.12</v>
      </c>
      <c r="AC286" s="48">
        <v>78933.679999999993</v>
      </c>
      <c r="AD286" s="48">
        <v>62765.72</v>
      </c>
      <c r="AE286" s="48">
        <v>54382.35</v>
      </c>
      <c r="AF286" s="48">
        <v>46770.37</v>
      </c>
      <c r="AG286" s="48">
        <v>45252.35</v>
      </c>
      <c r="AH286" s="48">
        <v>44995.9</v>
      </c>
      <c r="AI286" s="48">
        <v>45495.18</v>
      </c>
      <c r="AJ286" s="48">
        <v>49920.85</v>
      </c>
      <c r="AK286" s="48">
        <v>50283.05</v>
      </c>
      <c r="AL286" s="48">
        <v>57802.77</v>
      </c>
      <c r="AM286" s="48">
        <v>-682282.52</v>
      </c>
      <c r="AN286" s="48">
        <v>76995.02</v>
      </c>
      <c r="AO286" s="48">
        <v>54207.81</v>
      </c>
      <c r="AP286" s="48">
        <v>145179.68</v>
      </c>
      <c r="AQ286" s="48">
        <v>165397.71</v>
      </c>
      <c r="AR286" s="48">
        <v>46453.84</v>
      </c>
      <c r="AS286" s="48">
        <v>68074.42</v>
      </c>
      <c r="AT286" s="48">
        <v>154655.26</v>
      </c>
      <c r="AU286" s="48">
        <v>195006.49</v>
      </c>
      <c r="AV286" s="48">
        <v>289967.14</v>
      </c>
      <c r="AW286" s="48">
        <v>240698.39</v>
      </c>
      <c r="AX286" s="48">
        <v>112863.83</v>
      </c>
      <c r="AY286" s="48">
        <v>58467.89</v>
      </c>
      <c r="AZ286" s="48">
        <v>168961.33</v>
      </c>
      <c r="BA286" s="48">
        <v>-38525.449999999997</v>
      </c>
      <c r="BB286" s="48">
        <v>43301.16</v>
      </c>
      <c r="BC286" s="48">
        <v>143130.59</v>
      </c>
      <c r="BD286" s="48">
        <v>143320.99</v>
      </c>
      <c r="BE286" s="48">
        <v>90887.9</v>
      </c>
      <c r="BF286" s="48">
        <v>145585.75</v>
      </c>
      <c r="BG286" s="48">
        <v>126038.48</v>
      </c>
      <c r="BH286" s="48">
        <v>107666.72</v>
      </c>
      <c r="BI286" s="48">
        <v>116781.94</v>
      </c>
      <c r="BJ286" s="48">
        <v>134630.57</v>
      </c>
      <c r="BK286" s="48">
        <v>247068.93</v>
      </c>
      <c r="BL286" s="48">
        <v>138773.31</v>
      </c>
      <c r="BM286" s="48">
        <v>81454.31</v>
      </c>
      <c r="BN286" s="48">
        <v>159889.56</v>
      </c>
      <c r="BO286" s="48">
        <v>233621</v>
      </c>
      <c r="BP286" s="48">
        <v>86929.16</v>
      </c>
      <c r="BQ286" s="48">
        <v>63624.33</v>
      </c>
      <c r="BR286" s="48">
        <v>75912.66</v>
      </c>
      <c r="BS286" s="48">
        <v>75049.919999999998</v>
      </c>
      <c r="BT286" s="48">
        <v>110212.54</v>
      </c>
      <c r="BU286" s="48">
        <v>69666.13</v>
      </c>
      <c r="BV286" s="48">
        <v>82098.64</v>
      </c>
      <c r="BW286" s="48">
        <v>86964.55</v>
      </c>
      <c r="BX286" s="48">
        <v>123636.72</v>
      </c>
      <c r="BY286" s="48">
        <v>7329.83</v>
      </c>
      <c r="BZ286" s="48">
        <v>176173.92</v>
      </c>
      <c r="CA286" s="48">
        <v>224333.44</v>
      </c>
      <c r="CB286" s="48">
        <v>232939.77</v>
      </c>
      <c r="CC286" s="48">
        <v>265926.84999999998</v>
      </c>
      <c r="CD286" s="48">
        <v>203420.81</v>
      </c>
      <c r="CE286" s="48">
        <v>-322058.40000000002</v>
      </c>
      <c r="CF286" s="48">
        <v>169282.07</v>
      </c>
      <c r="CG286" s="48">
        <v>893944.83</v>
      </c>
      <c r="CH286" s="48">
        <v>204824.7</v>
      </c>
      <c r="CI286" s="48">
        <v>-313308.84000000003</v>
      </c>
      <c r="CJ286" s="48">
        <v>282197.19</v>
      </c>
      <c r="CK286" s="48">
        <v>218948.86</v>
      </c>
      <c r="CL286" s="48">
        <v>-291477.07</v>
      </c>
      <c r="CM286" s="48">
        <v>211401.44</v>
      </c>
      <c r="CN286" s="48">
        <v>178845.64</v>
      </c>
      <c r="CO286" s="48">
        <v>128740.2</v>
      </c>
      <c r="CP286" s="48">
        <v>172822.22</v>
      </c>
      <c r="CQ286" s="48">
        <v>163962.43</v>
      </c>
      <c r="CR286" s="48">
        <v>148518.26</v>
      </c>
      <c r="CS286" s="48">
        <v>191030.26</v>
      </c>
      <c r="CT286" s="48">
        <v>45370.22</v>
      </c>
      <c r="CU286" s="48">
        <v>122363.13</v>
      </c>
      <c r="CV286" s="48">
        <v>142723.4</v>
      </c>
      <c r="CW286" s="48">
        <v>32303.99</v>
      </c>
      <c r="CX286" s="48">
        <v>104964.45</v>
      </c>
      <c r="CY286" s="48">
        <v>2052.12</v>
      </c>
      <c r="CZ286" s="48">
        <v>124809.87</v>
      </c>
      <c r="DA286" s="48">
        <v>168268.32</v>
      </c>
      <c r="DB286" s="48">
        <v>115013.96</v>
      </c>
      <c r="DC286" s="48">
        <v>209525.8</v>
      </c>
      <c r="DD286" s="48">
        <v>110156.43</v>
      </c>
      <c r="DE286" s="48">
        <f>VLOOKUP($C286,'[2]Analysis 1'!$C$5:$DG$1025,107,FALSE)</f>
        <v>108616.66</v>
      </c>
      <c r="DF286" s="48">
        <f>VLOOKUP($C286,'[2]Analysis 1'!$C$5:$DG$1025,108,FALSE)</f>
        <v>36241.58</v>
      </c>
      <c r="DG286" s="48">
        <f>VLOOKUP($C286,'[2]Analysis 1'!$C$5:$DG$1025,109,FALSE)</f>
        <v>-163884.82999999999</v>
      </c>
      <c r="DH286" s="369">
        <f t="shared" si="8"/>
        <v>990791.74999999988</v>
      </c>
    </row>
    <row r="287" spans="1:112">
      <c r="A287" s="357" t="str">
        <f t="shared" si="7"/>
        <v>6790020</v>
      </c>
      <c r="B287" s="350" t="s">
        <v>2098</v>
      </c>
      <c r="C287" s="335" t="s">
        <v>1180</v>
      </c>
      <c r="D287" s="367">
        <v>0</v>
      </c>
      <c r="E287" s="367">
        <v>0</v>
      </c>
      <c r="F287" s="367">
        <v>0</v>
      </c>
      <c r="G287" s="367">
        <v>5850</v>
      </c>
      <c r="H287" s="367">
        <v>600</v>
      </c>
      <c r="I287" s="367">
        <v>-4387.5</v>
      </c>
      <c r="J287" s="367">
        <v>-2062.5</v>
      </c>
      <c r="K287" s="367">
        <v>0</v>
      </c>
      <c r="L287" s="367">
        <v>0</v>
      </c>
      <c r="M287" s="367">
        <v>0</v>
      </c>
      <c r="N287" s="367">
        <v>0</v>
      </c>
      <c r="O287" s="368">
        <v>0</v>
      </c>
      <c r="P287" s="48">
        <v>0</v>
      </c>
      <c r="Q287" s="48">
        <v>0</v>
      </c>
      <c r="R287" s="48">
        <v>0</v>
      </c>
      <c r="S287" s="48">
        <v>0</v>
      </c>
      <c r="T287" s="48">
        <v>0</v>
      </c>
      <c r="U287" s="48">
        <v>0</v>
      </c>
      <c r="V287" s="48">
        <v>0</v>
      </c>
      <c r="W287" s="48">
        <v>1060.7</v>
      </c>
      <c r="X287" s="48">
        <v>0</v>
      </c>
      <c r="Y287" s="48">
        <v>0</v>
      </c>
      <c r="Z287" s="48">
        <v>0</v>
      </c>
      <c r="AA287" s="48">
        <v>0</v>
      </c>
      <c r="AB287" s="48">
        <v>0</v>
      </c>
      <c r="AC287" s="48">
        <v>0</v>
      </c>
      <c r="AD287" s="48">
        <v>0</v>
      </c>
      <c r="AE287" s="48">
        <v>0</v>
      </c>
      <c r="AF287" s="48">
        <v>0</v>
      </c>
      <c r="AG287" s="48">
        <v>0</v>
      </c>
      <c r="AH287" s="48">
        <v>0</v>
      </c>
      <c r="AI287" s="48">
        <v>0</v>
      </c>
      <c r="AJ287" s="48">
        <v>0</v>
      </c>
      <c r="AK287" s="48">
        <v>0</v>
      </c>
      <c r="AL287" s="48">
        <v>0</v>
      </c>
      <c r="AM287" s="48">
        <v>50000</v>
      </c>
      <c r="AN287" s="48">
        <v>0</v>
      </c>
      <c r="AO287" s="48">
        <v>0</v>
      </c>
      <c r="AP287" s="48">
        <v>0</v>
      </c>
      <c r="AQ287" s="48">
        <v>0</v>
      </c>
      <c r="AR287" s="48">
        <v>0</v>
      </c>
      <c r="AS287" s="48">
        <v>0</v>
      </c>
      <c r="AT287" s="48">
        <v>0</v>
      </c>
      <c r="AU287" s="48">
        <v>0</v>
      </c>
      <c r="AV287" s="48">
        <v>0</v>
      </c>
      <c r="AW287" s="48"/>
      <c r="AX287" s="48"/>
      <c r="AY287" s="48"/>
      <c r="AZ287" s="48">
        <v>0</v>
      </c>
      <c r="BA287" s="48">
        <v>0</v>
      </c>
      <c r="BB287" s="48">
        <v>0</v>
      </c>
      <c r="BC287" s="48">
        <v>0</v>
      </c>
      <c r="BD287" s="48">
        <v>0</v>
      </c>
      <c r="BE287" s="48">
        <v>0</v>
      </c>
      <c r="BF287" s="48">
        <v>0</v>
      </c>
      <c r="BG287" s="48">
        <v>0</v>
      </c>
      <c r="BH287" s="48">
        <v>0</v>
      </c>
      <c r="BI287" s="48">
        <v>0</v>
      </c>
      <c r="BJ287" s="48">
        <v>0</v>
      </c>
      <c r="BK287" s="48">
        <v>0</v>
      </c>
      <c r="BL287" s="48">
        <v>0</v>
      </c>
      <c r="BM287" s="48">
        <v>0</v>
      </c>
      <c r="BN287" s="48">
        <v>0</v>
      </c>
      <c r="BO287" s="48">
        <v>0</v>
      </c>
      <c r="BP287" s="48">
        <v>0</v>
      </c>
      <c r="BQ287" s="48">
        <v>0</v>
      </c>
      <c r="BR287" s="48">
        <v>0</v>
      </c>
      <c r="BS287" s="48">
        <v>0</v>
      </c>
      <c r="BT287" s="48">
        <v>0</v>
      </c>
      <c r="BU287" s="48">
        <v>0</v>
      </c>
      <c r="BV287" s="48">
        <v>0</v>
      </c>
      <c r="BW287" s="48">
        <v>0</v>
      </c>
      <c r="BX287" s="48">
        <v>0</v>
      </c>
      <c r="BY287" s="48">
        <v>0</v>
      </c>
      <c r="BZ287" s="48">
        <v>0</v>
      </c>
      <c r="CA287" s="48">
        <v>0</v>
      </c>
      <c r="CB287" s="48">
        <v>0</v>
      </c>
      <c r="CC287" s="48">
        <v>0</v>
      </c>
      <c r="CD287" s="48">
        <v>0</v>
      </c>
      <c r="CE287" s="48">
        <v>0</v>
      </c>
      <c r="CF287" s="48">
        <v>0</v>
      </c>
      <c r="CG287" s="48">
        <v>0</v>
      </c>
      <c r="CH287" s="48">
        <v>0</v>
      </c>
      <c r="CI287" s="48">
        <v>0</v>
      </c>
      <c r="CJ287" s="48">
        <v>0</v>
      </c>
      <c r="CK287" s="48">
        <v>0</v>
      </c>
      <c r="CL287" s="48">
        <v>0</v>
      </c>
      <c r="CM287" s="48">
        <v>0</v>
      </c>
      <c r="CN287" s="48">
        <v>0</v>
      </c>
      <c r="CO287" s="48">
        <v>0</v>
      </c>
      <c r="CP287" s="48">
        <v>0</v>
      </c>
      <c r="CQ287" s="48">
        <v>0</v>
      </c>
      <c r="CR287" s="48">
        <v>0</v>
      </c>
      <c r="CS287" s="48">
        <v>0</v>
      </c>
      <c r="CT287" s="48">
        <v>0</v>
      </c>
      <c r="CU287" s="48">
        <v>0</v>
      </c>
      <c r="CV287" s="48">
        <v>0</v>
      </c>
      <c r="CW287" s="48">
        <v>0</v>
      </c>
      <c r="CX287" s="48">
        <v>0</v>
      </c>
      <c r="CY287" s="48">
        <v>0</v>
      </c>
      <c r="CZ287" s="48">
        <v>0</v>
      </c>
      <c r="DA287" s="48">
        <v>0</v>
      </c>
      <c r="DB287" s="48">
        <v>0</v>
      </c>
      <c r="DC287" s="48">
        <v>0</v>
      </c>
      <c r="DD287" s="48">
        <v>0</v>
      </c>
      <c r="DE287" s="48">
        <f>VLOOKUP($C287,'[2]Analysis 1'!$C$5:$DG$1025,107,FALSE)</f>
        <v>0</v>
      </c>
      <c r="DF287" s="48">
        <f>VLOOKUP($C287,'[2]Analysis 1'!$C$5:$DG$1025,108,FALSE)</f>
        <v>0</v>
      </c>
      <c r="DG287" s="48">
        <f>VLOOKUP($C287,'[2]Analysis 1'!$C$5:$DG$1025,109,FALSE)</f>
        <v>0</v>
      </c>
      <c r="DH287" s="369">
        <f t="shared" si="8"/>
        <v>0</v>
      </c>
    </row>
    <row r="288" spans="1:112">
      <c r="A288" s="357" t="str">
        <f>+B288</f>
        <v>6790030</v>
      </c>
      <c r="B288" s="350" t="s">
        <v>2299</v>
      </c>
      <c r="C288" s="335" t="s">
        <v>2296</v>
      </c>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v>0</v>
      </c>
      <c r="BM288" s="48">
        <v>0</v>
      </c>
      <c r="BN288" s="48">
        <v>0</v>
      </c>
      <c r="BO288" s="48">
        <v>0</v>
      </c>
      <c r="BP288" s="48">
        <v>0</v>
      </c>
      <c r="BQ288" s="48">
        <v>0</v>
      </c>
      <c r="BR288" s="48">
        <v>0</v>
      </c>
      <c r="BS288" s="48">
        <v>38.86</v>
      </c>
      <c r="BT288" s="48">
        <v>15.73</v>
      </c>
      <c r="BU288" s="48">
        <v>0</v>
      </c>
      <c r="BV288" s="48">
        <v>0</v>
      </c>
      <c r="BW288" s="48">
        <v>0</v>
      </c>
      <c r="BX288" s="48">
        <v>0</v>
      </c>
      <c r="BY288" s="48">
        <v>0</v>
      </c>
      <c r="BZ288" s="48">
        <v>0</v>
      </c>
      <c r="CA288" s="48">
        <v>0</v>
      </c>
      <c r="CB288" s="48">
        <v>0</v>
      </c>
      <c r="CC288" s="48">
        <v>57347.55</v>
      </c>
      <c r="CD288" s="48">
        <v>0</v>
      </c>
      <c r="CE288" s="48">
        <v>0</v>
      </c>
      <c r="CF288" s="48">
        <v>0</v>
      </c>
      <c r="CG288" s="48">
        <v>20645.12</v>
      </c>
      <c r="CH288" s="48">
        <v>0</v>
      </c>
      <c r="CI288" s="48">
        <v>28502.76</v>
      </c>
      <c r="CJ288" s="48">
        <v>274.06</v>
      </c>
      <c r="CK288" s="48">
        <v>0</v>
      </c>
      <c r="CL288" s="48">
        <v>0</v>
      </c>
      <c r="CM288" s="48">
        <v>28664.74</v>
      </c>
      <c r="CN288" s="48">
        <v>9587.81</v>
      </c>
      <c r="CO288" s="48">
        <v>28531.64</v>
      </c>
      <c r="CP288" s="48">
        <v>0</v>
      </c>
      <c r="CQ288" s="48">
        <v>0</v>
      </c>
      <c r="CR288" s="48">
        <v>28535.07</v>
      </c>
      <c r="CS288" s="48">
        <v>0</v>
      </c>
      <c r="CT288" s="48">
        <v>0</v>
      </c>
      <c r="CU288" s="48">
        <v>28535.07</v>
      </c>
      <c r="CV288" s="48">
        <v>0</v>
      </c>
      <c r="CW288" s="48">
        <v>0</v>
      </c>
      <c r="CX288" s="48">
        <v>32436</v>
      </c>
      <c r="CY288" s="48">
        <v>0</v>
      </c>
      <c r="CZ288" s="48">
        <v>0</v>
      </c>
      <c r="DA288" s="48">
        <v>0</v>
      </c>
      <c r="DB288" s="48">
        <v>32436</v>
      </c>
      <c r="DC288" s="48">
        <v>0</v>
      </c>
      <c r="DD288" s="48">
        <v>32436</v>
      </c>
      <c r="DE288" s="48">
        <f>VLOOKUP($C288,'[2]Analysis 1'!$C$5:$DG$1025,107,FALSE)</f>
        <v>0</v>
      </c>
      <c r="DF288" s="48">
        <f>VLOOKUP($C288,'[2]Analysis 1'!$C$5:$DG$1025,108,FALSE)</f>
        <v>0</v>
      </c>
      <c r="DG288" s="48">
        <f>VLOOKUP($C288,'[2]Analysis 1'!$C$5:$DG$1025,109,FALSE)</f>
        <v>31916.83</v>
      </c>
      <c r="DH288" s="369">
        <f t="shared" si="8"/>
        <v>129224.83</v>
      </c>
    </row>
    <row r="289" spans="1:112">
      <c r="A289" s="357" t="str">
        <f t="shared" si="7"/>
        <v>6790040</v>
      </c>
      <c r="B289" s="350" t="s">
        <v>2097</v>
      </c>
      <c r="C289" s="335" t="s">
        <v>1181</v>
      </c>
      <c r="D289" s="367">
        <v>16.440000000000001</v>
      </c>
      <c r="E289" s="367">
        <v>0</v>
      </c>
      <c r="F289" s="367">
        <v>0</v>
      </c>
      <c r="G289" s="367">
        <v>0</v>
      </c>
      <c r="H289" s="367">
        <v>0</v>
      </c>
      <c r="I289" s="367">
        <v>0</v>
      </c>
      <c r="J289" s="367">
        <v>0</v>
      </c>
      <c r="K289" s="367">
        <v>0</v>
      </c>
      <c r="L289" s="367">
        <v>0</v>
      </c>
      <c r="M289" s="367">
        <v>0</v>
      </c>
      <c r="N289" s="367">
        <v>0</v>
      </c>
      <c r="O289" s="368">
        <v>0</v>
      </c>
      <c r="P289" s="48">
        <v>0</v>
      </c>
      <c r="Q289" s="48">
        <v>0</v>
      </c>
      <c r="R289" s="48">
        <v>0</v>
      </c>
      <c r="S289" s="48">
        <v>0</v>
      </c>
      <c r="T289" s="48">
        <v>0</v>
      </c>
      <c r="U289" s="48">
        <v>-1780.93</v>
      </c>
      <c r="V289" s="48">
        <v>0</v>
      </c>
      <c r="W289" s="48">
        <v>0</v>
      </c>
      <c r="X289" s="48">
        <v>0</v>
      </c>
      <c r="Y289" s="48">
        <v>0</v>
      </c>
      <c r="Z289" s="48">
        <v>0</v>
      </c>
      <c r="AA289" s="48">
        <v>0</v>
      </c>
      <c r="AB289" s="48">
        <v>0</v>
      </c>
      <c r="AC289" s="48">
        <v>0</v>
      </c>
      <c r="AD289" s="48">
        <v>0</v>
      </c>
      <c r="AE289" s="48">
        <v>0</v>
      </c>
      <c r="AF289" s="48">
        <v>0</v>
      </c>
      <c r="AG289" s="48">
        <v>0</v>
      </c>
      <c r="AH289" s="48">
        <v>0</v>
      </c>
      <c r="AI289" s="48">
        <v>0</v>
      </c>
      <c r="AJ289" s="48">
        <v>0</v>
      </c>
      <c r="AK289" s="48">
        <v>0</v>
      </c>
      <c r="AL289" s="48">
        <v>0</v>
      </c>
      <c r="AM289" s="48">
        <v>0</v>
      </c>
      <c r="AN289" s="48">
        <v>0</v>
      </c>
      <c r="AO289" s="48">
        <v>0</v>
      </c>
      <c r="AP289" s="48">
        <v>0</v>
      </c>
      <c r="AQ289" s="48">
        <v>0</v>
      </c>
      <c r="AR289" s="48">
        <v>0</v>
      </c>
      <c r="AS289" s="48">
        <v>0</v>
      </c>
      <c r="AT289" s="48">
        <v>0</v>
      </c>
      <c r="AU289" s="48">
        <v>0</v>
      </c>
      <c r="AV289" s="48">
        <v>0</v>
      </c>
      <c r="AW289" s="48">
        <v>0</v>
      </c>
      <c r="AX289" s="48">
        <v>0</v>
      </c>
      <c r="AY289" s="48">
        <v>0</v>
      </c>
      <c r="AZ289" s="48">
        <v>0</v>
      </c>
      <c r="BA289" s="48">
        <v>0</v>
      </c>
      <c r="BB289" s="48">
        <v>0</v>
      </c>
      <c r="BC289" s="48">
        <v>0</v>
      </c>
      <c r="BD289" s="48">
        <v>0</v>
      </c>
      <c r="BE289" s="48">
        <v>0</v>
      </c>
      <c r="BF289" s="48">
        <v>0</v>
      </c>
      <c r="BG289" s="48">
        <v>0</v>
      </c>
      <c r="BH289" s="48">
        <v>0</v>
      </c>
      <c r="BI289" s="48">
        <v>0</v>
      </c>
      <c r="BJ289" s="48">
        <v>0</v>
      </c>
      <c r="BK289" s="48">
        <v>0</v>
      </c>
      <c r="BL289" s="48">
        <v>0</v>
      </c>
      <c r="BM289" s="48">
        <v>0</v>
      </c>
      <c r="BN289" s="48">
        <v>0</v>
      </c>
      <c r="BO289" s="48">
        <v>0</v>
      </c>
      <c r="BP289" s="48">
        <v>0</v>
      </c>
      <c r="BQ289" s="48">
        <v>0</v>
      </c>
      <c r="BR289" s="48">
        <v>0</v>
      </c>
      <c r="BS289" s="48">
        <v>0</v>
      </c>
      <c r="BT289" s="48">
        <v>0</v>
      </c>
      <c r="BU289" s="48">
        <v>0</v>
      </c>
      <c r="BV289" s="48">
        <v>0</v>
      </c>
      <c r="BW289" s="48">
        <v>0</v>
      </c>
      <c r="BX289" s="48">
        <v>0</v>
      </c>
      <c r="BY289" s="48">
        <v>0</v>
      </c>
      <c r="BZ289" s="48">
        <v>0</v>
      </c>
      <c r="CA289" s="48">
        <v>0</v>
      </c>
      <c r="CB289" s="48">
        <v>0</v>
      </c>
      <c r="CC289" s="48">
        <v>0</v>
      </c>
      <c r="CD289" s="48">
        <v>0</v>
      </c>
      <c r="CE289" s="48">
        <v>0</v>
      </c>
      <c r="CF289" s="48">
        <v>0</v>
      </c>
      <c r="CG289" s="48">
        <v>0</v>
      </c>
      <c r="CH289" s="48">
        <v>0</v>
      </c>
      <c r="CI289" s="48">
        <v>0</v>
      </c>
      <c r="CJ289" s="48">
        <v>0</v>
      </c>
      <c r="CK289" s="48">
        <v>0</v>
      </c>
      <c r="CL289" s="48">
        <v>0</v>
      </c>
      <c r="CM289" s="48">
        <v>0</v>
      </c>
      <c r="CN289" s="48">
        <v>0</v>
      </c>
      <c r="CO289" s="48">
        <v>0</v>
      </c>
      <c r="CP289" s="48">
        <v>0</v>
      </c>
      <c r="CQ289" s="48">
        <v>0</v>
      </c>
      <c r="CR289" s="48">
        <v>0</v>
      </c>
      <c r="CS289" s="48">
        <v>0</v>
      </c>
      <c r="CT289" s="48">
        <v>0</v>
      </c>
      <c r="CU289" s="48">
        <v>0</v>
      </c>
      <c r="CV289" s="48">
        <v>0</v>
      </c>
      <c r="CW289" s="48">
        <v>0</v>
      </c>
      <c r="CX289" s="48">
        <v>0</v>
      </c>
      <c r="CY289" s="48">
        <v>0</v>
      </c>
      <c r="CZ289" s="48">
        <v>0</v>
      </c>
      <c r="DA289" s="48">
        <v>0</v>
      </c>
      <c r="DB289" s="48">
        <v>0</v>
      </c>
      <c r="DC289" s="48">
        <v>0</v>
      </c>
      <c r="DD289" s="48">
        <v>0</v>
      </c>
      <c r="DE289" s="48">
        <f>VLOOKUP($C289,'[2]Analysis 1'!$C$5:$DG$1025,107,FALSE)</f>
        <v>0</v>
      </c>
      <c r="DF289" s="48">
        <f>VLOOKUP($C289,'[2]Analysis 1'!$C$5:$DG$1025,108,FALSE)</f>
        <v>0</v>
      </c>
      <c r="DG289" s="48">
        <f>VLOOKUP($C289,'[2]Analysis 1'!$C$5:$DG$1025,109,FALSE)</f>
        <v>0</v>
      </c>
      <c r="DH289" s="369">
        <f t="shared" si="8"/>
        <v>0</v>
      </c>
    </row>
    <row r="290" spans="1:112">
      <c r="A290" s="357" t="str">
        <f t="shared" si="7"/>
        <v>6790055</v>
      </c>
      <c r="B290" s="350" t="s">
        <v>1368</v>
      </c>
      <c r="C290" s="335" t="s">
        <v>1182</v>
      </c>
      <c r="D290" s="340">
        <v>20000</v>
      </c>
      <c r="E290" s="340">
        <v>40850</v>
      </c>
      <c r="F290" s="340">
        <v>63684</v>
      </c>
      <c r="G290" s="340">
        <v>35925</v>
      </c>
      <c r="H290" s="340">
        <v>51032</v>
      </c>
      <c r="I290" s="340">
        <v>1675</v>
      </c>
      <c r="J290" s="340">
        <v>1710</v>
      </c>
      <c r="K290" s="340">
        <v>11600</v>
      </c>
      <c r="L290" s="340">
        <v>23320</v>
      </c>
      <c r="M290" s="340">
        <v>1079.8800000000001</v>
      </c>
      <c r="N290" s="340">
        <v>995.12</v>
      </c>
      <c r="O290" s="341">
        <v>3875</v>
      </c>
      <c r="P290" s="48">
        <v>25000</v>
      </c>
      <c r="Q290" s="48">
        <v>74625</v>
      </c>
      <c r="R290" s="48">
        <v>2001.88</v>
      </c>
      <c r="S290" s="48">
        <v>74620</v>
      </c>
      <c r="T290" s="48">
        <v>14185</v>
      </c>
      <c r="U290" s="48">
        <v>7475</v>
      </c>
      <c r="V290" s="48">
        <v>16175</v>
      </c>
      <c r="W290" s="48">
        <v>12276.88</v>
      </c>
      <c r="X290" s="48">
        <v>15000</v>
      </c>
      <c r="Y290" s="48">
        <v>4859.88</v>
      </c>
      <c r="Z290" s="48">
        <v>1595.12</v>
      </c>
      <c r="AA290" s="48">
        <v>18045</v>
      </c>
      <c r="AB290" s="48">
        <v>135000</v>
      </c>
      <c r="AC290" s="48">
        <v>14000</v>
      </c>
      <c r="AD290" s="48">
        <v>57067</v>
      </c>
      <c r="AE290" s="48">
        <v>2910</v>
      </c>
      <c r="AF290" s="48">
        <v>4675</v>
      </c>
      <c r="AG290" s="48">
        <v>9135</v>
      </c>
      <c r="AH290" s="48">
        <v>4850</v>
      </c>
      <c r="AI290" s="48">
        <v>5612.59</v>
      </c>
      <c r="AJ290" s="48">
        <v>8372.59</v>
      </c>
      <c r="AK290" s="48">
        <v>21940.080000000002</v>
      </c>
      <c r="AL290" s="48">
        <v>26575.119999999999</v>
      </c>
      <c r="AM290" s="48">
        <v>150831</v>
      </c>
      <c r="AN290" s="48">
        <v>20436.32</v>
      </c>
      <c r="AO290" s="48">
        <v>5436.5</v>
      </c>
      <c r="AP290" s="48">
        <v>12500</v>
      </c>
      <c r="AQ290" s="48">
        <v>750</v>
      </c>
      <c r="AR290" s="48">
        <v>3722.11</v>
      </c>
      <c r="AS290" s="48">
        <v>256.89999999999998</v>
      </c>
      <c r="AT290" s="48">
        <v>17073.8</v>
      </c>
      <c r="AU290" s="48">
        <v>5600</v>
      </c>
      <c r="AV290" s="48">
        <v>5977.33</v>
      </c>
      <c r="AW290" s="48">
        <v>16739.98</v>
      </c>
      <c r="AX290" s="48">
        <v>6000</v>
      </c>
      <c r="AY290" s="48">
        <v>84295</v>
      </c>
      <c r="AZ290" s="48">
        <v>47998</v>
      </c>
      <c r="BA290" s="48">
        <v>15045</v>
      </c>
      <c r="BB290" s="48">
        <v>39596.61</v>
      </c>
      <c r="BC290" s="48">
        <v>2853</v>
      </c>
      <c r="BD290" s="48">
        <v>25705</v>
      </c>
      <c r="BE290" s="48">
        <v>68320</v>
      </c>
      <c r="BF290" s="48">
        <v>39133.199999999997</v>
      </c>
      <c r="BG290" s="48">
        <v>2100</v>
      </c>
      <c r="BH290" s="48">
        <v>5925</v>
      </c>
      <c r="BI290" s="48">
        <v>18600</v>
      </c>
      <c r="BJ290" s="48">
        <v>12745</v>
      </c>
      <c r="BK290" s="48">
        <v>35405</v>
      </c>
      <c r="BL290" s="48">
        <v>54941</v>
      </c>
      <c r="BM290" s="48">
        <v>50736.07</v>
      </c>
      <c r="BN290" s="48">
        <v>7845</v>
      </c>
      <c r="BO290" s="48">
        <v>52038.16</v>
      </c>
      <c r="BP290" s="48">
        <v>26405</v>
      </c>
      <c r="BQ290" s="48">
        <v>64332.46</v>
      </c>
      <c r="BR290" s="48">
        <v>2014.94</v>
      </c>
      <c r="BS290" s="48">
        <v>-23445</v>
      </c>
      <c r="BT290" s="48">
        <v>5750</v>
      </c>
      <c r="BU290" s="48">
        <v>14545</v>
      </c>
      <c r="BV290" s="48">
        <v>8120</v>
      </c>
      <c r="BW290" s="48">
        <v>33923.32</v>
      </c>
      <c r="BX290" s="48">
        <v>65982.100000000006</v>
      </c>
      <c r="BY290" s="48">
        <v>64297.68</v>
      </c>
      <c r="BZ290" s="48">
        <v>1057.3</v>
      </c>
      <c r="CA290" s="48">
        <v>6570.68</v>
      </c>
      <c r="CB290" s="48">
        <v>39700</v>
      </c>
      <c r="CC290" s="48">
        <v>4205</v>
      </c>
      <c r="CD290" s="48">
        <v>16900</v>
      </c>
      <c r="CE290" s="48">
        <v>25000</v>
      </c>
      <c r="CF290" s="48">
        <v>5955</v>
      </c>
      <c r="CG290" s="48">
        <v>6125</v>
      </c>
      <c r="CH290" s="48">
        <v>14500</v>
      </c>
      <c r="CI290" s="48">
        <v>98044.32</v>
      </c>
      <c r="CJ290" s="48">
        <v>0</v>
      </c>
      <c r="CK290" s="48">
        <v>109190.5</v>
      </c>
      <c r="CL290" s="48">
        <v>43795</v>
      </c>
      <c r="CM290" s="48">
        <v>28675</v>
      </c>
      <c r="CN290" s="48">
        <v>2320.5300000000002</v>
      </c>
      <c r="CO290" s="48">
        <v>15057.28</v>
      </c>
      <c r="CP290" s="48">
        <v>2600</v>
      </c>
      <c r="CQ290" s="48">
        <v>24545.33</v>
      </c>
      <c r="CR290" s="48">
        <v>12388.44</v>
      </c>
      <c r="CS290" s="48">
        <v>38080.9</v>
      </c>
      <c r="CT290" s="48">
        <v>8239.1</v>
      </c>
      <c r="CU290" s="48">
        <v>87525</v>
      </c>
      <c r="CV290" s="48">
        <v>85195</v>
      </c>
      <c r="CW290" s="48">
        <v>4091.15</v>
      </c>
      <c r="CX290" s="48">
        <v>16190.92</v>
      </c>
      <c r="CY290" s="48">
        <v>10080</v>
      </c>
      <c r="CZ290" s="48">
        <v>58857.96</v>
      </c>
      <c r="DA290" s="48">
        <v>10108.959999999999</v>
      </c>
      <c r="DB290" s="48">
        <v>21943</v>
      </c>
      <c r="DC290" s="48">
        <v>34084.959999999999</v>
      </c>
      <c r="DD290" s="48">
        <v>13450</v>
      </c>
      <c r="DE290" s="48">
        <f>VLOOKUP($C290,'[2]Analysis 1'!$C$5:$DG$1025,107,FALSE)</f>
        <v>5275</v>
      </c>
      <c r="DF290" s="48">
        <f>VLOOKUP($C290,'[2]Analysis 1'!$C$5:$DG$1025,108,FALSE)</f>
        <v>19250</v>
      </c>
      <c r="DG290" s="48">
        <f>VLOOKUP($C290,'[2]Analysis 1'!$C$5:$DG$1025,109,FALSE)</f>
        <v>43085</v>
      </c>
      <c r="DH290" s="369">
        <f t="shared" si="8"/>
        <v>321611.94999999995</v>
      </c>
    </row>
    <row r="291" spans="1:112">
      <c r="A291" s="357" t="str">
        <f t="shared" si="7"/>
        <v>6790060</v>
      </c>
      <c r="B291" s="350" t="s">
        <v>2099</v>
      </c>
      <c r="C291" s="335" t="s">
        <v>1183</v>
      </c>
      <c r="D291" s="340">
        <v>59121.67</v>
      </c>
      <c r="E291" s="340">
        <v>87660.39</v>
      </c>
      <c r="F291" s="340">
        <v>191237.17</v>
      </c>
      <c r="G291" s="340">
        <v>41216.67</v>
      </c>
      <c r="H291" s="340">
        <v>52661.67</v>
      </c>
      <c r="I291" s="340">
        <v>41666.67</v>
      </c>
      <c r="J291" s="340">
        <v>297384.42</v>
      </c>
      <c r="K291" s="340">
        <v>41666.67</v>
      </c>
      <c r="L291" s="340">
        <v>41766.67</v>
      </c>
      <c r="M291" s="340">
        <v>42866.67</v>
      </c>
      <c r="N291" s="340">
        <v>148386.67000000001</v>
      </c>
      <c r="O291" s="341">
        <v>56666.67</v>
      </c>
      <c r="P291" s="48">
        <v>10000</v>
      </c>
      <c r="Q291" s="48">
        <v>130291.32</v>
      </c>
      <c r="R291" s="48">
        <v>4333</v>
      </c>
      <c r="S291" s="48">
        <v>60204</v>
      </c>
      <c r="T291" s="48">
        <v>2400</v>
      </c>
      <c r="U291" s="48">
        <v>7000</v>
      </c>
      <c r="V291" s="48">
        <v>61204</v>
      </c>
      <c r="W291" s="48">
        <v>27300</v>
      </c>
      <c r="X291" s="48">
        <v>189359</v>
      </c>
      <c r="Y291" s="48">
        <v>0</v>
      </c>
      <c r="Z291" s="48">
        <v>78204</v>
      </c>
      <c r="AA291" s="48">
        <v>15193</v>
      </c>
      <c r="AB291" s="48">
        <v>12583.33</v>
      </c>
      <c r="AC291" s="48">
        <v>56818.5</v>
      </c>
      <c r="AD291" s="48">
        <v>0</v>
      </c>
      <c r="AE291" s="48">
        <v>56818.5</v>
      </c>
      <c r="AF291" s="48">
        <v>500</v>
      </c>
      <c r="AG291" s="48">
        <v>216559</v>
      </c>
      <c r="AH291" s="48">
        <v>61818.5</v>
      </c>
      <c r="AI291" s="48">
        <v>11333</v>
      </c>
      <c r="AJ291" s="48">
        <v>600</v>
      </c>
      <c r="AK291" s="48">
        <v>80951.5</v>
      </c>
      <c r="AL291" s="48">
        <v>6050</v>
      </c>
      <c r="AM291" s="48">
        <v>62316.04</v>
      </c>
      <c r="AN291" s="48">
        <v>44166.67</v>
      </c>
      <c r="AO291" s="48">
        <v>72221.33</v>
      </c>
      <c r="AP291" s="48">
        <v>29166.66</v>
      </c>
      <c r="AQ291" s="48">
        <v>90668.34</v>
      </c>
      <c r="AR291" s="48">
        <v>48499.99</v>
      </c>
      <c r="AS291" s="48">
        <v>29166.66</v>
      </c>
      <c r="AT291" s="48">
        <v>172121.34</v>
      </c>
      <c r="AU291" s="48">
        <v>56366.66</v>
      </c>
      <c r="AV291" s="48">
        <v>29536.66</v>
      </c>
      <c r="AW291" s="48">
        <v>84721.34</v>
      </c>
      <c r="AX291" s="48">
        <v>31666.66</v>
      </c>
      <c r="AY291" s="48">
        <v>105435.18</v>
      </c>
      <c r="AZ291" s="48">
        <v>33333.33</v>
      </c>
      <c r="BA291" s="48">
        <v>291133.05</v>
      </c>
      <c r="BB291" s="48">
        <v>36833.33</v>
      </c>
      <c r="BC291" s="48">
        <v>58333.33</v>
      </c>
      <c r="BD291" s="48">
        <v>84274.05</v>
      </c>
      <c r="BE291" s="48">
        <v>62533.33</v>
      </c>
      <c r="BF291" s="48">
        <v>84494.06</v>
      </c>
      <c r="BG291" s="48">
        <v>39083.33</v>
      </c>
      <c r="BH291" s="48">
        <v>33333.33</v>
      </c>
      <c r="BI291" s="48">
        <v>84274.05</v>
      </c>
      <c r="BJ291" s="48">
        <v>33333.33</v>
      </c>
      <c r="BK291" s="48">
        <v>37083.33</v>
      </c>
      <c r="BL291" s="48">
        <v>44166.67</v>
      </c>
      <c r="BM291" s="48">
        <v>120950.81</v>
      </c>
      <c r="BN291" s="48">
        <v>261025.67</v>
      </c>
      <c r="BO291" s="48">
        <v>124170.81</v>
      </c>
      <c r="BP291" s="48">
        <v>41685.629999999997</v>
      </c>
      <c r="BQ291" s="48">
        <v>41666.67</v>
      </c>
      <c r="BR291" s="48">
        <v>117570.81</v>
      </c>
      <c r="BS291" s="48">
        <v>52416.67</v>
      </c>
      <c r="BT291" s="48">
        <v>79166.67</v>
      </c>
      <c r="BU291" s="48">
        <v>101670.81</v>
      </c>
      <c r="BV291" s="48">
        <v>41666.67</v>
      </c>
      <c r="BW291" s="48">
        <v>41666.67</v>
      </c>
      <c r="BX291" s="48">
        <v>82016.67</v>
      </c>
      <c r="BY291" s="48">
        <v>274150.67</v>
      </c>
      <c r="BZ291" s="48">
        <v>63886.67</v>
      </c>
      <c r="CA291" s="48">
        <v>100231.67</v>
      </c>
      <c r="CB291" s="48">
        <v>41666.67</v>
      </c>
      <c r="CC291" s="48">
        <v>41666.67</v>
      </c>
      <c r="CD291" s="48">
        <v>100231.67</v>
      </c>
      <c r="CE291" s="48">
        <v>25000</v>
      </c>
      <c r="CF291" s="48">
        <v>0</v>
      </c>
      <c r="CG291" s="48">
        <v>66565</v>
      </c>
      <c r="CH291" s="48">
        <v>0</v>
      </c>
      <c r="CI291" s="48">
        <v>200000</v>
      </c>
      <c r="CJ291" s="48">
        <v>177669</v>
      </c>
      <c r="CK291" s="48">
        <v>95445.75</v>
      </c>
      <c r="CL291" s="48">
        <v>21780</v>
      </c>
      <c r="CM291" s="48">
        <v>56345.75</v>
      </c>
      <c r="CN291" s="48">
        <v>0</v>
      </c>
      <c r="CO291" s="48">
        <v>62711.13</v>
      </c>
      <c r="CP291" s="48">
        <v>86345.75</v>
      </c>
      <c r="CQ291" s="48">
        <v>0</v>
      </c>
      <c r="CR291" s="48">
        <v>0</v>
      </c>
      <c r="CS291" s="48">
        <v>56345.75</v>
      </c>
      <c r="CT291" s="48">
        <v>4993.8599999999997</v>
      </c>
      <c r="CU291" s="48">
        <v>39530</v>
      </c>
      <c r="CV291" s="48">
        <v>403578</v>
      </c>
      <c r="CW291" s="48">
        <v>59720</v>
      </c>
      <c r="CX291" s="48">
        <v>0</v>
      </c>
      <c r="CY291" s="48">
        <v>294720</v>
      </c>
      <c r="CZ291" s="48">
        <v>30000</v>
      </c>
      <c r="DA291" s="48">
        <v>8000</v>
      </c>
      <c r="DB291" s="48">
        <v>73720</v>
      </c>
      <c r="DC291" s="48">
        <v>0</v>
      </c>
      <c r="DD291" s="48">
        <v>0</v>
      </c>
      <c r="DE291" s="48">
        <f>VLOOKUP($C291,'[2]Analysis 1'!$C$5:$DG$1025,107,FALSE)</f>
        <v>57220</v>
      </c>
      <c r="DF291" s="48">
        <f>VLOOKUP($C291,'[2]Analysis 1'!$C$5:$DG$1025,108,FALSE)</f>
        <v>0</v>
      </c>
      <c r="DG291" s="48">
        <f>VLOOKUP($C291,'[2]Analysis 1'!$C$5:$DG$1025,109,FALSE)</f>
        <v>44530</v>
      </c>
      <c r="DH291" s="369">
        <f t="shared" si="8"/>
        <v>971488</v>
      </c>
    </row>
    <row r="292" spans="1:112">
      <c r="A292" s="357" t="str">
        <f t="shared" ref="A292:A365" si="9">+B292</f>
        <v>6790090</v>
      </c>
      <c r="B292" s="350" t="s">
        <v>2100</v>
      </c>
      <c r="C292" s="335" t="s">
        <v>1184</v>
      </c>
      <c r="D292" s="367">
        <v>6731</v>
      </c>
      <c r="E292" s="367">
        <v>2817.55</v>
      </c>
      <c r="F292" s="367">
        <v>3519.22</v>
      </c>
      <c r="G292" s="367">
        <v>1595.49</v>
      </c>
      <c r="H292" s="367">
        <v>5464</v>
      </c>
      <c r="I292" s="367">
        <v>1097.3800000000001</v>
      </c>
      <c r="J292" s="367">
        <v>527.75</v>
      </c>
      <c r="K292" s="367">
        <v>312.14</v>
      </c>
      <c r="L292" s="367">
        <v>3215.22</v>
      </c>
      <c r="M292" s="367">
        <v>2171.48</v>
      </c>
      <c r="N292" s="367">
        <v>4744.5</v>
      </c>
      <c r="O292" s="368">
        <v>14512.1</v>
      </c>
      <c r="P292" s="48">
        <v>4684.55</v>
      </c>
      <c r="Q292" s="48">
        <v>5011.38</v>
      </c>
      <c r="R292" s="48">
        <v>4431.88</v>
      </c>
      <c r="S292" s="48">
        <v>34482.68</v>
      </c>
      <c r="T292" s="48">
        <v>506</v>
      </c>
      <c r="U292" s="48">
        <v>6894.15</v>
      </c>
      <c r="V292" s="48">
        <v>3714</v>
      </c>
      <c r="W292" s="48">
        <v>3758</v>
      </c>
      <c r="X292" s="48">
        <v>7005.05</v>
      </c>
      <c r="Y292" s="48">
        <v>6618.5</v>
      </c>
      <c r="Z292" s="48">
        <v>1469.72</v>
      </c>
      <c r="AA292" s="48">
        <v>18310.5</v>
      </c>
      <c r="AB292" s="48">
        <v>1025.3499999999999</v>
      </c>
      <c r="AC292" s="48">
        <v>6781.3</v>
      </c>
      <c r="AD292" s="48">
        <v>3728.58</v>
      </c>
      <c r="AE292" s="48">
        <v>12765.73</v>
      </c>
      <c r="AF292" s="48">
        <v>8009.55</v>
      </c>
      <c r="AG292" s="48">
        <v>38552.730000000003</v>
      </c>
      <c r="AH292" s="48">
        <v>623.29</v>
      </c>
      <c r="AI292" s="48">
        <v>1082.18</v>
      </c>
      <c r="AJ292" s="48">
        <v>10765.58</v>
      </c>
      <c r="AK292" s="48">
        <v>13197.61</v>
      </c>
      <c r="AL292" s="48">
        <v>6612.4</v>
      </c>
      <c r="AM292" s="48">
        <v>20749.46</v>
      </c>
      <c r="AN292" s="48">
        <v>957.32</v>
      </c>
      <c r="AO292" s="48">
        <v>6072.54</v>
      </c>
      <c r="AP292" s="48">
        <v>1057.5</v>
      </c>
      <c r="AQ292" s="48">
        <v>1182.5</v>
      </c>
      <c r="AR292" s="48">
        <v>3177.29</v>
      </c>
      <c r="AS292" s="48">
        <v>2883.27</v>
      </c>
      <c r="AT292" s="48">
        <v>17541.47</v>
      </c>
      <c r="AU292" s="48">
        <v>6174.47</v>
      </c>
      <c r="AV292" s="48">
        <v>6407.5</v>
      </c>
      <c r="AW292" s="48">
        <v>5605.76</v>
      </c>
      <c r="AX292" s="48">
        <v>3608.18</v>
      </c>
      <c r="AY292" s="48">
        <v>7134.77</v>
      </c>
      <c r="AZ292" s="48">
        <v>799.02</v>
      </c>
      <c r="BA292" s="48">
        <v>1943.08</v>
      </c>
      <c r="BB292" s="48">
        <v>6092.5</v>
      </c>
      <c r="BC292" s="48">
        <v>5261.5</v>
      </c>
      <c r="BD292" s="48">
        <v>384.5</v>
      </c>
      <c r="BE292" s="48">
        <v>4429.9399999999996</v>
      </c>
      <c r="BF292" s="48">
        <v>3897.37</v>
      </c>
      <c r="BG292" s="48">
        <v>8607.6200000000008</v>
      </c>
      <c r="BH292" s="48">
        <v>1637.46</v>
      </c>
      <c r="BI292" s="48">
        <v>30323.53</v>
      </c>
      <c r="BJ292" s="48">
        <v>1709.3</v>
      </c>
      <c r="BK292" s="48">
        <v>19639.71</v>
      </c>
      <c r="BL292" s="48">
        <v>10101.6</v>
      </c>
      <c r="BM292" s="48">
        <v>4000</v>
      </c>
      <c r="BN292" s="48">
        <v>3850</v>
      </c>
      <c r="BO292" s="48">
        <v>1275</v>
      </c>
      <c r="BP292" s="48">
        <v>15196.52</v>
      </c>
      <c r="BQ292" s="48">
        <v>3818.5</v>
      </c>
      <c r="BR292" s="48">
        <v>700</v>
      </c>
      <c r="BS292" s="48">
        <v>7550</v>
      </c>
      <c r="BT292" s="48">
        <v>20738.52</v>
      </c>
      <c r="BU292" s="48">
        <v>1539</v>
      </c>
      <c r="BV292" s="48">
        <v>4220.96</v>
      </c>
      <c r="BW292" s="48">
        <v>10552.35</v>
      </c>
      <c r="BX292" s="48">
        <v>3700</v>
      </c>
      <c r="BY292" s="48">
        <v>5698.44</v>
      </c>
      <c r="BZ292" s="48">
        <v>10350</v>
      </c>
      <c r="CA292" s="48">
        <v>105026.33</v>
      </c>
      <c r="CB292" s="48">
        <v>20264.29</v>
      </c>
      <c r="CC292" s="48">
        <v>50910</v>
      </c>
      <c r="CD292" s="48">
        <v>0</v>
      </c>
      <c r="CE292" s="48">
        <v>4564.78</v>
      </c>
      <c r="CF292" s="48">
        <v>2238.0700000000002</v>
      </c>
      <c r="CG292" s="48">
        <v>4816.9799999999996</v>
      </c>
      <c r="CH292" s="48">
        <v>3160.74</v>
      </c>
      <c r="CI292" s="48">
        <v>34509.040000000001</v>
      </c>
      <c r="CJ292" s="48">
        <v>703.58</v>
      </c>
      <c r="CK292" s="48">
        <v>6057.47</v>
      </c>
      <c r="CL292" s="48">
        <v>16557.38</v>
      </c>
      <c r="CM292" s="48">
        <v>16215.92</v>
      </c>
      <c r="CN292" s="48">
        <v>312.93</v>
      </c>
      <c r="CO292" s="48">
        <v>82.06</v>
      </c>
      <c r="CP292" s="48">
        <v>250</v>
      </c>
      <c r="CQ292" s="48">
        <v>20256.32</v>
      </c>
      <c r="CR292" s="48">
        <v>4205.74</v>
      </c>
      <c r="CS292" s="48">
        <v>9743.86</v>
      </c>
      <c r="CT292" s="48">
        <v>15009.98</v>
      </c>
      <c r="CU292" s="48">
        <v>69067.69</v>
      </c>
      <c r="CV292" s="48">
        <v>1355.61</v>
      </c>
      <c r="CW292" s="48">
        <v>1925</v>
      </c>
      <c r="CX292" s="48">
        <v>11280.06</v>
      </c>
      <c r="CY292" s="48">
        <v>39249.949999999997</v>
      </c>
      <c r="CZ292" s="48">
        <v>13726.27</v>
      </c>
      <c r="DA292" s="48">
        <v>21026.67</v>
      </c>
      <c r="DB292" s="48">
        <v>16058.18</v>
      </c>
      <c r="DC292" s="48">
        <v>-6481.25</v>
      </c>
      <c r="DD292" s="48">
        <v>23113.75</v>
      </c>
      <c r="DE292" s="48">
        <f>VLOOKUP($C292,'[2]Analysis 1'!$C$5:$DG$1025,107,FALSE)</f>
        <v>54155.56</v>
      </c>
      <c r="DF292" s="48">
        <f>VLOOKUP($C292,'[2]Analysis 1'!$C$5:$DG$1025,108,FALSE)</f>
        <v>36878.03</v>
      </c>
      <c r="DG292" s="48">
        <f>VLOOKUP($C292,'[2]Analysis 1'!$C$5:$DG$1025,109,FALSE)</f>
        <v>25187.68</v>
      </c>
      <c r="DH292" s="369">
        <f t="shared" si="8"/>
        <v>237475.50999999998</v>
      </c>
    </row>
    <row r="293" spans="1:112">
      <c r="A293" s="357" t="str">
        <f t="shared" si="9"/>
        <v>6790091</v>
      </c>
      <c r="B293" s="350" t="s">
        <v>2101</v>
      </c>
      <c r="C293" s="335" t="s">
        <v>1185</v>
      </c>
      <c r="D293" s="340">
        <v>840</v>
      </c>
      <c r="E293" s="340">
        <v>50</v>
      </c>
      <c r="F293" s="340">
        <v>3160</v>
      </c>
      <c r="G293" s="340">
        <v>550</v>
      </c>
      <c r="H293" s="340">
        <v>2075</v>
      </c>
      <c r="I293" s="340">
        <v>205.47</v>
      </c>
      <c r="J293" s="340">
        <v>2032.21</v>
      </c>
      <c r="K293" s="340">
        <v>1150</v>
      </c>
      <c r="L293" s="340">
        <v>0</v>
      </c>
      <c r="M293" s="340">
        <v>780</v>
      </c>
      <c r="N293" s="340">
        <v>1500</v>
      </c>
      <c r="O293" s="341">
        <v>7604.06</v>
      </c>
      <c r="P293" s="48">
        <v>4230</v>
      </c>
      <c r="Q293" s="48">
        <v>1965.42</v>
      </c>
      <c r="R293" s="48">
        <v>12935.55</v>
      </c>
      <c r="S293" s="48">
        <v>310</v>
      </c>
      <c r="T293" s="48">
        <v>3033.49</v>
      </c>
      <c r="U293" s="48">
        <v>3368.77</v>
      </c>
      <c r="V293" s="48">
        <v>8545.0400000000009</v>
      </c>
      <c r="W293" s="48">
        <v>1220</v>
      </c>
      <c r="X293" s="48">
        <v>3121.27</v>
      </c>
      <c r="Y293" s="48">
        <v>2508</v>
      </c>
      <c r="Z293" s="48">
        <v>330.18</v>
      </c>
      <c r="AA293" s="48">
        <v>3198.57</v>
      </c>
      <c r="AB293" s="48">
        <v>1850</v>
      </c>
      <c r="AC293" s="48">
        <v>1831.15</v>
      </c>
      <c r="AD293" s="48">
        <v>16841.95</v>
      </c>
      <c r="AE293" s="48">
        <v>1535</v>
      </c>
      <c r="AF293" s="48">
        <v>0</v>
      </c>
      <c r="AG293" s="48">
        <v>5315</v>
      </c>
      <c r="AH293" s="48">
        <v>1495</v>
      </c>
      <c r="AI293" s="48">
        <v>5220</v>
      </c>
      <c r="AJ293" s="48">
        <v>2301.65</v>
      </c>
      <c r="AK293" s="48">
        <v>5792.59</v>
      </c>
      <c r="AL293" s="48">
        <v>1250</v>
      </c>
      <c r="AM293" s="48">
        <v>1384.31</v>
      </c>
      <c r="AN293" s="48">
        <v>6606.15</v>
      </c>
      <c r="AO293" s="48">
        <v>1886.32</v>
      </c>
      <c r="AP293" s="48">
        <v>3302</v>
      </c>
      <c r="AQ293" s="48">
        <v>14411.56</v>
      </c>
      <c r="AR293" s="48">
        <v>2825</v>
      </c>
      <c r="AS293" s="48">
        <v>2500</v>
      </c>
      <c r="AT293" s="48">
        <v>5925</v>
      </c>
      <c r="AU293" s="48">
        <v>2000</v>
      </c>
      <c r="AV293" s="48">
        <v>16504</v>
      </c>
      <c r="AW293" s="48">
        <v>7436.78</v>
      </c>
      <c r="AX293" s="48">
        <v>1565</v>
      </c>
      <c r="AY293" s="48">
        <v>5893.92</v>
      </c>
      <c r="AZ293" s="48">
        <v>4252.0600000000004</v>
      </c>
      <c r="BA293" s="48">
        <v>4295</v>
      </c>
      <c r="BB293" s="48">
        <v>9829.6</v>
      </c>
      <c r="BC293" s="48">
        <v>15201.13</v>
      </c>
      <c r="BD293" s="48">
        <v>5975</v>
      </c>
      <c r="BE293" s="48">
        <v>4605.34</v>
      </c>
      <c r="BF293" s="48">
        <v>1200</v>
      </c>
      <c r="BG293" s="48">
        <v>1725</v>
      </c>
      <c r="BH293" s="48">
        <v>4205</v>
      </c>
      <c r="BI293" s="48">
        <v>1304.98</v>
      </c>
      <c r="BJ293" s="48">
        <v>9200</v>
      </c>
      <c r="BK293" s="48">
        <v>2188.52</v>
      </c>
      <c r="BL293" s="48">
        <v>15350</v>
      </c>
      <c r="BM293" s="48">
        <v>5150</v>
      </c>
      <c r="BN293" s="48">
        <v>5200</v>
      </c>
      <c r="BO293" s="48">
        <v>6630</v>
      </c>
      <c r="BP293" s="48">
        <v>5625</v>
      </c>
      <c r="BQ293" s="48">
        <v>0</v>
      </c>
      <c r="BR293" s="48">
        <v>4884</v>
      </c>
      <c r="BS293" s="48">
        <v>4950</v>
      </c>
      <c r="BT293" s="48">
        <v>42455</v>
      </c>
      <c r="BU293" s="48">
        <v>8368.33</v>
      </c>
      <c r="BV293" s="48">
        <v>4299</v>
      </c>
      <c r="BW293" s="48">
        <v>20114.88</v>
      </c>
      <c r="BX293" s="48">
        <v>1350</v>
      </c>
      <c r="BY293" s="48">
        <v>61961.96</v>
      </c>
      <c r="BZ293" s="48">
        <v>26250</v>
      </c>
      <c r="CA293" s="48">
        <v>125.19</v>
      </c>
      <c r="CB293" s="48">
        <v>8500</v>
      </c>
      <c r="CC293" s="48">
        <v>1700</v>
      </c>
      <c r="CD293" s="48">
        <v>0</v>
      </c>
      <c r="CE293" s="48">
        <v>0</v>
      </c>
      <c r="CF293" s="48">
        <v>0</v>
      </c>
      <c r="CG293" s="48">
        <v>13000</v>
      </c>
      <c r="CH293" s="48">
        <v>9500</v>
      </c>
      <c r="CI293" s="48">
        <v>5535</v>
      </c>
      <c r="CJ293" s="48">
        <v>0</v>
      </c>
      <c r="CK293" s="48">
        <v>34617.69</v>
      </c>
      <c r="CL293" s="48">
        <v>0</v>
      </c>
      <c r="CM293" s="48">
        <v>1500</v>
      </c>
      <c r="CN293" s="48">
        <v>7000</v>
      </c>
      <c r="CO293" s="48">
        <v>2500</v>
      </c>
      <c r="CP293" s="48">
        <v>3020</v>
      </c>
      <c r="CQ293" s="48">
        <v>5000</v>
      </c>
      <c r="CR293" s="48">
        <v>16642.009999999998</v>
      </c>
      <c r="CS293" s="48">
        <v>0</v>
      </c>
      <c r="CT293" s="48">
        <v>1550</v>
      </c>
      <c r="CU293" s="48">
        <v>5284</v>
      </c>
      <c r="CV293" s="48">
        <v>49902.5</v>
      </c>
      <c r="CW293" s="48">
        <v>295</v>
      </c>
      <c r="CX293" s="48">
        <v>3425</v>
      </c>
      <c r="CY293" s="48">
        <v>7306.15</v>
      </c>
      <c r="CZ293" s="48">
        <v>22216.39</v>
      </c>
      <c r="DA293" s="48">
        <v>0</v>
      </c>
      <c r="DB293" s="48">
        <v>4000</v>
      </c>
      <c r="DC293" s="48">
        <v>3688.89</v>
      </c>
      <c r="DD293" s="48">
        <v>92.24</v>
      </c>
      <c r="DE293" s="48">
        <f>VLOOKUP($C293,'[2]Analysis 1'!$C$5:$DG$1025,107,FALSE)</f>
        <v>4156.25</v>
      </c>
      <c r="DF293" s="48">
        <f>VLOOKUP($C293,'[2]Analysis 1'!$C$5:$DG$1025,108,FALSE)</f>
        <v>7679.68</v>
      </c>
      <c r="DG293" s="48">
        <f>VLOOKUP($C293,'[2]Analysis 1'!$C$5:$DG$1025,109,FALSE)</f>
        <v>-344.68</v>
      </c>
      <c r="DH293" s="369">
        <f t="shared" si="8"/>
        <v>102417.42000000001</v>
      </c>
    </row>
    <row r="294" spans="1:112">
      <c r="A294" s="357" t="str">
        <f t="shared" si="9"/>
        <v>6790092</v>
      </c>
      <c r="B294" s="350" t="s">
        <v>2102</v>
      </c>
      <c r="C294" s="335" t="s">
        <v>1186</v>
      </c>
      <c r="D294" s="367">
        <v>2005</v>
      </c>
      <c r="E294" s="367">
        <v>4630.7</v>
      </c>
      <c r="F294" s="367">
        <v>13633</v>
      </c>
      <c r="G294" s="367">
        <v>2884</v>
      </c>
      <c r="H294" s="367">
        <v>23658.18</v>
      </c>
      <c r="I294" s="367">
        <v>7833</v>
      </c>
      <c r="J294" s="367">
        <v>15773</v>
      </c>
      <c r="K294" s="367">
        <v>9924</v>
      </c>
      <c r="L294" s="367">
        <v>1232</v>
      </c>
      <c r="M294" s="367">
        <v>1866</v>
      </c>
      <c r="N294" s="367">
        <v>4793</v>
      </c>
      <c r="O294" s="368">
        <v>22166</v>
      </c>
      <c r="P294" s="48">
        <v>6592</v>
      </c>
      <c r="Q294" s="48">
        <v>6917</v>
      </c>
      <c r="R294" s="48">
        <v>32297</v>
      </c>
      <c r="S294" s="48">
        <v>12206.48</v>
      </c>
      <c r="T294" s="48">
        <v>10339</v>
      </c>
      <c r="U294" s="48">
        <v>5853</v>
      </c>
      <c r="V294" s="48">
        <v>15706.98</v>
      </c>
      <c r="W294" s="48">
        <v>7653.5</v>
      </c>
      <c r="X294" s="48">
        <v>6553.05</v>
      </c>
      <c r="Y294" s="48">
        <v>9413</v>
      </c>
      <c r="Z294" s="48">
        <v>3185.46</v>
      </c>
      <c r="AA294" s="48">
        <v>16157.2</v>
      </c>
      <c r="AB294" s="48">
        <v>19338</v>
      </c>
      <c r="AC294" s="48">
        <v>3577</v>
      </c>
      <c r="AD294" s="48">
        <v>14047</v>
      </c>
      <c r="AE294" s="48">
        <v>5961</v>
      </c>
      <c r="AF294" s="48">
        <v>11965</v>
      </c>
      <c r="AG294" s="48">
        <v>29735</v>
      </c>
      <c r="AH294" s="48">
        <v>11063</v>
      </c>
      <c r="AI294" s="48">
        <v>11049.98</v>
      </c>
      <c r="AJ294" s="48">
        <v>14206.5</v>
      </c>
      <c r="AK294" s="48">
        <v>8993</v>
      </c>
      <c r="AL294" s="48">
        <v>6630</v>
      </c>
      <c r="AM294" s="48">
        <v>36478</v>
      </c>
      <c r="AN294" s="48">
        <v>-25068.26</v>
      </c>
      <c r="AO294" s="48">
        <v>12078.08</v>
      </c>
      <c r="AP294" s="48">
        <v>3134.5</v>
      </c>
      <c r="AQ294" s="48">
        <v>9248</v>
      </c>
      <c r="AR294" s="48">
        <v>9219</v>
      </c>
      <c r="AS294" s="48">
        <v>8412</v>
      </c>
      <c r="AT294" s="48">
        <v>7696.25</v>
      </c>
      <c r="AU294" s="48">
        <v>16766.73</v>
      </c>
      <c r="AV294" s="48">
        <v>12560</v>
      </c>
      <c r="AW294" s="48">
        <v>5603</v>
      </c>
      <c r="AX294" s="48">
        <v>14257</v>
      </c>
      <c r="AY294" s="48">
        <v>18529</v>
      </c>
      <c r="AZ294" s="48">
        <v>8415</v>
      </c>
      <c r="BA294" s="48">
        <v>8833</v>
      </c>
      <c r="BB294" s="48">
        <v>4786</v>
      </c>
      <c r="BC294" s="48">
        <v>25532</v>
      </c>
      <c r="BD294" s="48">
        <v>24092</v>
      </c>
      <c r="BE294" s="48">
        <v>4331</v>
      </c>
      <c r="BF294" s="48">
        <v>2291.5</v>
      </c>
      <c r="BG294" s="48">
        <v>16854</v>
      </c>
      <c r="BH294" s="48">
        <v>9125</v>
      </c>
      <c r="BI294" s="48">
        <v>32828.480000000003</v>
      </c>
      <c r="BJ294" s="48">
        <v>27992</v>
      </c>
      <c r="BK294" s="48">
        <v>9367</v>
      </c>
      <c r="BL294" s="48">
        <v>8918</v>
      </c>
      <c r="BM294" s="48">
        <v>10410</v>
      </c>
      <c r="BN294" s="48">
        <v>15438</v>
      </c>
      <c r="BO294" s="48">
        <v>10298.969999999999</v>
      </c>
      <c r="BP294" s="48">
        <v>11217</v>
      </c>
      <c r="BQ294" s="48">
        <v>13650</v>
      </c>
      <c r="BR294" s="48">
        <v>4460.66</v>
      </c>
      <c r="BS294" s="48">
        <v>13238</v>
      </c>
      <c r="BT294" s="48">
        <v>8317</v>
      </c>
      <c r="BU294" s="48">
        <v>2810</v>
      </c>
      <c r="BV294" s="48">
        <v>31376</v>
      </c>
      <c r="BW294" s="48">
        <v>31810.25</v>
      </c>
      <c r="BX294" s="48">
        <v>3789</v>
      </c>
      <c r="BY294" s="48">
        <v>7058</v>
      </c>
      <c r="BZ294" s="48">
        <v>3870</v>
      </c>
      <c r="CA294" s="48">
        <v>1346</v>
      </c>
      <c r="CB294" s="48">
        <v>1581</v>
      </c>
      <c r="CC294" s="48">
        <v>4119</v>
      </c>
      <c r="CD294" s="48">
        <v>1499</v>
      </c>
      <c r="CE294" s="48">
        <v>4575</v>
      </c>
      <c r="CF294" s="48">
        <v>1909</v>
      </c>
      <c r="CG294" s="48">
        <v>12215</v>
      </c>
      <c r="CH294" s="48">
        <v>4352.96</v>
      </c>
      <c r="CI294" s="48">
        <v>30593.94</v>
      </c>
      <c r="CJ294" s="48">
        <v>1658</v>
      </c>
      <c r="CK294" s="48">
        <v>3438.21</v>
      </c>
      <c r="CL294" s="48">
        <v>4461</v>
      </c>
      <c r="CM294" s="48">
        <v>1917</v>
      </c>
      <c r="CN294" s="48">
        <v>2112</v>
      </c>
      <c r="CO294" s="48">
        <v>4794</v>
      </c>
      <c r="CP294" s="48">
        <v>2505.25</v>
      </c>
      <c r="CQ294" s="48">
        <v>2632.47</v>
      </c>
      <c r="CR294" s="48">
        <v>15140</v>
      </c>
      <c r="CS294" s="48">
        <v>2375</v>
      </c>
      <c r="CT294" s="48">
        <v>633.01</v>
      </c>
      <c r="CU294" s="48">
        <v>6592.5</v>
      </c>
      <c r="CV294" s="48">
        <v>2289</v>
      </c>
      <c r="CW294" s="48">
        <v>5080</v>
      </c>
      <c r="CX294" s="48">
        <v>7619</v>
      </c>
      <c r="CY294" s="48">
        <v>9237</v>
      </c>
      <c r="CZ294" s="48">
        <v>2335.5300000000002</v>
      </c>
      <c r="DA294" s="48">
        <v>3757</v>
      </c>
      <c r="DB294" s="48">
        <v>2525</v>
      </c>
      <c r="DC294" s="48">
        <v>4081</v>
      </c>
      <c r="DD294" s="48">
        <v>2804</v>
      </c>
      <c r="DE294" s="48">
        <f>VLOOKUP($C294,'[2]Analysis 1'!$C$5:$DG$1025,107,FALSE)</f>
        <v>5920</v>
      </c>
      <c r="DF294" s="48">
        <f>VLOOKUP($C294,'[2]Analysis 1'!$C$5:$DG$1025,108,FALSE)</f>
        <v>9477</v>
      </c>
      <c r="DG294" s="48">
        <f>VLOOKUP($C294,'[2]Analysis 1'!$C$5:$DG$1025,109,FALSE)</f>
        <v>21439.45</v>
      </c>
      <c r="DH294" s="369">
        <f t="shared" si="8"/>
        <v>76563.98</v>
      </c>
    </row>
    <row r="295" spans="1:112">
      <c r="A295" s="357" t="str">
        <f t="shared" si="9"/>
        <v>6790101</v>
      </c>
      <c r="B295" s="350" t="s">
        <v>2103</v>
      </c>
      <c r="C295" s="335" t="s">
        <v>1187</v>
      </c>
      <c r="D295" s="367">
        <v>31766.41</v>
      </c>
      <c r="E295" s="367">
        <v>65137.41</v>
      </c>
      <c r="F295" s="367">
        <v>29000.16</v>
      </c>
      <c r="G295" s="367">
        <v>55022.36</v>
      </c>
      <c r="H295" s="367">
        <v>29812.7</v>
      </c>
      <c r="I295" s="367">
        <v>28383.54</v>
      </c>
      <c r="J295" s="367">
        <v>55510.53</v>
      </c>
      <c r="K295" s="367">
        <v>30436.29</v>
      </c>
      <c r="L295" s="367">
        <v>55639.72</v>
      </c>
      <c r="M295" s="367">
        <v>27996.28</v>
      </c>
      <c r="N295" s="367">
        <v>28348.22</v>
      </c>
      <c r="O295" s="368">
        <v>33877.279999999999</v>
      </c>
      <c r="P295" s="48">
        <v>55113.120000000003</v>
      </c>
      <c r="Q295" s="48">
        <v>27379.119999999999</v>
      </c>
      <c r="R295" s="48">
        <v>26987.17</v>
      </c>
      <c r="S295" s="48">
        <v>53035.63</v>
      </c>
      <c r="T295" s="48">
        <v>28096.11</v>
      </c>
      <c r="U295" s="48">
        <v>29544.74</v>
      </c>
      <c r="V295" s="48">
        <v>57556.02</v>
      </c>
      <c r="W295" s="48">
        <v>31122.69</v>
      </c>
      <c r="X295" s="48">
        <v>30489.08</v>
      </c>
      <c r="Y295" s="48">
        <v>56857.3</v>
      </c>
      <c r="Z295" s="48">
        <v>30624.75</v>
      </c>
      <c r="AA295" s="48">
        <v>36334.69</v>
      </c>
      <c r="AB295" s="48">
        <v>55206.36</v>
      </c>
      <c r="AC295" s="48">
        <v>28228.6</v>
      </c>
      <c r="AD295" s="48">
        <v>31163.34</v>
      </c>
      <c r="AE295" s="48">
        <v>58385.66</v>
      </c>
      <c r="AF295" s="48">
        <v>31309.43</v>
      </c>
      <c r="AG295" s="48">
        <v>28824</v>
      </c>
      <c r="AH295" s="48">
        <v>55405.43</v>
      </c>
      <c r="AI295" s="48">
        <v>18348.96</v>
      </c>
      <c r="AJ295" s="48">
        <v>29388.77</v>
      </c>
      <c r="AK295" s="48">
        <v>54966.79</v>
      </c>
      <c r="AL295" s="48">
        <v>27933.94</v>
      </c>
      <c r="AM295" s="48">
        <v>33551.89</v>
      </c>
      <c r="AN295" s="48">
        <v>52960.84</v>
      </c>
      <c r="AO295" s="48">
        <v>33715.120000000003</v>
      </c>
      <c r="AP295" s="48">
        <v>42416.05</v>
      </c>
      <c r="AQ295" s="48">
        <v>77360.13</v>
      </c>
      <c r="AR295" s="48">
        <v>28355.3</v>
      </c>
      <c r="AS295" s="48">
        <v>28880.89</v>
      </c>
      <c r="AT295" s="48">
        <v>55028.25</v>
      </c>
      <c r="AU295" s="48">
        <v>28499.68</v>
      </c>
      <c r="AV295" s="48">
        <v>29543.73</v>
      </c>
      <c r="AW295" s="48">
        <v>52791.06</v>
      </c>
      <c r="AX295" s="48">
        <v>28407.45</v>
      </c>
      <c r="AY295" s="48">
        <v>24187.06</v>
      </c>
      <c r="AZ295" s="48">
        <v>43080.68</v>
      </c>
      <c r="BA295" s="48">
        <v>18744.259999999998</v>
      </c>
      <c r="BB295" s="48">
        <v>25885.02</v>
      </c>
      <c r="BC295" s="48">
        <v>45499.67</v>
      </c>
      <c r="BD295" s="48">
        <v>18119.740000000002</v>
      </c>
      <c r="BE295" s="48">
        <v>22184.85</v>
      </c>
      <c r="BF295" s="48">
        <v>47383.360000000001</v>
      </c>
      <c r="BG295" s="48">
        <v>22720.66</v>
      </c>
      <c r="BH295" s="48">
        <v>21910.51</v>
      </c>
      <c r="BI295" s="48">
        <v>47238.38</v>
      </c>
      <c r="BJ295" s="48">
        <v>18796.560000000001</v>
      </c>
      <c r="BK295" s="48">
        <v>19024.990000000002</v>
      </c>
      <c r="BL295" s="48">
        <v>45426.78</v>
      </c>
      <c r="BM295" s="48">
        <v>19521.71</v>
      </c>
      <c r="BN295" s="48">
        <v>25493.59</v>
      </c>
      <c r="BO295" s="48">
        <v>45738.44</v>
      </c>
      <c r="BP295" s="48">
        <v>20879.91</v>
      </c>
      <c r="BQ295" s="48">
        <v>23443.87</v>
      </c>
      <c r="BR295" s="48">
        <v>48867.199999999997</v>
      </c>
      <c r="BS295" s="48">
        <v>24627.01</v>
      </c>
      <c r="BT295" s="48">
        <v>24889.200000000001</v>
      </c>
      <c r="BU295" s="48">
        <v>42216.95</v>
      </c>
      <c r="BV295" s="48">
        <v>34522.04</v>
      </c>
      <c r="BW295" s="48">
        <v>23951.01</v>
      </c>
      <c r="BX295" s="48">
        <v>51677.05</v>
      </c>
      <c r="BY295" s="48">
        <v>24618.07</v>
      </c>
      <c r="BZ295" s="48">
        <v>30713.02</v>
      </c>
      <c r="CA295" s="48">
        <v>57830.65</v>
      </c>
      <c r="CB295" s="48">
        <v>23926.93</v>
      </c>
      <c r="CC295" s="48">
        <v>23758.41</v>
      </c>
      <c r="CD295" s="48">
        <v>56754.239999999998</v>
      </c>
      <c r="CE295" s="48">
        <v>25320.39</v>
      </c>
      <c r="CF295" s="48">
        <v>25845.15</v>
      </c>
      <c r="CG295" s="48">
        <v>55900.79</v>
      </c>
      <c r="CH295" s="48">
        <v>24518.99</v>
      </c>
      <c r="CI295" s="48">
        <v>54813.760000000002</v>
      </c>
      <c r="CJ295" s="48">
        <v>34939.599999999999</v>
      </c>
      <c r="CK295" s="48">
        <v>23158.65</v>
      </c>
      <c r="CL295" s="48">
        <v>20642.259999999998</v>
      </c>
      <c r="CM295" s="48">
        <v>82158.55</v>
      </c>
      <c r="CN295" s="48">
        <v>13902.21</v>
      </c>
      <c r="CO295" s="48">
        <v>13585.18</v>
      </c>
      <c r="CP295" s="48">
        <v>79773.81</v>
      </c>
      <c r="CQ295" s="48">
        <v>15047.02</v>
      </c>
      <c r="CR295" s="48">
        <v>16523.27</v>
      </c>
      <c r="CS295" s="48">
        <v>81516.37</v>
      </c>
      <c r="CT295" s="48">
        <v>17315.25</v>
      </c>
      <c r="CU295" s="48">
        <v>76204.25</v>
      </c>
      <c r="CV295" s="48">
        <v>29249.54</v>
      </c>
      <c r="CW295" s="48">
        <v>17484.68</v>
      </c>
      <c r="CX295" s="48">
        <v>19137.96</v>
      </c>
      <c r="CY295" s="48">
        <v>85193.279999999999</v>
      </c>
      <c r="CZ295" s="48">
        <v>18130.43</v>
      </c>
      <c r="DA295" s="48">
        <v>18865.95</v>
      </c>
      <c r="DB295" s="48">
        <v>83934.6</v>
      </c>
      <c r="DC295" s="48">
        <v>20585.099999999999</v>
      </c>
      <c r="DD295" s="48">
        <v>25051.21</v>
      </c>
      <c r="DE295" s="48">
        <f>VLOOKUP($C295,'[2]Analysis 1'!$C$5:$DG$1025,107,FALSE)</f>
        <v>87642.26</v>
      </c>
      <c r="DF295" s="48">
        <f>VLOOKUP($C295,'[2]Analysis 1'!$C$5:$DG$1025,108,FALSE)</f>
        <v>20314.97</v>
      </c>
      <c r="DG295" s="48">
        <f>VLOOKUP($C295,'[2]Analysis 1'!$C$5:$DG$1025,109,FALSE)</f>
        <v>18262.7</v>
      </c>
      <c r="DH295" s="369">
        <f t="shared" si="8"/>
        <v>443852.68</v>
      </c>
    </row>
    <row r="296" spans="1:112">
      <c r="A296" s="357" t="str">
        <f t="shared" si="9"/>
        <v>6790102</v>
      </c>
      <c r="B296" s="350" t="s">
        <v>2104</v>
      </c>
      <c r="C296" s="335" t="s">
        <v>1188</v>
      </c>
      <c r="D296" s="340">
        <v>0</v>
      </c>
      <c r="E296" s="340">
        <v>0</v>
      </c>
      <c r="F296" s="340">
        <v>150</v>
      </c>
      <c r="G296" s="340">
        <v>0</v>
      </c>
      <c r="H296" s="340">
        <v>0</v>
      </c>
      <c r="I296" s="340">
        <v>0</v>
      </c>
      <c r="J296" s="340">
        <v>0</v>
      </c>
      <c r="K296" s="340">
        <v>0</v>
      </c>
      <c r="L296" s="340">
        <v>0</v>
      </c>
      <c r="M296" s="340">
        <v>0</v>
      </c>
      <c r="N296" s="340">
        <v>0</v>
      </c>
      <c r="O296" s="341">
        <v>0</v>
      </c>
      <c r="P296" s="48">
        <v>150</v>
      </c>
      <c r="Q296" s="48">
        <v>0</v>
      </c>
      <c r="R296" s="48">
        <v>0</v>
      </c>
      <c r="S296" s="48">
        <v>0</v>
      </c>
      <c r="T296" s="48">
        <v>0</v>
      </c>
      <c r="U296" s="48">
        <v>0</v>
      </c>
      <c r="V296" s="48">
        <v>0</v>
      </c>
      <c r="W296" s="48">
        <v>0</v>
      </c>
      <c r="X296" s="48">
        <v>0</v>
      </c>
      <c r="Y296" s="48">
        <v>0</v>
      </c>
      <c r="Z296" s="48">
        <v>0</v>
      </c>
      <c r="AA296" s="48">
        <v>0</v>
      </c>
      <c r="AB296" s="48">
        <v>0</v>
      </c>
      <c r="AC296" s="48">
        <v>0</v>
      </c>
      <c r="AD296" s="48">
        <v>0</v>
      </c>
      <c r="AE296" s="48">
        <v>0</v>
      </c>
      <c r="AF296" s="48">
        <v>0</v>
      </c>
      <c r="AG296" s="48">
        <v>0</v>
      </c>
      <c r="AH296" s="48">
        <v>0</v>
      </c>
      <c r="AI296" s="48">
        <v>0</v>
      </c>
      <c r="AJ296" s="48">
        <v>0</v>
      </c>
      <c r="AK296" s="48">
        <v>0</v>
      </c>
      <c r="AL296" s="48">
        <v>0</v>
      </c>
      <c r="AM296" s="48">
        <v>0</v>
      </c>
      <c r="AN296" s="48">
        <v>138.75</v>
      </c>
      <c r="AO296" s="48">
        <v>0</v>
      </c>
      <c r="AP296" s="48">
        <v>0</v>
      </c>
      <c r="AQ296" s="48">
        <v>0</v>
      </c>
      <c r="AR296" s="48">
        <v>0</v>
      </c>
      <c r="AS296" s="48">
        <v>0</v>
      </c>
      <c r="AT296" s="48">
        <v>0</v>
      </c>
      <c r="AU296" s="48">
        <v>0</v>
      </c>
      <c r="AV296" s="48">
        <v>0</v>
      </c>
      <c r="AW296" s="48">
        <v>0</v>
      </c>
      <c r="AX296" s="48">
        <v>0</v>
      </c>
      <c r="AY296" s="48">
        <v>0</v>
      </c>
      <c r="AZ296" s="48">
        <v>150</v>
      </c>
      <c r="BA296" s="48">
        <v>0</v>
      </c>
      <c r="BB296" s="48">
        <v>0</v>
      </c>
      <c r="BC296" s="48">
        <v>0</v>
      </c>
      <c r="BD296" s="48">
        <v>0</v>
      </c>
      <c r="BE296" s="48">
        <v>0</v>
      </c>
      <c r="BF296" s="48">
        <v>0</v>
      </c>
      <c r="BG296" s="48">
        <v>0</v>
      </c>
      <c r="BH296" s="48">
        <v>0</v>
      </c>
      <c r="BI296" s="48">
        <v>0</v>
      </c>
      <c r="BJ296" s="48">
        <v>0</v>
      </c>
      <c r="BK296" s="48">
        <v>0</v>
      </c>
      <c r="BL296" s="48">
        <v>150</v>
      </c>
      <c r="BM296" s="48">
        <v>15000</v>
      </c>
      <c r="BN296" s="48">
        <v>700</v>
      </c>
      <c r="BO296" s="48">
        <v>-15000</v>
      </c>
      <c r="BP296" s="48">
        <v>0</v>
      </c>
      <c r="BQ296" s="48">
        <v>0</v>
      </c>
      <c r="BR296" s="48">
        <v>0</v>
      </c>
      <c r="BS296" s="48">
        <v>0</v>
      </c>
      <c r="BT296" s="48">
        <v>0</v>
      </c>
      <c r="BU296" s="48">
        <v>0</v>
      </c>
      <c r="BV296" s="48">
        <v>0</v>
      </c>
      <c r="BW296" s="48">
        <v>0</v>
      </c>
      <c r="BX296" s="48">
        <v>150</v>
      </c>
      <c r="BY296" s="48">
        <v>0</v>
      </c>
      <c r="BZ296" s="48">
        <v>1915</v>
      </c>
      <c r="CA296" s="48">
        <v>0</v>
      </c>
      <c r="CB296" s="48">
        <v>0</v>
      </c>
      <c r="CC296" s="48">
        <v>0</v>
      </c>
      <c r="CD296" s="48">
        <v>0</v>
      </c>
      <c r="CE296" s="48">
        <v>0</v>
      </c>
      <c r="CF296" s="48">
        <v>15000</v>
      </c>
      <c r="CG296" s="48">
        <v>0</v>
      </c>
      <c r="CH296" s="48">
        <v>0</v>
      </c>
      <c r="CI296" s="48">
        <v>3000</v>
      </c>
      <c r="CJ296" s="48">
        <v>0</v>
      </c>
      <c r="CK296" s="48">
        <v>150</v>
      </c>
      <c r="CL296" s="48">
        <v>0</v>
      </c>
      <c r="CM296" s="48">
        <v>0</v>
      </c>
      <c r="CN296" s="48">
        <v>0</v>
      </c>
      <c r="CO296" s="48">
        <v>0</v>
      </c>
      <c r="CP296" s="48">
        <v>0</v>
      </c>
      <c r="CQ296" s="48">
        <v>0</v>
      </c>
      <c r="CR296" s="48">
        <v>0</v>
      </c>
      <c r="CS296" s="48">
        <v>0</v>
      </c>
      <c r="CT296" s="48">
        <v>0</v>
      </c>
      <c r="CU296" s="48">
        <v>0</v>
      </c>
      <c r="CV296" s="48">
        <v>0</v>
      </c>
      <c r="CW296" s="48">
        <v>150</v>
      </c>
      <c r="CX296" s="48">
        <v>0</v>
      </c>
      <c r="CY296" s="48">
        <v>0</v>
      </c>
      <c r="CZ296" s="48">
        <v>0</v>
      </c>
      <c r="DA296" s="48">
        <v>0</v>
      </c>
      <c r="DB296" s="48">
        <v>0</v>
      </c>
      <c r="DC296" s="48">
        <v>0</v>
      </c>
      <c r="DD296" s="48">
        <v>0</v>
      </c>
      <c r="DE296" s="48">
        <f>VLOOKUP($C296,'[2]Analysis 1'!$C$5:$DG$1025,107,FALSE)</f>
        <v>0</v>
      </c>
      <c r="DF296" s="48">
        <f>VLOOKUP($C296,'[2]Analysis 1'!$C$5:$DG$1025,108,FALSE)</f>
        <v>0</v>
      </c>
      <c r="DG296" s="48">
        <f>VLOOKUP($C296,'[2]Analysis 1'!$C$5:$DG$1025,109,FALSE)</f>
        <v>0</v>
      </c>
      <c r="DH296" s="369">
        <f t="shared" si="8"/>
        <v>150</v>
      </c>
    </row>
    <row r="297" spans="1:112">
      <c r="A297" s="357" t="str">
        <f t="shared" si="9"/>
        <v>6790103</v>
      </c>
      <c r="B297" s="350" t="s">
        <v>2105</v>
      </c>
      <c r="C297" s="335" t="s">
        <v>1189</v>
      </c>
      <c r="D297" s="367">
        <v>0</v>
      </c>
      <c r="E297" s="367">
        <v>1220</v>
      </c>
      <c r="F297" s="367">
        <v>1149</v>
      </c>
      <c r="G297" s="367">
        <v>845</v>
      </c>
      <c r="H297" s="367">
        <v>1167</v>
      </c>
      <c r="I297" s="367">
        <v>0</v>
      </c>
      <c r="J297" s="367">
        <v>1500</v>
      </c>
      <c r="K297" s="367">
        <v>0</v>
      </c>
      <c r="L297" s="367">
        <v>0</v>
      </c>
      <c r="M297" s="367">
        <v>795</v>
      </c>
      <c r="N297" s="367">
        <v>0</v>
      </c>
      <c r="O297" s="368">
        <v>805</v>
      </c>
      <c r="P297" s="48">
        <v>0</v>
      </c>
      <c r="Q297" s="48">
        <v>0</v>
      </c>
      <c r="R297" s="48">
        <v>650</v>
      </c>
      <c r="S297" s="48">
        <v>50</v>
      </c>
      <c r="T297" s="48">
        <v>1075</v>
      </c>
      <c r="U297" s="48">
        <v>0</v>
      </c>
      <c r="V297" s="48">
        <v>0</v>
      </c>
      <c r="W297" s="48">
        <v>2618.77</v>
      </c>
      <c r="X297" s="48">
        <v>0</v>
      </c>
      <c r="Y297" s="48">
        <v>0</v>
      </c>
      <c r="Z297" s="48">
        <v>0</v>
      </c>
      <c r="AA297" s="48">
        <v>0</v>
      </c>
      <c r="AB297" s="48">
        <v>0</v>
      </c>
      <c r="AC297" s="48">
        <v>1219.5</v>
      </c>
      <c r="AD297" s="48">
        <v>13950</v>
      </c>
      <c r="AE297" s="48">
        <v>0</v>
      </c>
      <c r="AF297" s="48">
        <v>675</v>
      </c>
      <c r="AG297" s="48">
        <v>300</v>
      </c>
      <c r="AH297" s="48">
        <v>0</v>
      </c>
      <c r="AI297" s="48">
        <v>195</v>
      </c>
      <c r="AJ297" s="48">
        <v>4804.3</v>
      </c>
      <c r="AK297" s="48">
        <v>875</v>
      </c>
      <c r="AL297" s="48">
        <v>8</v>
      </c>
      <c r="AM297" s="48">
        <v>625</v>
      </c>
      <c r="AN297" s="48">
        <v>2400</v>
      </c>
      <c r="AO297" s="48">
        <v>0</v>
      </c>
      <c r="AP297" s="48">
        <v>0</v>
      </c>
      <c r="AQ297" s="48">
        <v>820</v>
      </c>
      <c r="AR297" s="48">
        <v>20</v>
      </c>
      <c r="AS297" s="48">
        <v>0</v>
      </c>
      <c r="AT297" s="48">
        <v>925</v>
      </c>
      <c r="AU297" s="48">
        <v>0</v>
      </c>
      <c r="AV297" s="48">
        <v>2269</v>
      </c>
      <c r="AW297" s="48">
        <v>597</v>
      </c>
      <c r="AX297" s="48">
        <v>0</v>
      </c>
      <c r="AY297" s="48">
        <v>1650</v>
      </c>
      <c r="AZ297" s="48">
        <v>0</v>
      </c>
      <c r="BA297" s="48">
        <v>-1000</v>
      </c>
      <c r="BB297" s="48">
        <v>0</v>
      </c>
      <c r="BC297" s="48">
        <v>0</v>
      </c>
      <c r="BD297" s="48">
        <v>500</v>
      </c>
      <c r="BE297" s="48">
        <v>0</v>
      </c>
      <c r="BF297" s="48">
        <v>0</v>
      </c>
      <c r="BG297" s="48">
        <v>0</v>
      </c>
      <c r="BH297" s="48">
        <v>0</v>
      </c>
      <c r="BI297" s="48">
        <v>100</v>
      </c>
      <c r="BJ297" s="48">
        <v>0</v>
      </c>
      <c r="BK297" s="48">
        <v>639</v>
      </c>
      <c r="BL297" s="48">
        <v>0</v>
      </c>
      <c r="BM297" s="48">
        <v>0</v>
      </c>
      <c r="BN297" s="48">
        <v>0</v>
      </c>
      <c r="BO297" s="48">
        <v>550</v>
      </c>
      <c r="BP297" s="48">
        <v>0</v>
      </c>
      <c r="BQ297" s="48">
        <v>0</v>
      </c>
      <c r="BR297" s="48">
        <v>-450</v>
      </c>
      <c r="BS297" s="48">
        <v>0</v>
      </c>
      <c r="BT297" s="48">
        <v>1065.74</v>
      </c>
      <c r="BU297" s="48">
        <v>0</v>
      </c>
      <c r="BV297" s="48">
        <v>67</v>
      </c>
      <c r="BW297" s="48">
        <v>724</v>
      </c>
      <c r="BX297" s="48">
        <v>0</v>
      </c>
      <c r="BY297" s="48">
        <v>500</v>
      </c>
      <c r="BZ297" s="48">
        <v>545</v>
      </c>
      <c r="CA297" s="48">
        <v>225</v>
      </c>
      <c r="CB297" s="48">
        <v>0</v>
      </c>
      <c r="CC297" s="48">
        <v>150</v>
      </c>
      <c r="CD297" s="48">
        <v>0</v>
      </c>
      <c r="CE297" s="48">
        <v>0</v>
      </c>
      <c r="CF297" s="48">
        <v>0</v>
      </c>
      <c r="CG297" s="48">
        <v>0</v>
      </c>
      <c r="CH297" s="48">
        <v>0</v>
      </c>
      <c r="CI297" s="48">
        <v>0</v>
      </c>
      <c r="CJ297" s="48">
        <v>0</v>
      </c>
      <c r="CK297" s="48">
        <v>0</v>
      </c>
      <c r="CL297" s="48">
        <v>0</v>
      </c>
      <c r="CM297" s="48">
        <v>0</v>
      </c>
      <c r="CN297" s="48">
        <v>0</v>
      </c>
      <c r="CO297" s="48">
        <v>0</v>
      </c>
      <c r="CP297" s="48">
        <v>0</v>
      </c>
      <c r="CQ297" s="48">
        <v>0</v>
      </c>
      <c r="CR297" s="48">
        <v>0</v>
      </c>
      <c r="CS297" s="48">
        <v>0</v>
      </c>
      <c r="CT297" s="48">
        <v>0</v>
      </c>
      <c r="CU297" s="48">
        <v>0</v>
      </c>
      <c r="CV297" s="48">
        <v>0</v>
      </c>
      <c r="CW297" s="48">
        <v>0</v>
      </c>
      <c r="CX297" s="48">
        <v>0</v>
      </c>
      <c r="CY297" s="48">
        <v>0</v>
      </c>
      <c r="CZ297" s="48">
        <v>0</v>
      </c>
      <c r="DA297" s="48">
        <v>0</v>
      </c>
      <c r="DB297" s="48">
        <v>0</v>
      </c>
      <c r="DC297" s="48">
        <v>0</v>
      </c>
      <c r="DD297" s="48">
        <v>0</v>
      </c>
      <c r="DE297" s="48">
        <f>VLOOKUP($C297,'[2]Analysis 1'!$C$5:$DG$1025,107,FALSE)</f>
        <v>0</v>
      </c>
      <c r="DF297" s="48">
        <f>VLOOKUP($C297,'[2]Analysis 1'!$C$5:$DG$1025,108,FALSE)</f>
        <v>0</v>
      </c>
      <c r="DG297" s="48">
        <f>VLOOKUP($C297,'[2]Analysis 1'!$C$5:$DG$1025,109,FALSE)</f>
        <v>0</v>
      </c>
      <c r="DH297" s="369">
        <f t="shared" si="8"/>
        <v>0</v>
      </c>
    </row>
    <row r="298" spans="1:112">
      <c r="A298" s="357" t="str">
        <f t="shared" si="9"/>
        <v>6790105</v>
      </c>
      <c r="B298" s="350" t="s">
        <v>2106</v>
      </c>
      <c r="C298" s="335" t="s">
        <v>1445</v>
      </c>
      <c r="D298" s="367"/>
      <c r="E298" s="367"/>
      <c r="F298" s="367"/>
      <c r="G298" s="367"/>
      <c r="H298" s="367"/>
      <c r="I298" s="367"/>
      <c r="J298" s="367"/>
      <c r="K298" s="367"/>
      <c r="L298" s="367"/>
      <c r="M298" s="367"/>
      <c r="N298" s="367"/>
      <c r="O298" s="368"/>
      <c r="P298" s="48"/>
      <c r="Q298" s="48"/>
      <c r="R298" s="48"/>
      <c r="S298" s="48"/>
      <c r="T298" s="48"/>
      <c r="U298" s="48"/>
      <c r="V298" s="48"/>
      <c r="W298" s="48"/>
      <c r="X298" s="48"/>
      <c r="Y298" s="48"/>
      <c r="Z298" s="48"/>
      <c r="AA298" s="48"/>
      <c r="AB298" s="48"/>
      <c r="AC298" s="48"/>
      <c r="AD298" s="48"/>
      <c r="AE298" s="48">
        <v>0</v>
      </c>
      <c r="AF298" s="48">
        <v>47979.360000000001</v>
      </c>
      <c r="AG298" s="48">
        <v>0</v>
      </c>
      <c r="AH298" s="48">
        <v>0</v>
      </c>
      <c r="AI298" s="48">
        <v>0</v>
      </c>
      <c r="AJ298" s="48">
        <v>0</v>
      </c>
      <c r="AK298" s="48">
        <v>0</v>
      </c>
      <c r="AL298" s="48">
        <v>0</v>
      </c>
      <c r="AM298" s="48">
        <v>0</v>
      </c>
      <c r="AN298" s="48">
        <v>0</v>
      </c>
      <c r="AO298" s="48">
        <v>0</v>
      </c>
      <c r="AP298" s="48">
        <v>0</v>
      </c>
      <c r="AQ298" s="48">
        <v>0</v>
      </c>
      <c r="AR298" s="48">
        <v>0</v>
      </c>
      <c r="AS298" s="48">
        <v>25858.44</v>
      </c>
      <c r="AT298" s="48">
        <v>0</v>
      </c>
      <c r="AU298" s="48">
        <v>12.72</v>
      </c>
      <c r="AV298" s="48">
        <v>0</v>
      </c>
      <c r="AW298" s="48">
        <v>0</v>
      </c>
      <c r="AX298" s="48">
        <v>0</v>
      </c>
      <c r="AY298" s="48">
        <v>0</v>
      </c>
      <c r="AZ298" s="48">
        <v>0</v>
      </c>
      <c r="BA298" s="48">
        <v>0</v>
      </c>
      <c r="BB298" s="48">
        <v>0</v>
      </c>
      <c r="BC298" s="48">
        <v>25070.68</v>
      </c>
      <c r="BD298" s="48">
        <v>0</v>
      </c>
      <c r="BE298" s="48">
        <v>30054.639999999999</v>
      </c>
      <c r="BF298" s="48">
        <v>0</v>
      </c>
      <c r="BG298" s="48">
        <v>0</v>
      </c>
      <c r="BH298" s="48">
        <v>0</v>
      </c>
      <c r="BI298" s="48">
        <v>0</v>
      </c>
      <c r="BJ298" s="48">
        <v>0</v>
      </c>
      <c r="BK298" s="48">
        <v>0</v>
      </c>
      <c r="BL298" s="48">
        <v>0</v>
      </c>
      <c r="BM298" s="48">
        <v>0</v>
      </c>
      <c r="BN298" s="48">
        <v>0</v>
      </c>
      <c r="BO298" s="48">
        <v>56148.68</v>
      </c>
      <c r="BP298" s="48">
        <v>0</v>
      </c>
      <c r="BQ298" s="48">
        <v>0</v>
      </c>
      <c r="BR298" s="48">
        <v>0</v>
      </c>
      <c r="BS298" s="48">
        <v>0</v>
      </c>
      <c r="BT298" s="48">
        <v>0</v>
      </c>
      <c r="BU298" s="48">
        <v>0</v>
      </c>
      <c r="BV298" s="48">
        <v>0</v>
      </c>
      <c r="BW298" s="48">
        <v>0</v>
      </c>
      <c r="BX298" s="48">
        <v>0</v>
      </c>
      <c r="BY298" s="48">
        <v>0</v>
      </c>
      <c r="BZ298" s="48">
        <v>0</v>
      </c>
      <c r="CA298" s="48">
        <v>0</v>
      </c>
      <c r="CB298" s="48">
        <v>57941.61</v>
      </c>
      <c r="CC298" s="48">
        <v>0</v>
      </c>
      <c r="CD298" s="48">
        <v>0</v>
      </c>
      <c r="CE298" s="48">
        <v>0</v>
      </c>
      <c r="CF298" s="48">
        <v>0</v>
      </c>
      <c r="CG298" s="48">
        <v>0</v>
      </c>
      <c r="CH298" s="48">
        <v>0</v>
      </c>
      <c r="CI298" s="48">
        <v>0</v>
      </c>
      <c r="CJ298" s="48">
        <v>0</v>
      </c>
      <c r="CK298" s="48">
        <v>0</v>
      </c>
      <c r="CL298" s="48">
        <v>0</v>
      </c>
      <c r="CM298" s="48">
        <v>57873.96</v>
      </c>
      <c r="CN298" s="48">
        <v>0</v>
      </c>
      <c r="CO298" s="48">
        <v>0</v>
      </c>
      <c r="CP298" s="48">
        <v>0</v>
      </c>
      <c r="CQ298" s="48">
        <v>0</v>
      </c>
      <c r="CR298" s="48">
        <v>0</v>
      </c>
      <c r="CS298" s="48">
        <v>0</v>
      </c>
      <c r="CT298" s="48">
        <v>0</v>
      </c>
      <c r="CU298" s="48">
        <v>0</v>
      </c>
      <c r="CV298" s="48">
        <v>0</v>
      </c>
      <c r="CW298" s="48">
        <v>0</v>
      </c>
      <c r="CX298" s="48">
        <v>0</v>
      </c>
      <c r="CY298" s="48">
        <v>0</v>
      </c>
      <c r="CZ298" s="48">
        <v>0</v>
      </c>
      <c r="DA298" s="48">
        <v>64799.68</v>
      </c>
      <c r="DB298" s="48">
        <v>0</v>
      </c>
      <c r="DC298" s="48">
        <v>0</v>
      </c>
      <c r="DD298" s="48">
        <v>0</v>
      </c>
      <c r="DE298" s="48">
        <f>VLOOKUP($C298,'[2]Analysis 1'!$C$5:$DG$1025,107,FALSE)</f>
        <v>0</v>
      </c>
      <c r="DF298" s="48">
        <f>VLOOKUP($C298,'[2]Analysis 1'!$C$5:$DG$1025,108,FALSE)</f>
        <v>0</v>
      </c>
      <c r="DG298" s="48">
        <f>VLOOKUP($C298,'[2]Analysis 1'!$C$5:$DG$1025,109,FALSE)</f>
        <v>0</v>
      </c>
      <c r="DH298" s="369">
        <f t="shared" si="8"/>
        <v>64799.68</v>
      </c>
    </row>
    <row r="299" spans="1:112">
      <c r="A299" s="357" t="str">
        <f>+B299</f>
        <v>6790198</v>
      </c>
      <c r="B299" s="350" t="s">
        <v>2455</v>
      </c>
      <c r="C299" s="335" t="s">
        <v>2456</v>
      </c>
      <c r="D299" s="367"/>
      <c r="E299" s="367"/>
      <c r="F299" s="367"/>
      <c r="G299" s="367"/>
      <c r="H299" s="367"/>
      <c r="I299" s="367"/>
      <c r="J299" s="367"/>
      <c r="K299" s="367"/>
      <c r="L299" s="367"/>
      <c r="M299" s="367"/>
      <c r="N299" s="367"/>
      <c r="O299" s="36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c r="BM299" s="48"/>
      <c r="BN299" s="48"/>
      <c r="BO299" s="48"/>
      <c r="BP299" s="48"/>
      <c r="BQ299" s="48"/>
      <c r="BR299" s="48"/>
      <c r="BS299" s="48"/>
      <c r="BT299" s="48"/>
      <c r="BU299" s="48"/>
      <c r="BV299" s="48"/>
      <c r="BW299" s="48"/>
      <c r="BX299" s="48">
        <v>0</v>
      </c>
      <c r="BY299" s="48">
        <v>0</v>
      </c>
      <c r="BZ299" s="48">
        <v>0</v>
      </c>
      <c r="CA299" s="48">
        <v>0</v>
      </c>
      <c r="CB299" s="48">
        <v>0</v>
      </c>
      <c r="CC299" s="48">
        <v>0</v>
      </c>
      <c r="CD299" s="48">
        <v>0</v>
      </c>
      <c r="CE299" s="48">
        <v>0</v>
      </c>
      <c r="CF299" s="48">
        <v>0</v>
      </c>
      <c r="CG299" s="48">
        <v>0</v>
      </c>
      <c r="CH299" s="48">
        <v>0</v>
      </c>
      <c r="CI299" s="48">
        <v>0</v>
      </c>
      <c r="CJ299" s="48">
        <v>0</v>
      </c>
      <c r="CK299" s="48">
        <v>0</v>
      </c>
      <c r="CL299" s="48">
        <v>0</v>
      </c>
      <c r="CM299" s="48">
        <v>0</v>
      </c>
      <c r="CN299" s="48">
        <v>0</v>
      </c>
      <c r="CO299" s="48">
        <v>0</v>
      </c>
      <c r="CP299" s="48">
        <v>0</v>
      </c>
      <c r="CQ299" s="48">
        <v>0</v>
      </c>
      <c r="CR299" s="48">
        <v>0</v>
      </c>
      <c r="CS299" s="48">
        <v>0</v>
      </c>
      <c r="CT299" s="48">
        <v>0</v>
      </c>
      <c r="CU299" s="48">
        <v>0</v>
      </c>
      <c r="CV299" s="48">
        <v>0</v>
      </c>
      <c r="CW299" s="48">
        <v>0</v>
      </c>
      <c r="CX299" s="48">
        <v>0</v>
      </c>
      <c r="CY299" s="48">
        <v>0</v>
      </c>
      <c r="CZ299" s="48">
        <v>0</v>
      </c>
      <c r="DA299" s="48">
        <v>0</v>
      </c>
      <c r="DB299" s="48">
        <v>0</v>
      </c>
      <c r="DC299" s="48">
        <v>0</v>
      </c>
      <c r="DD299" s="48">
        <v>0</v>
      </c>
      <c r="DE299" s="48">
        <f>VLOOKUP($C299,'[2]Analysis 1'!$C$5:$DG$1025,107,FALSE)</f>
        <v>0</v>
      </c>
      <c r="DF299" s="48">
        <f>VLOOKUP($C299,'[2]Analysis 1'!$C$5:$DG$1025,108,FALSE)</f>
        <v>0</v>
      </c>
      <c r="DG299" s="48">
        <f>VLOOKUP($C299,'[2]Analysis 1'!$C$5:$DG$1025,109,FALSE)</f>
        <v>0</v>
      </c>
      <c r="DH299" s="369">
        <f t="shared" si="8"/>
        <v>0</v>
      </c>
    </row>
    <row r="300" spans="1:112">
      <c r="A300" s="357" t="str">
        <f t="shared" si="9"/>
        <v>6790199</v>
      </c>
      <c r="B300" s="350" t="s">
        <v>2107</v>
      </c>
      <c r="C300" s="335" t="s">
        <v>1190</v>
      </c>
      <c r="D300" s="340">
        <v>986.62</v>
      </c>
      <c r="E300" s="340">
        <v>16250.06</v>
      </c>
      <c r="F300" s="340">
        <v>1699.24</v>
      </c>
      <c r="G300" s="340">
        <v>42465.59</v>
      </c>
      <c r="H300" s="340">
        <v>26444.04</v>
      </c>
      <c r="I300" s="340">
        <v>2343.1</v>
      </c>
      <c r="J300" s="340">
        <v>3741.61</v>
      </c>
      <c r="K300" s="340">
        <v>1712.5</v>
      </c>
      <c r="L300" s="340">
        <v>3806.87</v>
      </c>
      <c r="M300" s="340">
        <v>679.12</v>
      </c>
      <c r="N300" s="340">
        <v>316.61</v>
      </c>
      <c r="O300" s="341">
        <v>183.99</v>
      </c>
      <c r="P300" s="48">
        <v>17.489999999999998</v>
      </c>
      <c r="Q300" s="48">
        <v>5640.53</v>
      </c>
      <c r="R300" s="48">
        <v>280.14</v>
      </c>
      <c r="S300" s="48">
        <v>50304.85</v>
      </c>
      <c r="T300" s="48">
        <v>45</v>
      </c>
      <c r="U300" s="48">
        <v>4187.45</v>
      </c>
      <c r="V300" s="48">
        <v>772.44</v>
      </c>
      <c r="W300" s="48">
        <v>83.9</v>
      </c>
      <c r="X300" s="48">
        <v>1086.79</v>
      </c>
      <c r="Y300" s="48">
        <v>24</v>
      </c>
      <c r="Z300" s="48">
        <v>63.1</v>
      </c>
      <c r="AA300" s="48">
        <v>112.71</v>
      </c>
      <c r="AB300" s="48">
        <v>0</v>
      </c>
      <c r="AC300" s="48">
        <v>5894.23</v>
      </c>
      <c r="AD300" s="48">
        <v>5</v>
      </c>
      <c r="AE300" s="48">
        <v>295</v>
      </c>
      <c r="AF300" s="48">
        <v>195.51</v>
      </c>
      <c r="AG300" s="48">
        <v>25</v>
      </c>
      <c r="AH300" s="48">
        <v>285.94</v>
      </c>
      <c r="AI300" s="48">
        <v>145.88999999999999</v>
      </c>
      <c r="AJ300" s="48">
        <v>4450</v>
      </c>
      <c r="AK300" s="48">
        <v>0</v>
      </c>
      <c r="AL300" s="48">
        <v>11</v>
      </c>
      <c r="AM300" s="48">
        <v>512.51</v>
      </c>
      <c r="AN300" s="48">
        <v>44.9</v>
      </c>
      <c r="AO300" s="48">
        <v>8419.2999999999993</v>
      </c>
      <c r="AP300" s="48">
        <v>709.08</v>
      </c>
      <c r="AQ300" s="48">
        <v>282.5</v>
      </c>
      <c r="AR300" s="48">
        <v>108.07</v>
      </c>
      <c r="AS300" s="48">
        <v>30022.240000000002</v>
      </c>
      <c r="AT300" s="48">
        <v>3273.87</v>
      </c>
      <c r="AU300" s="48">
        <v>373.72</v>
      </c>
      <c r="AV300" s="48">
        <v>1118</v>
      </c>
      <c r="AW300" s="48">
        <v>15327.98</v>
      </c>
      <c r="AX300" s="48">
        <v>238.5</v>
      </c>
      <c r="AY300" s="48">
        <v>752.13</v>
      </c>
      <c r="AZ300" s="48">
        <v>0</v>
      </c>
      <c r="BA300" s="48">
        <v>6265.73</v>
      </c>
      <c r="BB300" s="48">
        <v>459.36</v>
      </c>
      <c r="BC300" s="48">
        <v>345.76</v>
      </c>
      <c r="BD300" s="48">
        <v>1014.01</v>
      </c>
      <c r="BE300" s="48">
        <v>1072.0999999999999</v>
      </c>
      <c r="BF300" s="48">
        <v>2394.9899999999998</v>
      </c>
      <c r="BG300" s="48">
        <v>3474.39</v>
      </c>
      <c r="BH300" s="48">
        <v>183</v>
      </c>
      <c r="BI300" s="48">
        <v>266.38</v>
      </c>
      <c r="BJ300" s="48">
        <v>0</v>
      </c>
      <c r="BK300" s="48">
        <v>801.64</v>
      </c>
      <c r="BL300" s="48">
        <v>275</v>
      </c>
      <c r="BM300" s="48">
        <v>6240.79</v>
      </c>
      <c r="BN300" s="48">
        <v>-5739.43</v>
      </c>
      <c r="BO300" s="48">
        <v>2</v>
      </c>
      <c r="BP300" s="48">
        <v>51</v>
      </c>
      <c r="BQ300" s="48">
        <v>210</v>
      </c>
      <c r="BR300" s="48">
        <v>1904.19</v>
      </c>
      <c r="BS300" s="48">
        <v>195.54</v>
      </c>
      <c r="BT300" s="48">
        <v>565.85</v>
      </c>
      <c r="BU300" s="48">
        <v>5451.5</v>
      </c>
      <c r="BV300" s="48">
        <v>3013.15</v>
      </c>
      <c r="BW300" s="48">
        <v>669</v>
      </c>
      <c r="BX300" s="48">
        <v>24284.71</v>
      </c>
      <c r="BY300" s="48">
        <v>175</v>
      </c>
      <c r="BZ300" s="48">
        <v>608.23</v>
      </c>
      <c r="CA300" s="48">
        <v>11.24</v>
      </c>
      <c r="CB300" s="48">
        <v>45</v>
      </c>
      <c r="CC300" s="48">
        <v>5989.4</v>
      </c>
      <c r="CD300" s="48">
        <v>0</v>
      </c>
      <c r="CE300" s="48">
        <v>1227.5</v>
      </c>
      <c r="CF300" s="48">
        <v>205.57</v>
      </c>
      <c r="CG300" s="48">
        <v>775.37</v>
      </c>
      <c r="CH300" s="48">
        <v>559.16</v>
      </c>
      <c r="CI300" s="48">
        <v>590.17999999999995</v>
      </c>
      <c r="CJ300" s="48">
        <v>2752.42</v>
      </c>
      <c r="CK300" s="48">
        <v>165.58</v>
      </c>
      <c r="CL300" s="48">
        <v>1661.11</v>
      </c>
      <c r="CM300" s="48">
        <v>309.33</v>
      </c>
      <c r="CN300" s="48">
        <v>544.64</v>
      </c>
      <c r="CO300" s="48">
        <v>1655.98</v>
      </c>
      <c r="CP300" s="48">
        <v>2414.29</v>
      </c>
      <c r="CQ300" s="48">
        <v>1600.42</v>
      </c>
      <c r="CR300" s="48">
        <v>186.73</v>
      </c>
      <c r="CS300" s="48">
        <v>2784.75</v>
      </c>
      <c r="CT300" s="48">
        <v>12490.15</v>
      </c>
      <c r="CU300" s="48">
        <v>5794.52</v>
      </c>
      <c r="CV300" s="48">
        <v>1030.71</v>
      </c>
      <c r="CW300" s="48">
        <v>1987.91</v>
      </c>
      <c r="CX300" s="48">
        <v>2585.13</v>
      </c>
      <c r="CY300" s="48">
        <v>9630.4500000000007</v>
      </c>
      <c r="CZ300" s="48">
        <v>5391.82</v>
      </c>
      <c r="DA300" s="48">
        <v>3697.03</v>
      </c>
      <c r="DB300" s="48">
        <v>967.45</v>
      </c>
      <c r="DC300" s="48">
        <v>19911.59</v>
      </c>
      <c r="DD300" s="48">
        <v>3946.46</v>
      </c>
      <c r="DE300" s="48">
        <f>VLOOKUP($C300,'[2]Analysis 1'!$C$5:$DG$1025,107,FALSE)</f>
        <v>2362.84</v>
      </c>
      <c r="DF300" s="48">
        <f>VLOOKUP($C300,'[2]Analysis 1'!$C$5:$DG$1025,108,FALSE)</f>
        <v>8410.76</v>
      </c>
      <c r="DG300" s="48">
        <f>VLOOKUP($C300,'[2]Analysis 1'!$C$5:$DG$1025,109,FALSE)</f>
        <v>1984.29</v>
      </c>
      <c r="DH300" s="369">
        <f t="shared" si="8"/>
        <v>61906.44</v>
      </c>
    </row>
    <row r="301" spans="1:112">
      <c r="A301" s="357" t="str">
        <f t="shared" si="9"/>
        <v>6790200</v>
      </c>
      <c r="B301" s="350" t="s">
        <v>2108</v>
      </c>
      <c r="C301" s="469" t="s">
        <v>1422</v>
      </c>
      <c r="D301" s="340"/>
      <c r="E301" s="340"/>
      <c r="F301" s="340"/>
      <c r="G301" s="340"/>
      <c r="H301" s="340"/>
      <c r="I301" s="340"/>
      <c r="J301" s="340"/>
      <c r="K301" s="340"/>
      <c r="L301" s="340"/>
      <c r="M301" s="340"/>
      <c r="N301" s="340"/>
      <c r="O301" s="341"/>
      <c r="P301" s="48"/>
      <c r="Q301" s="48"/>
      <c r="R301" s="48"/>
      <c r="S301" s="48"/>
      <c r="T301" s="48"/>
      <c r="U301" s="48"/>
      <c r="V301" s="48"/>
      <c r="W301" s="48"/>
      <c r="X301" s="48"/>
      <c r="Y301" s="48"/>
      <c r="Z301" s="48"/>
      <c r="AA301" s="48"/>
      <c r="AB301" s="48"/>
      <c r="AC301" s="48"/>
      <c r="AD301" s="421">
        <v>1000000</v>
      </c>
      <c r="AE301" s="48">
        <v>0</v>
      </c>
      <c r="AF301" s="48">
        <v>0</v>
      </c>
      <c r="AG301" s="48">
        <v>0</v>
      </c>
      <c r="AH301" s="48">
        <v>0</v>
      </c>
      <c r="AI301" s="48">
        <v>0</v>
      </c>
      <c r="AJ301" s="48">
        <v>0</v>
      </c>
      <c r="AK301" s="48">
        <v>0</v>
      </c>
      <c r="AL301" s="48">
        <v>0</v>
      </c>
      <c r="AM301" s="48">
        <v>0</v>
      </c>
      <c r="AN301" s="48">
        <v>0</v>
      </c>
      <c r="AO301" s="48">
        <v>0</v>
      </c>
      <c r="AP301" s="48">
        <v>0</v>
      </c>
      <c r="AQ301" s="48">
        <v>973.26</v>
      </c>
      <c r="AR301" s="48">
        <v>0</v>
      </c>
      <c r="AS301" s="48">
        <v>49.71</v>
      </c>
      <c r="AT301" s="48">
        <v>0</v>
      </c>
      <c r="AU301" s="48">
        <v>0</v>
      </c>
      <c r="AV301" s="48">
        <v>0</v>
      </c>
      <c r="AW301" s="48">
        <v>0</v>
      </c>
      <c r="AX301" s="48">
        <v>0</v>
      </c>
      <c r="AY301" s="48">
        <v>0</v>
      </c>
      <c r="AZ301" s="48">
        <v>0</v>
      </c>
      <c r="BA301" s="48">
        <v>692.94</v>
      </c>
      <c r="BB301" s="48">
        <v>0</v>
      </c>
      <c r="BC301" s="48">
        <v>0</v>
      </c>
      <c r="BD301" s="48">
        <v>0</v>
      </c>
      <c r="BE301" s="48">
        <v>0</v>
      </c>
      <c r="BF301" s="48">
        <v>0</v>
      </c>
      <c r="BG301" s="48">
        <v>0</v>
      </c>
      <c r="BH301" s="48">
        <v>0</v>
      </c>
      <c r="BI301" s="48">
        <v>500</v>
      </c>
      <c r="BJ301" s="48">
        <v>-500</v>
      </c>
      <c r="BK301" s="48">
        <v>0</v>
      </c>
      <c r="BL301" s="48">
        <v>0</v>
      </c>
      <c r="BM301" s="48">
        <v>0</v>
      </c>
      <c r="BN301" s="48">
        <v>0</v>
      </c>
      <c r="BO301" s="48">
        <v>0</v>
      </c>
      <c r="BP301" s="48">
        <v>0</v>
      </c>
      <c r="BQ301" s="48">
        <v>0</v>
      </c>
      <c r="BR301" s="48">
        <v>0</v>
      </c>
      <c r="BS301" s="48">
        <v>0</v>
      </c>
      <c r="BT301" s="48">
        <v>0</v>
      </c>
      <c r="BU301" s="48">
        <v>555.34</v>
      </c>
      <c r="BV301" s="48">
        <v>-441.91</v>
      </c>
      <c r="BW301" s="48">
        <v>0</v>
      </c>
      <c r="BX301" s="48">
        <v>0</v>
      </c>
      <c r="BY301" s="48">
        <v>0</v>
      </c>
      <c r="BZ301" s="48">
        <v>0</v>
      </c>
      <c r="CA301" s="48">
        <v>0</v>
      </c>
      <c r="CB301" s="48">
        <v>0</v>
      </c>
      <c r="CC301" s="48">
        <v>0</v>
      </c>
      <c r="CD301" s="48">
        <v>0</v>
      </c>
      <c r="CE301" s="48">
        <v>0</v>
      </c>
      <c r="CF301" s="48">
        <v>0</v>
      </c>
      <c r="CG301" s="48">
        <v>0</v>
      </c>
      <c r="CH301" s="48">
        <v>0</v>
      </c>
      <c r="CI301" s="48">
        <v>0</v>
      </c>
      <c r="CJ301" s="48">
        <v>0</v>
      </c>
      <c r="CK301" s="48">
        <v>0</v>
      </c>
      <c r="CL301" s="48">
        <v>0</v>
      </c>
      <c r="CM301" s="48">
        <v>0</v>
      </c>
      <c r="CN301" s="48">
        <v>0</v>
      </c>
      <c r="CO301" s="48">
        <v>0</v>
      </c>
      <c r="CP301" s="48">
        <v>0</v>
      </c>
      <c r="CQ301" s="48">
        <v>0</v>
      </c>
      <c r="CR301" s="48">
        <v>0</v>
      </c>
      <c r="CS301" s="48">
        <v>0</v>
      </c>
      <c r="CT301" s="48">
        <v>0</v>
      </c>
      <c r="CU301" s="48">
        <v>0</v>
      </c>
      <c r="CV301" s="48">
        <v>0</v>
      </c>
      <c r="CW301" s="48">
        <v>0</v>
      </c>
      <c r="CX301" s="48">
        <v>0</v>
      </c>
      <c r="CY301" s="48">
        <v>0</v>
      </c>
      <c r="CZ301" s="48">
        <v>0</v>
      </c>
      <c r="DA301" s="48">
        <v>0</v>
      </c>
      <c r="DB301" s="48">
        <v>0</v>
      </c>
      <c r="DC301" s="48">
        <v>0</v>
      </c>
      <c r="DD301" s="48">
        <v>0</v>
      </c>
      <c r="DE301" s="48">
        <f>VLOOKUP($C301,'[2]Analysis 1'!$C$5:$DG$1025,107,FALSE)</f>
        <v>0</v>
      </c>
      <c r="DF301" s="48">
        <f>VLOOKUP($C301,'[2]Analysis 1'!$C$5:$DG$1025,108,FALSE)</f>
        <v>0</v>
      </c>
      <c r="DG301" s="48">
        <f>VLOOKUP($C301,'[2]Analysis 1'!$C$5:$DG$1025,109,FALSE)</f>
        <v>0</v>
      </c>
      <c r="DH301" s="369">
        <f t="shared" si="8"/>
        <v>0</v>
      </c>
    </row>
    <row r="302" spans="1:112">
      <c r="A302" s="357" t="str">
        <f t="shared" si="9"/>
        <v>6790210</v>
      </c>
      <c r="B302" s="350" t="s">
        <v>2198</v>
      </c>
      <c r="C302" s="335" t="s">
        <v>1191</v>
      </c>
      <c r="D302" s="367">
        <v>39226.199999999997</v>
      </c>
      <c r="E302" s="367">
        <v>14855.65</v>
      </c>
      <c r="F302" s="367">
        <v>107533.11</v>
      </c>
      <c r="G302" s="367">
        <v>13090.81</v>
      </c>
      <c r="H302" s="367">
        <v>122453.35</v>
      </c>
      <c r="I302" s="367">
        <v>153337.46</v>
      </c>
      <c r="J302" s="367">
        <v>60052.38</v>
      </c>
      <c r="K302" s="367">
        <v>207486.02</v>
      </c>
      <c r="L302" s="367">
        <v>50941.49</v>
      </c>
      <c r="M302" s="367">
        <v>48479.74</v>
      </c>
      <c r="N302" s="367">
        <v>145606.32</v>
      </c>
      <c r="O302" s="368">
        <v>80809.119999999995</v>
      </c>
      <c r="P302" s="48">
        <v>24830.23</v>
      </c>
      <c r="Q302" s="48">
        <v>20490.98</v>
      </c>
      <c r="R302" s="48">
        <v>12946.83</v>
      </c>
      <c r="S302" s="48">
        <v>21581.02</v>
      </c>
      <c r="T302" s="48">
        <v>14849.35</v>
      </c>
      <c r="U302" s="48">
        <v>15496.63</v>
      </c>
      <c r="V302" s="48">
        <v>28912.639999999999</v>
      </c>
      <c r="W302" s="48">
        <v>3037.56</v>
      </c>
      <c r="X302" s="48">
        <v>29992.51</v>
      </c>
      <c r="Y302" s="48">
        <v>15271.14</v>
      </c>
      <c r="Z302" s="48">
        <v>15436.62</v>
      </c>
      <c r="AA302" s="48">
        <v>111665.67</v>
      </c>
      <c r="AB302" s="48">
        <v>20794.810000000001</v>
      </c>
      <c r="AC302" s="48">
        <v>50657.57</v>
      </c>
      <c r="AD302" s="48">
        <v>29481.27</v>
      </c>
      <c r="AE302" s="48">
        <v>31431.79</v>
      </c>
      <c r="AF302" s="48">
        <v>32128.49</v>
      </c>
      <c r="AG302" s="48">
        <v>39555.29</v>
      </c>
      <c r="AH302" s="48">
        <v>20452.12</v>
      </c>
      <c r="AI302" s="48">
        <v>30229.43</v>
      </c>
      <c r="AJ302" s="48">
        <v>43830.55</v>
      </c>
      <c r="AK302" s="48">
        <v>38730.949999999997</v>
      </c>
      <c r="AL302" s="48">
        <v>46247.92</v>
      </c>
      <c r="AM302" s="48">
        <v>111226.14</v>
      </c>
      <c r="AN302" s="48">
        <v>24218.99</v>
      </c>
      <c r="AO302" s="48">
        <v>24300.31</v>
      </c>
      <c r="AP302" s="48">
        <v>68457.539999999994</v>
      </c>
      <c r="AQ302" s="48">
        <v>60747.07</v>
      </c>
      <c r="AR302" s="48">
        <v>74640.259999999995</v>
      </c>
      <c r="AS302" s="48">
        <v>43608.63</v>
      </c>
      <c r="AT302" s="48">
        <v>8140.68</v>
      </c>
      <c r="AU302" s="48">
        <v>43456.65</v>
      </c>
      <c r="AV302" s="48">
        <v>28305.58</v>
      </c>
      <c r="AW302" s="48">
        <v>42185.56</v>
      </c>
      <c r="AX302" s="48">
        <v>26219.8</v>
      </c>
      <c r="AY302" s="48">
        <v>142280.75</v>
      </c>
      <c r="AZ302" s="48">
        <v>21682.14</v>
      </c>
      <c r="BA302" s="48">
        <v>86044.68</v>
      </c>
      <c r="BB302" s="48">
        <v>47767.93</v>
      </c>
      <c r="BC302" s="48">
        <v>49656.35</v>
      </c>
      <c r="BD302" s="48">
        <v>49777.13</v>
      </c>
      <c r="BE302" s="48">
        <v>79125.31</v>
      </c>
      <c r="BF302" s="48">
        <v>29759.16</v>
      </c>
      <c r="BG302" s="48">
        <v>68503.27</v>
      </c>
      <c r="BH302" s="48">
        <v>50575.17</v>
      </c>
      <c r="BI302" s="48">
        <v>83724.02</v>
      </c>
      <c r="BJ302" s="48">
        <v>272268.06</v>
      </c>
      <c r="BK302" s="48">
        <v>154080.73000000001</v>
      </c>
      <c r="BL302" s="48">
        <v>17941</v>
      </c>
      <c r="BM302" s="48">
        <v>52092.06</v>
      </c>
      <c r="BN302" s="48">
        <v>98490.43</v>
      </c>
      <c r="BO302" s="48">
        <v>42526.59</v>
      </c>
      <c r="BP302" s="48">
        <v>138693.95000000001</v>
      </c>
      <c r="BQ302" s="48">
        <v>75306.240000000005</v>
      </c>
      <c r="BR302" s="48">
        <v>84128.76</v>
      </c>
      <c r="BS302" s="48">
        <v>89245.93</v>
      </c>
      <c r="BT302" s="48">
        <v>82221.16</v>
      </c>
      <c r="BU302" s="48">
        <v>89528.6</v>
      </c>
      <c r="BV302" s="48">
        <v>38170.519999999997</v>
      </c>
      <c r="BW302" s="48">
        <v>162217.56</v>
      </c>
      <c r="BX302" s="48">
        <v>32360.3</v>
      </c>
      <c r="BY302" s="48">
        <v>-79225.100000000006</v>
      </c>
      <c r="BZ302" s="48">
        <v>104939.77</v>
      </c>
      <c r="CA302" s="48">
        <v>55645.06</v>
      </c>
      <c r="CB302" s="48">
        <v>125919.76</v>
      </c>
      <c r="CC302" s="48">
        <v>31322.16</v>
      </c>
      <c r="CD302" s="48">
        <v>340800.99</v>
      </c>
      <c r="CE302" s="48">
        <v>132754.22</v>
      </c>
      <c r="CF302" s="48">
        <v>170407.94</v>
      </c>
      <c r="CG302" s="48">
        <v>254662.53</v>
      </c>
      <c r="CH302" s="48">
        <v>187215.88</v>
      </c>
      <c r="CI302" s="48">
        <v>122199.54</v>
      </c>
      <c r="CJ302" s="48">
        <v>38054.629999999997</v>
      </c>
      <c r="CK302" s="48">
        <v>375979.1</v>
      </c>
      <c r="CL302" s="48">
        <v>75021.460000000006</v>
      </c>
      <c r="CM302" s="48">
        <v>88944.54</v>
      </c>
      <c r="CN302" s="48">
        <v>76776.83</v>
      </c>
      <c r="CO302" s="48">
        <v>57837.63</v>
      </c>
      <c r="CP302" s="48">
        <v>67498.740000000005</v>
      </c>
      <c r="CQ302" s="48">
        <v>77636.88</v>
      </c>
      <c r="CR302" s="48">
        <v>151340.49</v>
      </c>
      <c r="CS302" s="48">
        <v>66066.289999999994</v>
      </c>
      <c r="CT302" s="48">
        <v>124086.46</v>
      </c>
      <c r="CU302" s="48">
        <v>180439.46</v>
      </c>
      <c r="CV302" s="48">
        <v>14653.97</v>
      </c>
      <c r="CW302" s="48">
        <v>75348.83</v>
      </c>
      <c r="CX302" s="48">
        <v>146024.42000000001</v>
      </c>
      <c r="CY302" s="48">
        <v>75788.320000000007</v>
      </c>
      <c r="CZ302" s="48">
        <v>90977.59</v>
      </c>
      <c r="DA302" s="48">
        <v>103455.37</v>
      </c>
      <c r="DB302" s="48">
        <v>68959</v>
      </c>
      <c r="DC302" s="48">
        <v>100046.89</v>
      </c>
      <c r="DD302" s="48">
        <v>101083.87</v>
      </c>
      <c r="DE302" s="48">
        <f>VLOOKUP($C302,'[2]Analysis 1'!$C$5:$DG$1025,107,FALSE)</f>
        <v>45566.21</v>
      </c>
      <c r="DF302" s="48">
        <f>VLOOKUP($C302,'[2]Analysis 1'!$C$5:$DG$1025,108,FALSE)</f>
        <v>46883.55</v>
      </c>
      <c r="DG302" s="48">
        <f>VLOOKUP($C302,'[2]Analysis 1'!$C$5:$DG$1025,109,FALSE)</f>
        <v>137102.64000000001</v>
      </c>
      <c r="DH302" s="369">
        <f t="shared" si="8"/>
        <v>1005890.66</v>
      </c>
    </row>
    <row r="303" spans="1:112">
      <c r="A303" s="357" t="str">
        <f t="shared" si="9"/>
        <v>6790220</v>
      </c>
      <c r="B303" s="350" t="s">
        <v>2109</v>
      </c>
      <c r="C303" s="335" t="s">
        <v>1192</v>
      </c>
      <c r="D303" s="340">
        <v>4166.66</v>
      </c>
      <c r="E303" s="340">
        <v>8333.32</v>
      </c>
      <c r="F303" s="340">
        <v>4166.66</v>
      </c>
      <c r="G303" s="340">
        <v>4166.66</v>
      </c>
      <c r="H303" s="340">
        <v>4166.66</v>
      </c>
      <c r="I303" s="340">
        <v>4166.66</v>
      </c>
      <c r="J303" s="340">
        <v>4166.66</v>
      </c>
      <c r="K303" s="340">
        <v>4166.66</v>
      </c>
      <c r="L303" s="340">
        <v>4166.66</v>
      </c>
      <c r="M303" s="340">
        <v>4166.66</v>
      </c>
      <c r="N303" s="340">
        <v>4166.66</v>
      </c>
      <c r="O303" s="341">
        <v>8333.32</v>
      </c>
      <c r="P303" s="48">
        <v>4166.66</v>
      </c>
      <c r="Q303" s="48">
        <v>4166.66</v>
      </c>
      <c r="R303" s="48">
        <v>4166.66</v>
      </c>
      <c r="S303" s="48">
        <v>21333.3</v>
      </c>
      <c r="T303" s="48">
        <v>8333.32</v>
      </c>
      <c r="U303" s="48">
        <v>8333.32</v>
      </c>
      <c r="V303" s="48">
        <v>8333.32</v>
      </c>
      <c r="W303" s="48">
        <v>8333.32</v>
      </c>
      <c r="X303" s="48">
        <v>8398.85</v>
      </c>
      <c r="Y303" s="48">
        <v>8333.32</v>
      </c>
      <c r="Z303" s="48">
        <v>8358.5499999999993</v>
      </c>
      <c r="AA303" s="48">
        <v>38333.32</v>
      </c>
      <c r="AB303" s="48">
        <v>8333.32</v>
      </c>
      <c r="AC303" s="48">
        <v>8333.32</v>
      </c>
      <c r="AD303" s="48">
        <v>8333.32</v>
      </c>
      <c r="AE303" s="48">
        <v>8333.32</v>
      </c>
      <c r="AF303" s="48">
        <v>8333.32</v>
      </c>
      <c r="AG303" s="48">
        <v>18468.66</v>
      </c>
      <c r="AH303" s="48">
        <v>8333.32</v>
      </c>
      <c r="AI303" s="48">
        <v>8333.32</v>
      </c>
      <c r="AJ303" s="48">
        <v>8333.32</v>
      </c>
      <c r="AK303" s="48">
        <v>8333.32</v>
      </c>
      <c r="AL303" s="48">
        <v>8333.32</v>
      </c>
      <c r="AM303" s="48">
        <v>8333.32</v>
      </c>
      <c r="AN303" s="48">
        <v>4166.66</v>
      </c>
      <c r="AO303" s="48">
        <v>-4166.66</v>
      </c>
      <c r="AP303" s="48">
        <v>0</v>
      </c>
      <c r="AQ303" s="48">
        <v>0</v>
      </c>
      <c r="AR303" s="48">
        <v>0</v>
      </c>
      <c r="AS303" s="48">
        <v>0</v>
      </c>
      <c r="AT303" s="48">
        <v>0</v>
      </c>
      <c r="AU303" s="48">
        <v>0</v>
      </c>
      <c r="AV303" s="48">
        <v>4166.66</v>
      </c>
      <c r="AW303" s="48">
        <v>0</v>
      </c>
      <c r="AX303" s="48">
        <v>0</v>
      </c>
      <c r="AY303" s="48">
        <v>0</v>
      </c>
      <c r="AZ303" s="48">
        <v>0</v>
      </c>
      <c r="BA303" s="48">
        <v>0</v>
      </c>
      <c r="BB303" s="48">
        <v>0</v>
      </c>
      <c r="BC303" s="48">
        <v>0</v>
      </c>
      <c r="BD303" s="48">
        <v>0</v>
      </c>
      <c r="BE303" s="48">
        <v>0</v>
      </c>
      <c r="BF303" s="48">
        <v>0</v>
      </c>
      <c r="BG303" s="48">
        <v>0</v>
      </c>
      <c r="BH303" s="48">
        <v>0</v>
      </c>
      <c r="BI303" s="48">
        <v>0</v>
      </c>
      <c r="BJ303" s="48">
        <v>25000</v>
      </c>
      <c r="BK303" s="48">
        <v>0</v>
      </c>
      <c r="BL303" s="48">
        <v>0</v>
      </c>
      <c r="BM303" s="48">
        <v>0</v>
      </c>
      <c r="BN303" s="48">
        <v>0</v>
      </c>
      <c r="BO303" s="48">
        <v>0</v>
      </c>
      <c r="BP303" s="48">
        <v>0</v>
      </c>
      <c r="BQ303" s="48">
        <v>0</v>
      </c>
      <c r="BR303" s="48">
        <v>0</v>
      </c>
      <c r="BS303" s="48">
        <v>0</v>
      </c>
      <c r="BT303" s="48">
        <v>0</v>
      </c>
      <c r="BU303" s="48">
        <v>0</v>
      </c>
      <c r="BV303" s="48">
        <v>0</v>
      </c>
      <c r="BW303" s="48">
        <v>0</v>
      </c>
      <c r="BX303" s="48">
        <v>0</v>
      </c>
      <c r="BY303" s="48">
        <v>0</v>
      </c>
      <c r="BZ303" s="48">
        <v>0</v>
      </c>
      <c r="CA303" s="48">
        <v>0</v>
      </c>
      <c r="CB303" s="48">
        <v>1100</v>
      </c>
      <c r="CC303" s="48">
        <v>0</v>
      </c>
      <c r="CD303" s="48">
        <v>0</v>
      </c>
      <c r="CE303" s="48">
        <v>0</v>
      </c>
      <c r="CF303" s="48">
        <v>0</v>
      </c>
      <c r="CG303" s="48">
        <v>5000</v>
      </c>
      <c r="CH303" s="48">
        <v>0</v>
      </c>
      <c r="CI303" s="48">
        <v>0</v>
      </c>
      <c r="CJ303" s="48">
        <v>0</v>
      </c>
      <c r="CK303" s="48">
        <v>0</v>
      </c>
      <c r="CL303" s="48">
        <v>10000</v>
      </c>
      <c r="CM303" s="48">
        <v>0</v>
      </c>
      <c r="CN303" s="48">
        <v>0</v>
      </c>
      <c r="CO303" s="48">
        <v>0</v>
      </c>
      <c r="CP303" s="48">
        <v>0</v>
      </c>
      <c r="CQ303" s="48">
        <v>0</v>
      </c>
      <c r="CR303" s="48">
        <v>0</v>
      </c>
      <c r="CS303" s="48">
        <v>0</v>
      </c>
      <c r="CT303" s="48">
        <v>0</v>
      </c>
      <c r="CU303" s="48">
        <v>0</v>
      </c>
      <c r="CV303" s="48">
        <v>0</v>
      </c>
      <c r="CW303" s="48">
        <v>0</v>
      </c>
      <c r="CX303" s="48">
        <v>24000</v>
      </c>
      <c r="CY303" s="48">
        <v>10000</v>
      </c>
      <c r="CZ303" s="48">
        <v>0</v>
      </c>
      <c r="DA303" s="48">
        <v>0</v>
      </c>
      <c r="DB303" s="48">
        <v>0</v>
      </c>
      <c r="DC303" s="48">
        <v>16000</v>
      </c>
      <c r="DD303" s="48">
        <v>1000</v>
      </c>
      <c r="DE303" s="48">
        <f>VLOOKUP($C303,'[2]Analysis 1'!$C$5:$DG$1025,107,FALSE)</f>
        <v>0</v>
      </c>
      <c r="DF303" s="48">
        <f>VLOOKUP($C303,'[2]Analysis 1'!$C$5:$DG$1025,108,FALSE)</f>
        <v>0</v>
      </c>
      <c r="DG303" s="48">
        <f>VLOOKUP($C303,'[2]Analysis 1'!$C$5:$DG$1025,109,FALSE)</f>
        <v>0</v>
      </c>
      <c r="DH303" s="369">
        <f t="shared" si="8"/>
        <v>51000</v>
      </c>
    </row>
    <row r="304" spans="1:112">
      <c r="A304" s="357" t="str">
        <f t="shared" si="9"/>
        <v>6790230</v>
      </c>
      <c r="B304" s="350" t="s">
        <v>2110</v>
      </c>
      <c r="C304" s="335" t="s">
        <v>1193</v>
      </c>
      <c r="D304" s="367">
        <v>145413.54999999999</v>
      </c>
      <c r="E304" s="367">
        <v>135669.16</v>
      </c>
      <c r="F304" s="367">
        <v>133858.75</v>
      </c>
      <c r="G304" s="367">
        <v>151658.54999999999</v>
      </c>
      <c r="H304" s="367">
        <v>150052.21</v>
      </c>
      <c r="I304" s="367">
        <v>155413.43</v>
      </c>
      <c r="J304" s="367">
        <v>159178.19</v>
      </c>
      <c r="K304" s="367">
        <v>147205.38</v>
      </c>
      <c r="L304" s="367">
        <v>144543.92000000001</v>
      </c>
      <c r="M304" s="367">
        <v>150886.87</v>
      </c>
      <c r="N304" s="367">
        <v>151993.01</v>
      </c>
      <c r="O304" s="368">
        <v>157502.82</v>
      </c>
      <c r="P304" s="48">
        <v>143089.89000000001</v>
      </c>
      <c r="Q304" s="48">
        <v>147180.29</v>
      </c>
      <c r="R304" s="48">
        <v>148729.37</v>
      </c>
      <c r="S304" s="48">
        <v>143070.43</v>
      </c>
      <c r="T304" s="48">
        <v>143701.64000000001</v>
      </c>
      <c r="U304" s="48">
        <v>149630.41</v>
      </c>
      <c r="V304" s="48">
        <v>150873.92000000001</v>
      </c>
      <c r="W304" s="48">
        <v>147302.22</v>
      </c>
      <c r="X304" s="48">
        <v>143215.91</v>
      </c>
      <c r="Y304" s="48">
        <v>152678.73000000001</v>
      </c>
      <c r="Z304" s="48">
        <v>158251.37</v>
      </c>
      <c r="AA304" s="48">
        <v>158575.66</v>
      </c>
      <c r="AB304" s="48">
        <v>146595.26999999999</v>
      </c>
      <c r="AC304" s="48">
        <v>163017.34</v>
      </c>
      <c r="AD304" s="48">
        <v>173083.65</v>
      </c>
      <c r="AE304" s="48">
        <v>148781.15</v>
      </c>
      <c r="AF304" s="48">
        <v>151967.37</v>
      </c>
      <c r="AG304" s="48">
        <v>144907.82</v>
      </c>
      <c r="AH304" s="48">
        <v>135384.76</v>
      </c>
      <c r="AI304" s="48">
        <v>162138.42000000001</v>
      </c>
      <c r="AJ304" s="48">
        <v>162237.43</v>
      </c>
      <c r="AK304" s="48">
        <v>150717.14000000001</v>
      </c>
      <c r="AL304" s="48">
        <v>153572.39000000001</v>
      </c>
      <c r="AM304" s="48">
        <v>199239.69</v>
      </c>
      <c r="AN304" s="48">
        <v>145115.25</v>
      </c>
      <c r="AO304" s="48">
        <v>147259.76</v>
      </c>
      <c r="AP304" s="48">
        <v>-73423.31</v>
      </c>
      <c r="AQ304" s="48">
        <v>61544.54</v>
      </c>
      <c r="AR304" s="48">
        <v>13888.28</v>
      </c>
      <c r="AS304" s="48">
        <v>18252.91</v>
      </c>
      <c r="AT304" s="48">
        <v>12396.55</v>
      </c>
      <c r="AU304" s="48">
        <v>13532.87</v>
      </c>
      <c r="AV304" s="48">
        <v>-30614</v>
      </c>
      <c r="AW304" s="48">
        <v>18667.740000000002</v>
      </c>
      <c r="AX304" s="48">
        <v>10407.77</v>
      </c>
      <c r="AY304" s="48">
        <v>17283.21</v>
      </c>
      <c r="AZ304" s="48">
        <v>10769.5</v>
      </c>
      <c r="BA304" s="48">
        <v>9598.91</v>
      </c>
      <c r="BB304" s="48">
        <v>21602.58</v>
      </c>
      <c r="BC304" s="48">
        <v>9353.3700000000008</v>
      </c>
      <c r="BD304" s="48">
        <v>12504.37</v>
      </c>
      <c r="BE304" s="48">
        <v>13438.85</v>
      </c>
      <c r="BF304" s="48">
        <v>17439.88</v>
      </c>
      <c r="BG304" s="48">
        <v>11611.17</v>
      </c>
      <c r="BH304" s="48">
        <v>15275.87</v>
      </c>
      <c r="BI304" s="48">
        <v>9945.52</v>
      </c>
      <c r="BJ304" s="48">
        <v>9155.49</v>
      </c>
      <c r="BK304" s="48">
        <v>18168.900000000001</v>
      </c>
      <c r="BL304" s="48">
        <v>11991.49</v>
      </c>
      <c r="BM304" s="48">
        <v>21530.69</v>
      </c>
      <c r="BN304" s="48">
        <v>19344.349999999999</v>
      </c>
      <c r="BO304" s="48">
        <v>14216.77</v>
      </c>
      <c r="BP304" s="48">
        <v>25131.83</v>
      </c>
      <c r="BQ304" s="48">
        <v>9113.32</v>
      </c>
      <c r="BR304" s="48">
        <v>19460.55</v>
      </c>
      <c r="BS304" s="48">
        <v>11889.6</v>
      </c>
      <c r="BT304" s="48">
        <v>8726.77</v>
      </c>
      <c r="BU304" s="48">
        <v>6406.66</v>
      </c>
      <c r="BV304" s="48">
        <v>8836.9500000000007</v>
      </c>
      <c r="BW304" s="48">
        <v>11968.47</v>
      </c>
      <c r="BX304" s="48">
        <v>7026.03</v>
      </c>
      <c r="BY304" s="48">
        <v>15062.63</v>
      </c>
      <c r="BZ304" s="48">
        <v>6728.49</v>
      </c>
      <c r="CA304" s="48">
        <v>9333.2800000000007</v>
      </c>
      <c r="CB304" s="48">
        <v>19065.28</v>
      </c>
      <c r="CC304" s="48">
        <v>15926.84</v>
      </c>
      <c r="CD304" s="48">
        <v>6141.16</v>
      </c>
      <c r="CE304" s="48">
        <v>21197.14</v>
      </c>
      <c r="CF304" s="48">
        <v>50999.54</v>
      </c>
      <c r="CG304" s="48">
        <v>24061.14</v>
      </c>
      <c r="CH304" s="48">
        <v>6641.23</v>
      </c>
      <c r="CI304" s="48">
        <v>20447.07</v>
      </c>
      <c r="CJ304" s="48">
        <v>26767.95</v>
      </c>
      <c r="CK304" s="48">
        <v>17703.32</v>
      </c>
      <c r="CL304" s="48">
        <v>10914.08</v>
      </c>
      <c r="CM304" s="48">
        <v>16006.87</v>
      </c>
      <c r="CN304" s="48">
        <v>13922.13</v>
      </c>
      <c r="CO304" s="48">
        <v>39721.5</v>
      </c>
      <c r="CP304" s="48">
        <v>21239.64</v>
      </c>
      <c r="CQ304" s="48">
        <v>6015.55</v>
      </c>
      <c r="CR304" s="48">
        <v>5763.73</v>
      </c>
      <c r="CS304" s="48">
        <v>14639.23</v>
      </c>
      <c r="CT304" s="48">
        <v>18296.73</v>
      </c>
      <c r="CU304" s="48">
        <v>18764.669999999998</v>
      </c>
      <c r="CV304" s="48">
        <v>8651.2199999999993</v>
      </c>
      <c r="CW304" s="48">
        <v>21998.19</v>
      </c>
      <c r="CX304" s="48">
        <v>15631.47</v>
      </c>
      <c r="CY304" s="48">
        <v>28304.48</v>
      </c>
      <c r="CZ304" s="48">
        <v>13285.85</v>
      </c>
      <c r="DA304" s="48">
        <v>31820.67</v>
      </c>
      <c r="DB304" s="48">
        <v>8270.98</v>
      </c>
      <c r="DC304" s="48">
        <v>10237.83</v>
      </c>
      <c r="DD304" s="48">
        <v>8246.34</v>
      </c>
      <c r="DE304" s="48">
        <f>VLOOKUP($C304,'[2]Analysis 1'!$C$5:$DG$1025,107,FALSE)</f>
        <v>8148.23</v>
      </c>
      <c r="DF304" s="48">
        <f>VLOOKUP($C304,'[2]Analysis 1'!$C$5:$DG$1025,108,FALSE)</f>
        <v>9181.16</v>
      </c>
      <c r="DG304" s="48">
        <f>VLOOKUP($C304,'[2]Analysis 1'!$C$5:$DG$1025,109,FALSE)</f>
        <v>22178.67</v>
      </c>
      <c r="DH304" s="369">
        <f t="shared" si="8"/>
        <v>185955.09000000003</v>
      </c>
    </row>
    <row r="305" spans="1:112">
      <c r="A305" s="357" t="str">
        <f t="shared" si="9"/>
        <v>6790250</v>
      </c>
      <c r="B305" s="350" t="s">
        <v>2111</v>
      </c>
      <c r="C305" s="335" t="s">
        <v>1194</v>
      </c>
      <c r="D305" s="340">
        <v>949747.72</v>
      </c>
      <c r="E305" s="340">
        <v>664070.30000000005</v>
      </c>
      <c r="F305" s="340">
        <v>661395.06000000006</v>
      </c>
      <c r="G305" s="340">
        <v>725438.33</v>
      </c>
      <c r="H305" s="340">
        <v>691790.3</v>
      </c>
      <c r="I305" s="340">
        <v>749104.7</v>
      </c>
      <c r="J305" s="340">
        <v>1066480.49</v>
      </c>
      <c r="K305" s="340">
        <v>722618.03</v>
      </c>
      <c r="L305" s="340">
        <v>916547.67</v>
      </c>
      <c r="M305" s="340">
        <v>871316.52</v>
      </c>
      <c r="N305" s="340">
        <v>789809</v>
      </c>
      <c r="O305" s="341">
        <v>659061.64</v>
      </c>
      <c r="P305" s="48">
        <v>1238673.71</v>
      </c>
      <c r="Q305" s="48">
        <v>798909.74</v>
      </c>
      <c r="R305" s="48">
        <v>982440.77</v>
      </c>
      <c r="S305" s="48">
        <v>750071.64</v>
      </c>
      <c r="T305" s="48">
        <v>972817.13</v>
      </c>
      <c r="U305" s="48">
        <v>860955.2</v>
      </c>
      <c r="V305" s="48">
        <v>835690.83</v>
      </c>
      <c r="W305" s="48">
        <v>884452.64</v>
      </c>
      <c r="X305" s="48">
        <v>801866.48</v>
      </c>
      <c r="Y305" s="48">
        <v>1094078.82</v>
      </c>
      <c r="Z305" s="48">
        <v>799705.5</v>
      </c>
      <c r="AA305" s="48">
        <v>744157</v>
      </c>
      <c r="AB305" s="48">
        <v>973248.13</v>
      </c>
      <c r="AC305" s="48">
        <v>893701.61</v>
      </c>
      <c r="AD305" s="48">
        <v>903086.13</v>
      </c>
      <c r="AE305" s="48">
        <v>803985.28</v>
      </c>
      <c r="AF305" s="48">
        <v>1092920.43</v>
      </c>
      <c r="AG305" s="48">
        <v>999892.63</v>
      </c>
      <c r="AH305" s="48">
        <v>943172.28</v>
      </c>
      <c r="AI305" s="48">
        <v>1082283.04</v>
      </c>
      <c r="AJ305" s="48">
        <v>789706</v>
      </c>
      <c r="AK305" s="48">
        <v>1108295</v>
      </c>
      <c r="AL305" s="48">
        <v>794355</v>
      </c>
      <c r="AM305" s="48">
        <v>1407418.43</v>
      </c>
      <c r="AN305" s="48">
        <v>310156.13</v>
      </c>
      <c r="AO305" s="48">
        <v>606636.23</v>
      </c>
      <c r="AP305" s="48">
        <v>838760</v>
      </c>
      <c r="AQ305" s="48">
        <v>815111.9</v>
      </c>
      <c r="AR305" s="48">
        <v>1318245.74</v>
      </c>
      <c r="AS305" s="48">
        <v>1393443.36</v>
      </c>
      <c r="AT305" s="48">
        <v>1338417.76</v>
      </c>
      <c r="AU305" s="48">
        <v>1558462.55</v>
      </c>
      <c r="AV305" s="48">
        <v>1236449.33</v>
      </c>
      <c r="AW305" s="48">
        <v>1536339.34</v>
      </c>
      <c r="AX305" s="48">
        <v>1053332.5</v>
      </c>
      <c r="AY305" s="48">
        <v>929645.42</v>
      </c>
      <c r="AZ305" s="48">
        <v>1200823.93</v>
      </c>
      <c r="BA305" s="48">
        <v>1460370.95</v>
      </c>
      <c r="BB305" s="48">
        <v>1683817.51</v>
      </c>
      <c r="BC305" s="48">
        <v>2493383.5499999998</v>
      </c>
      <c r="BD305" s="48">
        <v>897165.18</v>
      </c>
      <c r="BE305" s="48">
        <v>968573.87</v>
      </c>
      <c r="BF305" s="48">
        <v>1917275.91</v>
      </c>
      <c r="BG305" s="48">
        <v>1282213.32</v>
      </c>
      <c r="BH305" s="48">
        <v>840282.22</v>
      </c>
      <c r="BI305" s="48">
        <v>1629079.68</v>
      </c>
      <c r="BJ305" s="48">
        <v>940347.54</v>
      </c>
      <c r="BK305" s="48">
        <v>1251110.43</v>
      </c>
      <c r="BL305" s="48">
        <v>1596912.9</v>
      </c>
      <c r="BM305" s="48">
        <v>735501.5</v>
      </c>
      <c r="BN305" s="48">
        <v>947344.03</v>
      </c>
      <c r="BO305" s="48">
        <v>1151279.18</v>
      </c>
      <c r="BP305" s="48">
        <v>925124.02</v>
      </c>
      <c r="BQ305" s="48">
        <v>1723184.5</v>
      </c>
      <c r="BR305" s="48">
        <v>1992930.82</v>
      </c>
      <c r="BS305" s="48">
        <v>1308875</v>
      </c>
      <c r="BT305" s="48">
        <v>901355.78</v>
      </c>
      <c r="BU305" s="48">
        <v>1214722.19</v>
      </c>
      <c r="BV305" s="48">
        <v>1237925</v>
      </c>
      <c r="BW305" s="48">
        <v>1323290.27</v>
      </c>
      <c r="BX305" s="48">
        <v>1431402.19</v>
      </c>
      <c r="BY305" s="48">
        <v>1001450</v>
      </c>
      <c r="BZ305" s="48">
        <v>983821.67</v>
      </c>
      <c r="CA305" s="48">
        <v>1322282.1599999999</v>
      </c>
      <c r="CB305" s="48">
        <v>1188625</v>
      </c>
      <c r="CC305" s="48">
        <v>1323574.3400000001</v>
      </c>
      <c r="CD305" s="48">
        <v>1155282.55</v>
      </c>
      <c r="CE305" s="48">
        <v>1204895</v>
      </c>
      <c r="CF305" s="48">
        <v>1574379.68</v>
      </c>
      <c r="CG305" s="48">
        <v>1436685.15</v>
      </c>
      <c r="CH305" s="48">
        <v>1170515.52</v>
      </c>
      <c r="CI305" s="48">
        <v>1300004.18</v>
      </c>
      <c r="CJ305" s="48">
        <v>1165084.99</v>
      </c>
      <c r="CK305" s="48">
        <v>1474994.81</v>
      </c>
      <c r="CL305" s="48">
        <v>1512938.21</v>
      </c>
      <c r="CM305" s="48">
        <v>1312487.97</v>
      </c>
      <c r="CN305" s="48">
        <v>1151022.1100000001</v>
      </c>
      <c r="CO305" s="48">
        <v>1138248.71</v>
      </c>
      <c r="CP305" s="48">
        <v>1285814.52</v>
      </c>
      <c r="CQ305" s="48">
        <v>912122.83</v>
      </c>
      <c r="CR305" s="48">
        <v>1422266.67</v>
      </c>
      <c r="CS305" s="48">
        <v>1374323.46</v>
      </c>
      <c r="CT305" s="48">
        <v>1332031.74</v>
      </c>
      <c r="CU305" s="48">
        <v>1042586.03</v>
      </c>
      <c r="CV305" s="48">
        <v>1611741.49</v>
      </c>
      <c r="CW305" s="48">
        <v>1348559.31</v>
      </c>
      <c r="CX305" s="48">
        <v>2526455.63</v>
      </c>
      <c r="CY305" s="48">
        <v>1326253.45</v>
      </c>
      <c r="CZ305" s="48">
        <v>1051077.49</v>
      </c>
      <c r="DA305" s="48">
        <v>734608.53</v>
      </c>
      <c r="DB305" s="48">
        <v>2843416.59</v>
      </c>
      <c r="DC305" s="48">
        <v>1635224.13</v>
      </c>
      <c r="DD305" s="48">
        <v>2126065.61</v>
      </c>
      <c r="DE305" s="48">
        <f>VLOOKUP($C305,'[2]Analysis 1'!$C$5:$DG$1025,107,FALSE)</f>
        <v>1771693.16</v>
      </c>
      <c r="DF305" s="48">
        <f>VLOOKUP($C305,'[2]Analysis 1'!$C$5:$DG$1025,108,FALSE)</f>
        <v>1902959.89</v>
      </c>
      <c r="DG305" s="48">
        <f>VLOOKUP($C305,'[2]Analysis 1'!$C$5:$DG$1025,109,FALSE)</f>
        <v>1884431.12</v>
      </c>
      <c r="DH305" s="369">
        <f t="shared" si="8"/>
        <v>20762486.400000002</v>
      </c>
    </row>
    <row r="306" spans="1:112">
      <c r="A306" s="357" t="str">
        <f t="shared" si="9"/>
        <v>6790255</v>
      </c>
      <c r="B306" s="350" t="s">
        <v>2112</v>
      </c>
      <c r="C306" s="335" t="s">
        <v>1195</v>
      </c>
      <c r="D306" s="340">
        <v>28703.45</v>
      </c>
      <c r="E306" s="340">
        <v>8415.6200000000008</v>
      </c>
      <c r="F306" s="340">
        <v>12240</v>
      </c>
      <c r="G306" s="340">
        <v>10673.48</v>
      </c>
      <c r="H306" s="340">
        <v>35110.870000000003</v>
      </c>
      <c r="I306" s="340">
        <v>1072.56</v>
      </c>
      <c r="J306" s="340">
        <v>35119.71</v>
      </c>
      <c r="K306" s="340">
        <v>44010.32</v>
      </c>
      <c r="L306" s="340">
        <v>41096.82</v>
      </c>
      <c r="M306" s="340">
        <v>4537.0600000000004</v>
      </c>
      <c r="N306" s="340">
        <v>39148</v>
      </c>
      <c r="O306" s="341">
        <v>217946.21</v>
      </c>
      <c r="P306" s="48">
        <v>27202.799999999999</v>
      </c>
      <c r="Q306" s="48">
        <v>23459.63</v>
      </c>
      <c r="R306" s="48">
        <v>48424.6</v>
      </c>
      <c r="S306" s="48">
        <v>18817.36</v>
      </c>
      <c r="T306" s="48">
        <v>20928.060000000001</v>
      </c>
      <c r="U306" s="48">
        <v>34030.54</v>
      </c>
      <c r="V306" s="48">
        <v>69579.47</v>
      </c>
      <c r="W306" s="48">
        <v>85925.83</v>
      </c>
      <c r="X306" s="48">
        <v>24464.52</v>
      </c>
      <c r="Y306" s="48">
        <v>2940.42</v>
      </c>
      <c r="Z306" s="48">
        <v>169102.86</v>
      </c>
      <c r="AA306" s="48">
        <v>9925.5</v>
      </c>
      <c r="AB306" s="48">
        <v>16184.06</v>
      </c>
      <c r="AC306" s="48">
        <v>43901.45</v>
      </c>
      <c r="AD306" s="48">
        <v>18749.68</v>
      </c>
      <c r="AE306" s="48">
        <v>3346.5</v>
      </c>
      <c r="AF306" s="48">
        <v>209465.51</v>
      </c>
      <c r="AG306" s="48">
        <v>19640.189999999999</v>
      </c>
      <c r="AH306" s="48">
        <v>18012.490000000002</v>
      </c>
      <c r="AI306" s="48">
        <v>7416.01</v>
      </c>
      <c r="AJ306" s="48">
        <v>4854.8999999999996</v>
      </c>
      <c r="AK306" s="48">
        <v>26182.45</v>
      </c>
      <c r="AL306" s="48">
        <v>1833.19</v>
      </c>
      <c r="AM306" s="48">
        <v>49753.19</v>
      </c>
      <c r="AN306" s="48">
        <v>6170</v>
      </c>
      <c r="AO306" s="48">
        <v>15675</v>
      </c>
      <c r="AP306" s="48">
        <v>13190.68</v>
      </c>
      <c r="AQ306" s="48">
        <v>7045.14</v>
      </c>
      <c r="AR306" s="48">
        <v>5727</v>
      </c>
      <c r="AS306" s="48">
        <v>5000</v>
      </c>
      <c r="AT306" s="48">
        <v>158000</v>
      </c>
      <c r="AU306" s="48">
        <v>16575</v>
      </c>
      <c r="AV306" s="48">
        <v>10888.76</v>
      </c>
      <c r="AW306" s="48">
        <v>39988.629999999997</v>
      </c>
      <c r="AX306" s="48">
        <v>48248.58</v>
      </c>
      <c r="AY306" s="48">
        <v>-78016.05</v>
      </c>
      <c r="AZ306" s="48">
        <v>25475</v>
      </c>
      <c r="BA306" s="48">
        <v>16750</v>
      </c>
      <c r="BB306" s="48">
        <v>16399.3</v>
      </c>
      <c r="BC306" s="48">
        <v>-10934.5</v>
      </c>
      <c r="BD306" s="48">
        <v>7784</v>
      </c>
      <c r="BE306" s="48">
        <v>227.65</v>
      </c>
      <c r="BF306" s="48">
        <v>19875</v>
      </c>
      <c r="BG306" s="48">
        <v>4955.71</v>
      </c>
      <c r="BH306" s="48">
        <v>475.17</v>
      </c>
      <c r="BI306" s="48">
        <v>16951.55</v>
      </c>
      <c r="BJ306" s="48">
        <v>16103.77</v>
      </c>
      <c r="BK306" s="48">
        <v>40314.32</v>
      </c>
      <c r="BL306" s="48">
        <v>13835.11</v>
      </c>
      <c r="BM306" s="48">
        <v>17503.63</v>
      </c>
      <c r="BN306" s="48">
        <v>0</v>
      </c>
      <c r="BO306" s="48">
        <v>0</v>
      </c>
      <c r="BP306" s="48">
        <v>165194.6</v>
      </c>
      <c r="BQ306" s="48">
        <v>0</v>
      </c>
      <c r="BR306" s="48">
        <v>1684.78</v>
      </c>
      <c r="BS306" s="48">
        <v>0</v>
      </c>
      <c r="BT306" s="48">
        <v>7247.77</v>
      </c>
      <c r="BU306" s="48">
        <v>1554.98</v>
      </c>
      <c r="BV306" s="48">
        <v>39218.730000000003</v>
      </c>
      <c r="BW306" s="48">
        <v>47906.34</v>
      </c>
      <c r="BX306" s="48">
        <v>0</v>
      </c>
      <c r="BY306" s="48">
        <v>13000</v>
      </c>
      <c r="BZ306" s="48">
        <v>25028.02</v>
      </c>
      <c r="CA306" s="48">
        <v>4549</v>
      </c>
      <c r="CB306" s="48">
        <v>16322.34</v>
      </c>
      <c r="CC306" s="48">
        <v>0</v>
      </c>
      <c r="CD306" s="48">
        <v>3410</v>
      </c>
      <c r="CE306" s="48">
        <v>658.5</v>
      </c>
      <c r="CF306" s="48">
        <v>153000</v>
      </c>
      <c r="CG306" s="48">
        <v>11100</v>
      </c>
      <c r="CH306" s="48">
        <v>-153000</v>
      </c>
      <c r="CI306" s="48">
        <v>10300</v>
      </c>
      <c r="CJ306" s="48">
        <v>0</v>
      </c>
      <c r="CK306" s="48">
        <v>0</v>
      </c>
      <c r="CL306" s="48">
        <v>0</v>
      </c>
      <c r="CM306" s="48">
        <v>20600</v>
      </c>
      <c r="CN306" s="48">
        <v>-20600</v>
      </c>
      <c r="CO306" s="48">
        <v>22500</v>
      </c>
      <c r="CP306" s="48">
        <v>0</v>
      </c>
      <c r="CQ306" s="48">
        <v>0</v>
      </c>
      <c r="CR306" s="48">
        <v>0</v>
      </c>
      <c r="CS306" s="48">
        <v>0</v>
      </c>
      <c r="CT306" s="48">
        <v>28675</v>
      </c>
      <c r="CU306" s="48">
        <v>0</v>
      </c>
      <c r="CV306" s="48">
        <v>0</v>
      </c>
      <c r="CW306" s="48">
        <v>0</v>
      </c>
      <c r="CX306" s="48">
        <v>0</v>
      </c>
      <c r="CY306" s="48">
        <v>0</v>
      </c>
      <c r="CZ306" s="48">
        <v>0</v>
      </c>
      <c r="DA306" s="48">
        <v>0</v>
      </c>
      <c r="DB306" s="48">
        <v>0</v>
      </c>
      <c r="DC306" s="48">
        <v>43550</v>
      </c>
      <c r="DD306" s="48">
        <v>0</v>
      </c>
      <c r="DE306" s="48">
        <f>VLOOKUP($C306,'[2]Analysis 1'!$C$5:$DG$1025,107,FALSE)</f>
        <v>0</v>
      </c>
      <c r="DF306" s="48">
        <f>VLOOKUP($C306,'[2]Analysis 1'!$C$5:$DG$1025,108,FALSE)</f>
        <v>0</v>
      </c>
      <c r="DG306" s="48">
        <f>VLOOKUP($C306,'[2]Analysis 1'!$C$5:$DG$1025,109,FALSE)</f>
        <v>0</v>
      </c>
      <c r="DH306" s="369">
        <f t="shared" si="8"/>
        <v>43550</v>
      </c>
    </row>
    <row r="307" spans="1:112">
      <c r="A307" s="357" t="str">
        <f t="shared" si="9"/>
        <v>6790260</v>
      </c>
      <c r="B307" s="350" t="s">
        <v>2113</v>
      </c>
      <c r="C307" s="335" t="s">
        <v>1196</v>
      </c>
      <c r="D307" s="340">
        <v>130</v>
      </c>
      <c r="E307" s="340">
        <v>4574.88</v>
      </c>
      <c r="F307" s="340">
        <v>-2381923.23</v>
      </c>
      <c r="G307" s="340">
        <v>17163.490000000002</v>
      </c>
      <c r="H307" s="340">
        <v>7590.5</v>
      </c>
      <c r="I307" s="340">
        <v>8731.99</v>
      </c>
      <c r="J307" s="340">
        <v>2208.17</v>
      </c>
      <c r="K307" s="340">
        <v>4256.41</v>
      </c>
      <c r="L307" s="340">
        <v>-3741.31</v>
      </c>
      <c r="M307" s="340">
        <v>15465.71</v>
      </c>
      <c r="N307" s="340">
        <v>1822.79</v>
      </c>
      <c r="O307" s="341">
        <v>23353.81</v>
      </c>
      <c r="P307" s="48">
        <v>9219</v>
      </c>
      <c r="Q307" s="48">
        <v>15289.17</v>
      </c>
      <c r="R307" s="48">
        <v>29327.94</v>
      </c>
      <c r="S307" s="48">
        <v>3964.51</v>
      </c>
      <c r="T307" s="48">
        <v>7939.17</v>
      </c>
      <c r="U307" s="48">
        <v>19888.34</v>
      </c>
      <c r="V307" s="48">
        <v>16141.24</v>
      </c>
      <c r="W307" s="48">
        <v>7503.14</v>
      </c>
      <c r="X307" s="48">
        <v>30656.95</v>
      </c>
      <c r="Y307" s="48">
        <v>37016.050000000003</v>
      </c>
      <c r="Z307" s="48">
        <v>22454.97</v>
      </c>
      <c r="AA307" s="48">
        <v>512697.81</v>
      </c>
      <c r="AB307" s="48">
        <v>3209.97</v>
      </c>
      <c r="AC307" s="48">
        <v>15083.18</v>
      </c>
      <c r="AD307" s="48">
        <v>10193.9</v>
      </c>
      <c r="AE307" s="48">
        <v>11299.75</v>
      </c>
      <c r="AF307" s="48">
        <v>6813.87</v>
      </c>
      <c r="AG307" s="48">
        <v>17117.759999999998</v>
      </c>
      <c r="AH307" s="48">
        <v>5422.69</v>
      </c>
      <c r="AI307" s="48">
        <v>10518.5</v>
      </c>
      <c r="AJ307" s="48">
        <v>56575.57</v>
      </c>
      <c r="AK307" s="48">
        <v>135027.73000000001</v>
      </c>
      <c r="AL307" s="48">
        <v>33857.199999999997</v>
      </c>
      <c r="AM307" s="48">
        <v>24529.32</v>
      </c>
      <c r="AN307" s="48">
        <v>5559.74</v>
      </c>
      <c r="AO307" s="48">
        <v>20812.61</v>
      </c>
      <c r="AP307" s="48">
        <v>16065.63</v>
      </c>
      <c r="AQ307" s="48">
        <v>1421.87</v>
      </c>
      <c r="AR307" s="48">
        <v>31144.7</v>
      </c>
      <c r="AS307" s="48">
        <v>14777.55</v>
      </c>
      <c r="AT307" s="48">
        <v>12025.19</v>
      </c>
      <c r="AU307" s="48">
        <v>4548.22</v>
      </c>
      <c r="AV307" s="48">
        <v>95</v>
      </c>
      <c r="AW307" s="48">
        <v>20571.36</v>
      </c>
      <c r="AX307" s="48">
        <v>3497.21</v>
      </c>
      <c r="AY307" s="48">
        <v>87015.34</v>
      </c>
      <c r="AZ307" s="48">
        <v>5225.87</v>
      </c>
      <c r="BA307" s="48">
        <v>19910.75</v>
      </c>
      <c r="BB307" s="48">
        <v>16277.8</v>
      </c>
      <c r="BC307" s="48">
        <v>62405.2</v>
      </c>
      <c r="BD307" s="48">
        <v>71464.160000000003</v>
      </c>
      <c r="BE307" s="48">
        <v>7467.79</v>
      </c>
      <c r="BF307" s="48">
        <v>17331.349999999999</v>
      </c>
      <c r="BG307" s="48">
        <v>38339.53</v>
      </c>
      <c r="BH307" s="48">
        <v>92890.81</v>
      </c>
      <c r="BI307" s="48">
        <v>-2386.89</v>
      </c>
      <c r="BJ307" s="48">
        <v>24274.18</v>
      </c>
      <c r="BK307" s="48">
        <v>57897.2</v>
      </c>
      <c r="BL307" s="48">
        <v>125</v>
      </c>
      <c r="BM307" s="48">
        <v>23957.439999999999</v>
      </c>
      <c r="BN307" s="48">
        <v>17266.88</v>
      </c>
      <c r="BO307" s="48">
        <v>37290.269999999997</v>
      </c>
      <c r="BP307" s="48">
        <v>17905.71</v>
      </c>
      <c r="BQ307" s="48">
        <v>92656.79</v>
      </c>
      <c r="BR307" s="48">
        <v>22133.06</v>
      </c>
      <c r="BS307" s="48">
        <v>13986.86</v>
      </c>
      <c r="BT307" s="48">
        <v>40124.089999999997</v>
      </c>
      <c r="BU307" s="48">
        <v>55205.91</v>
      </c>
      <c r="BV307" s="48">
        <v>17540.57</v>
      </c>
      <c r="BW307" s="48">
        <v>31006.85</v>
      </c>
      <c r="BX307" s="48">
        <v>16483.310000000001</v>
      </c>
      <c r="BY307" s="48">
        <v>49381.59</v>
      </c>
      <c r="BZ307" s="48">
        <v>7071.39</v>
      </c>
      <c r="CA307" s="48">
        <v>10559.94</v>
      </c>
      <c r="CB307" s="48">
        <v>33044.199999999997</v>
      </c>
      <c r="CC307" s="48">
        <v>56188.5</v>
      </c>
      <c r="CD307" s="48">
        <v>19666.650000000001</v>
      </c>
      <c r="CE307" s="48">
        <v>3494.96</v>
      </c>
      <c r="CF307" s="48">
        <v>44677.1</v>
      </c>
      <c r="CG307" s="48">
        <v>62120.21</v>
      </c>
      <c r="CH307" s="48">
        <v>17508.14</v>
      </c>
      <c r="CI307" s="48">
        <v>11563.91</v>
      </c>
      <c r="CJ307" s="48">
        <v>54993.14</v>
      </c>
      <c r="CK307" s="48">
        <v>30741.5</v>
      </c>
      <c r="CL307" s="48">
        <v>27095.35</v>
      </c>
      <c r="CM307" s="48">
        <v>28619.38</v>
      </c>
      <c r="CN307" s="48">
        <v>387547.08</v>
      </c>
      <c r="CO307" s="48">
        <v>60845.81</v>
      </c>
      <c r="CP307" s="48">
        <v>28755.91</v>
      </c>
      <c r="CQ307" s="48">
        <v>96575.85</v>
      </c>
      <c r="CR307" s="48">
        <v>19722.66</v>
      </c>
      <c r="CS307" s="48">
        <v>30653.759999999998</v>
      </c>
      <c r="CT307" s="48">
        <v>75220.94</v>
      </c>
      <c r="CU307" s="48">
        <v>20485.38</v>
      </c>
      <c r="CV307" s="48">
        <v>17402.509999999998</v>
      </c>
      <c r="CW307" s="48">
        <v>48862.26</v>
      </c>
      <c r="CX307" s="48">
        <v>25956.99</v>
      </c>
      <c r="CY307" s="48">
        <v>55324.44</v>
      </c>
      <c r="CZ307" s="48">
        <v>33177.550000000003</v>
      </c>
      <c r="DA307" s="48">
        <v>37267.599999999999</v>
      </c>
      <c r="DB307" s="48">
        <v>43693.09</v>
      </c>
      <c r="DC307" s="48">
        <v>76323.91</v>
      </c>
      <c r="DD307" s="48">
        <v>1107.5</v>
      </c>
      <c r="DE307" s="48">
        <f>VLOOKUP($C307,'[2]Analysis 1'!$C$5:$DG$1025,107,FALSE)</f>
        <v>50274.96</v>
      </c>
      <c r="DF307" s="48">
        <f>VLOOKUP($C307,'[2]Analysis 1'!$C$5:$DG$1025,108,FALSE)</f>
        <v>30698</v>
      </c>
      <c r="DG307" s="48">
        <f>VLOOKUP($C307,'[2]Analysis 1'!$C$5:$DG$1025,109,FALSE)</f>
        <v>287851.06</v>
      </c>
      <c r="DH307" s="369">
        <f t="shared" si="8"/>
        <v>707939.87</v>
      </c>
    </row>
    <row r="308" spans="1:112">
      <c r="A308" s="357" t="str">
        <f t="shared" si="9"/>
        <v>6790280</v>
      </c>
      <c r="B308" s="350" t="s">
        <v>2114</v>
      </c>
      <c r="C308" s="335" t="s">
        <v>1840</v>
      </c>
      <c r="D308" s="48">
        <v>0</v>
      </c>
      <c r="E308" s="48">
        <v>0</v>
      </c>
      <c r="F308" s="48">
        <v>0</v>
      </c>
      <c r="G308" s="48">
        <v>0</v>
      </c>
      <c r="H308" s="48">
        <v>0</v>
      </c>
      <c r="I308" s="48">
        <v>0</v>
      </c>
      <c r="J308" s="48">
        <v>0</v>
      </c>
      <c r="K308" s="48">
        <v>0</v>
      </c>
      <c r="L308" s="48">
        <v>0</v>
      </c>
      <c r="M308" s="48">
        <v>0</v>
      </c>
      <c r="N308" s="48">
        <v>0</v>
      </c>
      <c r="O308" s="48">
        <v>0</v>
      </c>
      <c r="P308" s="48">
        <v>0</v>
      </c>
      <c r="Q308" s="48">
        <v>0</v>
      </c>
      <c r="R308" s="48">
        <v>0</v>
      </c>
      <c r="S308" s="48">
        <v>0</v>
      </c>
      <c r="T308" s="48">
        <v>0</v>
      </c>
      <c r="U308" s="48">
        <v>0</v>
      </c>
      <c r="V308" s="48">
        <v>0</v>
      </c>
      <c r="W308" s="48">
        <v>0</v>
      </c>
      <c r="X308" s="48">
        <v>0</v>
      </c>
      <c r="Y308" s="48">
        <v>0</v>
      </c>
      <c r="Z308" s="48">
        <v>0</v>
      </c>
      <c r="AA308" s="48">
        <v>0</v>
      </c>
      <c r="AB308" s="48">
        <v>0</v>
      </c>
      <c r="AC308" s="48">
        <v>0</v>
      </c>
      <c r="AD308" s="48">
        <v>0</v>
      </c>
      <c r="AE308" s="48">
        <v>0</v>
      </c>
      <c r="AF308" s="48">
        <v>0</v>
      </c>
      <c r="AG308" s="48">
        <v>0</v>
      </c>
      <c r="AH308" s="48">
        <v>0</v>
      </c>
      <c r="AI308" s="48">
        <v>0</v>
      </c>
      <c r="AJ308" s="48">
        <v>0</v>
      </c>
      <c r="AK308" s="48">
        <v>0</v>
      </c>
      <c r="AL308" s="48">
        <v>0</v>
      </c>
      <c r="AM308" s="48">
        <v>0</v>
      </c>
      <c r="AN308" s="48">
        <v>0</v>
      </c>
      <c r="AO308" s="48">
        <v>0</v>
      </c>
      <c r="AP308" s="48">
        <v>0</v>
      </c>
      <c r="AQ308" s="48">
        <v>0</v>
      </c>
      <c r="AR308" s="48">
        <v>0</v>
      </c>
      <c r="AS308" s="48">
        <v>0</v>
      </c>
      <c r="AT308" s="48">
        <v>0</v>
      </c>
      <c r="AU308" s="48">
        <v>0</v>
      </c>
      <c r="AV308" s="48">
        <v>0</v>
      </c>
      <c r="AW308" s="48">
        <v>89.14</v>
      </c>
      <c r="AX308" s="48">
        <v>2044.17</v>
      </c>
      <c r="AY308" s="48">
        <v>0</v>
      </c>
      <c r="AZ308" s="48">
        <v>0</v>
      </c>
      <c r="BA308" s="48">
        <v>0</v>
      </c>
      <c r="BB308" s="48">
        <v>0</v>
      </c>
      <c r="BC308" s="48">
        <v>458.23</v>
      </c>
      <c r="BD308" s="48">
        <v>650.45000000000005</v>
      </c>
      <c r="BE308" s="48">
        <v>0</v>
      </c>
      <c r="BF308" s="48">
        <v>0</v>
      </c>
      <c r="BG308" s="48">
        <v>0</v>
      </c>
      <c r="BH308" s="48">
        <v>0</v>
      </c>
      <c r="BI308" s="48">
        <v>0</v>
      </c>
      <c r="BJ308" s="48">
        <v>0</v>
      </c>
      <c r="BK308" s="48">
        <v>0</v>
      </c>
      <c r="BL308" s="48">
        <v>0</v>
      </c>
      <c r="BM308" s="48">
        <v>0</v>
      </c>
      <c r="BN308" s="48">
        <v>0</v>
      </c>
      <c r="BO308" s="48">
        <v>0</v>
      </c>
      <c r="BP308" s="48">
        <v>0</v>
      </c>
      <c r="BQ308" s="48">
        <v>0</v>
      </c>
      <c r="BR308" s="48">
        <v>0</v>
      </c>
      <c r="BS308" s="48">
        <v>0</v>
      </c>
      <c r="BT308" s="48">
        <v>0</v>
      </c>
      <c r="BU308" s="48">
        <v>0</v>
      </c>
      <c r="BV308" s="48">
        <v>0</v>
      </c>
      <c r="BW308" s="48">
        <v>0</v>
      </c>
      <c r="BX308" s="48">
        <v>0</v>
      </c>
      <c r="BY308" s="48">
        <v>0</v>
      </c>
      <c r="BZ308" s="48">
        <v>0</v>
      </c>
      <c r="CA308" s="48">
        <v>0</v>
      </c>
      <c r="CB308" s="48">
        <v>0</v>
      </c>
      <c r="CC308" s="48">
        <v>0</v>
      </c>
      <c r="CD308" s="48">
        <v>0</v>
      </c>
      <c r="CE308" s="48">
        <v>0</v>
      </c>
      <c r="CF308" s="48">
        <v>0</v>
      </c>
      <c r="CG308" s="48">
        <v>0</v>
      </c>
      <c r="CH308" s="48">
        <v>0</v>
      </c>
      <c r="CI308" s="48">
        <v>0</v>
      </c>
      <c r="CJ308" s="48">
        <v>0</v>
      </c>
      <c r="CK308" s="48">
        <v>0</v>
      </c>
      <c r="CL308" s="48">
        <v>0</v>
      </c>
      <c r="CM308" s="48">
        <v>0</v>
      </c>
      <c r="CN308" s="48">
        <v>0</v>
      </c>
      <c r="CO308" s="48">
        <v>0</v>
      </c>
      <c r="CP308" s="48">
        <v>0</v>
      </c>
      <c r="CQ308" s="48">
        <v>0</v>
      </c>
      <c r="CR308" s="48">
        <v>0</v>
      </c>
      <c r="CS308" s="48">
        <v>0</v>
      </c>
      <c r="CT308" s="48">
        <v>0</v>
      </c>
      <c r="CU308" s="48">
        <v>0</v>
      </c>
      <c r="CV308" s="48">
        <v>0</v>
      </c>
      <c r="CW308" s="48">
        <v>0</v>
      </c>
      <c r="CX308" s="48">
        <v>0</v>
      </c>
      <c r="CY308" s="48">
        <v>0</v>
      </c>
      <c r="CZ308" s="48">
        <v>0</v>
      </c>
      <c r="DA308" s="48">
        <v>0</v>
      </c>
      <c r="DB308" s="48">
        <v>0</v>
      </c>
      <c r="DC308" s="48">
        <v>0</v>
      </c>
      <c r="DD308" s="48">
        <v>0</v>
      </c>
      <c r="DE308" s="48">
        <f>VLOOKUP($C308,'[2]Analysis 1'!$C$5:$DG$1025,107,FALSE)</f>
        <v>0</v>
      </c>
      <c r="DF308" s="48">
        <f>VLOOKUP($C308,'[2]Analysis 1'!$C$5:$DG$1025,108,FALSE)</f>
        <v>0</v>
      </c>
      <c r="DG308" s="48">
        <f>VLOOKUP($C308,'[2]Analysis 1'!$C$5:$DG$1025,109,FALSE)</f>
        <v>0</v>
      </c>
      <c r="DH308" s="369">
        <f t="shared" si="8"/>
        <v>0</v>
      </c>
    </row>
    <row r="309" spans="1:112">
      <c r="A309" s="357" t="str">
        <f t="shared" si="9"/>
        <v>6790281</v>
      </c>
      <c r="B309" s="350" t="s">
        <v>2115</v>
      </c>
      <c r="C309" s="335" t="s">
        <v>1197</v>
      </c>
      <c r="D309" s="340">
        <v>0</v>
      </c>
      <c r="E309" s="340">
        <v>8541.2999999999993</v>
      </c>
      <c r="F309" s="340">
        <v>18661</v>
      </c>
      <c r="G309" s="340">
        <v>0</v>
      </c>
      <c r="H309" s="340">
        <v>2415</v>
      </c>
      <c r="I309" s="340">
        <v>0</v>
      </c>
      <c r="J309" s="340">
        <v>0</v>
      </c>
      <c r="K309" s="340">
        <v>3050.12</v>
      </c>
      <c r="L309" s="340">
        <v>0</v>
      </c>
      <c r="M309" s="340">
        <v>0</v>
      </c>
      <c r="N309" s="340">
        <v>0</v>
      </c>
      <c r="O309" s="341">
        <v>0</v>
      </c>
      <c r="P309" s="48">
        <v>0</v>
      </c>
      <c r="Q309" s="48">
        <v>0</v>
      </c>
      <c r="R309" s="48">
        <v>0</v>
      </c>
      <c r="S309" s="48">
        <v>0</v>
      </c>
      <c r="T309" s="48">
        <v>0</v>
      </c>
      <c r="U309" s="48">
        <v>0</v>
      </c>
      <c r="V309" s="48">
        <v>0</v>
      </c>
      <c r="W309" s="48">
        <v>3328.88</v>
      </c>
      <c r="X309" s="48">
        <v>0</v>
      </c>
      <c r="Y309" s="48">
        <v>0</v>
      </c>
      <c r="Z309" s="48">
        <v>0</v>
      </c>
      <c r="AA309" s="48">
        <v>0</v>
      </c>
      <c r="AB309" s="48">
        <v>0</v>
      </c>
      <c r="AC309" s="48">
        <v>0</v>
      </c>
      <c r="AD309" s="48">
        <v>0</v>
      </c>
      <c r="AE309" s="48">
        <v>0</v>
      </c>
      <c r="AF309" s="48">
        <v>0</v>
      </c>
      <c r="AG309" s="48">
        <v>0</v>
      </c>
      <c r="AH309" s="48">
        <v>0</v>
      </c>
      <c r="AI309" s="48">
        <v>4428.75</v>
      </c>
      <c r="AJ309" s="48">
        <v>0</v>
      </c>
      <c r="AK309" s="48">
        <v>0</v>
      </c>
      <c r="AL309" s="48">
        <v>0</v>
      </c>
      <c r="AM309" s="48">
        <v>0</v>
      </c>
      <c r="AN309" s="48">
        <v>0</v>
      </c>
      <c r="AO309" s="48">
        <v>0</v>
      </c>
      <c r="AP309" s="48">
        <v>0</v>
      </c>
      <c r="AQ309" s="48">
        <v>0</v>
      </c>
      <c r="AR309" s="48">
        <v>0</v>
      </c>
      <c r="AS309" s="48">
        <v>0</v>
      </c>
      <c r="AT309" s="48">
        <v>0</v>
      </c>
      <c r="AU309" s="48">
        <v>0</v>
      </c>
      <c r="AV309" s="48">
        <v>0</v>
      </c>
      <c r="AW309" s="48"/>
      <c r="AX309" s="48"/>
      <c r="AY309" s="48"/>
      <c r="AZ309" s="48">
        <v>0</v>
      </c>
      <c r="BA309" s="48">
        <v>0</v>
      </c>
      <c r="BB309" s="48">
        <v>0</v>
      </c>
      <c r="BC309" s="48">
        <v>0</v>
      </c>
      <c r="BD309" s="48">
        <v>0</v>
      </c>
      <c r="BE309" s="48">
        <v>0</v>
      </c>
      <c r="BF309" s="48">
        <v>0</v>
      </c>
      <c r="BG309" s="48">
        <v>0</v>
      </c>
      <c r="BH309" s="48">
        <v>0</v>
      </c>
      <c r="BI309" s="48">
        <v>0</v>
      </c>
      <c r="BJ309" s="48">
        <v>0</v>
      </c>
      <c r="BK309" s="48">
        <v>0</v>
      </c>
      <c r="BL309" s="48">
        <v>0</v>
      </c>
      <c r="BM309" s="48">
        <v>0</v>
      </c>
      <c r="BN309" s="48">
        <v>0</v>
      </c>
      <c r="BO309" s="48">
        <v>0</v>
      </c>
      <c r="BP309" s="48">
        <v>0</v>
      </c>
      <c r="BQ309" s="48">
        <v>0</v>
      </c>
      <c r="BR309" s="48">
        <v>0</v>
      </c>
      <c r="BS309" s="48">
        <v>0</v>
      </c>
      <c r="BT309" s="48">
        <v>0</v>
      </c>
      <c r="BU309" s="48">
        <v>0</v>
      </c>
      <c r="BV309" s="48">
        <v>0</v>
      </c>
      <c r="BW309" s="48">
        <v>0</v>
      </c>
      <c r="BX309" s="48">
        <v>0</v>
      </c>
      <c r="BY309" s="48">
        <v>0</v>
      </c>
      <c r="BZ309" s="48">
        <v>0</v>
      </c>
      <c r="CA309" s="48">
        <v>0</v>
      </c>
      <c r="CB309" s="48">
        <v>0</v>
      </c>
      <c r="CC309" s="48">
        <v>0</v>
      </c>
      <c r="CD309" s="48">
        <v>0</v>
      </c>
      <c r="CE309" s="48">
        <v>0</v>
      </c>
      <c r="CF309" s="48">
        <v>0</v>
      </c>
      <c r="CG309" s="48">
        <v>0</v>
      </c>
      <c r="CH309" s="48">
        <v>0</v>
      </c>
      <c r="CI309" s="48">
        <v>0</v>
      </c>
      <c r="CJ309" s="48">
        <v>0</v>
      </c>
      <c r="CK309" s="48">
        <v>0</v>
      </c>
      <c r="CL309" s="48">
        <v>0</v>
      </c>
      <c r="CM309" s="48">
        <v>0</v>
      </c>
      <c r="CN309" s="48">
        <v>0</v>
      </c>
      <c r="CO309" s="48">
        <v>0</v>
      </c>
      <c r="CP309" s="48">
        <v>0</v>
      </c>
      <c r="CQ309" s="48">
        <v>0</v>
      </c>
      <c r="CR309" s="48">
        <v>0</v>
      </c>
      <c r="CS309" s="48">
        <v>0</v>
      </c>
      <c r="CT309" s="48">
        <v>0</v>
      </c>
      <c r="CU309" s="48">
        <v>0</v>
      </c>
      <c r="CV309" s="48">
        <v>0</v>
      </c>
      <c r="CW309" s="48">
        <v>0</v>
      </c>
      <c r="CX309" s="48">
        <v>0</v>
      </c>
      <c r="CY309" s="48">
        <v>0</v>
      </c>
      <c r="CZ309" s="48">
        <v>0</v>
      </c>
      <c r="DA309" s="48">
        <v>0</v>
      </c>
      <c r="DB309" s="48">
        <v>0</v>
      </c>
      <c r="DC309" s="48">
        <v>0</v>
      </c>
      <c r="DD309" s="48">
        <v>0</v>
      </c>
      <c r="DE309" s="48">
        <f>VLOOKUP($C309,'[2]Analysis 1'!$C$5:$DG$1025,107,FALSE)</f>
        <v>0</v>
      </c>
      <c r="DF309" s="48">
        <f>VLOOKUP($C309,'[2]Analysis 1'!$C$5:$DG$1025,108,FALSE)</f>
        <v>0</v>
      </c>
      <c r="DG309" s="48">
        <f>VLOOKUP($C309,'[2]Analysis 1'!$C$5:$DG$1025,109,FALSE)</f>
        <v>0</v>
      </c>
      <c r="DH309" s="369">
        <f t="shared" si="8"/>
        <v>0</v>
      </c>
    </row>
    <row r="310" spans="1:112">
      <c r="A310" s="357" t="str">
        <f t="shared" si="9"/>
        <v>6790300</v>
      </c>
      <c r="B310" s="350" t="s">
        <v>2116</v>
      </c>
      <c r="C310" s="335" t="s">
        <v>1198</v>
      </c>
      <c r="D310" s="367">
        <v>-747.72</v>
      </c>
      <c r="E310" s="367">
        <v>-265.95999999999998</v>
      </c>
      <c r="F310" s="367">
        <v>-380.17</v>
      </c>
      <c r="G310" s="367">
        <v>-846.95</v>
      </c>
      <c r="H310" s="367">
        <v>-1283.01</v>
      </c>
      <c r="I310" s="367">
        <v>-591.19000000000005</v>
      </c>
      <c r="J310" s="367">
        <v>-1138.6400000000001</v>
      </c>
      <c r="K310" s="367">
        <v>-1212.3900000000001</v>
      </c>
      <c r="L310" s="367">
        <v>-541.38</v>
      </c>
      <c r="M310" s="367">
        <v>-431.8</v>
      </c>
      <c r="N310" s="367">
        <v>-623.79999999999995</v>
      </c>
      <c r="O310" s="368">
        <v>-477.64</v>
      </c>
      <c r="P310" s="48">
        <v>-555.28</v>
      </c>
      <c r="Q310" s="48">
        <v>-383.34</v>
      </c>
      <c r="R310" s="48">
        <v>-489.41</v>
      </c>
      <c r="S310" s="48">
        <v>-541.15</v>
      </c>
      <c r="T310" s="48">
        <v>-647.24</v>
      </c>
      <c r="U310" s="48">
        <v>-529.04999999999995</v>
      </c>
      <c r="V310" s="48">
        <v>-783.71</v>
      </c>
      <c r="W310" s="48">
        <v>-513.67999999999995</v>
      </c>
      <c r="X310" s="48">
        <v>-145.80000000000001</v>
      </c>
      <c r="Y310" s="48">
        <v>-270.38</v>
      </c>
      <c r="Z310" s="48">
        <v>-298.97000000000003</v>
      </c>
      <c r="AA310" s="48">
        <v>-87.76</v>
      </c>
      <c r="AB310" s="48">
        <v>-75.38</v>
      </c>
      <c r="AC310" s="48">
        <v>-49.15</v>
      </c>
      <c r="AD310" s="48">
        <v>-47.13</v>
      </c>
      <c r="AE310" s="48">
        <v>-22.91</v>
      </c>
      <c r="AF310" s="48">
        <v>-93.15</v>
      </c>
      <c r="AG310" s="48">
        <v>-82.03</v>
      </c>
      <c r="AH310" s="48">
        <v>-17.86</v>
      </c>
      <c r="AI310" s="48">
        <v>-34.85</v>
      </c>
      <c r="AJ310" s="48">
        <v>-13.74</v>
      </c>
      <c r="AK310" s="48">
        <v>-4.8600000000000003</v>
      </c>
      <c r="AL310" s="48">
        <v>-54.04</v>
      </c>
      <c r="AM310" s="48">
        <v>-17.23</v>
      </c>
      <c r="AN310" s="48">
        <v>-17.2</v>
      </c>
      <c r="AO310" s="48">
        <v>-30.28</v>
      </c>
      <c r="AP310" s="48">
        <v>-105.43</v>
      </c>
      <c r="AQ310" s="48">
        <v>-189.58</v>
      </c>
      <c r="AR310" s="48">
        <v>0</v>
      </c>
      <c r="AS310" s="48">
        <v>-4035.22</v>
      </c>
      <c r="AT310" s="48">
        <v>-36.33</v>
      </c>
      <c r="AU310" s="48">
        <v>-33.72</v>
      </c>
      <c r="AV310" s="48">
        <v>-16.600000000000001</v>
      </c>
      <c r="AW310" s="48">
        <v>-11.5</v>
      </c>
      <c r="AX310" s="48">
        <v>-62.66</v>
      </c>
      <c r="AY310" s="48">
        <v>-8.14</v>
      </c>
      <c r="AZ310" s="48">
        <v>-86.46</v>
      </c>
      <c r="BA310" s="48">
        <v>-0.84</v>
      </c>
      <c r="BB310" s="48">
        <v>-13.6</v>
      </c>
      <c r="BC310" s="48">
        <v>0</v>
      </c>
      <c r="BD310" s="48">
        <v>-23.42</v>
      </c>
      <c r="BE310" s="48">
        <v>-6.6</v>
      </c>
      <c r="BF310" s="48">
        <v>0</v>
      </c>
      <c r="BG310" s="48">
        <v>-32.880000000000003</v>
      </c>
      <c r="BH310" s="48">
        <v>-175.01</v>
      </c>
      <c r="BI310" s="48">
        <v>-4.91</v>
      </c>
      <c r="BJ310" s="48">
        <v>-32.869999999999997</v>
      </c>
      <c r="BK310" s="48">
        <v>-3.91</v>
      </c>
      <c r="BL310" s="48">
        <v>-48.02</v>
      </c>
      <c r="BM310" s="48">
        <v>-9.4700000000000006</v>
      </c>
      <c r="BN310" s="48">
        <v>-28.77</v>
      </c>
      <c r="BO310" s="48">
        <v>-24.35</v>
      </c>
      <c r="BP310" s="48">
        <v>-9.86</v>
      </c>
      <c r="BQ310" s="48">
        <v>-28.2</v>
      </c>
      <c r="BR310" s="48">
        <v>-2.4500000000000002</v>
      </c>
      <c r="BS310" s="48">
        <v>-9.66</v>
      </c>
      <c r="BT310" s="48">
        <v>-29.07</v>
      </c>
      <c r="BU310" s="48">
        <v>-18.91</v>
      </c>
      <c r="BV310" s="48">
        <v>-9.9</v>
      </c>
      <c r="BW310" s="48">
        <v>0</v>
      </c>
      <c r="BX310" s="48">
        <v>-1.99</v>
      </c>
      <c r="BY310" s="48">
        <v>-9.36</v>
      </c>
      <c r="BZ310" s="48">
        <v>0</v>
      </c>
      <c r="CA310" s="48">
        <v>0</v>
      </c>
      <c r="CB310" s="48">
        <v>-42.3</v>
      </c>
      <c r="CC310" s="48">
        <v>-15.35</v>
      </c>
      <c r="CD310" s="48">
        <v>0</v>
      </c>
      <c r="CE310" s="48">
        <v>0</v>
      </c>
      <c r="CF310" s="48">
        <v>-6.36</v>
      </c>
      <c r="CG310" s="48">
        <v>0</v>
      </c>
      <c r="CH310" s="48">
        <v>0</v>
      </c>
      <c r="CI310" s="48">
        <v>0</v>
      </c>
      <c r="CJ310" s="48">
        <v>0</v>
      </c>
      <c r="CK310" s="48">
        <v>-362.42</v>
      </c>
      <c r="CL310" s="48">
        <v>0</v>
      </c>
      <c r="CM310" s="48">
        <v>-8.4499999999999993</v>
      </c>
      <c r="CN310" s="48">
        <v>-1.28</v>
      </c>
      <c r="CO310" s="48">
        <v>0</v>
      </c>
      <c r="CP310" s="48">
        <v>-1.62</v>
      </c>
      <c r="CQ310" s="48">
        <v>0</v>
      </c>
      <c r="CR310" s="48">
        <v>-31.01</v>
      </c>
      <c r="CS310" s="48">
        <v>-3.05</v>
      </c>
      <c r="CT310" s="48">
        <v>-12.91</v>
      </c>
      <c r="CU310" s="48">
        <v>-1.88</v>
      </c>
      <c r="CV310" s="48">
        <v>-0.7</v>
      </c>
      <c r="CW310" s="48">
        <v>-5.61</v>
      </c>
      <c r="CX310" s="48">
        <v>-49.57</v>
      </c>
      <c r="CY310" s="48">
        <v>-42.05</v>
      </c>
      <c r="CZ310" s="48">
        <v>-26.04</v>
      </c>
      <c r="DA310" s="48">
        <v>-78.81</v>
      </c>
      <c r="DB310" s="48">
        <v>-67.13</v>
      </c>
      <c r="DC310" s="48">
        <v>-49.34</v>
      </c>
      <c r="DD310" s="48">
        <v>-109.44</v>
      </c>
      <c r="DE310" s="48">
        <f>VLOOKUP($C310,'[2]Analysis 1'!$C$5:$DG$1025,107,FALSE)</f>
        <v>-1.66</v>
      </c>
      <c r="DF310" s="48">
        <f>VLOOKUP($C310,'[2]Analysis 1'!$C$5:$DG$1025,108,FALSE)</f>
        <v>-88.89</v>
      </c>
      <c r="DG310" s="48">
        <f>VLOOKUP($C310,'[2]Analysis 1'!$C$5:$DG$1025,109,FALSE)</f>
        <v>-15.49</v>
      </c>
      <c r="DH310" s="369">
        <f t="shared" si="8"/>
        <v>-534.73</v>
      </c>
    </row>
    <row r="311" spans="1:112">
      <c r="A311" s="357" t="str">
        <f t="shared" si="9"/>
        <v>6790305</v>
      </c>
      <c r="B311" s="350" t="s">
        <v>2117</v>
      </c>
      <c r="C311" s="335" t="s">
        <v>1199</v>
      </c>
      <c r="D311" s="340">
        <v>333333</v>
      </c>
      <c r="E311" s="340">
        <v>333333</v>
      </c>
      <c r="F311" s="340">
        <v>333333</v>
      </c>
      <c r="G311" s="340">
        <v>333333</v>
      </c>
      <c r="H311" s="340">
        <v>333333</v>
      </c>
      <c r="I311" s="340">
        <v>333333</v>
      </c>
      <c r="J311" s="340">
        <v>333333</v>
      </c>
      <c r="K311" s="340">
        <v>333333</v>
      </c>
      <c r="L311" s="340">
        <v>333333</v>
      </c>
      <c r="M311" s="340">
        <v>333333</v>
      </c>
      <c r="N311" s="340">
        <v>333333</v>
      </c>
      <c r="O311" s="341">
        <v>333333</v>
      </c>
      <c r="P311" s="48">
        <v>333333</v>
      </c>
      <c r="Q311" s="48">
        <v>333333</v>
      </c>
      <c r="R311" s="48">
        <v>333333</v>
      </c>
      <c r="S311" s="48">
        <v>333333</v>
      </c>
      <c r="T311" s="48">
        <v>333333</v>
      </c>
      <c r="U311" s="48">
        <v>333333</v>
      </c>
      <c r="V311" s="48">
        <v>333333</v>
      </c>
      <c r="W311" s="48">
        <v>333333</v>
      </c>
      <c r="X311" s="48">
        <v>333333</v>
      </c>
      <c r="Y311" s="48">
        <v>333333</v>
      </c>
      <c r="Z311" s="48">
        <v>333333</v>
      </c>
      <c r="AA311" s="48">
        <v>333333</v>
      </c>
      <c r="AB311" s="48">
        <v>333333</v>
      </c>
      <c r="AC311" s="48">
        <v>333333</v>
      </c>
      <c r="AD311" s="48">
        <v>333333</v>
      </c>
      <c r="AE311" s="48">
        <v>381312.36</v>
      </c>
      <c r="AF311" s="48">
        <v>285353.64</v>
      </c>
      <c r="AG311" s="48">
        <v>333333</v>
      </c>
      <c r="AH311" s="48">
        <v>333333</v>
      </c>
      <c r="AI311" s="48">
        <v>333342.65999999997</v>
      </c>
      <c r="AJ311" s="48">
        <v>333333</v>
      </c>
      <c r="AK311" s="48">
        <v>333333</v>
      </c>
      <c r="AL311" s="48">
        <v>333333</v>
      </c>
      <c r="AM311" s="48">
        <v>333333</v>
      </c>
      <c r="AN311" s="48">
        <v>333333</v>
      </c>
      <c r="AO311" s="48">
        <v>333333</v>
      </c>
      <c r="AP311" s="48">
        <v>333333</v>
      </c>
      <c r="AQ311" s="48">
        <v>333333</v>
      </c>
      <c r="AR311" s="48">
        <v>333333</v>
      </c>
      <c r="AS311" s="48">
        <v>333333</v>
      </c>
      <c r="AT311" s="48">
        <v>500000</v>
      </c>
      <c r="AU311" s="48">
        <v>500401.2</v>
      </c>
      <c r="AV311" s="48">
        <v>500000</v>
      </c>
      <c r="AW311" s="48">
        <v>500000</v>
      </c>
      <c r="AX311" s="48">
        <v>500000</v>
      </c>
      <c r="AY311" s="48">
        <v>500000</v>
      </c>
      <c r="AZ311" s="48">
        <v>500000</v>
      </c>
      <c r="BA311" s="48">
        <v>500000</v>
      </c>
      <c r="BB311" s="48">
        <v>500000</v>
      </c>
      <c r="BC311" s="48">
        <v>500000</v>
      </c>
      <c r="BD311" s="48">
        <v>500000</v>
      </c>
      <c r="BE311" s="48">
        <v>500000</v>
      </c>
      <c r="BF311" s="48">
        <v>500000</v>
      </c>
      <c r="BG311" s="48">
        <v>500000</v>
      </c>
      <c r="BH311" s="48">
        <v>500000</v>
      </c>
      <c r="BI311" s="48">
        <v>500000</v>
      </c>
      <c r="BJ311" s="48">
        <v>500000</v>
      </c>
      <c r="BK311" s="48">
        <v>500000</v>
      </c>
      <c r="BL311" s="48">
        <v>500000</v>
      </c>
      <c r="BM311" s="48">
        <v>500000</v>
      </c>
      <c r="BN311" s="48">
        <v>1000000</v>
      </c>
      <c r="BO311" s="48">
        <v>666666.67000000004</v>
      </c>
      <c r="BP311" s="48">
        <v>666666.67000000004</v>
      </c>
      <c r="BQ311" s="48">
        <v>666666.67000000004</v>
      </c>
      <c r="BR311" s="48">
        <v>666666.67000000004</v>
      </c>
      <c r="BS311" s="48">
        <v>666666.67000000004</v>
      </c>
      <c r="BT311" s="48">
        <v>666666.67000000004</v>
      </c>
      <c r="BU311" s="48">
        <v>666666.67000000004</v>
      </c>
      <c r="BV311" s="48">
        <v>666666.67000000004</v>
      </c>
      <c r="BW311" s="48">
        <v>666666.67000000004</v>
      </c>
      <c r="BX311" s="48">
        <v>666666.67000000004</v>
      </c>
      <c r="BY311" s="48">
        <v>666666.67000000004</v>
      </c>
      <c r="BZ311" s="48">
        <v>666666.67000000004</v>
      </c>
      <c r="CA311" s="48">
        <v>666666.67000000004</v>
      </c>
      <c r="CB311" s="48">
        <v>666666.67000000004</v>
      </c>
      <c r="CC311" s="48">
        <v>666666.67000000004</v>
      </c>
      <c r="CD311" s="48">
        <v>666666.67000000004</v>
      </c>
      <c r="CE311" s="48">
        <v>666666.67000000004</v>
      </c>
      <c r="CF311" s="48">
        <v>680419.7</v>
      </c>
      <c r="CG311" s="48">
        <v>666880.01</v>
      </c>
      <c r="CH311" s="48">
        <v>666666.67000000004</v>
      </c>
      <c r="CI311" s="48">
        <v>666666.63</v>
      </c>
      <c r="CJ311" s="48">
        <v>630430.63</v>
      </c>
      <c r="CK311" s="48">
        <v>666666.63</v>
      </c>
      <c r="CL311" s="48">
        <v>666666.63</v>
      </c>
      <c r="CM311" s="48">
        <v>666666.67000000004</v>
      </c>
      <c r="CN311" s="48">
        <v>666666.67000000004</v>
      </c>
      <c r="CO311" s="48">
        <v>666666.67000000004</v>
      </c>
      <c r="CP311" s="48">
        <v>666666.67000000004</v>
      </c>
      <c r="CQ311" s="48">
        <v>666666.67000000004</v>
      </c>
      <c r="CR311" s="48">
        <v>839854.36</v>
      </c>
      <c r="CS311" s="48">
        <v>684827.82</v>
      </c>
      <c r="CT311" s="48">
        <v>1602371.46</v>
      </c>
      <c r="CU311" s="48">
        <v>771269.92</v>
      </c>
      <c r="CV311" s="48">
        <v>860468.56</v>
      </c>
      <c r="CW311" s="48">
        <v>838414.83</v>
      </c>
      <c r="CX311" s="48">
        <v>835737.27</v>
      </c>
      <c r="CY311" s="48">
        <v>833883.08</v>
      </c>
      <c r="CZ311" s="48">
        <v>833932.98</v>
      </c>
      <c r="DA311" s="48">
        <v>835478.6</v>
      </c>
      <c r="DB311" s="48">
        <v>833696.98</v>
      </c>
      <c r="DC311" s="48">
        <v>834842.53</v>
      </c>
      <c r="DD311" s="48">
        <v>833902.92</v>
      </c>
      <c r="DE311" s="48">
        <f>VLOOKUP($C311,'[2]Analysis 1'!$C$5:$DG$1025,107,FALSE)</f>
        <v>834067.11</v>
      </c>
      <c r="DF311" s="48">
        <f>VLOOKUP($C311,'[2]Analysis 1'!$C$5:$DG$1025,108,FALSE)</f>
        <v>833333.33</v>
      </c>
      <c r="DG311" s="48">
        <f>VLOOKUP($C311,'[2]Analysis 1'!$C$5:$DG$1025,109,FALSE)</f>
        <v>1833333.36</v>
      </c>
      <c r="DH311" s="369">
        <f t="shared" si="8"/>
        <v>11041091.550000001</v>
      </c>
    </row>
    <row r="312" spans="1:112">
      <c r="A312" s="357" t="str">
        <f t="shared" si="9"/>
        <v>6790310</v>
      </c>
      <c r="B312" s="350" t="s">
        <v>2118</v>
      </c>
      <c r="C312" s="335" t="s">
        <v>1200</v>
      </c>
      <c r="D312" s="367">
        <v>-283333</v>
      </c>
      <c r="E312" s="367">
        <v>-283333</v>
      </c>
      <c r="F312" s="367">
        <v>-283333</v>
      </c>
      <c r="G312" s="367">
        <v>-283333</v>
      </c>
      <c r="H312" s="367">
        <v>-283333</v>
      </c>
      <c r="I312" s="367">
        <v>-283333</v>
      </c>
      <c r="J312" s="367">
        <v>-283333</v>
      </c>
      <c r="K312" s="367">
        <v>-283333</v>
      </c>
      <c r="L312" s="367">
        <v>-283333</v>
      </c>
      <c r="M312" s="367">
        <v>-283333</v>
      </c>
      <c r="N312" s="367">
        <v>-283333</v>
      </c>
      <c r="O312" s="368">
        <v>-283333</v>
      </c>
      <c r="P312" s="48">
        <v>-283333</v>
      </c>
      <c r="Q312" s="48">
        <v>-283333</v>
      </c>
      <c r="R312" s="48">
        <v>-283333</v>
      </c>
      <c r="S312" s="48">
        <v>-283333</v>
      </c>
      <c r="T312" s="48">
        <v>-283333</v>
      </c>
      <c r="U312" s="48">
        <v>-283333</v>
      </c>
      <c r="V312" s="48">
        <v>-283333</v>
      </c>
      <c r="W312" s="48">
        <v>-283333</v>
      </c>
      <c r="X312" s="48">
        <v>-283333</v>
      </c>
      <c r="Y312" s="48">
        <v>-283333</v>
      </c>
      <c r="Z312" s="48">
        <v>-283333</v>
      </c>
      <c r="AA312" s="48">
        <v>-283333</v>
      </c>
      <c r="AB312" s="48">
        <v>-283333</v>
      </c>
      <c r="AC312" s="48">
        <v>-283333</v>
      </c>
      <c r="AD312" s="48">
        <v>-283333</v>
      </c>
      <c r="AE312" s="48">
        <v>-283333</v>
      </c>
      <c r="AF312" s="48">
        <v>-283333</v>
      </c>
      <c r="AG312" s="48">
        <v>-283333</v>
      </c>
      <c r="AH312" s="48">
        <v>-283333</v>
      </c>
      <c r="AI312" s="48">
        <v>-283333</v>
      </c>
      <c r="AJ312" s="48">
        <v>-283333</v>
      </c>
      <c r="AK312" s="48">
        <v>-283333</v>
      </c>
      <c r="AL312" s="48">
        <v>-283333</v>
      </c>
      <c r="AM312" s="48">
        <v>-283333</v>
      </c>
      <c r="AN312" s="48">
        <v>-283333</v>
      </c>
      <c r="AO312" s="48">
        <v>-283333</v>
      </c>
      <c r="AP312" s="48">
        <v>-283333</v>
      </c>
      <c r="AQ312" s="48">
        <v>-283333</v>
      </c>
      <c r="AR312" s="48">
        <v>-283333</v>
      </c>
      <c r="AS312" s="48">
        <v>-283333</v>
      </c>
      <c r="AT312" s="48">
        <v>-500000</v>
      </c>
      <c r="AU312" s="48">
        <v>-500000</v>
      </c>
      <c r="AV312" s="48">
        <v>-500000</v>
      </c>
      <c r="AW312" s="48">
        <v>-500000</v>
      </c>
      <c r="AX312" s="48">
        <v>-500000</v>
      </c>
      <c r="AY312" s="48">
        <v>-500000</v>
      </c>
      <c r="AZ312" s="48">
        <v>-500000</v>
      </c>
      <c r="BA312" s="48">
        <v>-500000</v>
      </c>
      <c r="BB312" s="48">
        <v>-500000</v>
      </c>
      <c r="BC312" s="48">
        <v>-500000</v>
      </c>
      <c r="BD312" s="48">
        <v>-500000</v>
      </c>
      <c r="BE312" s="48">
        <v>-500000</v>
      </c>
      <c r="BF312" s="48">
        <v>-500000</v>
      </c>
      <c r="BG312" s="48">
        <v>-500000</v>
      </c>
      <c r="BH312" s="48">
        <v>-500000</v>
      </c>
      <c r="BI312" s="48">
        <v>-500000</v>
      </c>
      <c r="BJ312" s="48">
        <v>-500000</v>
      </c>
      <c r="BK312" s="48">
        <v>-500000</v>
      </c>
      <c r="BL312" s="48">
        <v>-500000</v>
      </c>
      <c r="BM312" s="48">
        <v>-500000</v>
      </c>
      <c r="BN312" s="48">
        <v>-1000000</v>
      </c>
      <c r="BO312" s="48">
        <v>-666666.67000000004</v>
      </c>
      <c r="BP312" s="48">
        <v>-666666.67000000004</v>
      </c>
      <c r="BQ312" s="48">
        <v>-666666.67000000004</v>
      </c>
      <c r="BR312" s="48">
        <v>-666666.67000000004</v>
      </c>
      <c r="BS312" s="48">
        <v>-666666.67000000004</v>
      </c>
      <c r="BT312" s="48">
        <v>-666666.67000000004</v>
      </c>
      <c r="BU312" s="48">
        <v>-666666.67000000004</v>
      </c>
      <c r="BV312" s="48">
        <v>-666666.67000000004</v>
      </c>
      <c r="BW312" s="48">
        <v>-666666.67000000004</v>
      </c>
      <c r="BX312" s="48">
        <v>-666666.67000000004</v>
      </c>
      <c r="BY312" s="48">
        <v>-666666.67000000004</v>
      </c>
      <c r="BZ312" s="48">
        <v>-666666.67000000004</v>
      </c>
      <c r="CA312" s="48">
        <v>-666666.67000000004</v>
      </c>
      <c r="CB312" s="48">
        <v>-666666.67000000004</v>
      </c>
      <c r="CC312" s="48">
        <v>-666666.67000000004</v>
      </c>
      <c r="CD312" s="48">
        <v>-666666.67000000004</v>
      </c>
      <c r="CE312" s="48">
        <v>-666666.67000000004</v>
      </c>
      <c r="CF312" s="48">
        <v>-666666.67000000004</v>
      </c>
      <c r="CG312" s="48">
        <v>-666666.67000000004</v>
      </c>
      <c r="CH312" s="48">
        <v>-666666.67000000004</v>
      </c>
      <c r="CI312" s="48">
        <v>-666666.63</v>
      </c>
      <c r="CJ312" s="48">
        <v>-666666.63</v>
      </c>
      <c r="CK312" s="48">
        <v>-666666.63</v>
      </c>
      <c r="CL312" s="48">
        <v>-666666.63</v>
      </c>
      <c r="CM312" s="48">
        <v>-666666.67000000004</v>
      </c>
      <c r="CN312" s="48">
        <v>-666666.67000000004</v>
      </c>
      <c r="CO312" s="48">
        <v>-666666.67000000004</v>
      </c>
      <c r="CP312" s="48">
        <v>-666666.67000000004</v>
      </c>
      <c r="CQ312" s="48">
        <v>-666666.67000000004</v>
      </c>
      <c r="CR312" s="48">
        <v>-666666.67000000004</v>
      </c>
      <c r="CS312" s="48">
        <v>-666666.67000000004</v>
      </c>
      <c r="CT312" s="48">
        <v>-1583333.37</v>
      </c>
      <c r="CU312" s="48">
        <v>-750000</v>
      </c>
      <c r="CV312" s="48">
        <v>-833333.37</v>
      </c>
      <c r="CW312" s="48">
        <v>-833333.37</v>
      </c>
      <c r="CX312" s="48">
        <v>-833333.3</v>
      </c>
      <c r="CY312" s="48">
        <v>-833333.3</v>
      </c>
      <c r="CZ312" s="48">
        <v>-833333.33</v>
      </c>
      <c r="DA312" s="48">
        <v>-833333.33</v>
      </c>
      <c r="DB312" s="48">
        <v>-833333.33</v>
      </c>
      <c r="DC312" s="48">
        <v>-833333.33</v>
      </c>
      <c r="DD312" s="48">
        <v>-833333.33</v>
      </c>
      <c r="DE312" s="48">
        <f>VLOOKUP($C312,'[2]Analysis 1'!$C$5:$DG$1025,107,FALSE)</f>
        <v>-833333.33</v>
      </c>
      <c r="DF312" s="48">
        <f>VLOOKUP($C312,'[2]Analysis 1'!$C$5:$DG$1025,108,FALSE)</f>
        <v>-833333.33</v>
      </c>
      <c r="DG312" s="48">
        <f>VLOOKUP($C312,'[2]Analysis 1'!$C$5:$DG$1025,109,FALSE)</f>
        <v>-1833333.36</v>
      </c>
      <c r="DH312" s="369">
        <f t="shared" si="8"/>
        <v>-11000000.01</v>
      </c>
    </row>
    <row r="313" spans="1:112">
      <c r="A313" s="357" t="str">
        <f t="shared" si="9"/>
        <v>6790315</v>
      </c>
      <c r="B313" s="350" t="s">
        <v>2119</v>
      </c>
      <c r="C313" s="335" t="s">
        <v>1201</v>
      </c>
      <c r="D313" s="340">
        <v>-50000</v>
      </c>
      <c r="E313" s="340">
        <v>-50000</v>
      </c>
      <c r="F313" s="340">
        <v>-50000</v>
      </c>
      <c r="G313" s="340">
        <v>-50000</v>
      </c>
      <c r="H313" s="340">
        <v>-50000</v>
      </c>
      <c r="I313" s="340">
        <v>-50000</v>
      </c>
      <c r="J313" s="340">
        <v>-50000</v>
      </c>
      <c r="K313" s="340">
        <v>-50000</v>
      </c>
      <c r="L313" s="340">
        <v>-50000</v>
      </c>
      <c r="M313" s="340">
        <v>-50000</v>
      </c>
      <c r="N313" s="340">
        <v>-50000</v>
      </c>
      <c r="O313" s="341">
        <v>-50000</v>
      </c>
      <c r="P313" s="48">
        <v>-50000</v>
      </c>
      <c r="Q313" s="48">
        <v>-50000</v>
      </c>
      <c r="R313" s="48">
        <v>-50000</v>
      </c>
      <c r="S313" s="48">
        <v>-50000</v>
      </c>
      <c r="T313" s="48">
        <v>-50000</v>
      </c>
      <c r="U313" s="48">
        <v>-50000</v>
      </c>
      <c r="V313" s="48">
        <v>-50000</v>
      </c>
      <c r="W313" s="48">
        <v>-50000</v>
      </c>
      <c r="X313" s="48">
        <v>-50000</v>
      </c>
      <c r="Y313" s="48">
        <v>-50000</v>
      </c>
      <c r="Z313" s="48">
        <v>-50000</v>
      </c>
      <c r="AA313" s="48">
        <v>-50000</v>
      </c>
      <c r="AB313" s="48">
        <v>-50000</v>
      </c>
      <c r="AC313" s="48">
        <v>-50000</v>
      </c>
      <c r="AD313" s="48">
        <v>-50000</v>
      </c>
      <c r="AE313" s="48">
        <v>-50000</v>
      </c>
      <c r="AF313" s="48">
        <v>-50000</v>
      </c>
      <c r="AG313" s="48">
        <v>-50000</v>
      </c>
      <c r="AH313" s="48">
        <v>-50000</v>
      </c>
      <c r="AI313" s="48">
        <v>-50000</v>
      </c>
      <c r="AJ313" s="48">
        <v>-50000</v>
      </c>
      <c r="AK313" s="48">
        <v>-50000</v>
      </c>
      <c r="AL313" s="48">
        <v>-50000</v>
      </c>
      <c r="AM313" s="48">
        <v>-50000</v>
      </c>
      <c r="AN313" s="48">
        <v>-50000</v>
      </c>
      <c r="AO313" s="48">
        <v>-50000</v>
      </c>
      <c r="AP313" s="48">
        <v>-50000</v>
      </c>
      <c r="AQ313" s="48">
        <v>-50000</v>
      </c>
      <c r="AR313" s="48">
        <v>-50000</v>
      </c>
      <c r="AS313" s="48">
        <v>-50000</v>
      </c>
      <c r="AT313" s="48">
        <v>0</v>
      </c>
      <c r="AU313" s="48">
        <v>0</v>
      </c>
      <c r="AV313" s="48">
        <v>0</v>
      </c>
      <c r="AW313" s="48">
        <v>0</v>
      </c>
      <c r="AX313" s="48">
        <v>0</v>
      </c>
      <c r="AY313" s="48">
        <v>0</v>
      </c>
      <c r="AZ313" s="48">
        <v>0</v>
      </c>
      <c r="BA313" s="48">
        <v>0</v>
      </c>
      <c r="BB313" s="48">
        <v>0</v>
      </c>
      <c r="BC313" s="48">
        <v>0</v>
      </c>
      <c r="BD313" s="48">
        <v>0</v>
      </c>
      <c r="BE313" s="48">
        <v>0</v>
      </c>
      <c r="BF313" s="48">
        <v>0</v>
      </c>
      <c r="BG313" s="48">
        <v>0</v>
      </c>
      <c r="BH313" s="48">
        <v>0</v>
      </c>
      <c r="BI313" s="48">
        <v>0</v>
      </c>
      <c r="BJ313" s="48">
        <v>0</v>
      </c>
      <c r="BK313" s="48">
        <v>0</v>
      </c>
      <c r="BL313" s="48">
        <v>0</v>
      </c>
      <c r="BM313" s="48">
        <v>0</v>
      </c>
      <c r="BN313" s="48">
        <v>0</v>
      </c>
      <c r="BO313" s="48">
        <v>0</v>
      </c>
      <c r="BP313" s="48">
        <v>0</v>
      </c>
      <c r="BQ313" s="48">
        <v>0</v>
      </c>
      <c r="BR313" s="48">
        <v>0</v>
      </c>
      <c r="BS313" s="48">
        <v>0</v>
      </c>
      <c r="BT313" s="48">
        <v>0</v>
      </c>
      <c r="BU313" s="48">
        <v>0</v>
      </c>
      <c r="BV313" s="48">
        <v>0</v>
      </c>
      <c r="BW313" s="48">
        <v>0</v>
      </c>
      <c r="BX313" s="48">
        <v>0</v>
      </c>
      <c r="BY313" s="48">
        <v>0</v>
      </c>
      <c r="BZ313" s="48">
        <v>0</v>
      </c>
      <c r="CA313" s="48">
        <v>0</v>
      </c>
      <c r="CB313" s="48">
        <v>0</v>
      </c>
      <c r="CC313" s="48">
        <v>0</v>
      </c>
      <c r="CD313" s="48">
        <v>0</v>
      </c>
      <c r="CE313" s="48">
        <v>0</v>
      </c>
      <c r="CF313" s="48">
        <v>0</v>
      </c>
      <c r="CG313" s="48">
        <v>0</v>
      </c>
      <c r="CH313" s="48">
        <v>0</v>
      </c>
      <c r="CI313" s="48">
        <v>0</v>
      </c>
      <c r="CJ313" s="48">
        <v>0</v>
      </c>
      <c r="CK313" s="48">
        <v>0</v>
      </c>
      <c r="CL313" s="48">
        <v>0</v>
      </c>
      <c r="CM313" s="48">
        <v>0</v>
      </c>
      <c r="CN313" s="48">
        <v>0</v>
      </c>
      <c r="CO313" s="48">
        <v>0</v>
      </c>
      <c r="CP313" s="48">
        <v>0</v>
      </c>
      <c r="CQ313" s="48">
        <v>0</v>
      </c>
      <c r="CR313" s="48">
        <v>0</v>
      </c>
      <c r="CS313" s="48">
        <v>0</v>
      </c>
      <c r="CT313" s="48">
        <v>0</v>
      </c>
      <c r="CU313" s="48">
        <v>0</v>
      </c>
      <c r="CV313" s="48">
        <v>0</v>
      </c>
      <c r="CW313" s="48">
        <v>0</v>
      </c>
      <c r="CX313" s="48">
        <v>0</v>
      </c>
      <c r="CY313" s="48">
        <v>0</v>
      </c>
      <c r="CZ313" s="48">
        <v>0</v>
      </c>
      <c r="DA313" s="48">
        <v>0</v>
      </c>
      <c r="DB313" s="48">
        <v>0</v>
      </c>
      <c r="DC313" s="48">
        <v>0</v>
      </c>
      <c r="DD313" s="48">
        <v>0</v>
      </c>
      <c r="DE313" s="48">
        <f>VLOOKUP($C313,'[2]Analysis 1'!$C$5:$DG$1025,107,FALSE)</f>
        <v>0</v>
      </c>
      <c r="DF313" s="48">
        <f>VLOOKUP($C313,'[2]Analysis 1'!$C$5:$DG$1025,108,FALSE)</f>
        <v>0</v>
      </c>
      <c r="DG313" s="48">
        <f>VLOOKUP($C313,'[2]Analysis 1'!$C$5:$DG$1025,109,FALSE)</f>
        <v>0</v>
      </c>
      <c r="DH313" s="369">
        <f t="shared" si="8"/>
        <v>0</v>
      </c>
    </row>
    <row r="314" spans="1:112">
      <c r="A314" s="357" t="str">
        <f t="shared" si="9"/>
        <v>6790320</v>
      </c>
      <c r="B314" s="350" t="s">
        <v>1782</v>
      </c>
      <c r="C314" s="335" t="s">
        <v>1769</v>
      </c>
      <c r="D314" s="340"/>
      <c r="E314" s="340"/>
      <c r="F314" s="340"/>
      <c r="G314" s="340"/>
      <c r="H314" s="340"/>
      <c r="I314" s="340"/>
      <c r="J314" s="340"/>
      <c r="K314" s="340"/>
      <c r="L314" s="340"/>
      <c r="M314" s="340"/>
      <c r="N314" s="340"/>
      <c r="O314" s="341"/>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v>0</v>
      </c>
      <c r="AO314" s="48">
        <v>0</v>
      </c>
      <c r="AP314" s="48">
        <v>0</v>
      </c>
      <c r="AQ314" s="48">
        <v>0</v>
      </c>
      <c r="AR314" s="48">
        <v>0</v>
      </c>
      <c r="AS314" s="48">
        <v>0</v>
      </c>
      <c r="AT314" s="48">
        <v>0</v>
      </c>
      <c r="AU314" s="48">
        <v>0</v>
      </c>
      <c r="AV314" s="48">
        <v>0</v>
      </c>
      <c r="AW314" s="48">
        <v>0</v>
      </c>
      <c r="AX314" s="48">
        <v>0</v>
      </c>
      <c r="AY314" s="48">
        <v>0</v>
      </c>
      <c r="AZ314" s="48">
        <v>0</v>
      </c>
      <c r="BA314" s="48">
        <v>0</v>
      </c>
      <c r="BB314" s="48">
        <v>0</v>
      </c>
      <c r="BC314" s="48">
        <v>0</v>
      </c>
      <c r="BD314" s="48">
        <v>0</v>
      </c>
      <c r="BE314" s="48">
        <v>0</v>
      </c>
      <c r="BF314" s="48">
        <v>0</v>
      </c>
      <c r="BG314" s="48">
        <v>0</v>
      </c>
      <c r="BH314" s="48">
        <v>0</v>
      </c>
      <c r="BI314" s="48">
        <v>0</v>
      </c>
      <c r="BJ314" s="48">
        <v>3188.55</v>
      </c>
      <c r="BK314" s="48">
        <v>-3188.55</v>
      </c>
      <c r="BL314" s="48">
        <v>0</v>
      </c>
      <c r="BM314" s="48">
        <v>0</v>
      </c>
      <c r="BN314" s="48">
        <v>-487.74</v>
      </c>
      <c r="BO314" s="48">
        <v>0</v>
      </c>
      <c r="BP314" s="48">
        <v>0</v>
      </c>
      <c r="BQ314" s="48">
        <v>0</v>
      </c>
      <c r="BR314" s="48">
        <v>0</v>
      </c>
      <c r="BS314" s="48">
        <v>0</v>
      </c>
      <c r="BT314" s="48">
        <v>0</v>
      </c>
      <c r="BU314" s="48">
        <v>0</v>
      </c>
      <c r="BV314" s="48">
        <v>0</v>
      </c>
      <c r="BW314" s="48">
        <v>0</v>
      </c>
      <c r="BX314" s="48">
        <v>0</v>
      </c>
      <c r="BY314" s="48">
        <v>0</v>
      </c>
      <c r="BZ314" s="48">
        <v>0</v>
      </c>
      <c r="CA314" s="48">
        <v>0</v>
      </c>
      <c r="CB314" s="48">
        <v>0</v>
      </c>
      <c r="CC314" s="48">
        <v>0</v>
      </c>
      <c r="CD314" s="48">
        <v>0</v>
      </c>
      <c r="CE314" s="48">
        <v>0</v>
      </c>
      <c r="CF314" s="48">
        <v>0</v>
      </c>
      <c r="CG314" s="48">
        <v>0</v>
      </c>
      <c r="CH314" s="48">
        <v>0</v>
      </c>
      <c r="CI314" s="48">
        <v>0</v>
      </c>
      <c r="CJ314" s="48">
        <v>0</v>
      </c>
      <c r="CK314" s="48">
        <v>0</v>
      </c>
      <c r="CL314" s="48">
        <v>0</v>
      </c>
      <c r="CM314" s="48">
        <v>0</v>
      </c>
      <c r="CN314" s="48">
        <v>0</v>
      </c>
      <c r="CO314" s="48">
        <v>0</v>
      </c>
      <c r="CP314" s="48">
        <v>0</v>
      </c>
      <c r="CQ314" s="48">
        <v>0</v>
      </c>
      <c r="CR314" s="48">
        <v>0</v>
      </c>
      <c r="CS314" s="48">
        <v>0</v>
      </c>
      <c r="CT314" s="48">
        <v>0</v>
      </c>
      <c r="CU314" s="48">
        <v>0</v>
      </c>
      <c r="CV314" s="48">
        <v>0</v>
      </c>
      <c r="CW314" s="48">
        <v>0</v>
      </c>
      <c r="CX314" s="48">
        <v>0</v>
      </c>
      <c r="CY314" s="48">
        <v>0</v>
      </c>
      <c r="CZ314" s="48">
        <v>0</v>
      </c>
      <c r="DA314" s="48">
        <v>0</v>
      </c>
      <c r="DB314" s="48">
        <v>0</v>
      </c>
      <c r="DC314" s="48">
        <v>0</v>
      </c>
      <c r="DD314" s="48">
        <v>0</v>
      </c>
      <c r="DE314" s="48">
        <f>VLOOKUP($C314,'[2]Analysis 1'!$C$5:$DG$1025,107,FALSE)</f>
        <v>0</v>
      </c>
      <c r="DF314" s="48">
        <f>VLOOKUP($C314,'[2]Analysis 1'!$C$5:$DG$1025,108,FALSE)</f>
        <v>0</v>
      </c>
      <c r="DG314" s="48">
        <f>VLOOKUP($C314,'[2]Analysis 1'!$C$5:$DG$1025,109,FALSE)</f>
        <v>0</v>
      </c>
      <c r="DH314" s="369">
        <f t="shared" si="8"/>
        <v>0</v>
      </c>
    </row>
    <row r="315" spans="1:112">
      <c r="A315" s="357" t="str">
        <f t="shared" si="9"/>
        <v>6790321</v>
      </c>
      <c r="B315" s="350" t="s">
        <v>1783</v>
      </c>
      <c r="C315" s="335" t="s">
        <v>1770</v>
      </c>
      <c r="D315" s="340"/>
      <c r="E315" s="340"/>
      <c r="F315" s="340"/>
      <c r="G315" s="340"/>
      <c r="H315" s="340"/>
      <c r="I315" s="340"/>
      <c r="J315" s="340"/>
      <c r="K315" s="340"/>
      <c r="L315" s="340"/>
      <c r="M315" s="340"/>
      <c r="N315" s="340"/>
      <c r="O315" s="341"/>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v>0</v>
      </c>
      <c r="AO315" s="48">
        <v>0</v>
      </c>
      <c r="AP315" s="48">
        <v>0</v>
      </c>
      <c r="AQ315" s="48">
        <v>0</v>
      </c>
      <c r="AR315" s="48">
        <v>0</v>
      </c>
      <c r="AS315" s="48">
        <v>0</v>
      </c>
      <c r="AT315" s="48">
        <v>0</v>
      </c>
      <c r="AU315" s="48">
        <v>0</v>
      </c>
      <c r="AV315" s="48">
        <v>0</v>
      </c>
      <c r="AW315" s="48">
        <v>0</v>
      </c>
      <c r="AX315" s="48">
        <v>0</v>
      </c>
      <c r="AY315" s="48">
        <v>0</v>
      </c>
      <c r="AZ315" s="48">
        <v>0</v>
      </c>
      <c r="BA315" s="48">
        <v>0</v>
      </c>
      <c r="BB315" s="48">
        <v>0</v>
      </c>
      <c r="BC315" s="48">
        <v>0</v>
      </c>
      <c r="BD315" s="48">
        <v>0</v>
      </c>
      <c r="BE315" s="48">
        <v>0</v>
      </c>
      <c r="BF315" s="48">
        <v>0</v>
      </c>
      <c r="BG315" s="48">
        <v>0</v>
      </c>
      <c r="BH315" s="48">
        <v>0</v>
      </c>
      <c r="BI315" s="48">
        <v>0</v>
      </c>
      <c r="BJ315" s="48">
        <v>0</v>
      </c>
      <c r="BK315" s="48">
        <v>0</v>
      </c>
      <c r="BL315" s="48">
        <v>0</v>
      </c>
      <c r="BM315" s="48">
        <v>0</v>
      </c>
      <c r="BN315" s="48">
        <v>0</v>
      </c>
      <c r="BO315" s="48">
        <v>0</v>
      </c>
      <c r="BP315" s="48">
        <v>0</v>
      </c>
      <c r="BQ315" s="48">
        <v>0</v>
      </c>
      <c r="BR315" s="48">
        <v>0</v>
      </c>
      <c r="BS315" s="48">
        <v>0</v>
      </c>
      <c r="BT315" s="48">
        <v>0</v>
      </c>
      <c r="BU315" s="48">
        <v>0</v>
      </c>
      <c r="BV315" s="48">
        <v>0</v>
      </c>
      <c r="BW315" s="48">
        <v>0</v>
      </c>
      <c r="BX315" s="48">
        <v>0</v>
      </c>
      <c r="BY315" s="48">
        <v>0</v>
      </c>
      <c r="BZ315" s="48">
        <v>0</v>
      </c>
      <c r="CA315" s="48">
        <v>0</v>
      </c>
      <c r="CB315" s="48">
        <v>0</v>
      </c>
      <c r="CC315" s="48">
        <v>0</v>
      </c>
      <c r="CD315" s="48">
        <v>0</v>
      </c>
      <c r="CE315" s="48">
        <v>0</v>
      </c>
      <c r="CF315" s="48">
        <v>0</v>
      </c>
      <c r="CG315" s="48">
        <v>0</v>
      </c>
      <c r="CH315" s="48">
        <v>0</v>
      </c>
      <c r="CI315" s="48">
        <v>0</v>
      </c>
      <c r="CJ315" s="48">
        <v>0</v>
      </c>
      <c r="CK315" s="48">
        <v>0</v>
      </c>
      <c r="CL315" s="48">
        <v>0</v>
      </c>
      <c r="CM315" s="48">
        <v>0</v>
      </c>
      <c r="CN315" s="48">
        <v>0</v>
      </c>
      <c r="CO315" s="48">
        <v>0</v>
      </c>
      <c r="CP315" s="48">
        <v>0</v>
      </c>
      <c r="CQ315" s="48">
        <v>0</v>
      </c>
      <c r="CR315" s="48">
        <v>0</v>
      </c>
      <c r="CS315" s="48">
        <v>0</v>
      </c>
      <c r="CT315" s="48">
        <v>0</v>
      </c>
      <c r="CU315" s="48">
        <v>0</v>
      </c>
      <c r="CV315" s="48">
        <v>0</v>
      </c>
      <c r="CW315" s="48">
        <v>0</v>
      </c>
      <c r="CX315" s="48">
        <v>0</v>
      </c>
      <c r="CY315" s="48">
        <v>0</v>
      </c>
      <c r="CZ315" s="48">
        <v>0</v>
      </c>
      <c r="DA315" s="48">
        <v>0</v>
      </c>
      <c r="DB315" s="48">
        <v>0</v>
      </c>
      <c r="DC315" s="48">
        <v>0</v>
      </c>
      <c r="DD315" s="48">
        <v>0</v>
      </c>
      <c r="DE315" s="48">
        <f>VLOOKUP($C315,'[2]Analysis 1'!$C$5:$DG$1025,107,FALSE)</f>
        <v>0</v>
      </c>
      <c r="DF315" s="48">
        <f>VLOOKUP($C315,'[2]Analysis 1'!$C$5:$DG$1025,108,FALSE)</f>
        <v>0</v>
      </c>
      <c r="DG315" s="48">
        <f>VLOOKUP($C315,'[2]Analysis 1'!$C$5:$DG$1025,109,FALSE)</f>
        <v>0</v>
      </c>
      <c r="DH315" s="369">
        <f t="shared" si="8"/>
        <v>0</v>
      </c>
    </row>
    <row r="316" spans="1:112">
      <c r="A316" s="357" t="str">
        <f t="shared" si="9"/>
        <v>6790324</v>
      </c>
      <c r="B316" s="350" t="s">
        <v>1784</v>
      </c>
      <c r="C316" s="335" t="s">
        <v>1771</v>
      </c>
      <c r="D316" s="340"/>
      <c r="E316" s="340"/>
      <c r="F316" s="340"/>
      <c r="G316" s="340"/>
      <c r="H316" s="340"/>
      <c r="I316" s="340"/>
      <c r="J316" s="340"/>
      <c r="K316" s="340"/>
      <c r="L316" s="340"/>
      <c r="M316" s="340"/>
      <c r="N316" s="340"/>
      <c r="O316" s="341"/>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v>0</v>
      </c>
      <c r="AO316" s="48">
        <v>0</v>
      </c>
      <c r="AP316" s="48">
        <v>0</v>
      </c>
      <c r="AQ316" s="48">
        <v>0</v>
      </c>
      <c r="AR316" s="48">
        <v>0</v>
      </c>
      <c r="AS316" s="48">
        <v>0</v>
      </c>
      <c r="AT316" s="48">
        <v>0</v>
      </c>
      <c r="AU316" s="48">
        <v>0</v>
      </c>
      <c r="AV316" s="48">
        <v>0</v>
      </c>
      <c r="AW316" s="48">
        <v>0</v>
      </c>
      <c r="AX316" s="48">
        <v>0</v>
      </c>
      <c r="AY316" s="48">
        <v>0</v>
      </c>
      <c r="AZ316" s="48">
        <v>0</v>
      </c>
      <c r="BA316" s="48">
        <v>0</v>
      </c>
      <c r="BB316" s="48">
        <v>0</v>
      </c>
      <c r="BC316" s="48">
        <v>0</v>
      </c>
      <c r="BD316" s="48">
        <v>0</v>
      </c>
      <c r="BE316" s="48">
        <v>0</v>
      </c>
      <c r="BF316" s="48">
        <v>0</v>
      </c>
      <c r="BG316" s="48">
        <v>0</v>
      </c>
      <c r="BH316" s="48">
        <v>0</v>
      </c>
      <c r="BI316" s="48">
        <v>0</v>
      </c>
      <c r="BJ316" s="48">
        <v>0</v>
      </c>
      <c r="BK316" s="48">
        <v>0</v>
      </c>
      <c r="BL316" s="48">
        <v>0</v>
      </c>
      <c r="BM316" s="48">
        <v>0</v>
      </c>
      <c r="BN316" s="48">
        <v>0</v>
      </c>
      <c r="BO316" s="48">
        <v>0</v>
      </c>
      <c r="BP316" s="48">
        <v>0</v>
      </c>
      <c r="BQ316" s="48">
        <v>0</v>
      </c>
      <c r="BR316" s="48">
        <v>0</v>
      </c>
      <c r="BS316" s="48">
        <v>0</v>
      </c>
      <c r="BT316" s="48">
        <v>0</v>
      </c>
      <c r="BU316" s="48">
        <v>0</v>
      </c>
      <c r="BV316" s="48">
        <v>0</v>
      </c>
      <c r="BW316" s="48">
        <v>0</v>
      </c>
      <c r="BX316" s="48">
        <v>0</v>
      </c>
      <c r="BY316" s="48">
        <v>0</v>
      </c>
      <c r="BZ316" s="48">
        <v>0</v>
      </c>
      <c r="CA316" s="48">
        <v>0</v>
      </c>
      <c r="CB316" s="48">
        <v>0</v>
      </c>
      <c r="CC316" s="48">
        <v>0</v>
      </c>
      <c r="CD316" s="48">
        <v>0</v>
      </c>
      <c r="CE316" s="48">
        <v>0</v>
      </c>
      <c r="CF316" s="48">
        <v>96.28</v>
      </c>
      <c r="CG316" s="48">
        <v>2</v>
      </c>
      <c r="CH316" s="48">
        <v>0</v>
      </c>
      <c r="CI316" s="48">
        <v>0</v>
      </c>
      <c r="CJ316" s="48">
        <v>0</v>
      </c>
      <c r="CK316" s="48">
        <v>0</v>
      </c>
      <c r="CL316" s="48">
        <v>0</v>
      </c>
      <c r="CM316" s="48">
        <v>0</v>
      </c>
      <c r="CN316" s="48">
        <v>0</v>
      </c>
      <c r="CO316" s="48">
        <v>0</v>
      </c>
      <c r="CP316" s="48">
        <v>0</v>
      </c>
      <c r="CQ316" s="48">
        <v>0</v>
      </c>
      <c r="CR316" s="48">
        <v>1594.45</v>
      </c>
      <c r="CS316" s="48">
        <v>162.91</v>
      </c>
      <c r="CT316" s="48">
        <v>202.02</v>
      </c>
      <c r="CU316" s="48">
        <v>245.83</v>
      </c>
      <c r="CV316" s="48">
        <v>322.39999999999998</v>
      </c>
      <c r="CW316" s="48">
        <v>63.39</v>
      </c>
      <c r="CX316" s="48">
        <v>26.45</v>
      </c>
      <c r="CY316" s="48">
        <v>7.7</v>
      </c>
      <c r="CZ316" s="48">
        <v>8.02</v>
      </c>
      <c r="DA316" s="48">
        <v>26.06</v>
      </c>
      <c r="DB316" s="48">
        <v>4.88</v>
      </c>
      <c r="DC316" s="48">
        <v>16.2</v>
      </c>
      <c r="DD316" s="48">
        <v>6.69</v>
      </c>
      <c r="DE316" s="48">
        <f>VLOOKUP($C316,'[2]Analysis 1'!$C$5:$DG$1025,107,FALSE)</f>
        <v>0</v>
      </c>
      <c r="DF316" s="48">
        <f>VLOOKUP($C316,'[2]Analysis 1'!$C$5:$DG$1025,108,FALSE)</f>
        <v>0</v>
      </c>
      <c r="DG316" s="48">
        <f>VLOOKUP($C316,'[2]Analysis 1'!$C$5:$DG$1025,109,FALSE)</f>
        <v>0</v>
      </c>
      <c r="DH316" s="369">
        <f t="shared" si="8"/>
        <v>481.78999999999991</v>
      </c>
    </row>
    <row r="317" spans="1:112">
      <c r="A317" s="357" t="str">
        <f t="shared" si="9"/>
        <v>6790700</v>
      </c>
      <c r="B317" s="350" t="s">
        <v>2120</v>
      </c>
      <c r="C317" s="335" t="s">
        <v>1202</v>
      </c>
      <c r="D317" s="367">
        <v>45570.879999999997</v>
      </c>
      <c r="E317" s="367">
        <v>29205.11</v>
      </c>
      <c r="F317" s="367">
        <v>51595.42</v>
      </c>
      <c r="G317" s="367">
        <v>16420.43</v>
      </c>
      <c r="H317" s="367">
        <v>100339.08</v>
      </c>
      <c r="I317" s="367">
        <v>262931.67</v>
      </c>
      <c r="J317" s="367">
        <v>121219.41</v>
      </c>
      <c r="K317" s="367">
        <v>128825.24</v>
      </c>
      <c r="L317" s="367">
        <v>11134.4</v>
      </c>
      <c r="M317" s="367">
        <v>-195994.03</v>
      </c>
      <c r="N317" s="367">
        <v>45785.63</v>
      </c>
      <c r="O317" s="368">
        <v>-462677.38</v>
      </c>
      <c r="P317" s="48">
        <v>67756.289999999994</v>
      </c>
      <c r="Q317" s="48">
        <v>70271.75</v>
      </c>
      <c r="R317" s="48">
        <v>15574.25</v>
      </c>
      <c r="S317" s="48">
        <v>50140.04</v>
      </c>
      <c r="T317" s="48">
        <v>24947.35</v>
      </c>
      <c r="U317" s="48">
        <v>78089.22</v>
      </c>
      <c r="V317" s="48">
        <v>45827.31</v>
      </c>
      <c r="W317" s="48">
        <v>51103.25</v>
      </c>
      <c r="X317" s="48">
        <v>47596.55</v>
      </c>
      <c r="Y317" s="48">
        <v>16520.240000000002</v>
      </c>
      <c r="Z317" s="48">
        <v>45601.18</v>
      </c>
      <c r="AA317" s="48">
        <v>85393.41</v>
      </c>
      <c r="AB317" s="48">
        <v>211053.51</v>
      </c>
      <c r="AC317" s="48">
        <v>52439.94</v>
      </c>
      <c r="AD317" s="48">
        <v>73337.13</v>
      </c>
      <c r="AE317" s="48">
        <v>86312.09</v>
      </c>
      <c r="AF317" s="48">
        <v>38971.75</v>
      </c>
      <c r="AG317" s="48">
        <v>81442.09</v>
      </c>
      <c r="AH317" s="48">
        <v>46605.89</v>
      </c>
      <c r="AI317" s="48">
        <v>44394.6</v>
      </c>
      <c r="AJ317" s="48">
        <v>250463.67</v>
      </c>
      <c r="AK317" s="48">
        <v>50325.67</v>
      </c>
      <c r="AL317" s="48">
        <v>39847.440000000002</v>
      </c>
      <c r="AM317" s="48">
        <v>293171.24</v>
      </c>
      <c r="AN317" s="48">
        <v>33604.68</v>
      </c>
      <c r="AO317" s="48">
        <v>42753.279999999999</v>
      </c>
      <c r="AP317" s="48">
        <v>97396.96</v>
      </c>
      <c r="AQ317" s="48">
        <v>79770.89</v>
      </c>
      <c r="AR317" s="48">
        <v>53800.01</v>
      </c>
      <c r="AS317" s="48">
        <v>73992.86</v>
      </c>
      <c r="AT317" s="48">
        <v>61935.89</v>
      </c>
      <c r="AU317" s="48">
        <v>49129.95</v>
      </c>
      <c r="AV317" s="48">
        <v>84339.92</v>
      </c>
      <c r="AW317" s="48">
        <v>42954.13</v>
      </c>
      <c r="AX317" s="48">
        <v>44008.82</v>
      </c>
      <c r="AY317" s="48">
        <v>85942.6</v>
      </c>
      <c r="AZ317" s="48">
        <v>57438.84</v>
      </c>
      <c r="BA317" s="48">
        <v>118081.98</v>
      </c>
      <c r="BB317" s="48">
        <v>107666.53</v>
      </c>
      <c r="BC317" s="48">
        <v>60877.54</v>
      </c>
      <c r="BD317" s="48">
        <v>49059.6</v>
      </c>
      <c r="BE317" s="48">
        <v>59675.99</v>
      </c>
      <c r="BF317" s="48">
        <v>28497.34</v>
      </c>
      <c r="BG317" s="48">
        <v>45953.14</v>
      </c>
      <c r="BH317" s="48">
        <v>47222.63</v>
      </c>
      <c r="BI317" s="48">
        <v>75473.22</v>
      </c>
      <c r="BJ317" s="48">
        <v>48965.93</v>
      </c>
      <c r="BK317" s="48">
        <v>65135.18</v>
      </c>
      <c r="BL317" s="48">
        <v>8252.4</v>
      </c>
      <c r="BM317" s="48">
        <v>47195.91</v>
      </c>
      <c r="BN317" s="48">
        <v>65130.42</v>
      </c>
      <c r="BO317" s="48">
        <v>48110.5</v>
      </c>
      <c r="BP317" s="48">
        <v>39356.1</v>
      </c>
      <c r="BQ317" s="48">
        <v>43787.57</v>
      </c>
      <c r="BR317" s="48">
        <v>38986.92</v>
      </c>
      <c r="BS317" s="48">
        <v>119572.41</v>
      </c>
      <c r="BT317" s="48">
        <v>162653.17000000001</v>
      </c>
      <c r="BU317" s="48">
        <v>50891.09</v>
      </c>
      <c r="BV317" s="48">
        <v>7851.7</v>
      </c>
      <c r="BW317" s="48">
        <v>107913.54</v>
      </c>
      <c r="BX317" s="48">
        <v>-19752.13</v>
      </c>
      <c r="BY317" s="48">
        <v>-151.51</v>
      </c>
      <c r="BZ317" s="48">
        <v>-16089.69</v>
      </c>
      <c r="CA317" s="48">
        <v>-13038.22</v>
      </c>
      <c r="CB317" s="48">
        <v>-19551.5</v>
      </c>
      <c r="CC317" s="48">
        <v>-19648.98</v>
      </c>
      <c r="CD317" s="48">
        <v>-16175.28</v>
      </c>
      <c r="CE317" s="48">
        <v>-4655.26</v>
      </c>
      <c r="CF317" s="48">
        <v>-12572.37</v>
      </c>
      <c r="CG317" s="48">
        <v>-11070.97</v>
      </c>
      <c r="CH317" s="48">
        <v>-6970.09</v>
      </c>
      <c r="CI317" s="48">
        <v>-9294.2900000000009</v>
      </c>
      <c r="CJ317" s="48">
        <v>-42105.02</v>
      </c>
      <c r="CK317" s="48">
        <v>-6860.25</v>
      </c>
      <c r="CL317" s="48">
        <v>-17775.330000000002</v>
      </c>
      <c r="CM317" s="48">
        <v>-13928.46</v>
      </c>
      <c r="CN317" s="48">
        <v>15978.08</v>
      </c>
      <c r="CO317" s="48">
        <v>-282401.55</v>
      </c>
      <c r="CP317" s="48">
        <v>-59314.5</v>
      </c>
      <c r="CQ317" s="48">
        <v>-53723.24</v>
      </c>
      <c r="CR317" s="48">
        <v>-51702.29</v>
      </c>
      <c r="CS317" s="48">
        <v>-59832.14</v>
      </c>
      <c r="CT317" s="48">
        <v>-52627.8</v>
      </c>
      <c r="CU317" s="48">
        <v>-46887.61</v>
      </c>
      <c r="CV317" s="48">
        <v>-43415.07</v>
      </c>
      <c r="CW317" s="48">
        <v>-55363.71</v>
      </c>
      <c r="CX317" s="48">
        <v>-57199.07</v>
      </c>
      <c r="CY317" s="48">
        <v>-52651.32</v>
      </c>
      <c r="CZ317" s="48">
        <v>-66308.240000000005</v>
      </c>
      <c r="DA317" s="48">
        <v>-53355.72</v>
      </c>
      <c r="DB317" s="48">
        <v>-38550.94</v>
      </c>
      <c r="DC317" s="48">
        <v>-10054.66</v>
      </c>
      <c r="DD317" s="48">
        <v>-57265.99</v>
      </c>
      <c r="DE317" s="48">
        <f>VLOOKUP($C317,'[2]Analysis 1'!$C$5:$DG$1025,107,FALSE)</f>
        <v>-61474.37</v>
      </c>
      <c r="DF317" s="48">
        <f>VLOOKUP($C317,'[2]Analysis 1'!$C$5:$DG$1025,108,FALSE)</f>
        <v>-657317.65</v>
      </c>
      <c r="DG317" s="48">
        <f>VLOOKUP($C317,'[2]Analysis 1'!$C$5:$DG$1025,109,FALSE)</f>
        <v>-87938.37</v>
      </c>
      <c r="DH317" s="369">
        <f t="shared" si="8"/>
        <v>-1240895.1099999999</v>
      </c>
    </row>
    <row r="318" spans="1:112">
      <c r="A318" s="357" t="str">
        <f t="shared" si="9"/>
        <v>6790702</v>
      </c>
      <c r="B318" s="350" t="s">
        <v>2122</v>
      </c>
      <c r="C318" s="335" t="s">
        <v>1203</v>
      </c>
      <c r="D318" s="340">
        <v>615970</v>
      </c>
      <c r="E318" s="340">
        <v>739607</v>
      </c>
      <c r="F318" s="340">
        <v>615970</v>
      </c>
      <c r="G318" s="340">
        <v>615970</v>
      </c>
      <c r="H318" s="340">
        <v>615970</v>
      </c>
      <c r="I318" s="340">
        <v>615970</v>
      </c>
      <c r="J318" s="340">
        <v>615970</v>
      </c>
      <c r="K318" s="340">
        <v>615970</v>
      </c>
      <c r="L318" s="340">
        <v>615970</v>
      </c>
      <c r="M318" s="340">
        <v>615970</v>
      </c>
      <c r="N318" s="340">
        <v>615970</v>
      </c>
      <c r="O318" s="341">
        <v>865970</v>
      </c>
      <c r="P318" s="48">
        <v>625209</v>
      </c>
      <c r="Q318" s="48">
        <v>625209</v>
      </c>
      <c r="R318" s="48">
        <v>625209</v>
      </c>
      <c r="S318" s="48">
        <v>625209</v>
      </c>
      <c r="T318" s="48">
        <v>625209</v>
      </c>
      <c r="U318" s="48">
        <v>625209</v>
      </c>
      <c r="V318" s="48">
        <v>625209</v>
      </c>
      <c r="W318" s="48">
        <v>625209</v>
      </c>
      <c r="X318" s="48">
        <v>625209</v>
      </c>
      <c r="Y318" s="48">
        <v>625209</v>
      </c>
      <c r="Z318" s="48">
        <v>625209</v>
      </c>
      <c r="AA318" s="48">
        <v>889996</v>
      </c>
      <c r="AB318" s="48">
        <v>635213</v>
      </c>
      <c r="AC318" s="48">
        <v>635213</v>
      </c>
      <c r="AD318" s="48">
        <v>635213</v>
      </c>
      <c r="AE318" s="48">
        <v>635213</v>
      </c>
      <c r="AF318" s="48">
        <v>635213</v>
      </c>
      <c r="AG318" s="48">
        <v>635213</v>
      </c>
      <c r="AH318" s="48">
        <v>635213</v>
      </c>
      <c r="AI318" s="48">
        <v>635213</v>
      </c>
      <c r="AJ318" s="48">
        <v>635213</v>
      </c>
      <c r="AK318" s="48">
        <v>635213</v>
      </c>
      <c r="AL318" s="48">
        <v>635213</v>
      </c>
      <c r="AM318" s="48">
        <v>899026</v>
      </c>
      <c r="AN318" s="48">
        <v>635847</v>
      </c>
      <c r="AO318" s="48">
        <v>635847</v>
      </c>
      <c r="AP318" s="48">
        <v>635847</v>
      </c>
      <c r="AQ318" s="48">
        <v>635847</v>
      </c>
      <c r="AR318" s="48">
        <v>635847</v>
      </c>
      <c r="AS318" s="48">
        <v>635847</v>
      </c>
      <c r="AT318" s="48">
        <v>635847</v>
      </c>
      <c r="AU318" s="48">
        <v>635847</v>
      </c>
      <c r="AV318" s="48">
        <v>635847</v>
      </c>
      <c r="AW318" s="48">
        <v>635847</v>
      </c>
      <c r="AX318" s="48">
        <v>635847</v>
      </c>
      <c r="AY318" s="48">
        <v>885847</v>
      </c>
      <c r="AZ318" s="48">
        <v>644113</v>
      </c>
      <c r="BA318" s="48">
        <v>644113</v>
      </c>
      <c r="BB318" s="48">
        <v>644113</v>
      </c>
      <c r="BC318" s="48">
        <v>644113</v>
      </c>
      <c r="BD318" s="48">
        <v>644113</v>
      </c>
      <c r="BE318" s="48">
        <v>644113</v>
      </c>
      <c r="BF318" s="48">
        <v>644113</v>
      </c>
      <c r="BG318" s="48">
        <v>644113</v>
      </c>
      <c r="BH318" s="48">
        <v>644113</v>
      </c>
      <c r="BI318" s="48">
        <v>644113</v>
      </c>
      <c r="BJ318" s="48">
        <v>644113</v>
      </c>
      <c r="BK318" s="48">
        <v>838251</v>
      </c>
      <c r="BL318" s="48">
        <v>657640</v>
      </c>
      <c r="BM318" s="48">
        <v>657640</v>
      </c>
      <c r="BN318" s="48">
        <v>657640</v>
      </c>
      <c r="BO318" s="48">
        <v>657640</v>
      </c>
      <c r="BP318" s="48">
        <v>657640</v>
      </c>
      <c r="BQ318" s="48">
        <v>657640</v>
      </c>
      <c r="BR318" s="48">
        <v>657640</v>
      </c>
      <c r="BS318" s="48">
        <v>657640</v>
      </c>
      <c r="BT318" s="48">
        <v>657640</v>
      </c>
      <c r="BU318" s="48">
        <v>657640</v>
      </c>
      <c r="BV318" s="48">
        <v>657640</v>
      </c>
      <c r="BW318" s="48">
        <v>916066.78</v>
      </c>
      <c r="BX318" s="48">
        <v>670135</v>
      </c>
      <c r="BY318" s="48">
        <v>670135</v>
      </c>
      <c r="BZ318" s="48">
        <v>670135</v>
      </c>
      <c r="CA318" s="48">
        <v>670135</v>
      </c>
      <c r="CB318" s="48">
        <v>670135</v>
      </c>
      <c r="CC318" s="48">
        <v>670135</v>
      </c>
      <c r="CD318" s="48">
        <v>670135</v>
      </c>
      <c r="CE318" s="48">
        <v>670135</v>
      </c>
      <c r="CF318" s="48">
        <v>670135</v>
      </c>
      <c r="CG318" s="48">
        <v>670135</v>
      </c>
      <c r="CH318" s="48">
        <v>670135</v>
      </c>
      <c r="CI318" s="48">
        <v>858234</v>
      </c>
      <c r="CJ318" s="48">
        <v>685545</v>
      </c>
      <c r="CK318" s="48">
        <v>685545</v>
      </c>
      <c r="CL318" s="48">
        <v>685545</v>
      </c>
      <c r="CM318" s="48">
        <v>685545</v>
      </c>
      <c r="CN318" s="48">
        <v>685545</v>
      </c>
      <c r="CO318" s="48">
        <v>685545</v>
      </c>
      <c r="CP318" s="48">
        <v>685545</v>
      </c>
      <c r="CQ318" s="48">
        <v>685545</v>
      </c>
      <c r="CR318" s="48">
        <v>685545</v>
      </c>
      <c r="CS318" s="48">
        <v>685545</v>
      </c>
      <c r="CT318" s="48">
        <v>685545</v>
      </c>
      <c r="CU318" s="48">
        <v>822331</v>
      </c>
      <c r="CV318" s="48">
        <v>693771</v>
      </c>
      <c r="CW318" s="48">
        <v>693771</v>
      </c>
      <c r="CX318" s="48">
        <v>693771</v>
      </c>
      <c r="CY318" s="48">
        <v>693771</v>
      </c>
      <c r="CZ318" s="48">
        <v>693771</v>
      </c>
      <c r="DA318" s="48">
        <v>693771</v>
      </c>
      <c r="DB318" s="48">
        <v>693771</v>
      </c>
      <c r="DC318" s="48">
        <v>693771</v>
      </c>
      <c r="DD318" s="48">
        <v>693771</v>
      </c>
      <c r="DE318" s="48">
        <f>VLOOKUP($C318,'[2]Analysis 1'!$C$5:$DG$1025,107,FALSE)</f>
        <v>693771</v>
      </c>
      <c r="DF318" s="48">
        <f>VLOOKUP($C318,'[2]Analysis 1'!$C$5:$DG$1025,108,FALSE)</f>
        <v>693771</v>
      </c>
      <c r="DG318" s="48">
        <f>VLOOKUP($C318,'[2]Analysis 1'!$C$5:$DG$1025,109,FALSE)</f>
        <v>854509</v>
      </c>
      <c r="DH318" s="369">
        <f t="shared" si="8"/>
        <v>8485990</v>
      </c>
    </row>
    <row r="319" spans="1:112">
      <c r="A319" s="357" t="str">
        <f>+B319</f>
        <v>6790704</v>
      </c>
      <c r="B319" s="350" t="s">
        <v>2219</v>
      </c>
      <c r="C319" s="335" t="s">
        <v>2211</v>
      </c>
      <c r="D319" s="340"/>
      <c r="E319" s="340"/>
      <c r="F319" s="340"/>
      <c r="G319" s="340"/>
      <c r="H319" s="340"/>
      <c r="I319" s="340"/>
      <c r="J319" s="340"/>
      <c r="K319" s="340"/>
      <c r="L319" s="340"/>
      <c r="M319" s="340"/>
      <c r="N319" s="340"/>
      <c r="O319" s="341"/>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v>0</v>
      </c>
      <c r="BA319" s="48">
        <v>9232.48</v>
      </c>
      <c r="BB319" s="48">
        <v>4492.7299999999996</v>
      </c>
      <c r="BC319" s="48">
        <v>30277.9</v>
      </c>
      <c r="BD319" s="48">
        <v>4513.32</v>
      </c>
      <c r="BE319" s="48">
        <v>4425.3100000000004</v>
      </c>
      <c r="BF319" s="48">
        <v>48982.05</v>
      </c>
      <c r="BG319" s="48">
        <v>11767.71</v>
      </c>
      <c r="BH319" s="48">
        <v>14747.31</v>
      </c>
      <c r="BI319" s="48">
        <v>6658.71</v>
      </c>
      <c r="BJ319" s="48">
        <v>15519.77</v>
      </c>
      <c r="BK319" s="48">
        <v>9831.8799999999992</v>
      </c>
      <c r="BL319" s="48">
        <v>18955.95</v>
      </c>
      <c r="BM319" s="48">
        <v>33349.83</v>
      </c>
      <c r="BN319" s="48">
        <v>33034.04</v>
      </c>
      <c r="BO319" s="48">
        <v>28498.42</v>
      </c>
      <c r="BP319" s="48">
        <v>24243.91</v>
      </c>
      <c r="BQ319" s="48">
        <v>56319.93</v>
      </c>
      <c r="BR319" s="48">
        <v>29780.17</v>
      </c>
      <c r="BS319" s="48">
        <v>15956.92</v>
      </c>
      <c r="BT319" s="48">
        <v>31080.59</v>
      </c>
      <c r="BU319" s="48">
        <v>23654.28</v>
      </c>
      <c r="BV319" s="48">
        <v>23566.73</v>
      </c>
      <c r="BW319" s="48">
        <v>42032.11</v>
      </c>
      <c r="BX319" s="48">
        <v>45494.89</v>
      </c>
      <c r="BY319" s="48">
        <v>29800.25</v>
      </c>
      <c r="BZ319" s="48">
        <v>38039.39</v>
      </c>
      <c r="CA319" s="48">
        <v>29906.21</v>
      </c>
      <c r="CB319" s="48">
        <v>38997.56</v>
      </c>
      <c r="CC319" s="48">
        <v>25350.19</v>
      </c>
      <c r="CD319" s="48">
        <v>35291.06</v>
      </c>
      <c r="CE319" s="48">
        <v>190963.01</v>
      </c>
      <c r="CF319" s="48">
        <v>42138.02</v>
      </c>
      <c r="CG319" s="48">
        <v>38733.89</v>
      </c>
      <c r="CH319" s="48">
        <v>53434.21</v>
      </c>
      <c r="CI319" s="48">
        <v>102700.83</v>
      </c>
      <c r="CJ319" s="48">
        <v>43924.68</v>
      </c>
      <c r="CK319" s="48">
        <v>26728.720000000001</v>
      </c>
      <c r="CL319" s="48">
        <v>44676.27</v>
      </c>
      <c r="CM319" s="48">
        <v>65809.06</v>
      </c>
      <c r="CN319" s="48">
        <v>46892.69</v>
      </c>
      <c r="CO319" s="48">
        <v>22028.59</v>
      </c>
      <c r="CP319" s="48">
        <v>38059.410000000003</v>
      </c>
      <c r="CQ319" s="48">
        <v>32507.82</v>
      </c>
      <c r="CR319" s="48">
        <v>46641.52</v>
      </c>
      <c r="CS319" s="48">
        <v>39404.78</v>
      </c>
      <c r="CT319" s="48">
        <v>30890.58</v>
      </c>
      <c r="CU319" s="48">
        <v>36830.410000000003</v>
      </c>
      <c r="CV319" s="48">
        <v>75363.33</v>
      </c>
      <c r="CW319" s="48">
        <v>47958.85</v>
      </c>
      <c r="CX319" s="48">
        <v>52078.75</v>
      </c>
      <c r="CY319" s="48">
        <v>62471.360000000001</v>
      </c>
      <c r="CZ319" s="48">
        <v>61690.9</v>
      </c>
      <c r="DA319" s="48">
        <v>28477.25</v>
      </c>
      <c r="DB319" s="48">
        <v>62859.21</v>
      </c>
      <c r="DC319" s="48">
        <v>43095.38</v>
      </c>
      <c r="DD319" s="48">
        <v>70535.509999999995</v>
      </c>
      <c r="DE319" s="48">
        <f>VLOOKUP($C319,'[2]Analysis 1'!$C$5:$DG$1025,107,FALSE)</f>
        <v>78336.83</v>
      </c>
      <c r="DF319" s="48">
        <f>VLOOKUP($C319,'[2]Analysis 1'!$C$5:$DG$1025,108,FALSE)</f>
        <v>58552.67</v>
      </c>
      <c r="DG319" s="48">
        <f>VLOOKUP($C319,'[2]Analysis 1'!$C$5:$DG$1025,109,FALSE)</f>
        <v>55725.08</v>
      </c>
      <c r="DH319" s="369">
        <f t="shared" si="8"/>
        <v>697145.12</v>
      </c>
    </row>
    <row r="320" spans="1:112">
      <c r="A320" s="357" t="str">
        <f t="shared" si="9"/>
        <v>6790705</v>
      </c>
      <c r="B320" s="350" t="s">
        <v>2121</v>
      </c>
      <c r="C320" s="335" t="s">
        <v>1204</v>
      </c>
      <c r="D320" s="340">
        <v>4270.6499999999996</v>
      </c>
      <c r="E320" s="340">
        <v>1978.59</v>
      </c>
      <c r="F320" s="340">
        <v>3955.7</v>
      </c>
      <c r="G320" s="340">
        <v>9073.9599999999991</v>
      </c>
      <c r="H320" s="340">
        <v>7692.96</v>
      </c>
      <c r="I320" s="340">
        <v>6911.98</v>
      </c>
      <c r="J320" s="340">
        <v>0</v>
      </c>
      <c r="K320" s="340">
        <v>0</v>
      </c>
      <c r="L320" s="340">
        <v>0</v>
      </c>
      <c r="M320" s="340">
        <v>0</v>
      </c>
      <c r="N320" s="340">
        <v>0</v>
      </c>
      <c r="O320" s="341">
        <v>0</v>
      </c>
      <c r="P320" s="48">
        <v>0</v>
      </c>
      <c r="Q320" s="48">
        <v>0</v>
      </c>
      <c r="R320" s="48">
        <v>0</v>
      </c>
      <c r="S320" s="48">
        <v>0</v>
      </c>
      <c r="T320" s="48">
        <v>0</v>
      </c>
      <c r="U320" s="48">
        <v>0</v>
      </c>
      <c r="V320" s="48">
        <v>0</v>
      </c>
      <c r="W320" s="48">
        <v>0</v>
      </c>
      <c r="X320" s="48">
        <v>0</v>
      </c>
      <c r="Y320" s="48">
        <v>0</v>
      </c>
      <c r="Z320" s="48">
        <v>0</v>
      </c>
      <c r="AA320" s="48">
        <v>0</v>
      </c>
      <c r="AB320" s="48">
        <v>0</v>
      </c>
      <c r="AC320" s="48">
        <v>0</v>
      </c>
      <c r="AD320" s="48">
        <v>0</v>
      </c>
      <c r="AE320" s="48">
        <v>0</v>
      </c>
      <c r="AF320" s="48">
        <v>0</v>
      </c>
      <c r="AG320" s="48">
        <v>0</v>
      </c>
      <c r="AH320" s="48">
        <v>0</v>
      </c>
      <c r="AI320" s="48">
        <v>0</v>
      </c>
      <c r="AJ320" s="48">
        <v>0</v>
      </c>
      <c r="AK320" s="48">
        <v>0</v>
      </c>
      <c r="AL320" s="48">
        <v>0</v>
      </c>
      <c r="AM320" s="48">
        <v>0</v>
      </c>
      <c r="AN320" s="48">
        <v>0</v>
      </c>
      <c r="AO320" s="48">
        <v>0</v>
      </c>
      <c r="AP320" s="48">
        <v>0</v>
      </c>
      <c r="AQ320" s="48">
        <v>0</v>
      </c>
      <c r="AR320" s="48">
        <v>0</v>
      </c>
      <c r="AS320" s="48">
        <v>0</v>
      </c>
      <c r="AT320" s="48">
        <v>0</v>
      </c>
      <c r="AU320" s="48">
        <v>0</v>
      </c>
      <c r="AV320" s="48">
        <v>0</v>
      </c>
      <c r="AW320" s="48">
        <v>0</v>
      </c>
      <c r="AX320" s="48">
        <v>0</v>
      </c>
      <c r="AY320" s="48">
        <v>0</v>
      </c>
      <c r="AZ320" s="48">
        <v>0</v>
      </c>
      <c r="BA320" s="48">
        <v>0</v>
      </c>
      <c r="BB320" s="48">
        <v>0</v>
      </c>
      <c r="BC320" s="48">
        <v>0</v>
      </c>
      <c r="BD320" s="48">
        <v>0</v>
      </c>
      <c r="BE320" s="48">
        <v>0</v>
      </c>
      <c r="BF320" s="48">
        <v>0</v>
      </c>
      <c r="BG320" s="48">
        <v>0</v>
      </c>
      <c r="BH320" s="48">
        <v>0</v>
      </c>
      <c r="BI320" s="48">
        <v>0</v>
      </c>
      <c r="BJ320" s="48">
        <v>0</v>
      </c>
      <c r="BK320" s="48">
        <v>0</v>
      </c>
      <c r="BL320" s="48">
        <v>0</v>
      </c>
      <c r="BM320" s="48">
        <v>0</v>
      </c>
      <c r="BN320" s="48">
        <v>0</v>
      </c>
      <c r="BO320" s="48">
        <v>0</v>
      </c>
      <c r="BP320" s="48">
        <v>0</v>
      </c>
      <c r="BQ320" s="48">
        <v>0</v>
      </c>
      <c r="BR320" s="48">
        <v>0</v>
      </c>
      <c r="BS320" s="48">
        <v>0</v>
      </c>
      <c r="BT320" s="48">
        <v>0</v>
      </c>
      <c r="BU320" s="48">
        <v>0</v>
      </c>
      <c r="BV320" s="48">
        <v>0</v>
      </c>
      <c r="BW320" s="48">
        <v>0</v>
      </c>
      <c r="BX320" s="48">
        <v>0</v>
      </c>
      <c r="BY320" s="48">
        <v>0</v>
      </c>
      <c r="BZ320" s="48">
        <v>0</v>
      </c>
      <c r="CA320" s="48">
        <v>0</v>
      </c>
      <c r="CB320" s="48">
        <v>0</v>
      </c>
      <c r="CC320" s="48">
        <v>0</v>
      </c>
      <c r="CD320" s="48">
        <v>0</v>
      </c>
      <c r="CE320" s="48">
        <v>0</v>
      </c>
      <c r="CF320" s="48">
        <v>0</v>
      </c>
      <c r="CG320" s="48">
        <v>0</v>
      </c>
      <c r="CH320" s="48">
        <v>0</v>
      </c>
      <c r="CI320" s="48">
        <v>0</v>
      </c>
      <c r="CJ320" s="48">
        <v>0</v>
      </c>
      <c r="CK320" s="48">
        <v>0</v>
      </c>
      <c r="CL320" s="48">
        <v>0</v>
      </c>
      <c r="CM320" s="48">
        <v>0</v>
      </c>
      <c r="CN320" s="48">
        <v>0</v>
      </c>
      <c r="CO320" s="48">
        <v>0</v>
      </c>
      <c r="CP320" s="48">
        <v>0</v>
      </c>
      <c r="CQ320" s="48">
        <v>0</v>
      </c>
      <c r="CR320" s="48">
        <v>0</v>
      </c>
      <c r="CS320" s="48">
        <v>0</v>
      </c>
      <c r="CT320" s="48">
        <v>0</v>
      </c>
      <c r="CU320" s="48">
        <v>0</v>
      </c>
      <c r="CV320" s="48">
        <v>0</v>
      </c>
      <c r="CW320" s="48">
        <v>0</v>
      </c>
      <c r="CX320" s="48">
        <v>0</v>
      </c>
      <c r="CY320" s="48">
        <v>0</v>
      </c>
      <c r="CZ320" s="48">
        <v>0</v>
      </c>
      <c r="DA320" s="48">
        <v>0</v>
      </c>
      <c r="DB320" s="48">
        <v>0</v>
      </c>
      <c r="DC320" s="48">
        <v>0</v>
      </c>
      <c r="DD320" s="48">
        <v>0</v>
      </c>
      <c r="DE320" s="48">
        <f>VLOOKUP($C320,'[2]Analysis 1'!$C$5:$DG$1025,107,FALSE)</f>
        <v>0</v>
      </c>
      <c r="DF320" s="48">
        <f>VLOOKUP($C320,'[2]Analysis 1'!$C$5:$DG$1025,108,FALSE)</f>
        <v>0</v>
      </c>
      <c r="DG320" s="48">
        <f>VLOOKUP($C320,'[2]Analysis 1'!$C$5:$DG$1025,109,FALSE)</f>
        <v>0</v>
      </c>
      <c r="DH320" s="369">
        <f t="shared" si="8"/>
        <v>0</v>
      </c>
    </row>
    <row r="321" spans="1:112">
      <c r="A321" s="357" t="str">
        <f t="shared" si="9"/>
        <v>6790706</v>
      </c>
      <c r="B321" s="350" t="s">
        <v>2123</v>
      </c>
      <c r="C321" s="335" t="s">
        <v>1205</v>
      </c>
      <c r="D321" s="340">
        <v>300.7</v>
      </c>
      <c r="E321" s="340">
        <v>315.97000000000003</v>
      </c>
      <c r="F321" s="340">
        <v>426.95</v>
      </c>
      <c r="G321" s="340">
        <v>508.09</v>
      </c>
      <c r="H321" s="340">
        <v>398.42</v>
      </c>
      <c r="I321" s="340">
        <v>344.68</v>
      </c>
      <c r="J321" s="340">
        <v>245.08</v>
      </c>
      <c r="K321" s="340">
        <v>384.46</v>
      </c>
      <c r="L321" s="340">
        <v>267.04000000000002</v>
      </c>
      <c r="M321" s="340">
        <v>349.72</v>
      </c>
      <c r="N321" s="340">
        <v>364.42</v>
      </c>
      <c r="O321" s="341">
        <v>361.59</v>
      </c>
      <c r="P321" s="48">
        <v>0</v>
      </c>
      <c r="Q321" s="48">
        <v>0</v>
      </c>
      <c r="R321" s="48">
        <v>0</v>
      </c>
      <c r="S321" s="48">
        <v>0</v>
      </c>
      <c r="T321" s="48">
        <v>0</v>
      </c>
      <c r="U321" s="48">
        <v>0</v>
      </c>
      <c r="V321" s="48">
        <v>0</v>
      </c>
      <c r="W321" s="48">
        <v>0</v>
      </c>
      <c r="X321" s="48">
        <v>0</v>
      </c>
      <c r="Y321" s="48">
        <v>0</v>
      </c>
      <c r="Z321" s="48">
        <v>0</v>
      </c>
      <c r="AA321" s="48">
        <v>0</v>
      </c>
      <c r="AB321" s="48">
        <v>0</v>
      </c>
      <c r="AC321" s="48">
        <v>0</v>
      </c>
      <c r="AD321" s="48">
        <v>0</v>
      </c>
      <c r="AE321" s="48">
        <v>0</v>
      </c>
      <c r="AF321" s="48">
        <v>0</v>
      </c>
      <c r="AG321" s="48">
        <v>0</v>
      </c>
      <c r="AH321" s="48">
        <v>0</v>
      </c>
      <c r="AI321" s="48">
        <v>0</v>
      </c>
      <c r="AJ321" s="48">
        <v>0</v>
      </c>
      <c r="AK321" s="48">
        <v>0</v>
      </c>
      <c r="AL321" s="48">
        <v>0</v>
      </c>
      <c r="AM321" s="48">
        <v>0</v>
      </c>
      <c r="AN321" s="48">
        <v>0</v>
      </c>
      <c r="AO321" s="48">
        <v>0</v>
      </c>
      <c r="AP321" s="48">
        <v>0</v>
      </c>
      <c r="AQ321" s="48">
        <v>0</v>
      </c>
      <c r="AR321" s="48">
        <v>0</v>
      </c>
      <c r="AS321" s="48">
        <v>0</v>
      </c>
      <c r="AT321" s="48">
        <v>0</v>
      </c>
      <c r="AU321" s="48">
        <v>0</v>
      </c>
      <c r="AV321" s="48">
        <v>0</v>
      </c>
      <c r="AW321" s="48">
        <v>0</v>
      </c>
      <c r="AX321" s="48">
        <v>0</v>
      </c>
      <c r="AY321" s="48">
        <v>0</v>
      </c>
      <c r="AZ321" s="48">
        <v>0</v>
      </c>
      <c r="BA321" s="48">
        <v>0</v>
      </c>
      <c r="BB321" s="48">
        <v>0</v>
      </c>
      <c r="BC321" s="48">
        <v>0</v>
      </c>
      <c r="BD321" s="48">
        <v>0</v>
      </c>
      <c r="BE321" s="48">
        <v>0</v>
      </c>
      <c r="BF321" s="48">
        <v>0</v>
      </c>
      <c r="BG321" s="48">
        <v>0</v>
      </c>
      <c r="BH321" s="48">
        <v>0</v>
      </c>
      <c r="BI321" s="48">
        <v>0</v>
      </c>
      <c r="BJ321" s="48">
        <v>0</v>
      </c>
      <c r="BK321" s="48">
        <v>0</v>
      </c>
      <c r="BL321" s="48">
        <v>0</v>
      </c>
      <c r="BM321" s="48">
        <v>0</v>
      </c>
      <c r="BN321" s="48">
        <v>0</v>
      </c>
      <c r="BO321" s="48">
        <v>0</v>
      </c>
      <c r="BP321" s="48">
        <v>0</v>
      </c>
      <c r="BQ321" s="48">
        <v>0</v>
      </c>
      <c r="BR321" s="48">
        <v>0</v>
      </c>
      <c r="BS321" s="48">
        <v>0</v>
      </c>
      <c r="BT321" s="48">
        <v>0</v>
      </c>
      <c r="BU321" s="48">
        <v>0</v>
      </c>
      <c r="BV321" s="48">
        <v>0</v>
      </c>
      <c r="BW321" s="48">
        <v>0</v>
      </c>
      <c r="BX321" s="48">
        <v>0</v>
      </c>
      <c r="BY321" s="48">
        <v>0</v>
      </c>
      <c r="BZ321" s="48">
        <v>0</v>
      </c>
      <c r="CA321" s="48">
        <v>0</v>
      </c>
      <c r="CB321" s="48">
        <v>0</v>
      </c>
      <c r="CC321" s="48">
        <v>0</v>
      </c>
      <c r="CD321" s="48">
        <v>0</v>
      </c>
      <c r="CE321" s="48">
        <v>0</v>
      </c>
      <c r="CF321" s="48">
        <v>0</v>
      </c>
      <c r="CG321" s="48">
        <v>0</v>
      </c>
      <c r="CH321" s="48">
        <v>0</v>
      </c>
      <c r="CI321" s="48">
        <v>0</v>
      </c>
      <c r="CJ321" s="48">
        <v>0</v>
      </c>
      <c r="CK321" s="48">
        <v>0</v>
      </c>
      <c r="CL321" s="48">
        <v>0</v>
      </c>
      <c r="CM321" s="48">
        <v>0</v>
      </c>
      <c r="CN321" s="48">
        <v>0</v>
      </c>
      <c r="CO321" s="48">
        <v>0</v>
      </c>
      <c r="CP321" s="48">
        <v>0</v>
      </c>
      <c r="CQ321" s="48">
        <v>0</v>
      </c>
      <c r="CR321" s="48">
        <v>0</v>
      </c>
      <c r="CS321" s="48">
        <v>0</v>
      </c>
      <c r="CT321" s="48">
        <v>0</v>
      </c>
      <c r="CU321" s="48">
        <v>0</v>
      </c>
      <c r="CV321" s="48">
        <v>0</v>
      </c>
      <c r="CW321" s="48">
        <v>0</v>
      </c>
      <c r="CX321" s="48">
        <v>0</v>
      </c>
      <c r="CY321" s="48">
        <v>0</v>
      </c>
      <c r="CZ321" s="48">
        <v>0</v>
      </c>
      <c r="DA321" s="48">
        <v>0</v>
      </c>
      <c r="DB321" s="48">
        <v>0</v>
      </c>
      <c r="DC321" s="48">
        <v>0</v>
      </c>
      <c r="DD321" s="48">
        <v>0</v>
      </c>
      <c r="DE321" s="48">
        <f>VLOOKUP($C321,'[2]Analysis 1'!$C$5:$DG$1025,107,FALSE)</f>
        <v>0</v>
      </c>
      <c r="DF321" s="48">
        <f>VLOOKUP($C321,'[2]Analysis 1'!$C$5:$DG$1025,108,FALSE)</f>
        <v>0</v>
      </c>
      <c r="DG321" s="48">
        <f>VLOOKUP($C321,'[2]Analysis 1'!$C$5:$DG$1025,109,FALSE)</f>
        <v>0</v>
      </c>
      <c r="DH321" s="369">
        <f t="shared" si="8"/>
        <v>0</v>
      </c>
    </row>
    <row r="322" spans="1:112">
      <c r="A322" s="357" t="str">
        <f t="shared" si="9"/>
        <v>6790707</v>
      </c>
      <c r="B322" s="350" t="s">
        <v>2124</v>
      </c>
      <c r="C322" s="335" t="s">
        <v>1206</v>
      </c>
      <c r="D322" s="367">
        <v>46911.48</v>
      </c>
      <c r="E322" s="367">
        <v>42131.61</v>
      </c>
      <c r="F322" s="367">
        <v>42369.05</v>
      </c>
      <c r="G322" s="367">
        <v>42340.29</v>
      </c>
      <c r="H322" s="367">
        <v>47866.87</v>
      </c>
      <c r="I322" s="367">
        <v>48024.85</v>
      </c>
      <c r="J322" s="367">
        <v>49219.97</v>
      </c>
      <c r="K322" s="367">
        <v>45012.99</v>
      </c>
      <c r="L322" s="367">
        <v>44769.41</v>
      </c>
      <c r="M322" s="367">
        <v>48967.06</v>
      </c>
      <c r="N322" s="367">
        <v>54440.79</v>
      </c>
      <c r="O322" s="368">
        <v>45207.91</v>
      </c>
      <c r="P322" s="48">
        <v>0</v>
      </c>
      <c r="Q322" s="48">
        <v>-6607.42</v>
      </c>
      <c r="R322" s="48">
        <v>0</v>
      </c>
      <c r="S322" s="48">
        <v>0</v>
      </c>
      <c r="T322" s="48">
        <v>0</v>
      </c>
      <c r="U322" s="48">
        <v>0</v>
      </c>
      <c r="V322" s="48">
        <v>0</v>
      </c>
      <c r="W322" s="48">
        <v>0</v>
      </c>
      <c r="X322" s="48">
        <v>0</v>
      </c>
      <c r="Y322" s="48">
        <v>0</v>
      </c>
      <c r="Z322" s="48">
        <v>0</v>
      </c>
      <c r="AA322" s="48">
        <v>0</v>
      </c>
      <c r="AB322" s="48">
        <v>0</v>
      </c>
      <c r="AC322" s="48">
        <v>0</v>
      </c>
      <c r="AD322" s="48">
        <v>0</v>
      </c>
      <c r="AE322" s="48">
        <v>0</v>
      </c>
      <c r="AF322" s="48">
        <v>0</v>
      </c>
      <c r="AG322" s="48">
        <v>0</v>
      </c>
      <c r="AH322" s="48">
        <v>0</v>
      </c>
      <c r="AI322" s="48">
        <v>0</v>
      </c>
      <c r="AJ322" s="48">
        <v>0</v>
      </c>
      <c r="AK322" s="48">
        <v>0</v>
      </c>
      <c r="AL322" s="48">
        <v>0</v>
      </c>
      <c r="AM322" s="48">
        <v>0</v>
      </c>
      <c r="AN322" s="48">
        <v>0</v>
      </c>
      <c r="AO322" s="48">
        <v>0</v>
      </c>
      <c r="AP322" s="48">
        <v>0</v>
      </c>
      <c r="AQ322" s="48">
        <v>0</v>
      </c>
      <c r="AR322" s="48">
        <v>0</v>
      </c>
      <c r="AS322" s="48">
        <v>0</v>
      </c>
      <c r="AT322" s="48">
        <v>0</v>
      </c>
      <c r="AU322" s="48">
        <v>0</v>
      </c>
      <c r="AV322" s="48">
        <v>0</v>
      </c>
      <c r="AW322" s="48">
        <v>0</v>
      </c>
      <c r="AX322" s="48">
        <v>0</v>
      </c>
      <c r="AY322" s="48">
        <v>0</v>
      </c>
      <c r="AZ322" s="48">
        <v>0</v>
      </c>
      <c r="BA322" s="48">
        <v>0</v>
      </c>
      <c r="BB322" s="48">
        <v>0</v>
      </c>
      <c r="BC322" s="48">
        <v>0</v>
      </c>
      <c r="BD322" s="48">
        <v>0</v>
      </c>
      <c r="BE322" s="48">
        <v>0</v>
      </c>
      <c r="BF322" s="48">
        <v>0</v>
      </c>
      <c r="BG322" s="48">
        <v>0</v>
      </c>
      <c r="BH322" s="48">
        <v>0</v>
      </c>
      <c r="BI322" s="48">
        <v>0</v>
      </c>
      <c r="BJ322" s="48">
        <v>0</v>
      </c>
      <c r="BK322" s="48">
        <v>0</v>
      </c>
      <c r="BL322" s="48">
        <v>0</v>
      </c>
      <c r="BM322" s="48">
        <v>0</v>
      </c>
      <c r="BN322" s="48">
        <v>0</v>
      </c>
      <c r="BO322" s="48">
        <v>0</v>
      </c>
      <c r="BP322" s="48">
        <v>0</v>
      </c>
      <c r="BQ322" s="48">
        <v>0</v>
      </c>
      <c r="BR322" s="48">
        <v>0</v>
      </c>
      <c r="BS322" s="48">
        <v>0</v>
      </c>
      <c r="BT322" s="48">
        <v>0</v>
      </c>
      <c r="BU322" s="48">
        <v>0</v>
      </c>
      <c r="BV322" s="48">
        <v>0</v>
      </c>
      <c r="BW322" s="48">
        <v>0</v>
      </c>
      <c r="BX322" s="48">
        <v>0</v>
      </c>
      <c r="BY322" s="48">
        <v>0</v>
      </c>
      <c r="BZ322" s="48">
        <v>0</v>
      </c>
      <c r="CA322" s="48">
        <v>0</v>
      </c>
      <c r="CB322" s="48">
        <v>0</v>
      </c>
      <c r="CC322" s="48">
        <v>0</v>
      </c>
      <c r="CD322" s="48">
        <v>0</v>
      </c>
      <c r="CE322" s="48">
        <v>0</v>
      </c>
      <c r="CF322" s="48">
        <v>0</v>
      </c>
      <c r="CG322" s="48">
        <v>0</v>
      </c>
      <c r="CH322" s="48">
        <v>0</v>
      </c>
      <c r="CI322" s="48">
        <v>0</v>
      </c>
      <c r="CJ322" s="48">
        <v>0</v>
      </c>
      <c r="CK322" s="48">
        <v>0</v>
      </c>
      <c r="CL322" s="48">
        <v>0</v>
      </c>
      <c r="CM322" s="48">
        <v>0</v>
      </c>
      <c r="CN322" s="48">
        <v>0</v>
      </c>
      <c r="CO322" s="48">
        <v>0</v>
      </c>
      <c r="CP322" s="48">
        <v>0</v>
      </c>
      <c r="CQ322" s="48">
        <v>0</v>
      </c>
      <c r="CR322" s="48">
        <v>0</v>
      </c>
      <c r="CS322" s="48">
        <v>0</v>
      </c>
      <c r="CT322" s="48">
        <v>0</v>
      </c>
      <c r="CU322" s="48">
        <v>0</v>
      </c>
      <c r="CV322" s="48">
        <v>0</v>
      </c>
      <c r="CW322" s="48">
        <v>0</v>
      </c>
      <c r="CX322" s="48">
        <v>0</v>
      </c>
      <c r="CY322" s="48">
        <v>0</v>
      </c>
      <c r="CZ322" s="48">
        <v>0</v>
      </c>
      <c r="DA322" s="48">
        <v>0</v>
      </c>
      <c r="DB322" s="48">
        <v>0</v>
      </c>
      <c r="DC322" s="48">
        <v>0</v>
      </c>
      <c r="DD322" s="48">
        <v>0</v>
      </c>
      <c r="DE322" s="48">
        <f>VLOOKUP($C322,'[2]Analysis 1'!$C$5:$DG$1025,107,FALSE)</f>
        <v>0</v>
      </c>
      <c r="DF322" s="48">
        <f>VLOOKUP($C322,'[2]Analysis 1'!$C$5:$DG$1025,108,FALSE)</f>
        <v>0</v>
      </c>
      <c r="DG322" s="48">
        <f>VLOOKUP($C322,'[2]Analysis 1'!$C$5:$DG$1025,109,FALSE)</f>
        <v>0</v>
      </c>
      <c r="DH322" s="369">
        <f t="shared" si="8"/>
        <v>0</v>
      </c>
    </row>
    <row r="323" spans="1:112">
      <c r="A323" s="357" t="str">
        <f t="shared" si="9"/>
        <v>6790708</v>
      </c>
      <c r="B323" s="350" t="s">
        <v>2125</v>
      </c>
      <c r="C323" s="335" t="s">
        <v>1207</v>
      </c>
      <c r="D323" s="367">
        <v>345963.48</v>
      </c>
      <c r="E323" s="367">
        <v>369148.83</v>
      </c>
      <c r="F323" s="367">
        <v>430049.67</v>
      </c>
      <c r="G323" s="367">
        <v>378627.15</v>
      </c>
      <c r="H323" s="367">
        <v>378205.63</v>
      </c>
      <c r="I323" s="367">
        <v>389216.03</v>
      </c>
      <c r="J323" s="367">
        <v>344275.23</v>
      </c>
      <c r="K323" s="367">
        <v>323798.90000000002</v>
      </c>
      <c r="L323" s="367">
        <v>323257.27</v>
      </c>
      <c r="M323" s="367">
        <v>329364.77</v>
      </c>
      <c r="N323" s="367">
        <v>302912.05</v>
      </c>
      <c r="O323" s="368">
        <v>393352.48</v>
      </c>
      <c r="P323" s="48">
        <v>0</v>
      </c>
      <c r="Q323" s="48">
        <v>0</v>
      </c>
      <c r="R323" s="48">
        <v>0</v>
      </c>
      <c r="S323" s="48">
        <v>0</v>
      </c>
      <c r="T323" s="48">
        <v>0</v>
      </c>
      <c r="U323" s="48">
        <v>0</v>
      </c>
      <c r="V323" s="48">
        <v>0</v>
      </c>
      <c r="W323" s="48">
        <v>0</v>
      </c>
      <c r="X323" s="48">
        <v>0</v>
      </c>
      <c r="Y323" s="48">
        <v>0</v>
      </c>
      <c r="Z323" s="48">
        <v>0</v>
      </c>
      <c r="AA323" s="48">
        <v>0</v>
      </c>
      <c r="AB323" s="48">
        <v>0</v>
      </c>
      <c r="AC323" s="48">
        <v>0</v>
      </c>
      <c r="AD323" s="48">
        <v>0</v>
      </c>
      <c r="AE323" s="48">
        <v>0</v>
      </c>
      <c r="AF323" s="48">
        <v>0</v>
      </c>
      <c r="AG323" s="48">
        <v>0</v>
      </c>
      <c r="AH323" s="48">
        <v>0</v>
      </c>
      <c r="AI323" s="48">
        <v>0</v>
      </c>
      <c r="AJ323" s="48">
        <v>0</v>
      </c>
      <c r="AK323" s="48">
        <v>0</v>
      </c>
      <c r="AL323" s="48">
        <v>0</v>
      </c>
      <c r="AM323" s="48">
        <v>0</v>
      </c>
      <c r="AN323" s="48">
        <v>0</v>
      </c>
      <c r="AO323" s="48">
        <v>0</v>
      </c>
      <c r="AP323" s="48">
        <v>0</v>
      </c>
      <c r="AQ323" s="48">
        <v>0</v>
      </c>
      <c r="AR323" s="48">
        <v>0</v>
      </c>
      <c r="AS323" s="48">
        <v>0</v>
      </c>
      <c r="AT323" s="48">
        <v>0</v>
      </c>
      <c r="AU323" s="48">
        <v>0</v>
      </c>
      <c r="AV323" s="48">
        <v>0</v>
      </c>
      <c r="AW323" s="48">
        <v>0</v>
      </c>
      <c r="AX323" s="48">
        <v>0</v>
      </c>
      <c r="AY323" s="48">
        <v>0</v>
      </c>
      <c r="AZ323" s="48">
        <v>0</v>
      </c>
      <c r="BA323" s="48">
        <v>0</v>
      </c>
      <c r="BB323" s="48">
        <v>0</v>
      </c>
      <c r="BC323" s="48">
        <v>0</v>
      </c>
      <c r="BD323" s="48">
        <v>0</v>
      </c>
      <c r="BE323" s="48">
        <v>0</v>
      </c>
      <c r="BF323" s="48">
        <v>0</v>
      </c>
      <c r="BG323" s="48">
        <v>0</v>
      </c>
      <c r="BH323" s="48">
        <v>0</v>
      </c>
      <c r="BI323" s="48">
        <v>0</v>
      </c>
      <c r="BJ323" s="48">
        <v>0</v>
      </c>
      <c r="BK323" s="48">
        <v>0</v>
      </c>
      <c r="BL323" s="48">
        <v>0</v>
      </c>
      <c r="BM323" s="48">
        <v>0</v>
      </c>
      <c r="BN323" s="48">
        <v>0</v>
      </c>
      <c r="BO323" s="48">
        <v>0</v>
      </c>
      <c r="BP323" s="48">
        <v>0</v>
      </c>
      <c r="BQ323" s="48">
        <v>0</v>
      </c>
      <c r="BR323" s="48">
        <v>0</v>
      </c>
      <c r="BS323" s="48">
        <v>0</v>
      </c>
      <c r="BT323" s="48">
        <v>0</v>
      </c>
      <c r="BU323" s="48">
        <v>0</v>
      </c>
      <c r="BV323" s="48">
        <v>0</v>
      </c>
      <c r="BW323" s="48">
        <v>0</v>
      </c>
      <c r="BX323" s="48">
        <v>0</v>
      </c>
      <c r="BY323" s="48">
        <v>0</v>
      </c>
      <c r="BZ323" s="48">
        <v>0</v>
      </c>
      <c r="CA323" s="48">
        <v>0</v>
      </c>
      <c r="CB323" s="48">
        <v>0</v>
      </c>
      <c r="CC323" s="48">
        <v>0</v>
      </c>
      <c r="CD323" s="48">
        <v>0</v>
      </c>
      <c r="CE323" s="48">
        <v>0</v>
      </c>
      <c r="CF323" s="48">
        <v>0</v>
      </c>
      <c r="CG323" s="48">
        <v>0</v>
      </c>
      <c r="CH323" s="48">
        <v>0</v>
      </c>
      <c r="CI323" s="48">
        <v>0</v>
      </c>
      <c r="CJ323" s="48">
        <v>0</v>
      </c>
      <c r="CK323" s="48">
        <v>0</v>
      </c>
      <c r="CL323" s="48">
        <v>0</v>
      </c>
      <c r="CM323" s="48">
        <v>0</v>
      </c>
      <c r="CN323" s="48">
        <v>0</v>
      </c>
      <c r="CO323" s="48">
        <v>0</v>
      </c>
      <c r="CP323" s="48">
        <v>0</v>
      </c>
      <c r="CQ323" s="48">
        <v>0</v>
      </c>
      <c r="CR323" s="48">
        <v>0</v>
      </c>
      <c r="CS323" s="48">
        <v>0</v>
      </c>
      <c r="CT323" s="48">
        <v>0</v>
      </c>
      <c r="CU323" s="48">
        <v>0</v>
      </c>
      <c r="CV323" s="48">
        <v>0</v>
      </c>
      <c r="CW323" s="48">
        <v>0</v>
      </c>
      <c r="CX323" s="48">
        <v>0</v>
      </c>
      <c r="CY323" s="48">
        <v>0</v>
      </c>
      <c r="CZ323" s="48">
        <v>0</v>
      </c>
      <c r="DA323" s="48">
        <v>0</v>
      </c>
      <c r="DB323" s="48">
        <v>0</v>
      </c>
      <c r="DC323" s="48">
        <v>0</v>
      </c>
      <c r="DD323" s="48">
        <v>0</v>
      </c>
      <c r="DE323" s="48">
        <f>VLOOKUP($C323,'[2]Analysis 1'!$C$5:$DG$1025,107,FALSE)</f>
        <v>0</v>
      </c>
      <c r="DF323" s="48">
        <f>VLOOKUP($C323,'[2]Analysis 1'!$C$5:$DG$1025,108,FALSE)</f>
        <v>0</v>
      </c>
      <c r="DG323" s="48">
        <f>VLOOKUP($C323,'[2]Analysis 1'!$C$5:$DG$1025,109,FALSE)</f>
        <v>0</v>
      </c>
      <c r="DH323" s="369">
        <f t="shared" si="8"/>
        <v>0</v>
      </c>
    </row>
    <row r="324" spans="1:112">
      <c r="A324" s="357" t="str">
        <f t="shared" si="9"/>
        <v>6790709</v>
      </c>
      <c r="B324" s="350" t="s">
        <v>2126</v>
      </c>
      <c r="C324" s="335" t="s">
        <v>1446</v>
      </c>
      <c r="D324" s="367"/>
      <c r="E324" s="367"/>
      <c r="F324" s="367"/>
      <c r="G324" s="367"/>
      <c r="H324" s="367"/>
      <c r="I324" s="367"/>
      <c r="J324" s="367"/>
      <c r="K324" s="367"/>
      <c r="L324" s="367"/>
      <c r="M324" s="367"/>
      <c r="N324" s="367"/>
      <c r="O324" s="368"/>
      <c r="P324" s="48"/>
      <c r="Q324" s="48"/>
      <c r="R324" s="48"/>
      <c r="S324" s="48"/>
      <c r="T324" s="48"/>
      <c r="U324" s="48"/>
      <c r="V324" s="48"/>
      <c r="W324" s="48"/>
      <c r="X324" s="48"/>
      <c r="Y324" s="48"/>
      <c r="Z324" s="48"/>
      <c r="AA324" s="48"/>
      <c r="AB324" s="48"/>
      <c r="AC324" s="48"/>
      <c r="AD324" s="48"/>
      <c r="AE324" s="48">
        <v>79010.740000000005</v>
      </c>
      <c r="AF324" s="48">
        <v>78145.039999999994</v>
      </c>
      <c r="AG324" s="48">
        <v>76402.16</v>
      </c>
      <c r="AH324" s="48">
        <v>76187.44</v>
      </c>
      <c r="AI324" s="48">
        <v>75925.789999999994</v>
      </c>
      <c r="AJ324" s="48">
        <v>-275458.92</v>
      </c>
      <c r="AK324" s="48">
        <v>38726.269999999997</v>
      </c>
      <c r="AL324" s="48">
        <v>38726.269999999997</v>
      </c>
      <c r="AM324" s="48">
        <v>40135.21</v>
      </c>
      <c r="AN324" s="48">
        <v>40751.74</v>
      </c>
      <c r="AO324" s="48">
        <v>41361.269999999997</v>
      </c>
      <c r="AP324" s="48">
        <v>199995.26</v>
      </c>
      <c r="AQ324" s="48">
        <v>215136.01</v>
      </c>
      <c r="AR324" s="48">
        <v>202716.59</v>
      </c>
      <c r="AS324" s="48">
        <v>207815.81</v>
      </c>
      <c r="AT324" s="48">
        <v>206609.86</v>
      </c>
      <c r="AU324" s="48">
        <v>206126.61</v>
      </c>
      <c r="AV324" s="48">
        <v>212787.74</v>
      </c>
      <c r="AW324" s="48">
        <v>207851.5</v>
      </c>
      <c r="AX324" s="48">
        <v>212826.64</v>
      </c>
      <c r="AY324" s="48">
        <v>212352.13</v>
      </c>
      <c r="AZ324" s="48">
        <v>214449.29</v>
      </c>
      <c r="BA324" s="48">
        <v>215883.06</v>
      </c>
      <c r="BB324" s="48">
        <v>219641.78</v>
      </c>
      <c r="BC324" s="48">
        <v>220316.19</v>
      </c>
      <c r="BD324" s="48">
        <v>220310.18</v>
      </c>
      <c r="BE324" s="48">
        <v>225391.99</v>
      </c>
      <c r="BF324" s="48">
        <v>225418.59</v>
      </c>
      <c r="BG324" s="48">
        <v>238526.09</v>
      </c>
      <c r="BH324" s="48">
        <v>259754.21</v>
      </c>
      <c r="BI324" s="48">
        <v>242074.23999999999</v>
      </c>
      <c r="BJ324" s="48">
        <v>244119</v>
      </c>
      <c r="BK324" s="48">
        <v>251684.56</v>
      </c>
      <c r="BL324" s="48">
        <v>257927.73</v>
      </c>
      <c r="BM324" s="48">
        <v>259419.22</v>
      </c>
      <c r="BN324" s="48">
        <v>260805.17</v>
      </c>
      <c r="BO324" s="48">
        <v>263581.13</v>
      </c>
      <c r="BP324" s="48">
        <v>261356.72</v>
      </c>
      <c r="BQ324" s="48">
        <v>263766.28000000003</v>
      </c>
      <c r="BR324" s="48">
        <v>278173</v>
      </c>
      <c r="BS324" s="48">
        <v>279215</v>
      </c>
      <c r="BT324" s="48">
        <v>280361</v>
      </c>
      <c r="BU324" s="48">
        <v>229185.23</v>
      </c>
      <c r="BV324" s="48">
        <v>267560.98</v>
      </c>
      <c r="BW324" s="48">
        <v>269325.39</v>
      </c>
      <c r="BX324" s="48">
        <v>278390.28999999998</v>
      </c>
      <c r="BY324" s="48">
        <v>286658.63</v>
      </c>
      <c r="BZ324" s="48">
        <v>286692.84999999998</v>
      </c>
      <c r="CA324" s="48">
        <v>286285.55</v>
      </c>
      <c r="CB324" s="48">
        <v>286266.92</v>
      </c>
      <c r="CC324" s="48">
        <v>286446.34000000003</v>
      </c>
      <c r="CD324" s="48">
        <v>286525.03000000003</v>
      </c>
      <c r="CE324" s="48">
        <v>248614.88</v>
      </c>
      <c r="CF324" s="48">
        <v>281305.59999999998</v>
      </c>
      <c r="CG324" s="48">
        <v>280145.01</v>
      </c>
      <c r="CH324" s="48">
        <v>281623.61</v>
      </c>
      <c r="CI324" s="48">
        <v>273275.63</v>
      </c>
      <c r="CJ324" s="48">
        <v>274027.87</v>
      </c>
      <c r="CK324" s="48">
        <v>292745.88</v>
      </c>
      <c r="CL324" s="48">
        <v>293699.89</v>
      </c>
      <c r="CM324" s="48">
        <v>292591.86</v>
      </c>
      <c r="CN324" s="48">
        <v>293940.82</v>
      </c>
      <c r="CO324" s="48">
        <v>293833.38</v>
      </c>
      <c r="CP324" s="48">
        <v>291163.21000000002</v>
      </c>
      <c r="CQ324" s="48">
        <v>292145.12</v>
      </c>
      <c r="CR324" s="48">
        <v>294204.26</v>
      </c>
      <c r="CS324" s="48">
        <v>-410757.68</v>
      </c>
      <c r="CT324" s="48">
        <v>268638.81</v>
      </c>
      <c r="CU324" s="48">
        <v>269878.27</v>
      </c>
      <c r="CV324" s="48">
        <v>269648.84999999998</v>
      </c>
      <c r="CW324" s="48">
        <v>274137.51</v>
      </c>
      <c r="CX324" s="48">
        <v>274121.34000000003</v>
      </c>
      <c r="CY324" s="48">
        <v>274090.13</v>
      </c>
      <c r="CZ324" s="48">
        <v>274067.02</v>
      </c>
      <c r="DA324" s="48">
        <v>281436.84000000003</v>
      </c>
      <c r="DB324" s="48">
        <v>281516.26</v>
      </c>
      <c r="DC324" s="48">
        <v>285502.26</v>
      </c>
      <c r="DD324" s="48">
        <v>284704.18</v>
      </c>
      <c r="DE324" s="48">
        <f>VLOOKUP($C324,'[2]Analysis 1'!$C$5:$DG$1025,107,FALSE)</f>
        <v>284648.74</v>
      </c>
      <c r="DF324" s="48">
        <f>VLOOKUP($C324,'[2]Analysis 1'!$C$5:$DG$1025,108,FALSE)</f>
        <v>282060.65999999997</v>
      </c>
      <c r="DG324" s="48">
        <f>VLOOKUP($C324,'[2]Analysis 1'!$C$5:$DG$1025,109,FALSE)</f>
        <v>279417.02</v>
      </c>
      <c r="DH324" s="369">
        <f t="shared" si="8"/>
        <v>3345350.81</v>
      </c>
    </row>
    <row r="325" spans="1:112">
      <c r="A325" s="357" t="str">
        <f t="shared" si="9"/>
        <v>6790800</v>
      </c>
      <c r="B325" s="350" t="s">
        <v>2127</v>
      </c>
      <c r="C325" s="335" t="s">
        <v>1208</v>
      </c>
      <c r="D325" s="340">
        <v>20034.669999999998</v>
      </c>
      <c r="E325" s="340">
        <v>23400.5</v>
      </c>
      <c r="F325" s="340">
        <v>16972.689999999999</v>
      </c>
      <c r="G325" s="340">
        <v>37600.839999999997</v>
      </c>
      <c r="H325" s="340">
        <v>12689.84</v>
      </c>
      <c r="I325" s="340">
        <v>58387.91</v>
      </c>
      <c r="J325" s="340">
        <v>28277.85</v>
      </c>
      <c r="K325" s="340">
        <v>245616.5</v>
      </c>
      <c r="L325" s="340">
        <v>163305.16</v>
      </c>
      <c r="M325" s="340">
        <v>20955.02</v>
      </c>
      <c r="N325" s="340">
        <v>18296.63</v>
      </c>
      <c r="O325" s="341">
        <v>6016547.8600000003</v>
      </c>
      <c r="P325" s="48">
        <v>-5099.18</v>
      </c>
      <c r="Q325" s="48">
        <v>-50907.040000000001</v>
      </c>
      <c r="R325" s="48">
        <v>850636.39</v>
      </c>
      <c r="S325" s="48">
        <v>-1732623.13</v>
      </c>
      <c r="T325" s="48">
        <v>12321.94</v>
      </c>
      <c r="U325" s="48">
        <v>8509.7099999999991</v>
      </c>
      <c r="V325" s="48">
        <v>60807.61</v>
      </c>
      <c r="W325" s="48">
        <v>-473742.69</v>
      </c>
      <c r="X325" s="48">
        <v>61389.36</v>
      </c>
      <c r="Y325" s="48">
        <v>41658.83</v>
      </c>
      <c r="Z325" s="48">
        <v>-19305.330000000002</v>
      </c>
      <c r="AA325" s="48">
        <v>-28433.96</v>
      </c>
      <c r="AB325" s="48">
        <v>17983.61</v>
      </c>
      <c r="AC325" s="48">
        <v>24371.93</v>
      </c>
      <c r="AD325" s="48">
        <v>19081.54</v>
      </c>
      <c r="AE325" s="48">
        <v>14050.4</v>
      </c>
      <c r="AF325" s="48">
        <v>28387.29</v>
      </c>
      <c r="AG325" s="48">
        <v>136857.01999999999</v>
      </c>
      <c r="AH325" s="48">
        <v>-101066.99</v>
      </c>
      <c r="AI325" s="48">
        <v>17060.419999999998</v>
      </c>
      <c r="AJ325" s="48">
        <v>278009.21000000002</v>
      </c>
      <c r="AK325" s="48">
        <v>7776.83</v>
      </c>
      <c r="AL325" s="48">
        <v>-393691.19</v>
      </c>
      <c r="AM325" s="48">
        <v>583224.04</v>
      </c>
      <c r="AN325" s="48">
        <v>-345962.28</v>
      </c>
      <c r="AO325" s="48">
        <v>35448.26</v>
      </c>
      <c r="AP325" s="48">
        <v>-1438.77</v>
      </c>
      <c r="AQ325" s="48">
        <v>28349.84</v>
      </c>
      <c r="AR325" s="48">
        <v>50440.99</v>
      </c>
      <c r="AS325" s="48">
        <v>-1305418.83</v>
      </c>
      <c r="AT325" s="48">
        <v>-1535445.11</v>
      </c>
      <c r="AU325" s="48">
        <v>-253165.54</v>
      </c>
      <c r="AV325" s="48">
        <v>-385668.07</v>
      </c>
      <c r="AW325" s="48">
        <v>57600.11</v>
      </c>
      <c r="AX325" s="48">
        <v>-11448.41</v>
      </c>
      <c r="AY325" s="48">
        <v>-556531.87</v>
      </c>
      <c r="AZ325" s="48">
        <v>-151880.15</v>
      </c>
      <c r="BA325" s="48">
        <v>12749.1</v>
      </c>
      <c r="BB325" s="48">
        <v>17501.77</v>
      </c>
      <c r="BC325" s="48">
        <v>105674.5</v>
      </c>
      <c r="BD325" s="48">
        <v>228516.39</v>
      </c>
      <c r="BE325" s="48">
        <v>24391.34</v>
      </c>
      <c r="BF325" s="48">
        <v>-502024.23</v>
      </c>
      <c r="BG325" s="48">
        <v>160816.5</v>
      </c>
      <c r="BH325" s="48">
        <v>-231410.74</v>
      </c>
      <c r="BI325" s="48">
        <v>-54689.4</v>
      </c>
      <c r="BJ325" s="48">
        <v>1129599.29</v>
      </c>
      <c r="BK325" s="48">
        <v>-571469.12</v>
      </c>
      <c r="BL325" s="48">
        <v>69347.59</v>
      </c>
      <c r="BM325" s="48">
        <v>-36181.1</v>
      </c>
      <c r="BN325" s="48">
        <v>16991.09</v>
      </c>
      <c r="BO325" s="48">
        <v>30936.18</v>
      </c>
      <c r="BP325" s="48">
        <v>3371052.29</v>
      </c>
      <c r="BQ325" s="48">
        <v>59711.49</v>
      </c>
      <c r="BR325" s="48">
        <v>1947214.49</v>
      </c>
      <c r="BS325" s="48">
        <v>-188001.06</v>
      </c>
      <c r="BT325" s="48">
        <v>6282124.1699999999</v>
      </c>
      <c r="BU325" s="48">
        <v>468487.81</v>
      </c>
      <c r="BV325" s="48">
        <v>838344.13</v>
      </c>
      <c r="BW325" s="48">
        <v>443032.21</v>
      </c>
      <c r="BX325" s="48">
        <v>-3625549.5</v>
      </c>
      <c r="BY325" s="48">
        <v>8161156.46</v>
      </c>
      <c r="BZ325" s="48">
        <v>-134025.31</v>
      </c>
      <c r="CA325" s="48">
        <v>829247.68</v>
      </c>
      <c r="CB325" s="48">
        <v>337833.71</v>
      </c>
      <c r="CC325" s="48">
        <v>5110198.04</v>
      </c>
      <c r="CD325" s="48">
        <v>3242869.27</v>
      </c>
      <c r="CE325" s="48">
        <v>9339663.3300000001</v>
      </c>
      <c r="CF325" s="48">
        <v>143793.91</v>
      </c>
      <c r="CG325" s="48">
        <v>564652.39</v>
      </c>
      <c r="CH325" s="48">
        <v>81693.55</v>
      </c>
      <c r="CI325" s="48">
        <v>814710.33</v>
      </c>
      <c r="CJ325" s="48">
        <v>161947.85999999999</v>
      </c>
      <c r="CK325" s="48">
        <v>215831.13</v>
      </c>
      <c r="CL325" s="48">
        <v>177107.3</v>
      </c>
      <c r="CM325" s="48">
        <v>175607.03</v>
      </c>
      <c r="CN325" s="48">
        <v>686502.75</v>
      </c>
      <c r="CO325" s="48">
        <v>370375.36</v>
      </c>
      <c r="CP325" s="48">
        <v>181436.45</v>
      </c>
      <c r="CQ325" s="48">
        <v>169785.14</v>
      </c>
      <c r="CR325" s="48">
        <v>-1450568.34</v>
      </c>
      <c r="CS325" s="48">
        <v>165964.97</v>
      </c>
      <c r="CT325" s="48">
        <v>181189.52</v>
      </c>
      <c r="CU325" s="48">
        <v>-729807.26</v>
      </c>
      <c r="CV325" s="48">
        <v>89190.25</v>
      </c>
      <c r="CW325" s="48">
        <v>593595.16</v>
      </c>
      <c r="CX325" s="48">
        <v>768385.98</v>
      </c>
      <c r="CY325" s="48">
        <v>521615.17</v>
      </c>
      <c r="CZ325" s="48">
        <v>344759.61</v>
      </c>
      <c r="DA325" s="48">
        <v>630006.74</v>
      </c>
      <c r="DB325" s="48">
        <v>433075.28</v>
      </c>
      <c r="DC325" s="48">
        <v>561335.53</v>
      </c>
      <c r="DD325" s="48">
        <v>3896862.6</v>
      </c>
      <c r="DE325" s="48">
        <f>VLOOKUP($C325,'[2]Analysis 1'!$C$5:$DG$1025,107,FALSE)</f>
        <v>-3738159.7</v>
      </c>
      <c r="DF325" s="48">
        <f>VLOOKUP($C325,'[2]Analysis 1'!$C$5:$DG$1025,108,FALSE)</f>
        <v>447083.45</v>
      </c>
      <c r="DG325" s="48">
        <f>VLOOKUP($C325,'[2]Analysis 1'!$C$5:$DG$1025,109,FALSE)</f>
        <v>1571039.75</v>
      </c>
      <c r="DH325" s="369">
        <f t="shared" si="8"/>
        <v>6118789.8200000003</v>
      </c>
    </row>
    <row r="326" spans="1:112">
      <c r="A326" s="357" t="str">
        <f t="shared" si="9"/>
        <v>6790801</v>
      </c>
      <c r="B326" s="350" t="s">
        <v>2128</v>
      </c>
      <c r="C326" s="335" t="s">
        <v>1447</v>
      </c>
      <c r="D326" s="340"/>
      <c r="E326" s="340"/>
      <c r="F326" s="340"/>
      <c r="G326" s="340"/>
      <c r="H326" s="340"/>
      <c r="I326" s="340"/>
      <c r="J326" s="340"/>
      <c r="K326" s="340"/>
      <c r="L326" s="340"/>
      <c r="M326" s="340"/>
      <c r="N326" s="340"/>
      <c r="O326" s="341"/>
      <c r="P326" s="48"/>
      <c r="Q326" s="48"/>
      <c r="R326" s="48"/>
      <c r="S326" s="48"/>
      <c r="T326" s="48"/>
      <c r="U326" s="48"/>
      <c r="V326" s="48"/>
      <c r="W326" s="48"/>
      <c r="X326" s="48"/>
      <c r="Y326" s="48"/>
      <c r="Z326" s="48"/>
      <c r="AA326" s="48"/>
      <c r="AB326" s="48"/>
      <c r="AC326" s="48"/>
      <c r="AD326" s="48"/>
      <c r="AE326" s="48">
        <v>0</v>
      </c>
      <c r="AF326" s="48">
        <v>0</v>
      </c>
      <c r="AG326" s="443">
        <v>-65059</v>
      </c>
      <c r="AH326" s="443">
        <v>-21686</v>
      </c>
      <c r="AI326" s="443">
        <v>-21686</v>
      </c>
      <c r="AJ326" s="443">
        <v>-21686</v>
      </c>
      <c r="AK326" s="443">
        <v>-21687</v>
      </c>
      <c r="AL326" s="443">
        <v>-36838</v>
      </c>
      <c r="AM326" s="443">
        <v>-29262</v>
      </c>
      <c r="AN326" s="443">
        <v>-29262</v>
      </c>
      <c r="AO326" s="443">
        <v>-29262</v>
      </c>
      <c r="AP326" s="443">
        <v>-29262</v>
      </c>
      <c r="AQ326" s="443">
        <v>-59215</v>
      </c>
      <c r="AR326" s="443">
        <v>-59215</v>
      </c>
      <c r="AS326" s="443">
        <v>-59215</v>
      </c>
      <c r="AT326" s="443">
        <v>-59215</v>
      </c>
      <c r="AU326" s="443">
        <v>-59215</v>
      </c>
      <c r="AV326" s="443">
        <v>-59215</v>
      </c>
      <c r="AW326" s="443">
        <v>-69679</v>
      </c>
      <c r="AX326" s="443">
        <v>-69679</v>
      </c>
      <c r="AY326" s="443">
        <v>-69679</v>
      </c>
      <c r="AZ326" s="443">
        <v>-69679</v>
      </c>
      <c r="BA326" s="443">
        <v>-69679</v>
      </c>
      <c r="BB326" s="443">
        <v>-69679</v>
      </c>
      <c r="BC326" s="443">
        <v>-69679</v>
      </c>
      <c r="BD326" s="443">
        <v>-69679</v>
      </c>
      <c r="BE326" s="443">
        <v>-69679</v>
      </c>
      <c r="BF326" s="443">
        <v>-69679</v>
      </c>
      <c r="BG326" s="443">
        <v>-69679</v>
      </c>
      <c r="BH326" s="443">
        <v>-69679</v>
      </c>
      <c r="BI326" s="443">
        <v>-69679</v>
      </c>
      <c r="BJ326" s="443">
        <v>-69679</v>
      </c>
      <c r="BK326" s="443">
        <v>-69679</v>
      </c>
      <c r="BL326" s="443">
        <v>-69679</v>
      </c>
      <c r="BM326" s="443">
        <v>-69679</v>
      </c>
      <c r="BN326" s="443">
        <v>-69679</v>
      </c>
      <c r="BO326" s="443">
        <v>-69679</v>
      </c>
      <c r="BP326" s="443">
        <v>-69679</v>
      </c>
      <c r="BQ326" s="443">
        <v>-69679</v>
      </c>
      <c r="BR326" s="443">
        <v>-69679</v>
      </c>
      <c r="BS326" s="443">
        <v>-69679</v>
      </c>
      <c r="BT326" s="443">
        <v>-69679</v>
      </c>
      <c r="BU326" s="443">
        <v>-69678</v>
      </c>
      <c r="BV326" s="443">
        <v>-69678</v>
      </c>
      <c r="BW326" s="443">
        <v>-69678</v>
      </c>
      <c r="BX326" s="443">
        <v>-69678</v>
      </c>
      <c r="BY326" s="443">
        <v>-69679</v>
      </c>
      <c r="BZ326" s="443">
        <v>-69679</v>
      </c>
      <c r="CA326" s="443">
        <v>-61412</v>
      </c>
      <c r="CB326" s="443">
        <v>-61412</v>
      </c>
      <c r="CC326" s="443">
        <v>-61412</v>
      </c>
      <c r="CD326" s="443">
        <v>-61412</v>
      </c>
      <c r="CE326" s="443">
        <v>-61412</v>
      </c>
      <c r="CF326" s="443">
        <v>-61412</v>
      </c>
      <c r="CG326" s="443">
        <v>-58524</v>
      </c>
      <c r="CH326" s="443">
        <v>-58524</v>
      </c>
      <c r="CI326" s="443">
        <v>-58524</v>
      </c>
      <c r="CJ326" s="443">
        <v>-58524</v>
      </c>
      <c r="CK326" s="443">
        <v>-58524</v>
      </c>
      <c r="CL326" s="443">
        <v>-58525</v>
      </c>
      <c r="CM326" s="443">
        <v>-58525</v>
      </c>
      <c r="CN326" s="443">
        <v>-58525</v>
      </c>
      <c r="CO326" s="443">
        <v>-58525</v>
      </c>
      <c r="CP326" s="443">
        <v>-58525</v>
      </c>
      <c r="CQ326" s="443">
        <v>-58525</v>
      </c>
      <c r="CR326" s="443">
        <v>-58525</v>
      </c>
      <c r="CS326" s="443">
        <v>-58525</v>
      </c>
      <c r="CT326" s="443">
        <v>-58525</v>
      </c>
      <c r="CU326" s="443">
        <v>-58525</v>
      </c>
      <c r="CV326" s="443">
        <v>-58525</v>
      </c>
      <c r="CW326" s="443">
        <v>-58525</v>
      </c>
      <c r="CX326" s="443">
        <v>-58525</v>
      </c>
      <c r="CY326" s="443">
        <v>-43373</v>
      </c>
      <c r="CZ326" s="443">
        <v>-43373</v>
      </c>
      <c r="DA326" s="443">
        <v>-43373</v>
      </c>
      <c r="DB326" s="443">
        <v>-43373</v>
      </c>
      <c r="DC326" s="443">
        <v>0</v>
      </c>
      <c r="DD326" s="443">
        <v>0</v>
      </c>
      <c r="DE326" s="443">
        <f>VLOOKUP($C326,'[2]Analysis 1'!$C$5:$DG$1025,107,FALSE)</f>
        <v>0</v>
      </c>
      <c r="DF326" s="443">
        <f>VLOOKUP($C326,'[2]Analysis 1'!$C$5:$DG$1025,108,FALSE)</f>
        <v>0</v>
      </c>
      <c r="DG326" s="443">
        <f>VLOOKUP($C326,'[2]Analysis 1'!$C$5:$DG$1025,109,FALSE)</f>
        <v>0</v>
      </c>
      <c r="DH326" s="369">
        <f t="shared" ref="DH326:DH327" si="10">SUM(CV326:DG326)</f>
        <v>-349067</v>
      </c>
    </row>
    <row r="327" spans="1:112">
      <c r="A327" s="1040">
        <f t="shared" si="9"/>
        <v>6790802</v>
      </c>
      <c r="B327" s="956">
        <v>6790802</v>
      </c>
      <c r="C327" s="956" t="s">
        <v>2904</v>
      </c>
      <c r="D327" s="470"/>
      <c r="E327" s="470"/>
      <c r="F327" s="470"/>
      <c r="G327" s="470"/>
      <c r="H327" s="470"/>
      <c r="I327" s="470"/>
      <c r="J327" s="470"/>
      <c r="K327" s="470"/>
      <c r="L327" s="470"/>
      <c r="M327" s="470"/>
      <c r="N327" s="470"/>
      <c r="O327" s="470"/>
      <c r="P327" s="48"/>
      <c r="Q327" s="48"/>
      <c r="R327" s="48"/>
      <c r="S327" s="48"/>
      <c r="T327" s="48"/>
      <c r="U327" s="48"/>
      <c r="V327" s="48"/>
      <c r="W327" s="48"/>
      <c r="X327" s="48"/>
      <c r="Y327" s="48"/>
      <c r="Z327" s="48"/>
      <c r="AA327" s="48"/>
      <c r="AB327" s="48"/>
      <c r="AC327" s="48"/>
      <c r="AD327" s="48"/>
      <c r="AE327" s="48"/>
      <c r="AF327" s="48"/>
      <c r="AG327" s="443"/>
      <c r="AH327" s="443"/>
      <c r="AI327" s="443"/>
      <c r="AJ327" s="443"/>
      <c r="AK327" s="443"/>
      <c r="AL327" s="443"/>
      <c r="AM327" s="443"/>
      <c r="AN327" s="443"/>
      <c r="AO327" s="443"/>
      <c r="AP327" s="443"/>
      <c r="AQ327" s="443"/>
      <c r="AR327" s="443"/>
      <c r="AS327" s="443"/>
      <c r="AT327" s="443"/>
      <c r="AU327" s="443"/>
      <c r="AV327" s="443"/>
      <c r="AW327" s="443"/>
      <c r="AX327" s="443"/>
      <c r="AY327" s="443"/>
      <c r="AZ327" s="443"/>
      <c r="BA327" s="443"/>
      <c r="BB327" s="443"/>
      <c r="BC327" s="443"/>
      <c r="BD327" s="443"/>
      <c r="BE327" s="443"/>
      <c r="BF327" s="443"/>
      <c r="BG327" s="443"/>
      <c r="BH327" s="443"/>
      <c r="BI327" s="443"/>
      <c r="BJ327" s="443"/>
      <c r="BK327" s="443"/>
      <c r="BL327" s="443"/>
      <c r="BM327" s="443"/>
      <c r="BN327" s="443"/>
      <c r="BO327" s="443"/>
      <c r="BP327" s="443"/>
      <c r="BQ327" s="443"/>
      <c r="BR327" s="443"/>
      <c r="BS327" s="443"/>
      <c r="BT327" s="443"/>
      <c r="BU327" s="443"/>
      <c r="BV327" s="443"/>
      <c r="BW327" s="443"/>
      <c r="BX327" s="443"/>
      <c r="BY327" s="443"/>
      <c r="BZ327" s="443"/>
      <c r="CA327" s="443"/>
      <c r="CB327" s="443"/>
      <c r="CC327" s="443"/>
      <c r="CD327" s="443"/>
      <c r="CE327" s="443"/>
      <c r="CF327" s="443"/>
      <c r="CG327" s="443"/>
      <c r="CH327" s="443"/>
      <c r="CI327" s="443"/>
      <c r="CJ327" s="443"/>
      <c r="CK327" s="443"/>
      <c r="CL327" s="443"/>
      <c r="CM327" s="443"/>
      <c r="CN327" s="443"/>
      <c r="CO327" s="443"/>
      <c r="CP327" s="443"/>
      <c r="CQ327" s="443"/>
      <c r="CR327" s="443"/>
      <c r="CS327" s="1259">
        <v>0</v>
      </c>
      <c r="CT327" s="1259">
        <v>0</v>
      </c>
      <c r="CU327" s="1259">
        <v>0</v>
      </c>
      <c r="CV327" s="1259">
        <v>0</v>
      </c>
      <c r="CW327" s="1259">
        <v>0</v>
      </c>
      <c r="CX327" s="1259">
        <v>0</v>
      </c>
      <c r="CY327" s="1259">
        <v>0</v>
      </c>
      <c r="CZ327" s="1259">
        <v>0</v>
      </c>
      <c r="DA327" s="1259">
        <v>0</v>
      </c>
      <c r="DB327" s="1259">
        <v>0</v>
      </c>
      <c r="DC327" s="1259">
        <v>0</v>
      </c>
      <c r="DD327" s="1259">
        <v>0</v>
      </c>
      <c r="DE327" s="48">
        <f>VLOOKUP($C327,'[2]Analysis 1'!$C$5:$DG$1025,107,FALSE)</f>
        <v>0</v>
      </c>
      <c r="DF327" s="48">
        <f>VLOOKUP($C327,'[2]Analysis 1'!$C$5:$DG$1025,108,FALSE)</f>
        <v>339.23</v>
      </c>
      <c r="DG327" s="48">
        <f>VLOOKUP($C327,'[2]Analysis 1'!$C$5:$DG$1025,109,FALSE)</f>
        <v>0</v>
      </c>
      <c r="DH327" s="369">
        <f t="shared" si="10"/>
        <v>339.23</v>
      </c>
    </row>
    <row r="328" spans="1:112">
      <c r="A328" s="357" t="str">
        <f>+B328</f>
        <v>6791000</v>
      </c>
      <c r="B328" s="350" t="s">
        <v>2505</v>
      </c>
      <c r="C328" s="335" t="s">
        <v>2506</v>
      </c>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c r="BG328" s="48"/>
      <c r="BH328" s="48"/>
      <c r="BI328" s="48"/>
      <c r="BJ328" s="48"/>
      <c r="BK328" s="48"/>
      <c r="BL328" s="48"/>
      <c r="BM328" s="48"/>
      <c r="BN328" s="48"/>
      <c r="BO328" s="48"/>
      <c r="BP328" s="48"/>
      <c r="BQ328" s="48"/>
      <c r="BR328" s="48"/>
      <c r="BS328" s="48"/>
      <c r="BT328" s="48"/>
      <c r="BU328" s="48"/>
      <c r="BV328" s="48"/>
      <c r="BW328" s="48"/>
      <c r="BX328" s="48"/>
      <c r="BY328" s="48"/>
      <c r="BZ328" s="48"/>
      <c r="CA328" s="48"/>
      <c r="CB328" s="48"/>
      <c r="CC328" s="48">
        <v>526.23</v>
      </c>
      <c r="CD328" s="48">
        <v>-567.46</v>
      </c>
      <c r="CE328" s="48">
        <v>0</v>
      </c>
      <c r="CF328" s="48">
        <v>0</v>
      </c>
      <c r="CG328" s="48">
        <v>0</v>
      </c>
      <c r="CH328" s="48">
        <v>0</v>
      </c>
      <c r="CI328" s="48">
        <v>0</v>
      </c>
      <c r="CJ328" s="48">
        <v>34179.129999999997</v>
      </c>
      <c r="CK328" s="48">
        <v>35838.28</v>
      </c>
      <c r="CL328" s="48">
        <v>35012.35</v>
      </c>
      <c r="CM328" s="48">
        <v>35009.919999999998</v>
      </c>
      <c r="CN328" s="48">
        <v>36408.83</v>
      </c>
      <c r="CO328" s="48">
        <v>35289.699999999997</v>
      </c>
      <c r="CP328" s="48">
        <v>35289.699999999997</v>
      </c>
      <c r="CQ328" s="48">
        <v>35289.699999999997</v>
      </c>
      <c r="CR328" s="48">
        <v>35289.699999999997</v>
      </c>
      <c r="CS328" s="48">
        <v>35289.699999999997</v>
      </c>
      <c r="CT328" s="48">
        <v>35289.699999999997</v>
      </c>
      <c r="CU328" s="48">
        <v>35289.699999999997</v>
      </c>
      <c r="CV328" s="48">
        <v>35289.699999999997</v>
      </c>
      <c r="CW328" s="48">
        <v>35289.699999999997</v>
      </c>
      <c r="CX328" s="48">
        <v>35289.699999999997</v>
      </c>
      <c r="CY328" s="48">
        <v>35289.699999999997</v>
      </c>
      <c r="CZ328" s="48">
        <v>35289.699999999997</v>
      </c>
      <c r="DA328" s="48">
        <v>35289.699999999997</v>
      </c>
      <c r="DB328" s="48">
        <v>35289.699999999997</v>
      </c>
      <c r="DC328" s="48">
        <v>35289.699999999997</v>
      </c>
      <c r="DD328" s="48">
        <v>35289.699999999997</v>
      </c>
      <c r="DE328" s="48">
        <f>VLOOKUP($C328,'[2]Analysis 1'!$C$5:$DG$1025,107,FALSE)</f>
        <v>35289.699999999997</v>
      </c>
      <c r="DF328" s="48">
        <f>VLOOKUP($C328,'[2]Analysis 1'!$C$5:$DG$1025,108,FALSE)</f>
        <v>35289.699999999997</v>
      </c>
      <c r="DG328" s="48">
        <f>VLOOKUP($C328,'[2]Analysis 1'!$C$5:$DG$1025,109,FALSE)</f>
        <v>35289.72</v>
      </c>
      <c r="DH328" s="369">
        <f t="shared" ref="DH328:DH391" si="11">SUM(CV328:DG328)</f>
        <v>423476.42000000004</v>
      </c>
    </row>
    <row r="329" spans="1:112">
      <c r="A329" s="357" t="str">
        <f t="shared" si="9"/>
        <v>6798999</v>
      </c>
      <c r="B329" s="350" t="s">
        <v>2129</v>
      </c>
      <c r="C329" s="335" t="s">
        <v>1209</v>
      </c>
      <c r="D329" s="340">
        <v>15.4</v>
      </c>
      <c r="E329" s="340">
        <v>0</v>
      </c>
      <c r="F329" s="340">
        <v>-91090.559999999998</v>
      </c>
      <c r="G329" s="340">
        <v>-344699.84</v>
      </c>
      <c r="H329" s="340">
        <v>-38511.11</v>
      </c>
      <c r="I329" s="340">
        <v>-275235.74</v>
      </c>
      <c r="J329" s="340">
        <v>-703003.47</v>
      </c>
      <c r="K329" s="340">
        <v>-457434.98</v>
      </c>
      <c r="L329" s="340">
        <v>-139822.26</v>
      </c>
      <c r="M329" s="340">
        <v>-73593.8</v>
      </c>
      <c r="N329" s="340">
        <v>14713.87</v>
      </c>
      <c r="O329" s="341">
        <v>-130772.29</v>
      </c>
      <c r="P329" s="48">
        <v>-164659.79999999999</v>
      </c>
      <c r="Q329" s="48">
        <v>-116252.61</v>
      </c>
      <c r="R329" s="48">
        <v>-298091.69</v>
      </c>
      <c r="S329" s="48">
        <v>-91059.8</v>
      </c>
      <c r="T329" s="48">
        <v>-100075.5</v>
      </c>
      <c r="U329" s="48">
        <v>-40929.519999999997</v>
      </c>
      <c r="V329" s="48">
        <v>-37018.07</v>
      </c>
      <c r="W329" s="48">
        <v>-14455.56</v>
      </c>
      <c r="X329" s="48">
        <v>-11968.17</v>
      </c>
      <c r="Y329" s="48">
        <v>-20134.13</v>
      </c>
      <c r="Z329" s="48">
        <v>-368.92</v>
      </c>
      <c r="AA329" s="48">
        <v>912091.47</v>
      </c>
      <c r="AB329" s="48">
        <v>-13228.33</v>
      </c>
      <c r="AC329" s="48">
        <v>0</v>
      </c>
      <c r="AD329" s="421">
        <v>1000000</v>
      </c>
      <c r="AE329" s="48">
        <v>0</v>
      </c>
      <c r="AF329" s="48">
        <v>0</v>
      </c>
      <c r="AG329" s="48">
        <v>60892.23</v>
      </c>
      <c r="AH329" s="48">
        <v>0</v>
      </c>
      <c r="AI329" s="48">
        <v>5211.57</v>
      </c>
      <c r="AJ329" s="48">
        <v>0</v>
      </c>
      <c r="AK329" s="48">
        <v>0</v>
      </c>
      <c r="AL329" s="48">
        <v>0</v>
      </c>
      <c r="AM329" s="48">
        <v>-106937.09</v>
      </c>
      <c r="AN329" s="48">
        <v>0</v>
      </c>
      <c r="AO329" s="48">
        <v>-553692.48</v>
      </c>
      <c r="AP329" s="48">
        <v>0</v>
      </c>
      <c r="AQ329" s="48">
        <v>0</v>
      </c>
      <c r="AR329" s="48">
        <v>0</v>
      </c>
      <c r="AS329" s="48">
        <v>0</v>
      </c>
      <c r="AT329" s="48">
        <v>0</v>
      </c>
      <c r="AU329" s="48">
        <v>1055.48</v>
      </c>
      <c r="AV329" s="48">
        <v>0</v>
      </c>
      <c r="AW329" s="48">
        <v>0</v>
      </c>
      <c r="AX329" s="48">
        <v>0</v>
      </c>
      <c r="AY329" s="48">
        <v>12500</v>
      </c>
      <c r="AZ329" s="48">
        <v>0</v>
      </c>
      <c r="BA329" s="48">
        <v>-2005.14</v>
      </c>
      <c r="BB329" s="48">
        <v>0</v>
      </c>
      <c r="BC329" s="48">
        <v>114.61</v>
      </c>
      <c r="BD329" s="48">
        <v>0</v>
      </c>
      <c r="BE329" s="48">
        <v>0</v>
      </c>
      <c r="BF329" s="48">
        <v>0</v>
      </c>
      <c r="BG329" s="48">
        <v>0</v>
      </c>
      <c r="BH329" s="48">
        <v>0</v>
      </c>
      <c r="BI329" s="48">
        <v>31829.45</v>
      </c>
      <c r="BJ329" s="48">
        <v>145000</v>
      </c>
      <c r="BK329" s="48">
        <v>-467536.86</v>
      </c>
      <c r="BL329" s="48">
        <v>0</v>
      </c>
      <c r="BM329" s="48">
        <v>-481.09</v>
      </c>
      <c r="BN329" s="48">
        <v>905.83</v>
      </c>
      <c r="BO329" s="48">
        <v>487.61</v>
      </c>
      <c r="BP329" s="48">
        <v>1653.6</v>
      </c>
      <c r="BQ329" s="48">
        <v>1606.72</v>
      </c>
      <c r="BR329" s="48">
        <v>1252.3699999999999</v>
      </c>
      <c r="BS329" s="48">
        <v>1252.32</v>
      </c>
      <c r="BT329" s="48">
        <v>2837.46</v>
      </c>
      <c r="BU329" s="48">
        <v>622.79</v>
      </c>
      <c r="BV329" s="48">
        <v>47.92</v>
      </c>
      <c r="BW329" s="48">
        <v>-28545.26</v>
      </c>
      <c r="BX329" s="48">
        <v>0</v>
      </c>
      <c r="BY329" s="48">
        <v>47.92</v>
      </c>
      <c r="BZ329" s="48">
        <v>66.31</v>
      </c>
      <c r="CA329" s="48">
        <v>0</v>
      </c>
      <c r="CB329" s="48">
        <v>-44760.2</v>
      </c>
      <c r="CC329" s="48">
        <v>500</v>
      </c>
      <c r="CD329" s="48">
        <v>0</v>
      </c>
      <c r="CE329" s="48">
        <v>0</v>
      </c>
      <c r="CF329" s="48">
        <v>-592817.74</v>
      </c>
      <c r="CG329" s="48">
        <v>594014.88</v>
      </c>
      <c r="CH329" s="48">
        <v>769.11</v>
      </c>
      <c r="CI329" s="48">
        <v>402.24</v>
      </c>
      <c r="CJ329" s="48">
        <v>-26342.77</v>
      </c>
      <c r="CK329" s="48">
        <v>0</v>
      </c>
      <c r="CL329" s="48">
        <v>-4947</v>
      </c>
      <c r="CM329" s="48">
        <v>0</v>
      </c>
      <c r="CN329" s="48">
        <v>0</v>
      </c>
      <c r="CO329" s="48">
        <v>0</v>
      </c>
      <c r="CP329" s="48">
        <v>-582</v>
      </c>
      <c r="CQ329" s="48">
        <v>0</v>
      </c>
      <c r="CR329" s="48">
        <v>0</v>
      </c>
      <c r="CS329" s="48">
        <v>0</v>
      </c>
      <c r="CT329" s="48">
        <v>0</v>
      </c>
      <c r="CU329" s="48">
        <v>49626.080000000002</v>
      </c>
      <c r="CV329" s="48">
        <v>3323.77</v>
      </c>
      <c r="CW329" s="48">
        <v>1165.79</v>
      </c>
      <c r="CX329" s="48">
        <v>2328.17</v>
      </c>
      <c r="CY329" s="48">
        <v>23511.63</v>
      </c>
      <c r="CZ329" s="48">
        <v>10618.39</v>
      </c>
      <c r="DA329" s="48">
        <v>-16994.25</v>
      </c>
      <c r="DB329" s="48">
        <v>1403.95</v>
      </c>
      <c r="DC329" s="48">
        <v>-1563.5</v>
      </c>
      <c r="DD329" s="48">
        <v>3916.61</v>
      </c>
      <c r="DE329" s="48">
        <f>VLOOKUP($C329,'[2]Analysis 1'!$C$5:$DG$1025,107,FALSE)</f>
        <v>-234.04</v>
      </c>
      <c r="DF329" s="48">
        <f>VLOOKUP($C329,'[2]Analysis 1'!$C$5:$DG$1025,108,FALSE)</f>
        <v>4920.68</v>
      </c>
      <c r="DG329" s="48">
        <f>VLOOKUP($C329,'[2]Analysis 1'!$C$5:$DG$1025,109,FALSE)</f>
        <v>48074.28</v>
      </c>
      <c r="DH329" s="369">
        <f t="shared" si="11"/>
        <v>80471.48</v>
      </c>
    </row>
    <row r="330" spans="1:112">
      <c r="A330" s="357" t="str">
        <f t="shared" si="9"/>
        <v>6799000</v>
      </c>
      <c r="B330" s="350" t="s">
        <v>2130</v>
      </c>
      <c r="C330" s="335" t="s">
        <v>1210</v>
      </c>
      <c r="D330" s="367">
        <v>-458487.5</v>
      </c>
      <c r="E330" s="367">
        <v>-420646.25</v>
      </c>
      <c r="F330" s="367">
        <v>-434815.81</v>
      </c>
      <c r="G330" s="367">
        <v>-83274.3</v>
      </c>
      <c r="H330" s="367">
        <v>-554344.04</v>
      </c>
      <c r="I330" s="367">
        <v>-511133.25</v>
      </c>
      <c r="J330" s="367">
        <v>157063.54</v>
      </c>
      <c r="K330" s="367">
        <v>-484746.42</v>
      </c>
      <c r="L330" s="367">
        <v>-447144.2</v>
      </c>
      <c r="M330" s="367">
        <v>-160223.04000000001</v>
      </c>
      <c r="N330" s="367">
        <v>-565955.02</v>
      </c>
      <c r="O330" s="368">
        <v>-6328072.8200000003</v>
      </c>
      <c r="P330" s="48">
        <v>-290140.96000000002</v>
      </c>
      <c r="Q330" s="48">
        <v>-278630.94</v>
      </c>
      <c r="R330" s="48">
        <v>-937427.5</v>
      </c>
      <c r="S330" s="48">
        <v>1420608.84</v>
      </c>
      <c r="T330" s="48">
        <v>-296291.63</v>
      </c>
      <c r="U330" s="48">
        <v>-397884.77</v>
      </c>
      <c r="V330" s="48">
        <v>-446677.29</v>
      </c>
      <c r="W330" s="48">
        <v>99324.88</v>
      </c>
      <c r="X330" s="48">
        <v>-439022.03</v>
      </c>
      <c r="Y330" s="48">
        <v>-374258.68</v>
      </c>
      <c r="Z330" s="48">
        <v>-393835.64</v>
      </c>
      <c r="AA330" s="48">
        <v>-443960.37</v>
      </c>
      <c r="AB330" s="48">
        <v>-565381.59</v>
      </c>
      <c r="AC330" s="48">
        <v>-435359.54</v>
      </c>
      <c r="AD330" s="48">
        <v>-453175.32</v>
      </c>
      <c r="AE330" s="48">
        <v>-438793.91</v>
      </c>
      <c r="AF330" s="48">
        <v>-432260.9</v>
      </c>
      <c r="AG330" s="48">
        <v>-434459.32</v>
      </c>
      <c r="AH330" s="48">
        <v>-403168.4</v>
      </c>
      <c r="AI330" s="48">
        <v>-419284.05</v>
      </c>
      <c r="AJ330" s="48">
        <v>-902860.1</v>
      </c>
      <c r="AK330" s="48">
        <v>-539206.78</v>
      </c>
      <c r="AL330" s="48">
        <v>-22636.11</v>
      </c>
      <c r="AM330" s="48">
        <v>-1149424.26</v>
      </c>
      <c r="AN330" s="48">
        <v>-13832.16</v>
      </c>
      <c r="AO330" s="48">
        <v>140541.43</v>
      </c>
      <c r="AP330" s="48">
        <v>-439915.72</v>
      </c>
      <c r="AQ330" s="48">
        <v>-437692.47</v>
      </c>
      <c r="AR330" s="48">
        <v>-484019.47</v>
      </c>
      <c r="AS330" s="48">
        <v>865487.95</v>
      </c>
      <c r="AT330" s="48">
        <v>987938.81</v>
      </c>
      <c r="AU330" s="48">
        <v>-318951.8</v>
      </c>
      <c r="AV330" s="48">
        <v>-172226.74</v>
      </c>
      <c r="AW330" s="48">
        <v>-657547.82999999996</v>
      </c>
      <c r="AX330" s="48">
        <v>-543119.84</v>
      </c>
      <c r="AY330" s="48">
        <v>-138212.24</v>
      </c>
      <c r="AZ330" s="48">
        <v>-397910.97</v>
      </c>
      <c r="BA330" s="48">
        <v>-630015.62</v>
      </c>
      <c r="BB330" s="48">
        <v>-587253.91</v>
      </c>
      <c r="BC330" s="48">
        <v>-661220.4</v>
      </c>
      <c r="BD330" s="48">
        <v>-651511.57999999996</v>
      </c>
      <c r="BE330" s="48">
        <v>-631772.69999999995</v>
      </c>
      <c r="BF330" s="48">
        <v>-43712.45</v>
      </c>
      <c r="BG330" s="48">
        <v>-626577.53</v>
      </c>
      <c r="BH330" s="48">
        <v>-402632.04</v>
      </c>
      <c r="BI330" s="48">
        <v>-478340.84</v>
      </c>
      <c r="BJ330" s="48">
        <v>-1798919.32</v>
      </c>
      <c r="BK330" s="48">
        <v>39200.379999999997</v>
      </c>
      <c r="BL330" s="48">
        <v>-553319.73</v>
      </c>
      <c r="BM330" s="48">
        <v>-569231.65</v>
      </c>
      <c r="BN330" s="48">
        <v>-1216936.24</v>
      </c>
      <c r="BO330" s="48">
        <v>-769947.79</v>
      </c>
      <c r="BP330" s="48">
        <v>-4217632.82</v>
      </c>
      <c r="BQ330" s="48">
        <v>-880287.08</v>
      </c>
      <c r="BR330" s="48">
        <v>-2728349.95</v>
      </c>
      <c r="BS330" s="48">
        <v>-656685.93000000005</v>
      </c>
      <c r="BT330" s="48">
        <v>-7184027.3200000003</v>
      </c>
      <c r="BU330" s="48">
        <v>-1291999.22</v>
      </c>
      <c r="BV330" s="48">
        <v>-1567651.24</v>
      </c>
      <c r="BW330" s="48">
        <v>-1430576.57</v>
      </c>
      <c r="BX330" s="48">
        <v>2867467.28</v>
      </c>
      <c r="BY330" s="48">
        <v>-8774101.5199999996</v>
      </c>
      <c r="BZ330" s="48">
        <v>-644123.81000000006</v>
      </c>
      <c r="CA330" s="48">
        <v>-1582491.19</v>
      </c>
      <c r="CB330" s="48">
        <v>-1124996.6000000001</v>
      </c>
      <c r="CC330" s="48">
        <v>-5843841.7999999998</v>
      </c>
      <c r="CD330" s="48">
        <v>-4222087.72</v>
      </c>
      <c r="CE330" s="48">
        <v>-10144570.560000001</v>
      </c>
      <c r="CF330" s="48">
        <v>-1019938.61</v>
      </c>
      <c r="CG330" s="48">
        <v>-1477051.33</v>
      </c>
      <c r="CH330" s="48">
        <v>-957784.59</v>
      </c>
      <c r="CI330" s="48">
        <v>-1164167.01</v>
      </c>
      <c r="CJ330" s="48">
        <v>-772983.06</v>
      </c>
      <c r="CK330" s="48">
        <v>-1223484.8899999999</v>
      </c>
      <c r="CL330" s="48">
        <v>-881067.56</v>
      </c>
      <c r="CM330" s="48">
        <v>-871463.29</v>
      </c>
      <c r="CN330" s="48">
        <v>-1391844.08</v>
      </c>
      <c r="CO330" s="48">
        <v>-987263.79</v>
      </c>
      <c r="CP330" s="48">
        <v>-859307.72</v>
      </c>
      <c r="CQ330" s="48">
        <v>-862984.16</v>
      </c>
      <c r="CR330" s="48">
        <v>504477.53</v>
      </c>
      <c r="CS330" s="48">
        <v>-854471.77</v>
      </c>
      <c r="CT330" s="48">
        <v>-1812683.92</v>
      </c>
      <c r="CU330" s="48">
        <v>-58329.59</v>
      </c>
      <c r="CV330" s="48">
        <v>-989584.73</v>
      </c>
      <c r="CW330" s="48">
        <v>-1447414.56</v>
      </c>
      <c r="CX330" s="48">
        <v>-1696664.26</v>
      </c>
      <c r="CY330" s="48">
        <v>-1441299.23</v>
      </c>
      <c r="CZ330" s="48">
        <v>-1214294.28</v>
      </c>
      <c r="DA330" s="48">
        <v>-1385093.67</v>
      </c>
      <c r="DB330" s="48">
        <v>-1275151.07</v>
      </c>
      <c r="DC330" s="48">
        <v>-1319231.25</v>
      </c>
      <c r="DD330" s="48">
        <v>-1642177.95</v>
      </c>
      <c r="DE330" s="48">
        <f>VLOOKUP($C330,'[2]Analysis 1'!$C$5:$DG$1025,107,FALSE)</f>
        <v>-255821.76</v>
      </c>
      <c r="DF330" s="48">
        <f>VLOOKUP($C330,'[2]Analysis 1'!$C$5:$DG$1025,108,FALSE)</f>
        <v>-1374541.18</v>
      </c>
      <c r="DG330" s="48">
        <f>VLOOKUP($C330,'[2]Analysis 1'!$C$5:$DG$1025,109,FALSE)</f>
        <v>-3364277.43</v>
      </c>
      <c r="DH330" s="369">
        <f t="shared" si="11"/>
        <v>-17405551.369999997</v>
      </c>
    </row>
    <row r="331" spans="1:112">
      <c r="A331" s="357" t="str">
        <f t="shared" si="9"/>
        <v>6799105</v>
      </c>
      <c r="B331" s="350" t="s">
        <v>2131</v>
      </c>
      <c r="C331" s="335" t="s">
        <v>1211</v>
      </c>
      <c r="D331" s="340">
        <v>-93099.48</v>
      </c>
      <c r="E331" s="340">
        <v>-86697.15</v>
      </c>
      <c r="F331" s="340">
        <v>-89549.77</v>
      </c>
      <c r="G331" s="340">
        <v>-81877.279999999999</v>
      </c>
      <c r="H331" s="340">
        <v>-95010.46</v>
      </c>
      <c r="I331" s="340">
        <v>-94123.35</v>
      </c>
      <c r="J331" s="340">
        <v>-90303.84</v>
      </c>
      <c r="K331" s="340">
        <v>-101806.5</v>
      </c>
      <c r="L331" s="340">
        <v>-99852.32</v>
      </c>
      <c r="M331" s="340">
        <v>-102109.15</v>
      </c>
      <c r="N331" s="340">
        <v>-104857.76</v>
      </c>
      <c r="O331" s="341">
        <v>-100830.53</v>
      </c>
      <c r="P331" s="48">
        <v>-73915.520000000004</v>
      </c>
      <c r="Q331" s="48">
        <v>-70886.559999999998</v>
      </c>
      <c r="R331" s="48">
        <v>-74762.539999999994</v>
      </c>
      <c r="S331" s="48">
        <v>-79305.210000000006</v>
      </c>
      <c r="T331" s="48">
        <v>-86804.7</v>
      </c>
      <c r="U331" s="48">
        <v>-86916.88</v>
      </c>
      <c r="V331" s="48">
        <v>-82359.520000000004</v>
      </c>
      <c r="W331" s="48">
        <v>-78171.78</v>
      </c>
      <c r="X331" s="48">
        <v>-75433.259999999995</v>
      </c>
      <c r="Y331" s="48">
        <v>-66544.679999999993</v>
      </c>
      <c r="Z331" s="48">
        <v>-103763.11</v>
      </c>
      <c r="AA331" s="48">
        <v>-104546.86</v>
      </c>
      <c r="AB331" s="48">
        <v>-73401.539999999994</v>
      </c>
      <c r="AC331" s="48">
        <v>-105318.08</v>
      </c>
      <c r="AD331" s="48">
        <v>-109976.79</v>
      </c>
      <c r="AE331" s="48">
        <v>-114235.31</v>
      </c>
      <c r="AF331" s="48">
        <v>-106843.64</v>
      </c>
      <c r="AG331" s="48">
        <v>-129898.87</v>
      </c>
      <c r="AH331" s="48">
        <v>-92375.32</v>
      </c>
      <c r="AI331" s="48">
        <v>-140813.76999999999</v>
      </c>
      <c r="AJ331" s="48">
        <v>-104255.26</v>
      </c>
      <c r="AK331" s="48">
        <v>-108122.77</v>
      </c>
      <c r="AL331" s="48">
        <v>-117340.27</v>
      </c>
      <c r="AM331" s="48">
        <v>-152442.82</v>
      </c>
      <c r="AN331" s="48">
        <v>-53335.29</v>
      </c>
      <c r="AO331" s="48">
        <v>-64896</v>
      </c>
      <c r="AP331" s="48">
        <v>-251247</v>
      </c>
      <c r="AQ331" s="48">
        <v>-128804.96</v>
      </c>
      <c r="AR331" s="48">
        <v>-125329.37</v>
      </c>
      <c r="AS331" s="48">
        <v>-136421.04</v>
      </c>
      <c r="AT331" s="48">
        <v>-123907.31</v>
      </c>
      <c r="AU331" s="48">
        <v>-135357.22</v>
      </c>
      <c r="AV331" s="48">
        <v>-137457.5</v>
      </c>
      <c r="AW331" s="48">
        <v>-134578.29</v>
      </c>
      <c r="AX331" s="48">
        <v>-142395.46</v>
      </c>
      <c r="AY331" s="48">
        <v>-142462.5</v>
      </c>
      <c r="AZ331" s="48">
        <v>-122680.34</v>
      </c>
      <c r="BA331" s="48">
        <v>-157136.6</v>
      </c>
      <c r="BB331" s="48">
        <v>-144678.45000000001</v>
      </c>
      <c r="BC331" s="48">
        <v>-144910.85</v>
      </c>
      <c r="BD331" s="48">
        <v>-167265.69</v>
      </c>
      <c r="BE331" s="48">
        <v>-145218.85999999999</v>
      </c>
      <c r="BF331" s="48">
        <v>-184857.88</v>
      </c>
      <c r="BG331" s="48">
        <v>-196041.13</v>
      </c>
      <c r="BH331" s="48">
        <v>-165184.51999999999</v>
      </c>
      <c r="BI331" s="48">
        <v>-205841.28</v>
      </c>
      <c r="BJ331" s="48">
        <v>-194902.24</v>
      </c>
      <c r="BK331" s="48">
        <v>-220140.94</v>
      </c>
      <c r="BL331" s="48">
        <v>-158427.03</v>
      </c>
      <c r="BM331" s="48">
        <v>-184632.07</v>
      </c>
      <c r="BN331" s="48">
        <v>-169300.81</v>
      </c>
      <c r="BO331" s="48">
        <v>-179693.58</v>
      </c>
      <c r="BP331" s="48">
        <v>-174235.49</v>
      </c>
      <c r="BQ331" s="48">
        <v>-192232.52</v>
      </c>
      <c r="BR331" s="48">
        <v>-191963.02</v>
      </c>
      <c r="BS331" s="48">
        <v>-180327.85</v>
      </c>
      <c r="BT331" s="48">
        <v>-165418.01</v>
      </c>
      <c r="BU331" s="48">
        <v>-193596.05</v>
      </c>
      <c r="BV331" s="48">
        <v>-184015.86</v>
      </c>
      <c r="BW331" s="48">
        <v>-214378.61</v>
      </c>
      <c r="BX331" s="48">
        <v>-155824.56</v>
      </c>
      <c r="BY331" s="48">
        <v>-175927.54</v>
      </c>
      <c r="BZ331" s="48">
        <v>-163386.82</v>
      </c>
      <c r="CA331" s="48">
        <v>-172717.85</v>
      </c>
      <c r="CB331" s="48">
        <v>-152643.1</v>
      </c>
      <c r="CC331" s="48">
        <v>-159767.65</v>
      </c>
      <c r="CD331" s="48">
        <v>-188637.28</v>
      </c>
      <c r="CE331" s="48">
        <v>-180992.77</v>
      </c>
      <c r="CF331" s="48">
        <v>-183345.4</v>
      </c>
      <c r="CG331" s="48">
        <v>-191204.64</v>
      </c>
      <c r="CH331" s="48">
        <v>-190762.13</v>
      </c>
      <c r="CI331" s="48">
        <v>-210948.33</v>
      </c>
      <c r="CJ331" s="48">
        <v>-120239.18</v>
      </c>
      <c r="CK331" s="48">
        <v>-152623.47</v>
      </c>
      <c r="CL331" s="48">
        <v>-137221.20000000001</v>
      </c>
      <c r="CM331" s="48">
        <v>-166256.51999999999</v>
      </c>
      <c r="CN331" s="48">
        <v>-146169.17000000001</v>
      </c>
      <c r="CO331" s="48">
        <v>-173060.12</v>
      </c>
      <c r="CP331" s="48">
        <v>-169948.54</v>
      </c>
      <c r="CQ331" s="48">
        <v>-174850.36</v>
      </c>
      <c r="CR331" s="48">
        <v>-146566.65</v>
      </c>
      <c r="CS331" s="48">
        <v>-181822.82</v>
      </c>
      <c r="CT331" s="48">
        <v>-156461.99</v>
      </c>
      <c r="CU331" s="48">
        <v>-159427.63</v>
      </c>
      <c r="CV331" s="48">
        <v>-185583.45</v>
      </c>
      <c r="CW331" s="48">
        <v>-199886.91</v>
      </c>
      <c r="CX331" s="48">
        <v>-209218.82</v>
      </c>
      <c r="CY331" s="48">
        <v>-266968.24</v>
      </c>
      <c r="CZ331" s="48">
        <v>-191795.92</v>
      </c>
      <c r="DA331" s="48">
        <v>-249895.83</v>
      </c>
      <c r="DB331" s="48">
        <v>-260723.41</v>
      </c>
      <c r="DC331" s="48">
        <v>-260813.39</v>
      </c>
      <c r="DD331" s="48">
        <v>-241950.27</v>
      </c>
      <c r="DE331" s="48">
        <f>VLOOKUP($C331,'[2]Analysis 1'!$C$5:$DG$1025,107,FALSE)</f>
        <v>-219220.08</v>
      </c>
      <c r="DF331" s="48">
        <f>VLOOKUP($C331,'[2]Analysis 1'!$C$5:$DG$1025,108,FALSE)</f>
        <v>-257777.64</v>
      </c>
      <c r="DG331" s="48">
        <f>VLOOKUP($C331,'[2]Analysis 1'!$C$5:$DG$1025,109,FALSE)</f>
        <v>-229538.28</v>
      </c>
      <c r="DH331" s="369">
        <f t="shared" si="11"/>
        <v>-2773372.2399999998</v>
      </c>
    </row>
    <row r="332" spans="1:112">
      <c r="A332" s="357" t="str">
        <f t="shared" si="9"/>
        <v>6799107</v>
      </c>
      <c r="B332" s="350" t="s">
        <v>2132</v>
      </c>
      <c r="C332" s="335" t="s">
        <v>1212</v>
      </c>
      <c r="D332" s="367">
        <v>-22109.05</v>
      </c>
      <c r="E332" s="367">
        <v>-19411.580000000002</v>
      </c>
      <c r="F332" s="367">
        <v>-20349.27</v>
      </c>
      <c r="G332" s="367">
        <v>-17766.98</v>
      </c>
      <c r="H332" s="367">
        <v>-19915.509999999998</v>
      </c>
      <c r="I332" s="367">
        <v>-20375.66</v>
      </c>
      <c r="J332" s="367">
        <v>-11820.04</v>
      </c>
      <c r="K332" s="367">
        <v>-8311.02</v>
      </c>
      <c r="L332" s="367">
        <v>-30187.3</v>
      </c>
      <c r="M332" s="367">
        <v>-29387.31</v>
      </c>
      <c r="N332" s="367">
        <v>-2403.0500000000002</v>
      </c>
      <c r="O332" s="368">
        <v>-20049.77</v>
      </c>
      <c r="P332" s="48">
        <v>-28443.27</v>
      </c>
      <c r="Q332" s="48">
        <v>-15099.03</v>
      </c>
      <c r="R332" s="48">
        <v>-34822.660000000003</v>
      </c>
      <c r="S332" s="48">
        <v>-32518.83</v>
      </c>
      <c r="T332" s="48">
        <v>-35081.43</v>
      </c>
      <c r="U332" s="48">
        <v>-23527.34</v>
      </c>
      <c r="V332" s="48">
        <v>-18593.88</v>
      </c>
      <c r="W332" s="48">
        <v>-24927.35</v>
      </c>
      <c r="X332" s="48">
        <v>-27309.24</v>
      </c>
      <c r="Y332" s="48">
        <v>-37046.449999999997</v>
      </c>
      <c r="Z332" s="48">
        <v>-22864.53</v>
      </c>
      <c r="AA332" s="48">
        <v>-114153.45</v>
      </c>
      <c r="AB332" s="48">
        <v>-14777.14</v>
      </c>
      <c r="AC332" s="48">
        <v>-17738.509999999998</v>
      </c>
      <c r="AD332" s="48">
        <v>-20849.060000000001</v>
      </c>
      <c r="AE332" s="48">
        <v>-21519.57</v>
      </c>
      <c r="AF332" s="48">
        <v>-23882.87</v>
      </c>
      <c r="AG332" s="48">
        <v>-20138.689999999999</v>
      </c>
      <c r="AH332" s="48">
        <v>-21970.93</v>
      </c>
      <c r="AI332" s="48">
        <v>-25698.639999999999</v>
      </c>
      <c r="AJ332" s="48">
        <v>-22827.439999999999</v>
      </c>
      <c r="AK332" s="48">
        <v>-15812.26</v>
      </c>
      <c r="AL332" s="48">
        <v>-25075.279999999999</v>
      </c>
      <c r="AM332" s="48">
        <v>-69892.72</v>
      </c>
      <c r="AN332" s="48">
        <v>-24611.279999999999</v>
      </c>
      <c r="AO332" s="48">
        <v>-19911.18</v>
      </c>
      <c r="AP332" s="48">
        <v>-21927.64</v>
      </c>
      <c r="AQ332" s="48">
        <v>-19332.439999999999</v>
      </c>
      <c r="AR332" s="48">
        <v>-26803.01</v>
      </c>
      <c r="AS332" s="48">
        <v>-21594.47</v>
      </c>
      <c r="AT332" s="48">
        <v>-22277.14</v>
      </c>
      <c r="AU332" s="48">
        <v>-37242.019999999997</v>
      </c>
      <c r="AV332" s="48">
        <v>-40103.08</v>
      </c>
      <c r="AW332" s="48">
        <v>-60949.67</v>
      </c>
      <c r="AX332" s="48">
        <v>-53656.36</v>
      </c>
      <c r="AY332" s="48">
        <v>-100675.93</v>
      </c>
      <c r="AZ332" s="48">
        <v>-107903.33</v>
      </c>
      <c r="BA332" s="48">
        <v>-36878.57</v>
      </c>
      <c r="BB332" s="48">
        <v>-78699.38</v>
      </c>
      <c r="BC332" s="48">
        <v>-36409.660000000003</v>
      </c>
      <c r="BD332" s="48">
        <v>-53988.24</v>
      </c>
      <c r="BE332" s="48">
        <v>-26640.58</v>
      </c>
      <c r="BF332" s="48">
        <v>-64779.59</v>
      </c>
      <c r="BG332" s="48">
        <v>-54345.68</v>
      </c>
      <c r="BH332" s="48">
        <v>-62764.01</v>
      </c>
      <c r="BI332" s="48">
        <v>-79079.77</v>
      </c>
      <c r="BJ332" s="48">
        <v>-76243.83</v>
      </c>
      <c r="BK332" s="48">
        <v>-68519.62</v>
      </c>
      <c r="BL332" s="48">
        <v>-55990.02</v>
      </c>
      <c r="BM332" s="48">
        <v>-51656.639999999999</v>
      </c>
      <c r="BN332" s="48">
        <v>-81576.05</v>
      </c>
      <c r="BO332" s="48">
        <v>-86201.39</v>
      </c>
      <c r="BP332" s="48">
        <v>-62361.82</v>
      </c>
      <c r="BQ332" s="48">
        <v>-71031.03</v>
      </c>
      <c r="BR332" s="48">
        <v>-45012</v>
      </c>
      <c r="BS332" s="48">
        <v>-60433.01</v>
      </c>
      <c r="BT332" s="48">
        <v>-57178.53</v>
      </c>
      <c r="BU332" s="48">
        <v>-56404.86</v>
      </c>
      <c r="BV332" s="48">
        <v>-59661.23</v>
      </c>
      <c r="BW332" s="48">
        <v>-160080.35</v>
      </c>
      <c r="BX332" s="48">
        <v>-48363.4</v>
      </c>
      <c r="BY332" s="48">
        <v>-69311.539999999994</v>
      </c>
      <c r="BZ332" s="48">
        <v>-83944.03</v>
      </c>
      <c r="CA332" s="48">
        <v>-74034.460000000006</v>
      </c>
      <c r="CB332" s="48">
        <v>-26034.04</v>
      </c>
      <c r="CC332" s="48">
        <v>-22464.35</v>
      </c>
      <c r="CD332" s="48">
        <v>-31530.53</v>
      </c>
      <c r="CE332" s="48">
        <v>-29079.3</v>
      </c>
      <c r="CF332" s="48">
        <v>-39439.64</v>
      </c>
      <c r="CG332" s="48">
        <v>-33715.47</v>
      </c>
      <c r="CH332" s="48">
        <v>-167680.49</v>
      </c>
      <c r="CI332" s="48">
        <v>-45584.46</v>
      </c>
      <c r="CJ332" s="48">
        <v>-33131.980000000003</v>
      </c>
      <c r="CK332" s="48">
        <v>-57494.32</v>
      </c>
      <c r="CL332" s="48">
        <v>-95059.68</v>
      </c>
      <c r="CM332" s="48">
        <v>-57313.51</v>
      </c>
      <c r="CN332" s="48">
        <v>-35987.83</v>
      </c>
      <c r="CO332" s="48">
        <v>-53598.27</v>
      </c>
      <c r="CP332" s="48">
        <v>-84787.78</v>
      </c>
      <c r="CQ332" s="48">
        <v>-46793.58</v>
      </c>
      <c r="CR332" s="48">
        <v>-44240.69</v>
      </c>
      <c r="CS332" s="48">
        <v>-45877.45</v>
      </c>
      <c r="CT332" s="48">
        <v>-67319.16</v>
      </c>
      <c r="CU332" s="48">
        <v>-124197.03</v>
      </c>
      <c r="CV332" s="48">
        <v>-40388.959999999999</v>
      </c>
      <c r="CW332" s="48">
        <v>-49880.57</v>
      </c>
      <c r="CX332" s="48">
        <v>-53544.2</v>
      </c>
      <c r="CY332" s="48">
        <v>-50736.58</v>
      </c>
      <c r="CZ332" s="48">
        <v>-49494.15</v>
      </c>
      <c r="DA332" s="48">
        <v>-59425.33</v>
      </c>
      <c r="DB332" s="48">
        <v>-58634.81</v>
      </c>
      <c r="DC332" s="48">
        <v>-62932.23</v>
      </c>
      <c r="DD332" s="48">
        <v>-49747.55</v>
      </c>
      <c r="DE332" s="48">
        <f>VLOOKUP($C332,'[2]Analysis 1'!$C$5:$DG$1025,107,FALSE)</f>
        <v>-59442.59</v>
      </c>
      <c r="DF332" s="48">
        <f>VLOOKUP($C332,'[2]Analysis 1'!$C$5:$DG$1025,108,FALSE)</f>
        <v>-34818.47</v>
      </c>
      <c r="DG332" s="48">
        <f>VLOOKUP($C332,'[2]Analysis 1'!$C$5:$DG$1025,109,FALSE)</f>
        <v>-614751.68000000005</v>
      </c>
      <c r="DH332" s="369">
        <f t="shared" si="11"/>
        <v>-1183797.1200000001</v>
      </c>
    </row>
    <row r="333" spans="1:112">
      <c r="A333" s="357" t="str">
        <f t="shared" si="9"/>
        <v>6799109</v>
      </c>
      <c r="B333" s="350" t="s">
        <v>2134</v>
      </c>
      <c r="C333" s="335" t="s">
        <v>1213</v>
      </c>
      <c r="D333" s="367">
        <v>-189097.83</v>
      </c>
      <c r="E333" s="367">
        <v>-150164.35</v>
      </c>
      <c r="F333" s="367">
        <v>-182380.9</v>
      </c>
      <c r="G333" s="367">
        <v>-182805.08</v>
      </c>
      <c r="H333" s="367">
        <v>-188133.3</v>
      </c>
      <c r="I333" s="367">
        <v>-180890.01</v>
      </c>
      <c r="J333" s="367">
        <v>-166526.09</v>
      </c>
      <c r="K333" s="367">
        <v>-145859.63</v>
      </c>
      <c r="L333" s="367">
        <v>-146154.39000000001</v>
      </c>
      <c r="M333" s="367">
        <v>-162193.01999999999</v>
      </c>
      <c r="N333" s="367">
        <v>-145041.70000000001</v>
      </c>
      <c r="O333" s="368">
        <v>-172196.15</v>
      </c>
      <c r="P333" s="48">
        <v>-201381.9</v>
      </c>
      <c r="Q333" s="48">
        <v>-150726.82</v>
      </c>
      <c r="R333" s="48">
        <v>-239990.11</v>
      </c>
      <c r="S333" s="48">
        <v>-200344.31</v>
      </c>
      <c r="T333" s="48">
        <v>-185005.34</v>
      </c>
      <c r="U333" s="48">
        <v>-224038.61</v>
      </c>
      <c r="V333" s="48">
        <v>-232870.92</v>
      </c>
      <c r="W333" s="48">
        <v>-224199.89</v>
      </c>
      <c r="X333" s="48">
        <v>-188466.95</v>
      </c>
      <c r="Y333" s="48">
        <v>-289462.69</v>
      </c>
      <c r="Z333" s="48">
        <v>-206552.79</v>
      </c>
      <c r="AA333" s="48">
        <v>-216895.41</v>
      </c>
      <c r="AB333" s="48">
        <v>-227509.3</v>
      </c>
      <c r="AC333" s="48">
        <v>-264368.21000000002</v>
      </c>
      <c r="AD333" s="48">
        <v>-311859.99</v>
      </c>
      <c r="AE333" s="48">
        <v>-371221.26</v>
      </c>
      <c r="AF333" s="48">
        <v>-407311.98</v>
      </c>
      <c r="AG333" s="48">
        <v>-491263.27</v>
      </c>
      <c r="AH333" s="48">
        <v>-450455.11</v>
      </c>
      <c r="AI333" s="48">
        <v>-464700.49</v>
      </c>
      <c r="AJ333" s="48">
        <v>-505269.19</v>
      </c>
      <c r="AK333" s="48">
        <v>-563807.19999999995</v>
      </c>
      <c r="AL333" s="48">
        <v>-599144.25</v>
      </c>
      <c r="AM333" s="48">
        <v>-591991.98</v>
      </c>
      <c r="AN333" s="48">
        <v>-587807.35</v>
      </c>
      <c r="AO333" s="48">
        <v>-576494.93999999994</v>
      </c>
      <c r="AP333" s="48">
        <v>-628120.72</v>
      </c>
      <c r="AQ333" s="48">
        <v>-562442.42000000004</v>
      </c>
      <c r="AR333" s="48">
        <v>-626959.75</v>
      </c>
      <c r="AS333" s="48">
        <v>-599464.81000000006</v>
      </c>
      <c r="AT333" s="48">
        <v>-636941.96</v>
      </c>
      <c r="AU333" s="48">
        <v>-691048.21</v>
      </c>
      <c r="AV333" s="48">
        <v>-611567.79</v>
      </c>
      <c r="AW333" s="48">
        <v>-624217.66</v>
      </c>
      <c r="AX333" s="48">
        <v>-644764.4</v>
      </c>
      <c r="AY333" s="48">
        <v>-600223.14</v>
      </c>
      <c r="AZ333" s="48">
        <v>-654207.92000000004</v>
      </c>
      <c r="BA333" s="48">
        <v>-589355.72</v>
      </c>
      <c r="BB333" s="48">
        <v>-682261.66</v>
      </c>
      <c r="BC333" s="48">
        <v>-671939.57</v>
      </c>
      <c r="BD333" s="48">
        <v>-707296.55</v>
      </c>
      <c r="BE333" s="48">
        <v>-696847.65</v>
      </c>
      <c r="BF333" s="48">
        <v>-709588.03</v>
      </c>
      <c r="BG333" s="48">
        <v>-812876.61</v>
      </c>
      <c r="BH333" s="48">
        <v>-773893.34</v>
      </c>
      <c r="BI333" s="48">
        <v>-852288.11</v>
      </c>
      <c r="BJ333" s="48">
        <v>-748793.17</v>
      </c>
      <c r="BK333" s="48">
        <v>-771734.87</v>
      </c>
      <c r="BL333" s="48">
        <v>-911300.17</v>
      </c>
      <c r="BM333" s="48">
        <v>-772515.9</v>
      </c>
      <c r="BN333" s="48">
        <v>-845619.91</v>
      </c>
      <c r="BO333" s="48">
        <v>-855303.79</v>
      </c>
      <c r="BP333" s="48">
        <v>-912438.37</v>
      </c>
      <c r="BQ333" s="48">
        <v>-948328.3</v>
      </c>
      <c r="BR333" s="48">
        <v>-1104471.53</v>
      </c>
      <c r="BS333" s="48">
        <v>-956049</v>
      </c>
      <c r="BT333" s="48">
        <v>-916155.51</v>
      </c>
      <c r="BU333" s="48">
        <v>-1013841.58</v>
      </c>
      <c r="BV333" s="48">
        <v>-929448.75</v>
      </c>
      <c r="BW333" s="48">
        <v>-1074984.6299999999</v>
      </c>
      <c r="BX333" s="48">
        <v>-998300.33</v>
      </c>
      <c r="BY333" s="48">
        <v>-926750.44</v>
      </c>
      <c r="BZ333" s="48">
        <v>-1133508.74</v>
      </c>
      <c r="CA333" s="48">
        <v>-1016728.87</v>
      </c>
      <c r="CB333" s="48">
        <v>-1008968.35</v>
      </c>
      <c r="CC333" s="48">
        <v>-999823.06</v>
      </c>
      <c r="CD333" s="48">
        <v>-1178378.78</v>
      </c>
      <c r="CE333" s="48">
        <v>-1026901.8</v>
      </c>
      <c r="CF333" s="48">
        <v>-1038515.81</v>
      </c>
      <c r="CG333" s="48">
        <v>-1059831.6599999999</v>
      </c>
      <c r="CH333" s="48">
        <v>-961539.11</v>
      </c>
      <c r="CI333" s="48">
        <v>-1063472.6299999999</v>
      </c>
      <c r="CJ333" s="48">
        <v>-1070896.6299999999</v>
      </c>
      <c r="CK333" s="48">
        <v>-1009269.02</v>
      </c>
      <c r="CL333" s="48">
        <v>-1119582.06</v>
      </c>
      <c r="CM333" s="48">
        <v>-1132842.8899999999</v>
      </c>
      <c r="CN333" s="48">
        <v>-1046355.03</v>
      </c>
      <c r="CO333" s="48">
        <v>-983801.94</v>
      </c>
      <c r="CP333" s="48">
        <v>-1011858.99</v>
      </c>
      <c r="CQ333" s="48">
        <v>-1029450.42</v>
      </c>
      <c r="CR333" s="48">
        <v>-1010735.99</v>
      </c>
      <c r="CS333" s="48">
        <v>-1008930.28</v>
      </c>
      <c r="CT333" s="48">
        <v>-1143433.54</v>
      </c>
      <c r="CU333" s="48">
        <v>-1228958.7</v>
      </c>
      <c r="CV333" s="48">
        <v>-1036206.01</v>
      </c>
      <c r="CW333" s="48">
        <v>-1088146.79</v>
      </c>
      <c r="CX333" s="48">
        <v>-1268558.71</v>
      </c>
      <c r="CY333" s="48">
        <v>-1180696.22</v>
      </c>
      <c r="CZ333" s="48">
        <v>-1289257.8600000001</v>
      </c>
      <c r="DA333" s="48">
        <v>-1312907.48</v>
      </c>
      <c r="DB333" s="48">
        <v>-1358459.42</v>
      </c>
      <c r="DC333" s="48">
        <v>-1514698.91</v>
      </c>
      <c r="DD333" s="48">
        <v>-1307189.45</v>
      </c>
      <c r="DE333" s="48">
        <f>VLOOKUP($C333,'[2]Analysis 1'!$C$5:$DG$1025,107,FALSE)</f>
        <v>-1278132.1200000001</v>
      </c>
      <c r="DF333" s="48">
        <f>VLOOKUP($C333,'[2]Analysis 1'!$C$5:$DG$1025,108,FALSE)</f>
        <v>-1410022.44</v>
      </c>
      <c r="DG333" s="48">
        <f>VLOOKUP($C333,'[2]Analysis 1'!$C$5:$DG$1025,109,FALSE)</f>
        <v>-1508503.3</v>
      </c>
      <c r="DH333" s="369">
        <f t="shared" si="11"/>
        <v>-15552778.709999999</v>
      </c>
    </row>
    <row r="334" spans="1:112">
      <c r="A334" s="357" t="str">
        <f t="shared" si="9"/>
        <v>6799200</v>
      </c>
      <c r="B334" s="350" t="s">
        <v>2133</v>
      </c>
      <c r="C334" s="335" t="s">
        <v>1393</v>
      </c>
      <c r="D334" s="367"/>
      <c r="E334" s="367"/>
      <c r="F334" s="367"/>
      <c r="G334" s="367"/>
      <c r="H334" s="367"/>
      <c r="I334" s="367"/>
      <c r="J334" s="367"/>
      <c r="K334" s="367"/>
      <c r="L334" s="367"/>
      <c r="M334" s="367"/>
      <c r="N334" s="367"/>
      <c r="O334" s="368"/>
      <c r="P334" s="48"/>
      <c r="Q334" s="48"/>
      <c r="R334" s="48"/>
      <c r="S334" s="48"/>
      <c r="T334" s="48"/>
      <c r="U334" s="48">
        <v>-2692.32</v>
      </c>
      <c r="V334" s="48">
        <v>-41029.07</v>
      </c>
      <c r="W334" s="48">
        <v>-22454.65</v>
      </c>
      <c r="X334" s="48">
        <v>0</v>
      </c>
      <c r="Y334" s="48">
        <v>-4841.5600000000004</v>
      </c>
      <c r="Z334" s="48">
        <v>-11322.94</v>
      </c>
      <c r="AA334" s="48">
        <v>-16696.18</v>
      </c>
      <c r="AB334" s="48">
        <v>-10044.06</v>
      </c>
      <c r="AC334" s="48">
        <v>-8007.07</v>
      </c>
      <c r="AD334" s="48">
        <v>-20510.61</v>
      </c>
      <c r="AE334" s="48">
        <v>-8858.57</v>
      </c>
      <c r="AF334" s="48">
        <v>-5304.18</v>
      </c>
      <c r="AG334" s="48">
        <v>-22000.57</v>
      </c>
      <c r="AH334" s="48">
        <v>-21356.69</v>
      </c>
      <c r="AI334" s="48">
        <v>-3157.7</v>
      </c>
      <c r="AJ334" s="48">
        <v>-2104.58</v>
      </c>
      <c r="AK334" s="48">
        <v>-6158.65</v>
      </c>
      <c r="AL334" s="48">
        <v>-7324.83</v>
      </c>
      <c r="AM334" s="48">
        <v>-7128.4</v>
      </c>
      <c r="AN334" s="48">
        <v>-3416.85</v>
      </c>
      <c r="AO334" s="48">
        <v>-6576.02</v>
      </c>
      <c r="AP334" s="48">
        <v>-2900.04</v>
      </c>
      <c r="AQ334" s="48">
        <v>-112.17</v>
      </c>
      <c r="AR334" s="48">
        <v>-10912.3</v>
      </c>
      <c r="AS334" s="48">
        <v>-4043.72</v>
      </c>
      <c r="AT334" s="48">
        <v>-5305.79</v>
      </c>
      <c r="AU334" s="48">
        <v>-4728.67</v>
      </c>
      <c r="AV334" s="48">
        <v>-14364.27</v>
      </c>
      <c r="AW334" s="48">
        <v>-16508.47</v>
      </c>
      <c r="AX334" s="48">
        <v>-8787.82</v>
      </c>
      <c r="AY334" s="48">
        <v>-11286.25</v>
      </c>
      <c r="AZ334" s="48">
        <v>-25831.16</v>
      </c>
      <c r="BA334" s="48">
        <v>-30008.63</v>
      </c>
      <c r="BB334" s="48">
        <v>-45293.87</v>
      </c>
      <c r="BC334" s="48">
        <v>-42111.41</v>
      </c>
      <c r="BD334" s="48">
        <v>-36318.32</v>
      </c>
      <c r="BE334" s="48">
        <v>-41362.68</v>
      </c>
      <c r="BF334" s="48">
        <v>-51961.25</v>
      </c>
      <c r="BG334" s="48">
        <v>-63976.21</v>
      </c>
      <c r="BH334" s="48">
        <v>-70044.23</v>
      </c>
      <c r="BI334" s="48">
        <v>-87887.76</v>
      </c>
      <c r="BJ334" s="48">
        <v>-90977.07</v>
      </c>
      <c r="BK334" s="48">
        <v>-148825.29999999999</v>
      </c>
      <c r="BL334" s="48">
        <v>-91991.86</v>
      </c>
      <c r="BM334" s="48">
        <v>-73523.990000000005</v>
      </c>
      <c r="BN334" s="48">
        <v>-65113.62</v>
      </c>
      <c r="BO334" s="48">
        <v>-67375.94</v>
      </c>
      <c r="BP334" s="48">
        <v>-70973.240000000005</v>
      </c>
      <c r="BQ334" s="48">
        <v>-61015.34</v>
      </c>
      <c r="BR334" s="48">
        <v>-61102.23</v>
      </c>
      <c r="BS334" s="48">
        <v>-67805.45</v>
      </c>
      <c r="BT334" s="48">
        <v>-73825.850000000006</v>
      </c>
      <c r="BU334" s="48">
        <v>-57799.55</v>
      </c>
      <c r="BV334" s="48">
        <v>-56142.5</v>
      </c>
      <c r="BW334" s="48">
        <v>-51836.24</v>
      </c>
      <c r="BX334" s="48">
        <v>0</v>
      </c>
      <c r="BY334" s="48">
        <v>0</v>
      </c>
      <c r="BZ334" s="48">
        <v>0</v>
      </c>
      <c r="CA334" s="48">
        <v>0</v>
      </c>
      <c r="CB334" s="48">
        <v>0</v>
      </c>
      <c r="CC334" s="48">
        <v>0</v>
      </c>
      <c r="CD334" s="48">
        <v>0</v>
      </c>
      <c r="CE334" s="48">
        <v>0</v>
      </c>
      <c r="CF334" s="48">
        <v>0</v>
      </c>
      <c r="CG334" s="48">
        <v>0</v>
      </c>
      <c r="CH334" s="48">
        <v>0</v>
      </c>
      <c r="CI334" s="48">
        <v>0</v>
      </c>
      <c r="CJ334" s="48">
        <v>0</v>
      </c>
      <c r="CK334" s="48">
        <v>0</v>
      </c>
      <c r="CL334" s="48">
        <v>0</v>
      </c>
      <c r="CM334" s="48">
        <v>0</v>
      </c>
      <c r="CN334" s="48">
        <v>0</v>
      </c>
      <c r="CO334" s="48">
        <v>0</v>
      </c>
      <c r="CP334" s="48">
        <v>0</v>
      </c>
      <c r="CQ334" s="48">
        <v>0</v>
      </c>
      <c r="CR334" s="48">
        <v>0</v>
      </c>
      <c r="CS334" s="48">
        <v>0</v>
      </c>
      <c r="CT334" s="48">
        <v>0</v>
      </c>
      <c r="CU334" s="48">
        <v>0</v>
      </c>
      <c r="CV334" s="48">
        <v>0</v>
      </c>
      <c r="CW334" s="48">
        <v>0</v>
      </c>
      <c r="CX334" s="48">
        <v>0</v>
      </c>
      <c r="CY334" s="48">
        <v>0</v>
      </c>
      <c r="CZ334" s="48">
        <v>0</v>
      </c>
      <c r="DA334" s="48">
        <v>0</v>
      </c>
      <c r="DB334" s="48">
        <v>0</v>
      </c>
      <c r="DC334" s="48">
        <v>0</v>
      </c>
      <c r="DD334" s="48">
        <v>0</v>
      </c>
      <c r="DE334" s="48">
        <f>VLOOKUP($C334,'[2]Analysis 1'!$C$5:$DG$1025,107,FALSE)</f>
        <v>0</v>
      </c>
      <c r="DF334" s="48">
        <f>VLOOKUP($C334,'[2]Analysis 1'!$C$5:$DG$1025,108,FALSE)</f>
        <v>0</v>
      </c>
      <c r="DG334" s="48">
        <f>VLOOKUP($C334,'[2]Analysis 1'!$C$5:$DG$1025,109,FALSE)</f>
        <v>0</v>
      </c>
      <c r="DH334" s="369">
        <f t="shared" si="11"/>
        <v>0</v>
      </c>
    </row>
    <row r="335" spans="1:112">
      <c r="A335" s="357" t="str">
        <f t="shared" si="9"/>
        <v>6800010</v>
      </c>
      <c r="B335" s="350" t="s">
        <v>2135</v>
      </c>
      <c r="C335" s="335" t="s">
        <v>1214</v>
      </c>
      <c r="D335" s="340">
        <v>147191.46</v>
      </c>
      <c r="E335" s="340">
        <v>150189.5</v>
      </c>
      <c r="F335" s="340">
        <v>150194.57999999999</v>
      </c>
      <c r="G335" s="340">
        <v>150194.63</v>
      </c>
      <c r="H335" s="340">
        <v>150484.89000000001</v>
      </c>
      <c r="I335" s="340">
        <v>150486.68</v>
      </c>
      <c r="J335" s="340">
        <v>150488.16</v>
      </c>
      <c r="K335" s="340">
        <v>148336.57999999999</v>
      </c>
      <c r="L335" s="340">
        <v>154584.12</v>
      </c>
      <c r="M335" s="340">
        <v>154782.59</v>
      </c>
      <c r="N335" s="340">
        <v>154803.57999999999</v>
      </c>
      <c r="O335" s="341">
        <v>154804.53</v>
      </c>
      <c r="P335" s="48">
        <v>154806.53</v>
      </c>
      <c r="Q335" s="48">
        <v>154806.63</v>
      </c>
      <c r="R335" s="48">
        <v>134962.85</v>
      </c>
      <c r="S335" s="48">
        <v>135733.29</v>
      </c>
      <c r="T335" s="48">
        <v>147032.15</v>
      </c>
      <c r="U335" s="48">
        <v>146988.38</v>
      </c>
      <c r="V335" s="48">
        <v>147053.41</v>
      </c>
      <c r="W335" s="48">
        <v>148150.35999999999</v>
      </c>
      <c r="X335" s="48">
        <v>148668.26999999999</v>
      </c>
      <c r="Y335" s="48">
        <v>149307.07999999999</v>
      </c>
      <c r="Z335" s="48">
        <v>148928.76</v>
      </c>
      <c r="AA335" s="48">
        <v>149025.72</v>
      </c>
      <c r="AB335" s="48">
        <v>149157.06</v>
      </c>
      <c r="AC335" s="48">
        <v>149157.44</v>
      </c>
      <c r="AD335" s="48">
        <v>149159.98000000001</v>
      </c>
      <c r="AE335" s="48">
        <v>149093.32999999999</v>
      </c>
      <c r="AF335" s="48">
        <v>149095.4</v>
      </c>
      <c r="AG335" s="48">
        <v>149095.99</v>
      </c>
      <c r="AH335" s="48">
        <v>151055.9</v>
      </c>
      <c r="AI335" s="48">
        <v>158659.17000000001</v>
      </c>
      <c r="AJ335" s="48">
        <v>158665.84</v>
      </c>
      <c r="AK335" s="48">
        <v>158827.91</v>
      </c>
      <c r="AL335" s="48">
        <v>160395.59</v>
      </c>
      <c r="AM335" s="48">
        <v>160906.1</v>
      </c>
      <c r="AN335" s="48">
        <v>155958.22</v>
      </c>
      <c r="AO335" s="48">
        <v>155958.41</v>
      </c>
      <c r="AP335" s="48">
        <v>155959.65</v>
      </c>
      <c r="AQ335" s="48">
        <v>158368.13</v>
      </c>
      <c r="AR335" s="48">
        <v>157782.47</v>
      </c>
      <c r="AS335" s="48">
        <v>157809.01999999999</v>
      </c>
      <c r="AT335" s="48">
        <v>158117.35999999999</v>
      </c>
      <c r="AU335" s="48">
        <v>158131.23000000001</v>
      </c>
      <c r="AV335" s="48">
        <v>158476.85</v>
      </c>
      <c r="AW335" s="48">
        <v>158503.75</v>
      </c>
      <c r="AX335" s="48">
        <v>158595.5</v>
      </c>
      <c r="AY335" s="48">
        <v>158595.15</v>
      </c>
      <c r="AZ335" s="48">
        <v>160184.29999999999</v>
      </c>
      <c r="BA335" s="48">
        <v>160187.41</v>
      </c>
      <c r="BB335" s="48">
        <v>160210.32999999999</v>
      </c>
      <c r="BC335" s="48">
        <v>161347.1</v>
      </c>
      <c r="BD335" s="48">
        <v>161706.65</v>
      </c>
      <c r="BE335" s="48">
        <v>161723.91</v>
      </c>
      <c r="BF335" s="48">
        <v>161648.19</v>
      </c>
      <c r="BG335" s="48">
        <v>163599.94</v>
      </c>
      <c r="BH335" s="48">
        <v>163761.54</v>
      </c>
      <c r="BI335" s="48">
        <v>163948.59</v>
      </c>
      <c r="BJ335" s="48">
        <v>168391.29</v>
      </c>
      <c r="BK335" s="48">
        <v>168590.2</v>
      </c>
      <c r="BL335" s="48">
        <v>175750.58</v>
      </c>
      <c r="BM335" s="48">
        <v>176244.21</v>
      </c>
      <c r="BN335" s="48">
        <v>176111.99</v>
      </c>
      <c r="BO335" s="48">
        <v>176101.6</v>
      </c>
      <c r="BP335" s="48">
        <v>176152.95</v>
      </c>
      <c r="BQ335" s="48">
        <v>172556.62</v>
      </c>
      <c r="BR335" s="48">
        <v>172563.25</v>
      </c>
      <c r="BS335" s="48">
        <v>172487.48</v>
      </c>
      <c r="BT335" s="48">
        <v>172554.12</v>
      </c>
      <c r="BU335" s="48">
        <v>178817.54</v>
      </c>
      <c r="BV335" s="48">
        <v>179457.42</v>
      </c>
      <c r="BW335" s="48">
        <v>180492.46</v>
      </c>
      <c r="BX335" s="48">
        <v>186368.99</v>
      </c>
      <c r="BY335" s="48">
        <v>184231.94</v>
      </c>
      <c r="BZ335" s="48">
        <v>185353.5</v>
      </c>
      <c r="CA335" s="48">
        <v>184520.25</v>
      </c>
      <c r="CB335" s="48">
        <v>184391.25</v>
      </c>
      <c r="CC335" s="48">
        <v>184507.58</v>
      </c>
      <c r="CD335" s="48">
        <v>185260.31</v>
      </c>
      <c r="CE335" s="48">
        <v>185376.15</v>
      </c>
      <c r="CF335" s="48">
        <v>183665.84</v>
      </c>
      <c r="CG335" s="48">
        <v>183812.57</v>
      </c>
      <c r="CH335" s="48">
        <v>274286.36</v>
      </c>
      <c r="CI335" s="48">
        <v>274706.28999999998</v>
      </c>
      <c r="CJ335" s="48">
        <v>270651.27</v>
      </c>
      <c r="CK335" s="48">
        <v>270886.17</v>
      </c>
      <c r="CL335" s="48">
        <v>271218.26</v>
      </c>
      <c r="CM335" s="48">
        <v>285406.7</v>
      </c>
      <c r="CN335" s="48">
        <v>301060.37</v>
      </c>
      <c r="CO335" s="48">
        <v>302455.27</v>
      </c>
      <c r="CP335" s="48">
        <v>303895.84999999998</v>
      </c>
      <c r="CQ335" s="48">
        <v>305319.11</v>
      </c>
      <c r="CR335" s="48">
        <v>305870.89</v>
      </c>
      <c r="CS335" s="48">
        <v>306026.75</v>
      </c>
      <c r="CT335" s="48">
        <v>306171.98</v>
      </c>
      <c r="CU335" s="48">
        <v>306369.34999999998</v>
      </c>
      <c r="CV335" s="48">
        <v>306480.17</v>
      </c>
      <c r="CW335" s="48">
        <v>306715.53999999998</v>
      </c>
      <c r="CX335" s="48">
        <v>339061.6</v>
      </c>
      <c r="CY335" s="48">
        <v>339744.77</v>
      </c>
      <c r="CZ335" s="48">
        <v>339862.64</v>
      </c>
      <c r="DA335" s="48">
        <v>340197.19</v>
      </c>
      <c r="DB335" s="48">
        <v>339366.82</v>
      </c>
      <c r="DC335" s="48">
        <v>339490.01</v>
      </c>
      <c r="DD335" s="48">
        <v>339472.62</v>
      </c>
      <c r="DE335" s="48">
        <f>VLOOKUP($C335,'[2]Analysis 1'!$C$5:$DG$1025,107,FALSE)</f>
        <v>339739.91</v>
      </c>
      <c r="DF335" s="48">
        <f>VLOOKUP($C335,'[2]Analysis 1'!$C$5:$DG$1025,108,FALSE)</f>
        <v>339859.61</v>
      </c>
      <c r="DG335" s="48">
        <f>VLOOKUP($C335,'[2]Analysis 1'!$C$5:$DG$1025,109,FALSE)</f>
        <v>343378.44</v>
      </c>
      <c r="DH335" s="369">
        <f t="shared" si="11"/>
        <v>4013369.3200000003</v>
      </c>
    </row>
    <row r="336" spans="1:112">
      <c r="A336" s="357" t="str">
        <f t="shared" si="9"/>
        <v>6800040</v>
      </c>
      <c r="B336" s="350" t="s">
        <v>2136</v>
      </c>
      <c r="C336" s="335" t="s">
        <v>1215</v>
      </c>
      <c r="D336" s="340">
        <v>12428.82</v>
      </c>
      <c r="E336" s="340">
        <v>12428.82</v>
      </c>
      <c r="F336" s="340">
        <v>12428.82</v>
      </c>
      <c r="G336" s="340">
        <v>12428.82</v>
      </c>
      <c r="H336" s="340">
        <v>12428.82</v>
      </c>
      <c r="I336" s="340">
        <v>12428.82</v>
      </c>
      <c r="J336" s="340">
        <v>12428.82</v>
      </c>
      <c r="K336" s="340">
        <v>12428.82</v>
      </c>
      <c r="L336" s="340">
        <v>12428.82</v>
      </c>
      <c r="M336" s="340">
        <v>12428.82</v>
      </c>
      <c r="N336" s="340">
        <v>12428.82</v>
      </c>
      <c r="O336" s="341">
        <v>12428.82</v>
      </c>
      <c r="P336" s="48">
        <v>12428.82</v>
      </c>
      <c r="Q336" s="48">
        <v>12428.82</v>
      </c>
      <c r="R336" s="48">
        <v>12428.82</v>
      </c>
      <c r="S336" s="48">
        <v>12428.82</v>
      </c>
      <c r="T336" s="48">
        <v>12428.82</v>
      </c>
      <c r="U336" s="48">
        <v>12428.82</v>
      </c>
      <c r="V336" s="48">
        <v>12428.82</v>
      </c>
      <c r="W336" s="48">
        <v>12428.82</v>
      </c>
      <c r="X336" s="48">
        <v>12428.82</v>
      </c>
      <c r="Y336" s="48">
        <v>12428.82</v>
      </c>
      <c r="Z336" s="48">
        <v>12428.82</v>
      </c>
      <c r="AA336" s="48">
        <v>12428.82</v>
      </c>
      <c r="AB336" s="48">
        <v>12428.82</v>
      </c>
      <c r="AC336" s="48">
        <v>12428.82</v>
      </c>
      <c r="AD336" s="48">
        <v>12428.82</v>
      </c>
      <c r="AE336" s="48">
        <v>12428.82</v>
      </c>
      <c r="AF336" s="48">
        <v>12428.82</v>
      </c>
      <c r="AG336" s="48">
        <v>12428.82</v>
      </c>
      <c r="AH336" s="48">
        <v>12428.82</v>
      </c>
      <c r="AI336" s="48">
        <v>12428.82</v>
      </c>
      <c r="AJ336" s="48">
        <v>12428.82</v>
      </c>
      <c r="AK336" s="48">
        <v>12428.82</v>
      </c>
      <c r="AL336" s="48">
        <v>12428.82</v>
      </c>
      <c r="AM336" s="48">
        <v>12428.82</v>
      </c>
      <c r="AN336" s="48">
        <v>12428.82</v>
      </c>
      <c r="AO336" s="48">
        <v>12428.82</v>
      </c>
      <c r="AP336" s="48">
        <v>12428.82</v>
      </c>
      <c r="AQ336" s="48">
        <v>12428.82</v>
      </c>
      <c r="AR336" s="48">
        <v>12428.82</v>
      </c>
      <c r="AS336" s="48">
        <v>12428.82</v>
      </c>
      <c r="AT336" s="48">
        <v>12428.82</v>
      </c>
      <c r="AU336" s="48">
        <v>12428.82</v>
      </c>
      <c r="AV336" s="48">
        <v>12428.82</v>
      </c>
      <c r="AW336" s="48">
        <v>12428.82</v>
      </c>
      <c r="AX336" s="48">
        <v>12428.82</v>
      </c>
      <c r="AY336" s="48">
        <v>12428.82</v>
      </c>
      <c r="AZ336" s="48">
        <v>12428.82</v>
      </c>
      <c r="BA336" s="48">
        <v>12428.82</v>
      </c>
      <c r="BB336" s="48">
        <v>12428.82</v>
      </c>
      <c r="BC336" s="48">
        <v>12428.82</v>
      </c>
      <c r="BD336" s="48">
        <v>12428.82</v>
      </c>
      <c r="BE336" s="48">
        <v>12428.82</v>
      </c>
      <c r="BF336" s="48">
        <v>12428.82</v>
      </c>
      <c r="BG336" s="48">
        <v>12428.82</v>
      </c>
      <c r="BH336" s="48">
        <v>12428.82</v>
      </c>
      <c r="BI336" s="48">
        <v>12428.82</v>
      </c>
      <c r="BJ336" s="48">
        <v>12428.82</v>
      </c>
      <c r="BK336" s="48">
        <v>12428.82</v>
      </c>
      <c r="BL336" s="48">
        <v>12428.82</v>
      </c>
      <c r="BM336" s="48">
        <v>12428.82</v>
      </c>
      <c r="BN336" s="48">
        <v>12428.82</v>
      </c>
      <c r="BO336" s="48">
        <v>12428.82</v>
      </c>
      <c r="BP336" s="48">
        <v>12428.82</v>
      </c>
      <c r="BQ336" s="48">
        <v>12428.82</v>
      </c>
      <c r="BR336" s="48">
        <v>12428.82</v>
      </c>
      <c r="BS336" s="48">
        <v>12428.82</v>
      </c>
      <c r="BT336" s="48">
        <v>12428.82</v>
      </c>
      <c r="BU336" s="48">
        <v>12428.82</v>
      </c>
      <c r="BV336" s="48">
        <v>12428.82</v>
      </c>
      <c r="BW336" s="48">
        <v>12428.82</v>
      </c>
      <c r="BX336" s="48">
        <v>12428.82</v>
      </c>
      <c r="BY336" s="48">
        <v>12428.82</v>
      </c>
      <c r="BZ336" s="48">
        <v>12428.82</v>
      </c>
      <c r="CA336" s="48">
        <v>12428.82</v>
      </c>
      <c r="CB336" s="48">
        <v>12428.82</v>
      </c>
      <c r="CC336" s="48">
        <v>12428.82</v>
      </c>
      <c r="CD336" s="48">
        <v>12428.82</v>
      </c>
      <c r="CE336" s="48">
        <v>12428.82</v>
      </c>
      <c r="CF336" s="48">
        <v>12428.82</v>
      </c>
      <c r="CG336" s="48">
        <v>5949.73</v>
      </c>
      <c r="CH336" s="48">
        <v>5949.73</v>
      </c>
      <c r="CI336" s="48">
        <v>5949.73</v>
      </c>
      <c r="CJ336" s="48">
        <v>5949.73</v>
      </c>
      <c r="CK336" s="48">
        <v>5949.73</v>
      </c>
      <c r="CL336" s="48">
        <v>5949.73</v>
      </c>
      <c r="CM336" s="48">
        <v>5949.73</v>
      </c>
      <c r="CN336" s="48">
        <v>5949.73</v>
      </c>
      <c r="CO336" s="48">
        <v>5949.73</v>
      </c>
      <c r="CP336" s="48">
        <v>5949.73</v>
      </c>
      <c r="CQ336" s="48">
        <v>-687.37</v>
      </c>
      <c r="CR336" s="48">
        <v>0</v>
      </c>
      <c r="CS336" s="48">
        <v>0</v>
      </c>
      <c r="CT336" s="48">
        <v>0</v>
      </c>
      <c r="CU336" s="48">
        <v>0</v>
      </c>
      <c r="CV336" s="48">
        <v>0</v>
      </c>
      <c r="CW336" s="48">
        <v>0</v>
      </c>
      <c r="CX336" s="48">
        <v>0</v>
      </c>
      <c r="CY336" s="48">
        <v>0</v>
      </c>
      <c r="CZ336" s="48">
        <v>0</v>
      </c>
      <c r="DA336" s="48">
        <v>0</v>
      </c>
      <c r="DB336" s="48">
        <v>0</v>
      </c>
      <c r="DC336" s="48">
        <v>0</v>
      </c>
      <c r="DD336" s="48">
        <v>0</v>
      </c>
      <c r="DE336" s="48">
        <f>VLOOKUP($C336,'[2]Analysis 1'!$C$5:$DG$1025,107,FALSE)</f>
        <v>0</v>
      </c>
      <c r="DF336" s="48">
        <f>VLOOKUP($C336,'[2]Analysis 1'!$C$5:$DG$1025,108,FALSE)</f>
        <v>0</v>
      </c>
      <c r="DG336" s="48">
        <f>VLOOKUP($C336,'[2]Analysis 1'!$C$5:$DG$1025,109,FALSE)</f>
        <v>0</v>
      </c>
      <c r="DH336" s="369">
        <f t="shared" si="11"/>
        <v>0</v>
      </c>
    </row>
    <row r="337" spans="1:112">
      <c r="A337" s="357" t="str">
        <f t="shared" si="9"/>
        <v>6800050</v>
      </c>
      <c r="B337" s="350" t="s">
        <v>1274</v>
      </c>
      <c r="C337" s="335" t="s">
        <v>1216</v>
      </c>
      <c r="D337" s="367">
        <v>53333</v>
      </c>
      <c r="E337" s="367">
        <v>53333</v>
      </c>
      <c r="F337" s="367">
        <v>53333</v>
      </c>
      <c r="G337" s="367">
        <v>53333</v>
      </c>
      <c r="H337" s="367">
        <v>53333</v>
      </c>
      <c r="I337" s="367">
        <v>53333</v>
      </c>
      <c r="J337" s="367">
        <v>53333</v>
      </c>
      <c r="K337" s="367">
        <v>53333</v>
      </c>
      <c r="L337" s="367">
        <v>53333</v>
      </c>
      <c r="M337" s="367">
        <v>53333</v>
      </c>
      <c r="N337" s="367">
        <v>53333</v>
      </c>
      <c r="O337" s="368">
        <v>53333</v>
      </c>
      <c r="P337" s="48">
        <v>53333</v>
      </c>
      <c r="Q337" s="48">
        <v>53333</v>
      </c>
      <c r="R337" s="48">
        <v>53333</v>
      </c>
      <c r="S337" s="48">
        <v>53333</v>
      </c>
      <c r="T337" s="48">
        <v>53333</v>
      </c>
      <c r="U337" s="48">
        <v>53333</v>
      </c>
      <c r="V337" s="48">
        <v>53333</v>
      </c>
      <c r="W337" s="48">
        <v>53333</v>
      </c>
      <c r="X337" s="48">
        <v>53333</v>
      </c>
      <c r="Y337" s="48">
        <v>53333</v>
      </c>
      <c r="Z337" s="48">
        <v>53333</v>
      </c>
      <c r="AA337" s="48">
        <v>53333</v>
      </c>
      <c r="AB337" s="48">
        <v>53333</v>
      </c>
      <c r="AC337" s="48">
        <v>53333</v>
      </c>
      <c r="AD337" s="48">
        <v>53333</v>
      </c>
      <c r="AE337" s="48">
        <v>53333</v>
      </c>
      <c r="AF337" s="48">
        <v>53333</v>
      </c>
      <c r="AG337" s="48">
        <v>53333</v>
      </c>
      <c r="AH337" s="48">
        <v>53333</v>
      </c>
      <c r="AI337" s="48">
        <v>53333</v>
      </c>
      <c r="AJ337" s="48">
        <v>53333</v>
      </c>
      <c r="AK337" s="48">
        <v>53333</v>
      </c>
      <c r="AL337" s="48">
        <v>53333</v>
      </c>
      <c r="AM337" s="48">
        <v>16053333</v>
      </c>
      <c r="AN337" s="48">
        <v>470000</v>
      </c>
      <c r="AO337" s="48">
        <v>470000</v>
      </c>
      <c r="AP337" s="48">
        <v>470000</v>
      </c>
      <c r="AQ337" s="48">
        <v>470000</v>
      </c>
      <c r="AR337" s="48">
        <v>470000</v>
      </c>
      <c r="AS337" s="48">
        <v>470000</v>
      </c>
      <c r="AT337" s="48">
        <v>470000</v>
      </c>
      <c r="AU337" s="48">
        <v>470000</v>
      </c>
      <c r="AV337" s="48">
        <v>470000</v>
      </c>
      <c r="AW337" s="48">
        <v>470000</v>
      </c>
      <c r="AX337" s="48">
        <v>470000</v>
      </c>
      <c r="AY337" s="48">
        <v>-755743</v>
      </c>
      <c r="AZ337" s="48">
        <v>0</v>
      </c>
      <c r="BA337" s="48">
        <v>583333.34</v>
      </c>
      <c r="BB337" s="48">
        <v>2916666.68</v>
      </c>
      <c r="BC337" s="48">
        <v>0</v>
      </c>
      <c r="BD337" s="48">
        <v>0</v>
      </c>
      <c r="BE337" s="48">
        <v>0</v>
      </c>
      <c r="BF337" s="48">
        <v>0</v>
      </c>
      <c r="BG337" s="48">
        <v>0</v>
      </c>
      <c r="BH337" s="48">
        <v>6517958</v>
      </c>
      <c r="BI337" s="48">
        <v>463895</v>
      </c>
      <c r="BJ337" s="48">
        <v>463895</v>
      </c>
      <c r="BK337" s="48">
        <v>0</v>
      </c>
      <c r="BL337" s="48">
        <v>0</v>
      </c>
      <c r="BM337" s="48">
        <v>0</v>
      </c>
      <c r="BN337" s="48">
        <v>0</v>
      </c>
      <c r="BO337" s="48">
        <v>0</v>
      </c>
      <c r="BP337" s="48">
        <v>0</v>
      </c>
      <c r="BQ337" s="48">
        <v>0</v>
      </c>
      <c r="BR337" s="48">
        <v>0</v>
      </c>
      <c r="BS337" s="48">
        <v>0</v>
      </c>
      <c r="BT337" s="48">
        <v>0</v>
      </c>
      <c r="BU337" s="48">
        <v>0</v>
      </c>
      <c r="BV337" s="48">
        <v>0</v>
      </c>
      <c r="BW337" s="48">
        <v>0</v>
      </c>
      <c r="BX337" s="48">
        <v>0</v>
      </c>
      <c r="BY337" s="48">
        <v>0</v>
      </c>
      <c r="BZ337" s="48">
        <v>0</v>
      </c>
      <c r="CA337" s="48">
        <v>0</v>
      </c>
      <c r="CB337" s="48">
        <v>0</v>
      </c>
      <c r="CC337" s="48">
        <v>0</v>
      </c>
      <c r="CD337" s="48">
        <v>0</v>
      </c>
      <c r="CE337" s="48">
        <v>0</v>
      </c>
      <c r="CF337" s="48">
        <v>0</v>
      </c>
      <c r="CG337" s="48">
        <v>0</v>
      </c>
      <c r="CH337" s="48">
        <v>0</v>
      </c>
      <c r="CI337" s="48">
        <v>0</v>
      </c>
      <c r="CJ337" s="48">
        <v>83333.33</v>
      </c>
      <c r="CK337" s="48">
        <v>83333.33</v>
      </c>
      <c r="CL337" s="48">
        <v>83333.33</v>
      </c>
      <c r="CM337" s="48">
        <v>83333.33</v>
      </c>
      <c r="CN337" s="48">
        <v>83333.33</v>
      </c>
      <c r="CO337" s="48">
        <v>83333.33</v>
      </c>
      <c r="CP337" s="48">
        <v>83333.33</v>
      </c>
      <c r="CQ337" s="48">
        <v>83333.33</v>
      </c>
      <c r="CR337" s="48">
        <v>83333.33</v>
      </c>
      <c r="CS337" s="48">
        <v>83333.33</v>
      </c>
      <c r="CT337" s="48">
        <v>83333.33</v>
      </c>
      <c r="CU337" s="48">
        <v>83333.33</v>
      </c>
      <c r="CV337" s="48">
        <v>83333.33</v>
      </c>
      <c r="CW337" s="48">
        <v>83333.33</v>
      </c>
      <c r="CX337" s="48">
        <v>83333.33</v>
      </c>
      <c r="CY337" s="48">
        <v>83333.33</v>
      </c>
      <c r="CZ337" s="48">
        <v>83333.33</v>
      </c>
      <c r="DA337" s="48">
        <v>83333.33</v>
      </c>
      <c r="DB337" s="48">
        <v>83333.33</v>
      </c>
      <c r="DC337" s="48">
        <v>83333.33</v>
      </c>
      <c r="DD337" s="48">
        <v>83333.33</v>
      </c>
      <c r="DE337" s="48">
        <f>VLOOKUP($C337,'[2]Analysis 1'!$C$5:$DG$1025,107,FALSE)</f>
        <v>83333.33</v>
      </c>
      <c r="DF337" s="48">
        <f>VLOOKUP($C337,'[2]Analysis 1'!$C$5:$DG$1025,108,FALSE)</f>
        <v>83333.33</v>
      </c>
      <c r="DG337" s="48">
        <f>VLOOKUP($C337,'[2]Analysis 1'!$C$5:$DG$1025,109,FALSE)</f>
        <v>83333.33</v>
      </c>
      <c r="DH337" s="369">
        <f t="shared" si="11"/>
        <v>999999.95999999985</v>
      </c>
    </row>
    <row r="338" spans="1:112">
      <c r="A338" s="357" t="str">
        <f>+B338</f>
        <v>6800100</v>
      </c>
      <c r="B338" s="350" t="s">
        <v>2386</v>
      </c>
      <c r="C338" s="335" t="s">
        <v>2387</v>
      </c>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48"/>
      <c r="BU338" s="48">
        <v>35086.79</v>
      </c>
      <c r="BV338" s="48">
        <v>-35086.79</v>
      </c>
      <c r="BW338" s="48">
        <v>0</v>
      </c>
      <c r="BX338" s="48">
        <v>0</v>
      </c>
      <c r="BY338" s="48">
        <v>0</v>
      </c>
      <c r="BZ338" s="48">
        <v>0</v>
      </c>
      <c r="CA338" s="48">
        <v>0</v>
      </c>
      <c r="CB338" s="48">
        <v>0</v>
      </c>
      <c r="CC338" s="48">
        <v>0</v>
      </c>
      <c r="CD338" s="48">
        <v>0</v>
      </c>
      <c r="CE338" s="48">
        <v>0</v>
      </c>
      <c r="CF338" s="48">
        <v>0</v>
      </c>
      <c r="CG338" s="48">
        <v>0</v>
      </c>
      <c r="CH338" s="48">
        <v>0</v>
      </c>
      <c r="CI338" s="48">
        <v>0</v>
      </c>
      <c r="CJ338" s="48">
        <v>0</v>
      </c>
      <c r="CK338" s="48">
        <v>0</v>
      </c>
      <c r="CL338" s="48">
        <v>0</v>
      </c>
      <c r="CM338" s="48">
        <v>0</v>
      </c>
      <c r="CN338" s="48">
        <v>0</v>
      </c>
      <c r="CO338" s="48">
        <v>0</v>
      </c>
      <c r="CP338" s="48">
        <v>0</v>
      </c>
      <c r="CQ338" s="48">
        <v>0</v>
      </c>
      <c r="CR338" s="48">
        <v>0</v>
      </c>
      <c r="CS338" s="48">
        <v>0</v>
      </c>
      <c r="CT338" s="48">
        <v>0</v>
      </c>
      <c r="CU338" s="48">
        <v>0</v>
      </c>
      <c r="CV338" s="48">
        <v>0</v>
      </c>
      <c r="CW338" s="48">
        <v>0</v>
      </c>
      <c r="CX338" s="48">
        <v>0</v>
      </c>
      <c r="CY338" s="48">
        <v>0</v>
      </c>
      <c r="CZ338" s="48">
        <v>0</v>
      </c>
      <c r="DA338" s="48">
        <v>0</v>
      </c>
      <c r="DB338" s="48">
        <v>0</v>
      </c>
      <c r="DC338" s="48">
        <v>0</v>
      </c>
      <c r="DD338" s="48">
        <v>0</v>
      </c>
      <c r="DE338" s="48">
        <f>VLOOKUP($C338,'[2]Analysis 1'!$C$5:$DG$1025,107,FALSE)</f>
        <v>0</v>
      </c>
      <c r="DF338" s="48">
        <f>VLOOKUP($C338,'[2]Analysis 1'!$C$5:$DG$1025,108,FALSE)</f>
        <v>0</v>
      </c>
      <c r="DG338" s="48">
        <f>VLOOKUP($C338,'[2]Analysis 1'!$C$5:$DG$1025,109,FALSE)</f>
        <v>0</v>
      </c>
      <c r="DH338" s="369">
        <f t="shared" si="11"/>
        <v>0</v>
      </c>
    </row>
    <row r="339" spans="1:112">
      <c r="A339" s="357" t="str">
        <f>+B339</f>
        <v>6809000</v>
      </c>
      <c r="B339" s="350" t="s">
        <v>2388</v>
      </c>
      <c r="C339" s="335" t="s">
        <v>2389</v>
      </c>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L339" s="48"/>
      <c r="BM339" s="48"/>
      <c r="BN339" s="48"/>
      <c r="BO339" s="48"/>
      <c r="BP339" s="48"/>
      <c r="BQ339" s="48"/>
      <c r="BR339" s="48"/>
      <c r="BS339" s="48"/>
      <c r="BT339" s="48"/>
      <c r="BU339" s="48">
        <v>-35086.79</v>
      </c>
      <c r="BV339" s="48">
        <v>35086.79</v>
      </c>
      <c r="BW339" s="48">
        <v>0</v>
      </c>
      <c r="BX339" s="48">
        <v>0</v>
      </c>
      <c r="BY339" s="48">
        <v>0</v>
      </c>
      <c r="BZ339" s="48">
        <v>0</v>
      </c>
      <c r="CA339" s="48">
        <v>0</v>
      </c>
      <c r="CB339" s="48">
        <v>0</v>
      </c>
      <c r="CC339" s="48">
        <v>0</v>
      </c>
      <c r="CD339" s="48">
        <v>0</v>
      </c>
      <c r="CE339" s="48">
        <v>0</v>
      </c>
      <c r="CF339" s="48">
        <v>0</v>
      </c>
      <c r="CG339" s="48">
        <v>0</v>
      </c>
      <c r="CH339" s="48">
        <v>0</v>
      </c>
      <c r="CI339" s="48">
        <v>0</v>
      </c>
      <c r="CJ339" s="48">
        <v>0</v>
      </c>
      <c r="CK339" s="48">
        <v>0</v>
      </c>
      <c r="CL339" s="48">
        <v>0</v>
      </c>
      <c r="CM339" s="48">
        <v>0</v>
      </c>
      <c r="CN339" s="48">
        <v>0</v>
      </c>
      <c r="CO339" s="48">
        <v>0</v>
      </c>
      <c r="CP339" s="48">
        <v>0</v>
      </c>
      <c r="CQ339" s="48">
        <v>0</v>
      </c>
      <c r="CR339" s="48">
        <v>0</v>
      </c>
      <c r="CS339" s="48">
        <v>0</v>
      </c>
      <c r="CT339" s="48">
        <v>0</v>
      </c>
      <c r="CU339" s="48">
        <v>0</v>
      </c>
      <c r="CV339" s="48">
        <v>0</v>
      </c>
      <c r="CW339" s="48">
        <v>0</v>
      </c>
      <c r="CX339" s="48">
        <v>0</v>
      </c>
      <c r="CY339" s="48">
        <v>0</v>
      </c>
      <c r="CZ339" s="48">
        <v>0</v>
      </c>
      <c r="DA339" s="48">
        <v>0</v>
      </c>
      <c r="DB339" s="48">
        <v>0</v>
      </c>
      <c r="DC339" s="48">
        <v>0</v>
      </c>
      <c r="DD339" s="48">
        <v>0</v>
      </c>
      <c r="DE339" s="48">
        <f>VLOOKUP($C339,'[2]Analysis 1'!$C$5:$DG$1025,107,FALSE)</f>
        <v>0</v>
      </c>
      <c r="DF339" s="48">
        <f>VLOOKUP($C339,'[2]Analysis 1'!$C$5:$DG$1025,108,FALSE)</f>
        <v>0</v>
      </c>
      <c r="DG339" s="48">
        <f>VLOOKUP($C339,'[2]Analysis 1'!$C$5:$DG$1025,109,FALSE)</f>
        <v>0</v>
      </c>
      <c r="DH339" s="369">
        <f t="shared" si="11"/>
        <v>0</v>
      </c>
    </row>
    <row r="340" spans="1:112">
      <c r="A340" s="357" t="str">
        <f t="shared" si="9"/>
        <v>6810010</v>
      </c>
      <c r="B340" s="350" t="s">
        <v>2137</v>
      </c>
      <c r="C340" s="335" t="s">
        <v>1217</v>
      </c>
      <c r="D340" s="367">
        <v>4224895.26</v>
      </c>
      <c r="E340" s="367">
        <v>4185779.14</v>
      </c>
      <c r="F340" s="367">
        <v>4191196.42</v>
      </c>
      <c r="G340" s="367">
        <v>4196298.99</v>
      </c>
      <c r="H340" s="367">
        <v>4212094.55</v>
      </c>
      <c r="I340" s="367">
        <v>4222655.87</v>
      </c>
      <c r="J340" s="367">
        <v>4232059.4800000004</v>
      </c>
      <c r="K340" s="367">
        <v>4262661.43</v>
      </c>
      <c r="L340" s="367">
        <v>4277694.4000000004</v>
      </c>
      <c r="M340" s="367">
        <v>4291526.7300000004</v>
      </c>
      <c r="N340" s="367">
        <v>4318799.1100000003</v>
      </c>
      <c r="O340" s="368">
        <v>4336471.91</v>
      </c>
      <c r="P340" s="48">
        <v>4430283.71</v>
      </c>
      <c r="Q340" s="48">
        <v>4378665.71</v>
      </c>
      <c r="R340" s="48">
        <v>4379435.84</v>
      </c>
      <c r="S340" s="48">
        <v>4391615.12</v>
      </c>
      <c r="T340" s="48">
        <v>4411311.6100000003</v>
      </c>
      <c r="U340" s="48">
        <v>4431205.87</v>
      </c>
      <c r="V340" s="48">
        <v>4476925.3499999996</v>
      </c>
      <c r="W340" s="48">
        <v>4488349.9000000004</v>
      </c>
      <c r="X340" s="48">
        <v>4500464.3600000003</v>
      </c>
      <c r="Y340" s="48">
        <v>4519428.87</v>
      </c>
      <c r="Z340" s="48">
        <v>4536882.1100000003</v>
      </c>
      <c r="AA340" s="48">
        <v>4562485.3</v>
      </c>
      <c r="AB340" s="48">
        <v>4595012.33</v>
      </c>
      <c r="AC340" s="48">
        <v>4630409.0599999996</v>
      </c>
      <c r="AD340" s="48">
        <v>4648217.08</v>
      </c>
      <c r="AE340" s="48">
        <v>4666475.21</v>
      </c>
      <c r="AF340" s="48">
        <v>4685767.54</v>
      </c>
      <c r="AG340" s="48">
        <v>4697735.12</v>
      </c>
      <c r="AH340" s="48">
        <v>4832869.8499999996</v>
      </c>
      <c r="AI340" s="48">
        <v>4694245.7699999996</v>
      </c>
      <c r="AJ340" s="48">
        <v>4792246.45</v>
      </c>
      <c r="AK340" s="48">
        <v>4789762.08</v>
      </c>
      <c r="AL340" s="48">
        <v>4839191.68</v>
      </c>
      <c r="AM340" s="48">
        <v>-11543387.310000001</v>
      </c>
      <c r="AN340" s="48">
        <v>3455096.72</v>
      </c>
      <c r="AO340" s="48">
        <v>3496565.79</v>
      </c>
      <c r="AP340" s="48">
        <v>3501075.51</v>
      </c>
      <c r="AQ340" s="48">
        <v>3505109.32</v>
      </c>
      <c r="AR340" s="48">
        <v>3505145.38</v>
      </c>
      <c r="AS340" s="48">
        <v>3521399.73</v>
      </c>
      <c r="AT340" s="48">
        <v>3535183.23</v>
      </c>
      <c r="AU340" s="48">
        <v>3550461.63</v>
      </c>
      <c r="AV340" s="48">
        <v>3569379.77</v>
      </c>
      <c r="AW340" s="48">
        <v>3605793.55</v>
      </c>
      <c r="AX340" s="48">
        <v>3624645.6</v>
      </c>
      <c r="AY340" s="48">
        <v>3637384.83</v>
      </c>
      <c r="AZ340" s="48">
        <v>3661059.86</v>
      </c>
      <c r="BA340" s="48">
        <v>3690800.04</v>
      </c>
      <c r="BB340" s="48">
        <v>3707651.2</v>
      </c>
      <c r="BC340" s="48">
        <v>3728141.11</v>
      </c>
      <c r="BD340" s="48">
        <v>3742644.69</v>
      </c>
      <c r="BE340" s="48">
        <v>3764641.05</v>
      </c>
      <c r="BF340" s="48">
        <v>3783217.4</v>
      </c>
      <c r="BG340" s="48">
        <v>3801249.38</v>
      </c>
      <c r="BH340" s="48">
        <v>3841773.51</v>
      </c>
      <c r="BI340" s="48">
        <v>3826813.45</v>
      </c>
      <c r="BJ340" s="48">
        <v>3867414.58</v>
      </c>
      <c r="BK340" s="48">
        <v>3904767.59</v>
      </c>
      <c r="BL340" s="48">
        <v>2934688.97</v>
      </c>
      <c r="BM340" s="48">
        <v>2952641.62</v>
      </c>
      <c r="BN340" s="48">
        <v>2978909.57</v>
      </c>
      <c r="BO340" s="48">
        <v>3002377.31</v>
      </c>
      <c r="BP340" s="48">
        <v>3018393.21</v>
      </c>
      <c r="BQ340" s="48">
        <v>3037868.19</v>
      </c>
      <c r="BR340" s="48">
        <v>3064217.73</v>
      </c>
      <c r="BS340" s="48">
        <v>3079625.91</v>
      </c>
      <c r="BT340" s="48">
        <v>3093590.79</v>
      </c>
      <c r="BU340" s="48">
        <v>3125330.53</v>
      </c>
      <c r="BV340" s="48">
        <v>3135179.43</v>
      </c>
      <c r="BW340" s="48">
        <v>3163298.54</v>
      </c>
      <c r="BX340" s="48">
        <v>3192245.11</v>
      </c>
      <c r="BY340" s="48">
        <v>3207661.71</v>
      </c>
      <c r="BZ340" s="48">
        <v>3241482.99</v>
      </c>
      <c r="CA340" s="48">
        <v>3261304.49</v>
      </c>
      <c r="CB340" s="48">
        <v>3279834.72</v>
      </c>
      <c r="CC340" s="48">
        <v>3298307.42</v>
      </c>
      <c r="CD340" s="48">
        <v>3321832.65</v>
      </c>
      <c r="CE340" s="48">
        <v>3338484.81</v>
      </c>
      <c r="CF340" s="48">
        <v>3366430.75</v>
      </c>
      <c r="CG340" s="48">
        <v>3390082.75</v>
      </c>
      <c r="CH340" s="48">
        <v>3482803.59</v>
      </c>
      <c r="CI340" s="48">
        <v>3512901.43</v>
      </c>
      <c r="CJ340" s="48">
        <v>4014104.16</v>
      </c>
      <c r="CK340" s="48">
        <v>4039568.89</v>
      </c>
      <c r="CL340" s="48">
        <v>4032907.24</v>
      </c>
      <c r="CM340" s="48">
        <v>4060323.96</v>
      </c>
      <c r="CN340" s="48">
        <v>4193158.12</v>
      </c>
      <c r="CO340" s="48">
        <v>4218060.79</v>
      </c>
      <c r="CP340" s="48">
        <v>4242272.97</v>
      </c>
      <c r="CQ340" s="48">
        <v>4259295.82</v>
      </c>
      <c r="CR340" s="48">
        <v>4279673.78</v>
      </c>
      <c r="CS340" s="48">
        <v>4291604.01</v>
      </c>
      <c r="CT340" s="48">
        <v>4316111.74</v>
      </c>
      <c r="CU340" s="48">
        <v>4445760.51</v>
      </c>
      <c r="CV340" s="48">
        <v>4473831.7699999996</v>
      </c>
      <c r="CW340" s="48">
        <v>4497554.79</v>
      </c>
      <c r="CX340" s="48">
        <v>-277519.33</v>
      </c>
      <c r="CY340" s="48">
        <v>4546511.57</v>
      </c>
      <c r="CZ340" s="48">
        <v>4578220.93</v>
      </c>
      <c r="DA340" s="48">
        <v>-173059.11</v>
      </c>
      <c r="DB340" s="48">
        <v>4636875.54</v>
      </c>
      <c r="DC340" s="48">
        <v>4662298.9800000004</v>
      </c>
      <c r="DD340" s="48">
        <v>-91907.83</v>
      </c>
      <c r="DE340" s="48">
        <f>VLOOKUP($C340,'[2]Analysis 1'!$C$5:$DG$1025,107,FALSE)</f>
        <v>4712669.83</v>
      </c>
      <c r="DF340" s="48">
        <f>VLOOKUP($C340,'[2]Analysis 1'!$C$5:$DG$1025,108,FALSE)</f>
        <v>4814827.2300000004</v>
      </c>
      <c r="DG340" s="48">
        <f>VLOOKUP($C340,'[2]Analysis 1'!$C$5:$DG$1025,109,FALSE)</f>
        <v>4837016.1399999997</v>
      </c>
      <c r="DH340" s="369">
        <f t="shared" si="11"/>
        <v>41217320.510000005</v>
      </c>
    </row>
    <row r="341" spans="1:112">
      <c r="A341" s="357" t="str">
        <f t="shared" si="9"/>
        <v>6810071</v>
      </c>
      <c r="B341" s="350" t="s">
        <v>2138</v>
      </c>
      <c r="C341" s="335" t="s">
        <v>1218</v>
      </c>
      <c r="D341" s="340">
        <v>20266</v>
      </c>
      <c r="E341" s="340">
        <v>21340</v>
      </c>
      <c r="F341" s="340">
        <v>23035</v>
      </c>
      <c r="G341" s="340">
        <v>26180.63</v>
      </c>
      <c r="H341" s="340">
        <v>28987.91</v>
      </c>
      <c r="I341" s="340">
        <v>28931</v>
      </c>
      <c r="J341" s="340">
        <v>29946</v>
      </c>
      <c r="K341" s="340">
        <v>35475</v>
      </c>
      <c r="L341" s="340">
        <v>38692</v>
      </c>
      <c r="M341" s="340">
        <v>42921</v>
      </c>
      <c r="N341" s="340">
        <v>46273</v>
      </c>
      <c r="O341" s="341">
        <v>47889</v>
      </c>
      <c r="P341" s="48">
        <v>-23185</v>
      </c>
      <c r="Q341" s="48">
        <v>46751.7</v>
      </c>
      <c r="R341" s="48">
        <v>51796.68</v>
      </c>
      <c r="S341" s="48">
        <v>54567.78</v>
      </c>
      <c r="T341" s="48">
        <v>56167.8</v>
      </c>
      <c r="U341" s="48">
        <v>57460.03</v>
      </c>
      <c r="V341" s="48">
        <v>61075.39</v>
      </c>
      <c r="W341" s="48">
        <v>62176.19</v>
      </c>
      <c r="X341" s="48">
        <v>62298.94</v>
      </c>
      <c r="Y341" s="48">
        <v>65301.23</v>
      </c>
      <c r="Z341" s="48">
        <v>67080.98</v>
      </c>
      <c r="AA341" s="48">
        <v>69366.2</v>
      </c>
      <c r="AB341" s="48">
        <v>72135.429999999993</v>
      </c>
      <c r="AC341" s="48">
        <v>74455.61</v>
      </c>
      <c r="AD341" s="48">
        <v>75128.23</v>
      </c>
      <c r="AE341" s="48">
        <v>77009.06</v>
      </c>
      <c r="AF341" s="48">
        <v>77978.8</v>
      </c>
      <c r="AG341" s="48">
        <v>79729.759999999995</v>
      </c>
      <c r="AH341" s="48">
        <v>83385.960000000006</v>
      </c>
      <c r="AI341" s="48">
        <v>86009.94</v>
      </c>
      <c r="AJ341" s="48">
        <v>89473.7</v>
      </c>
      <c r="AK341" s="48">
        <v>101299.18</v>
      </c>
      <c r="AL341" s="48">
        <v>104846.84</v>
      </c>
      <c r="AM341" s="48">
        <v>-113018.26</v>
      </c>
      <c r="AN341" s="48">
        <v>96519.4</v>
      </c>
      <c r="AO341" s="48">
        <v>75574.33</v>
      </c>
      <c r="AP341" s="48">
        <v>88141.19</v>
      </c>
      <c r="AQ341" s="48">
        <v>93042.77</v>
      </c>
      <c r="AR341" s="48">
        <v>97407.29</v>
      </c>
      <c r="AS341" s="48">
        <v>99144.09</v>
      </c>
      <c r="AT341" s="48">
        <v>101751.93</v>
      </c>
      <c r="AU341" s="48">
        <v>104951.78</v>
      </c>
      <c r="AV341" s="48">
        <v>107437.77</v>
      </c>
      <c r="AW341" s="48">
        <v>109187.73</v>
      </c>
      <c r="AX341" s="48">
        <v>115959.47</v>
      </c>
      <c r="AY341" s="48">
        <v>120916.8</v>
      </c>
      <c r="AZ341" s="48">
        <v>123662.3</v>
      </c>
      <c r="BA341" s="48">
        <v>123959.58</v>
      </c>
      <c r="BB341" s="48">
        <v>125406.7</v>
      </c>
      <c r="BC341" s="48">
        <v>127467.73</v>
      </c>
      <c r="BD341" s="48">
        <v>129946.96</v>
      </c>
      <c r="BE341" s="48">
        <v>147674.97</v>
      </c>
      <c r="BF341" s="48">
        <v>149450.60999999999</v>
      </c>
      <c r="BG341" s="48">
        <v>150888.73000000001</v>
      </c>
      <c r="BH341" s="48">
        <v>153193.07</v>
      </c>
      <c r="BI341" s="48">
        <v>154355.09</v>
      </c>
      <c r="BJ341" s="48">
        <v>155193.71</v>
      </c>
      <c r="BK341" s="48">
        <v>179736.85</v>
      </c>
      <c r="BL341" s="48">
        <v>123134.96</v>
      </c>
      <c r="BM341" s="48">
        <v>124984.57</v>
      </c>
      <c r="BN341" s="48">
        <v>135319</v>
      </c>
      <c r="BO341" s="48">
        <v>140386.76</v>
      </c>
      <c r="BP341" s="48">
        <v>142628.81</v>
      </c>
      <c r="BQ341" s="48">
        <v>147968.45000000001</v>
      </c>
      <c r="BR341" s="48">
        <v>150503.04000000001</v>
      </c>
      <c r="BS341" s="48">
        <v>157043.65</v>
      </c>
      <c r="BT341" s="48">
        <v>158558.57</v>
      </c>
      <c r="BU341" s="48">
        <v>163523.09</v>
      </c>
      <c r="BV341" s="48">
        <v>165041.46</v>
      </c>
      <c r="BW341" s="48">
        <v>177485.13</v>
      </c>
      <c r="BX341" s="48">
        <v>181567.07</v>
      </c>
      <c r="BY341" s="48">
        <v>182403.98</v>
      </c>
      <c r="BZ341" s="48">
        <v>186206.29</v>
      </c>
      <c r="CA341" s="48">
        <v>197568.45</v>
      </c>
      <c r="CB341" s="48">
        <v>200080.26</v>
      </c>
      <c r="CC341" s="48">
        <v>202622.93</v>
      </c>
      <c r="CD341" s="48">
        <v>203476.94</v>
      </c>
      <c r="CE341" s="48">
        <v>205236.8</v>
      </c>
      <c r="CF341" s="48">
        <v>211242.97</v>
      </c>
      <c r="CG341" s="48">
        <v>212184.05</v>
      </c>
      <c r="CH341" s="48">
        <v>215449.68</v>
      </c>
      <c r="CI341" s="48">
        <v>221506.58</v>
      </c>
      <c r="CJ341" s="48">
        <v>-9971.86</v>
      </c>
      <c r="CK341" s="48">
        <v>-1905.14</v>
      </c>
      <c r="CL341" s="48">
        <v>401.93</v>
      </c>
      <c r="CM341" s="48">
        <v>4034.39</v>
      </c>
      <c r="CN341" s="48">
        <v>5684.58</v>
      </c>
      <c r="CO341" s="48">
        <v>6508.95</v>
      </c>
      <c r="CP341" s="48">
        <v>7800.93</v>
      </c>
      <c r="CQ341" s="48">
        <v>9314.52</v>
      </c>
      <c r="CR341" s="48">
        <v>10174.290000000001</v>
      </c>
      <c r="CS341" s="48">
        <v>12031.25</v>
      </c>
      <c r="CT341" s="48">
        <v>12745.7</v>
      </c>
      <c r="CU341" s="48">
        <v>14393.46</v>
      </c>
      <c r="CV341" s="48">
        <v>27690.1</v>
      </c>
      <c r="CW341" s="48">
        <v>28350.720000000001</v>
      </c>
      <c r="CX341" s="48">
        <v>30346.71</v>
      </c>
      <c r="CY341" s="48">
        <v>31350.63</v>
      </c>
      <c r="CZ341" s="48">
        <v>31738.92</v>
      </c>
      <c r="DA341" s="48">
        <v>33579.47</v>
      </c>
      <c r="DB341" s="48">
        <v>37413.120000000003</v>
      </c>
      <c r="DC341" s="48">
        <v>37695.410000000003</v>
      </c>
      <c r="DD341" s="48">
        <v>38883.26</v>
      </c>
      <c r="DE341" s="48">
        <f>VLOOKUP($C341,'[2]Analysis 1'!$C$5:$DG$1025,107,FALSE)</f>
        <v>38968.58</v>
      </c>
      <c r="DF341" s="48">
        <f>VLOOKUP($C341,'[2]Analysis 1'!$C$5:$DG$1025,108,FALSE)</f>
        <v>39446.120000000003</v>
      </c>
      <c r="DG341" s="48">
        <f>VLOOKUP($C341,'[2]Analysis 1'!$C$5:$DG$1025,109,FALSE)</f>
        <v>39895.629999999997</v>
      </c>
      <c r="DH341" s="369">
        <f t="shared" si="11"/>
        <v>415358.67000000004</v>
      </c>
    </row>
    <row r="342" spans="1:112">
      <c r="A342" s="357" t="str">
        <f t="shared" si="9"/>
        <v>6810801</v>
      </c>
      <c r="B342" s="350" t="s">
        <v>2139</v>
      </c>
      <c r="C342" s="335" t="s">
        <v>1448</v>
      </c>
      <c r="D342" s="340"/>
      <c r="E342" s="340"/>
      <c r="F342" s="340"/>
      <c r="G342" s="340"/>
      <c r="H342" s="340"/>
      <c r="I342" s="340"/>
      <c r="J342" s="340"/>
      <c r="K342" s="340"/>
      <c r="L342" s="340"/>
      <c r="M342" s="340"/>
      <c r="N342" s="340"/>
      <c r="O342" s="341"/>
      <c r="P342" s="48"/>
      <c r="Q342" s="48"/>
      <c r="R342" s="48"/>
      <c r="S342" s="48"/>
      <c r="T342" s="48"/>
      <c r="U342" s="48"/>
      <c r="V342" s="48"/>
      <c r="W342" s="48"/>
      <c r="X342" s="48"/>
      <c r="Y342" s="48"/>
      <c r="Z342" s="48"/>
      <c r="AA342" s="48"/>
      <c r="AB342" s="48"/>
      <c r="AC342" s="48"/>
      <c r="AD342" s="48"/>
      <c r="AE342" s="48">
        <v>0</v>
      </c>
      <c r="AF342" s="48">
        <v>0</v>
      </c>
      <c r="AG342" s="443">
        <v>-98151</v>
      </c>
      <c r="AH342" s="443">
        <v>-32717</v>
      </c>
      <c r="AI342" s="443">
        <v>-32717</v>
      </c>
      <c r="AJ342" s="443">
        <v>-32717</v>
      </c>
      <c r="AK342" s="443">
        <v>-32717</v>
      </c>
      <c r="AL342" s="443">
        <v>-55592</v>
      </c>
      <c r="AM342" s="443">
        <v>-44155</v>
      </c>
      <c r="AN342" s="443">
        <v>-44155</v>
      </c>
      <c r="AO342" s="443">
        <v>-44155</v>
      </c>
      <c r="AP342" s="443">
        <v>-44155</v>
      </c>
      <c r="AQ342" s="443">
        <v>-44155</v>
      </c>
      <c r="AR342" s="443">
        <v>-44155</v>
      </c>
      <c r="AS342" s="443">
        <v>-44155</v>
      </c>
      <c r="AT342" s="443">
        <v>-44155</v>
      </c>
      <c r="AU342" s="443">
        <v>-44155</v>
      </c>
      <c r="AV342" s="443">
        <v>-44155</v>
      </c>
      <c r="AW342" s="443">
        <v>-44155</v>
      </c>
      <c r="AX342" s="443">
        <v>-44155</v>
      </c>
      <c r="AY342" s="443">
        <v>-44155</v>
      </c>
      <c r="AZ342" s="443">
        <v>-44155</v>
      </c>
      <c r="BA342" s="443">
        <v>-44155</v>
      </c>
      <c r="BB342" s="443">
        <v>-44155</v>
      </c>
      <c r="BC342" s="443">
        <v>-44155</v>
      </c>
      <c r="BD342" s="443">
        <v>-44155</v>
      </c>
      <c r="BE342" s="443">
        <v>-44155</v>
      </c>
      <c r="BF342" s="443">
        <v>-44155</v>
      </c>
      <c r="BG342" s="443">
        <v>-44155</v>
      </c>
      <c r="BH342" s="443">
        <v>-44155</v>
      </c>
      <c r="BI342" s="443">
        <v>-44155</v>
      </c>
      <c r="BJ342" s="443">
        <v>-44155</v>
      </c>
      <c r="BK342" s="443">
        <v>-44155</v>
      </c>
      <c r="BL342" s="443">
        <v>-44155</v>
      </c>
      <c r="BM342" s="443">
        <v>-44155</v>
      </c>
      <c r="BN342" s="443">
        <v>-44155</v>
      </c>
      <c r="BO342" s="443">
        <v>-44155</v>
      </c>
      <c r="BP342" s="443">
        <v>-44155</v>
      </c>
      <c r="BQ342" s="443">
        <v>-44155</v>
      </c>
      <c r="BR342" s="443">
        <v>-44155</v>
      </c>
      <c r="BS342" s="443">
        <v>-44155</v>
      </c>
      <c r="BT342" s="443">
        <v>-44155</v>
      </c>
      <c r="BU342" s="443">
        <v>-44155</v>
      </c>
      <c r="BV342" s="443">
        <v>-44155</v>
      </c>
      <c r="BW342" s="443">
        <v>-44155</v>
      </c>
      <c r="BX342" s="443">
        <v>-44155</v>
      </c>
      <c r="BY342" s="443">
        <v>-44155</v>
      </c>
      <c r="BZ342" s="443">
        <v>-44155</v>
      </c>
      <c r="CA342" s="443">
        <v>-44155</v>
      </c>
      <c r="CB342" s="443">
        <v>-44155</v>
      </c>
      <c r="CC342" s="443">
        <v>-44155</v>
      </c>
      <c r="CD342" s="443">
        <v>-44155</v>
      </c>
      <c r="CE342" s="443">
        <v>-44155</v>
      </c>
      <c r="CF342" s="443">
        <v>-44155</v>
      </c>
      <c r="CG342" s="443">
        <v>-44155</v>
      </c>
      <c r="CH342" s="443">
        <v>-44155</v>
      </c>
      <c r="CI342" s="443">
        <v>-44155</v>
      </c>
      <c r="CJ342" s="443">
        <v>-44155</v>
      </c>
      <c r="CK342" s="443">
        <v>-44155</v>
      </c>
      <c r="CL342" s="443">
        <v>-44155</v>
      </c>
      <c r="CM342" s="443">
        <v>-44155</v>
      </c>
      <c r="CN342" s="443">
        <v>-44155</v>
      </c>
      <c r="CO342" s="443">
        <v>-44155</v>
      </c>
      <c r="CP342" s="443">
        <v>-44155</v>
      </c>
      <c r="CQ342" s="443">
        <v>-44155</v>
      </c>
      <c r="CR342" s="443">
        <v>-44155</v>
      </c>
      <c r="CS342" s="443">
        <v>-44155</v>
      </c>
      <c r="CT342" s="443">
        <v>-44155</v>
      </c>
      <c r="CU342" s="443">
        <v>-44155</v>
      </c>
      <c r="CV342" s="443">
        <v>-44155</v>
      </c>
      <c r="CW342" s="443">
        <v>-44155</v>
      </c>
      <c r="CX342" s="443">
        <v>-44155</v>
      </c>
      <c r="CY342" s="443">
        <v>-32717</v>
      </c>
      <c r="CZ342" s="443">
        <v>-32717</v>
      </c>
      <c r="DA342" s="443">
        <v>-32717</v>
      </c>
      <c r="DB342" s="443">
        <v>-32717</v>
      </c>
      <c r="DC342" s="443">
        <v>0</v>
      </c>
      <c r="DD342" s="443">
        <v>0</v>
      </c>
      <c r="DE342" s="443">
        <f>VLOOKUP($C342,'[2]Analysis 1'!$C$5:$DG$1025,107,FALSE)</f>
        <v>0</v>
      </c>
      <c r="DF342" s="443">
        <f>VLOOKUP($C342,'[2]Analysis 1'!$C$5:$DG$1025,108,FALSE)</f>
        <v>0</v>
      </c>
      <c r="DG342" s="443">
        <f>VLOOKUP($C342,'[2]Analysis 1'!$C$5:$DG$1025,109,FALSE)</f>
        <v>0</v>
      </c>
      <c r="DH342" s="369">
        <f t="shared" si="11"/>
        <v>-263333</v>
      </c>
    </row>
    <row r="343" spans="1:112">
      <c r="A343" s="357" t="str">
        <f t="shared" si="9"/>
        <v>6810802</v>
      </c>
      <c r="B343" s="350" t="s">
        <v>2140</v>
      </c>
      <c r="C343" s="335" t="s">
        <v>1697</v>
      </c>
      <c r="D343" s="340"/>
      <c r="E343" s="340"/>
      <c r="F343" s="340"/>
      <c r="G343" s="340"/>
      <c r="H343" s="340"/>
      <c r="I343" s="340"/>
      <c r="J343" s="340"/>
      <c r="K343" s="340"/>
      <c r="L343" s="340"/>
      <c r="M343" s="340"/>
      <c r="N343" s="340"/>
      <c r="O343" s="341"/>
      <c r="P343" s="48"/>
      <c r="Q343" s="48"/>
      <c r="R343" s="48"/>
      <c r="S343" s="48"/>
      <c r="T343" s="48"/>
      <c r="U343" s="48"/>
      <c r="V343" s="48"/>
      <c r="W343" s="48"/>
      <c r="X343" s="48"/>
      <c r="Y343" s="48"/>
      <c r="Z343" s="48"/>
      <c r="AA343" s="48"/>
      <c r="AB343" s="48"/>
      <c r="AC343" s="48"/>
      <c r="AD343" s="48"/>
      <c r="AE343" s="48">
        <v>0</v>
      </c>
      <c r="AF343" s="48">
        <v>0</v>
      </c>
      <c r="AG343" s="48"/>
      <c r="AH343" s="48">
        <v>43185.87</v>
      </c>
      <c r="AI343" s="48">
        <v>57190.12</v>
      </c>
      <c r="AJ343" s="48">
        <v>57190.12</v>
      </c>
      <c r="AK343" s="48">
        <v>58290.12</v>
      </c>
      <c r="AL343" s="48">
        <v>58290.12</v>
      </c>
      <c r="AM343" s="48">
        <v>-22300.51</v>
      </c>
      <c r="AN343" s="48">
        <v>44159.19</v>
      </c>
      <c r="AO343" s="48">
        <v>44159.19</v>
      </c>
      <c r="AP343" s="48">
        <v>44159.19</v>
      </c>
      <c r="AQ343" s="48">
        <v>44159.19</v>
      </c>
      <c r="AR343" s="48">
        <v>44159.19</v>
      </c>
      <c r="AS343" s="48">
        <v>44159.19</v>
      </c>
      <c r="AT343" s="48">
        <v>44159.19</v>
      </c>
      <c r="AU343" s="48">
        <v>44159.19</v>
      </c>
      <c r="AV343" s="48">
        <v>44159.19</v>
      </c>
      <c r="AW343" s="48">
        <v>44159.19</v>
      </c>
      <c r="AX343" s="48">
        <v>44159.19</v>
      </c>
      <c r="AY343" s="48">
        <v>44159.19</v>
      </c>
      <c r="AZ343" s="48">
        <v>44159.19</v>
      </c>
      <c r="BA343" s="48">
        <v>44159.19</v>
      </c>
      <c r="BB343" s="48">
        <v>44172.67</v>
      </c>
      <c r="BC343" s="48">
        <v>50138.69</v>
      </c>
      <c r="BD343" s="48">
        <v>50138.69</v>
      </c>
      <c r="BE343" s="48">
        <v>50138.69</v>
      </c>
      <c r="BF343" s="48">
        <v>50138.69</v>
      </c>
      <c r="BG343" s="48">
        <v>50138.69</v>
      </c>
      <c r="BH343" s="48">
        <v>50138.69</v>
      </c>
      <c r="BI343" s="48">
        <v>50138.69</v>
      </c>
      <c r="BJ343" s="48">
        <v>50138.69</v>
      </c>
      <c r="BK343" s="48">
        <v>50138.69</v>
      </c>
      <c r="BL343" s="48">
        <v>50138.69</v>
      </c>
      <c r="BM343" s="48">
        <v>50138.69</v>
      </c>
      <c r="BN343" s="48">
        <v>50166.52</v>
      </c>
      <c r="BO343" s="48">
        <v>50166.52</v>
      </c>
      <c r="BP343" s="48">
        <v>54729.68</v>
      </c>
      <c r="BQ343" s="48">
        <v>54729.68</v>
      </c>
      <c r="BR343" s="48">
        <v>54729.68</v>
      </c>
      <c r="BS343" s="48">
        <v>54729.68</v>
      </c>
      <c r="BT343" s="48">
        <v>54729.68</v>
      </c>
      <c r="BU343" s="48">
        <v>54729.68</v>
      </c>
      <c r="BV343" s="48">
        <v>54729.68</v>
      </c>
      <c r="BW343" s="48">
        <v>54729.68</v>
      </c>
      <c r="BX343" s="48">
        <v>54729.68</v>
      </c>
      <c r="BY343" s="48">
        <v>54729.68</v>
      </c>
      <c r="BZ343" s="48">
        <v>54729.68</v>
      </c>
      <c r="CA343" s="48">
        <v>54729.68</v>
      </c>
      <c r="CB343" s="48">
        <v>54729.68</v>
      </c>
      <c r="CC343" s="48">
        <v>54729.68</v>
      </c>
      <c r="CD343" s="48">
        <v>54729.68</v>
      </c>
      <c r="CE343" s="48">
        <v>54729.68</v>
      </c>
      <c r="CF343" s="48">
        <v>54729.68</v>
      </c>
      <c r="CG343" s="48">
        <v>54729.68</v>
      </c>
      <c r="CH343" s="48">
        <v>54729.68</v>
      </c>
      <c r="CI343" s="48">
        <v>54729.68</v>
      </c>
      <c r="CJ343" s="48">
        <v>54729.68</v>
      </c>
      <c r="CK343" s="48">
        <v>54729.68</v>
      </c>
      <c r="CL343" s="48">
        <v>54729.68</v>
      </c>
      <c r="CM343" s="48">
        <v>54729.68</v>
      </c>
      <c r="CN343" s="48">
        <v>54701.85</v>
      </c>
      <c r="CO343" s="48">
        <v>54701.85</v>
      </c>
      <c r="CP343" s="48">
        <v>54701.85</v>
      </c>
      <c r="CQ343" s="48">
        <v>54701.85</v>
      </c>
      <c r="CR343" s="48">
        <v>54701.85</v>
      </c>
      <c r="CS343" s="48">
        <v>54701.85</v>
      </c>
      <c r="CT343" s="48">
        <v>54701.85</v>
      </c>
      <c r="CU343" s="48">
        <v>54701.85</v>
      </c>
      <c r="CV343" s="48">
        <v>54701.85</v>
      </c>
      <c r="CW343" s="48">
        <v>54701.85</v>
      </c>
      <c r="CX343" s="48">
        <v>54701.85</v>
      </c>
      <c r="CY343" s="48">
        <v>43259.23</v>
      </c>
      <c r="CZ343" s="48">
        <v>43259.23</v>
      </c>
      <c r="DA343" s="48">
        <v>43259.23</v>
      </c>
      <c r="DB343" s="48">
        <v>43259.23</v>
      </c>
      <c r="DC343" s="48">
        <v>10529.17</v>
      </c>
      <c r="DD343" s="48">
        <v>10529.17</v>
      </c>
      <c r="DE343" s="48">
        <f>VLOOKUP($C343,'[2]Analysis 1'!$C$5:$DG$1025,107,FALSE)</f>
        <v>10529.17</v>
      </c>
      <c r="DF343" s="48">
        <f>VLOOKUP($C343,'[2]Analysis 1'!$C$5:$DG$1025,108,FALSE)</f>
        <v>10529.17</v>
      </c>
      <c r="DG343" s="48">
        <f>VLOOKUP($C343,'[2]Analysis 1'!$C$5:$DG$1025,109,FALSE)</f>
        <v>10529.17</v>
      </c>
      <c r="DH343" s="369">
        <f t="shared" si="11"/>
        <v>389788.31999999989</v>
      </c>
    </row>
    <row r="344" spans="1:112">
      <c r="A344" s="357" t="str">
        <f t="shared" si="9"/>
        <v>6900010</v>
      </c>
      <c r="B344" s="350" t="s">
        <v>2141</v>
      </c>
      <c r="C344" s="335" t="s">
        <v>1219</v>
      </c>
      <c r="D344" s="340">
        <v>962488.02</v>
      </c>
      <c r="E344" s="340">
        <v>970766.68</v>
      </c>
      <c r="F344" s="340">
        <v>818115.57</v>
      </c>
      <c r="G344" s="340">
        <v>765780.78</v>
      </c>
      <c r="H344" s="340">
        <v>634682.4</v>
      </c>
      <c r="I344" s="340">
        <v>659680.96</v>
      </c>
      <c r="J344" s="340">
        <v>611352.59</v>
      </c>
      <c r="K344" s="340">
        <v>579391.89</v>
      </c>
      <c r="L344" s="340">
        <v>612396.09</v>
      </c>
      <c r="M344" s="340">
        <v>613588.09</v>
      </c>
      <c r="N344" s="340">
        <v>654532.75</v>
      </c>
      <c r="O344" s="341">
        <v>821418.82</v>
      </c>
      <c r="P344" s="48">
        <v>921564.01</v>
      </c>
      <c r="Q344" s="48">
        <v>930701.6</v>
      </c>
      <c r="R344" s="48">
        <v>876713.12</v>
      </c>
      <c r="S344" s="48">
        <v>716711.79</v>
      </c>
      <c r="T344" s="48">
        <v>628787.68999999994</v>
      </c>
      <c r="U344" s="48">
        <v>659683.54</v>
      </c>
      <c r="V344" s="48">
        <v>731931.03</v>
      </c>
      <c r="W344" s="48">
        <v>555618.9</v>
      </c>
      <c r="X344" s="48">
        <v>659420.37</v>
      </c>
      <c r="Y344" s="48">
        <v>663224.89</v>
      </c>
      <c r="Z344" s="48">
        <v>711130.29</v>
      </c>
      <c r="AA344" s="48">
        <v>786432.01</v>
      </c>
      <c r="AB344" s="48">
        <v>944707.49</v>
      </c>
      <c r="AC344" s="48">
        <v>1061673.83</v>
      </c>
      <c r="AD344" s="48">
        <v>932956.59</v>
      </c>
      <c r="AE344" s="48">
        <v>853197.85</v>
      </c>
      <c r="AF344" s="48">
        <v>771462.93</v>
      </c>
      <c r="AG344" s="48">
        <v>715451.39</v>
      </c>
      <c r="AH344" s="48">
        <v>671022.66</v>
      </c>
      <c r="AI344" s="48">
        <v>666345.05000000005</v>
      </c>
      <c r="AJ344" s="48">
        <v>666261.43999999994</v>
      </c>
      <c r="AK344" s="48">
        <v>662989.31999999995</v>
      </c>
      <c r="AL344" s="48">
        <v>721183.81</v>
      </c>
      <c r="AM344" s="48">
        <v>827905.41</v>
      </c>
      <c r="AN344" s="48">
        <v>908405.3</v>
      </c>
      <c r="AO344" s="48">
        <v>873855.53</v>
      </c>
      <c r="AP344" s="48">
        <v>843831.69</v>
      </c>
      <c r="AQ344" s="48">
        <v>823902.14</v>
      </c>
      <c r="AR344" s="48">
        <v>745675.26</v>
      </c>
      <c r="AS344" s="48">
        <v>703437.52</v>
      </c>
      <c r="AT344" s="48">
        <v>662025.48</v>
      </c>
      <c r="AU344" s="48">
        <v>665891.54</v>
      </c>
      <c r="AV344" s="48">
        <v>688518.25</v>
      </c>
      <c r="AW344" s="48">
        <v>719407.09</v>
      </c>
      <c r="AX344" s="48">
        <v>784829.67</v>
      </c>
      <c r="AY344" s="48">
        <v>896025.55</v>
      </c>
      <c r="AZ344" s="48">
        <v>1200983.6299999999</v>
      </c>
      <c r="BA344" s="48">
        <v>1074141.94</v>
      </c>
      <c r="BB344" s="48">
        <v>943123.05</v>
      </c>
      <c r="BC344" s="48">
        <v>935732.52</v>
      </c>
      <c r="BD344" s="48">
        <v>849832.03</v>
      </c>
      <c r="BE344" s="48">
        <v>812558.07</v>
      </c>
      <c r="BF344" s="48">
        <v>746757.66</v>
      </c>
      <c r="BG344" s="48">
        <v>728620.03</v>
      </c>
      <c r="BH344" s="48">
        <v>772746.52</v>
      </c>
      <c r="BI344" s="48">
        <v>716676.54</v>
      </c>
      <c r="BJ344" s="48">
        <v>769378.23</v>
      </c>
      <c r="BK344" s="48">
        <v>937801.05</v>
      </c>
      <c r="BL344" s="48">
        <v>1066822.57</v>
      </c>
      <c r="BM344" s="48">
        <v>1041144.7</v>
      </c>
      <c r="BN344" s="48">
        <v>965206.94</v>
      </c>
      <c r="BO344" s="48">
        <v>930781.64</v>
      </c>
      <c r="BP344" s="48">
        <v>806809.96</v>
      </c>
      <c r="BQ344" s="48">
        <v>775019.29</v>
      </c>
      <c r="BR344" s="48">
        <v>753787.61</v>
      </c>
      <c r="BS344" s="48">
        <v>720129.45</v>
      </c>
      <c r="BT344" s="48">
        <v>756683.05</v>
      </c>
      <c r="BU344" s="48">
        <v>740014.74</v>
      </c>
      <c r="BV344" s="48">
        <v>823134.47</v>
      </c>
      <c r="BW344" s="48">
        <v>993293.22</v>
      </c>
      <c r="BX344" s="48">
        <v>1099027.43</v>
      </c>
      <c r="BY344" s="48">
        <v>1057497.58</v>
      </c>
      <c r="BZ344" s="48">
        <v>995565.97</v>
      </c>
      <c r="CA344" s="48">
        <v>858234.19</v>
      </c>
      <c r="CB344" s="48">
        <v>757404.7</v>
      </c>
      <c r="CC344" s="48">
        <v>703815.08</v>
      </c>
      <c r="CD344" s="48">
        <v>735672.65</v>
      </c>
      <c r="CE344" s="48">
        <v>728815.39</v>
      </c>
      <c r="CF344" s="48">
        <v>712266.38</v>
      </c>
      <c r="CG344" s="48">
        <v>741461.7</v>
      </c>
      <c r="CH344" s="48">
        <v>845673.32</v>
      </c>
      <c r="CI344" s="48">
        <v>974505.53</v>
      </c>
      <c r="CJ344" s="48">
        <v>1339279.8</v>
      </c>
      <c r="CK344" s="48">
        <v>1246435.1200000001</v>
      </c>
      <c r="CL344" s="48">
        <v>1168468.74</v>
      </c>
      <c r="CM344" s="48">
        <v>1172223.43</v>
      </c>
      <c r="CN344" s="48">
        <v>1047174.69</v>
      </c>
      <c r="CO344" s="48">
        <v>984453.81</v>
      </c>
      <c r="CP344" s="48">
        <v>986918.97</v>
      </c>
      <c r="CQ344" s="48">
        <v>919524.78</v>
      </c>
      <c r="CR344" s="48">
        <v>971650.93</v>
      </c>
      <c r="CS344" s="48">
        <v>923528.5</v>
      </c>
      <c r="CT344" s="48">
        <v>1044670.42</v>
      </c>
      <c r="CU344" s="48">
        <v>1264591.1000000001</v>
      </c>
      <c r="CV344" s="48">
        <v>1438551.14</v>
      </c>
      <c r="CW344" s="48">
        <v>1520736.87</v>
      </c>
      <c r="CX344" s="48">
        <v>1360442.37</v>
      </c>
      <c r="CY344" s="48">
        <v>1250057.25</v>
      </c>
      <c r="CZ344" s="48">
        <v>1182465.3400000001</v>
      </c>
      <c r="DA344" s="48">
        <v>1080663.08</v>
      </c>
      <c r="DB344" s="48">
        <v>1009625.02</v>
      </c>
      <c r="DC344" s="48">
        <v>1121007.94</v>
      </c>
      <c r="DD344" s="48">
        <v>1157497.69</v>
      </c>
      <c r="DE344" s="48">
        <f>VLOOKUP($C344,'[2]Analysis 1'!$C$5:$DG$1025,107,FALSE)</f>
        <v>1217081</v>
      </c>
      <c r="DF344" s="48">
        <f>VLOOKUP($C344,'[2]Analysis 1'!$C$5:$DG$1025,108,FALSE)</f>
        <v>1117482.67</v>
      </c>
      <c r="DG344" s="48">
        <f>VLOOKUP($C344,'[2]Analysis 1'!$C$5:$DG$1025,109,FALSE)</f>
        <v>1244950.2</v>
      </c>
      <c r="DH344" s="369">
        <f t="shared" si="11"/>
        <v>14700560.569999998</v>
      </c>
    </row>
    <row r="345" spans="1:112">
      <c r="A345" s="357" t="str">
        <f t="shared" si="9"/>
        <v>6900030</v>
      </c>
      <c r="B345" s="350" t="s">
        <v>2142</v>
      </c>
      <c r="C345" s="335" t="s">
        <v>1220</v>
      </c>
      <c r="D345" s="367">
        <v>1465731.05</v>
      </c>
      <c r="E345" s="367">
        <v>1421595.38</v>
      </c>
      <c r="F345" s="367">
        <v>1286642.43</v>
      </c>
      <c r="G345" s="367">
        <v>1142563.07</v>
      </c>
      <c r="H345" s="367">
        <v>973728.84</v>
      </c>
      <c r="I345" s="367">
        <v>877486.41</v>
      </c>
      <c r="J345" s="367">
        <v>810814.72</v>
      </c>
      <c r="K345" s="367">
        <v>823589.01</v>
      </c>
      <c r="L345" s="367">
        <v>877702.84</v>
      </c>
      <c r="M345" s="367">
        <v>906182.37</v>
      </c>
      <c r="N345" s="367">
        <v>1020693.12</v>
      </c>
      <c r="O345" s="368">
        <v>1299279.1100000001</v>
      </c>
      <c r="P345" s="48">
        <v>1442235.87</v>
      </c>
      <c r="Q345" s="48">
        <v>1486286.69</v>
      </c>
      <c r="R345" s="48">
        <v>1457304.46</v>
      </c>
      <c r="S345" s="48">
        <v>1148076.8</v>
      </c>
      <c r="T345" s="48">
        <v>937863.33</v>
      </c>
      <c r="U345" s="48">
        <v>958209.06</v>
      </c>
      <c r="V345" s="48">
        <v>1195531.6200000001</v>
      </c>
      <c r="W345" s="48">
        <v>686270.15</v>
      </c>
      <c r="X345" s="48">
        <v>909597.35</v>
      </c>
      <c r="Y345" s="48">
        <v>950741.2</v>
      </c>
      <c r="Z345" s="48">
        <v>1034527.47</v>
      </c>
      <c r="AA345" s="48">
        <v>1206266.96</v>
      </c>
      <c r="AB345" s="48">
        <v>1498909.7</v>
      </c>
      <c r="AC345" s="48">
        <v>1616852.72</v>
      </c>
      <c r="AD345" s="48">
        <v>1429511.29</v>
      </c>
      <c r="AE345" s="48">
        <v>1127332.1000000001</v>
      </c>
      <c r="AF345" s="48">
        <v>1110115.95</v>
      </c>
      <c r="AG345" s="48">
        <v>967475.79</v>
      </c>
      <c r="AH345" s="48">
        <v>931908.86</v>
      </c>
      <c r="AI345" s="48">
        <v>821047.49</v>
      </c>
      <c r="AJ345" s="48">
        <v>915385.39</v>
      </c>
      <c r="AK345" s="48">
        <v>897013.57</v>
      </c>
      <c r="AL345" s="48">
        <v>1056768.1499999999</v>
      </c>
      <c r="AM345" s="48">
        <v>1254297.95</v>
      </c>
      <c r="AN345" s="48">
        <v>1421653.55</v>
      </c>
      <c r="AO345" s="48">
        <v>1324602.05</v>
      </c>
      <c r="AP345" s="48">
        <v>1298064.1200000001</v>
      </c>
      <c r="AQ345" s="48">
        <v>1249194.8400000001</v>
      </c>
      <c r="AR345" s="48">
        <v>1077161.9099999999</v>
      </c>
      <c r="AS345" s="48">
        <v>949099.08</v>
      </c>
      <c r="AT345" s="48">
        <v>776245.84</v>
      </c>
      <c r="AU345" s="48">
        <v>875004.59</v>
      </c>
      <c r="AV345" s="48">
        <v>875395.73</v>
      </c>
      <c r="AW345" s="48">
        <v>936251.45</v>
      </c>
      <c r="AX345" s="48">
        <v>1049937.8400000001</v>
      </c>
      <c r="AY345" s="48">
        <v>1278413.8400000001</v>
      </c>
      <c r="AZ345" s="48">
        <v>1748087.86</v>
      </c>
      <c r="BA345" s="48">
        <v>1508987.86</v>
      </c>
      <c r="BB345" s="48">
        <v>1277608.48</v>
      </c>
      <c r="BC345" s="48">
        <v>1337389.19</v>
      </c>
      <c r="BD345" s="48">
        <v>1076048.68</v>
      </c>
      <c r="BE345" s="48">
        <v>1033662.19</v>
      </c>
      <c r="BF345" s="48">
        <v>894234.75</v>
      </c>
      <c r="BG345" s="48">
        <v>837829.54</v>
      </c>
      <c r="BH345" s="48">
        <v>986490.61</v>
      </c>
      <c r="BI345" s="48">
        <v>891540.29</v>
      </c>
      <c r="BJ345" s="48">
        <v>1009116.81</v>
      </c>
      <c r="BK345" s="48">
        <v>1392204.59</v>
      </c>
      <c r="BL345" s="48">
        <v>1655787.55</v>
      </c>
      <c r="BM345" s="48">
        <v>1640421.41</v>
      </c>
      <c r="BN345" s="48">
        <v>1424624.07</v>
      </c>
      <c r="BO345" s="48">
        <v>1125549.97</v>
      </c>
      <c r="BP345" s="48">
        <v>1177922.3799999999</v>
      </c>
      <c r="BQ345" s="48">
        <v>1016378.54</v>
      </c>
      <c r="BR345" s="48">
        <v>984361.68</v>
      </c>
      <c r="BS345" s="48">
        <v>932359.53</v>
      </c>
      <c r="BT345" s="48">
        <v>949375.97</v>
      </c>
      <c r="BU345" s="48">
        <v>936155.2</v>
      </c>
      <c r="BV345" s="48">
        <v>1112587.07</v>
      </c>
      <c r="BW345" s="48">
        <v>1504303.85</v>
      </c>
      <c r="BX345" s="48">
        <v>1618178.97</v>
      </c>
      <c r="BY345" s="48">
        <v>1572436.88</v>
      </c>
      <c r="BZ345" s="48">
        <v>1352878.21</v>
      </c>
      <c r="CA345" s="48">
        <v>1062025.6200000001</v>
      </c>
      <c r="CB345" s="48">
        <v>953525.89</v>
      </c>
      <c r="CC345" s="48">
        <v>967309.63</v>
      </c>
      <c r="CD345" s="48">
        <v>851851.75</v>
      </c>
      <c r="CE345" s="48">
        <v>911904.78</v>
      </c>
      <c r="CF345" s="48">
        <v>870947.67</v>
      </c>
      <c r="CG345" s="48">
        <v>954992.39</v>
      </c>
      <c r="CH345" s="48">
        <v>1095394.1499999999</v>
      </c>
      <c r="CI345" s="48">
        <v>1396326.38</v>
      </c>
      <c r="CJ345" s="48">
        <v>1837558.54</v>
      </c>
      <c r="CK345" s="48">
        <v>1655338.08</v>
      </c>
      <c r="CL345" s="48">
        <v>1457150.65</v>
      </c>
      <c r="CM345" s="48">
        <v>1426996.58</v>
      </c>
      <c r="CN345" s="48">
        <v>1201056.29</v>
      </c>
      <c r="CO345" s="48">
        <v>1108542.6499999999</v>
      </c>
      <c r="CP345" s="48">
        <v>1134501.22</v>
      </c>
      <c r="CQ345" s="48">
        <v>1011208.09</v>
      </c>
      <c r="CR345" s="48">
        <v>1071922.69</v>
      </c>
      <c r="CS345" s="48">
        <v>1072270.76</v>
      </c>
      <c r="CT345" s="48">
        <v>1236232.4099999999</v>
      </c>
      <c r="CU345" s="48">
        <v>1610219.3</v>
      </c>
      <c r="CV345" s="48">
        <v>1747412.92</v>
      </c>
      <c r="CW345" s="48">
        <v>1727920.15</v>
      </c>
      <c r="CX345" s="48">
        <v>1638802.23</v>
      </c>
      <c r="CY345" s="48">
        <v>1466977.23</v>
      </c>
      <c r="CZ345" s="48">
        <v>1329404.5900000001</v>
      </c>
      <c r="DA345" s="48">
        <v>1171609.3500000001</v>
      </c>
      <c r="DB345" s="48">
        <v>1070368.31</v>
      </c>
      <c r="DC345" s="48">
        <v>1017536.8</v>
      </c>
      <c r="DD345" s="48">
        <v>1080019.73</v>
      </c>
      <c r="DE345" s="48">
        <f>VLOOKUP($C345,'[2]Analysis 1'!$C$5:$DG$1025,107,FALSE)</f>
        <v>1183729.3700000001</v>
      </c>
      <c r="DF345" s="48">
        <f>VLOOKUP($C345,'[2]Analysis 1'!$C$5:$DG$1025,108,FALSE)</f>
        <v>1255346.49</v>
      </c>
      <c r="DG345" s="48">
        <f>VLOOKUP($C345,'[2]Analysis 1'!$C$5:$DG$1025,109,FALSE)</f>
        <v>1563688.22</v>
      </c>
      <c r="DH345" s="369">
        <f t="shared" si="11"/>
        <v>16252815.390000001</v>
      </c>
    </row>
    <row r="346" spans="1:112">
      <c r="A346" s="357" t="str">
        <f t="shared" si="9"/>
        <v>6900040</v>
      </c>
      <c r="B346" s="350" t="s">
        <v>2143</v>
      </c>
      <c r="C346" s="335" t="s">
        <v>1221</v>
      </c>
      <c r="D346" s="367">
        <v>513899.56</v>
      </c>
      <c r="E346" s="367">
        <v>192111.83</v>
      </c>
      <c r="F346" s="367">
        <v>188788.5</v>
      </c>
      <c r="G346" s="367">
        <v>190675.25</v>
      </c>
      <c r="H346" s="367">
        <v>295409.40000000002</v>
      </c>
      <c r="I346" s="367">
        <v>183266.06</v>
      </c>
      <c r="J346" s="367">
        <v>184336.22</v>
      </c>
      <c r="K346" s="367">
        <v>183479.86</v>
      </c>
      <c r="L346" s="367">
        <v>179951.44</v>
      </c>
      <c r="M346" s="367">
        <v>268881.18</v>
      </c>
      <c r="N346" s="367">
        <v>189043.54</v>
      </c>
      <c r="O346" s="368">
        <v>267749.59000000003</v>
      </c>
      <c r="P346" s="48">
        <v>219788.02</v>
      </c>
      <c r="Q346" s="48">
        <v>338383.19</v>
      </c>
      <c r="R346" s="48">
        <v>240386.72</v>
      </c>
      <c r="S346" s="48">
        <v>294165.48</v>
      </c>
      <c r="T346" s="48">
        <v>187157.9</v>
      </c>
      <c r="U346" s="48">
        <v>193915.67</v>
      </c>
      <c r="V346" s="48">
        <v>180169.74</v>
      </c>
      <c r="W346" s="48">
        <v>184111.85</v>
      </c>
      <c r="X346" s="48">
        <v>167316.93</v>
      </c>
      <c r="Y346" s="48">
        <v>269874.71999999997</v>
      </c>
      <c r="Z346" s="48">
        <v>206913.99</v>
      </c>
      <c r="AA346" s="48">
        <v>268648.63</v>
      </c>
      <c r="AB346" s="48">
        <v>316057</v>
      </c>
      <c r="AC346" s="48">
        <v>259509.29</v>
      </c>
      <c r="AD346" s="48">
        <v>310442.06</v>
      </c>
      <c r="AE346" s="48">
        <v>200506.94</v>
      </c>
      <c r="AF346" s="48">
        <v>198256.83</v>
      </c>
      <c r="AG346" s="48">
        <v>197124.07</v>
      </c>
      <c r="AH346" s="48">
        <v>211087.52</v>
      </c>
      <c r="AI346" s="48">
        <v>246196.5</v>
      </c>
      <c r="AJ346" s="48">
        <v>313282.81</v>
      </c>
      <c r="AK346" s="48">
        <v>202268.7</v>
      </c>
      <c r="AL346" s="48">
        <v>161152.97</v>
      </c>
      <c r="AM346" s="48">
        <v>231861.72</v>
      </c>
      <c r="AN346" s="48">
        <v>264460.69</v>
      </c>
      <c r="AO346" s="48">
        <v>249825.81</v>
      </c>
      <c r="AP346" s="48">
        <v>330954.64</v>
      </c>
      <c r="AQ346" s="48">
        <v>224962.66</v>
      </c>
      <c r="AR346" s="48">
        <v>214288.17</v>
      </c>
      <c r="AS346" s="48">
        <v>221205.38</v>
      </c>
      <c r="AT346" s="48">
        <v>220045.88</v>
      </c>
      <c r="AU346" s="48">
        <v>330319.28000000003</v>
      </c>
      <c r="AV346" s="48">
        <v>226256.26</v>
      </c>
      <c r="AW346" s="48">
        <v>202242.11</v>
      </c>
      <c r="AX346" s="48">
        <v>223910.43</v>
      </c>
      <c r="AY346" s="48">
        <v>228088.02</v>
      </c>
      <c r="AZ346" s="48">
        <v>255845.55</v>
      </c>
      <c r="BA346" s="48">
        <v>318437.59999999998</v>
      </c>
      <c r="BB346" s="48">
        <v>350276.78</v>
      </c>
      <c r="BC346" s="48">
        <v>239945.3</v>
      </c>
      <c r="BD346" s="48">
        <v>237282.78</v>
      </c>
      <c r="BE346" s="48">
        <v>238344.06</v>
      </c>
      <c r="BF346" s="48">
        <v>247595.76</v>
      </c>
      <c r="BG346" s="48">
        <v>388768.2</v>
      </c>
      <c r="BH346" s="48">
        <v>246965.68</v>
      </c>
      <c r="BI346" s="48">
        <v>268739.77</v>
      </c>
      <c r="BJ346" s="48">
        <v>263371.71999999997</v>
      </c>
      <c r="BK346" s="48">
        <v>340349.92</v>
      </c>
      <c r="BL346" s="48">
        <v>410969.53</v>
      </c>
      <c r="BM346" s="48">
        <v>287161.67</v>
      </c>
      <c r="BN346" s="48">
        <v>261423.12</v>
      </c>
      <c r="BO346" s="48">
        <v>256504.34</v>
      </c>
      <c r="BP346" s="48">
        <v>256781.97</v>
      </c>
      <c r="BQ346" s="48">
        <v>256459.01</v>
      </c>
      <c r="BR346" s="48">
        <v>260533.29</v>
      </c>
      <c r="BS346" s="48">
        <v>375637.89</v>
      </c>
      <c r="BT346" s="48">
        <v>261612.34</v>
      </c>
      <c r="BU346" s="48">
        <v>254524.98</v>
      </c>
      <c r="BV346" s="48">
        <v>315412.69</v>
      </c>
      <c r="BW346" s="48">
        <v>382810.19</v>
      </c>
      <c r="BX346" s="48">
        <v>337906.09</v>
      </c>
      <c r="BY346" s="48">
        <v>373135.64</v>
      </c>
      <c r="BZ346" s="48">
        <v>311945.71999999997</v>
      </c>
      <c r="CA346" s="48">
        <v>276934.52</v>
      </c>
      <c r="CB346" s="48">
        <v>277587.19</v>
      </c>
      <c r="CC346" s="48">
        <v>264970.82</v>
      </c>
      <c r="CD346" s="48">
        <v>397312.17</v>
      </c>
      <c r="CE346" s="48">
        <v>271030.08</v>
      </c>
      <c r="CF346" s="48">
        <v>120850.93</v>
      </c>
      <c r="CG346" s="48">
        <v>268781.05</v>
      </c>
      <c r="CH346" s="48">
        <v>277307.40999999997</v>
      </c>
      <c r="CI346" s="48">
        <v>356983.64</v>
      </c>
      <c r="CJ346" s="48">
        <v>334886.88</v>
      </c>
      <c r="CK346" s="48">
        <v>313955.82</v>
      </c>
      <c r="CL346" s="48">
        <v>363252</v>
      </c>
      <c r="CM346" s="48">
        <v>303140</v>
      </c>
      <c r="CN346" s="48">
        <v>302745.43</v>
      </c>
      <c r="CO346" s="48">
        <v>218448.63</v>
      </c>
      <c r="CP346" s="48">
        <v>426721.29</v>
      </c>
      <c r="CQ346" s="48">
        <v>282078</v>
      </c>
      <c r="CR346" s="48">
        <v>264677.14</v>
      </c>
      <c r="CS346" s="48">
        <v>340171.16</v>
      </c>
      <c r="CT346" s="48">
        <v>301178.21999999997</v>
      </c>
      <c r="CU346" s="48">
        <v>534773.48</v>
      </c>
      <c r="CV346" s="48">
        <v>358131.84</v>
      </c>
      <c r="CW346" s="48">
        <v>359312.84</v>
      </c>
      <c r="CX346" s="48">
        <v>391884.06</v>
      </c>
      <c r="CY346" s="48">
        <v>337409.64</v>
      </c>
      <c r="CZ346" s="48">
        <v>338598.56</v>
      </c>
      <c r="DA346" s="48">
        <v>547591.06999999995</v>
      </c>
      <c r="DB346" s="48">
        <v>354170.16</v>
      </c>
      <c r="DC346" s="48">
        <v>353955.75</v>
      </c>
      <c r="DD346" s="48">
        <v>355260.52</v>
      </c>
      <c r="DE346" s="48">
        <f>VLOOKUP($C346,'[2]Analysis 1'!$C$5:$DG$1025,107,FALSE)</f>
        <v>375242.96</v>
      </c>
      <c r="DF346" s="48">
        <f>VLOOKUP($C346,'[2]Analysis 1'!$C$5:$DG$1025,108,FALSE)</f>
        <v>403795.20000000001</v>
      </c>
      <c r="DG346" s="48">
        <f>VLOOKUP($C346,'[2]Analysis 1'!$C$5:$DG$1025,109,FALSE)</f>
        <v>696010.53</v>
      </c>
      <c r="DH346" s="369">
        <f t="shared" si="11"/>
        <v>4871363.13</v>
      </c>
    </row>
    <row r="347" spans="1:112">
      <c r="A347" s="357" t="str">
        <f t="shared" si="9"/>
        <v>6900060</v>
      </c>
      <c r="B347" s="350" t="s">
        <v>2144</v>
      </c>
      <c r="C347" s="335" t="s">
        <v>1222</v>
      </c>
      <c r="D347" s="340">
        <v>809000</v>
      </c>
      <c r="E347" s="340">
        <v>809000</v>
      </c>
      <c r="F347" s="340">
        <v>809000</v>
      </c>
      <c r="G347" s="340">
        <v>809000</v>
      </c>
      <c r="H347" s="340">
        <v>809000</v>
      </c>
      <c r="I347" s="340">
        <v>807092.51</v>
      </c>
      <c r="J347" s="340">
        <v>809000</v>
      </c>
      <c r="K347" s="340">
        <v>471000</v>
      </c>
      <c r="L347" s="340">
        <v>766977</v>
      </c>
      <c r="M347" s="340">
        <v>766977</v>
      </c>
      <c r="N347" s="340">
        <v>812057</v>
      </c>
      <c r="O347" s="341">
        <v>800196.96</v>
      </c>
      <c r="P347" s="48">
        <v>819204.37</v>
      </c>
      <c r="Q347" s="48">
        <v>819000</v>
      </c>
      <c r="R347" s="48">
        <v>819000</v>
      </c>
      <c r="S347" s="48">
        <v>819000</v>
      </c>
      <c r="T347" s="48">
        <v>819000</v>
      </c>
      <c r="U347" s="48">
        <v>819000</v>
      </c>
      <c r="V347" s="48">
        <v>819000</v>
      </c>
      <c r="W347" s="48">
        <v>467000.35</v>
      </c>
      <c r="X347" s="48">
        <v>775000</v>
      </c>
      <c r="Y347" s="48">
        <v>775000</v>
      </c>
      <c r="Z347" s="48">
        <v>775000</v>
      </c>
      <c r="AA347" s="48">
        <v>718621.41</v>
      </c>
      <c r="AB347" s="48">
        <v>809000</v>
      </c>
      <c r="AC347" s="48">
        <v>809000</v>
      </c>
      <c r="AD347" s="48">
        <v>809000</v>
      </c>
      <c r="AE347" s="48">
        <v>809000</v>
      </c>
      <c r="AF347" s="48">
        <v>809000</v>
      </c>
      <c r="AG347" s="48">
        <v>809000</v>
      </c>
      <c r="AH347" s="48">
        <v>809000</v>
      </c>
      <c r="AI347" s="48">
        <v>809000</v>
      </c>
      <c r="AJ347" s="48">
        <v>809000</v>
      </c>
      <c r="AK347" s="48">
        <v>809000</v>
      </c>
      <c r="AL347" s="48">
        <v>399570.32</v>
      </c>
      <c r="AM347" s="48">
        <v>771779.1</v>
      </c>
      <c r="AN347" s="48">
        <v>876000</v>
      </c>
      <c r="AO347" s="48">
        <v>876000</v>
      </c>
      <c r="AP347" s="48">
        <v>876000</v>
      </c>
      <c r="AQ347" s="48">
        <v>876000</v>
      </c>
      <c r="AR347" s="48">
        <v>626000</v>
      </c>
      <c r="AS347" s="48">
        <v>826000</v>
      </c>
      <c r="AT347" s="48">
        <v>826000</v>
      </c>
      <c r="AU347" s="48">
        <v>684666.4</v>
      </c>
      <c r="AV347" s="48">
        <v>808333.3</v>
      </c>
      <c r="AW347" s="48">
        <v>808333.3</v>
      </c>
      <c r="AX347" s="48">
        <v>514410.1</v>
      </c>
      <c r="AY347" s="48">
        <v>781613.01</v>
      </c>
      <c r="AZ347" s="48">
        <v>943820</v>
      </c>
      <c r="BA347" s="48">
        <v>943820</v>
      </c>
      <c r="BB347" s="48">
        <v>943820</v>
      </c>
      <c r="BC347" s="48">
        <v>943820</v>
      </c>
      <c r="BD347" s="48">
        <v>943820</v>
      </c>
      <c r="BE347" s="48">
        <v>943820</v>
      </c>
      <c r="BF347" s="48">
        <v>943820</v>
      </c>
      <c r="BG347" s="48">
        <v>943820</v>
      </c>
      <c r="BH347" s="48">
        <v>943820</v>
      </c>
      <c r="BI347" s="48">
        <v>943820</v>
      </c>
      <c r="BJ347" s="48">
        <v>422195.93</v>
      </c>
      <c r="BK347" s="48">
        <v>896399.7</v>
      </c>
      <c r="BL347" s="48">
        <v>1063964</v>
      </c>
      <c r="BM347" s="48">
        <v>1063964</v>
      </c>
      <c r="BN347" s="48">
        <v>1063964</v>
      </c>
      <c r="BO347" s="48">
        <v>1063964</v>
      </c>
      <c r="BP347" s="48">
        <v>1063964</v>
      </c>
      <c r="BQ347" s="48">
        <v>1063964</v>
      </c>
      <c r="BR347" s="48">
        <v>1063964</v>
      </c>
      <c r="BS347" s="48">
        <v>552252</v>
      </c>
      <c r="BT347" s="48">
        <v>1000000</v>
      </c>
      <c r="BU347" s="48">
        <v>1000000</v>
      </c>
      <c r="BV347" s="48">
        <v>1000000</v>
      </c>
      <c r="BW347" s="48">
        <v>1033067.6</v>
      </c>
      <c r="BX347" s="48">
        <v>1159498</v>
      </c>
      <c r="BY347" s="48">
        <v>1159498</v>
      </c>
      <c r="BZ347" s="48">
        <v>1159498</v>
      </c>
      <c r="CA347" s="48">
        <v>1159498</v>
      </c>
      <c r="CB347" s="48">
        <v>1159498</v>
      </c>
      <c r="CC347" s="48">
        <v>1159498</v>
      </c>
      <c r="CD347" s="48">
        <v>1159498</v>
      </c>
      <c r="CE347" s="48">
        <v>1159498</v>
      </c>
      <c r="CF347" s="48">
        <v>1159498</v>
      </c>
      <c r="CG347" s="48">
        <v>1159498</v>
      </c>
      <c r="CH347" s="48">
        <v>662910.97</v>
      </c>
      <c r="CI347" s="48">
        <v>661943.87</v>
      </c>
      <c r="CJ347" s="48">
        <v>1232571.23</v>
      </c>
      <c r="CK347" s="48">
        <v>1232571.23</v>
      </c>
      <c r="CL347" s="48">
        <v>1232571.23</v>
      </c>
      <c r="CM347" s="48">
        <v>1232571.23</v>
      </c>
      <c r="CN347" s="48">
        <v>1232571.23</v>
      </c>
      <c r="CO347" s="48">
        <v>1232614.9099999999</v>
      </c>
      <c r="CP347" s="48">
        <v>1232571.23</v>
      </c>
      <c r="CQ347" s="48">
        <v>1232571.23</v>
      </c>
      <c r="CR347" s="48">
        <v>564430.73</v>
      </c>
      <c r="CS347" s="48">
        <v>1158333.3999999999</v>
      </c>
      <c r="CT347" s="48">
        <v>1158333.3999999999</v>
      </c>
      <c r="CU347" s="48">
        <v>1029673.84</v>
      </c>
      <c r="CV347" s="48">
        <v>1468499.19</v>
      </c>
      <c r="CW347" s="48">
        <v>1468499.19</v>
      </c>
      <c r="CX347" s="48">
        <v>1468499.19</v>
      </c>
      <c r="CY347" s="48">
        <v>1584100.99</v>
      </c>
      <c r="CZ347" s="48">
        <v>1526300.09</v>
      </c>
      <c r="DA347" s="48">
        <v>1526300.09</v>
      </c>
      <c r="DB347" s="48">
        <v>1526300.09</v>
      </c>
      <c r="DC347" s="48">
        <v>1526300.09</v>
      </c>
      <c r="DD347" s="48">
        <v>842701.08</v>
      </c>
      <c r="DE347" s="48">
        <f>VLOOKUP($C347,'[2]Analysis 1'!$C$5:$DG$1025,107,FALSE)</f>
        <v>1437500</v>
      </c>
      <c r="DF347" s="48">
        <f>VLOOKUP($C347,'[2]Analysis 1'!$C$5:$DG$1025,108,FALSE)</f>
        <v>1084423.19</v>
      </c>
      <c r="DG347" s="48">
        <f>VLOOKUP($C347,'[2]Analysis 1'!$C$5:$DG$1025,109,FALSE)</f>
        <v>1396088.82</v>
      </c>
      <c r="DH347" s="369">
        <f t="shared" si="11"/>
        <v>16855512.009999998</v>
      </c>
    </row>
    <row r="348" spans="1:112">
      <c r="A348" s="357" t="str">
        <f t="shared" si="9"/>
        <v>6900049</v>
      </c>
      <c r="B348" s="1236" t="s">
        <v>2875</v>
      </c>
      <c r="C348" s="335" t="s">
        <v>2876</v>
      </c>
      <c r="D348" s="340"/>
      <c r="E348" s="340"/>
      <c r="F348" s="340"/>
      <c r="G348" s="340"/>
      <c r="H348" s="340"/>
      <c r="I348" s="340"/>
      <c r="J348" s="340"/>
      <c r="K348" s="340"/>
      <c r="L348" s="340"/>
      <c r="M348" s="340"/>
      <c r="N348" s="340"/>
      <c r="O348" s="341"/>
      <c r="P348" s="48"/>
      <c r="Q348" s="48"/>
      <c r="R348" s="48"/>
      <c r="S348" s="48"/>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c r="BB348" s="48"/>
      <c r="BC348" s="48"/>
      <c r="BD348" s="48"/>
      <c r="BE348" s="48"/>
      <c r="BF348" s="48"/>
      <c r="BG348" s="48"/>
      <c r="BH348" s="48"/>
      <c r="BI348" s="48"/>
      <c r="BJ348" s="48"/>
      <c r="BK348" s="48"/>
      <c r="BL348" s="48"/>
      <c r="BM348" s="48"/>
      <c r="BN348" s="48"/>
      <c r="BO348" s="48"/>
      <c r="BP348" s="48"/>
      <c r="BQ348" s="48"/>
      <c r="BR348" s="48"/>
      <c r="BS348" s="48"/>
      <c r="BT348" s="48"/>
      <c r="BU348" s="48"/>
      <c r="BV348" s="48"/>
      <c r="BW348" s="48"/>
      <c r="BX348" s="48"/>
      <c r="BY348" s="48"/>
      <c r="BZ348" s="48"/>
      <c r="CA348" s="48"/>
      <c r="CB348" s="48"/>
      <c r="CC348" s="48"/>
      <c r="CD348" s="48"/>
      <c r="CE348" s="48"/>
      <c r="CF348" s="48"/>
      <c r="CG348" s="48"/>
      <c r="CH348" s="48"/>
      <c r="CI348" s="48"/>
      <c r="CJ348" s="48"/>
      <c r="CK348" s="48"/>
      <c r="CL348" s="48"/>
      <c r="CM348" s="48">
        <v>0</v>
      </c>
      <c r="CN348" s="48">
        <v>0</v>
      </c>
      <c r="CO348" s="48">
        <v>0</v>
      </c>
      <c r="CP348" s="48">
        <v>0</v>
      </c>
      <c r="CQ348" s="48">
        <v>0</v>
      </c>
      <c r="CR348" s="48">
        <v>0</v>
      </c>
      <c r="CS348" s="48">
        <v>0</v>
      </c>
      <c r="CT348" s="48">
        <v>0</v>
      </c>
      <c r="CU348" s="48">
        <v>0</v>
      </c>
      <c r="CV348" s="48">
        <v>0</v>
      </c>
      <c r="CW348" s="48">
        <v>0</v>
      </c>
      <c r="CX348" s="48">
        <v>0</v>
      </c>
      <c r="CY348" s="48">
        <v>0</v>
      </c>
      <c r="CZ348" s="48">
        <v>0</v>
      </c>
      <c r="DA348" s="48">
        <v>-823.46</v>
      </c>
      <c r="DB348" s="48">
        <v>-1959.38</v>
      </c>
      <c r="DC348" s="48">
        <v>-572.96</v>
      </c>
      <c r="DD348" s="48">
        <v>-958.8</v>
      </c>
      <c r="DE348" s="48">
        <f>VLOOKUP($C348,'[2]Analysis 1'!$C$5:$DG$1025,107,FALSE)</f>
        <v>-1031.4100000000001</v>
      </c>
      <c r="DF348" s="48">
        <f>VLOOKUP($C348,'[2]Analysis 1'!$C$5:$DG$1025,108,FALSE)</f>
        <v>0</v>
      </c>
      <c r="DG348" s="48">
        <f>VLOOKUP($C348,'[2]Analysis 1'!$C$5:$DG$1025,109,FALSE)</f>
        <v>1519.08</v>
      </c>
      <c r="DH348" s="369">
        <f t="shared" si="11"/>
        <v>-3826.9300000000003</v>
      </c>
    </row>
    <row r="349" spans="1:112">
      <c r="A349" s="357" t="str">
        <f t="shared" si="9"/>
        <v>6900061</v>
      </c>
      <c r="B349" s="350" t="s">
        <v>2145</v>
      </c>
      <c r="C349" s="335" t="s">
        <v>1449</v>
      </c>
      <c r="D349" s="340"/>
      <c r="E349" s="340"/>
      <c r="F349" s="340"/>
      <c r="G349" s="340"/>
      <c r="H349" s="340"/>
      <c r="I349" s="340"/>
      <c r="J349" s="340"/>
      <c r="K349" s="340"/>
      <c r="L349" s="340"/>
      <c r="M349" s="340"/>
      <c r="N349" s="340"/>
      <c r="O349" s="341"/>
      <c r="P349" s="48"/>
      <c r="Q349" s="48"/>
      <c r="R349" s="48"/>
      <c r="S349" s="48"/>
      <c r="T349" s="48"/>
      <c r="U349" s="48"/>
      <c r="V349" s="48"/>
      <c r="W349" s="48"/>
      <c r="X349" s="48"/>
      <c r="Y349" s="48"/>
      <c r="Z349" s="48"/>
      <c r="AA349" s="48"/>
      <c r="AB349" s="48"/>
      <c r="AC349" s="48"/>
      <c r="AD349" s="48"/>
      <c r="AE349" s="48">
        <v>0</v>
      </c>
      <c r="AF349" s="48">
        <v>0</v>
      </c>
      <c r="AG349" s="443">
        <v>-29445</v>
      </c>
      <c r="AH349" s="443">
        <v>-9815</v>
      </c>
      <c r="AI349" s="443">
        <v>-9815</v>
      </c>
      <c r="AJ349" s="443">
        <v>-9815</v>
      </c>
      <c r="AK349" s="443">
        <v>-9815</v>
      </c>
      <c r="AL349" s="443">
        <v>-16677</v>
      </c>
      <c r="AM349" s="443">
        <v>-13246</v>
      </c>
      <c r="AN349" s="443">
        <v>-12834</v>
      </c>
      <c r="AO349" s="443">
        <v>-12835</v>
      </c>
      <c r="AP349" s="443">
        <v>-12835</v>
      </c>
      <c r="AQ349" s="443">
        <v>-12835</v>
      </c>
      <c r="AR349" s="443">
        <v>-12835</v>
      </c>
      <c r="AS349" s="443">
        <v>-12835</v>
      </c>
      <c r="AT349" s="443">
        <v>-12835</v>
      </c>
      <c r="AU349" s="443">
        <v>-12835</v>
      </c>
      <c r="AV349" s="443">
        <v>-12835</v>
      </c>
      <c r="AW349" s="443">
        <v>-12835</v>
      </c>
      <c r="AX349" s="443">
        <v>-12835</v>
      </c>
      <c r="AY349" s="443">
        <v>-12835</v>
      </c>
      <c r="AZ349" s="443">
        <v>-12173</v>
      </c>
      <c r="BA349" s="443">
        <v>-12173</v>
      </c>
      <c r="BB349" s="443">
        <v>-12173</v>
      </c>
      <c r="BC349" s="443">
        <v>-12173</v>
      </c>
      <c r="BD349" s="443">
        <v>-12173</v>
      </c>
      <c r="BE349" s="443">
        <v>-12167</v>
      </c>
      <c r="BF349" s="443">
        <v>-12172</v>
      </c>
      <c r="BG349" s="443">
        <v>-12173</v>
      </c>
      <c r="BH349" s="443">
        <v>-12173</v>
      </c>
      <c r="BI349" s="443">
        <v>-12173</v>
      </c>
      <c r="BJ349" s="443">
        <v>-12173</v>
      </c>
      <c r="BK349" s="443">
        <v>-12173</v>
      </c>
      <c r="BL349" s="443">
        <v>-11510</v>
      </c>
      <c r="BM349" s="443">
        <v>-11510</v>
      </c>
      <c r="BN349" s="443">
        <v>-11510</v>
      </c>
      <c r="BO349" s="443">
        <v>-11510</v>
      </c>
      <c r="BP349" s="443">
        <v>-11510</v>
      </c>
      <c r="BQ349" s="443">
        <v>-11510</v>
      </c>
      <c r="BR349" s="443">
        <v>-11510</v>
      </c>
      <c r="BS349" s="443">
        <v>-11510</v>
      </c>
      <c r="BT349" s="443">
        <v>-11510</v>
      </c>
      <c r="BU349" s="443">
        <v>-11510</v>
      </c>
      <c r="BV349" s="443">
        <v>-11510</v>
      </c>
      <c r="BW349" s="443">
        <v>-11510</v>
      </c>
      <c r="BX349" s="443">
        <v>-10849</v>
      </c>
      <c r="BY349" s="443">
        <v>-10849</v>
      </c>
      <c r="BZ349" s="443">
        <v>-10849</v>
      </c>
      <c r="CA349" s="443">
        <v>-10849</v>
      </c>
      <c r="CB349" s="443">
        <v>-10849</v>
      </c>
      <c r="CC349" s="443">
        <v>-10849</v>
      </c>
      <c r="CD349" s="443">
        <v>-10849</v>
      </c>
      <c r="CE349" s="443">
        <v>-10849</v>
      </c>
      <c r="CF349" s="443">
        <v>-10849</v>
      </c>
      <c r="CG349" s="443">
        <v>-10849</v>
      </c>
      <c r="CH349" s="443">
        <v>-10849</v>
      </c>
      <c r="CI349" s="443">
        <v>-10849</v>
      </c>
      <c r="CJ349" s="443">
        <v>-10186</v>
      </c>
      <c r="CK349" s="443">
        <v>-10186</v>
      </c>
      <c r="CL349" s="443">
        <v>-10186</v>
      </c>
      <c r="CM349" s="443">
        <v>-10186</v>
      </c>
      <c r="CN349" s="443">
        <v>-10186</v>
      </c>
      <c r="CO349" s="443">
        <v>-10186</v>
      </c>
      <c r="CP349" s="443">
        <v>-10186</v>
      </c>
      <c r="CQ349" s="443">
        <v>-10186</v>
      </c>
      <c r="CR349" s="443">
        <v>-10186</v>
      </c>
      <c r="CS349" s="443">
        <v>-10186</v>
      </c>
      <c r="CT349" s="443">
        <v>-10186</v>
      </c>
      <c r="CU349" s="443">
        <v>-10186</v>
      </c>
      <c r="CV349" s="443">
        <v>-9524</v>
      </c>
      <c r="CW349" s="443">
        <v>-9524</v>
      </c>
      <c r="CX349" s="443">
        <v>-9524</v>
      </c>
      <c r="CY349" s="443">
        <v>-6993</v>
      </c>
      <c r="CZ349" s="443">
        <v>-6993</v>
      </c>
      <c r="DA349" s="443">
        <v>-6993</v>
      </c>
      <c r="DB349" s="443">
        <v>-6993</v>
      </c>
      <c r="DC349" s="443">
        <v>0</v>
      </c>
      <c r="DD349" s="443">
        <v>0</v>
      </c>
      <c r="DE349" s="443">
        <f>VLOOKUP($C349,'[2]Analysis 1'!$C$5:$DG$1025,107,FALSE)</f>
        <v>0</v>
      </c>
      <c r="DF349" s="443">
        <f>VLOOKUP($C349,'[2]Analysis 1'!$C$5:$DG$1025,108,FALSE)</f>
        <v>0</v>
      </c>
      <c r="DG349" s="443">
        <f>VLOOKUP($C349,'[2]Analysis 1'!$C$5:$DG$1025,109,FALSE)</f>
        <v>0</v>
      </c>
      <c r="DH349" s="369">
        <f t="shared" si="11"/>
        <v>-56544</v>
      </c>
    </row>
    <row r="350" spans="1:112">
      <c r="A350" s="357" t="str">
        <f t="shared" si="9"/>
        <v>6900070</v>
      </c>
      <c r="B350" s="350" t="s">
        <v>2146</v>
      </c>
      <c r="C350" s="335" t="s">
        <v>1223</v>
      </c>
      <c r="D350" s="367">
        <v>190106.41</v>
      </c>
      <c r="E350" s="367">
        <v>178244.85</v>
      </c>
      <c r="F350" s="367">
        <v>152307.96</v>
      </c>
      <c r="G350" s="367">
        <v>136766.87</v>
      </c>
      <c r="H350" s="367">
        <v>125067.01</v>
      </c>
      <c r="I350" s="367">
        <v>115244.77</v>
      </c>
      <c r="J350" s="367">
        <v>111157.89</v>
      </c>
      <c r="K350" s="367">
        <v>104862.12</v>
      </c>
      <c r="L350" s="367">
        <v>138566.35999999999</v>
      </c>
      <c r="M350" s="367">
        <v>79139.25</v>
      </c>
      <c r="N350" s="367">
        <v>118099.26</v>
      </c>
      <c r="O350" s="368">
        <v>190104.65</v>
      </c>
      <c r="P350" s="48">
        <v>173194.35</v>
      </c>
      <c r="Q350" s="48">
        <v>172300.56</v>
      </c>
      <c r="R350" s="48">
        <v>165117.4</v>
      </c>
      <c r="S350" s="48">
        <v>128986.18</v>
      </c>
      <c r="T350" s="48">
        <v>136626.10999999999</v>
      </c>
      <c r="U350" s="48">
        <v>122925.82</v>
      </c>
      <c r="V350" s="48">
        <v>120321.46</v>
      </c>
      <c r="W350" s="48">
        <v>115236.63</v>
      </c>
      <c r="X350" s="48">
        <v>126306.09</v>
      </c>
      <c r="Y350" s="48">
        <v>123591.56</v>
      </c>
      <c r="Z350" s="48">
        <v>128782.04</v>
      </c>
      <c r="AA350" s="48">
        <v>155270.85</v>
      </c>
      <c r="AB350" s="48">
        <v>165747.07</v>
      </c>
      <c r="AC350" s="48">
        <v>184487.17</v>
      </c>
      <c r="AD350" s="48">
        <v>161719.97</v>
      </c>
      <c r="AE350" s="48">
        <v>145017.46</v>
      </c>
      <c r="AF350" s="48">
        <v>134033.91</v>
      </c>
      <c r="AG350" s="48">
        <v>147424.18</v>
      </c>
      <c r="AH350" s="48">
        <v>135357.71</v>
      </c>
      <c r="AI350" s="48">
        <v>147344.25</v>
      </c>
      <c r="AJ350" s="48">
        <v>142040.09</v>
      </c>
      <c r="AK350" s="48">
        <v>140638.31</v>
      </c>
      <c r="AL350" s="48">
        <v>139655.96</v>
      </c>
      <c r="AM350" s="48">
        <v>139422.57</v>
      </c>
      <c r="AN350" s="48">
        <v>164471.87</v>
      </c>
      <c r="AO350" s="48">
        <v>163845.14000000001</v>
      </c>
      <c r="AP350" s="48">
        <v>153868.12</v>
      </c>
      <c r="AQ350" s="48">
        <v>151260.76999999999</v>
      </c>
      <c r="AR350" s="48">
        <v>146118.57999999999</v>
      </c>
      <c r="AS350" s="48">
        <v>137944.79</v>
      </c>
      <c r="AT350" s="48">
        <v>127049.95</v>
      </c>
      <c r="AU350" s="48">
        <v>131260.43</v>
      </c>
      <c r="AV350" s="48">
        <v>138190.48000000001</v>
      </c>
      <c r="AW350" s="48">
        <v>131213.89000000001</v>
      </c>
      <c r="AX350" s="48">
        <v>148033.01</v>
      </c>
      <c r="AY350" s="48">
        <v>173217.98</v>
      </c>
      <c r="AZ350" s="48">
        <v>224566.48</v>
      </c>
      <c r="BA350" s="48">
        <v>208661.42</v>
      </c>
      <c r="BB350" s="48">
        <v>168561.81</v>
      </c>
      <c r="BC350" s="48">
        <v>173036.45</v>
      </c>
      <c r="BD350" s="48">
        <v>151341.87</v>
      </c>
      <c r="BE350" s="48">
        <v>148590.45000000001</v>
      </c>
      <c r="BF350" s="48">
        <v>141468.37</v>
      </c>
      <c r="BG350" s="48">
        <v>149505</v>
      </c>
      <c r="BH350" s="48">
        <v>149474.21</v>
      </c>
      <c r="BI350" s="48">
        <v>139261.81</v>
      </c>
      <c r="BJ350" s="48">
        <v>150265.22</v>
      </c>
      <c r="BK350" s="48">
        <v>178957.13</v>
      </c>
      <c r="BL350" s="48">
        <v>192312.36</v>
      </c>
      <c r="BM350" s="48">
        <v>192561.32</v>
      </c>
      <c r="BN350" s="48">
        <v>173146.54</v>
      </c>
      <c r="BO350" s="48">
        <v>166352.44</v>
      </c>
      <c r="BP350" s="48">
        <v>156239.94</v>
      </c>
      <c r="BQ350" s="48">
        <v>144986.88</v>
      </c>
      <c r="BR350" s="48">
        <v>138172.34</v>
      </c>
      <c r="BS350" s="48">
        <v>132512.26</v>
      </c>
      <c r="BT350" s="48">
        <v>136917.5</v>
      </c>
      <c r="BU350" s="48">
        <v>141768.03</v>
      </c>
      <c r="BV350" s="48">
        <v>141768.03</v>
      </c>
      <c r="BW350" s="48">
        <v>176726.28</v>
      </c>
      <c r="BX350" s="48">
        <v>194367.62</v>
      </c>
      <c r="BY350" s="48">
        <v>188167.73</v>
      </c>
      <c r="BZ350" s="48">
        <v>177744.29</v>
      </c>
      <c r="CA350" s="48">
        <v>131900.16</v>
      </c>
      <c r="CB350" s="48">
        <v>140744.25</v>
      </c>
      <c r="CC350" s="48">
        <v>137373.29999999999</v>
      </c>
      <c r="CD350" s="48">
        <v>151799.5</v>
      </c>
      <c r="CE350" s="48">
        <v>133983.67000000001</v>
      </c>
      <c r="CF350" s="48">
        <v>127094.12</v>
      </c>
      <c r="CG350" s="48">
        <v>135590.22</v>
      </c>
      <c r="CH350" s="48">
        <v>148605.32</v>
      </c>
      <c r="CI350" s="48">
        <v>178741.87</v>
      </c>
      <c r="CJ350" s="48">
        <v>247852.69</v>
      </c>
      <c r="CK350" s="48">
        <v>233717.86</v>
      </c>
      <c r="CL350" s="48">
        <v>210269.24</v>
      </c>
      <c r="CM350" s="48">
        <v>213234.81</v>
      </c>
      <c r="CN350" s="48">
        <v>187290.12</v>
      </c>
      <c r="CO350" s="48">
        <v>180968.28</v>
      </c>
      <c r="CP350" s="48">
        <v>172135.59</v>
      </c>
      <c r="CQ350" s="48">
        <v>162802.17000000001</v>
      </c>
      <c r="CR350" s="48">
        <v>170596.77</v>
      </c>
      <c r="CS350" s="48">
        <v>169604.49</v>
      </c>
      <c r="CT350" s="48">
        <v>206204.79999999999</v>
      </c>
      <c r="CU350" s="48">
        <v>224752.08</v>
      </c>
      <c r="CV350" s="48">
        <v>254295.39</v>
      </c>
      <c r="CW350" s="48">
        <v>285930.43</v>
      </c>
      <c r="CX350" s="48">
        <v>254830.35</v>
      </c>
      <c r="CY350" s="48">
        <v>240871.56</v>
      </c>
      <c r="CZ350" s="48">
        <v>229510.57</v>
      </c>
      <c r="DA350" s="48">
        <v>227147.19</v>
      </c>
      <c r="DB350" s="48">
        <v>207906.27</v>
      </c>
      <c r="DC350" s="48">
        <v>242009.04</v>
      </c>
      <c r="DD350" s="48">
        <v>237417.8</v>
      </c>
      <c r="DE350" s="48">
        <f>VLOOKUP($C350,'[2]Analysis 1'!$C$5:$DG$1025,107,FALSE)</f>
        <v>241857.75</v>
      </c>
      <c r="DF350" s="48">
        <f>VLOOKUP($C350,'[2]Analysis 1'!$C$5:$DG$1025,108,FALSE)</f>
        <v>210034.16</v>
      </c>
      <c r="DG350" s="48">
        <f>VLOOKUP($C350,'[2]Analysis 1'!$C$5:$DG$1025,109,FALSE)</f>
        <v>235251.06</v>
      </c>
      <c r="DH350" s="369">
        <f t="shared" si="11"/>
        <v>2867061.5700000003</v>
      </c>
    </row>
    <row r="351" spans="1:112">
      <c r="A351" s="357" t="str">
        <f t="shared" si="9"/>
        <v>6900110</v>
      </c>
      <c r="B351" s="350" t="s">
        <v>2147</v>
      </c>
      <c r="C351" s="335" t="s">
        <v>1224</v>
      </c>
      <c r="D351" s="367">
        <v>0</v>
      </c>
      <c r="E351" s="367">
        <v>0</v>
      </c>
      <c r="F351" s="367">
        <v>0</v>
      </c>
      <c r="G351" s="367">
        <v>0</v>
      </c>
      <c r="H351" s="367">
        <v>0</v>
      </c>
      <c r="I351" s="367">
        <v>0</v>
      </c>
      <c r="J351" s="367">
        <v>7215.96</v>
      </c>
      <c r="K351" s="367">
        <v>0</v>
      </c>
      <c r="L351" s="367">
        <v>0</v>
      </c>
      <c r="M351" s="367">
        <v>952.88</v>
      </c>
      <c r="N351" s="367">
        <v>457.92</v>
      </c>
      <c r="O351" s="368">
        <v>52.11</v>
      </c>
      <c r="P351" s="48">
        <v>35.409999999999997</v>
      </c>
      <c r="Q351" s="48">
        <v>31.04</v>
      </c>
      <c r="R351" s="48">
        <v>69.03</v>
      </c>
      <c r="S351" s="48">
        <v>34.51</v>
      </c>
      <c r="T351" s="48">
        <v>78.75</v>
      </c>
      <c r="U351" s="48">
        <v>88.8</v>
      </c>
      <c r="V351" s="48">
        <v>6942.84</v>
      </c>
      <c r="W351" s="48">
        <v>196.84</v>
      </c>
      <c r="X351" s="48">
        <v>84.23</v>
      </c>
      <c r="Y351" s="48">
        <v>68.84</v>
      </c>
      <c r="Z351" s="48">
        <v>108.74</v>
      </c>
      <c r="AA351" s="48">
        <v>87.47</v>
      </c>
      <c r="AB351" s="48">
        <v>147.63</v>
      </c>
      <c r="AC351" s="48">
        <v>199.82</v>
      </c>
      <c r="AD351" s="48">
        <v>98.15</v>
      </c>
      <c r="AE351" s="48">
        <v>146.15</v>
      </c>
      <c r="AF351" s="48">
        <v>104.3</v>
      </c>
      <c r="AG351" s="48">
        <v>90.16</v>
      </c>
      <c r="AH351" s="48">
        <v>6995.76</v>
      </c>
      <c r="AI351" s="48">
        <v>137.41</v>
      </c>
      <c r="AJ351" s="48">
        <v>115.81</v>
      </c>
      <c r="AK351" s="48">
        <v>118.04</v>
      </c>
      <c r="AL351" s="48">
        <v>83.8</v>
      </c>
      <c r="AM351" s="48">
        <v>107.66</v>
      </c>
      <c r="AN351" s="48">
        <v>104.6</v>
      </c>
      <c r="AO351" s="48">
        <v>124.94</v>
      </c>
      <c r="AP351" s="48">
        <v>75.5</v>
      </c>
      <c r="AQ351" s="48">
        <v>85.09</v>
      </c>
      <c r="AR351" s="48">
        <v>6684.51</v>
      </c>
      <c r="AS351" s="48">
        <v>54.77</v>
      </c>
      <c r="AT351" s="48">
        <v>0</v>
      </c>
      <c r="AU351" s="48">
        <v>73.52</v>
      </c>
      <c r="AV351" s="48">
        <v>-3658.45</v>
      </c>
      <c r="AW351" s="48">
        <v>185.56</v>
      </c>
      <c r="AX351" s="48">
        <v>47.37</v>
      </c>
      <c r="AY351" s="48">
        <v>59.55</v>
      </c>
      <c r="AZ351" s="48">
        <v>62.92</v>
      </c>
      <c r="BA351" s="48">
        <v>68.86</v>
      </c>
      <c r="BB351" s="48">
        <v>45.11</v>
      </c>
      <c r="BC351" s="48">
        <v>46.04</v>
      </c>
      <c r="BD351" s="48">
        <v>62.64</v>
      </c>
      <c r="BE351" s="48">
        <v>54.74</v>
      </c>
      <c r="BF351" s="48">
        <v>60.52</v>
      </c>
      <c r="BG351" s="48">
        <v>40.700000000000003</v>
      </c>
      <c r="BH351" s="48">
        <v>59.49</v>
      </c>
      <c r="BI351" s="48">
        <v>15.74</v>
      </c>
      <c r="BJ351" s="48">
        <v>35.17</v>
      </c>
      <c r="BK351" s="48">
        <v>56</v>
      </c>
      <c r="BL351" s="48">
        <v>23.16</v>
      </c>
      <c r="BM351" s="48">
        <v>25.5</v>
      </c>
      <c r="BN351" s="48">
        <v>33.700000000000003</v>
      </c>
      <c r="BO351" s="48">
        <v>12.41</v>
      </c>
      <c r="BP351" s="48">
        <v>12.6</v>
      </c>
      <c r="BQ351" s="48">
        <v>6.27</v>
      </c>
      <c r="BR351" s="48">
        <v>13.49</v>
      </c>
      <c r="BS351" s="48">
        <v>16.920000000000002</v>
      </c>
      <c r="BT351" s="48">
        <v>1.48</v>
      </c>
      <c r="BU351" s="48">
        <v>20.73</v>
      </c>
      <c r="BV351" s="48">
        <v>8.58</v>
      </c>
      <c r="BW351" s="48">
        <v>19.71</v>
      </c>
      <c r="BX351" s="48">
        <v>16.170000000000002</v>
      </c>
      <c r="BY351" s="48">
        <v>11.85</v>
      </c>
      <c r="BZ351" s="48">
        <v>10.37</v>
      </c>
      <c r="CA351" s="48">
        <v>23.7</v>
      </c>
      <c r="CB351" s="48">
        <v>3.26</v>
      </c>
      <c r="CC351" s="48">
        <v>50.35</v>
      </c>
      <c r="CD351" s="48">
        <v>35.54</v>
      </c>
      <c r="CE351" s="48">
        <v>2.15</v>
      </c>
      <c r="CF351" s="48">
        <v>1.48</v>
      </c>
      <c r="CG351" s="48">
        <v>3.29</v>
      </c>
      <c r="CH351" s="48">
        <v>0</v>
      </c>
      <c r="CI351" s="48">
        <v>27.21</v>
      </c>
      <c r="CJ351" s="48">
        <v>13.33</v>
      </c>
      <c r="CK351" s="48">
        <v>1.64</v>
      </c>
      <c r="CL351" s="48">
        <v>7.4</v>
      </c>
      <c r="CM351" s="48">
        <v>-1.17</v>
      </c>
      <c r="CN351" s="48">
        <v>8.89</v>
      </c>
      <c r="CO351" s="48">
        <v>6.78</v>
      </c>
      <c r="CP351" s="48">
        <v>5.92</v>
      </c>
      <c r="CQ351" s="48">
        <v>12.66</v>
      </c>
      <c r="CR351" s="48">
        <v>5.31</v>
      </c>
      <c r="CS351" s="48">
        <v>2.35</v>
      </c>
      <c r="CT351" s="48">
        <v>8.14</v>
      </c>
      <c r="CU351" s="48">
        <v>0</v>
      </c>
      <c r="CV351" s="48">
        <v>18.95</v>
      </c>
      <c r="CW351" s="48">
        <v>3.54</v>
      </c>
      <c r="CX351" s="48">
        <v>4.4400000000000004</v>
      </c>
      <c r="CY351" s="48">
        <v>4.74</v>
      </c>
      <c r="CZ351" s="48">
        <v>0</v>
      </c>
      <c r="DA351" s="48">
        <v>4.4400000000000004</v>
      </c>
      <c r="DB351" s="48">
        <v>0</v>
      </c>
      <c r="DC351" s="48">
        <v>1.48</v>
      </c>
      <c r="DD351" s="48">
        <v>23.17</v>
      </c>
      <c r="DE351" s="48">
        <f>VLOOKUP($C351,'[2]Analysis 1'!$C$5:$DG$1025,107,FALSE)</f>
        <v>0</v>
      </c>
      <c r="DF351" s="48">
        <f>VLOOKUP($C351,'[2]Analysis 1'!$C$5:$DG$1025,108,FALSE)</f>
        <v>11.24</v>
      </c>
      <c r="DG351" s="48">
        <f>VLOOKUP($C351,'[2]Analysis 1'!$C$5:$DG$1025,109,FALSE)</f>
        <v>7.68</v>
      </c>
      <c r="DH351" s="369">
        <f t="shared" si="11"/>
        <v>79.680000000000007</v>
      </c>
    </row>
    <row r="352" spans="1:112">
      <c r="A352" s="357" t="str">
        <f t="shared" si="9"/>
        <v>6900120</v>
      </c>
      <c r="B352" s="350" t="s">
        <v>2148</v>
      </c>
      <c r="C352" s="335" t="s">
        <v>1225</v>
      </c>
      <c r="D352" s="340">
        <v>60</v>
      </c>
      <c r="E352" s="340">
        <v>0</v>
      </c>
      <c r="F352" s="340">
        <v>0</v>
      </c>
      <c r="G352" s="340">
        <v>1477.5</v>
      </c>
      <c r="H352" s="340">
        <v>0</v>
      </c>
      <c r="I352" s="340">
        <v>0</v>
      </c>
      <c r="J352" s="340">
        <v>2699.64</v>
      </c>
      <c r="K352" s="340">
        <v>6603.05</v>
      </c>
      <c r="L352" s="340">
        <v>3660.93</v>
      </c>
      <c r="M352" s="340">
        <v>356.15</v>
      </c>
      <c r="N352" s="340">
        <v>0</v>
      </c>
      <c r="O352" s="341">
        <v>108.08</v>
      </c>
      <c r="P352" s="48">
        <v>0</v>
      </c>
      <c r="Q352" s="48">
        <v>0</v>
      </c>
      <c r="R352" s="48">
        <v>0</v>
      </c>
      <c r="S352" s="48">
        <v>0</v>
      </c>
      <c r="T352" s="48">
        <v>440.5</v>
      </c>
      <c r="U352" s="48">
        <v>0</v>
      </c>
      <c r="V352" s="48">
        <v>2624.64</v>
      </c>
      <c r="W352" s="48">
        <v>6257.35</v>
      </c>
      <c r="X352" s="48">
        <v>1398.43</v>
      </c>
      <c r="Y352" s="48">
        <v>216.15</v>
      </c>
      <c r="Z352" s="48">
        <v>0</v>
      </c>
      <c r="AA352" s="48">
        <v>270</v>
      </c>
      <c r="AB352" s="48">
        <v>108.08</v>
      </c>
      <c r="AC352" s="48">
        <v>0</v>
      </c>
      <c r="AD352" s="48">
        <v>-27</v>
      </c>
      <c r="AE352" s="48">
        <v>0</v>
      </c>
      <c r="AF352" s="48">
        <v>0</v>
      </c>
      <c r="AG352" s="48">
        <v>477.9</v>
      </c>
      <c r="AH352" s="48">
        <v>2441.0100000000002</v>
      </c>
      <c r="AI352" s="48">
        <v>6361.43</v>
      </c>
      <c r="AJ352" s="48">
        <v>1258.43</v>
      </c>
      <c r="AK352" s="48">
        <v>203.5</v>
      </c>
      <c r="AL352" s="48">
        <v>0</v>
      </c>
      <c r="AM352" s="48">
        <v>183.63</v>
      </c>
      <c r="AN352" s="48">
        <v>0</v>
      </c>
      <c r="AO352" s="48">
        <v>60</v>
      </c>
      <c r="AP352" s="48">
        <v>1968.76</v>
      </c>
      <c r="AQ352" s="48">
        <v>0</v>
      </c>
      <c r="AR352" s="48">
        <v>445</v>
      </c>
      <c r="AS352" s="48">
        <v>479.35</v>
      </c>
      <c r="AT352" s="48">
        <v>156.63</v>
      </c>
      <c r="AU352" s="48">
        <v>9329.69</v>
      </c>
      <c r="AV352" s="48">
        <v>590.03</v>
      </c>
      <c r="AW352" s="48">
        <v>817.74</v>
      </c>
      <c r="AX352" s="48">
        <v>0</v>
      </c>
      <c r="AY352" s="48">
        <v>222</v>
      </c>
      <c r="AZ352" s="48">
        <v>0</v>
      </c>
      <c r="BA352" s="48">
        <v>60</v>
      </c>
      <c r="BB352" s="48">
        <v>0</v>
      </c>
      <c r="BC352" s="48">
        <v>111</v>
      </c>
      <c r="BD352" s="48">
        <v>0</v>
      </c>
      <c r="BE352" s="48">
        <v>479.35</v>
      </c>
      <c r="BF352" s="48">
        <v>0</v>
      </c>
      <c r="BG352" s="48">
        <v>6558.83</v>
      </c>
      <c r="BH352" s="48">
        <v>3679.51</v>
      </c>
      <c r="BI352" s="48">
        <v>3391.1</v>
      </c>
      <c r="BJ352" s="48">
        <v>222</v>
      </c>
      <c r="BK352" s="48">
        <v>-111</v>
      </c>
      <c r="BL352" s="48">
        <v>0</v>
      </c>
      <c r="BM352" s="48">
        <v>58.75</v>
      </c>
      <c r="BN352" s="48">
        <v>0</v>
      </c>
      <c r="BO352" s="48">
        <v>0</v>
      </c>
      <c r="BP352" s="48">
        <v>0</v>
      </c>
      <c r="BQ352" s="48">
        <v>479.35</v>
      </c>
      <c r="BR352" s="48">
        <v>0</v>
      </c>
      <c r="BS352" s="48">
        <v>5769.74</v>
      </c>
      <c r="BT352" s="48">
        <v>798.51</v>
      </c>
      <c r="BU352" s="48">
        <v>29.5</v>
      </c>
      <c r="BV352" s="48">
        <v>222</v>
      </c>
      <c r="BW352" s="48">
        <v>90</v>
      </c>
      <c r="BX352" s="48">
        <v>0</v>
      </c>
      <c r="BY352" s="48">
        <v>0</v>
      </c>
      <c r="BZ352" s="48">
        <v>0</v>
      </c>
      <c r="CA352" s="48">
        <v>0</v>
      </c>
      <c r="CB352" s="48">
        <v>0</v>
      </c>
      <c r="CC352" s="48">
        <v>1588.74</v>
      </c>
      <c r="CD352" s="48">
        <v>258.94</v>
      </c>
      <c r="CE352" s="48">
        <v>7780.68</v>
      </c>
      <c r="CF352" s="48">
        <v>4174.59</v>
      </c>
      <c r="CG352" s="48">
        <v>2515.35</v>
      </c>
      <c r="CH352" s="48">
        <v>231.11</v>
      </c>
      <c r="CI352" s="48">
        <v>249.56</v>
      </c>
      <c r="CJ352" s="48">
        <v>-9.11</v>
      </c>
      <c r="CK352" s="48">
        <v>52.7</v>
      </c>
      <c r="CL352" s="48">
        <v>-222</v>
      </c>
      <c r="CM352" s="48">
        <v>115.55</v>
      </c>
      <c r="CN352" s="48">
        <v>0</v>
      </c>
      <c r="CO352" s="48">
        <v>0</v>
      </c>
      <c r="CP352" s="48">
        <v>2681.32</v>
      </c>
      <c r="CQ352" s="48">
        <v>860.82</v>
      </c>
      <c r="CR352" s="48">
        <v>7777.6</v>
      </c>
      <c r="CS352" s="48">
        <v>0</v>
      </c>
      <c r="CT352" s="48">
        <v>231.11</v>
      </c>
      <c r="CU352" s="48">
        <v>0</v>
      </c>
      <c r="CV352" s="48">
        <v>-1527.5</v>
      </c>
      <c r="CW352" s="48">
        <v>-800</v>
      </c>
      <c r="CX352" s="48">
        <v>0</v>
      </c>
      <c r="CY352" s="48">
        <v>0</v>
      </c>
      <c r="CZ352" s="48">
        <v>0</v>
      </c>
      <c r="DA352" s="48">
        <v>0</v>
      </c>
      <c r="DB352" s="48">
        <v>1125.32</v>
      </c>
      <c r="DC352" s="48">
        <v>7466.12</v>
      </c>
      <c r="DD352" s="48">
        <v>4321.82</v>
      </c>
      <c r="DE352" s="48">
        <f>VLOOKUP($C352,'[2]Analysis 1'!$C$5:$DG$1025,107,FALSE)</f>
        <v>0</v>
      </c>
      <c r="DF352" s="48">
        <f>VLOOKUP($C352,'[2]Analysis 1'!$C$5:$DG$1025,108,FALSE)</f>
        <v>130.25</v>
      </c>
      <c r="DG352" s="48">
        <f>VLOOKUP($C352,'[2]Analysis 1'!$C$5:$DG$1025,109,FALSE)</f>
        <v>0</v>
      </c>
      <c r="DH352" s="369">
        <f t="shared" si="11"/>
        <v>10716.009999999998</v>
      </c>
    </row>
    <row r="353" spans="1:112">
      <c r="A353" s="357" t="str">
        <f t="shared" si="9"/>
        <v>6900800</v>
      </c>
      <c r="B353" s="350" t="s">
        <v>2149</v>
      </c>
      <c r="C353" s="335" t="s">
        <v>1226</v>
      </c>
      <c r="D353" s="340">
        <v>-48807.46</v>
      </c>
      <c r="E353" s="340">
        <v>-135451.97</v>
      </c>
      <c r="F353" s="340">
        <v>26239.97</v>
      </c>
      <c r="G353" s="340">
        <v>-49930.37</v>
      </c>
      <c r="H353" s="340">
        <v>-50384.11</v>
      </c>
      <c r="I353" s="340">
        <v>-73813.75</v>
      </c>
      <c r="J353" s="340">
        <v>-50214</v>
      </c>
      <c r="K353" s="340">
        <v>-46647.73</v>
      </c>
      <c r="L353" s="340">
        <v>-47126.080000000002</v>
      </c>
      <c r="M353" s="340">
        <v>-48863.56</v>
      </c>
      <c r="N353" s="340">
        <v>-77853.850000000006</v>
      </c>
      <c r="O353" s="341">
        <v>-57133.2</v>
      </c>
      <c r="P353" s="48">
        <v>-72703.97</v>
      </c>
      <c r="Q353" s="48">
        <v>-99341.82</v>
      </c>
      <c r="R353" s="48">
        <v>-13501</v>
      </c>
      <c r="S353" s="48">
        <v>-40207.870000000003</v>
      </c>
      <c r="T353" s="48">
        <v>-76809.13</v>
      </c>
      <c r="U353" s="48">
        <v>-51572.54</v>
      </c>
      <c r="V353" s="48">
        <v>-50648.4</v>
      </c>
      <c r="W353" s="48">
        <v>-47570.07</v>
      </c>
      <c r="X353" s="48">
        <v>-47788.87</v>
      </c>
      <c r="Y353" s="48">
        <v>-43464.05</v>
      </c>
      <c r="Z353" s="48">
        <v>-65706.25</v>
      </c>
      <c r="AA353" s="48">
        <v>4059.48</v>
      </c>
      <c r="AB353" s="48">
        <v>-58793.55</v>
      </c>
      <c r="AC353" s="48">
        <v>-51020.78</v>
      </c>
      <c r="AD353" s="48">
        <v>-45462.78</v>
      </c>
      <c r="AE353" s="48">
        <v>-81814.990000000005</v>
      </c>
      <c r="AF353" s="48">
        <v>-52247.46</v>
      </c>
      <c r="AG353" s="48">
        <v>-53660.31</v>
      </c>
      <c r="AH353" s="48">
        <v>-54460.23</v>
      </c>
      <c r="AI353" s="48">
        <v>-53419.55</v>
      </c>
      <c r="AJ353" s="48">
        <v>-57056.12</v>
      </c>
      <c r="AK353" s="48">
        <v>-82980.44</v>
      </c>
      <c r="AL353" s="48">
        <v>-59035.56</v>
      </c>
      <c r="AM353" s="48">
        <v>-55504.7</v>
      </c>
      <c r="AN353" s="48">
        <v>-58906.95</v>
      </c>
      <c r="AO353" s="48">
        <v>-83863.98</v>
      </c>
      <c r="AP353" s="48">
        <v>-76884.14</v>
      </c>
      <c r="AQ353" s="48">
        <v>-106902.41</v>
      </c>
      <c r="AR353" s="48">
        <v>-71244.31</v>
      </c>
      <c r="AS353" s="48">
        <v>-72504.41</v>
      </c>
      <c r="AT353" s="48">
        <v>-68967.7</v>
      </c>
      <c r="AU353" s="48">
        <v>-79966.899999999994</v>
      </c>
      <c r="AV353" s="48">
        <v>-108577.48</v>
      </c>
      <c r="AW353" s="48">
        <v>-80500.08</v>
      </c>
      <c r="AX353" s="48">
        <v>-70659.77</v>
      </c>
      <c r="AY353" s="48">
        <v>224152.95999999999</v>
      </c>
      <c r="AZ353" s="48">
        <v>-68162.259999999995</v>
      </c>
      <c r="BA353" s="48">
        <v>-79551.72</v>
      </c>
      <c r="BB353" s="48">
        <v>-285132.02</v>
      </c>
      <c r="BC353" s="48">
        <v>-111216.47</v>
      </c>
      <c r="BD353" s="48">
        <v>-74994.649999999994</v>
      </c>
      <c r="BE353" s="48">
        <v>-72823.820000000007</v>
      </c>
      <c r="BF353" s="48">
        <v>-77567.86</v>
      </c>
      <c r="BG353" s="48">
        <v>-75004.320000000007</v>
      </c>
      <c r="BH353" s="48">
        <v>-126087.66</v>
      </c>
      <c r="BI353" s="48">
        <v>-84472.6</v>
      </c>
      <c r="BJ353" s="48">
        <v>-118922.82</v>
      </c>
      <c r="BK353" s="48">
        <v>-132921.5</v>
      </c>
      <c r="BL353" s="48">
        <v>-89597.69</v>
      </c>
      <c r="BM353" s="48">
        <v>-143198.71</v>
      </c>
      <c r="BN353" s="48">
        <v>-86987.67</v>
      </c>
      <c r="BO353" s="48">
        <v>-88912.93</v>
      </c>
      <c r="BP353" s="48">
        <v>-82749.179999999993</v>
      </c>
      <c r="BQ353" s="48">
        <v>-86852.22</v>
      </c>
      <c r="BR353" s="48">
        <v>-88517.45</v>
      </c>
      <c r="BS353" s="48">
        <v>-79630.81</v>
      </c>
      <c r="BT353" s="48">
        <v>-123013.92</v>
      </c>
      <c r="BU353" s="48">
        <v>-82046.87</v>
      </c>
      <c r="BV353" s="48">
        <v>-83007.97</v>
      </c>
      <c r="BW353" s="48">
        <v>-86679.39</v>
      </c>
      <c r="BX353" s="48">
        <v>-85530.95</v>
      </c>
      <c r="BY353" s="48">
        <v>-144480.37</v>
      </c>
      <c r="BZ353" s="48">
        <v>-92741.06</v>
      </c>
      <c r="CA353" s="48">
        <v>-101081.49</v>
      </c>
      <c r="CB353" s="48">
        <v>-89042.34</v>
      </c>
      <c r="CC353" s="48">
        <v>-94202.240000000005</v>
      </c>
      <c r="CD353" s="48">
        <v>-91517.53</v>
      </c>
      <c r="CE353" s="48">
        <v>-133633.17000000001</v>
      </c>
      <c r="CF353" s="48">
        <v>-86124.87</v>
      </c>
      <c r="CG353" s="48">
        <v>-89387.31</v>
      </c>
      <c r="CH353" s="48">
        <v>-87022.04</v>
      </c>
      <c r="CI353" s="48">
        <v>-95069.18</v>
      </c>
      <c r="CJ353" s="48">
        <v>-138043.67000000001</v>
      </c>
      <c r="CK353" s="48">
        <v>-102209.32</v>
      </c>
      <c r="CL353" s="48">
        <v>-107357.14</v>
      </c>
      <c r="CM353" s="48">
        <v>-116516.81</v>
      </c>
      <c r="CN353" s="48">
        <v>-99684.93</v>
      </c>
      <c r="CO353" s="48">
        <v>-100875.61</v>
      </c>
      <c r="CP353" s="48">
        <v>-98293.92</v>
      </c>
      <c r="CQ353" s="48">
        <v>-143614.45000000001</v>
      </c>
      <c r="CR353" s="48">
        <v>-93135.22</v>
      </c>
      <c r="CS353" s="48">
        <v>-199137.48</v>
      </c>
      <c r="CT353" s="48">
        <v>-103963.92</v>
      </c>
      <c r="CU353" s="48">
        <v>-100772.44</v>
      </c>
      <c r="CV353" s="48">
        <v>0</v>
      </c>
      <c r="CW353" s="48">
        <v>0</v>
      </c>
      <c r="CX353" s="48">
        <v>0</v>
      </c>
      <c r="CY353" s="48">
        <v>0</v>
      </c>
      <c r="CZ353" s="48">
        <v>0</v>
      </c>
      <c r="DA353" s="48">
        <v>0</v>
      </c>
      <c r="DB353" s="48">
        <v>0</v>
      </c>
      <c r="DC353" s="48">
        <v>0</v>
      </c>
      <c r="DD353" s="48">
        <v>0</v>
      </c>
      <c r="DE353" s="48">
        <f>VLOOKUP($C353,'[2]Analysis 1'!$C$5:$DG$1025,107,FALSE)</f>
        <v>0</v>
      </c>
      <c r="DF353" s="48">
        <f>VLOOKUP($C353,'[2]Analysis 1'!$C$5:$DG$1025,108,FALSE)</f>
        <v>0</v>
      </c>
      <c r="DG353" s="48">
        <f>VLOOKUP($C353,'[2]Analysis 1'!$C$5:$DG$1025,109,FALSE)</f>
        <v>0</v>
      </c>
      <c r="DH353" s="369">
        <f t="shared" si="11"/>
        <v>0</v>
      </c>
    </row>
    <row r="354" spans="1:112">
      <c r="A354" s="357" t="str">
        <f t="shared" si="9"/>
        <v>6909000</v>
      </c>
      <c r="B354" s="350" t="s">
        <v>2150</v>
      </c>
      <c r="C354" s="335" t="s">
        <v>1450</v>
      </c>
      <c r="D354" s="340"/>
      <c r="E354" s="340"/>
      <c r="F354" s="340"/>
      <c r="G354" s="340"/>
      <c r="H354" s="340"/>
      <c r="I354" s="340"/>
      <c r="J354" s="340"/>
      <c r="K354" s="340"/>
      <c r="L354" s="340"/>
      <c r="M354" s="340"/>
      <c r="N354" s="340"/>
      <c r="O354" s="341"/>
      <c r="P354" s="48"/>
      <c r="Q354" s="48"/>
      <c r="R354" s="48"/>
      <c r="S354" s="48"/>
      <c r="T354" s="48"/>
      <c r="U354" s="48"/>
      <c r="V354" s="48"/>
      <c r="W354" s="48"/>
      <c r="X354" s="48"/>
      <c r="Y354" s="48"/>
      <c r="Z354" s="48"/>
      <c r="AA354" s="48"/>
      <c r="AB354" s="48"/>
      <c r="AC354" s="48"/>
      <c r="AD354" s="48"/>
      <c r="AE354" s="48"/>
      <c r="AF354" s="48"/>
      <c r="AG354" s="48"/>
      <c r="AH354" s="48">
        <v>0</v>
      </c>
      <c r="AI354" s="48">
        <v>0</v>
      </c>
      <c r="AJ354" s="48">
        <v>0</v>
      </c>
      <c r="AK354" s="48">
        <v>0</v>
      </c>
      <c r="AL354" s="48">
        <v>0</v>
      </c>
      <c r="AM354" s="48">
        <v>0</v>
      </c>
      <c r="AN354" s="48">
        <v>0</v>
      </c>
      <c r="AO354" s="48">
        <v>0</v>
      </c>
      <c r="AP354" s="48">
        <v>0</v>
      </c>
      <c r="AQ354" s="48">
        <v>0</v>
      </c>
      <c r="AR354" s="48">
        <v>0</v>
      </c>
      <c r="AS354" s="48">
        <v>0</v>
      </c>
      <c r="AT354" s="48">
        <v>0</v>
      </c>
      <c r="AU354" s="48">
        <v>-132.04</v>
      </c>
      <c r="AV354" s="48">
        <v>0</v>
      </c>
      <c r="AW354" s="48">
        <v>0</v>
      </c>
      <c r="AX354" s="48">
        <v>0</v>
      </c>
      <c r="AY354" s="48">
        <v>0</v>
      </c>
      <c r="AZ354" s="48">
        <v>0</v>
      </c>
      <c r="BA354" s="48">
        <v>0</v>
      </c>
      <c r="BB354" s="48">
        <v>0</v>
      </c>
      <c r="BC354" s="48">
        <v>0</v>
      </c>
      <c r="BD354" s="48">
        <v>0</v>
      </c>
      <c r="BE354" s="48">
        <v>0</v>
      </c>
      <c r="BF354" s="48">
        <v>0</v>
      </c>
      <c r="BG354" s="48">
        <v>0</v>
      </c>
      <c r="BH354" s="48">
        <v>0</v>
      </c>
      <c r="BI354" s="48">
        <v>-466.55</v>
      </c>
      <c r="BJ354" s="48">
        <v>-508.49</v>
      </c>
      <c r="BK354" s="48">
        <v>-2364.2199999999998</v>
      </c>
      <c r="BL354" s="48">
        <v>-579.83000000000004</v>
      </c>
      <c r="BM354" s="48">
        <v>-542.4</v>
      </c>
      <c r="BN354" s="48">
        <v>-652.21</v>
      </c>
      <c r="BO354" s="48">
        <v>0</v>
      </c>
      <c r="BP354" s="48">
        <v>-1110.1300000000001</v>
      </c>
      <c r="BQ354" s="48">
        <v>-628.77</v>
      </c>
      <c r="BR354" s="48">
        <v>-3561.03</v>
      </c>
      <c r="BS354" s="48">
        <v>-704.42</v>
      </c>
      <c r="BT354" s="48">
        <v>-532.71</v>
      </c>
      <c r="BU354" s="48">
        <v>-529.86</v>
      </c>
      <c r="BV354" s="48">
        <v>-968.45</v>
      </c>
      <c r="BW354" s="48">
        <v>-719.94</v>
      </c>
      <c r="BX354" s="48">
        <v>-656.46</v>
      </c>
      <c r="BY354" s="48">
        <v>-764.45</v>
      </c>
      <c r="BZ354" s="48">
        <v>-831.41</v>
      </c>
      <c r="CA354" s="48">
        <v>-874.03</v>
      </c>
      <c r="CB354" s="48">
        <v>-609.95000000000005</v>
      </c>
      <c r="CC354" s="48">
        <v>-877.36</v>
      </c>
      <c r="CD354" s="48">
        <v>-1016.21</v>
      </c>
      <c r="CE354" s="48">
        <v>-846.46</v>
      </c>
      <c r="CF354" s="48">
        <v>-3980.39</v>
      </c>
      <c r="CG354" s="48">
        <v>-874.57</v>
      </c>
      <c r="CH354" s="48">
        <v>-903.72</v>
      </c>
      <c r="CI354" s="48">
        <v>-922.74</v>
      </c>
      <c r="CJ354" s="48">
        <v>-750.94</v>
      </c>
      <c r="CK354" s="48">
        <v>-812.96</v>
      </c>
      <c r="CL354" s="48">
        <v>-1017.36</v>
      </c>
      <c r="CM354" s="48">
        <v>216.67</v>
      </c>
      <c r="CN354" s="48">
        <v>-779.75</v>
      </c>
      <c r="CO354" s="48">
        <v>-794.02</v>
      </c>
      <c r="CP354" s="48">
        <v>-757.53</v>
      </c>
      <c r="CQ354" s="48">
        <v>-685.78</v>
      </c>
      <c r="CR354" s="48">
        <v>-1387.03</v>
      </c>
      <c r="CS354" s="48">
        <v>-768.94</v>
      </c>
      <c r="CT354" s="48">
        <v>-870.56</v>
      </c>
      <c r="CU354" s="48">
        <v>-1295.01</v>
      </c>
      <c r="CV354" s="48">
        <v>-48440.2</v>
      </c>
      <c r="CW354" s="48">
        <v>-55021.760000000002</v>
      </c>
      <c r="CX354" s="48">
        <v>-56803.79</v>
      </c>
      <c r="CY354" s="48">
        <v>-50512.31</v>
      </c>
      <c r="CZ354" s="48">
        <v>-59332.66</v>
      </c>
      <c r="DA354" s="48">
        <v>-60520.83</v>
      </c>
      <c r="DB354" s="48">
        <v>-66806.14</v>
      </c>
      <c r="DC354" s="48">
        <v>-68743.33</v>
      </c>
      <c r="DD354" s="48">
        <v>-63462.26</v>
      </c>
      <c r="DE354" s="48">
        <f>VLOOKUP($C354,'[2]Analysis 1'!$C$5:$DG$1025,107,FALSE)</f>
        <v>-59664.88</v>
      </c>
      <c r="DF354" s="48">
        <f>VLOOKUP($C354,'[2]Analysis 1'!$C$5:$DG$1025,108,FALSE)</f>
        <v>-99602.47</v>
      </c>
      <c r="DG354" s="48">
        <f>VLOOKUP($C354,'[2]Analysis 1'!$C$5:$DG$1025,109,FALSE)</f>
        <v>-55783.38</v>
      </c>
      <c r="DH354" s="369">
        <f t="shared" si="11"/>
        <v>-744694.01</v>
      </c>
    </row>
    <row r="355" spans="1:112">
      <c r="A355" s="357" t="str">
        <f>+B355</f>
        <v>7000090</v>
      </c>
      <c r="B355" s="350" t="s">
        <v>2453</v>
      </c>
      <c r="C355" s="335" t="s">
        <v>2454</v>
      </c>
      <c r="D355" s="367"/>
      <c r="E355" s="367"/>
      <c r="F355" s="367"/>
      <c r="G355" s="367"/>
      <c r="H355" s="367"/>
      <c r="I355" s="367"/>
      <c r="J355" s="367"/>
      <c r="K355" s="367"/>
      <c r="L355" s="367"/>
      <c r="M355" s="367"/>
      <c r="N355" s="367"/>
      <c r="O355" s="368"/>
      <c r="P355" s="48"/>
      <c r="Q355" s="48"/>
      <c r="R355" s="48"/>
      <c r="S355" s="48"/>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c r="AR355" s="48"/>
      <c r="AS355" s="48"/>
      <c r="AT355" s="48"/>
      <c r="AU355" s="48"/>
      <c r="AV355" s="48"/>
      <c r="AW355" s="48"/>
      <c r="AX355" s="48"/>
      <c r="AY355" s="48"/>
      <c r="AZ355" s="48"/>
      <c r="BA355" s="48"/>
      <c r="BB355" s="48"/>
      <c r="BC355" s="48"/>
      <c r="BD355" s="48"/>
      <c r="BE355" s="48"/>
      <c r="BF355" s="48"/>
      <c r="BG355" s="48"/>
      <c r="BH355" s="48"/>
      <c r="BI355" s="48"/>
      <c r="BJ355" s="48"/>
      <c r="BK355" s="48"/>
      <c r="BL355" s="48"/>
      <c r="BM355" s="48"/>
      <c r="BN355" s="48"/>
      <c r="BO355" s="48"/>
      <c r="BP355" s="48"/>
      <c r="BQ355" s="48"/>
      <c r="BR355" s="48"/>
      <c r="BS355" s="48"/>
      <c r="BT355" s="48"/>
      <c r="BU355" s="48"/>
      <c r="BV355" s="48"/>
      <c r="BW355" s="48"/>
      <c r="BX355" s="48">
        <v>0</v>
      </c>
      <c r="BY355" s="48">
        <v>0</v>
      </c>
      <c r="BZ355" s="48">
        <v>-8502</v>
      </c>
      <c r="CA355" s="48">
        <v>-45218</v>
      </c>
      <c r="CB355" s="48">
        <v>0</v>
      </c>
      <c r="CC355" s="48">
        <v>0</v>
      </c>
      <c r="CD355" s="48">
        <v>0</v>
      </c>
      <c r="CE355" s="48">
        <v>0</v>
      </c>
      <c r="CF355" s="48">
        <v>0</v>
      </c>
      <c r="CG355" s="48">
        <v>0</v>
      </c>
      <c r="CH355" s="48">
        <v>0</v>
      </c>
      <c r="CI355" s="48">
        <v>0</v>
      </c>
      <c r="CJ355" s="48">
        <v>0</v>
      </c>
      <c r="CK355" s="48">
        <v>0</v>
      </c>
      <c r="CL355" s="48">
        <v>0</v>
      </c>
      <c r="CM355" s="48">
        <v>0</v>
      </c>
      <c r="CN355" s="48">
        <v>0</v>
      </c>
      <c r="CO355" s="48">
        <v>0</v>
      </c>
      <c r="CP355" s="48">
        <v>0</v>
      </c>
      <c r="CQ355" s="48">
        <v>0</v>
      </c>
      <c r="CR355" s="48">
        <v>0</v>
      </c>
      <c r="CS355" s="48">
        <v>0</v>
      </c>
      <c r="CT355" s="48">
        <v>0</v>
      </c>
      <c r="CU355" s="48">
        <v>0</v>
      </c>
      <c r="CV355" s="48">
        <v>0</v>
      </c>
      <c r="CW355" s="48">
        <v>0</v>
      </c>
      <c r="CX355" s="48">
        <v>0</v>
      </c>
      <c r="CY355" s="48">
        <v>0</v>
      </c>
      <c r="CZ355" s="48">
        <v>0</v>
      </c>
      <c r="DA355" s="48">
        <v>0</v>
      </c>
      <c r="DB355" s="48">
        <v>0</v>
      </c>
      <c r="DC355" s="48">
        <v>0</v>
      </c>
      <c r="DD355" s="48">
        <v>0</v>
      </c>
      <c r="DE355" s="48">
        <f>VLOOKUP($C355,'[2]Analysis 1'!$C$5:$DG$1025,107,FALSE)</f>
        <v>0</v>
      </c>
      <c r="DF355" s="48">
        <f>VLOOKUP($C355,'[2]Analysis 1'!$C$5:$DG$1025,108,FALSE)</f>
        <v>0</v>
      </c>
      <c r="DG355" s="48">
        <f>VLOOKUP($C355,'[2]Analysis 1'!$C$5:$DG$1025,109,FALSE)</f>
        <v>0</v>
      </c>
      <c r="DH355" s="369">
        <f t="shared" si="11"/>
        <v>0</v>
      </c>
    </row>
    <row r="356" spans="1:112">
      <c r="A356" s="357" t="str">
        <f t="shared" si="9"/>
        <v>7000240</v>
      </c>
      <c r="B356" s="350" t="s">
        <v>2151</v>
      </c>
      <c r="C356" s="335" t="s">
        <v>1227</v>
      </c>
      <c r="D356" s="340">
        <v>-91</v>
      </c>
      <c r="E356" s="340">
        <v>-43</v>
      </c>
      <c r="F356" s="340">
        <v>-4</v>
      </c>
      <c r="G356" s="340">
        <v>0</v>
      </c>
      <c r="H356" s="340">
        <v>0</v>
      </c>
      <c r="I356" s="340">
        <v>0</v>
      </c>
      <c r="J356" s="340">
        <v>0</v>
      </c>
      <c r="K356" s="340">
        <v>0</v>
      </c>
      <c r="L356" s="340">
        <v>-1</v>
      </c>
      <c r="M356" s="340">
        <v>-12</v>
      </c>
      <c r="N356" s="340">
        <v>-16</v>
      </c>
      <c r="O356" s="341">
        <v>0</v>
      </c>
      <c r="P356" s="48">
        <v>0</v>
      </c>
      <c r="Q356" s="48">
        <v>0</v>
      </c>
      <c r="R356" s="48">
        <v>0</v>
      </c>
      <c r="S356" s="48">
        <v>0</v>
      </c>
      <c r="T356" s="48">
        <v>0</v>
      </c>
      <c r="U356" s="48">
        <v>0</v>
      </c>
      <c r="V356" s="48">
        <v>0</v>
      </c>
      <c r="W356" s="48">
        <v>0</v>
      </c>
      <c r="X356" s="48">
        <v>0</v>
      </c>
      <c r="Y356" s="48">
        <v>0</v>
      </c>
      <c r="Z356" s="48">
        <v>0</v>
      </c>
      <c r="AA356" s="48">
        <v>0</v>
      </c>
      <c r="AB356" s="48">
        <v>0</v>
      </c>
      <c r="AC356" s="48">
        <v>0</v>
      </c>
      <c r="AD356" s="48">
        <v>0</v>
      </c>
      <c r="AE356" s="48">
        <v>0</v>
      </c>
      <c r="AF356" s="48">
        <v>0</v>
      </c>
      <c r="AG356" s="48">
        <v>0</v>
      </c>
      <c r="AH356" s="48">
        <v>0</v>
      </c>
      <c r="AI356" s="48">
        <v>0</v>
      </c>
      <c r="AJ356" s="48">
        <v>0</v>
      </c>
      <c r="AK356" s="48">
        <v>0</v>
      </c>
      <c r="AL356" s="48">
        <v>0</v>
      </c>
      <c r="AM356" s="48">
        <v>0</v>
      </c>
      <c r="AN356" s="48">
        <v>0</v>
      </c>
      <c r="AO356" s="48">
        <v>0</v>
      </c>
      <c r="AP356" s="48">
        <v>0</v>
      </c>
      <c r="AQ356" s="48">
        <v>0</v>
      </c>
      <c r="AR356" s="48">
        <v>0</v>
      </c>
      <c r="AS356" s="48">
        <v>0</v>
      </c>
      <c r="AT356" s="48">
        <v>0</v>
      </c>
      <c r="AU356" s="48">
        <v>-210</v>
      </c>
      <c r="AV356" s="48">
        <v>-633</v>
      </c>
      <c r="AW356" s="48">
        <v>-1281</v>
      </c>
      <c r="AX356" s="48">
        <v>-2439</v>
      </c>
      <c r="AY356" s="48">
        <v>-3028</v>
      </c>
      <c r="AZ356" s="48">
        <v>-2600</v>
      </c>
      <c r="BA356" s="48">
        <v>-1811</v>
      </c>
      <c r="BB356" s="48">
        <v>-1999</v>
      </c>
      <c r="BC356" s="48">
        <v>-3139</v>
      </c>
      <c r="BD356" s="48">
        <v>-3719</v>
      </c>
      <c r="BE356" s="48">
        <v>-3586</v>
      </c>
      <c r="BF356" s="48">
        <v>-4543</v>
      </c>
      <c r="BG356" s="48">
        <v>-5885</v>
      </c>
      <c r="BH356" s="48">
        <v>-6516</v>
      </c>
      <c r="BI356" s="48">
        <v>-7730</v>
      </c>
      <c r="BJ356" s="48">
        <v>-8730</v>
      </c>
      <c r="BK356" s="48">
        <v>-8725</v>
      </c>
      <c r="BL356" s="48">
        <v>-8289</v>
      </c>
      <c r="BM356" s="48">
        <v>-6559</v>
      </c>
      <c r="BN356" s="48">
        <v>-4632</v>
      </c>
      <c r="BO356" s="48">
        <v>-3724</v>
      </c>
      <c r="BP356" s="48">
        <v>-3040</v>
      </c>
      <c r="BQ356" s="48">
        <v>-3159</v>
      </c>
      <c r="BR356" s="48">
        <v>-4386</v>
      </c>
      <c r="BS356" s="48">
        <v>-5182</v>
      </c>
      <c r="BT356" s="48">
        <v>-5071</v>
      </c>
      <c r="BU356" s="48">
        <v>-4748</v>
      </c>
      <c r="BV356" s="48">
        <v>-4646</v>
      </c>
      <c r="BW356" s="48">
        <v>-4484</v>
      </c>
      <c r="BX356" s="48">
        <v>-4057</v>
      </c>
      <c r="BY356" s="48">
        <v>-2890</v>
      </c>
      <c r="BZ356" s="48">
        <v>-1888</v>
      </c>
      <c r="CA356" s="48">
        <v>-672</v>
      </c>
      <c r="CB356" s="48">
        <v>-44</v>
      </c>
      <c r="CC356" s="48">
        <v>-63</v>
      </c>
      <c r="CD356" s="48">
        <v>-85</v>
      </c>
      <c r="CE356" s="48">
        <v>-100</v>
      </c>
      <c r="CF356" s="48">
        <v>-113</v>
      </c>
      <c r="CG356" s="48">
        <v>-142</v>
      </c>
      <c r="CH356" s="48">
        <v>-232</v>
      </c>
      <c r="CI356" s="48">
        <v>-208</v>
      </c>
      <c r="CJ356" s="48">
        <v>-125</v>
      </c>
      <c r="CK356" s="48">
        <v>-69</v>
      </c>
      <c r="CL356" s="48">
        <v>-45</v>
      </c>
      <c r="CM356" s="48">
        <v>-27</v>
      </c>
      <c r="CN356" s="48">
        <v>-7</v>
      </c>
      <c r="CO356" s="48">
        <v>-2</v>
      </c>
      <c r="CP356" s="48">
        <v>-6</v>
      </c>
      <c r="CQ356" s="48">
        <v>-7</v>
      </c>
      <c r="CR356" s="48">
        <v>-13</v>
      </c>
      <c r="CS356" s="48">
        <v>-37</v>
      </c>
      <c r="CT356" s="48">
        <v>-63</v>
      </c>
      <c r="CU356" s="48">
        <v>-56</v>
      </c>
      <c r="CV356" s="48">
        <v>-4</v>
      </c>
      <c r="CW356" s="48">
        <v>0</v>
      </c>
      <c r="CX356" s="48">
        <v>0</v>
      </c>
      <c r="CY356" s="48">
        <v>0</v>
      </c>
      <c r="CZ356" s="48">
        <v>0</v>
      </c>
      <c r="DA356" s="48">
        <v>0</v>
      </c>
      <c r="DB356" s="48">
        <v>0</v>
      </c>
      <c r="DC356" s="48">
        <v>0</v>
      </c>
      <c r="DD356" s="48">
        <v>0</v>
      </c>
      <c r="DE356" s="48">
        <f>VLOOKUP($C356,'[2]Analysis 1'!$C$5:$DG$1025,107,FALSE)</f>
        <v>0</v>
      </c>
      <c r="DF356" s="48">
        <f>VLOOKUP($C356,'[2]Analysis 1'!$C$5:$DG$1025,108,FALSE)</f>
        <v>0</v>
      </c>
      <c r="DG356" s="48">
        <f>VLOOKUP($C356,'[2]Analysis 1'!$C$5:$DG$1025,109,FALSE)</f>
        <v>0</v>
      </c>
      <c r="DH356" s="369">
        <f t="shared" si="11"/>
        <v>-4</v>
      </c>
    </row>
    <row r="357" spans="1:112">
      <c r="A357" s="357" t="str">
        <f t="shared" si="9"/>
        <v>7000260</v>
      </c>
      <c r="B357" s="350" t="s">
        <v>2153</v>
      </c>
      <c r="C357" s="335" t="s">
        <v>1228</v>
      </c>
      <c r="D357" s="340">
        <v>-167</v>
      </c>
      <c r="E357" s="340">
        <v>10</v>
      </c>
      <c r="F357" s="340">
        <v>124</v>
      </c>
      <c r="G357" s="340">
        <v>33</v>
      </c>
      <c r="H357" s="340">
        <v>0</v>
      </c>
      <c r="I357" s="340">
        <v>0</v>
      </c>
      <c r="J357" s="340">
        <v>0</v>
      </c>
      <c r="K357" s="340">
        <v>0</v>
      </c>
      <c r="L357" s="340">
        <v>0</v>
      </c>
      <c r="M357" s="340">
        <v>0</v>
      </c>
      <c r="N357" s="340">
        <v>0</v>
      </c>
      <c r="O357" s="341">
        <v>0</v>
      </c>
      <c r="P357" s="48">
        <v>-34</v>
      </c>
      <c r="Q357" s="48">
        <v>-25</v>
      </c>
      <c r="R357" s="48">
        <v>22</v>
      </c>
      <c r="S357" s="48">
        <v>-22</v>
      </c>
      <c r="T357" s="48">
        <v>-54</v>
      </c>
      <c r="U357" s="48">
        <v>0</v>
      </c>
      <c r="V357" s="48">
        <v>0</v>
      </c>
      <c r="W357" s="48">
        <v>0</v>
      </c>
      <c r="X357" s="48">
        <v>0</v>
      </c>
      <c r="Y357" s="48">
        <v>-109</v>
      </c>
      <c r="Z357" s="48">
        <v>-383</v>
      </c>
      <c r="AA357" s="48">
        <v>-1075</v>
      </c>
      <c r="AB357" s="48">
        <v>-1449</v>
      </c>
      <c r="AC357" s="48">
        <v>-470</v>
      </c>
      <c r="AD357" s="48">
        <v>0</v>
      </c>
      <c r="AE357" s="48">
        <v>0</v>
      </c>
      <c r="AF357" s="48">
        <v>0</v>
      </c>
      <c r="AG357" s="48">
        <v>0</v>
      </c>
      <c r="AH357" s="48">
        <v>0</v>
      </c>
      <c r="AI357" s="48">
        <v>0</v>
      </c>
      <c r="AJ357" s="48">
        <v>0</v>
      </c>
      <c r="AK357" s="48">
        <v>0</v>
      </c>
      <c r="AL357" s="48">
        <v>0</v>
      </c>
      <c r="AM357" s="48">
        <v>0</v>
      </c>
      <c r="AN357" s="48">
        <v>0</v>
      </c>
      <c r="AO357" s="48">
        <v>0</v>
      </c>
      <c r="AP357" s="48">
        <v>0</v>
      </c>
      <c r="AQ357" s="48">
        <v>0</v>
      </c>
      <c r="AR357" s="48">
        <v>0</v>
      </c>
      <c r="AS357" s="48">
        <v>0</v>
      </c>
      <c r="AT357" s="48">
        <v>0</v>
      </c>
      <c r="AU357" s="48">
        <v>0</v>
      </c>
      <c r="AV357" s="48">
        <v>0</v>
      </c>
      <c r="AW357" s="48">
        <v>-455</v>
      </c>
      <c r="AX357" s="48">
        <v>-2886</v>
      </c>
      <c r="AY357" s="48">
        <v>-3736</v>
      </c>
      <c r="AZ357" s="48">
        <v>-285</v>
      </c>
      <c r="BA357" s="48">
        <v>0</v>
      </c>
      <c r="BB357" s="48">
        <v>0</v>
      </c>
      <c r="BC357" s="48">
        <v>0</v>
      </c>
      <c r="BD357" s="48">
        <v>0</v>
      </c>
      <c r="BE357" s="48">
        <v>0</v>
      </c>
      <c r="BF357" s="48">
        <v>0</v>
      </c>
      <c r="BG357" s="48">
        <v>0</v>
      </c>
      <c r="BH357" s="48">
        <v>0</v>
      </c>
      <c r="BI357" s="48">
        <v>0</v>
      </c>
      <c r="BJ357" s="48">
        <v>0</v>
      </c>
      <c r="BK357" s="48">
        <v>-1549</v>
      </c>
      <c r="BL357" s="48">
        <v>-3058</v>
      </c>
      <c r="BM357" s="48">
        <v>0</v>
      </c>
      <c r="BN357" s="48">
        <v>0</v>
      </c>
      <c r="BO357" s="48">
        <v>0</v>
      </c>
      <c r="BP357" s="48">
        <v>0</v>
      </c>
      <c r="BQ357" s="48">
        <v>0</v>
      </c>
      <c r="BR357" s="48">
        <v>0</v>
      </c>
      <c r="BS357" s="48">
        <v>0</v>
      </c>
      <c r="BT357" s="48">
        <v>0</v>
      </c>
      <c r="BU357" s="48">
        <v>0</v>
      </c>
      <c r="BV357" s="48">
        <v>0</v>
      </c>
      <c r="BW357" s="48">
        <v>0</v>
      </c>
      <c r="BX357" s="48">
        <v>0</v>
      </c>
      <c r="BY357" s="48">
        <v>0</v>
      </c>
      <c r="BZ357" s="48">
        <v>0</v>
      </c>
      <c r="CA357" s="48">
        <v>0</v>
      </c>
      <c r="CB357" s="48">
        <v>0</v>
      </c>
      <c r="CC357" s="48">
        <v>0</v>
      </c>
      <c r="CD357" s="48">
        <v>0</v>
      </c>
      <c r="CE357" s="48">
        <v>0</v>
      </c>
      <c r="CF357" s="48">
        <v>0</v>
      </c>
      <c r="CG357" s="48">
        <v>0</v>
      </c>
      <c r="CH357" s="48">
        <v>0</v>
      </c>
      <c r="CI357" s="48">
        <v>0</v>
      </c>
      <c r="CJ357" s="48">
        <v>0</v>
      </c>
      <c r="CK357" s="48">
        <v>0</v>
      </c>
      <c r="CL357" s="48">
        <v>0</v>
      </c>
      <c r="CM357" s="48">
        <v>0</v>
      </c>
      <c r="CN357" s="48">
        <v>0</v>
      </c>
      <c r="CO357" s="48">
        <v>0</v>
      </c>
      <c r="CP357" s="48">
        <v>0</v>
      </c>
      <c r="CQ357" s="48">
        <v>0</v>
      </c>
      <c r="CR357" s="48">
        <v>0</v>
      </c>
      <c r="CS357" s="48">
        <v>-55</v>
      </c>
      <c r="CT357" s="48">
        <v>-684</v>
      </c>
      <c r="CU357" s="48">
        <v>-973</v>
      </c>
      <c r="CV357" s="48">
        <v>-896</v>
      </c>
      <c r="CW357" s="48">
        <v>-760</v>
      </c>
      <c r="CX357" s="48">
        <v>-731</v>
      </c>
      <c r="CY357" s="48">
        <v>-189</v>
      </c>
      <c r="CZ357" s="48">
        <v>0</v>
      </c>
      <c r="DA357" s="48">
        <v>0</v>
      </c>
      <c r="DB357" s="48">
        <v>0</v>
      </c>
      <c r="DC357" s="48">
        <v>0</v>
      </c>
      <c r="DD357" s="48">
        <v>0</v>
      </c>
      <c r="DE357" s="48">
        <f>VLOOKUP($C357,'[2]Analysis 1'!$C$5:$DG$1025,107,FALSE)</f>
        <v>0</v>
      </c>
      <c r="DF357" s="48">
        <f>VLOOKUP($C357,'[2]Analysis 1'!$C$5:$DG$1025,108,FALSE)</f>
        <v>0</v>
      </c>
      <c r="DG357" s="48">
        <f>VLOOKUP($C357,'[2]Analysis 1'!$C$5:$DG$1025,109,FALSE)</f>
        <v>0</v>
      </c>
      <c r="DH357" s="369">
        <f t="shared" si="11"/>
        <v>-2576</v>
      </c>
    </row>
    <row r="358" spans="1:112">
      <c r="A358" s="357" t="str">
        <f t="shared" si="9"/>
        <v>7000270</v>
      </c>
      <c r="B358" s="350" t="s">
        <v>2152</v>
      </c>
      <c r="C358" s="335" t="s">
        <v>1229</v>
      </c>
      <c r="D358" s="367">
        <v>-212</v>
      </c>
      <c r="E358" s="367">
        <v>-194</v>
      </c>
      <c r="F358" s="367">
        <v>-180</v>
      </c>
      <c r="G358" s="367">
        <v>-201</v>
      </c>
      <c r="H358" s="367">
        <v>-158</v>
      </c>
      <c r="I358" s="367">
        <v>-120</v>
      </c>
      <c r="J358" s="367">
        <v>-142</v>
      </c>
      <c r="K358" s="367">
        <v>-138</v>
      </c>
      <c r="L358" s="367">
        <v>-135</v>
      </c>
      <c r="M358" s="367">
        <v>-130</v>
      </c>
      <c r="N358" s="367">
        <v>-170</v>
      </c>
      <c r="O358" s="368">
        <v>-226</v>
      </c>
      <c r="P358" s="48">
        <v>-223</v>
      </c>
      <c r="Q358" s="48">
        <v>-219</v>
      </c>
      <c r="R358" s="48">
        <v>-213</v>
      </c>
      <c r="S358" s="48">
        <v>-155</v>
      </c>
      <c r="T358" s="48">
        <v>-178</v>
      </c>
      <c r="U358" s="48">
        <v>-203</v>
      </c>
      <c r="V358" s="48">
        <v>-200</v>
      </c>
      <c r="W358" s="48">
        <v>-223</v>
      </c>
      <c r="X358" s="48">
        <v>-246</v>
      </c>
      <c r="Y358" s="48">
        <v>-244</v>
      </c>
      <c r="Z358" s="48">
        <v>-289</v>
      </c>
      <c r="AA358" s="48">
        <v>-499</v>
      </c>
      <c r="AB358" s="48">
        <v>-759</v>
      </c>
      <c r="AC358" s="48">
        <v>-884</v>
      </c>
      <c r="AD358" s="48">
        <v>-920</v>
      </c>
      <c r="AE358" s="48">
        <v>-839</v>
      </c>
      <c r="AF358" s="48">
        <v>-735</v>
      </c>
      <c r="AG358" s="48">
        <v>-784</v>
      </c>
      <c r="AH358" s="48">
        <v>-861</v>
      </c>
      <c r="AI358" s="48">
        <v>-881</v>
      </c>
      <c r="AJ358" s="48">
        <v>-939</v>
      </c>
      <c r="AK358" s="48">
        <v>-1017</v>
      </c>
      <c r="AL358" s="48">
        <v>-1090</v>
      </c>
      <c r="AM358" s="48">
        <v>-1366</v>
      </c>
      <c r="AN358" s="48">
        <v>-1663</v>
      </c>
      <c r="AO358" s="48">
        <v>-1575</v>
      </c>
      <c r="AP358" s="48">
        <v>-1773</v>
      </c>
      <c r="AQ358" s="48">
        <v>-202</v>
      </c>
      <c r="AR358" s="48">
        <v>-3836</v>
      </c>
      <c r="AS358" s="48">
        <v>-2294</v>
      </c>
      <c r="AT358" s="48">
        <v>-2480</v>
      </c>
      <c r="AU358" s="48">
        <v>-2402</v>
      </c>
      <c r="AV358" s="48">
        <v>-2035</v>
      </c>
      <c r="AW358" s="48">
        <v>-2491</v>
      </c>
      <c r="AX358" s="48">
        <v>-2795</v>
      </c>
      <c r="AY358" s="48">
        <v>-3142</v>
      </c>
      <c r="AZ358" s="48">
        <v>-3665</v>
      </c>
      <c r="BA358" s="48">
        <v>-3592</v>
      </c>
      <c r="BB358" s="48">
        <v>-3924</v>
      </c>
      <c r="BC358" s="48">
        <v>-4227</v>
      </c>
      <c r="BD358" s="48">
        <v>-4197</v>
      </c>
      <c r="BE358" s="48">
        <v>-4335</v>
      </c>
      <c r="BF358" s="48">
        <v>-4459</v>
      </c>
      <c r="BG358" s="48">
        <v>-4462</v>
      </c>
      <c r="BH358" s="48">
        <v>-4621</v>
      </c>
      <c r="BI358" s="48">
        <v>-4915</v>
      </c>
      <c r="BJ358" s="48">
        <v>-5481</v>
      </c>
      <c r="BK358" s="48">
        <v>-5657</v>
      </c>
      <c r="BL358" s="48">
        <v>-6125</v>
      </c>
      <c r="BM358" s="48">
        <v>-5967</v>
      </c>
      <c r="BN358" s="48">
        <v>-5980</v>
      </c>
      <c r="BO358" s="48">
        <v>-5961</v>
      </c>
      <c r="BP358" s="48">
        <v>-5755</v>
      </c>
      <c r="BQ358" s="48">
        <v>-5623</v>
      </c>
      <c r="BR358" s="48">
        <v>-5238</v>
      </c>
      <c r="BS358" s="48">
        <v>-4937</v>
      </c>
      <c r="BT358" s="48">
        <v>-4679</v>
      </c>
      <c r="BU358" s="48">
        <v>-4313</v>
      </c>
      <c r="BV358" s="48">
        <v>-4182</v>
      </c>
      <c r="BW358" s="48">
        <v>-4231</v>
      </c>
      <c r="BX358" s="48">
        <v>-4250</v>
      </c>
      <c r="BY358" s="48">
        <v>-4055</v>
      </c>
      <c r="BZ358" s="48">
        <v>-4055</v>
      </c>
      <c r="CA358" s="48">
        <v>-2769</v>
      </c>
      <c r="CB358" s="48">
        <v>-148</v>
      </c>
      <c r="CC358" s="48">
        <v>-241</v>
      </c>
      <c r="CD358" s="48">
        <v>-272</v>
      </c>
      <c r="CE358" s="48">
        <v>-271</v>
      </c>
      <c r="CF358" s="48">
        <v>-243</v>
      </c>
      <c r="CG358" s="48">
        <v>-215</v>
      </c>
      <c r="CH358" s="48">
        <v>-329</v>
      </c>
      <c r="CI358" s="48">
        <v>-328</v>
      </c>
      <c r="CJ358" s="48">
        <v>-334</v>
      </c>
      <c r="CK358" s="48">
        <v>-289</v>
      </c>
      <c r="CL358" s="48">
        <v>-254</v>
      </c>
      <c r="CM358" s="48">
        <v>-261</v>
      </c>
      <c r="CN358" s="48">
        <v>0</v>
      </c>
      <c r="CO358" s="48">
        <v>-65</v>
      </c>
      <c r="CP358" s="48">
        <v>-103</v>
      </c>
      <c r="CQ358" s="48">
        <v>-175</v>
      </c>
      <c r="CR358" s="48">
        <v>-179</v>
      </c>
      <c r="CS358" s="48">
        <v>-217</v>
      </c>
      <c r="CT358" s="48">
        <v>-315</v>
      </c>
      <c r="CU358" s="48">
        <v>-314</v>
      </c>
      <c r="CV358" s="48">
        <v>-338</v>
      </c>
      <c r="CW358" s="48">
        <v>-603</v>
      </c>
      <c r="CX358" s="48">
        <v>-1113</v>
      </c>
      <c r="CY358" s="48">
        <v>-1902</v>
      </c>
      <c r="CZ358" s="48">
        <v>-2834</v>
      </c>
      <c r="DA358" s="48">
        <v>-4177</v>
      </c>
      <c r="DB358" s="48">
        <v>-5948</v>
      </c>
      <c r="DC358" s="48">
        <v>-6558</v>
      </c>
      <c r="DD358" s="48">
        <v>-8403</v>
      </c>
      <c r="DE358" s="48">
        <f>VLOOKUP($C358,'[2]Analysis 1'!$C$5:$DG$1025,107,FALSE)</f>
        <v>-9440</v>
      </c>
      <c r="DF358" s="48">
        <f>VLOOKUP($C358,'[2]Analysis 1'!$C$5:$DG$1025,108,FALSE)</f>
        <v>-11932</v>
      </c>
      <c r="DG358" s="48">
        <f>VLOOKUP($C358,'[2]Analysis 1'!$C$5:$DG$1025,109,FALSE)</f>
        <v>-13420</v>
      </c>
      <c r="DH358" s="369">
        <f t="shared" si="11"/>
        <v>-66668</v>
      </c>
    </row>
    <row r="359" spans="1:112">
      <c r="A359" s="357" t="str">
        <f t="shared" si="9"/>
        <v>7000271</v>
      </c>
      <c r="B359" s="350" t="s">
        <v>2154</v>
      </c>
      <c r="C359" s="335" t="s">
        <v>1451</v>
      </c>
      <c r="D359" s="367"/>
      <c r="E359" s="367"/>
      <c r="F359" s="367"/>
      <c r="G359" s="367"/>
      <c r="H359" s="367"/>
      <c r="I359" s="367"/>
      <c r="J359" s="367"/>
      <c r="K359" s="367"/>
      <c r="L359" s="367"/>
      <c r="M359" s="367"/>
      <c r="N359" s="367"/>
      <c r="O359" s="368"/>
      <c r="P359" s="48"/>
      <c r="Q359" s="48"/>
      <c r="R359" s="48"/>
      <c r="S359" s="48"/>
      <c r="T359" s="48"/>
      <c r="U359" s="48"/>
      <c r="V359" s="48"/>
      <c r="W359" s="48"/>
      <c r="X359" s="48"/>
      <c r="Y359" s="48"/>
      <c r="Z359" s="48"/>
      <c r="AA359" s="48"/>
      <c r="AB359" s="48"/>
      <c r="AC359" s="48"/>
      <c r="AD359" s="48"/>
      <c r="AE359" s="48">
        <v>0</v>
      </c>
      <c r="AF359" s="48">
        <v>0</v>
      </c>
      <c r="AG359" s="48">
        <v>0</v>
      </c>
      <c r="AH359" s="48">
        <v>0</v>
      </c>
      <c r="AI359" s="48">
        <v>0</v>
      </c>
      <c r="AJ359" s="48">
        <v>0</v>
      </c>
      <c r="AK359" s="48">
        <v>0</v>
      </c>
      <c r="AL359" s="48">
        <v>0</v>
      </c>
      <c r="AM359" s="48">
        <v>0</v>
      </c>
      <c r="AN359" s="48">
        <v>0</v>
      </c>
      <c r="AO359" s="48">
        <v>0</v>
      </c>
      <c r="AP359" s="48">
        <v>0</v>
      </c>
      <c r="AQ359" s="48">
        <v>0</v>
      </c>
      <c r="AR359" s="48">
        <v>0</v>
      </c>
      <c r="AS359" s="48">
        <v>0</v>
      </c>
      <c r="AT359" s="48">
        <v>0</v>
      </c>
      <c r="AU359" s="48">
        <v>0</v>
      </c>
      <c r="AV359" s="48">
        <v>0</v>
      </c>
      <c r="AW359" s="48">
        <v>-156</v>
      </c>
      <c r="AX359" s="48">
        <v>-532</v>
      </c>
      <c r="AY359" s="48">
        <v>-970</v>
      </c>
      <c r="AZ359" s="48">
        <v>-914</v>
      </c>
      <c r="BA359" s="48">
        <v>-219</v>
      </c>
      <c r="BB359" s="48">
        <v>0</v>
      </c>
      <c r="BC359" s="48">
        <v>0</v>
      </c>
      <c r="BD359" s="48">
        <v>175</v>
      </c>
      <c r="BE359" s="48">
        <v>-138</v>
      </c>
      <c r="BF359" s="48">
        <v>0</v>
      </c>
      <c r="BG359" s="48">
        <v>0</v>
      </c>
      <c r="BH359" s="48">
        <v>0</v>
      </c>
      <c r="BI359" s="48">
        <v>0</v>
      </c>
      <c r="BJ359" s="48">
        <v>0</v>
      </c>
      <c r="BK359" s="48">
        <v>3</v>
      </c>
      <c r="BL359" s="48">
        <v>0</v>
      </c>
      <c r="BM359" s="48">
        <v>-15</v>
      </c>
      <c r="BN359" s="48">
        <v>0</v>
      </c>
      <c r="BO359" s="48">
        <v>0</v>
      </c>
      <c r="BP359" s="48">
        <v>0</v>
      </c>
      <c r="BQ359" s="48">
        <v>-194</v>
      </c>
      <c r="BR359" s="48">
        <v>-976</v>
      </c>
      <c r="BS359" s="48">
        <v>-1763</v>
      </c>
      <c r="BT359" s="48">
        <v>-2577</v>
      </c>
      <c r="BU359" s="48">
        <v>-2702</v>
      </c>
      <c r="BV359" s="48">
        <v>-3433</v>
      </c>
      <c r="BW359" s="48">
        <v>-6609</v>
      </c>
      <c r="BX359" s="48">
        <v>-4289</v>
      </c>
      <c r="BY359" s="48">
        <v>-3279</v>
      </c>
      <c r="BZ359" s="48">
        <v>-3115</v>
      </c>
      <c r="CA359" s="48">
        <v>-1745</v>
      </c>
      <c r="CB359" s="48">
        <v>-122</v>
      </c>
      <c r="CC359" s="48">
        <v>-186</v>
      </c>
      <c r="CD359" s="48">
        <v>-269</v>
      </c>
      <c r="CE359" s="48">
        <v>-315</v>
      </c>
      <c r="CF359" s="48">
        <v>-291</v>
      </c>
      <c r="CG359" s="48">
        <v>-288</v>
      </c>
      <c r="CH359" s="48">
        <v>-450</v>
      </c>
      <c r="CI359" s="48">
        <v>-461</v>
      </c>
      <c r="CJ359" s="48">
        <v>-383</v>
      </c>
      <c r="CK359" s="48">
        <v>-328</v>
      </c>
      <c r="CL359" s="48">
        <v>-250</v>
      </c>
      <c r="CM359" s="48">
        <v>-215</v>
      </c>
      <c r="CN359" s="48">
        <v>-115</v>
      </c>
      <c r="CO359" s="48">
        <v>-100</v>
      </c>
      <c r="CP359" s="48">
        <v>-104</v>
      </c>
      <c r="CQ359" s="48">
        <v>-75</v>
      </c>
      <c r="CR359" s="48">
        <v>-65</v>
      </c>
      <c r="CS359" s="48">
        <v>-67</v>
      </c>
      <c r="CT359" s="48">
        <v>-75</v>
      </c>
      <c r="CU359" s="48">
        <v>-56</v>
      </c>
      <c r="CV359" s="48">
        <v>-42</v>
      </c>
      <c r="CW359" s="48">
        <v>-39</v>
      </c>
      <c r="CX359" s="48">
        <v>-20</v>
      </c>
      <c r="CY359" s="48">
        <v>0</v>
      </c>
      <c r="CZ359" s="48">
        <v>0</v>
      </c>
      <c r="DA359" s="48">
        <v>0</v>
      </c>
      <c r="DB359" s="48">
        <v>0</v>
      </c>
      <c r="DC359" s="48">
        <v>0</v>
      </c>
      <c r="DD359" s="48">
        <v>-278</v>
      </c>
      <c r="DE359" s="48">
        <f>VLOOKUP($C359,'[2]Analysis 1'!$C$5:$DG$1025,107,FALSE)</f>
        <v>-1020</v>
      </c>
      <c r="DF359" s="48">
        <f>VLOOKUP($C359,'[2]Analysis 1'!$C$5:$DG$1025,108,FALSE)</f>
        <v>-1465</v>
      </c>
      <c r="DG359" s="48">
        <f>VLOOKUP($C359,'[2]Analysis 1'!$C$5:$DG$1025,109,FALSE)</f>
        <v>-2388</v>
      </c>
      <c r="DH359" s="369">
        <f t="shared" si="11"/>
        <v>-5252</v>
      </c>
    </row>
    <row r="360" spans="1:112">
      <c r="A360" s="357" t="str">
        <f t="shared" si="9"/>
        <v>7000700</v>
      </c>
      <c r="B360" s="350" t="s">
        <v>2156</v>
      </c>
      <c r="C360" s="335" t="s">
        <v>1230</v>
      </c>
      <c r="D360" s="367">
        <v>-949.64</v>
      </c>
      <c r="E360" s="367">
        <v>-391.98</v>
      </c>
      <c r="F360" s="367">
        <v>-537.23</v>
      </c>
      <c r="G360" s="367">
        <v>-1716.68</v>
      </c>
      <c r="H360" s="367">
        <v>-2592.81</v>
      </c>
      <c r="I360" s="367">
        <v>-81.83</v>
      </c>
      <c r="J360" s="367">
        <v>0</v>
      </c>
      <c r="K360" s="367">
        <v>-282.83</v>
      </c>
      <c r="L360" s="367">
        <v>-233.2</v>
      </c>
      <c r="M360" s="367">
        <v>-277.56</v>
      </c>
      <c r="N360" s="367">
        <v>0</v>
      </c>
      <c r="O360" s="368">
        <v>-983.42</v>
      </c>
      <c r="P360" s="48">
        <v>-769.58</v>
      </c>
      <c r="Q360" s="48">
        <v>-570.25</v>
      </c>
      <c r="R360" s="48">
        <v>-2664.93</v>
      </c>
      <c r="S360" s="48">
        <v>-5316.88</v>
      </c>
      <c r="T360" s="48">
        <v>-3236.73</v>
      </c>
      <c r="U360" s="48">
        <v>-479.98</v>
      </c>
      <c r="V360" s="48">
        <v>-664.18</v>
      </c>
      <c r="W360" s="48">
        <v>-237.7</v>
      </c>
      <c r="X360" s="48">
        <v>-327.07</v>
      </c>
      <c r="Y360" s="48">
        <v>-368.85</v>
      </c>
      <c r="Z360" s="48">
        <v>-664.38</v>
      </c>
      <c r="AA360" s="48">
        <v>-3034.31</v>
      </c>
      <c r="AB360" s="48">
        <v>-3244.46</v>
      </c>
      <c r="AC360" s="48">
        <v>-3989.13</v>
      </c>
      <c r="AD360" s="48">
        <v>-650.26</v>
      </c>
      <c r="AE360" s="48">
        <v>-11483.41</v>
      </c>
      <c r="AF360" s="48">
        <v>-13996.7</v>
      </c>
      <c r="AG360" s="48">
        <v>-2678.56</v>
      </c>
      <c r="AH360" s="48">
        <v>0</v>
      </c>
      <c r="AI360" s="48">
        <v>-4540.3900000000003</v>
      </c>
      <c r="AJ360" s="48">
        <v>-10.44</v>
      </c>
      <c r="AK360" s="48">
        <v>-1497.99</v>
      </c>
      <c r="AL360" s="48">
        <v>0</v>
      </c>
      <c r="AM360" s="48">
        <v>-900.17</v>
      </c>
      <c r="AN360" s="48">
        <v>0</v>
      </c>
      <c r="AO360" s="48">
        <v>0</v>
      </c>
      <c r="AP360" s="48">
        <v>0</v>
      </c>
      <c r="AQ360" s="48">
        <v>0</v>
      </c>
      <c r="AR360" s="48">
        <v>0</v>
      </c>
      <c r="AS360" s="48">
        <v>0</v>
      </c>
      <c r="AT360" s="48">
        <v>0</v>
      </c>
      <c r="AU360" s="48">
        <v>0</v>
      </c>
      <c r="AV360" s="48">
        <v>0</v>
      </c>
      <c r="AW360" s="48"/>
      <c r="AX360" s="48"/>
      <c r="AY360" s="48"/>
      <c r="AZ360" s="48">
        <v>0</v>
      </c>
      <c r="BA360" s="48">
        <v>0</v>
      </c>
      <c r="BB360" s="48">
        <v>0</v>
      </c>
      <c r="BC360" s="48">
        <v>0</v>
      </c>
      <c r="BD360" s="48">
        <v>0</v>
      </c>
      <c r="BE360" s="48">
        <v>0</v>
      </c>
      <c r="BF360" s="48">
        <v>0</v>
      </c>
      <c r="BG360" s="48">
        <v>0</v>
      </c>
      <c r="BH360" s="48">
        <v>0</v>
      </c>
      <c r="BI360" s="48">
        <v>0</v>
      </c>
      <c r="BJ360" s="48">
        <v>0</v>
      </c>
      <c r="BK360" s="48">
        <v>0</v>
      </c>
      <c r="BL360" s="48">
        <v>0</v>
      </c>
      <c r="BM360" s="48">
        <v>0</v>
      </c>
      <c r="BN360" s="48">
        <v>0</v>
      </c>
      <c r="BO360" s="48">
        <v>0</v>
      </c>
      <c r="BP360" s="48">
        <v>0</v>
      </c>
      <c r="BQ360" s="48">
        <v>0</v>
      </c>
      <c r="BR360" s="48">
        <v>0</v>
      </c>
      <c r="BS360" s="48">
        <v>0</v>
      </c>
      <c r="BT360" s="48">
        <v>0</v>
      </c>
      <c r="BU360" s="48">
        <v>0</v>
      </c>
      <c r="BV360" s="48">
        <v>0</v>
      </c>
      <c r="BW360" s="48">
        <v>0</v>
      </c>
      <c r="BX360" s="48">
        <v>0</v>
      </c>
      <c r="BY360" s="48">
        <v>0</v>
      </c>
      <c r="BZ360" s="48">
        <v>0</v>
      </c>
      <c r="CA360" s="48">
        <v>0</v>
      </c>
      <c r="CB360" s="48">
        <v>0</v>
      </c>
      <c r="CC360" s="48">
        <v>0</v>
      </c>
      <c r="CD360" s="48">
        <v>0</v>
      </c>
      <c r="CE360" s="48">
        <v>0</v>
      </c>
      <c r="CF360" s="48">
        <v>0</v>
      </c>
      <c r="CG360" s="48">
        <v>0</v>
      </c>
      <c r="CH360" s="48">
        <v>0</v>
      </c>
      <c r="CI360" s="48">
        <v>0</v>
      </c>
      <c r="CJ360" s="48">
        <v>-9413.48</v>
      </c>
      <c r="CK360" s="48">
        <v>-9459.18</v>
      </c>
      <c r="CL360" s="48">
        <v>-9229.83</v>
      </c>
      <c r="CM360" s="48">
        <v>-5079.79</v>
      </c>
      <c r="CN360" s="48">
        <v>-10909.71</v>
      </c>
      <c r="CO360" s="48">
        <v>-4635.07</v>
      </c>
      <c r="CP360" s="48">
        <v>-2076.81</v>
      </c>
      <c r="CQ360" s="48">
        <v>-2131.5</v>
      </c>
      <c r="CR360" s="48">
        <v>-1986.29</v>
      </c>
      <c r="CS360" s="48">
        <v>-1910.9</v>
      </c>
      <c r="CT360" s="48">
        <v>-1944.63</v>
      </c>
      <c r="CU360" s="48">
        <v>-2449.88</v>
      </c>
      <c r="CV360" s="48">
        <v>-2657.93</v>
      </c>
      <c r="CW360" s="48">
        <v>-2452.38</v>
      </c>
      <c r="CX360" s="48">
        <v>-7580.94</v>
      </c>
      <c r="CY360" s="48">
        <v>-9835.57</v>
      </c>
      <c r="CZ360" s="48">
        <v>-10685.54</v>
      </c>
      <c r="DA360" s="48">
        <v>-13833.3</v>
      </c>
      <c r="DB360" s="48">
        <v>-17837.21</v>
      </c>
      <c r="DC360" s="48">
        <v>-25658.32</v>
      </c>
      <c r="DD360" s="48">
        <v>-29496.400000000001</v>
      </c>
      <c r="DE360" s="48">
        <f>VLOOKUP($C360,'[2]Analysis 1'!$C$5:$DG$1025,107,FALSE)</f>
        <v>-31965.72</v>
      </c>
      <c r="DF360" s="48">
        <f>VLOOKUP($C360,'[2]Analysis 1'!$C$5:$DG$1025,108,FALSE)</f>
        <v>-35430.39</v>
      </c>
      <c r="DG360" s="48">
        <f>VLOOKUP($C360,'[2]Analysis 1'!$C$5:$DG$1025,109,FALSE)</f>
        <v>-39515.410000000003</v>
      </c>
      <c r="DH360" s="369">
        <f t="shared" si="11"/>
        <v>-226949.11000000002</v>
      </c>
    </row>
    <row r="361" spans="1:112">
      <c r="A361" s="357" t="str">
        <f t="shared" si="9"/>
        <v>7000800</v>
      </c>
      <c r="B361" s="350" t="s">
        <v>2155</v>
      </c>
      <c r="C361" s="335" t="s">
        <v>1231</v>
      </c>
      <c r="D361" s="340">
        <v>-32156.26</v>
      </c>
      <c r="E361" s="340">
        <v>-59768.59</v>
      </c>
      <c r="F361" s="340">
        <v>-16405.560000000001</v>
      </c>
      <c r="G361" s="340">
        <v>-11983.35</v>
      </c>
      <c r="H361" s="340">
        <v>-19841.05</v>
      </c>
      <c r="I361" s="340">
        <v>-34519.17</v>
      </c>
      <c r="J361" s="340">
        <v>-13577.67</v>
      </c>
      <c r="K361" s="340">
        <v>-15355.17</v>
      </c>
      <c r="L361" s="340">
        <v>-15121.38</v>
      </c>
      <c r="M361" s="340">
        <v>-16882.47</v>
      </c>
      <c r="N361" s="340">
        <v>-11242.67</v>
      </c>
      <c r="O361" s="341">
        <v>-29160.13</v>
      </c>
      <c r="P361" s="48">
        <v>-24518.29</v>
      </c>
      <c r="Q361" s="48">
        <v>-17993.23</v>
      </c>
      <c r="R361" s="48">
        <v>-17994.25</v>
      </c>
      <c r="S361" s="48">
        <v>-19822.23</v>
      </c>
      <c r="T361" s="48">
        <v>-41990.1</v>
      </c>
      <c r="U361" s="48">
        <v>-46082.1</v>
      </c>
      <c r="V361" s="48">
        <v>-12781.81</v>
      </c>
      <c r="W361" s="48">
        <v>-21453.43</v>
      </c>
      <c r="X361" s="48">
        <v>-15998.47</v>
      </c>
      <c r="Y361" s="48">
        <v>-17926.060000000001</v>
      </c>
      <c r="Z361" s="48">
        <v>-23394.54</v>
      </c>
      <c r="AA361" s="48">
        <v>-18115.330000000002</v>
      </c>
      <c r="AB361" s="48">
        <v>-14596.01</v>
      </c>
      <c r="AC361" s="48">
        <v>-64398.96</v>
      </c>
      <c r="AD361" s="48">
        <v>-24467.18</v>
      </c>
      <c r="AE361" s="48">
        <v>-25289.81</v>
      </c>
      <c r="AF361" s="48">
        <v>-24608.98</v>
      </c>
      <c r="AG361" s="48">
        <v>-45412.81</v>
      </c>
      <c r="AH361" s="48">
        <v>-53566.52</v>
      </c>
      <c r="AI361" s="48">
        <v>-37029.370000000003</v>
      </c>
      <c r="AJ361" s="48">
        <v>-29848.48</v>
      </c>
      <c r="AK361" s="48">
        <v>-22548.720000000001</v>
      </c>
      <c r="AL361" s="48">
        <v>-34613.72</v>
      </c>
      <c r="AM361" s="48">
        <v>-40897.17</v>
      </c>
      <c r="AN361" s="48">
        <v>-28006.81</v>
      </c>
      <c r="AO361" s="48">
        <v>-37984.57</v>
      </c>
      <c r="AP361" s="48">
        <v>-31193.17</v>
      </c>
      <c r="AQ361" s="48">
        <v>-30066.84</v>
      </c>
      <c r="AR361" s="48">
        <v>-9809.65</v>
      </c>
      <c r="AS361" s="48">
        <v>-20994.17</v>
      </c>
      <c r="AT361" s="48">
        <v>-1673.21</v>
      </c>
      <c r="AU361" s="48">
        <v>-5205.66</v>
      </c>
      <c r="AV361" s="48">
        <v>-1710.7</v>
      </c>
      <c r="AW361" s="48">
        <v>-2412.67</v>
      </c>
      <c r="AX361" s="48">
        <v>-653.58000000000004</v>
      </c>
      <c r="AY361" s="48">
        <v>-722.53</v>
      </c>
      <c r="AZ361" s="48">
        <v>-5980.14</v>
      </c>
      <c r="BA361" s="48">
        <v>-683.95</v>
      </c>
      <c r="BB361" s="48">
        <v>-593.34</v>
      </c>
      <c r="BC361" s="48">
        <v>-1242.23</v>
      </c>
      <c r="BD361" s="48">
        <v>-3325.19</v>
      </c>
      <c r="BE361" s="48">
        <v>-823.95</v>
      </c>
      <c r="BF361" s="48">
        <v>61.04</v>
      </c>
      <c r="BG361" s="48">
        <v>-774.42</v>
      </c>
      <c r="BH361" s="48">
        <v>-869.08</v>
      </c>
      <c r="BI361" s="48">
        <v>123.42</v>
      </c>
      <c r="BJ361" s="48">
        <v>-859.74</v>
      </c>
      <c r="BK361" s="48">
        <v>-1245.73</v>
      </c>
      <c r="BL361" s="48">
        <v>-1386.14</v>
      </c>
      <c r="BM361" s="48">
        <v>-1039.8</v>
      </c>
      <c r="BN361" s="48">
        <v>-926.46</v>
      </c>
      <c r="BO361" s="48">
        <v>-955.99</v>
      </c>
      <c r="BP361" s="48">
        <v>-1150.17</v>
      </c>
      <c r="BQ361" s="48">
        <v>-3577.39</v>
      </c>
      <c r="BR361" s="48">
        <v>-3981.29</v>
      </c>
      <c r="BS361" s="48">
        <v>-3921.99</v>
      </c>
      <c r="BT361" s="48">
        <v>-3048.89</v>
      </c>
      <c r="BU361" s="48">
        <v>-21.6</v>
      </c>
      <c r="BV361" s="48">
        <v>-5046.87</v>
      </c>
      <c r="BW361" s="48">
        <v>-1393.46</v>
      </c>
      <c r="BX361" s="48">
        <v>-1579.61</v>
      </c>
      <c r="BY361" s="48">
        <v>-1281.06</v>
      </c>
      <c r="BZ361" s="48">
        <v>-1072.8</v>
      </c>
      <c r="CA361" s="48">
        <v>-719.88</v>
      </c>
      <c r="CB361" s="48">
        <v>-1039.4000000000001</v>
      </c>
      <c r="CC361" s="48">
        <v>-750.75</v>
      </c>
      <c r="CD361" s="48">
        <v>-625.63</v>
      </c>
      <c r="CE361" s="48">
        <v>-738.82</v>
      </c>
      <c r="CF361" s="48">
        <v>-572.55999999999995</v>
      </c>
      <c r="CG361" s="48">
        <v>-534.87</v>
      </c>
      <c r="CH361" s="48">
        <v>-573.24</v>
      </c>
      <c r="CI361" s="48">
        <v>-664.81</v>
      </c>
      <c r="CJ361" s="48">
        <v>-842.29</v>
      </c>
      <c r="CK361" s="48">
        <v>-387.57</v>
      </c>
      <c r="CL361" s="48">
        <v>-485.21</v>
      </c>
      <c r="CM361" s="48">
        <v>-4509.24</v>
      </c>
      <c r="CN361" s="48">
        <v>-3492.65</v>
      </c>
      <c r="CO361" s="48">
        <v>-489.02</v>
      </c>
      <c r="CP361" s="48">
        <v>-1132.8800000000001</v>
      </c>
      <c r="CQ361" s="48">
        <v>-953.31</v>
      </c>
      <c r="CR361" s="48">
        <v>-818.78</v>
      </c>
      <c r="CS361" s="48">
        <v>-974.96</v>
      </c>
      <c r="CT361" s="48">
        <v>-899.24</v>
      </c>
      <c r="CU361" s="48">
        <v>-905.4</v>
      </c>
      <c r="CV361" s="48">
        <v>-1135.4000000000001</v>
      </c>
      <c r="CW361" s="48">
        <v>-449.26</v>
      </c>
      <c r="CX361" s="48">
        <v>-413.98</v>
      </c>
      <c r="CY361" s="48">
        <v>-633.27</v>
      </c>
      <c r="CZ361" s="48">
        <v>-603.95000000000005</v>
      </c>
      <c r="DA361" s="48">
        <v>-402.26</v>
      </c>
      <c r="DB361" s="48">
        <v>-512.79999999999995</v>
      </c>
      <c r="DC361" s="48">
        <v>-3804.42</v>
      </c>
      <c r="DD361" s="48">
        <v>-9140.0499999999993</v>
      </c>
      <c r="DE361" s="48">
        <f>VLOOKUP($C361,'[2]Analysis 1'!$C$5:$DG$1025,107,FALSE)</f>
        <v>-15357.5</v>
      </c>
      <c r="DF361" s="48">
        <f>VLOOKUP($C361,'[2]Analysis 1'!$C$5:$DG$1025,108,FALSE)</f>
        <v>-5153.2</v>
      </c>
      <c r="DG361" s="48">
        <f>VLOOKUP($C361,'[2]Analysis 1'!$C$5:$DG$1025,109,FALSE)</f>
        <v>-6663.68</v>
      </c>
      <c r="DH361" s="369">
        <f t="shared" si="11"/>
        <v>-44269.77</v>
      </c>
    </row>
    <row r="362" spans="1:112">
      <c r="A362" s="357" t="str">
        <f t="shared" si="9"/>
        <v>7009000</v>
      </c>
      <c r="B362" s="350" t="s">
        <v>2157</v>
      </c>
      <c r="C362" s="335" t="s">
        <v>1699</v>
      </c>
      <c r="D362" s="340">
        <v>0</v>
      </c>
      <c r="E362" s="340">
        <v>-6767.39</v>
      </c>
      <c r="F362" s="340">
        <v>0</v>
      </c>
      <c r="G362" s="340">
        <v>0</v>
      </c>
      <c r="H362" s="340">
        <v>0</v>
      </c>
      <c r="I362" s="340">
        <v>0</v>
      </c>
      <c r="J362" s="340">
        <v>0</v>
      </c>
      <c r="K362" s="340">
        <v>0</v>
      </c>
      <c r="L362" s="340">
        <v>0</v>
      </c>
      <c r="M362" s="340">
        <v>0</v>
      </c>
      <c r="N362" s="340">
        <v>0</v>
      </c>
      <c r="O362" s="341">
        <v>0</v>
      </c>
      <c r="P362" s="48">
        <v>0</v>
      </c>
      <c r="Q362" s="48">
        <v>0</v>
      </c>
      <c r="R362" s="48">
        <v>0</v>
      </c>
      <c r="S362" s="48">
        <v>0</v>
      </c>
      <c r="T362" s="48">
        <v>0</v>
      </c>
      <c r="U362" s="48">
        <v>0</v>
      </c>
      <c r="V362" s="48">
        <v>0</v>
      </c>
      <c r="W362" s="48">
        <v>0</v>
      </c>
      <c r="X362" s="48">
        <v>0</v>
      </c>
      <c r="Y362" s="48">
        <v>0</v>
      </c>
      <c r="Z362" s="48">
        <v>0</v>
      </c>
      <c r="AA362" s="48">
        <v>-687910.31</v>
      </c>
      <c r="AB362" s="48">
        <v>0</v>
      </c>
      <c r="AC362" s="48">
        <v>0</v>
      </c>
      <c r="AD362" s="48">
        <v>0</v>
      </c>
      <c r="AE362" s="48">
        <v>0</v>
      </c>
      <c r="AF362" s="48">
        <v>0</v>
      </c>
      <c r="AG362" s="48">
        <v>0</v>
      </c>
      <c r="AH362" s="48">
        <v>0</v>
      </c>
      <c r="AI362" s="48">
        <v>0</v>
      </c>
      <c r="AJ362" s="48">
        <v>140</v>
      </c>
      <c r="AK362" s="48">
        <v>-140</v>
      </c>
      <c r="AL362" s="48">
        <v>0</v>
      </c>
      <c r="AM362" s="48">
        <v>0</v>
      </c>
      <c r="AN362" s="48">
        <v>0</v>
      </c>
      <c r="AO362" s="48">
        <v>0</v>
      </c>
      <c r="AP362" s="48">
        <v>0</v>
      </c>
      <c r="AQ362" s="48">
        <v>0</v>
      </c>
      <c r="AR362" s="48">
        <v>0</v>
      </c>
      <c r="AS362" s="48">
        <v>0</v>
      </c>
      <c r="AT362" s="48">
        <v>0</v>
      </c>
      <c r="AU362" s="48">
        <v>0</v>
      </c>
      <c r="AV362" s="48">
        <v>0</v>
      </c>
      <c r="AW362" s="48"/>
      <c r="AX362" s="48"/>
      <c r="AY362" s="48"/>
      <c r="AZ362" s="48">
        <v>0</v>
      </c>
      <c r="BA362" s="48">
        <v>0</v>
      </c>
      <c r="BB362" s="48">
        <v>0</v>
      </c>
      <c r="BC362" s="48">
        <v>0</v>
      </c>
      <c r="BD362" s="48">
        <v>0</v>
      </c>
      <c r="BE362" s="48">
        <v>0</v>
      </c>
      <c r="BF362" s="48">
        <v>0</v>
      </c>
      <c r="BG362" s="48">
        <v>0</v>
      </c>
      <c r="BH362" s="48">
        <v>0</v>
      </c>
      <c r="BI362" s="48">
        <v>0</v>
      </c>
      <c r="BJ362" s="48">
        <v>0</v>
      </c>
      <c r="BK362" s="48">
        <v>0</v>
      </c>
      <c r="BL362" s="48">
        <v>0</v>
      </c>
      <c r="BM362" s="48">
        <v>0</v>
      </c>
      <c r="BN362" s="48">
        <v>0</v>
      </c>
      <c r="BO362" s="48">
        <v>0</v>
      </c>
      <c r="BP362" s="48">
        <v>0</v>
      </c>
      <c r="BQ362" s="48">
        <v>0</v>
      </c>
      <c r="BR362" s="48">
        <v>0</v>
      </c>
      <c r="BS362" s="48">
        <v>0</v>
      </c>
      <c r="BT362" s="48">
        <v>0</v>
      </c>
      <c r="BU362" s="48">
        <v>0</v>
      </c>
      <c r="BV362" s="48">
        <v>0</v>
      </c>
      <c r="BW362" s="48">
        <v>0</v>
      </c>
      <c r="BX362" s="48">
        <v>0</v>
      </c>
      <c r="BY362" s="48">
        <v>0</v>
      </c>
      <c r="BZ362" s="48">
        <v>0</v>
      </c>
      <c r="CA362" s="48">
        <v>0</v>
      </c>
      <c r="CB362" s="48">
        <v>0</v>
      </c>
      <c r="CC362" s="48">
        <v>0</v>
      </c>
      <c r="CD362" s="48">
        <v>0</v>
      </c>
      <c r="CE362" s="48">
        <v>0</v>
      </c>
      <c r="CF362" s="48">
        <v>0</v>
      </c>
      <c r="CG362" s="48">
        <v>0</v>
      </c>
      <c r="CH362" s="48">
        <v>0</v>
      </c>
      <c r="CI362" s="48">
        <v>0</v>
      </c>
      <c r="CJ362" s="48">
        <v>0</v>
      </c>
      <c r="CK362" s="48">
        <v>0</v>
      </c>
      <c r="CL362" s="48">
        <v>0</v>
      </c>
      <c r="CM362" s="48">
        <v>0</v>
      </c>
      <c r="CN362" s="48">
        <v>0</v>
      </c>
      <c r="CO362" s="48">
        <v>0</v>
      </c>
      <c r="CP362" s="48">
        <v>0</v>
      </c>
      <c r="CQ362" s="48">
        <v>0</v>
      </c>
      <c r="CR362" s="48">
        <v>0</v>
      </c>
      <c r="CS362" s="48">
        <v>0</v>
      </c>
      <c r="CT362" s="48">
        <v>0</v>
      </c>
      <c r="CU362" s="48">
        <v>0</v>
      </c>
      <c r="CV362" s="48">
        <v>0</v>
      </c>
      <c r="CW362" s="48">
        <v>0</v>
      </c>
      <c r="CX362" s="48">
        <v>0</v>
      </c>
      <c r="CY362" s="48">
        <v>0</v>
      </c>
      <c r="CZ362" s="48">
        <v>0</v>
      </c>
      <c r="DA362" s="48">
        <v>0</v>
      </c>
      <c r="DB362" s="48">
        <v>0</v>
      </c>
      <c r="DC362" s="48">
        <v>0</v>
      </c>
      <c r="DD362" s="48">
        <v>0</v>
      </c>
      <c r="DE362" s="48">
        <f>VLOOKUP($C362,'[2]Analysis 1'!$C$5:$DG$1025,107,FALSE)</f>
        <v>0</v>
      </c>
      <c r="DF362" s="48">
        <f>VLOOKUP($C362,'[2]Analysis 1'!$C$5:$DG$1025,108,FALSE)</f>
        <v>0</v>
      </c>
      <c r="DG362" s="48">
        <f>VLOOKUP($C362,'[2]Analysis 1'!$C$5:$DG$1025,109,FALSE)</f>
        <v>0</v>
      </c>
      <c r="DH362" s="369">
        <f t="shared" si="11"/>
        <v>0</v>
      </c>
    </row>
    <row r="363" spans="1:112">
      <c r="A363" s="357" t="str">
        <f>+B363</f>
        <v>7100010</v>
      </c>
      <c r="B363" s="350" t="s">
        <v>2300</v>
      </c>
      <c r="C363" s="335" t="s">
        <v>2295</v>
      </c>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c r="AQ363" s="48"/>
      <c r="AR363" s="48"/>
      <c r="AS363" s="48"/>
      <c r="AT363" s="48"/>
      <c r="AU363" s="48"/>
      <c r="AV363" s="48"/>
      <c r="AW363" s="48"/>
      <c r="AX363" s="48"/>
      <c r="AY363" s="48"/>
      <c r="AZ363" s="48"/>
      <c r="BA363" s="48"/>
      <c r="BB363" s="48"/>
      <c r="BC363" s="48"/>
      <c r="BD363" s="48"/>
      <c r="BE363" s="48"/>
      <c r="BF363" s="48"/>
      <c r="BG363" s="48"/>
      <c r="BH363" s="48"/>
      <c r="BI363" s="48"/>
      <c r="BJ363" s="48"/>
      <c r="BK363" s="48"/>
      <c r="BL363" s="48">
        <v>0</v>
      </c>
      <c r="BM363" s="48">
        <v>0</v>
      </c>
      <c r="BN363" s="48">
        <v>0</v>
      </c>
      <c r="BO363" s="48">
        <v>0</v>
      </c>
      <c r="BP363" s="48">
        <v>0</v>
      </c>
      <c r="BQ363" s="48">
        <v>0</v>
      </c>
      <c r="BR363" s="48">
        <v>0</v>
      </c>
      <c r="BS363" s="48">
        <v>-135260.79</v>
      </c>
      <c r="BT363" s="48">
        <v>-88143.23</v>
      </c>
      <c r="BU363" s="48">
        <v>-69984.350000000006</v>
      </c>
      <c r="BV363" s="48">
        <v>-78293.710000000006</v>
      </c>
      <c r="BW363" s="48">
        <v>-98731.87</v>
      </c>
      <c r="BX363" s="48">
        <v>-128109.59</v>
      </c>
      <c r="BY363" s="48">
        <v>-160068.20000000001</v>
      </c>
      <c r="BZ363" s="48">
        <v>-187039.09</v>
      </c>
      <c r="CA363" s="48">
        <v>-212810.96</v>
      </c>
      <c r="CB363" s="48">
        <v>-258036.43</v>
      </c>
      <c r="CC363" s="48">
        <v>-295038.21000000002</v>
      </c>
      <c r="CD363" s="48">
        <v>-317432.21000000002</v>
      </c>
      <c r="CE363" s="48">
        <v>-354208</v>
      </c>
      <c r="CF363" s="48">
        <v>-396170.73</v>
      </c>
      <c r="CG363" s="48">
        <v>-313400.96999999997</v>
      </c>
      <c r="CH363" s="48">
        <v>-231389.87</v>
      </c>
      <c r="CI363" s="48">
        <v>-267899.33</v>
      </c>
      <c r="CJ363" s="48">
        <v>-304757.78999999998</v>
      </c>
      <c r="CK363" s="48">
        <v>-370593.85</v>
      </c>
      <c r="CL363" s="48">
        <v>-389947.17</v>
      </c>
      <c r="CM363" s="48">
        <v>-326242.06</v>
      </c>
      <c r="CN363" s="48">
        <v>-221915.58</v>
      </c>
      <c r="CO363" s="48">
        <v>-230325.17</v>
      </c>
      <c r="CP363" s="48">
        <v>-249458.15</v>
      </c>
      <c r="CQ363" s="48">
        <v>-280763.06</v>
      </c>
      <c r="CR363" s="48">
        <v>-307772.68</v>
      </c>
      <c r="CS363" s="48">
        <v>-330307.34000000003</v>
      </c>
      <c r="CT363" s="48">
        <v>-118962.32</v>
      </c>
      <c r="CU363" s="48">
        <v>-163717.22</v>
      </c>
      <c r="CV363" s="48">
        <v>-180627.20000000001</v>
      </c>
      <c r="CW363" s="48">
        <v>-197146.68</v>
      </c>
      <c r="CX363" s="48">
        <v>-214283.86</v>
      </c>
      <c r="CY363" s="48">
        <v>-235931.8</v>
      </c>
      <c r="CZ363" s="48">
        <v>-260884.35</v>
      </c>
      <c r="DA363" s="48">
        <v>-291434.89</v>
      </c>
      <c r="DB363" s="48">
        <v>-325385.08</v>
      </c>
      <c r="DC363" s="48">
        <v>-349541.75</v>
      </c>
      <c r="DD363" s="48">
        <v>-370307.86</v>
      </c>
      <c r="DE363" s="48">
        <f>VLOOKUP($C363,'[2]Analysis 1'!$C$5:$DG$1025,107,FALSE)</f>
        <v>-167646.16</v>
      </c>
      <c r="DF363" s="48">
        <f>VLOOKUP($C363,'[2]Analysis 1'!$C$5:$DG$1025,108,FALSE)</f>
        <v>-245397.82</v>
      </c>
      <c r="DG363" s="48">
        <f>VLOOKUP($C363,'[2]Analysis 1'!$C$5:$DG$1025,109,FALSE)</f>
        <v>-265768.27</v>
      </c>
      <c r="DH363" s="369">
        <f t="shared" si="11"/>
        <v>-3104355.72</v>
      </c>
    </row>
    <row r="364" spans="1:112">
      <c r="A364" s="357" t="str">
        <f>+B364</f>
        <v>7100015</v>
      </c>
      <c r="B364" s="350" t="s">
        <v>2377</v>
      </c>
      <c r="C364" s="335" t="s">
        <v>2378</v>
      </c>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c r="AR364" s="48"/>
      <c r="AS364" s="48"/>
      <c r="AT364" s="48"/>
      <c r="AU364" s="48"/>
      <c r="AV364" s="48"/>
      <c r="AW364" s="48"/>
      <c r="AX364" s="48"/>
      <c r="AY364" s="48"/>
      <c r="AZ364" s="48"/>
      <c r="BA364" s="48"/>
      <c r="BB364" s="48"/>
      <c r="BC364" s="48"/>
      <c r="BD364" s="48"/>
      <c r="BE364" s="48"/>
      <c r="BF364" s="48"/>
      <c r="BG364" s="48"/>
      <c r="BH364" s="48"/>
      <c r="BI364" s="48"/>
      <c r="BJ364" s="48"/>
      <c r="BK364" s="48"/>
      <c r="BL364" s="48"/>
      <c r="BM364" s="48"/>
      <c r="BN364" s="48"/>
      <c r="BO364" s="48"/>
      <c r="BP364" s="48"/>
      <c r="BQ364" s="48"/>
      <c r="BR364" s="48"/>
      <c r="BS364" s="48"/>
      <c r="BT364" s="48"/>
      <c r="BU364" s="48">
        <v>0</v>
      </c>
      <c r="BV364" s="48">
        <v>0</v>
      </c>
      <c r="BW364" s="48">
        <v>470413.95</v>
      </c>
      <c r="BX364" s="48">
        <v>128109.59</v>
      </c>
      <c r="BY364" s="48">
        <v>160068.20000000001</v>
      </c>
      <c r="BZ364" s="48">
        <v>187039.09</v>
      </c>
      <c r="CA364" s="48">
        <v>212810.96</v>
      </c>
      <c r="CB364" s="48">
        <v>258036.43</v>
      </c>
      <c r="CC364" s="48">
        <v>295038.21000000002</v>
      </c>
      <c r="CD364" s="48">
        <v>317432.21000000002</v>
      </c>
      <c r="CE364" s="48">
        <v>354208</v>
      </c>
      <c r="CF364" s="48">
        <v>396170.73</v>
      </c>
      <c r="CG364" s="48">
        <v>313400.96999999997</v>
      </c>
      <c r="CH364" s="48">
        <v>231389.87</v>
      </c>
      <c r="CI364" s="48">
        <v>267899.33</v>
      </c>
      <c r="CJ364" s="48">
        <v>304757.78999999998</v>
      </c>
      <c r="CK364" s="48">
        <v>370593.85</v>
      </c>
      <c r="CL364" s="48">
        <v>389947.17</v>
      </c>
      <c r="CM364" s="48">
        <v>326242.06</v>
      </c>
      <c r="CN364" s="48">
        <v>221915.58</v>
      </c>
      <c r="CO364" s="48">
        <v>230325.17</v>
      </c>
      <c r="CP364" s="48">
        <v>249458.15</v>
      </c>
      <c r="CQ364" s="48">
        <v>280763.06</v>
      </c>
      <c r="CR364" s="48">
        <v>307772.68</v>
      </c>
      <c r="CS364" s="48">
        <v>330307.34000000003</v>
      </c>
      <c r="CT364" s="48">
        <v>118962.32</v>
      </c>
      <c r="CU364" s="48">
        <v>163717.22</v>
      </c>
      <c r="CV364" s="48">
        <v>180627.20000000001</v>
      </c>
      <c r="CW364" s="48">
        <v>197146.68</v>
      </c>
      <c r="CX364" s="48">
        <v>214283.86</v>
      </c>
      <c r="CY364" s="48">
        <v>235931.8</v>
      </c>
      <c r="CZ364" s="48">
        <v>260884.35</v>
      </c>
      <c r="DA364" s="48">
        <v>291434.89</v>
      </c>
      <c r="DB364" s="48">
        <v>325385.08</v>
      </c>
      <c r="DC364" s="48">
        <v>349541.75</v>
      </c>
      <c r="DD364" s="48">
        <v>370307.86</v>
      </c>
      <c r="DE364" s="48">
        <f>VLOOKUP($C364,'[2]Analysis 1'!$C$5:$DG$1025,107,FALSE)</f>
        <v>167646.16</v>
      </c>
      <c r="DF364" s="48">
        <f>VLOOKUP($C364,'[2]Analysis 1'!$C$5:$DG$1025,108,FALSE)</f>
        <v>245397.82</v>
      </c>
      <c r="DG364" s="48">
        <f>VLOOKUP($C364,'[2]Analysis 1'!$C$5:$DG$1025,109,FALSE)</f>
        <v>265768.27</v>
      </c>
      <c r="DH364" s="369">
        <f t="shared" si="11"/>
        <v>3104355.72</v>
      </c>
    </row>
    <row r="365" spans="1:112">
      <c r="A365" s="357" t="str">
        <f t="shared" si="9"/>
        <v>7100020</v>
      </c>
      <c r="B365" s="350" t="s">
        <v>2158</v>
      </c>
      <c r="C365" s="335" t="s">
        <v>1232</v>
      </c>
      <c r="D365" s="340">
        <v>0</v>
      </c>
      <c r="E365" s="340">
        <v>-6767.39</v>
      </c>
      <c r="F365" s="340">
        <v>0</v>
      </c>
      <c r="G365" s="340">
        <v>0</v>
      </c>
      <c r="H365" s="340">
        <v>0</v>
      </c>
      <c r="I365" s="340">
        <v>0</v>
      </c>
      <c r="J365" s="340">
        <v>0</v>
      </c>
      <c r="K365" s="340">
        <v>0</v>
      </c>
      <c r="L365" s="340">
        <v>0</v>
      </c>
      <c r="M365" s="340">
        <v>0</v>
      </c>
      <c r="N365" s="340">
        <v>0</v>
      </c>
      <c r="O365" s="341">
        <v>0</v>
      </c>
      <c r="P365" s="48">
        <v>0</v>
      </c>
      <c r="Q365" s="48">
        <v>0</v>
      </c>
      <c r="R365" s="48">
        <v>0</v>
      </c>
      <c r="S365" s="48">
        <v>0</v>
      </c>
      <c r="T365" s="48">
        <v>0</v>
      </c>
      <c r="U365" s="48">
        <v>0</v>
      </c>
      <c r="V365" s="48">
        <v>0</v>
      </c>
      <c r="W365" s="48">
        <v>0</v>
      </c>
      <c r="X365" s="48">
        <v>0</v>
      </c>
      <c r="Y365" s="48">
        <v>0</v>
      </c>
      <c r="Z365" s="48">
        <v>0</v>
      </c>
      <c r="AA365" s="48">
        <v>-687910.31</v>
      </c>
      <c r="AB365" s="48">
        <v>0</v>
      </c>
      <c r="AC365" s="48">
        <v>0</v>
      </c>
      <c r="AD365" s="48">
        <v>0</v>
      </c>
      <c r="AE365" s="48">
        <v>0</v>
      </c>
      <c r="AF365" s="48">
        <v>0</v>
      </c>
      <c r="AG365" s="48">
        <v>0</v>
      </c>
      <c r="AH365" s="48">
        <v>0</v>
      </c>
      <c r="AI365" s="48">
        <v>-214531</v>
      </c>
      <c r="AJ365" s="48">
        <v>0</v>
      </c>
      <c r="AK365" s="48">
        <v>-732275.85</v>
      </c>
      <c r="AL365" s="48">
        <v>0</v>
      </c>
      <c r="AM365" s="48">
        <v>0</v>
      </c>
      <c r="AN365" s="48">
        <v>0</v>
      </c>
      <c r="AO365" s="48">
        <v>0</v>
      </c>
      <c r="AP365" s="48">
        <v>0</v>
      </c>
      <c r="AQ365" s="48">
        <v>0</v>
      </c>
      <c r="AR365" s="48">
        <v>0</v>
      </c>
      <c r="AS365" s="48">
        <v>0</v>
      </c>
      <c r="AT365" s="48">
        <v>0</v>
      </c>
      <c r="AU365" s="48">
        <v>0</v>
      </c>
      <c r="AV365" s="48">
        <v>0</v>
      </c>
      <c r="AW365" s="48"/>
      <c r="AX365" s="48"/>
      <c r="AY365" s="48"/>
      <c r="AZ365" s="48">
        <v>-8001.86</v>
      </c>
      <c r="BA365" s="48">
        <v>0</v>
      </c>
      <c r="BB365" s="48">
        <v>0</v>
      </c>
      <c r="BC365" s="48">
        <v>0</v>
      </c>
      <c r="BD365" s="48">
        <v>0</v>
      </c>
      <c r="BE365" s="48">
        <v>-1457.99</v>
      </c>
      <c r="BF365" s="48">
        <v>0</v>
      </c>
      <c r="BG365" s="48">
        <v>-357.9</v>
      </c>
      <c r="BH365" s="48">
        <v>-5833.64</v>
      </c>
      <c r="BI365" s="48">
        <v>-1458</v>
      </c>
      <c r="BJ365" s="48">
        <v>-178.95</v>
      </c>
      <c r="BK365" s="48">
        <v>0</v>
      </c>
      <c r="BL365" s="48">
        <v>-1958.92</v>
      </c>
      <c r="BM365" s="48">
        <v>0</v>
      </c>
      <c r="BN365" s="48">
        <v>0</v>
      </c>
      <c r="BO365" s="48">
        <v>-6839.54</v>
      </c>
      <c r="BP365" s="48">
        <v>0</v>
      </c>
      <c r="BQ365" s="48">
        <v>0</v>
      </c>
      <c r="BR365" s="48">
        <v>-2142.37</v>
      </c>
      <c r="BS365" s="48">
        <v>0</v>
      </c>
      <c r="BT365" s="48">
        <v>-1958.93</v>
      </c>
      <c r="BU365" s="48">
        <v>0</v>
      </c>
      <c r="BV365" s="48">
        <v>0</v>
      </c>
      <c r="BW365" s="48">
        <v>0</v>
      </c>
      <c r="BX365" s="48">
        <v>0</v>
      </c>
      <c r="BY365" s="48">
        <v>0</v>
      </c>
      <c r="BZ365" s="48">
        <v>-5691.65</v>
      </c>
      <c r="CA365" s="48">
        <v>0</v>
      </c>
      <c r="CB365" s="48">
        <v>0</v>
      </c>
      <c r="CC365" s="48">
        <v>0</v>
      </c>
      <c r="CD365" s="48">
        <v>0</v>
      </c>
      <c r="CE365" s="48">
        <v>-14669.15</v>
      </c>
      <c r="CF365" s="48">
        <v>0</v>
      </c>
      <c r="CG365" s="48">
        <v>-2211.61</v>
      </c>
      <c r="CH365" s="48">
        <v>0</v>
      </c>
      <c r="CI365" s="48">
        <v>-187.97</v>
      </c>
      <c r="CJ365" s="48">
        <v>0</v>
      </c>
      <c r="CK365" s="48">
        <v>0</v>
      </c>
      <c r="CL365" s="48">
        <v>0</v>
      </c>
      <c r="CM365" s="48">
        <v>-4005.72</v>
      </c>
      <c r="CN365" s="48">
        <v>0</v>
      </c>
      <c r="CO365" s="48">
        <v>0</v>
      </c>
      <c r="CP365" s="48">
        <v>0</v>
      </c>
      <c r="CQ365" s="48">
        <v>0</v>
      </c>
      <c r="CR365" s="48">
        <v>0</v>
      </c>
      <c r="CS365" s="48">
        <v>0</v>
      </c>
      <c r="CT365" s="48">
        <v>0</v>
      </c>
      <c r="CU365" s="48">
        <v>0</v>
      </c>
      <c r="CV365" s="48">
        <v>0</v>
      </c>
      <c r="CW365" s="48">
        <v>0</v>
      </c>
      <c r="CX365" s="48">
        <v>0</v>
      </c>
      <c r="CY365" s="48">
        <v>0</v>
      </c>
      <c r="CZ365" s="48">
        <v>0</v>
      </c>
      <c r="DA365" s="48">
        <v>0</v>
      </c>
      <c r="DB365" s="48">
        <v>0</v>
      </c>
      <c r="DC365" s="48">
        <v>0</v>
      </c>
      <c r="DD365" s="48">
        <v>0</v>
      </c>
      <c r="DE365" s="48">
        <f>VLOOKUP($C365,'[2]Analysis 1'!$C$5:$DG$1025,107,FALSE)</f>
        <v>0</v>
      </c>
      <c r="DF365" s="48">
        <f>VLOOKUP($C365,'[2]Analysis 1'!$C$5:$DG$1025,108,FALSE)</f>
        <v>0</v>
      </c>
      <c r="DG365" s="48">
        <f>VLOOKUP($C365,'[2]Analysis 1'!$C$5:$DG$1025,109,FALSE)</f>
        <v>0</v>
      </c>
      <c r="DH365" s="369">
        <f t="shared" si="11"/>
        <v>0</v>
      </c>
    </row>
    <row r="366" spans="1:112">
      <c r="A366" s="357" t="str">
        <f t="shared" ref="A366:A423" si="12">+B366</f>
        <v>7100800</v>
      </c>
      <c r="B366" s="350" t="s">
        <v>2159</v>
      </c>
      <c r="C366" s="335" t="s">
        <v>1233</v>
      </c>
      <c r="D366" s="340">
        <v>-48</v>
      </c>
      <c r="E366" s="340">
        <v>-47</v>
      </c>
      <c r="F366" s="340">
        <v>-46</v>
      </c>
      <c r="G366" s="340">
        <v>-46</v>
      </c>
      <c r="H366" s="340">
        <v>-68</v>
      </c>
      <c r="I366" s="340">
        <v>-43</v>
      </c>
      <c r="J366" s="340">
        <v>-43</v>
      </c>
      <c r="K366" s="340">
        <v>-44</v>
      </c>
      <c r="L366" s="340">
        <v>-46</v>
      </c>
      <c r="M366" s="340">
        <v>-75</v>
      </c>
      <c r="N366" s="340">
        <v>-50</v>
      </c>
      <c r="O366" s="341">
        <v>-50</v>
      </c>
      <c r="P366" s="48">
        <v>-52</v>
      </c>
      <c r="Q366" s="48">
        <v>-51</v>
      </c>
      <c r="R366" s="48">
        <v>-49</v>
      </c>
      <c r="S366" s="48">
        <v>-78</v>
      </c>
      <c r="T366" s="48">
        <v>-52</v>
      </c>
      <c r="U366" s="48">
        <v>-53</v>
      </c>
      <c r="V366" s="48">
        <v>-49</v>
      </c>
      <c r="W366" s="48">
        <v>-50</v>
      </c>
      <c r="X366" s="48">
        <v>-52</v>
      </c>
      <c r="Y366" s="48">
        <v>-78</v>
      </c>
      <c r="Z366" s="48">
        <v>-50</v>
      </c>
      <c r="AA366" s="48">
        <v>-48</v>
      </c>
      <c r="AB366" s="48">
        <v>-48</v>
      </c>
      <c r="AC366" s="48">
        <v>-49</v>
      </c>
      <c r="AD366" s="48">
        <v>-75</v>
      </c>
      <c r="AE366" s="48">
        <v>-52</v>
      </c>
      <c r="AF366" s="48">
        <v>-52</v>
      </c>
      <c r="AG366" s="48">
        <v>-55</v>
      </c>
      <c r="AH366" s="48">
        <v>-53</v>
      </c>
      <c r="AI366" s="48">
        <v>-52</v>
      </c>
      <c r="AJ366" s="48">
        <v>-64.5</v>
      </c>
      <c r="AK366" s="48">
        <v>-40.5</v>
      </c>
      <c r="AL366" s="48">
        <v>-40</v>
      </c>
      <c r="AM366" s="48">
        <v>-40</v>
      </c>
      <c r="AN366" s="48">
        <v>-39.5</v>
      </c>
      <c r="AO366" s="48">
        <v>-22.5</v>
      </c>
      <c r="AP366" s="48">
        <v>-56</v>
      </c>
      <c r="AQ366" s="48">
        <v>-39</v>
      </c>
      <c r="AR366" s="48">
        <v>-25</v>
      </c>
      <c r="AS366" s="48">
        <v>-32</v>
      </c>
      <c r="AT366" s="48">
        <v>-32</v>
      </c>
      <c r="AU366" s="48">
        <v>-46</v>
      </c>
      <c r="AV366" s="48">
        <v>-32</v>
      </c>
      <c r="AW366" s="48">
        <v>-32</v>
      </c>
      <c r="AX366" s="48">
        <v>-32</v>
      </c>
      <c r="AY366" s="48">
        <v>-30</v>
      </c>
      <c r="AZ366" s="48">
        <v>-32</v>
      </c>
      <c r="BA366" s="48">
        <v>-34</v>
      </c>
      <c r="BB366" s="48">
        <v>-43</v>
      </c>
      <c r="BC366" s="48">
        <v>-29</v>
      </c>
      <c r="BD366" s="48">
        <v>-30</v>
      </c>
      <c r="BE366" s="48">
        <v>-30.5</v>
      </c>
      <c r="BF366" s="48">
        <v>-27</v>
      </c>
      <c r="BG366" s="48">
        <v>-37</v>
      </c>
      <c r="BH366" s="48">
        <v>-25</v>
      </c>
      <c r="BI366" s="48">
        <v>-25</v>
      </c>
      <c r="BJ366" s="48">
        <v>-25.5</v>
      </c>
      <c r="BK366" s="48">
        <v>-29</v>
      </c>
      <c r="BL366" s="48">
        <v>-43.5</v>
      </c>
      <c r="BM366" s="48">
        <v>-34</v>
      </c>
      <c r="BN366" s="48">
        <v>-25.5</v>
      </c>
      <c r="BO366" s="48">
        <v>-25</v>
      </c>
      <c r="BP366" s="48">
        <v>-25.5</v>
      </c>
      <c r="BQ366" s="48">
        <v>-28</v>
      </c>
      <c r="BR366" s="48">
        <v>-28.5</v>
      </c>
      <c r="BS366" s="48">
        <v>-40</v>
      </c>
      <c r="BT366" s="48">
        <v>-25.5</v>
      </c>
      <c r="BU366" s="48">
        <v>-23</v>
      </c>
      <c r="BV366" s="48">
        <v>-23.5</v>
      </c>
      <c r="BW366" s="48">
        <v>-24</v>
      </c>
      <c r="BX366" s="48">
        <v>-33.5</v>
      </c>
      <c r="BY366" s="48">
        <v>-26</v>
      </c>
      <c r="BZ366" s="48">
        <v>-25</v>
      </c>
      <c r="CA366" s="48">
        <v>-25</v>
      </c>
      <c r="CB366" s="48">
        <v>-25</v>
      </c>
      <c r="CC366" s="48">
        <v>-25</v>
      </c>
      <c r="CD366" s="48">
        <v>-35.5</v>
      </c>
      <c r="CE366" s="48">
        <v>-25</v>
      </c>
      <c r="CF366" s="48">
        <v>-25</v>
      </c>
      <c r="CG366" s="48">
        <v>-25</v>
      </c>
      <c r="CH366" s="48">
        <v>-25</v>
      </c>
      <c r="CI366" s="48">
        <v>-39.5</v>
      </c>
      <c r="CJ366" s="48">
        <v>-29</v>
      </c>
      <c r="CK366" s="48">
        <v>-29</v>
      </c>
      <c r="CL366" s="48">
        <v>-30.5</v>
      </c>
      <c r="CM366" s="48">
        <v>-32</v>
      </c>
      <c r="CN366" s="48">
        <v>-30</v>
      </c>
      <c r="CO366" s="48">
        <v>-29.5</v>
      </c>
      <c r="CP366" s="48">
        <v>-38.5</v>
      </c>
      <c r="CQ366" s="48">
        <v>-27</v>
      </c>
      <c r="CR366" s="48">
        <v>-27</v>
      </c>
      <c r="CS366" s="48">
        <v>-26</v>
      </c>
      <c r="CT366" s="48">
        <v>-26</v>
      </c>
      <c r="CU366" s="48">
        <v>-34.5</v>
      </c>
      <c r="CV366" s="48">
        <v>-23</v>
      </c>
      <c r="CW366" s="48">
        <v>-23</v>
      </c>
      <c r="CX366" s="48">
        <v>-22.5</v>
      </c>
      <c r="CY366" s="48">
        <v>-23</v>
      </c>
      <c r="CZ366" s="48">
        <v>-24.5</v>
      </c>
      <c r="DA366" s="48">
        <v>99068.71</v>
      </c>
      <c r="DB366" s="48">
        <v>-23</v>
      </c>
      <c r="DC366" s="48">
        <v>-23</v>
      </c>
      <c r="DD366" s="48">
        <v>-23</v>
      </c>
      <c r="DE366" s="48">
        <f>VLOOKUP($C366,'[2]Analysis 1'!$C$5:$DG$1025,107,FALSE)</f>
        <v>-27</v>
      </c>
      <c r="DF366" s="48">
        <f>VLOOKUP($C366,'[2]Analysis 1'!$C$5:$DG$1025,108,FALSE)</f>
        <v>-27</v>
      </c>
      <c r="DG366" s="48">
        <f>VLOOKUP($C366,'[2]Analysis 1'!$C$5:$DG$1025,109,FALSE)</f>
        <v>579.48</v>
      </c>
      <c r="DH366" s="369">
        <f t="shared" si="11"/>
        <v>99409.19</v>
      </c>
    </row>
    <row r="367" spans="1:112">
      <c r="A367" s="357" t="str">
        <f t="shared" si="12"/>
        <v>7101000</v>
      </c>
      <c r="B367" s="350" t="s">
        <v>2160</v>
      </c>
      <c r="C367" s="1267" t="s">
        <v>1698</v>
      </c>
      <c r="D367" s="340"/>
      <c r="E367" s="340"/>
      <c r="F367" s="340"/>
      <c r="G367" s="340"/>
      <c r="H367" s="340"/>
      <c r="I367" s="340"/>
      <c r="J367" s="340"/>
      <c r="K367" s="340"/>
      <c r="L367" s="340"/>
      <c r="M367" s="340"/>
      <c r="N367" s="340"/>
      <c r="O367" s="340"/>
      <c r="P367" s="340"/>
      <c r="Q367" s="340"/>
      <c r="R367" s="340"/>
      <c r="S367" s="340"/>
      <c r="T367" s="340"/>
      <c r="U367" s="340"/>
      <c r="V367" s="340"/>
      <c r="W367" s="340"/>
      <c r="X367" s="340"/>
      <c r="Y367" s="340"/>
      <c r="Z367" s="340"/>
      <c r="AA367" s="340"/>
      <c r="AB367" s="340"/>
      <c r="AC367" s="340"/>
      <c r="AD367" s="340"/>
      <c r="AE367" s="340"/>
      <c r="AF367" s="340"/>
      <c r="AG367" s="340"/>
      <c r="AH367" s="48">
        <v>-178382.13</v>
      </c>
      <c r="AI367" s="48">
        <v>-178382.13</v>
      </c>
      <c r="AJ367" s="48">
        <v>-178382.13</v>
      </c>
      <c r="AK367" s="48">
        <v>-178382.13</v>
      </c>
      <c r="AL367" s="48">
        <v>-178382.13</v>
      </c>
      <c r="AM367" s="48">
        <v>-178382.13</v>
      </c>
      <c r="AN367" s="48">
        <v>-178382.13</v>
      </c>
      <c r="AO367" s="48">
        <v>-178382.13</v>
      </c>
      <c r="AP367" s="48">
        <v>-178382.13</v>
      </c>
      <c r="AQ367" s="48">
        <v>-178382.13</v>
      </c>
      <c r="AR367" s="48">
        <v>-178382.13</v>
      </c>
      <c r="AS367" s="48">
        <v>-178382.13</v>
      </c>
      <c r="AT367" s="48">
        <v>-178382.13</v>
      </c>
      <c r="AU367" s="48">
        <v>-178382.13</v>
      </c>
      <c r="AV367" s="48">
        <v>-178382.13</v>
      </c>
      <c r="AW367" s="48">
        <v>-178382.13</v>
      </c>
      <c r="AX367" s="48">
        <v>-178382.13</v>
      </c>
      <c r="AY367" s="48">
        <v>-178382.13</v>
      </c>
      <c r="AZ367" s="48">
        <v>-178382.13</v>
      </c>
      <c r="BA367" s="48">
        <v>-178382.13</v>
      </c>
      <c r="BB367" s="48">
        <v>-178382.13</v>
      </c>
      <c r="BC367" s="48">
        <v>-178382.13</v>
      </c>
      <c r="BD367" s="48">
        <v>-178382.13</v>
      </c>
      <c r="BE367" s="48">
        <v>-178382.13</v>
      </c>
      <c r="BF367" s="48">
        <v>-178382.13</v>
      </c>
      <c r="BG367" s="48">
        <v>-178382.13</v>
      </c>
      <c r="BH367" s="48">
        <v>-178382.13</v>
      </c>
      <c r="BI367" s="48">
        <v>-178382.13</v>
      </c>
      <c r="BJ367" s="48">
        <v>-178382.13</v>
      </c>
      <c r="BK367" s="48">
        <v>-178382.13</v>
      </c>
      <c r="BL367" s="48">
        <v>-178382.13</v>
      </c>
      <c r="BM367" s="48">
        <v>-178382.13</v>
      </c>
      <c r="BN367" s="48">
        <v>-178382.13</v>
      </c>
      <c r="BO367" s="48">
        <v>-178382.13</v>
      </c>
      <c r="BP367" s="48">
        <v>-178382.13</v>
      </c>
      <c r="BQ367" s="48">
        <v>-178382.13</v>
      </c>
      <c r="BR367" s="48">
        <v>-178382.13</v>
      </c>
      <c r="BS367" s="48">
        <v>-178382.13</v>
      </c>
      <c r="BT367" s="48">
        <v>-178382.13</v>
      </c>
      <c r="BU367" s="48">
        <v>-178382.13</v>
      </c>
      <c r="BV367" s="48">
        <v>-178382.13</v>
      </c>
      <c r="BW367" s="48">
        <v>-178382.13</v>
      </c>
      <c r="BX367" s="48">
        <v>-178382.13</v>
      </c>
      <c r="BY367" s="48">
        <v>-178382.13</v>
      </c>
      <c r="BZ367" s="48">
        <v>-178382.13</v>
      </c>
      <c r="CA367" s="48">
        <v>-178382.13</v>
      </c>
      <c r="CB367" s="48">
        <v>-134554.43</v>
      </c>
      <c r="CC367" s="48">
        <v>-156002.03</v>
      </c>
      <c r="CD367" s="48">
        <v>-21447.55</v>
      </c>
      <c r="CE367" s="48">
        <v>0</v>
      </c>
      <c r="CF367" s="48">
        <v>0</v>
      </c>
      <c r="CG367" s="48">
        <v>0</v>
      </c>
      <c r="CH367" s="48">
        <v>0</v>
      </c>
      <c r="CI367" s="48">
        <v>0</v>
      </c>
      <c r="CJ367" s="48">
        <v>0</v>
      </c>
      <c r="CK367" s="48">
        <v>0</v>
      </c>
      <c r="CL367" s="48">
        <v>0</v>
      </c>
      <c r="CM367" s="48">
        <v>0</v>
      </c>
      <c r="CN367" s="48">
        <v>0</v>
      </c>
      <c r="CO367" s="48">
        <v>0</v>
      </c>
      <c r="CP367" s="48">
        <v>0</v>
      </c>
      <c r="CQ367" s="48">
        <v>0</v>
      </c>
      <c r="CR367" s="48">
        <v>0</v>
      </c>
      <c r="CS367" s="48">
        <v>0</v>
      </c>
      <c r="CT367" s="48">
        <v>0</v>
      </c>
      <c r="CU367" s="48">
        <v>0</v>
      </c>
      <c r="CV367" s="48">
        <v>0</v>
      </c>
      <c r="CW367" s="48">
        <v>0</v>
      </c>
      <c r="CX367" s="48">
        <v>0</v>
      </c>
      <c r="CY367" s="48">
        <v>-13450.42</v>
      </c>
      <c r="CZ367" s="48">
        <v>-13450.42</v>
      </c>
      <c r="DA367" s="48">
        <v>-13450.42</v>
      </c>
      <c r="DB367" s="48">
        <v>-13450.42</v>
      </c>
      <c r="DC367" s="48">
        <v>-46401.599999999999</v>
      </c>
      <c r="DD367" s="48">
        <v>-46401.599999999999</v>
      </c>
      <c r="DE367" s="48">
        <f>VLOOKUP($C367,'[2]Analysis 1'!$C$5:$DG$1025,107,FALSE)</f>
        <v>-46401.599999999999</v>
      </c>
      <c r="DF367" s="48">
        <f>VLOOKUP($C367,'[2]Analysis 1'!$C$5:$DG$1025,108,FALSE)</f>
        <v>-46401.599999999999</v>
      </c>
      <c r="DG367" s="48">
        <f>VLOOKUP($C367,'[2]Analysis 1'!$C$5:$DG$1025,109,FALSE)</f>
        <v>-46401.599999999999</v>
      </c>
      <c r="DH367" s="1266">
        <f t="shared" si="11"/>
        <v>-285809.68</v>
      </c>
    </row>
    <row r="368" spans="1:112">
      <c r="A368" s="357" t="str">
        <f>+B368</f>
        <v>7102000</v>
      </c>
      <c r="B368" s="350" t="s">
        <v>2216</v>
      </c>
      <c r="C368" s="335" t="s">
        <v>2212</v>
      </c>
      <c r="D368" s="340"/>
      <c r="E368" s="340"/>
      <c r="F368" s="340"/>
      <c r="G368" s="340"/>
      <c r="H368" s="340"/>
      <c r="I368" s="340"/>
      <c r="J368" s="340"/>
      <c r="K368" s="340"/>
      <c r="L368" s="340"/>
      <c r="M368" s="340"/>
      <c r="N368" s="340"/>
      <c r="O368" s="341"/>
      <c r="P368" s="470"/>
      <c r="Q368" s="470"/>
      <c r="R368" s="470"/>
      <c r="S368" s="470"/>
      <c r="T368" s="470"/>
      <c r="U368" s="470"/>
      <c r="V368" s="470"/>
      <c r="W368" s="470"/>
      <c r="X368" s="470"/>
      <c r="Y368" s="470"/>
      <c r="Z368" s="470"/>
      <c r="AA368" s="470"/>
      <c r="AB368" s="470"/>
      <c r="AC368" s="470"/>
      <c r="AD368" s="470"/>
      <c r="AE368" s="470"/>
      <c r="AF368" s="470"/>
      <c r="AG368" s="470"/>
      <c r="AH368" s="48"/>
      <c r="AI368" s="48"/>
      <c r="AJ368" s="48"/>
      <c r="AK368" s="48"/>
      <c r="AL368" s="48"/>
      <c r="AM368" s="48"/>
      <c r="AN368" s="48"/>
      <c r="AO368" s="48"/>
      <c r="AP368" s="48"/>
      <c r="AQ368" s="48"/>
      <c r="AR368" s="48"/>
      <c r="AS368" s="48"/>
      <c r="AT368" s="48"/>
      <c r="AU368" s="48"/>
      <c r="AV368" s="48"/>
      <c r="AW368" s="48"/>
      <c r="AX368" s="48"/>
      <c r="AY368" s="48"/>
      <c r="AZ368" s="48">
        <v>0</v>
      </c>
      <c r="BA368" s="48">
        <v>0</v>
      </c>
      <c r="BB368" s="48">
        <v>-161.44</v>
      </c>
      <c r="BC368" s="48">
        <v>39026.239999999998</v>
      </c>
      <c r="BD368" s="48">
        <v>0</v>
      </c>
      <c r="BE368" s="48">
        <v>-18.850000000000001</v>
      </c>
      <c r="BF368" s="48">
        <v>0</v>
      </c>
      <c r="BG368" s="48">
        <v>0</v>
      </c>
      <c r="BH368" s="48">
        <v>0</v>
      </c>
      <c r="BI368" s="48">
        <v>0</v>
      </c>
      <c r="BJ368" s="48">
        <v>0</v>
      </c>
      <c r="BK368" s="48">
        <v>-12.47</v>
      </c>
      <c r="BL368" s="48">
        <v>0</v>
      </c>
      <c r="BM368" s="48">
        <v>0</v>
      </c>
      <c r="BN368" s="48">
        <v>0</v>
      </c>
      <c r="BO368" s="48">
        <v>-342.88</v>
      </c>
      <c r="BP368" s="48">
        <v>0</v>
      </c>
      <c r="BQ368" s="48">
        <v>0</v>
      </c>
      <c r="BR368" s="48">
        <v>0</v>
      </c>
      <c r="BS368" s="48">
        <v>-2526.56</v>
      </c>
      <c r="BT368" s="48">
        <v>0</v>
      </c>
      <c r="BU368" s="48">
        <v>0</v>
      </c>
      <c r="BV368" s="48">
        <v>0</v>
      </c>
      <c r="BW368" s="48">
        <v>0</v>
      </c>
      <c r="BX368" s="48">
        <v>0</v>
      </c>
      <c r="BY368" s="48">
        <v>0</v>
      </c>
      <c r="BZ368" s="48">
        <v>-1998.92</v>
      </c>
      <c r="CA368" s="48">
        <v>2975</v>
      </c>
      <c r="CB368" s="48">
        <v>0</v>
      </c>
      <c r="CC368" s="48">
        <v>0</v>
      </c>
      <c r="CD368" s="48">
        <v>0</v>
      </c>
      <c r="CE368" s="48">
        <v>0</v>
      </c>
      <c r="CF368" s="48">
        <v>0</v>
      </c>
      <c r="CG368" s="48">
        <v>0</v>
      </c>
      <c r="CH368" s="48">
        <v>0</v>
      </c>
      <c r="CI368" s="48">
        <v>0</v>
      </c>
      <c r="CJ368" s="48">
        <v>0</v>
      </c>
      <c r="CK368" s="48">
        <v>0</v>
      </c>
      <c r="CL368" s="48">
        <v>0</v>
      </c>
      <c r="CM368" s="48">
        <v>0</v>
      </c>
      <c r="CN368" s="48">
        <v>0</v>
      </c>
      <c r="CO368" s="48">
        <v>0</v>
      </c>
      <c r="CP368" s="48">
        <v>-241.19</v>
      </c>
      <c r="CQ368" s="48">
        <v>0</v>
      </c>
      <c r="CR368" s="48">
        <v>0</v>
      </c>
      <c r="CS368" s="48">
        <v>0</v>
      </c>
      <c r="CT368" s="48">
        <v>-117.02</v>
      </c>
      <c r="CU368" s="48">
        <v>-94.72</v>
      </c>
      <c r="CV368" s="48">
        <v>0</v>
      </c>
      <c r="CW368" s="48">
        <v>0</v>
      </c>
      <c r="CX368" s="48">
        <v>0</v>
      </c>
      <c r="CY368" s="48">
        <v>0</v>
      </c>
      <c r="CZ368" s="48">
        <v>0</v>
      </c>
      <c r="DA368" s="48">
        <v>0</v>
      </c>
      <c r="DB368" s="48">
        <v>0</v>
      </c>
      <c r="DC368" s="48">
        <v>0</v>
      </c>
      <c r="DD368" s="48">
        <v>-6247.04</v>
      </c>
      <c r="DE368" s="48">
        <f>VLOOKUP($C368,'[2]Analysis 1'!$C$5:$DG$1025,107,FALSE)</f>
        <v>-3448.61</v>
      </c>
      <c r="DF368" s="48">
        <f>VLOOKUP($C368,'[2]Analysis 1'!$C$5:$DG$1025,108,FALSE)</f>
        <v>0</v>
      </c>
      <c r="DG368" s="48">
        <f>VLOOKUP($C368,'[2]Analysis 1'!$C$5:$DG$1025,109,FALSE)</f>
        <v>1496.92</v>
      </c>
      <c r="DH368" s="369">
        <f t="shared" si="11"/>
        <v>-8198.73</v>
      </c>
    </row>
    <row r="369" spans="1:112">
      <c r="A369" s="357" t="str">
        <f t="shared" si="12"/>
        <v>7102100</v>
      </c>
      <c r="B369" s="350" t="s">
        <v>2161</v>
      </c>
      <c r="C369" s="335" t="s">
        <v>1734</v>
      </c>
      <c r="D369" s="340"/>
      <c r="E369" s="340"/>
      <c r="F369" s="340"/>
      <c r="G369" s="340"/>
      <c r="H369" s="340"/>
      <c r="I369" s="340"/>
      <c r="J369" s="340"/>
      <c r="K369" s="340"/>
      <c r="L369" s="340"/>
      <c r="M369" s="340"/>
      <c r="N369" s="340"/>
      <c r="O369" s="341"/>
      <c r="P369" s="470"/>
      <c r="Q369" s="470"/>
      <c r="R369" s="470"/>
      <c r="S369" s="470"/>
      <c r="T369" s="470"/>
      <c r="U369" s="470"/>
      <c r="V369" s="470"/>
      <c r="W369" s="470"/>
      <c r="X369" s="470"/>
      <c r="Y369" s="470"/>
      <c r="Z369" s="470"/>
      <c r="AA369" s="470"/>
      <c r="AB369" s="470"/>
      <c r="AC369" s="470"/>
      <c r="AD369" s="470"/>
      <c r="AE369" s="470"/>
      <c r="AF369" s="470"/>
      <c r="AG369" s="470"/>
      <c r="AH369" s="48"/>
      <c r="AI369" s="48"/>
      <c r="AJ369" s="48"/>
      <c r="AK369" s="48">
        <v>0</v>
      </c>
      <c r="AL369" s="48">
        <v>0</v>
      </c>
      <c r="AM369" s="48">
        <v>19.100000000000001</v>
      </c>
      <c r="AN369" s="48">
        <v>0</v>
      </c>
      <c r="AO369" s="48">
        <v>0</v>
      </c>
      <c r="AP369" s="48">
        <v>-19.100000000000001</v>
      </c>
      <c r="AQ369" s="48">
        <v>0</v>
      </c>
      <c r="AR369" s="48">
        <v>0</v>
      </c>
      <c r="AS369" s="48">
        <v>0</v>
      </c>
      <c r="AT369" s="48">
        <v>0</v>
      </c>
      <c r="AU369" s="48">
        <v>0</v>
      </c>
      <c r="AV369" s="48">
        <v>0</v>
      </c>
      <c r="AW369" s="48">
        <v>-56.83</v>
      </c>
      <c r="AX369" s="48">
        <v>56.83</v>
      </c>
      <c r="AY369" s="48">
        <v>0</v>
      </c>
      <c r="AZ369" s="48">
        <v>0</v>
      </c>
      <c r="BA369" s="48">
        <v>-1188.0999999999999</v>
      </c>
      <c r="BB369" s="48">
        <v>1188.0999999999999</v>
      </c>
      <c r="BC369" s="48">
        <v>-36.619999999999997</v>
      </c>
      <c r="BD369" s="48">
        <v>-20.51</v>
      </c>
      <c r="BE369" s="48">
        <v>-82.5</v>
      </c>
      <c r="BF369" s="48">
        <v>-1660.88</v>
      </c>
      <c r="BG369" s="48">
        <v>-144.03</v>
      </c>
      <c r="BH369" s="48">
        <v>-1207.02</v>
      </c>
      <c r="BI369" s="48">
        <v>-428.82</v>
      </c>
      <c r="BJ369" s="48">
        <v>-664.97</v>
      </c>
      <c r="BK369" s="48">
        <v>-1524.85</v>
      </c>
      <c r="BL369" s="48">
        <v>-5453.53</v>
      </c>
      <c r="BM369" s="48">
        <v>-112.17</v>
      </c>
      <c r="BN369" s="48">
        <v>-1029.8</v>
      </c>
      <c r="BO369" s="48">
        <v>3646.31</v>
      </c>
      <c r="BP369" s="48">
        <v>-62.37</v>
      </c>
      <c r="BQ369" s="48">
        <v>8814.2099999999991</v>
      </c>
      <c r="BR369" s="48">
        <v>-5380.94</v>
      </c>
      <c r="BS369" s="48">
        <v>5479.95</v>
      </c>
      <c r="BT369" s="48">
        <v>145.38999999999999</v>
      </c>
      <c r="BU369" s="48">
        <v>18.010000000000002</v>
      </c>
      <c r="BV369" s="48">
        <v>-185.42</v>
      </c>
      <c r="BW369" s="48">
        <v>185.42</v>
      </c>
      <c r="BX369" s="48">
        <v>-918.74</v>
      </c>
      <c r="BY369" s="48">
        <v>-2109.54</v>
      </c>
      <c r="BZ369" s="48">
        <v>875.25</v>
      </c>
      <c r="CA369" s="48">
        <v>2153.0300000000002</v>
      </c>
      <c r="CB369" s="48">
        <v>0</v>
      </c>
      <c r="CC369" s="48">
        <v>-1597.18</v>
      </c>
      <c r="CD369" s="48">
        <v>469.92</v>
      </c>
      <c r="CE369" s="48">
        <v>1127.26</v>
      </c>
      <c r="CF369" s="48">
        <v>-739.55</v>
      </c>
      <c r="CG369" s="48">
        <v>-32.700000000000003</v>
      </c>
      <c r="CH369" s="48">
        <v>764.3</v>
      </c>
      <c r="CI369" s="48">
        <v>0</v>
      </c>
      <c r="CJ369" s="48">
        <v>-874.71</v>
      </c>
      <c r="CK369" s="48">
        <v>874.71</v>
      </c>
      <c r="CL369" s="48">
        <v>-19.64</v>
      </c>
      <c r="CM369" s="48">
        <v>19.64</v>
      </c>
      <c r="CN369" s="48">
        <v>0</v>
      </c>
      <c r="CO369" s="48">
        <v>-2691.33</v>
      </c>
      <c r="CP369" s="48">
        <v>2691.33</v>
      </c>
      <c r="CQ369" s="48">
        <v>-106.74</v>
      </c>
      <c r="CR369" s="48">
        <v>-1421.45</v>
      </c>
      <c r="CS369" s="48">
        <v>1528.19</v>
      </c>
      <c r="CT369" s="48">
        <v>-2675.34</v>
      </c>
      <c r="CU369" s="48">
        <v>2675.34</v>
      </c>
      <c r="CV369" s="48">
        <v>-1708.79</v>
      </c>
      <c r="CW369" s="48">
        <v>1708.79</v>
      </c>
      <c r="CX369" s="48">
        <v>0</v>
      </c>
      <c r="CY369" s="48">
        <v>-2300.8200000000002</v>
      </c>
      <c r="CZ369" s="48">
        <v>3334.34</v>
      </c>
      <c r="DA369" s="48">
        <v>-2849.23</v>
      </c>
      <c r="DB369" s="48">
        <v>1815.71</v>
      </c>
      <c r="DC369" s="48">
        <v>-2606.79</v>
      </c>
      <c r="DD369" s="48">
        <v>-5044.1499999999996</v>
      </c>
      <c r="DE369" s="48">
        <f>VLOOKUP($C369,'[2]Analysis 1'!$C$5:$DG$1025,107,FALSE)</f>
        <v>7650.94</v>
      </c>
      <c r="DF369" s="48">
        <f>VLOOKUP($C369,'[2]Analysis 1'!$C$5:$DG$1025,108,FALSE)</f>
        <v>-912.26</v>
      </c>
      <c r="DG369" s="48">
        <f>VLOOKUP($C369,'[2]Analysis 1'!$C$5:$DG$1025,109,FALSE)</f>
        <v>912.26</v>
      </c>
      <c r="DH369" s="369">
        <f t="shared" si="11"/>
        <v>0</v>
      </c>
    </row>
    <row r="370" spans="1:112">
      <c r="A370" s="357" t="str">
        <f t="shared" si="12"/>
        <v>7103020</v>
      </c>
      <c r="B370" s="350" t="s">
        <v>2162</v>
      </c>
      <c r="C370" s="335" t="s">
        <v>1234</v>
      </c>
      <c r="D370" s="340">
        <v>-1875</v>
      </c>
      <c r="E370" s="340">
        <v>3655</v>
      </c>
      <c r="F370" s="340">
        <v>-1145</v>
      </c>
      <c r="G370" s="340">
        <v>-10415</v>
      </c>
      <c r="H370" s="340">
        <v>1325</v>
      </c>
      <c r="I370" s="340">
        <v>-1560</v>
      </c>
      <c r="J370" s="340">
        <v>-1000</v>
      </c>
      <c r="K370" s="340">
        <v>-42.5</v>
      </c>
      <c r="L370" s="340">
        <v>-2900</v>
      </c>
      <c r="M370" s="340">
        <v>-468</v>
      </c>
      <c r="N370" s="340">
        <v>965.5</v>
      </c>
      <c r="O370" s="341">
        <v>-75</v>
      </c>
      <c r="P370" s="48">
        <v>-9126</v>
      </c>
      <c r="Q370" s="48">
        <v>5641.39</v>
      </c>
      <c r="R370" s="48">
        <v>-70</v>
      </c>
      <c r="S370" s="48">
        <v>-73</v>
      </c>
      <c r="T370" s="48">
        <v>-3135</v>
      </c>
      <c r="U370" s="48">
        <v>1385</v>
      </c>
      <c r="V370" s="48">
        <v>-455</v>
      </c>
      <c r="W370" s="48">
        <v>-780</v>
      </c>
      <c r="X370" s="48">
        <v>-1772</v>
      </c>
      <c r="Y370" s="48">
        <v>-640</v>
      </c>
      <c r="Z370" s="48">
        <v>-75</v>
      </c>
      <c r="AA370" s="48">
        <v>-1222</v>
      </c>
      <c r="AB370" s="48">
        <v>-255</v>
      </c>
      <c r="AC370" s="48">
        <v>-850</v>
      </c>
      <c r="AD370" s="48">
        <v>-585</v>
      </c>
      <c r="AE370" s="48">
        <v>-510</v>
      </c>
      <c r="AF370" s="48">
        <v>-2080</v>
      </c>
      <c r="AG370" s="48">
        <v>-5455</v>
      </c>
      <c r="AH370" s="48">
        <v>-875</v>
      </c>
      <c r="AI370" s="48">
        <v>-810</v>
      </c>
      <c r="AJ370" s="48">
        <v>125.77</v>
      </c>
      <c r="AK370" s="48">
        <v>-4210</v>
      </c>
      <c r="AL370" s="48">
        <v>0</v>
      </c>
      <c r="AM370" s="48">
        <v>2335</v>
      </c>
      <c r="AN370" s="48">
        <v>0</v>
      </c>
      <c r="AO370" s="48">
        <v>0</v>
      </c>
      <c r="AP370" s="48">
        <v>0</v>
      </c>
      <c r="AQ370" s="48">
        <v>0</v>
      </c>
      <c r="AR370" s="48">
        <v>0</v>
      </c>
      <c r="AS370" s="48">
        <v>-260</v>
      </c>
      <c r="AT370" s="48">
        <v>0</v>
      </c>
      <c r="AU370" s="48">
        <v>-140</v>
      </c>
      <c r="AV370" s="48">
        <v>0</v>
      </c>
      <c r="AW370" s="48">
        <v>0</v>
      </c>
      <c r="AX370" s="48">
        <v>0</v>
      </c>
      <c r="AY370" s="48">
        <v>0</v>
      </c>
      <c r="AZ370" s="48">
        <v>0</v>
      </c>
      <c r="BA370" s="48">
        <v>0</v>
      </c>
      <c r="BB370" s="48">
        <v>0</v>
      </c>
      <c r="BC370" s="48">
        <v>0</v>
      </c>
      <c r="BD370" s="48">
        <v>0</v>
      </c>
      <c r="BE370" s="48">
        <v>0</v>
      </c>
      <c r="BF370" s="48">
        <v>0</v>
      </c>
      <c r="BG370" s="48">
        <v>0</v>
      </c>
      <c r="BH370" s="48">
        <v>0</v>
      </c>
      <c r="BI370" s="48">
        <v>0</v>
      </c>
      <c r="BJ370" s="48">
        <v>0</v>
      </c>
      <c r="BK370" s="48">
        <v>0</v>
      </c>
      <c r="BL370" s="48">
        <v>0</v>
      </c>
      <c r="BM370" s="48">
        <v>0</v>
      </c>
      <c r="BN370" s="48">
        <v>0</v>
      </c>
      <c r="BO370" s="48">
        <v>0</v>
      </c>
      <c r="BP370" s="48">
        <v>0</v>
      </c>
      <c r="BQ370" s="48">
        <v>0</v>
      </c>
      <c r="BR370" s="48">
        <v>0</v>
      </c>
      <c r="BS370" s="48">
        <v>0</v>
      </c>
      <c r="BT370" s="48">
        <v>0</v>
      </c>
      <c r="BU370" s="48">
        <v>0</v>
      </c>
      <c r="BV370" s="48">
        <v>-260</v>
      </c>
      <c r="BW370" s="48">
        <v>0</v>
      </c>
      <c r="BX370" s="48">
        <v>0</v>
      </c>
      <c r="BY370" s="48">
        <v>0</v>
      </c>
      <c r="BZ370" s="48">
        <v>0</v>
      </c>
      <c r="CA370" s="48">
        <v>0</v>
      </c>
      <c r="CB370" s="48">
        <v>-283.32</v>
      </c>
      <c r="CC370" s="48">
        <v>0</v>
      </c>
      <c r="CD370" s="48">
        <v>0</v>
      </c>
      <c r="CE370" s="48">
        <v>0</v>
      </c>
      <c r="CF370" s="48">
        <v>0</v>
      </c>
      <c r="CG370" s="48">
        <v>-200</v>
      </c>
      <c r="CH370" s="48">
        <v>0</v>
      </c>
      <c r="CI370" s="48">
        <v>0</v>
      </c>
      <c r="CJ370" s="48">
        <v>0</v>
      </c>
      <c r="CK370" s="48">
        <v>0</v>
      </c>
      <c r="CL370" s="48">
        <v>0</v>
      </c>
      <c r="CM370" s="48">
        <v>0</v>
      </c>
      <c r="CN370" s="48">
        <v>0</v>
      </c>
      <c r="CO370" s="48">
        <v>0</v>
      </c>
      <c r="CP370" s="48">
        <v>0</v>
      </c>
      <c r="CQ370" s="48">
        <v>0</v>
      </c>
      <c r="CR370" s="48">
        <v>0</v>
      </c>
      <c r="CS370" s="48">
        <v>0</v>
      </c>
      <c r="CT370" s="48">
        <v>0</v>
      </c>
      <c r="CU370" s="48">
        <v>0</v>
      </c>
      <c r="CV370" s="48">
        <v>0</v>
      </c>
      <c r="CW370" s="48">
        <v>0</v>
      </c>
      <c r="CX370" s="48">
        <v>0</v>
      </c>
      <c r="CY370" s="48">
        <v>0</v>
      </c>
      <c r="CZ370" s="48">
        <v>0</v>
      </c>
      <c r="DA370" s="48">
        <v>-75</v>
      </c>
      <c r="DB370" s="48">
        <v>0</v>
      </c>
      <c r="DC370" s="48">
        <v>0</v>
      </c>
      <c r="DD370" s="48">
        <v>0</v>
      </c>
      <c r="DE370" s="48">
        <f>VLOOKUP($C370,'[2]Analysis 1'!$C$5:$DG$1025,107,FALSE)</f>
        <v>0</v>
      </c>
      <c r="DF370" s="48">
        <f>VLOOKUP($C370,'[2]Analysis 1'!$C$5:$DG$1025,108,FALSE)</f>
        <v>0</v>
      </c>
      <c r="DG370" s="48">
        <f>VLOOKUP($C370,'[2]Analysis 1'!$C$5:$DG$1025,109,FALSE)</f>
        <v>0</v>
      </c>
      <c r="DH370" s="369">
        <f t="shared" si="11"/>
        <v>-75</v>
      </c>
    </row>
    <row r="371" spans="1:112">
      <c r="A371" s="357" t="str">
        <f t="shared" si="12"/>
        <v>7103060</v>
      </c>
      <c r="B371" s="350" t="s">
        <v>2163</v>
      </c>
      <c r="C371" s="335" t="s">
        <v>1235</v>
      </c>
      <c r="D371" s="367">
        <v>-270754.78999999998</v>
      </c>
      <c r="E371" s="367">
        <v>-58833.5</v>
      </c>
      <c r="F371" s="367">
        <v>-111585.79</v>
      </c>
      <c r="G371" s="367">
        <v>-65864.429999999993</v>
      </c>
      <c r="H371" s="367">
        <v>-101929.74</v>
      </c>
      <c r="I371" s="367">
        <v>-285989.12</v>
      </c>
      <c r="J371" s="367">
        <v>-77132.179999999993</v>
      </c>
      <c r="K371" s="367">
        <v>-302484.2</v>
      </c>
      <c r="L371" s="367">
        <v>-160011.57999999999</v>
      </c>
      <c r="M371" s="367">
        <v>-93278.36</v>
      </c>
      <c r="N371" s="367">
        <v>-51273.38</v>
      </c>
      <c r="O371" s="368">
        <v>-120860.81</v>
      </c>
      <c r="P371" s="48">
        <v>-44634.95</v>
      </c>
      <c r="Q371" s="48">
        <v>-44174.080000000002</v>
      </c>
      <c r="R371" s="48">
        <v>-66319.58</v>
      </c>
      <c r="S371" s="48">
        <v>-129770</v>
      </c>
      <c r="T371" s="48">
        <v>-440448.58</v>
      </c>
      <c r="U371" s="48">
        <v>-129743.83</v>
      </c>
      <c r="V371" s="48">
        <v>-93615.98</v>
      </c>
      <c r="W371" s="48">
        <v>-42785.96</v>
      </c>
      <c r="X371" s="48">
        <v>-205791.62</v>
      </c>
      <c r="Y371" s="48">
        <v>-45799.87</v>
      </c>
      <c r="Z371" s="48">
        <v>-66691.899999999994</v>
      </c>
      <c r="AA371" s="48">
        <v>-71751.929999999993</v>
      </c>
      <c r="AB371" s="48">
        <v>-61753.65</v>
      </c>
      <c r="AC371" s="48">
        <v>-83352.789999999994</v>
      </c>
      <c r="AD371" s="48">
        <v>-136948.20000000001</v>
      </c>
      <c r="AE371" s="48">
        <v>-99073.75</v>
      </c>
      <c r="AF371" s="48">
        <v>-102444.42</v>
      </c>
      <c r="AG371" s="48">
        <v>-107222.02</v>
      </c>
      <c r="AH371" s="48">
        <v>-213077.19</v>
      </c>
      <c r="AI371" s="48">
        <v>-368734.44</v>
      </c>
      <c r="AJ371" s="48">
        <v>-155970.64000000001</v>
      </c>
      <c r="AK371" s="48">
        <v>-83866.559999999998</v>
      </c>
      <c r="AL371" s="48">
        <v>-108594.95</v>
      </c>
      <c r="AM371" s="48">
        <v>-41147.9</v>
      </c>
      <c r="AN371" s="48">
        <v>-309832.71000000002</v>
      </c>
      <c r="AO371" s="48">
        <v>-51558.83</v>
      </c>
      <c r="AP371" s="48">
        <v>-53658.39</v>
      </c>
      <c r="AQ371" s="48">
        <v>-78958</v>
      </c>
      <c r="AR371" s="48">
        <v>-73038.48</v>
      </c>
      <c r="AS371" s="48">
        <v>-75122</v>
      </c>
      <c r="AT371" s="48">
        <v>-642807</v>
      </c>
      <c r="AU371" s="48">
        <v>-231492</v>
      </c>
      <c r="AV371" s="48">
        <v>-95223.57</v>
      </c>
      <c r="AW371" s="48">
        <v>-97515</v>
      </c>
      <c r="AX371" s="48">
        <v>-200589.02</v>
      </c>
      <c r="AY371" s="48">
        <v>-177959.82</v>
      </c>
      <c r="AZ371" s="48">
        <v>-139376.16</v>
      </c>
      <c r="BA371" s="48">
        <v>-254024.26</v>
      </c>
      <c r="BB371" s="48">
        <v>-102967</v>
      </c>
      <c r="BC371" s="48">
        <v>-285206.33</v>
      </c>
      <c r="BD371" s="48">
        <v>-252607.21</v>
      </c>
      <c r="BE371" s="48">
        <v>-447034.64</v>
      </c>
      <c r="BF371" s="48">
        <v>-299507.63</v>
      </c>
      <c r="BG371" s="48">
        <v>-276698</v>
      </c>
      <c r="BH371" s="48">
        <v>-128130.24000000001</v>
      </c>
      <c r="BI371" s="48">
        <v>-160897</v>
      </c>
      <c r="BJ371" s="48">
        <v>-157433.51</v>
      </c>
      <c r="BK371" s="48">
        <v>-129715</v>
      </c>
      <c r="BL371" s="48">
        <v>-166132.70000000001</v>
      </c>
      <c r="BM371" s="48">
        <v>-108010</v>
      </c>
      <c r="BN371" s="48">
        <v>-193619.97</v>
      </c>
      <c r="BO371" s="48">
        <v>-336297.62</v>
      </c>
      <c r="BP371" s="48">
        <v>-141740</v>
      </c>
      <c r="BQ371" s="48">
        <v>-203895.25</v>
      </c>
      <c r="BR371" s="48">
        <v>-198251</v>
      </c>
      <c r="BS371" s="48">
        <v>-206992.36</v>
      </c>
      <c r="BT371" s="48">
        <v>-936286.5</v>
      </c>
      <c r="BU371" s="48">
        <v>-940303.99</v>
      </c>
      <c r="BV371" s="48">
        <v>-115026</v>
      </c>
      <c r="BW371" s="48">
        <v>-172705</v>
      </c>
      <c r="BX371" s="48">
        <v>-316988.84000000003</v>
      </c>
      <c r="BY371" s="48">
        <v>-210792</v>
      </c>
      <c r="BZ371" s="48">
        <v>-195316</v>
      </c>
      <c r="CA371" s="48">
        <v>-1350723.03</v>
      </c>
      <c r="CB371" s="48">
        <v>-174389.9</v>
      </c>
      <c r="CC371" s="48">
        <v>-289571</v>
      </c>
      <c r="CD371" s="48">
        <v>-217697.67</v>
      </c>
      <c r="CE371" s="48">
        <v>-189226</v>
      </c>
      <c r="CF371" s="48">
        <v>-140836.01999999999</v>
      </c>
      <c r="CG371" s="48">
        <v>-205667.64</v>
      </c>
      <c r="CH371" s="48">
        <v>-86848.28</v>
      </c>
      <c r="CI371" s="48">
        <v>-345711.35</v>
      </c>
      <c r="CJ371" s="48">
        <v>-393051.22</v>
      </c>
      <c r="CK371" s="48">
        <v>-273838.42</v>
      </c>
      <c r="CL371" s="48">
        <v>-360495.78</v>
      </c>
      <c r="CM371" s="48">
        <v>-149016.44</v>
      </c>
      <c r="CN371" s="48">
        <v>-185667.12</v>
      </c>
      <c r="CO371" s="48">
        <v>-271149.36</v>
      </c>
      <c r="CP371" s="48">
        <v>-235614.73</v>
      </c>
      <c r="CQ371" s="48">
        <v>-141267.48000000001</v>
      </c>
      <c r="CR371" s="48">
        <v>-172253.82</v>
      </c>
      <c r="CS371" s="48">
        <v>-215619.49</v>
      </c>
      <c r="CT371" s="48">
        <v>-136982.68</v>
      </c>
      <c r="CU371" s="48">
        <v>-105536.6</v>
      </c>
      <c r="CV371" s="48">
        <v>-276097</v>
      </c>
      <c r="CW371" s="48">
        <v>-376941.27</v>
      </c>
      <c r="CX371" s="48">
        <v>-115855.81</v>
      </c>
      <c r="CY371" s="48">
        <v>-127558.2</v>
      </c>
      <c r="CZ371" s="48">
        <v>-390082.55</v>
      </c>
      <c r="DA371" s="48">
        <v>-236282.2</v>
      </c>
      <c r="DB371" s="48">
        <v>-184926.96</v>
      </c>
      <c r="DC371" s="48">
        <v>-237647.44</v>
      </c>
      <c r="DD371" s="48">
        <v>-146211.6</v>
      </c>
      <c r="DE371" s="48">
        <f>VLOOKUP($C371,'[2]Analysis 1'!$C$5:$DG$1025,107,FALSE)</f>
        <v>-334931</v>
      </c>
      <c r="DF371" s="48">
        <f>VLOOKUP($C371,'[2]Analysis 1'!$C$5:$DG$1025,108,FALSE)</f>
        <v>-416143.81</v>
      </c>
      <c r="DG371" s="48">
        <f>VLOOKUP($C371,'[2]Analysis 1'!$C$5:$DG$1025,109,FALSE)</f>
        <v>-674399.04</v>
      </c>
      <c r="DH371" s="369">
        <f t="shared" si="11"/>
        <v>-3517076.8800000004</v>
      </c>
    </row>
    <row r="372" spans="1:112">
      <c r="A372" s="357" t="str">
        <f t="shared" si="12"/>
        <v>7103070</v>
      </c>
      <c r="B372" s="350" t="s">
        <v>2164</v>
      </c>
      <c r="C372" s="335" t="s">
        <v>1236</v>
      </c>
      <c r="D372" s="367">
        <v>-94992.960000000006</v>
      </c>
      <c r="E372" s="367">
        <v>-127227.25</v>
      </c>
      <c r="F372" s="367">
        <v>-78594.31</v>
      </c>
      <c r="G372" s="367">
        <v>-73169.84</v>
      </c>
      <c r="H372" s="367">
        <v>-55505.19</v>
      </c>
      <c r="I372" s="367">
        <v>-48094.65</v>
      </c>
      <c r="J372" s="367">
        <v>-45389.69</v>
      </c>
      <c r="K372" s="367">
        <v>-42434.19</v>
      </c>
      <c r="L372" s="367">
        <v>-43794.04</v>
      </c>
      <c r="M372" s="367">
        <v>-45902.82</v>
      </c>
      <c r="N372" s="367">
        <v>-57947.89</v>
      </c>
      <c r="O372" s="368">
        <v>-73909.31</v>
      </c>
      <c r="P372" s="48">
        <v>-99204.99</v>
      </c>
      <c r="Q372" s="48">
        <v>-113440.53</v>
      </c>
      <c r="R372" s="48">
        <v>-110512.3</v>
      </c>
      <c r="S372" s="48">
        <v>-69132.14</v>
      </c>
      <c r="T372" s="48">
        <v>-50133.78</v>
      </c>
      <c r="U372" s="48">
        <v>-48733.43</v>
      </c>
      <c r="V372" s="48">
        <v>-45138.48</v>
      </c>
      <c r="W372" s="48">
        <v>-32977.21</v>
      </c>
      <c r="X372" s="48">
        <v>-32480.99</v>
      </c>
      <c r="Y372" s="48">
        <v>-33478.400000000001</v>
      </c>
      <c r="Z372" s="48">
        <v>-38216.800000000003</v>
      </c>
      <c r="AA372" s="48">
        <v>-39015.82</v>
      </c>
      <c r="AB372" s="48">
        <v>-45866.38</v>
      </c>
      <c r="AC372" s="48">
        <v>-48611.49</v>
      </c>
      <c r="AD372" s="48">
        <v>-30605.62</v>
      </c>
      <c r="AE372" s="48">
        <v>-25992.12</v>
      </c>
      <c r="AF372" s="48">
        <v>-22974.99</v>
      </c>
      <c r="AG372" s="48">
        <v>-20031.09</v>
      </c>
      <c r="AH372" s="48">
        <v>-17495.59</v>
      </c>
      <c r="AI372" s="48">
        <v>-17151.560000000001</v>
      </c>
      <c r="AJ372" s="48">
        <v>-400.62</v>
      </c>
      <c r="AK372" s="48">
        <v>-611.04999999999995</v>
      </c>
      <c r="AL372" s="48">
        <v>-782.39</v>
      </c>
      <c r="AM372" s="48">
        <v>-901.81</v>
      </c>
      <c r="AN372" s="48">
        <v>-1053.8499999999999</v>
      </c>
      <c r="AO372" s="48">
        <v>-1087.5</v>
      </c>
      <c r="AP372" s="48">
        <v>-1211.8499999999999</v>
      </c>
      <c r="AQ372" s="48">
        <v>-1303.5999999999999</v>
      </c>
      <c r="AR372" s="48">
        <v>-1534.05</v>
      </c>
      <c r="AS372" s="48">
        <v>-1701.1</v>
      </c>
      <c r="AT372" s="48">
        <v>-1800.45</v>
      </c>
      <c r="AU372" s="48">
        <v>-1855.5</v>
      </c>
      <c r="AV372" s="48">
        <v>-2018.25</v>
      </c>
      <c r="AW372" s="48">
        <v>-2007.55</v>
      </c>
      <c r="AX372" s="48">
        <v>-2291.1</v>
      </c>
      <c r="AY372" s="48">
        <v>-2593.25</v>
      </c>
      <c r="AZ372" s="48">
        <v>-3024.45</v>
      </c>
      <c r="BA372" s="48">
        <v>-2945.5</v>
      </c>
      <c r="BB372" s="48">
        <v>-3133.45</v>
      </c>
      <c r="BC372" s="48">
        <v>-3236.05</v>
      </c>
      <c r="BD372" s="48">
        <v>-3408.05</v>
      </c>
      <c r="BE372" s="48">
        <v>-3446.7</v>
      </c>
      <c r="BF372" s="48">
        <v>-3618.5</v>
      </c>
      <c r="BG372" s="48">
        <v>-3723.05</v>
      </c>
      <c r="BH372" s="48">
        <v>-3956</v>
      </c>
      <c r="BI372" s="48">
        <v>-4317.45</v>
      </c>
      <c r="BJ372" s="48">
        <v>-4440.95</v>
      </c>
      <c r="BK372" s="48">
        <v>-4727.1499999999996</v>
      </c>
      <c r="BL372" s="48">
        <v>-4821.3999999999996</v>
      </c>
      <c r="BM372" s="48">
        <v>-4944.3999999999996</v>
      </c>
      <c r="BN372" s="48">
        <v>-5100</v>
      </c>
      <c r="BO372" s="48">
        <v>-5189.3999999999996</v>
      </c>
      <c r="BP372" s="48">
        <v>-5389.45</v>
      </c>
      <c r="BQ372" s="48">
        <v>-5508.25</v>
      </c>
      <c r="BR372" s="48">
        <v>-5661.25</v>
      </c>
      <c r="BS372" s="48">
        <v>-5666.55</v>
      </c>
      <c r="BT372" s="48">
        <v>-5882.6</v>
      </c>
      <c r="BU372" s="48">
        <v>-5919.95</v>
      </c>
      <c r="BV372" s="48">
        <v>-6109.45</v>
      </c>
      <c r="BW372" s="48">
        <v>-6298.35</v>
      </c>
      <c r="BX372" s="48">
        <v>-6492.1</v>
      </c>
      <c r="BY372" s="48">
        <v>-6629.2</v>
      </c>
      <c r="BZ372" s="48">
        <v>-6776.5</v>
      </c>
      <c r="CA372" s="48">
        <v>-6904.9</v>
      </c>
      <c r="CB372" s="48">
        <v>-7114.75</v>
      </c>
      <c r="CC372" s="48">
        <v>-7208.1</v>
      </c>
      <c r="CD372" s="48">
        <v>-7324.4</v>
      </c>
      <c r="CE372" s="48">
        <v>-7429.65</v>
      </c>
      <c r="CF372" s="48">
        <v>-7436.45</v>
      </c>
      <c r="CG372" s="48">
        <v>-7729</v>
      </c>
      <c r="CH372" s="48">
        <v>-7893</v>
      </c>
      <c r="CI372" s="48">
        <v>-7944.9</v>
      </c>
      <c r="CJ372" s="48">
        <v>-8081.1</v>
      </c>
      <c r="CK372" s="48">
        <v>-8228.0499999999993</v>
      </c>
      <c r="CL372" s="48">
        <v>-8416</v>
      </c>
      <c r="CM372" s="48">
        <v>-8448.9500000000007</v>
      </c>
      <c r="CN372" s="48">
        <v>-8554.1</v>
      </c>
      <c r="CO372" s="48">
        <v>-8642.75</v>
      </c>
      <c r="CP372" s="48">
        <v>-8679.5</v>
      </c>
      <c r="CQ372" s="48">
        <v>-8830.7999999999993</v>
      </c>
      <c r="CR372" s="48">
        <v>-8981.75</v>
      </c>
      <c r="CS372" s="48">
        <v>-9018.7999999999993</v>
      </c>
      <c r="CT372" s="48">
        <v>-9087.25</v>
      </c>
      <c r="CU372" s="48">
        <v>-9116.6</v>
      </c>
      <c r="CV372" s="48">
        <v>-9209.6</v>
      </c>
      <c r="CW372" s="48">
        <v>-9262.15</v>
      </c>
      <c r="CX372" s="48">
        <v>-9401.2000000000007</v>
      </c>
      <c r="CY372" s="48">
        <v>-9441.6</v>
      </c>
      <c r="CZ372" s="48">
        <v>-9573.75</v>
      </c>
      <c r="DA372" s="48">
        <v>-9540.7999999999993</v>
      </c>
      <c r="DB372" s="48">
        <v>-9662</v>
      </c>
      <c r="DC372" s="48">
        <v>-9687.7000000000007</v>
      </c>
      <c r="DD372" s="48">
        <v>-9773.1</v>
      </c>
      <c r="DE372" s="48">
        <f>VLOOKUP($C372,'[2]Analysis 1'!$C$5:$DG$1025,107,FALSE)</f>
        <v>-9855.9</v>
      </c>
      <c r="DF372" s="48">
        <f>VLOOKUP($C372,'[2]Analysis 1'!$C$5:$DG$1025,108,FALSE)</f>
        <v>-9881.2000000000007</v>
      </c>
      <c r="DG372" s="48">
        <f>VLOOKUP($C372,'[2]Analysis 1'!$C$5:$DG$1025,109,FALSE)</f>
        <v>-9900.9</v>
      </c>
      <c r="DH372" s="369">
        <f t="shared" si="11"/>
        <v>-115189.9</v>
      </c>
    </row>
    <row r="373" spans="1:112">
      <c r="A373" s="357" t="str">
        <f t="shared" si="12"/>
        <v>7109000</v>
      </c>
      <c r="B373" s="350" t="s">
        <v>2165</v>
      </c>
      <c r="C373" s="335" t="s">
        <v>1237</v>
      </c>
      <c r="D373" s="367">
        <v>365747.75</v>
      </c>
      <c r="E373" s="367">
        <v>186060.75</v>
      </c>
      <c r="F373" s="367">
        <v>194991.42</v>
      </c>
      <c r="G373" s="367">
        <v>129909.27</v>
      </c>
      <c r="H373" s="367">
        <v>157434.93</v>
      </c>
      <c r="I373" s="367">
        <v>334083.77</v>
      </c>
      <c r="J373" s="367">
        <v>122521.87</v>
      </c>
      <c r="K373" s="367">
        <v>344918.39</v>
      </c>
      <c r="L373" s="367">
        <v>203805.62</v>
      </c>
      <c r="M373" s="367">
        <v>138188.42000000001</v>
      </c>
      <c r="N373" s="367">
        <v>109221.27</v>
      </c>
      <c r="O373" s="368">
        <v>194020.12</v>
      </c>
      <c r="P373" s="48">
        <v>142057.94</v>
      </c>
      <c r="Q373" s="48">
        <v>157556.60999999999</v>
      </c>
      <c r="R373" s="48">
        <v>176671.88</v>
      </c>
      <c r="S373" s="48">
        <v>197644.14</v>
      </c>
      <c r="T373" s="48">
        <v>489532.36</v>
      </c>
      <c r="U373" s="48">
        <v>172247.43</v>
      </c>
      <c r="V373" s="48">
        <v>134344.85999999999</v>
      </c>
      <c r="W373" s="48">
        <v>75763.17</v>
      </c>
      <c r="X373" s="48">
        <v>237822.61</v>
      </c>
      <c r="Y373" s="48">
        <v>78429.440000000002</v>
      </c>
      <c r="Z373" s="48">
        <v>104908.7</v>
      </c>
      <c r="AA373" s="48">
        <v>110767.75</v>
      </c>
      <c r="AB373" s="48">
        <v>107620.03</v>
      </c>
      <c r="AC373" s="48">
        <v>131964.28</v>
      </c>
      <c r="AD373" s="48">
        <v>165553.82</v>
      </c>
      <c r="AE373" s="48">
        <v>125065.87</v>
      </c>
      <c r="AF373" s="48">
        <v>125419.41</v>
      </c>
      <c r="AG373" s="48">
        <v>127253.11</v>
      </c>
      <c r="AH373" s="48">
        <v>225681.78</v>
      </c>
      <c r="AI373" s="48">
        <v>385886</v>
      </c>
      <c r="AJ373" s="48">
        <v>156371.26</v>
      </c>
      <c r="AK373" s="48">
        <v>84477.61</v>
      </c>
      <c r="AL373" s="48">
        <v>109377.34</v>
      </c>
      <c r="AM373" s="48">
        <v>42049.71</v>
      </c>
      <c r="AN373" s="48">
        <v>251595.56</v>
      </c>
      <c r="AO373" s="48">
        <v>52640.18</v>
      </c>
      <c r="AP373" s="48">
        <v>53658.39</v>
      </c>
      <c r="AQ373" s="48">
        <v>78958</v>
      </c>
      <c r="AR373" s="48">
        <v>70748.759999999995</v>
      </c>
      <c r="AS373" s="48">
        <v>71206.05</v>
      </c>
      <c r="AT373" s="48">
        <v>644404.6</v>
      </c>
      <c r="AU373" s="48">
        <v>233373.45</v>
      </c>
      <c r="AV373" s="48">
        <v>96894.57</v>
      </c>
      <c r="AW373" s="48">
        <v>99695.25</v>
      </c>
      <c r="AX373" s="48">
        <v>202571.27</v>
      </c>
      <c r="AY373" s="48">
        <v>179501.92</v>
      </c>
      <c r="AZ373" s="48">
        <v>141969.41</v>
      </c>
      <c r="BA373" s="48">
        <v>235898.01</v>
      </c>
      <c r="BB373" s="48">
        <v>105671.8</v>
      </c>
      <c r="BC373" s="48">
        <v>288339.78000000003</v>
      </c>
      <c r="BD373" s="48">
        <v>255843.26</v>
      </c>
      <c r="BE373" s="48">
        <v>446104.69</v>
      </c>
      <c r="BF373" s="48">
        <v>302954.33</v>
      </c>
      <c r="BG373" s="48">
        <v>280316.5</v>
      </c>
      <c r="BH373" s="48">
        <v>128713.05</v>
      </c>
      <c r="BI373" s="48">
        <v>164853</v>
      </c>
      <c r="BJ373" s="48">
        <v>161750.96</v>
      </c>
      <c r="BK373" s="48">
        <v>134155.95000000001</v>
      </c>
      <c r="BL373" s="48">
        <v>170859.85</v>
      </c>
      <c r="BM373" s="48">
        <v>112831.4</v>
      </c>
      <c r="BN373" s="48">
        <v>198564.37</v>
      </c>
      <c r="BO373" s="48">
        <v>339498.64</v>
      </c>
      <c r="BP373" s="48">
        <v>146929.4</v>
      </c>
      <c r="BQ373" s="48">
        <v>208884.7</v>
      </c>
      <c r="BR373" s="48">
        <v>203759.25</v>
      </c>
      <c r="BS373" s="48">
        <v>212403.61</v>
      </c>
      <c r="BT373" s="48">
        <v>941953.05</v>
      </c>
      <c r="BU373" s="48">
        <v>945636.59</v>
      </c>
      <c r="BV373" s="48">
        <v>120945.95</v>
      </c>
      <c r="BW373" s="48">
        <v>-297708.95</v>
      </c>
      <c r="BX373" s="48">
        <v>201287.05</v>
      </c>
      <c r="BY373" s="48">
        <v>57215.9</v>
      </c>
      <c r="BZ373" s="48">
        <v>14906.11</v>
      </c>
      <c r="CA373" s="48">
        <v>1144687.67</v>
      </c>
      <c r="CB373" s="48">
        <v>-76741.63</v>
      </c>
      <c r="CC373" s="48">
        <v>224.54</v>
      </c>
      <c r="CD373" s="48">
        <v>-92526.44</v>
      </c>
      <c r="CE373" s="48">
        <v>-157657.60000000001</v>
      </c>
      <c r="CF373" s="48">
        <v>-248155.06</v>
      </c>
      <c r="CG373" s="48">
        <v>-101499.08</v>
      </c>
      <c r="CH373" s="48">
        <v>-136812.59</v>
      </c>
      <c r="CI373" s="48">
        <v>85705.02</v>
      </c>
      <c r="CJ373" s="48">
        <v>96238.33</v>
      </c>
      <c r="CK373" s="48">
        <v>-88674.33</v>
      </c>
      <c r="CL373" s="48">
        <v>-21223.34</v>
      </c>
      <c r="CM373" s="48">
        <v>-168809.62</v>
      </c>
      <c r="CN373" s="48">
        <v>-27799.51</v>
      </c>
      <c r="CO373" s="48">
        <v>49378.29</v>
      </c>
      <c r="CP373" s="48">
        <v>-5200.67</v>
      </c>
      <c r="CQ373" s="48">
        <v>-140116.07999999999</v>
      </c>
      <c r="CR373" s="48">
        <v>-127423.06</v>
      </c>
      <c r="CS373" s="48">
        <v>-105706.1</v>
      </c>
      <c r="CT373" s="48">
        <v>23682.16</v>
      </c>
      <c r="CU373" s="48">
        <v>-49093.37</v>
      </c>
      <c r="CV373" s="48">
        <v>104586.4</v>
      </c>
      <c r="CW373" s="48">
        <v>183919.19</v>
      </c>
      <c r="CX373" s="48">
        <v>-90056.9</v>
      </c>
      <c r="CY373" s="48">
        <v>-99707.4</v>
      </c>
      <c r="CZ373" s="48">
        <v>133966.79999999999</v>
      </c>
      <c r="DA373" s="48">
        <v>-46928.94</v>
      </c>
      <c r="DB373" s="48">
        <v>-131761.32</v>
      </c>
      <c r="DC373" s="48">
        <v>-104832.31</v>
      </c>
      <c r="DD373" s="48">
        <v>-214408.56</v>
      </c>
      <c r="DE373" s="48">
        <f>VLOOKUP($C373,'[2]Analysis 1'!$C$5:$DG$1025,107,FALSE)</f>
        <v>177057.94</v>
      </c>
      <c r="DF373" s="48">
        <f>VLOOKUP($C373,'[2]Analysis 1'!$C$5:$DG$1025,108,FALSE)</f>
        <v>180107.58</v>
      </c>
      <c r="DG373" s="48">
        <f>VLOOKUP($C373,'[2]Analysis 1'!$C$5:$DG$1025,109,FALSE)</f>
        <v>417918.71999999997</v>
      </c>
      <c r="DH373" s="369">
        <f t="shared" si="11"/>
        <v>509861.19999999995</v>
      </c>
    </row>
    <row r="374" spans="1:112">
      <c r="A374" s="357" t="str">
        <f t="shared" si="12"/>
        <v>7201000</v>
      </c>
      <c r="B374" s="350" t="s">
        <v>2166</v>
      </c>
      <c r="C374" s="1267" t="s">
        <v>1452</v>
      </c>
      <c r="D374" s="367"/>
      <c r="E374" s="367"/>
      <c r="F374" s="367"/>
      <c r="G374" s="367"/>
      <c r="H374" s="367"/>
      <c r="I374" s="367"/>
      <c r="J374" s="367"/>
      <c r="K374" s="367"/>
      <c r="L374" s="367"/>
      <c r="M374" s="367"/>
      <c r="N374" s="367"/>
      <c r="O374" s="368"/>
      <c r="P374" s="48"/>
      <c r="Q374" s="48"/>
      <c r="R374" s="48"/>
      <c r="S374" s="48"/>
      <c r="T374" s="48"/>
      <c r="U374" s="48"/>
      <c r="V374" s="48"/>
      <c r="W374" s="48"/>
      <c r="X374" s="48"/>
      <c r="Y374" s="48"/>
      <c r="Z374" s="48"/>
      <c r="AA374" s="48"/>
      <c r="AB374" s="48"/>
      <c r="AC374" s="48"/>
      <c r="AD374" s="48"/>
      <c r="AE374" s="48">
        <v>0</v>
      </c>
      <c r="AF374" s="48">
        <v>0</v>
      </c>
      <c r="AG374" s="48">
        <v>0</v>
      </c>
      <c r="AH374" s="48">
        <v>0</v>
      </c>
      <c r="AI374" s="48">
        <v>0</v>
      </c>
      <c r="AJ374" s="48">
        <v>0</v>
      </c>
      <c r="AK374" s="48">
        <v>0</v>
      </c>
      <c r="AL374" s="48">
        <v>0</v>
      </c>
      <c r="AM374" s="48">
        <v>0</v>
      </c>
      <c r="AN374" s="48">
        <v>0</v>
      </c>
      <c r="AO374" s="48">
        <v>0</v>
      </c>
      <c r="AP374" s="48">
        <v>0</v>
      </c>
      <c r="AQ374" s="48">
        <v>0</v>
      </c>
      <c r="AR374" s="48">
        <v>0</v>
      </c>
      <c r="AS374" s="48">
        <v>0</v>
      </c>
      <c r="AT374" s="48">
        <v>0</v>
      </c>
      <c r="AU374" s="48">
        <v>0</v>
      </c>
      <c r="AV374" s="48">
        <v>0</v>
      </c>
      <c r="AW374" s="48"/>
      <c r="AX374" s="48"/>
      <c r="AY374" s="48"/>
      <c r="AZ374" s="48">
        <v>0</v>
      </c>
      <c r="BA374" s="48">
        <v>0</v>
      </c>
      <c r="BB374" s="48">
        <v>0</v>
      </c>
      <c r="BC374" s="48">
        <v>0</v>
      </c>
      <c r="BD374" s="48">
        <v>0</v>
      </c>
      <c r="BE374" s="48">
        <v>0</v>
      </c>
      <c r="BF374" s="48">
        <v>0</v>
      </c>
      <c r="BG374" s="48">
        <v>0</v>
      </c>
      <c r="BH374" s="48">
        <v>0</v>
      </c>
      <c r="BI374" s="48">
        <v>0</v>
      </c>
      <c r="BJ374" s="48">
        <v>0</v>
      </c>
      <c r="BK374" s="48">
        <v>0</v>
      </c>
      <c r="BL374" s="48">
        <v>0</v>
      </c>
      <c r="BM374" s="48">
        <v>0</v>
      </c>
      <c r="BN374" s="48">
        <v>0</v>
      </c>
      <c r="BO374" s="48">
        <v>0</v>
      </c>
      <c r="BP374" s="48">
        <v>0</v>
      </c>
      <c r="BQ374" s="48">
        <v>0</v>
      </c>
      <c r="BR374" s="48">
        <v>0</v>
      </c>
      <c r="BS374" s="48">
        <v>0</v>
      </c>
      <c r="BT374" s="48">
        <v>0</v>
      </c>
      <c r="BU374" s="48">
        <v>0</v>
      </c>
      <c r="BV374" s="48">
        <v>0</v>
      </c>
      <c r="BW374" s="48">
        <v>0</v>
      </c>
      <c r="BX374" s="48">
        <v>0</v>
      </c>
      <c r="BY374" s="48">
        <v>0</v>
      </c>
      <c r="BZ374" s="48">
        <v>5165.29</v>
      </c>
      <c r="CA374" s="48">
        <v>5165.29</v>
      </c>
      <c r="CB374" s="48">
        <v>5165.29</v>
      </c>
      <c r="CC374" s="48">
        <v>5165.29</v>
      </c>
      <c r="CD374" s="48">
        <v>5165.29</v>
      </c>
      <c r="CE374" s="48">
        <v>5165.29</v>
      </c>
      <c r="CF374" s="48">
        <v>5165.29</v>
      </c>
      <c r="CG374" s="48">
        <v>5165.29</v>
      </c>
      <c r="CH374" s="48">
        <v>5165.29</v>
      </c>
      <c r="CI374" s="48">
        <v>5165.29</v>
      </c>
      <c r="CJ374" s="48">
        <v>5165.29</v>
      </c>
      <c r="CK374" s="48">
        <v>5165.29</v>
      </c>
      <c r="CL374" s="48">
        <v>5165.29</v>
      </c>
      <c r="CM374" s="48">
        <v>5165.29</v>
      </c>
      <c r="CN374" s="48">
        <v>5165.29</v>
      </c>
      <c r="CO374" s="48">
        <v>5165.29</v>
      </c>
      <c r="CP374" s="48">
        <v>5165.29</v>
      </c>
      <c r="CQ374" s="48">
        <v>5165.29</v>
      </c>
      <c r="CR374" s="48">
        <v>5165.29</v>
      </c>
      <c r="CS374" s="48">
        <v>5165.29</v>
      </c>
      <c r="CT374" s="48">
        <v>5165.29</v>
      </c>
      <c r="CU374" s="48">
        <v>5165.29</v>
      </c>
      <c r="CV374" s="48">
        <v>5165.29</v>
      </c>
      <c r="CW374" s="48">
        <v>5165.29</v>
      </c>
      <c r="CX374" s="48">
        <v>5165.29</v>
      </c>
      <c r="CY374" s="48">
        <v>5165.29</v>
      </c>
      <c r="CZ374" s="48">
        <v>5165.29</v>
      </c>
      <c r="DA374" s="48">
        <v>5165.29</v>
      </c>
      <c r="DB374" s="48">
        <v>5165.29</v>
      </c>
      <c r="DC374" s="48">
        <v>5165.29</v>
      </c>
      <c r="DD374" s="48">
        <v>5165.29</v>
      </c>
      <c r="DE374" s="48">
        <f>VLOOKUP($C374,'[2]Analysis 1'!$C$5:$DG$1025,107,FALSE)</f>
        <v>5165.29</v>
      </c>
      <c r="DF374" s="48">
        <f>VLOOKUP($C374,'[2]Analysis 1'!$C$5:$DG$1025,108,FALSE)</f>
        <v>5165.29</v>
      </c>
      <c r="DG374" s="48">
        <f>VLOOKUP($C374,'[2]Analysis 1'!$C$5:$DG$1025,109,FALSE)</f>
        <v>5165.29</v>
      </c>
      <c r="DH374" s="369">
        <f t="shared" si="11"/>
        <v>61983.48</v>
      </c>
    </row>
    <row r="375" spans="1:112">
      <c r="A375" s="357" t="str">
        <f>+B375</f>
        <v>7202100</v>
      </c>
      <c r="B375" s="350" t="s">
        <v>2215</v>
      </c>
      <c r="C375" s="335" t="s">
        <v>2213</v>
      </c>
      <c r="D375" s="716"/>
      <c r="E375" s="716"/>
      <c r="F375" s="716"/>
      <c r="G375" s="716"/>
      <c r="H375" s="716"/>
      <c r="I375" s="716"/>
      <c r="J375" s="716"/>
      <c r="K375" s="716"/>
      <c r="L375" s="716"/>
      <c r="M375" s="716"/>
      <c r="N375" s="716"/>
      <c r="O375" s="716"/>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v>322.72000000000003</v>
      </c>
      <c r="BA375" s="48">
        <v>-247.08</v>
      </c>
      <c r="BB375" s="48">
        <v>-60.48</v>
      </c>
      <c r="BC375" s="48">
        <v>-15.16</v>
      </c>
      <c r="BD375" s="48">
        <v>0</v>
      </c>
      <c r="BE375" s="48">
        <v>0</v>
      </c>
      <c r="BF375" s="48">
        <v>437.79</v>
      </c>
      <c r="BG375" s="48">
        <v>417.77</v>
      </c>
      <c r="BH375" s="48">
        <v>-131.16999999999999</v>
      </c>
      <c r="BI375" s="48">
        <v>2330.69</v>
      </c>
      <c r="BJ375" s="48">
        <v>1855.65</v>
      </c>
      <c r="BK375" s="48">
        <v>3833.85</v>
      </c>
      <c r="BL375" s="48">
        <v>2272.7199999999998</v>
      </c>
      <c r="BM375" s="48">
        <v>421.34</v>
      </c>
      <c r="BN375" s="48">
        <v>3661.16</v>
      </c>
      <c r="BO375" s="48">
        <v>-1500.92</v>
      </c>
      <c r="BP375" s="48">
        <v>1944.39</v>
      </c>
      <c r="BQ375" s="48">
        <v>-14438.81</v>
      </c>
      <c r="BR375" s="48">
        <v>674.95</v>
      </c>
      <c r="BS375" s="48">
        <v>-1987.58</v>
      </c>
      <c r="BT375" s="48">
        <v>-86.69</v>
      </c>
      <c r="BU375" s="48">
        <v>138.49</v>
      </c>
      <c r="BV375" s="48">
        <v>-138.49</v>
      </c>
      <c r="BW375" s="48">
        <v>1433.05</v>
      </c>
      <c r="BX375" s="48">
        <v>1716.41</v>
      </c>
      <c r="BY375" s="48">
        <v>1328.04</v>
      </c>
      <c r="BZ375" s="48">
        <v>-4447.1899999999996</v>
      </c>
      <c r="CA375" s="48">
        <v>204.78</v>
      </c>
      <c r="CB375" s="48">
        <v>2099.34</v>
      </c>
      <c r="CC375" s="48">
        <v>-2334.4299999999998</v>
      </c>
      <c r="CD375" s="48">
        <v>377.35</v>
      </c>
      <c r="CE375" s="48">
        <v>792.51</v>
      </c>
      <c r="CF375" s="48">
        <v>-1161.9100000000001</v>
      </c>
      <c r="CG375" s="48">
        <v>0</v>
      </c>
      <c r="CH375" s="48">
        <v>948.44</v>
      </c>
      <c r="CI375" s="48">
        <v>519.5</v>
      </c>
      <c r="CJ375" s="48">
        <v>-1467.94</v>
      </c>
      <c r="CK375" s="48">
        <v>139.77000000000001</v>
      </c>
      <c r="CL375" s="48">
        <v>-139.77000000000001</v>
      </c>
      <c r="CM375" s="48">
        <v>2894.78</v>
      </c>
      <c r="CN375" s="48">
        <v>-2004.23</v>
      </c>
      <c r="CO375" s="48">
        <v>-890.55</v>
      </c>
      <c r="CP375" s="48">
        <v>561.66999999999996</v>
      </c>
      <c r="CQ375" s="48">
        <v>-561.66999999999996</v>
      </c>
      <c r="CR375" s="48">
        <v>0</v>
      </c>
      <c r="CS375" s="48">
        <v>464.63</v>
      </c>
      <c r="CT375" s="48">
        <v>-464.63</v>
      </c>
      <c r="CU375" s="48">
        <v>2039.9</v>
      </c>
      <c r="CV375" s="48">
        <v>-2039.9</v>
      </c>
      <c r="CW375" s="48">
        <v>165.54</v>
      </c>
      <c r="CX375" s="48">
        <v>3093.02</v>
      </c>
      <c r="CY375" s="48">
        <v>-3258.56</v>
      </c>
      <c r="CZ375" s="48">
        <v>2389.62</v>
      </c>
      <c r="DA375" s="48">
        <v>-2389.62</v>
      </c>
      <c r="DB375" s="163">
        <v>1619.85</v>
      </c>
      <c r="DC375" s="163">
        <v>-1619.85</v>
      </c>
      <c r="DD375" s="163">
        <v>0</v>
      </c>
      <c r="DE375" s="163">
        <f>VLOOKUP($C375,'[2]Analysis 1'!$C$5:$DG$1025,107,FALSE)</f>
        <v>636.33000000000004</v>
      </c>
      <c r="DF375" s="163">
        <f>VLOOKUP($C375,'[2]Analysis 1'!$C$5:$DG$1025,108,FALSE)</f>
        <v>-636.33000000000004</v>
      </c>
      <c r="DG375" s="163">
        <f>VLOOKUP($C375,'[2]Analysis 1'!$C$5:$DG$1025,109,FALSE)</f>
        <v>941.38</v>
      </c>
      <c r="DH375" s="369">
        <f t="shared" si="11"/>
        <v>-1098.52</v>
      </c>
    </row>
    <row r="376" spans="1:112">
      <c r="A376" s="357" t="str">
        <f t="shared" si="12"/>
        <v>7202000</v>
      </c>
      <c r="B376" s="350" t="s">
        <v>2214</v>
      </c>
      <c r="C376" s="335" t="s">
        <v>1841</v>
      </c>
      <c r="D376" s="48">
        <v>0</v>
      </c>
      <c r="E376" s="48">
        <v>0</v>
      </c>
      <c r="F376" s="48">
        <v>0</v>
      </c>
      <c r="G376" s="48">
        <v>0</v>
      </c>
      <c r="H376" s="48">
        <v>0</v>
      </c>
      <c r="I376" s="48">
        <v>0</v>
      </c>
      <c r="J376" s="48">
        <v>0</v>
      </c>
      <c r="K376" s="48">
        <v>0</v>
      </c>
      <c r="L376" s="48">
        <v>0</v>
      </c>
      <c r="M376" s="48">
        <v>0</v>
      </c>
      <c r="N376" s="48">
        <v>0</v>
      </c>
      <c r="O376" s="48">
        <v>0</v>
      </c>
      <c r="P376" s="48">
        <v>0</v>
      </c>
      <c r="Q376" s="48">
        <v>0</v>
      </c>
      <c r="R376" s="48">
        <v>0</v>
      </c>
      <c r="S376" s="48">
        <v>0</v>
      </c>
      <c r="T376" s="48">
        <v>0</v>
      </c>
      <c r="U376" s="48">
        <v>0</v>
      </c>
      <c r="V376" s="48">
        <v>0</v>
      </c>
      <c r="W376" s="48">
        <v>0</v>
      </c>
      <c r="X376" s="48">
        <v>0</v>
      </c>
      <c r="Y376" s="48">
        <v>0</v>
      </c>
      <c r="Z376" s="48">
        <v>0</v>
      </c>
      <c r="AA376" s="48">
        <v>0</v>
      </c>
      <c r="AB376" s="48">
        <v>0</v>
      </c>
      <c r="AC376" s="48">
        <v>0</v>
      </c>
      <c r="AD376" s="48">
        <v>0</v>
      </c>
      <c r="AE376" s="48">
        <v>0</v>
      </c>
      <c r="AF376" s="48">
        <v>0</v>
      </c>
      <c r="AG376" s="48">
        <v>0</v>
      </c>
      <c r="AH376" s="48">
        <v>0</v>
      </c>
      <c r="AI376" s="48">
        <v>0</v>
      </c>
      <c r="AJ376" s="48">
        <v>0</v>
      </c>
      <c r="AK376" s="48">
        <v>0</v>
      </c>
      <c r="AL376" s="48">
        <v>0</v>
      </c>
      <c r="AM376" s="48">
        <v>0</v>
      </c>
      <c r="AN376" s="48">
        <v>0</v>
      </c>
      <c r="AO376" s="48">
        <v>0</v>
      </c>
      <c r="AP376" s="48">
        <v>0</v>
      </c>
      <c r="AQ376" s="48">
        <v>0</v>
      </c>
      <c r="AR376" s="48">
        <v>0</v>
      </c>
      <c r="AS376" s="48">
        <v>0</v>
      </c>
      <c r="AT376" s="48">
        <v>0</v>
      </c>
      <c r="AU376" s="48">
        <v>0</v>
      </c>
      <c r="AV376" s="48">
        <v>0</v>
      </c>
      <c r="AW376" s="48">
        <v>0</v>
      </c>
      <c r="AX376" s="48">
        <v>21.58</v>
      </c>
      <c r="AY376" s="48">
        <v>0</v>
      </c>
      <c r="AZ376" s="48">
        <v>0</v>
      </c>
      <c r="BA376" s="48">
        <v>0</v>
      </c>
      <c r="BB376" s="48">
        <v>0</v>
      </c>
      <c r="BC376" s="48">
        <v>183.42</v>
      </c>
      <c r="BD376" s="48">
        <v>39.76</v>
      </c>
      <c r="BE376" s="48">
        <v>0</v>
      </c>
      <c r="BF376" s="48">
        <v>243.13</v>
      </c>
      <c r="BG376" s="48">
        <v>176.27</v>
      </c>
      <c r="BH376" s="48">
        <v>1822.35</v>
      </c>
      <c r="BI376" s="48">
        <v>97.1</v>
      </c>
      <c r="BJ376" s="48">
        <v>22.08</v>
      </c>
      <c r="BK376" s="48">
        <v>0</v>
      </c>
      <c r="BL376" s="48">
        <v>300.82</v>
      </c>
      <c r="BM376" s="48">
        <v>774.74</v>
      </c>
      <c r="BN376" s="48">
        <v>575.51</v>
      </c>
      <c r="BO376" s="48">
        <v>496.56</v>
      </c>
      <c r="BP376" s="48">
        <v>796.26</v>
      </c>
      <c r="BQ376" s="48">
        <v>7469.41</v>
      </c>
      <c r="BR376" s="48">
        <v>0</v>
      </c>
      <c r="BS376" s="48">
        <v>0</v>
      </c>
      <c r="BT376" s="48">
        <v>1544.34</v>
      </c>
      <c r="BU376" s="48">
        <v>3861.69</v>
      </c>
      <c r="BV376" s="48">
        <v>883.12</v>
      </c>
      <c r="BW376" s="48">
        <v>1900.04</v>
      </c>
      <c r="BX376" s="48">
        <v>0</v>
      </c>
      <c r="BY376" s="48">
        <v>0</v>
      </c>
      <c r="BZ376" s="48">
        <v>0</v>
      </c>
      <c r="CA376" s="48">
        <v>0</v>
      </c>
      <c r="CB376" s="48">
        <v>2111.63</v>
      </c>
      <c r="CC376" s="48">
        <v>7747.55</v>
      </c>
      <c r="CD376" s="48">
        <v>3047.85</v>
      </c>
      <c r="CE376" s="48">
        <v>174.3</v>
      </c>
      <c r="CF376" s="48">
        <v>1087.82</v>
      </c>
      <c r="CG376" s="48">
        <v>3263.67</v>
      </c>
      <c r="CH376" s="48">
        <v>3223.46</v>
      </c>
      <c r="CI376" s="48">
        <v>4428.6000000000004</v>
      </c>
      <c r="CJ376" s="48">
        <v>5719.85</v>
      </c>
      <c r="CK376" s="48">
        <v>7798.65</v>
      </c>
      <c r="CL376" s="48">
        <v>3694.92</v>
      </c>
      <c r="CM376" s="48">
        <v>7769.99</v>
      </c>
      <c r="CN376" s="48">
        <v>8949.24</v>
      </c>
      <c r="CO376" s="48">
        <v>3663.96</v>
      </c>
      <c r="CP376" s="48">
        <v>0</v>
      </c>
      <c r="CQ376" s="48">
        <v>1429.11</v>
      </c>
      <c r="CR376" s="48">
        <v>1757.39</v>
      </c>
      <c r="CS376" s="48">
        <v>10398.459999999999</v>
      </c>
      <c r="CT376" s="48">
        <v>0</v>
      </c>
      <c r="CU376" s="48">
        <v>0</v>
      </c>
      <c r="CV376" s="48">
        <v>5492.82</v>
      </c>
      <c r="CW376" s="48">
        <v>310.52</v>
      </c>
      <c r="CX376" s="48">
        <v>4013.74</v>
      </c>
      <c r="CY376" s="48">
        <v>522.46</v>
      </c>
      <c r="CZ376" s="48">
        <v>3311.64</v>
      </c>
      <c r="DA376" s="48">
        <v>3993.23</v>
      </c>
      <c r="DB376" s="48">
        <v>2661.62</v>
      </c>
      <c r="DC376" s="48">
        <v>1855.67</v>
      </c>
      <c r="DD376" s="48">
        <v>0</v>
      </c>
      <c r="DE376" s="48">
        <f>VLOOKUP($C376,'[2]Analysis 1'!$C$5:$DG$1025,107,FALSE)</f>
        <v>0</v>
      </c>
      <c r="DF376" s="48">
        <f>VLOOKUP($C376,'[2]Analysis 1'!$C$5:$DG$1025,108,FALSE)</f>
        <v>3686.94</v>
      </c>
      <c r="DG376" s="48">
        <f>VLOOKUP($C376,'[2]Analysis 1'!$C$5:$DG$1025,109,FALSE)</f>
        <v>172.05</v>
      </c>
      <c r="DH376" s="369">
        <f t="shared" si="11"/>
        <v>26020.689999999995</v>
      </c>
    </row>
    <row r="377" spans="1:112">
      <c r="A377" s="357" t="str">
        <f t="shared" si="12"/>
        <v>7203020</v>
      </c>
      <c r="B377" s="350" t="s">
        <v>2167</v>
      </c>
      <c r="C377" s="335" t="s">
        <v>1238</v>
      </c>
      <c r="D377" s="367">
        <v>1940</v>
      </c>
      <c r="E377" s="367">
        <v>-17953</v>
      </c>
      <c r="F377" s="367">
        <v>10400</v>
      </c>
      <c r="G377" s="367">
        <v>6500</v>
      </c>
      <c r="H377" s="367">
        <v>6600</v>
      </c>
      <c r="I377" s="367">
        <v>7410.6</v>
      </c>
      <c r="J377" s="367">
        <v>8020</v>
      </c>
      <c r="K377" s="367">
        <v>200</v>
      </c>
      <c r="L377" s="367">
        <v>0</v>
      </c>
      <c r="M377" s="367">
        <v>0</v>
      </c>
      <c r="N377" s="367">
        <v>0</v>
      </c>
      <c r="O377" s="368">
        <v>123735</v>
      </c>
      <c r="P377" s="48">
        <v>0</v>
      </c>
      <c r="Q377" s="48">
        <v>0</v>
      </c>
      <c r="R377" s="48">
        <v>0</v>
      </c>
      <c r="S377" s="48">
        <v>0</v>
      </c>
      <c r="T377" s="48">
        <v>0</v>
      </c>
      <c r="U377" s="48">
        <v>3800</v>
      </c>
      <c r="V377" s="48">
        <v>0</v>
      </c>
      <c r="W377" s="48">
        <v>0</v>
      </c>
      <c r="X377" s="48">
        <v>0</v>
      </c>
      <c r="Y377" s="48">
        <v>-3805</v>
      </c>
      <c r="Z377" s="48">
        <v>4500</v>
      </c>
      <c r="AA377" s="48">
        <v>106139</v>
      </c>
      <c r="AB377" s="48">
        <v>0</v>
      </c>
      <c r="AC377" s="48">
        <v>0</v>
      </c>
      <c r="AD377" s="48">
        <v>0</v>
      </c>
      <c r="AE377" s="48">
        <v>-1678.52</v>
      </c>
      <c r="AF377" s="48">
        <v>0</v>
      </c>
      <c r="AG377" s="48">
        <v>0</v>
      </c>
      <c r="AH377" s="48">
        <v>0</v>
      </c>
      <c r="AI377" s="48">
        <v>0</v>
      </c>
      <c r="AJ377" s="48">
        <v>0</v>
      </c>
      <c r="AK377" s="48">
        <v>0</v>
      </c>
      <c r="AL377" s="48">
        <v>0</v>
      </c>
      <c r="AM377" s="48">
        <v>13620</v>
      </c>
      <c r="AN377" s="48">
        <v>0</v>
      </c>
      <c r="AO377" s="48">
        <v>0</v>
      </c>
      <c r="AP377" s="48">
        <v>0</v>
      </c>
      <c r="AQ377" s="48">
        <v>0</v>
      </c>
      <c r="AR377" s="48">
        <v>0</v>
      </c>
      <c r="AS377" s="48">
        <v>0</v>
      </c>
      <c r="AT377" s="48">
        <v>0</v>
      </c>
      <c r="AU377" s="48">
        <v>0</v>
      </c>
      <c r="AV377" s="48">
        <v>0</v>
      </c>
      <c r="AW377" s="48">
        <v>0</v>
      </c>
      <c r="AX377" s="48">
        <v>0</v>
      </c>
      <c r="AY377" s="48">
        <v>-37947</v>
      </c>
      <c r="AZ377" s="48">
        <v>0</v>
      </c>
      <c r="BA377" s="48">
        <v>0</v>
      </c>
      <c r="BB377" s="48">
        <v>0</v>
      </c>
      <c r="BC377" s="48">
        <v>0</v>
      </c>
      <c r="BD377" s="48">
        <v>0</v>
      </c>
      <c r="BE377" s="48">
        <v>0</v>
      </c>
      <c r="BF377" s="48">
        <v>0</v>
      </c>
      <c r="BG377" s="48">
        <v>0</v>
      </c>
      <c r="BH377" s="48">
        <v>0</v>
      </c>
      <c r="BI377" s="48">
        <v>0</v>
      </c>
      <c r="BJ377" s="48">
        <v>0</v>
      </c>
      <c r="BK377" s="48">
        <v>0</v>
      </c>
      <c r="BL377" s="48">
        <v>0</v>
      </c>
      <c r="BM377" s="48">
        <v>0</v>
      </c>
      <c r="BN377" s="48">
        <v>0</v>
      </c>
      <c r="BO377" s="48">
        <v>0</v>
      </c>
      <c r="BP377" s="48">
        <v>0</v>
      </c>
      <c r="BQ377" s="48">
        <v>0</v>
      </c>
      <c r="BR377" s="48">
        <v>0</v>
      </c>
      <c r="BS377" s="48">
        <v>0</v>
      </c>
      <c r="BT377" s="48">
        <v>0</v>
      </c>
      <c r="BU377" s="48">
        <v>0</v>
      </c>
      <c r="BV377" s="48">
        <v>0</v>
      </c>
      <c r="BW377" s="48">
        <v>0</v>
      </c>
      <c r="BX377" s="48">
        <v>0</v>
      </c>
      <c r="BY377" s="48">
        <v>0</v>
      </c>
      <c r="BZ377" s="48">
        <v>0</v>
      </c>
      <c r="CA377" s="48">
        <v>0</v>
      </c>
      <c r="CB377" s="48">
        <v>0</v>
      </c>
      <c r="CC377" s="48">
        <v>0</v>
      </c>
      <c r="CD377" s="48">
        <v>0</v>
      </c>
      <c r="CE377" s="48">
        <v>0</v>
      </c>
      <c r="CF377" s="48">
        <v>0</v>
      </c>
      <c r="CG377" s="48">
        <v>0</v>
      </c>
      <c r="CH377" s="48">
        <v>0</v>
      </c>
      <c r="CI377" s="48">
        <v>0</v>
      </c>
      <c r="CJ377" s="48">
        <v>0</v>
      </c>
      <c r="CK377" s="48">
        <v>0</v>
      </c>
      <c r="CL377" s="48">
        <v>0</v>
      </c>
      <c r="CM377" s="48">
        <v>0</v>
      </c>
      <c r="CN377" s="48">
        <v>0</v>
      </c>
      <c r="CO377" s="48">
        <v>0</v>
      </c>
      <c r="CP377" s="48">
        <v>0</v>
      </c>
      <c r="CQ377" s="48">
        <v>0</v>
      </c>
      <c r="CR377" s="48">
        <v>0</v>
      </c>
      <c r="CS377" s="48">
        <v>0</v>
      </c>
      <c r="CT377" s="48">
        <v>0</v>
      </c>
      <c r="CU377" s="48">
        <v>0</v>
      </c>
      <c r="CV377" s="48">
        <v>0</v>
      </c>
      <c r="CW377" s="48">
        <v>0</v>
      </c>
      <c r="CX377" s="48">
        <v>0</v>
      </c>
      <c r="CY377" s="48">
        <v>0</v>
      </c>
      <c r="CZ377" s="48">
        <v>0</v>
      </c>
      <c r="DA377" s="48">
        <v>0</v>
      </c>
      <c r="DB377" s="48">
        <v>0</v>
      </c>
      <c r="DC377" s="48">
        <v>0</v>
      </c>
      <c r="DD377" s="48">
        <v>0</v>
      </c>
      <c r="DE377" s="48">
        <f>VLOOKUP($C377,'[2]Analysis 1'!$C$5:$DG$1025,107,FALSE)</f>
        <v>0</v>
      </c>
      <c r="DF377" s="48">
        <f>VLOOKUP($C377,'[2]Analysis 1'!$C$5:$DG$1025,108,FALSE)</f>
        <v>0</v>
      </c>
      <c r="DG377" s="48">
        <f>VLOOKUP($C377,'[2]Analysis 1'!$C$5:$DG$1025,109,FALSE)</f>
        <v>0</v>
      </c>
      <c r="DH377" s="369">
        <f t="shared" si="11"/>
        <v>0</v>
      </c>
    </row>
    <row r="378" spans="1:112">
      <c r="A378" s="357" t="str">
        <f t="shared" si="12"/>
        <v>7301000</v>
      </c>
      <c r="B378" s="350" t="s">
        <v>2168</v>
      </c>
      <c r="C378" s="335" t="s">
        <v>1239</v>
      </c>
      <c r="D378" s="367">
        <v>-214296.28</v>
      </c>
      <c r="E378" s="367">
        <v>-330590.94</v>
      </c>
      <c r="F378" s="367">
        <v>-206491.26</v>
      </c>
      <c r="G378" s="367">
        <v>-280856.64</v>
      </c>
      <c r="H378" s="367">
        <v>-178527.23</v>
      </c>
      <c r="I378" s="367">
        <v>-262447.71999999997</v>
      </c>
      <c r="J378" s="367">
        <v>-240575.55</v>
      </c>
      <c r="K378" s="367">
        <v>-197832.04</v>
      </c>
      <c r="L378" s="367">
        <v>-68753.320000000007</v>
      </c>
      <c r="M378" s="367">
        <v>-294246.26</v>
      </c>
      <c r="N378" s="367">
        <v>-168347.11</v>
      </c>
      <c r="O378" s="368">
        <v>-192880.57</v>
      </c>
      <c r="P378" s="48">
        <v>-390775.07</v>
      </c>
      <c r="Q378" s="48">
        <v>-210884.69</v>
      </c>
      <c r="R378" s="48">
        <v>-150763.29</v>
      </c>
      <c r="S378" s="48">
        <v>-117072.92</v>
      </c>
      <c r="T378" s="48">
        <v>-224359.7</v>
      </c>
      <c r="U378" s="48">
        <v>-216294.17</v>
      </c>
      <c r="V378" s="48">
        <v>-152920.16</v>
      </c>
      <c r="W378" s="48">
        <v>-171043.58</v>
      </c>
      <c r="X378" s="48">
        <v>-223338.23999999999</v>
      </c>
      <c r="Y378" s="48">
        <v>-130233.48</v>
      </c>
      <c r="Z378" s="48">
        <v>-190346.84</v>
      </c>
      <c r="AA378" s="48">
        <v>-703834.01</v>
      </c>
      <c r="AB378" s="48">
        <v>-296280.46000000002</v>
      </c>
      <c r="AC378" s="48">
        <v>-362928.71</v>
      </c>
      <c r="AD378" s="48">
        <v>-102655.97</v>
      </c>
      <c r="AE378" s="48">
        <v>-122065.81</v>
      </c>
      <c r="AF378" s="48">
        <v>-290536.36</v>
      </c>
      <c r="AG378" s="48">
        <v>-148831.98000000001</v>
      </c>
      <c r="AH378" s="48">
        <v>-214871.25</v>
      </c>
      <c r="AI378" s="48">
        <v>-277765.40000000002</v>
      </c>
      <c r="AJ378" s="48">
        <v>-180270.99</v>
      </c>
      <c r="AK378" s="48">
        <v>-769396.37</v>
      </c>
      <c r="AL378" s="48">
        <v>-202984.49</v>
      </c>
      <c r="AM378" s="48">
        <v>-221317.04</v>
      </c>
      <c r="AN378" s="48">
        <v>-353932.4</v>
      </c>
      <c r="AO378" s="48">
        <v>-308136.26</v>
      </c>
      <c r="AP378" s="48">
        <v>-287169.15000000002</v>
      </c>
      <c r="AQ378" s="48">
        <v>-146968.54999999999</v>
      </c>
      <c r="AR378" s="48">
        <v>-331963.59000000003</v>
      </c>
      <c r="AS378" s="48">
        <v>153361.17000000001</v>
      </c>
      <c r="AT378" s="48">
        <v>-293256.39</v>
      </c>
      <c r="AU378" s="48">
        <v>-142790.04999999999</v>
      </c>
      <c r="AV378" s="48">
        <v>-297970.53000000003</v>
      </c>
      <c r="AW378" s="48">
        <v>-245610.76</v>
      </c>
      <c r="AX378" s="48">
        <v>-341556.85</v>
      </c>
      <c r="AY378" s="48">
        <v>-549068.92000000004</v>
      </c>
      <c r="AZ378" s="48">
        <v>-427265.75</v>
      </c>
      <c r="BA378" s="48">
        <v>-414555.12</v>
      </c>
      <c r="BB378" s="48">
        <v>-112602.5</v>
      </c>
      <c r="BC378" s="48">
        <v>-506278.72</v>
      </c>
      <c r="BD378" s="48">
        <v>-262049.55</v>
      </c>
      <c r="BE378" s="48">
        <v>-222660.19</v>
      </c>
      <c r="BF378" s="48">
        <v>-289543.83</v>
      </c>
      <c r="BG378" s="48">
        <v>-189620.79</v>
      </c>
      <c r="BH378" s="48">
        <v>-174472.46</v>
      </c>
      <c r="BI378" s="48">
        <v>-253677.03</v>
      </c>
      <c r="BJ378" s="48">
        <v>-242731.81</v>
      </c>
      <c r="BK378" s="48">
        <v>-417337.17</v>
      </c>
      <c r="BL378" s="48">
        <v>-256648.59</v>
      </c>
      <c r="BM378" s="48">
        <v>-285523.38</v>
      </c>
      <c r="BN378" s="48">
        <v>-461128.74</v>
      </c>
      <c r="BO378" s="48">
        <v>-417107.02</v>
      </c>
      <c r="BP378" s="48">
        <v>-323818.81</v>
      </c>
      <c r="BQ378" s="48">
        <v>-234534.32</v>
      </c>
      <c r="BR378" s="48">
        <v>-338930.12</v>
      </c>
      <c r="BS378" s="48">
        <v>-459463.36</v>
      </c>
      <c r="BT378" s="48">
        <v>-219164.33</v>
      </c>
      <c r="BU378" s="48">
        <v>-197590.86</v>
      </c>
      <c r="BV378" s="48">
        <v>-194188.46</v>
      </c>
      <c r="BW378" s="48">
        <v>-228792.44</v>
      </c>
      <c r="BX378" s="48">
        <v>-126272.64</v>
      </c>
      <c r="BY378" s="48">
        <v>-424898.82</v>
      </c>
      <c r="BZ378" s="48">
        <v>-93899.42</v>
      </c>
      <c r="CA378" s="48">
        <v>-334447.24</v>
      </c>
      <c r="CB378" s="48">
        <v>-410336.04</v>
      </c>
      <c r="CC378" s="48">
        <v>-224341.44</v>
      </c>
      <c r="CD378" s="48">
        <v>-188439.92</v>
      </c>
      <c r="CE378" s="48">
        <v>-311341.21000000002</v>
      </c>
      <c r="CF378" s="48">
        <v>-239230.3</v>
      </c>
      <c r="CG378" s="48">
        <v>-350793.42</v>
      </c>
      <c r="CH378" s="48">
        <v>-209032.59</v>
      </c>
      <c r="CI378" s="48">
        <v>-367048.31</v>
      </c>
      <c r="CJ378" s="48">
        <v>-334134.96999999997</v>
      </c>
      <c r="CK378" s="48">
        <v>-387862.25</v>
      </c>
      <c r="CL378" s="48">
        <v>-275361.32</v>
      </c>
      <c r="CM378" s="48">
        <v>-331471.51</v>
      </c>
      <c r="CN378" s="48">
        <v>-390513.08</v>
      </c>
      <c r="CO378" s="48">
        <v>-271490.58</v>
      </c>
      <c r="CP378" s="48">
        <v>-274120.75</v>
      </c>
      <c r="CQ378" s="48">
        <v>-337068.29</v>
      </c>
      <c r="CR378" s="48">
        <v>-295827.65000000002</v>
      </c>
      <c r="CS378" s="48">
        <v>-313747.78000000003</v>
      </c>
      <c r="CT378" s="48">
        <v>-273112.37</v>
      </c>
      <c r="CU378" s="48">
        <v>-159444.92000000001</v>
      </c>
      <c r="CV378" s="48">
        <v>-144996.4</v>
      </c>
      <c r="CW378" s="48">
        <v>-253318.71</v>
      </c>
      <c r="CX378" s="48">
        <v>-473623.69</v>
      </c>
      <c r="CY378" s="48">
        <v>-257376.17</v>
      </c>
      <c r="CZ378" s="48">
        <v>-276005.40999999997</v>
      </c>
      <c r="DA378" s="48">
        <v>-222974.37</v>
      </c>
      <c r="DB378" s="48">
        <v>-436612.73</v>
      </c>
      <c r="DC378" s="48">
        <v>-287987.53999999998</v>
      </c>
      <c r="DD378" s="48">
        <v>-337555.77</v>
      </c>
      <c r="DE378" s="48">
        <f>VLOOKUP($C378,'[2]Analysis 1'!$C$5:$DG$1025,107,FALSE)</f>
        <v>-251499.69</v>
      </c>
      <c r="DF378" s="48">
        <f>VLOOKUP($C378,'[2]Analysis 1'!$C$5:$DG$1025,108,FALSE)</f>
        <v>-300104.23</v>
      </c>
      <c r="DG378" s="48">
        <f>VLOOKUP($C378,'[2]Analysis 1'!$C$5:$DG$1025,109,FALSE)</f>
        <v>-13128.95</v>
      </c>
      <c r="DH378" s="369">
        <f t="shared" si="11"/>
        <v>-3255183.66</v>
      </c>
    </row>
    <row r="379" spans="1:112">
      <c r="A379" s="357" t="str">
        <f>+B379</f>
        <v>7500010</v>
      </c>
      <c r="B379" s="350" t="s">
        <v>2301</v>
      </c>
      <c r="C379" s="335" t="s">
        <v>2294</v>
      </c>
      <c r="D379" s="48"/>
      <c r="E379" s="48"/>
      <c r="F379" s="48"/>
      <c r="G379" s="48"/>
      <c r="H379" s="48"/>
      <c r="I379" s="48"/>
      <c r="J379" s="48"/>
      <c r="K379" s="48"/>
      <c r="L379" s="48"/>
      <c r="M379" s="48"/>
      <c r="N379" s="48"/>
      <c r="O379" s="48"/>
      <c r="P379" s="48"/>
      <c r="Q379" s="48"/>
      <c r="R379" s="48"/>
      <c r="S379" s="48"/>
      <c r="T379" s="48"/>
      <c r="U379" s="48"/>
      <c r="V379" s="48"/>
      <c r="W379" s="48"/>
      <c r="X379" s="48"/>
      <c r="Y379" s="48"/>
      <c r="Z379" s="48"/>
      <c r="AA379" s="48"/>
      <c r="AB379" s="48"/>
      <c r="AC379" s="48"/>
      <c r="AD379" s="48"/>
      <c r="AE379" s="48"/>
      <c r="AF379" s="48"/>
      <c r="AG379" s="48"/>
      <c r="AH379" s="48"/>
      <c r="AI379" s="48"/>
      <c r="AJ379" s="48"/>
      <c r="AK379" s="48"/>
      <c r="AL379" s="48"/>
      <c r="AM379" s="48"/>
      <c r="AN379" s="48"/>
      <c r="AO379" s="48"/>
      <c r="AP379" s="48"/>
      <c r="AQ379" s="48"/>
      <c r="AR379" s="48"/>
      <c r="AS379" s="48"/>
      <c r="AT379" s="48"/>
      <c r="AU379" s="48"/>
      <c r="AV379" s="48"/>
      <c r="AW379" s="48"/>
      <c r="AX379" s="48"/>
      <c r="AY379" s="48"/>
      <c r="AZ379" s="48"/>
      <c r="BA379" s="48"/>
      <c r="BB379" s="48"/>
      <c r="BC379" s="48"/>
      <c r="BD379" s="48"/>
      <c r="BE379" s="48"/>
      <c r="BF379" s="48"/>
      <c r="BG379" s="48"/>
      <c r="BH379" s="48"/>
      <c r="BI379" s="48"/>
      <c r="BJ379" s="48"/>
      <c r="BK379" s="48"/>
      <c r="BL379" s="48">
        <v>0</v>
      </c>
      <c r="BM379" s="48">
        <v>0</v>
      </c>
      <c r="BN379" s="48">
        <v>0</v>
      </c>
      <c r="BO379" s="48">
        <v>0</v>
      </c>
      <c r="BP379" s="48">
        <v>0</v>
      </c>
      <c r="BQ379" s="48">
        <v>0</v>
      </c>
      <c r="BR379" s="48">
        <v>0</v>
      </c>
      <c r="BS379" s="48">
        <v>-43419.48</v>
      </c>
      <c r="BT379" s="48">
        <v>-28294.53</v>
      </c>
      <c r="BU379" s="48">
        <v>-22465.39</v>
      </c>
      <c r="BV379" s="48">
        <v>-25132.7</v>
      </c>
      <c r="BW379" s="48">
        <v>-31693.47</v>
      </c>
      <c r="BX379" s="48">
        <v>-41123.9</v>
      </c>
      <c r="BY379" s="48">
        <v>-51382.78</v>
      </c>
      <c r="BZ379" s="48">
        <v>-60040.59</v>
      </c>
      <c r="CA379" s="48">
        <v>-68313.5</v>
      </c>
      <c r="CB379" s="48">
        <v>-82831.14</v>
      </c>
      <c r="CC379" s="48">
        <v>-94708.89</v>
      </c>
      <c r="CD379" s="48">
        <v>-101897.5</v>
      </c>
      <c r="CE379" s="48">
        <v>-113702.74</v>
      </c>
      <c r="CF379" s="48">
        <v>-127173</v>
      </c>
      <c r="CG379" s="48">
        <v>-100603.36</v>
      </c>
      <c r="CH379" s="48">
        <v>-74277.42</v>
      </c>
      <c r="CI379" s="48">
        <v>-85997.18</v>
      </c>
      <c r="CJ379" s="48">
        <v>-97828.96</v>
      </c>
      <c r="CK379" s="48">
        <v>-118962.67</v>
      </c>
      <c r="CL379" s="48">
        <v>-125175.22</v>
      </c>
      <c r="CM379" s="48">
        <v>-101772.96</v>
      </c>
      <c r="CN379" s="48">
        <v>-70765.289999999994</v>
      </c>
      <c r="CO379" s="48">
        <v>-73446.960000000006</v>
      </c>
      <c r="CP379" s="48">
        <v>-79548.13</v>
      </c>
      <c r="CQ379" s="48">
        <v>-89530.79</v>
      </c>
      <c r="CR379" s="48">
        <v>-98143.71</v>
      </c>
      <c r="CS379" s="48">
        <v>-105329.65</v>
      </c>
      <c r="CT379" s="48">
        <v>-37935.15</v>
      </c>
      <c r="CU379" s="48">
        <v>-52206.77</v>
      </c>
      <c r="CV379" s="48">
        <v>-57599.07</v>
      </c>
      <c r="CW379" s="48">
        <v>-62866.879999999997</v>
      </c>
      <c r="CX379" s="48">
        <v>-68331.64</v>
      </c>
      <c r="CY379" s="48">
        <v>-75234.820000000007</v>
      </c>
      <c r="CZ379" s="48">
        <v>-83191.78</v>
      </c>
      <c r="DA379" s="48">
        <v>-92933.84</v>
      </c>
      <c r="DB379" s="48">
        <v>-103760.02</v>
      </c>
      <c r="DC379" s="48">
        <v>-111463.17</v>
      </c>
      <c r="DD379" s="48">
        <v>-118085.17</v>
      </c>
      <c r="DE379" s="48">
        <f>VLOOKUP($C379,'[2]Analysis 1'!$C$5:$DG$1025,107,FALSE)</f>
        <v>-53459.64</v>
      </c>
      <c r="DF379" s="48">
        <f>VLOOKUP($C379,'[2]Analysis 1'!$C$5:$DG$1025,108,FALSE)</f>
        <v>-78253.39</v>
      </c>
      <c r="DG379" s="48">
        <f>VLOOKUP($C379,'[2]Analysis 1'!$C$5:$DG$1025,109,FALSE)</f>
        <v>-84749.19</v>
      </c>
      <c r="DH379" s="369">
        <f t="shared" si="11"/>
        <v>-989928.6100000001</v>
      </c>
    </row>
    <row r="380" spans="1:112">
      <c r="A380" s="357" t="str">
        <f>+B380</f>
        <v>7500015</v>
      </c>
      <c r="B380" s="350" t="s">
        <v>2379</v>
      </c>
      <c r="C380" s="335" t="s">
        <v>2380</v>
      </c>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c r="BG380" s="48"/>
      <c r="BH380" s="48"/>
      <c r="BI380" s="48"/>
      <c r="BJ380" s="48"/>
      <c r="BK380" s="48"/>
      <c r="BL380" s="48"/>
      <c r="BM380" s="48"/>
      <c r="BN380" s="48"/>
      <c r="BO380" s="48"/>
      <c r="BP380" s="48"/>
      <c r="BQ380" s="48"/>
      <c r="BR380" s="48"/>
      <c r="BS380" s="48"/>
      <c r="BT380" s="48"/>
      <c r="BU380" s="48">
        <v>0</v>
      </c>
      <c r="BV380" s="48">
        <v>0</v>
      </c>
      <c r="BW380" s="48">
        <v>151005.57</v>
      </c>
      <c r="BX380" s="48">
        <v>41123.9</v>
      </c>
      <c r="BY380" s="48">
        <v>51382.78</v>
      </c>
      <c r="BZ380" s="48">
        <v>60040.59</v>
      </c>
      <c r="CA380" s="48">
        <v>68313.5</v>
      </c>
      <c r="CB380" s="48">
        <v>82831.14</v>
      </c>
      <c r="CC380" s="48">
        <v>94708.89</v>
      </c>
      <c r="CD380" s="48">
        <v>101897.5</v>
      </c>
      <c r="CE380" s="48">
        <v>113702.74</v>
      </c>
      <c r="CF380" s="48">
        <v>127173</v>
      </c>
      <c r="CG380" s="48">
        <v>100603.36</v>
      </c>
      <c r="CH380" s="48">
        <v>74277.42</v>
      </c>
      <c r="CI380" s="48">
        <v>85997.18</v>
      </c>
      <c r="CJ380" s="48">
        <v>97828.96</v>
      </c>
      <c r="CK380" s="48">
        <v>118962.67</v>
      </c>
      <c r="CL380" s="48">
        <v>125175.22</v>
      </c>
      <c r="CM380" s="48">
        <v>101772.96</v>
      </c>
      <c r="CN380" s="48">
        <v>70765.289999999994</v>
      </c>
      <c r="CO380" s="48">
        <v>73446.960000000006</v>
      </c>
      <c r="CP380" s="48">
        <v>79548.13</v>
      </c>
      <c r="CQ380" s="48">
        <v>89530.79</v>
      </c>
      <c r="CR380" s="48">
        <v>98143.71</v>
      </c>
      <c r="CS380" s="48">
        <v>105329.65</v>
      </c>
      <c r="CT380" s="48">
        <v>37935.15</v>
      </c>
      <c r="CU380" s="48">
        <v>52206.77</v>
      </c>
      <c r="CV380" s="48">
        <v>57599.07</v>
      </c>
      <c r="CW380" s="48">
        <v>62866.879999999997</v>
      </c>
      <c r="CX380" s="48">
        <v>68331.64</v>
      </c>
      <c r="CY380" s="48">
        <v>75234.820000000007</v>
      </c>
      <c r="CZ380" s="48">
        <v>83191.78</v>
      </c>
      <c r="DA380" s="48">
        <v>92933.84</v>
      </c>
      <c r="DB380" s="48">
        <v>103760.02</v>
      </c>
      <c r="DC380" s="48">
        <v>111463.17</v>
      </c>
      <c r="DD380" s="48">
        <v>118085.17</v>
      </c>
      <c r="DE380" s="48">
        <f>VLOOKUP($C380,'[2]Analysis 1'!$C$5:$DG$1025,107,FALSE)</f>
        <v>53459.64</v>
      </c>
      <c r="DF380" s="48">
        <f>VLOOKUP($C380,'[2]Analysis 1'!$C$5:$DG$1025,108,FALSE)</f>
        <v>78253.39</v>
      </c>
      <c r="DG380" s="48">
        <f>VLOOKUP($C380,'[2]Analysis 1'!$C$5:$DG$1025,109,FALSE)</f>
        <v>84749.19</v>
      </c>
      <c r="DH380" s="369">
        <f t="shared" si="11"/>
        <v>989928.6100000001</v>
      </c>
    </row>
    <row r="381" spans="1:112">
      <c r="A381" s="357" t="str">
        <f t="shared" si="12"/>
        <v>7500020</v>
      </c>
      <c r="B381" s="350" t="s">
        <v>1357</v>
      </c>
      <c r="C381" s="335" t="s">
        <v>1240</v>
      </c>
      <c r="D381" s="340">
        <v>8730.86</v>
      </c>
      <c r="E381" s="340">
        <v>4555.72</v>
      </c>
      <c r="F381" s="340">
        <v>1707.34</v>
      </c>
      <c r="G381" s="340">
        <v>84.78</v>
      </c>
      <c r="H381" s="340">
        <v>0</v>
      </c>
      <c r="I381" s="340">
        <v>0</v>
      </c>
      <c r="J381" s="340">
        <v>0</v>
      </c>
      <c r="K381" s="340">
        <v>0</v>
      </c>
      <c r="L381" s="340">
        <v>0</v>
      </c>
      <c r="M381" s="340">
        <v>0</v>
      </c>
      <c r="N381" s="340">
        <v>0</v>
      </c>
      <c r="O381" s="341">
        <v>1484.59</v>
      </c>
      <c r="P381" s="48">
        <v>5297.51</v>
      </c>
      <c r="Q381" s="48">
        <v>2912.52</v>
      </c>
      <c r="R381" s="48">
        <v>1569.14</v>
      </c>
      <c r="S381" s="48">
        <v>0</v>
      </c>
      <c r="T381" s="48">
        <v>0</v>
      </c>
      <c r="U381" s="48">
        <v>0</v>
      </c>
      <c r="V381" s="48">
        <v>0</v>
      </c>
      <c r="W381" s="48">
        <v>0</v>
      </c>
      <c r="X381" s="48">
        <v>0</v>
      </c>
      <c r="Y381" s="48">
        <v>0</v>
      </c>
      <c r="Z381" s="48">
        <v>0</v>
      </c>
      <c r="AA381" s="48">
        <v>0</v>
      </c>
      <c r="AB381" s="48">
        <v>0</v>
      </c>
      <c r="AC381" s="48">
        <v>58.73</v>
      </c>
      <c r="AD381" s="48">
        <v>10.98</v>
      </c>
      <c r="AE381" s="48">
        <v>0</v>
      </c>
      <c r="AF381" s="48">
        <v>0</v>
      </c>
      <c r="AG381" s="48">
        <v>615.94000000000005</v>
      </c>
      <c r="AH381" s="48">
        <v>919.76</v>
      </c>
      <c r="AI381" s="48">
        <v>1174.6099999999999</v>
      </c>
      <c r="AJ381" s="48">
        <v>2092.46</v>
      </c>
      <c r="AK381" s="48">
        <v>153.06</v>
      </c>
      <c r="AL381" s="48">
        <v>6259.33</v>
      </c>
      <c r="AM381" s="48">
        <v>22743.11</v>
      </c>
      <c r="AN381" s="48">
        <v>27951.37</v>
      </c>
      <c r="AO381" s="48">
        <v>16703.96</v>
      </c>
      <c r="AP381" s="48">
        <v>17194.43</v>
      </c>
      <c r="AQ381" s="48">
        <v>21539.71</v>
      </c>
      <c r="AR381" s="48">
        <v>14761.56</v>
      </c>
      <c r="AS381" s="48">
        <v>17612.86</v>
      </c>
      <c r="AT381" s="48">
        <v>21212.9</v>
      </c>
      <c r="AU381" s="48">
        <v>26543.24</v>
      </c>
      <c r="AV381" s="48">
        <v>23340.02</v>
      </c>
      <c r="AW381" s="48">
        <v>28357.279999999999</v>
      </c>
      <c r="AX381" s="48">
        <v>9669.6</v>
      </c>
      <c r="AY381" s="48">
        <v>0</v>
      </c>
      <c r="AZ381" s="48">
        <v>1302.08</v>
      </c>
      <c r="BA381" s="48">
        <v>2338.31</v>
      </c>
      <c r="BB381" s="48">
        <v>1517.92</v>
      </c>
      <c r="BC381" s="48">
        <v>1323.64</v>
      </c>
      <c r="BD381" s="48">
        <v>13990.11</v>
      </c>
      <c r="BE381" s="48">
        <v>14260.85</v>
      </c>
      <c r="BF381" s="48">
        <v>12072</v>
      </c>
      <c r="BG381" s="48">
        <v>6013.53</v>
      </c>
      <c r="BH381" s="48">
        <v>8272.64</v>
      </c>
      <c r="BI381" s="48">
        <v>2647.67</v>
      </c>
      <c r="BJ381" s="48">
        <v>40228.199999999997</v>
      </c>
      <c r="BK381" s="48">
        <v>83725.91</v>
      </c>
      <c r="BL381" s="48">
        <v>72850.350000000006</v>
      </c>
      <c r="BM381" s="48">
        <v>55834.26</v>
      </c>
      <c r="BN381" s="48">
        <v>46345.58</v>
      </c>
      <c r="BO381" s="48">
        <v>40380.199999999997</v>
      </c>
      <c r="BP381" s="48">
        <v>33115.96</v>
      </c>
      <c r="BQ381" s="48">
        <v>28771.46</v>
      </c>
      <c r="BR381" s="48">
        <v>32779.379999999997</v>
      </c>
      <c r="BS381" s="48">
        <v>89666.15</v>
      </c>
      <c r="BT381" s="48">
        <v>56198.26</v>
      </c>
      <c r="BU381" s="48">
        <v>18126.990000000002</v>
      </c>
      <c r="BV381" s="48">
        <v>83670.259999999995</v>
      </c>
      <c r="BW381" s="48">
        <v>35241.61</v>
      </c>
      <c r="BX381" s="48">
        <v>36112.730000000003</v>
      </c>
      <c r="BY381" s="48">
        <v>8081.86</v>
      </c>
      <c r="BZ381" s="48">
        <v>62323.75</v>
      </c>
      <c r="CA381" s="48">
        <v>30054.94</v>
      </c>
      <c r="CB381" s="48">
        <v>10575.66</v>
      </c>
      <c r="CC381" s="48">
        <v>1353.53</v>
      </c>
      <c r="CD381" s="48">
        <v>1353.53</v>
      </c>
      <c r="CE381" s="48">
        <v>3127.13</v>
      </c>
      <c r="CF381" s="48">
        <v>9745.27</v>
      </c>
      <c r="CG381" s="48">
        <v>7652.81</v>
      </c>
      <c r="CH381" s="48">
        <v>8249.43</v>
      </c>
      <c r="CI381" s="48">
        <v>18471.18</v>
      </c>
      <c r="CJ381" s="48">
        <v>22845.53</v>
      </c>
      <c r="CK381" s="48">
        <v>11141.68</v>
      </c>
      <c r="CL381" s="48">
        <v>10475.52</v>
      </c>
      <c r="CM381" s="48">
        <v>131.81</v>
      </c>
      <c r="CN381" s="48">
        <v>0</v>
      </c>
      <c r="CO381" s="48">
        <v>0</v>
      </c>
      <c r="CP381" s="48">
        <v>0</v>
      </c>
      <c r="CQ381" s="48">
        <v>0</v>
      </c>
      <c r="CR381" s="48">
        <v>0</v>
      </c>
      <c r="CS381" s="48">
        <v>0</v>
      </c>
      <c r="CT381" s="48">
        <v>0</v>
      </c>
      <c r="CU381" s="48">
        <v>0</v>
      </c>
      <c r="CV381" s="48">
        <v>0</v>
      </c>
      <c r="CW381" s="48">
        <v>0</v>
      </c>
      <c r="CX381" s="48">
        <v>0</v>
      </c>
      <c r="CY381" s="48">
        <v>0</v>
      </c>
      <c r="CZ381" s="48">
        <v>0</v>
      </c>
      <c r="DA381" s="48">
        <v>0</v>
      </c>
      <c r="DB381" s="48">
        <v>0</v>
      </c>
      <c r="DC381" s="48">
        <v>0</v>
      </c>
      <c r="DD381" s="48">
        <v>0</v>
      </c>
      <c r="DE381" s="48">
        <f>VLOOKUP($C381,'[2]Analysis 1'!$C$5:$DG$1025,107,FALSE)</f>
        <v>0</v>
      </c>
      <c r="DF381" s="48">
        <f>VLOOKUP($C381,'[2]Analysis 1'!$C$5:$DG$1025,108,FALSE)</f>
        <v>0</v>
      </c>
      <c r="DG381" s="48">
        <f>VLOOKUP($C381,'[2]Analysis 1'!$C$5:$DG$1025,109,FALSE)</f>
        <v>0</v>
      </c>
      <c r="DH381" s="369">
        <f t="shared" si="11"/>
        <v>0</v>
      </c>
    </row>
    <row r="382" spans="1:112">
      <c r="A382" s="357" t="str">
        <f t="shared" si="12"/>
        <v>7500030</v>
      </c>
      <c r="B382" s="350" t="s">
        <v>2169</v>
      </c>
      <c r="C382" s="335" t="s">
        <v>1241</v>
      </c>
      <c r="D382" s="340">
        <v>81888.759999999995</v>
      </c>
      <c r="E382" s="340">
        <v>81946.080000000002</v>
      </c>
      <c r="F382" s="340">
        <v>82099.39</v>
      </c>
      <c r="G382" s="340">
        <v>82432.38</v>
      </c>
      <c r="H382" s="340">
        <v>82721.73</v>
      </c>
      <c r="I382" s="340">
        <v>82838.789999999994</v>
      </c>
      <c r="J382" s="340">
        <v>83059.78</v>
      </c>
      <c r="K382" s="340">
        <v>83473.91</v>
      </c>
      <c r="L382" s="340">
        <v>84096.54</v>
      </c>
      <c r="M382" s="340">
        <v>84586.99</v>
      </c>
      <c r="N382" s="340">
        <v>83849.83</v>
      </c>
      <c r="O382" s="341">
        <v>84583.05</v>
      </c>
      <c r="P382" s="48">
        <v>84931.32</v>
      </c>
      <c r="Q382" s="48">
        <v>84655.33</v>
      </c>
      <c r="R382" s="48">
        <v>84911.34</v>
      </c>
      <c r="S382" s="48">
        <v>84527.17</v>
      </c>
      <c r="T382" s="48">
        <v>85332.26</v>
      </c>
      <c r="U382" s="48">
        <v>85632.43</v>
      </c>
      <c r="V382" s="48">
        <v>85943.24</v>
      </c>
      <c r="W382" s="48">
        <v>86261.16</v>
      </c>
      <c r="X382" s="48">
        <v>86526.2</v>
      </c>
      <c r="Y382" s="48">
        <v>86730.98</v>
      </c>
      <c r="Z382" s="48">
        <v>87013.89</v>
      </c>
      <c r="AA382" s="48">
        <v>87193.38</v>
      </c>
      <c r="AB382" s="48">
        <v>87473.16</v>
      </c>
      <c r="AC382" s="48">
        <v>83962.2</v>
      </c>
      <c r="AD382" s="48">
        <v>81686.48</v>
      </c>
      <c r="AE382" s="48">
        <v>79084.69</v>
      </c>
      <c r="AF382" s="48">
        <v>77249.649999999994</v>
      </c>
      <c r="AG382" s="48">
        <v>75006.850000000006</v>
      </c>
      <c r="AH382" s="48">
        <v>72824.37</v>
      </c>
      <c r="AI382" s="48">
        <v>70476.73</v>
      </c>
      <c r="AJ382" s="48">
        <v>68089.320000000007</v>
      </c>
      <c r="AK382" s="48">
        <v>66051.56</v>
      </c>
      <c r="AL382" s="48">
        <v>62730.55</v>
      </c>
      <c r="AM382" s="48">
        <v>61008.99</v>
      </c>
      <c r="AN382" s="48">
        <v>58804</v>
      </c>
      <c r="AO382" s="48">
        <v>57673</v>
      </c>
      <c r="AP382" s="48">
        <v>57131</v>
      </c>
      <c r="AQ382" s="48">
        <v>57051</v>
      </c>
      <c r="AR382" s="48">
        <v>56744</v>
      </c>
      <c r="AS382" s="48">
        <v>56505</v>
      </c>
      <c r="AT382" s="48">
        <v>56115</v>
      </c>
      <c r="AU382" s="48">
        <v>56005</v>
      </c>
      <c r="AV382" s="48">
        <v>55816</v>
      </c>
      <c r="AW382" s="48">
        <v>55755.12</v>
      </c>
      <c r="AX382" s="48">
        <v>55425.88</v>
      </c>
      <c r="AY382" s="48">
        <v>68722.740000000005</v>
      </c>
      <c r="AZ382" s="48">
        <v>54753.9</v>
      </c>
      <c r="BA382" s="48">
        <v>54723.21</v>
      </c>
      <c r="BB382" s="48">
        <v>54724.01</v>
      </c>
      <c r="BC382" s="48">
        <v>54676.44</v>
      </c>
      <c r="BD382" s="48">
        <v>54806.87</v>
      </c>
      <c r="BE382" s="48">
        <v>54842.58</v>
      </c>
      <c r="BF382" s="48">
        <v>54865.06</v>
      </c>
      <c r="BG382" s="48">
        <v>55003.7</v>
      </c>
      <c r="BH382" s="48">
        <v>54939.74</v>
      </c>
      <c r="BI382" s="48">
        <v>55067.25</v>
      </c>
      <c r="BJ382" s="48">
        <v>55437.96</v>
      </c>
      <c r="BK382" s="48">
        <v>48365.77</v>
      </c>
      <c r="BL382" s="48">
        <v>55169.55</v>
      </c>
      <c r="BM382" s="48">
        <v>55205.35</v>
      </c>
      <c r="BN382" s="48">
        <v>55333.99</v>
      </c>
      <c r="BO382" s="48">
        <v>55165.16</v>
      </c>
      <c r="BP382" s="48">
        <v>55280.23</v>
      </c>
      <c r="BQ382" s="48">
        <v>55284.57</v>
      </c>
      <c r="BR382" s="48">
        <v>55092</v>
      </c>
      <c r="BS382" s="48">
        <v>54934.14</v>
      </c>
      <c r="BT382" s="48">
        <v>54913.05</v>
      </c>
      <c r="BU382" s="48">
        <v>55028.13</v>
      </c>
      <c r="BV382" s="48">
        <v>55015.55</v>
      </c>
      <c r="BW382" s="48">
        <v>42623.8</v>
      </c>
      <c r="BX382" s="48">
        <v>55003.35</v>
      </c>
      <c r="BY382" s="48">
        <v>55161.09</v>
      </c>
      <c r="BZ382" s="48">
        <v>55200.35</v>
      </c>
      <c r="CA382" s="48">
        <v>55190.61</v>
      </c>
      <c r="CB382" s="48">
        <v>55069.64</v>
      </c>
      <c r="CC382" s="48">
        <v>54910.879999999997</v>
      </c>
      <c r="CD382" s="48">
        <v>54900.4</v>
      </c>
      <c r="CE382" s="48">
        <v>54798.3</v>
      </c>
      <c r="CF382" s="48">
        <v>54843.46</v>
      </c>
      <c r="CG382" s="48">
        <v>54750.67</v>
      </c>
      <c r="CH382" s="48">
        <v>54601.17</v>
      </c>
      <c r="CI382" s="48">
        <v>43181.760000000002</v>
      </c>
      <c r="CJ382" s="48">
        <v>54454.27</v>
      </c>
      <c r="CK382" s="48">
        <v>54502.22</v>
      </c>
      <c r="CL382" s="48">
        <v>54701.38</v>
      </c>
      <c r="CM382" s="48">
        <v>54612.59</v>
      </c>
      <c r="CN382" s="48">
        <v>54794.78</v>
      </c>
      <c r="CO382" s="48">
        <v>55070.86</v>
      </c>
      <c r="CP382" s="48">
        <v>55445.67</v>
      </c>
      <c r="CQ382" s="48">
        <v>55611.72</v>
      </c>
      <c r="CR382" s="48">
        <v>55997.82</v>
      </c>
      <c r="CS382" s="48">
        <v>56225.65</v>
      </c>
      <c r="CT382" s="48">
        <v>56674.93</v>
      </c>
      <c r="CU382" s="48">
        <v>46807.44</v>
      </c>
      <c r="CV382" s="48">
        <v>57503.33</v>
      </c>
      <c r="CW382" s="48">
        <v>57771.41</v>
      </c>
      <c r="CX382" s="48">
        <v>58107.46</v>
      </c>
      <c r="CY382" s="48">
        <v>58306.14</v>
      </c>
      <c r="CZ382" s="48">
        <v>58701.51</v>
      </c>
      <c r="DA382" s="48">
        <v>59319.92</v>
      </c>
      <c r="DB382" s="48">
        <v>59722.239999999998</v>
      </c>
      <c r="DC382" s="48">
        <v>60098.95</v>
      </c>
      <c r="DD382" s="48">
        <v>60624.24</v>
      </c>
      <c r="DE382" s="48">
        <f>VLOOKUP($C382,'[2]Analysis 1'!$C$5:$DG$1025,107,FALSE)</f>
        <v>60904.25</v>
      </c>
      <c r="DF382" s="48">
        <f>VLOOKUP($C382,'[2]Analysis 1'!$C$5:$DG$1025,108,FALSE)</f>
        <v>61298.94</v>
      </c>
      <c r="DG382" s="48">
        <f>VLOOKUP($C382,'[2]Analysis 1'!$C$5:$DG$1025,109,FALSE)</f>
        <v>51968.53</v>
      </c>
      <c r="DH382" s="369">
        <f t="shared" si="11"/>
        <v>704326.92000000016</v>
      </c>
    </row>
    <row r="383" spans="1:112">
      <c r="A383" s="357" t="str">
        <f t="shared" si="12"/>
        <v>7500080</v>
      </c>
      <c r="B383" s="350" t="s">
        <v>1358</v>
      </c>
      <c r="C383" s="335" t="s">
        <v>1242</v>
      </c>
      <c r="D383" s="367">
        <v>1197.6199999999999</v>
      </c>
      <c r="E383" s="367">
        <v>193.26</v>
      </c>
      <c r="F383" s="367">
        <v>6.99</v>
      </c>
      <c r="G383" s="367">
        <v>151.29</v>
      </c>
      <c r="H383" s="367">
        <v>0</v>
      </c>
      <c r="I383" s="367">
        <v>0</v>
      </c>
      <c r="J383" s="367">
        <v>0</v>
      </c>
      <c r="K383" s="367">
        <v>0</v>
      </c>
      <c r="L383" s="367">
        <v>0</v>
      </c>
      <c r="M383" s="367">
        <v>0</v>
      </c>
      <c r="N383" s="367">
        <v>0</v>
      </c>
      <c r="O383" s="368">
        <v>866.18</v>
      </c>
      <c r="P383" s="48">
        <v>1039.32</v>
      </c>
      <c r="Q383" s="48">
        <v>201.34</v>
      </c>
      <c r="R383" s="48">
        <v>1148.27</v>
      </c>
      <c r="S383" s="48">
        <v>0</v>
      </c>
      <c r="T383" s="48">
        <v>0</v>
      </c>
      <c r="U383" s="48">
        <v>0</v>
      </c>
      <c r="V383" s="48">
        <v>0</v>
      </c>
      <c r="W383" s="48">
        <v>0</v>
      </c>
      <c r="X383" s="48">
        <v>0</v>
      </c>
      <c r="Y383" s="48">
        <v>0</v>
      </c>
      <c r="Z383" s="48">
        <v>0</v>
      </c>
      <c r="AA383" s="48">
        <v>0</v>
      </c>
      <c r="AB383" s="48">
        <v>0</v>
      </c>
      <c r="AC383" s="48">
        <v>6.08</v>
      </c>
      <c r="AD383" s="48">
        <v>0</v>
      </c>
      <c r="AE383" s="48">
        <v>0</v>
      </c>
      <c r="AF383" s="48">
        <v>0</v>
      </c>
      <c r="AG383" s="48">
        <v>5.56</v>
      </c>
      <c r="AH383" s="48">
        <v>4.55</v>
      </c>
      <c r="AI383" s="48">
        <v>12.22</v>
      </c>
      <c r="AJ383" s="48">
        <v>37.74</v>
      </c>
      <c r="AK383" s="48">
        <v>0</v>
      </c>
      <c r="AL383" s="48">
        <v>292.10000000000002</v>
      </c>
      <c r="AM383" s="48">
        <v>4873</v>
      </c>
      <c r="AN383" s="48">
        <v>16954.3</v>
      </c>
      <c r="AO383" s="48">
        <v>32826.68</v>
      </c>
      <c r="AP383" s="48">
        <v>36453.06</v>
      </c>
      <c r="AQ383" s="48">
        <v>36234.11</v>
      </c>
      <c r="AR383" s="48">
        <v>20114.93</v>
      </c>
      <c r="AS383" s="48">
        <v>28984.09</v>
      </c>
      <c r="AT383" s="48">
        <v>38111.74</v>
      </c>
      <c r="AU383" s="48">
        <v>38051.24</v>
      </c>
      <c r="AV383" s="48">
        <v>109398.05</v>
      </c>
      <c r="AW383" s="48">
        <v>95373.94</v>
      </c>
      <c r="AX383" s="48">
        <v>7113.72</v>
      </c>
      <c r="AY383" s="48">
        <v>970.83</v>
      </c>
      <c r="AZ383" s="48">
        <v>5876.07</v>
      </c>
      <c r="BA383" s="48">
        <v>194609.49</v>
      </c>
      <c r="BB383" s="48">
        <v>-182381.3</v>
      </c>
      <c r="BC383" s="48">
        <v>6402.12</v>
      </c>
      <c r="BD383" s="48">
        <v>53475.59</v>
      </c>
      <c r="BE383" s="48">
        <v>70464.28</v>
      </c>
      <c r="BF383" s="48">
        <v>5876.07</v>
      </c>
      <c r="BG383" s="48">
        <v>5876.07</v>
      </c>
      <c r="BH383" s="48">
        <v>8837.2800000000007</v>
      </c>
      <c r="BI383" s="48">
        <v>10405.48</v>
      </c>
      <c r="BJ383" s="48">
        <v>6546</v>
      </c>
      <c r="BK383" s="48">
        <v>70158.22</v>
      </c>
      <c r="BL383" s="48">
        <v>149349.24</v>
      </c>
      <c r="BM383" s="48">
        <v>149272.71</v>
      </c>
      <c r="BN383" s="48">
        <v>136387.71</v>
      </c>
      <c r="BO383" s="48">
        <v>128595.4</v>
      </c>
      <c r="BP383" s="48">
        <v>75832.62</v>
      </c>
      <c r="BQ383" s="48">
        <v>-142669.13</v>
      </c>
      <c r="BR383" s="48">
        <v>82858.12</v>
      </c>
      <c r="BS383" s="48">
        <v>12758.09</v>
      </c>
      <c r="BT383" s="48">
        <v>55656.33</v>
      </c>
      <c r="BU383" s="48">
        <v>104937.93</v>
      </c>
      <c r="BV383" s="48">
        <v>46607.1</v>
      </c>
      <c r="BW383" s="48">
        <v>151912.15</v>
      </c>
      <c r="BX383" s="48">
        <v>174102.82</v>
      </c>
      <c r="BY383" s="48">
        <v>81033.11</v>
      </c>
      <c r="BZ383" s="48">
        <v>173380.65</v>
      </c>
      <c r="CA383" s="48">
        <v>63600.09</v>
      </c>
      <c r="CB383" s="48">
        <v>82038.13</v>
      </c>
      <c r="CC383" s="48">
        <v>-189338.35</v>
      </c>
      <c r="CD383" s="48">
        <v>79856.78</v>
      </c>
      <c r="CE383" s="48">
        <v>74863.97</v>
      </c>
      <c r="CF383" s="48">
        <v>65231.29</v>
      </c>
      <c r="CG383" s="48">
        <v>84812.63</v>
      </c>
      <c r="CH383" s="48">
        <v>100107.05</v>
      </c>
      <c r="CI383" s="48">
        <v>128129.2</v>
      </c>
      <c r="CJ383" s="48">
        <v>159645.94</v>
      </c>
      <c r="CK383" s="48">
        <v>160555.04999999999</v>
      </c>
      <c r="CL383" s="48">
        <v>131893.68</v>
      </c>
      <c r="CM383" s="48">
        <v>25497.43</v>
      </c>
      <c r="CN383" s="48">
        <v>47144.56</v>
      </c>
      <c r="CO383" s="48">
        <v>76453.02</v>
      </c>
      <c r="CP383" s="48">
        <v>20020.509999999998</v>
      </c>
      <c r="CQ383" s="48">
        <v>20020.509999999998</v>
      </c>
      <c r="CR383" s="48">
        <v>20020.509999999998</v>
      </c>
      <c r="CS383" s="48">
        <v>20020.509999999998</v>
      </c>
      <c r="CT383" s="48">
        <v>20020.509999999998</v>
      </c>
      <c r="CU383" s="48">
        <v>20020.509999999998</v>
      </c>
      <c r="CV383" s="48">
        <v>14646.42</v>
      </c>
      <c r="CW383" s="48">
        <v>14649.1</v>
      </c>
      <c r="CX383" s="48">
        <v>14647.65</v>
      </c>
      <c r="CY383" s="48">
        <v>14819.35</v>
      </c>
      <c r="CZ383" s="48">
        <v>14690.59</v>
      </c>
      <c r="DA383" s="48">
        <v>14690.59</v>
      </c>
      <c r="DB383" s="48">
        <v>14690.59</v>
      </c>
      <c r="DC383" s="48">
        <v>14690.59</v>
      </c>
      <c r="DD383" s="48">
        <v>14690.59</v>
      </c>
      <c r="DE383" s="48">
        <f>VLOOKUP($C383,'[2]Analysis 1'!$C$5:$DG$1025,107,FALSE)</f>
        <v>14690.59</v>
      </c>
      <c r="DF383" s="48">
        <f>VLOOKUP($C383,'[2]Analysis 1'!$C$5:$DG$1025,108,FALSE)</f>
        <v>14690.59</v>
      </c>
      <c r="DG383" s="48">
        <f>VLOOKUP($C383,'[2]Analysis 1'!$C$5:$DG$1025,109,FALSE)</f>
        <v>14690.59</v>
      </c>
      <c r="DH383" s="369">
        <f t="shared" si="11"/>
        <v>176287.24</v>
      </c>
    </row>
    <row r="384" spans="1:112">
      <c r="A384" s="357" t="str">
        <f>+B384</f>
        <v>7500090</v>
      </c>
      <c r="B384" s="350" t="s">
        <v>2218</v>
      </c>
      <c r="C384" s="335" t="s">
        <v>2217</v>
      </c>
      <c r="D384" s="367"/>
      <c r="E384" s="367"/>
      <c r="F384" s="367"/>
      <c r="G384" s="367"/>
      <c r="H384" s="367"/>
      <c r="I384" s="367"/>
      <c r="J384" s="367"/>
      <c r="K384" s="367"/>
      <c r="L384" s="367"/>
      <c r="M384" s="367"/>
      <c r="N384" s="367"/>
      <c r="O384" s="368"/>
      <c r="P384" s="48"/>
      <c r="Q384" s="48"/>
      <c r="R384" s="48"/>
      <c r="S384" s="48"/>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v>0</v>
      </c>
      <c r="BA384" s="48">
        <v>0</v>
      </c>
      <c r="BB384" s="48">
        <v>307481.36</v>
      </c>
      <c r="BC384" s="48">
        <v>102797.2</v>
      </c>
      <c r="BD384" s="48">
        <v>74870.73</v>
      </c>
      <c r="BE384" s="48">
        <v>72428.31</v>
      </c>
      <c r="BF384" s="48">
        <v>64912.76</v>
      </c>
      <c r="BG384" s="48">
        <v>76242.16</v>
      </c>
      <c r="BH384" s="48">
        <v>84145.93</v>
      </c>
      <c r="BI384" s="48">
        <v>22617.87</v>
      </c>
      <c r="BJ384" s="48">
        <v>0</v>
      </c>
      <c r="BK384" s="48">
        <v>0</v>
      </c>
      <c r="BL384" s="48">
        <v>0</v>
      </c>
      <c r="BM384" s="48">
        <v>0</v>
      </c>
      <c r="BN384" s="48">
        <v>0</v>
      </c>
      <c r="BO384" s="48">
        <v>0</v>
      </c>
      <c r="BP384" s="48">
        <v>0</v>
      </c>
      <c r="BQ384" s="48">
        <v>0</v>
      </c>
      <c r="BR384" s="48">
        <v>0</v>
      </c>
      <c r="BS384" s="48">
        <v>0</v>
      </c>
      <c r="BT384" s="48">
        <v>0</v>
      </c>
      <c r="BU384" s="48">
        <v>0</v>
      </c>
      <c r="BV384" s="48">
        <v>0</v>
      </c>
      <c r="BW384" s="48">
        <v>0</v>
      </c>
      <c r="BX384" s="48">
        <v>0</v>
      </c>
      <c r="BY384" s="48">
        <v>1029</v>
      </c>
      <c r="BZ384" s="48">
        <v>1905.17</v>
      </c>
      <c r="CA384" s="48">
        <v>1467.06</v>
      </c>
      <c r="CB384" s="48">
        <v>1467.06</v>
      </c>
      <c r="CC384" s="48">
        <v>286758.73</v>
      </c>
      <c r="CD384" s="48">
        <v>36342.06</v>
      </c>
      <c r="CE384" s="48">
        <v>36342.06</v>
      </c>
      <c r="CF384" s="48">
        <v>35217.06</v>
      </c>
      <c r="CG384" s="48">
        <v>36342.06</v>
      </c>
      <c r="CH384" s="48">
        <v>35217.06</v>
      </c>
      <c r="CI384" s="48">
        <v>36342.06</v>
      </c>
      <c r="CJ384" s="48">
        <v>36342.06</v>
      </c>
      <c r="CK384" s="48">
        <v>33687.96</v>
      </c>
      <c r="CL384" s="48">
        <v>27648.54</v>
      </c>
      <c r="CM384" s="48">
        <v>2543.25</v>
      </c>
      <c r="CN384" s="48">
        <v>0</v>
      </c>
      <c r="CO384" s="48">
        <v>15740.72</v>
      </c>
      <c r="CP384" s="48">
        <v>28556.34</v>
      </c>
      <c r="CQ384" s="48">
        <v>33177.919999999998</v>
      </c>
      <c r="CR384" s="48">
        <v>24179.1</v>
      </c>
      <c r="CS384" s="48">
        <v>37730.400000000001</v>
      </c>
      <c r="CT384" s="48">
        <v>38920.99</v>
      </c>
      <c r="CU384" s="48">
        <v>60485.26</v>
      </c>
      <c r="CV384" s="48">
        <v>100569.19</v>
      </c>
      <c r="CW384" s="48">
        <v>78520.929999999993</v>
      </c>
      <c r="CX384" s="48">
        <v>123584.72</v>
      </c>
      <c r="CY384" s="48">
        <v>165185.74</v>
      </c>
      <c r="CZ384" s="48">
        <v>233904.99</v>
      </c>
      <c r="DA384" s="48">
        <v>259724.36</v>
      </c>
      <c r="DB384" s="48">
        <v>317014.84999999998</v>
      </c>
      <c r="DC384" s="48">
        <v>247335.28</v>
      </c>
      <c r="DD384" s="48">
        <v>357594.99</v>
      </c>
      <c r="DE384" s="48">
        <f>VLOOKUP($C384,'[2]Analysis 1'!$C$5:$DG$1025,107,FALSE)</f>
        <v>503501.47</v>
      </c>
      <c r="DF384" s="48">
        <f>VLOOKUP($C384,'[2]Analysis 1'!$C$5:$DG$1025,108,FALSE)</f>
        <v>596762.27</v>
      </c>
      <c r="DG384" s="48">
        <f>VLOOKUP($C384,'[2]Analysis 1'!$C$5:$DG$1025,109,FALSE)</f>
        <v>747294.69</v>
      </c>
      <c r="DH384" s="369">
        <f t="shared" si="11"/>
        <v>3730993.4799999995</v>
      </c>
    </row>
    <row r="385" spans="1:112">
      <c r="A385" s="357" t="str">
        <f>+B385</f>
        <v>7500100</v>
      </c>
      <c r="B385" s="350" t="s">
        <v>2263</v>
      </c>
      <c r="C385" s="335" t="s">
        <v>2264</v>
      </c>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c r="AB385" s="48"/>
      <c r="AC385" s="48"/>
      <c r="AD385" s="48"/>
      <c r="AE385" s="48"/>
      <c r="AF385" s="48"/>
      <c r="AG385" s="48"/>
      <c r="AH385" s="48"/>
      <c r="AI385" s="48"/>
      <c r="AJ385" s="48"/>
      <c r="AK385" s="48"/>
      <c r="AL385" s="48"/>
      <c r="AM385" s="48"/>
      <c r="AN385" s="48"/>
      <c r="AO385" s="48"/>
      <c r="AP385" s="48"/>
      <c r="AQ385" s="48"/>
      <c r="AR385" s="48"/>
      <c r="AS385" s="48"/>
      <c r="AT385" s="48"/>
      <c r="AU385" s="48"/>
      <c r="AV385" s="48"/>
      <c r="AW385" s="48"/>
      <c r="AX385" s="48"/>
      <c r="AY385" s="48"/>
      <c r="AZ385" s="48"/>
      <c r="BA385" s="48"/>
      <c r="BB385" s="48"/>
      <c r="BC385" s="48"/>
      <c r="BD385" s="48"/>
      <c r="BE385" s="48"/>
      <c r="BF385" s="48"/>
      <c r="BG385" s="48"/>
      <c r="BH385" s="48"/>
      <c r="BI385" s="48"/>
      <c r="BJ385" s="48"/>
      <c r="BK385" s="48"/>
      <c r="BL385" s="48">
        <v>0</v>
      </c>
      <c r="BM385" s="48">
        <v>0</v>
      </c>
      <c r="BN385" s="48">
        <v>57.76</v>
      </c>
      <c r="BO385" s="48">
        <v>0</v>
      </c>
      <c r="BP385" s="48">
        <v>0</v>
      </c>
      <c r="BQ385" s="48">
        <v>0</v>
      </c>
      <c r="BR385" s="48">
        <v>0</v>
      </c>
      <c r="BS385" s="48">
        <v>0</v>
      </c>
      <c r="BT385" s="48">
        <v>0</v>
      </c>
      <c r="BU385" s="48">
        <v>0</v>
      </c>
      <c r="BV385" s="48">
        <v>0</v>
      </c>
      <c r="BW385" s="48">
        <v>0</v>
      </c>
      <c r="BX385" s="48">
        <v>0</v>
      </c>
      <c r="BY385" s="48">
        <v>0</v>
      </c>
      <c r="BZ385" s="48">
        <v>0</v>
      </c>
      <c r="CA385" s="48">
        <v>0</v>
      </c>
      <c r="CB385" s="48">
        <v>0</v>
      </c>
      <c r="CC385" s="48">
        <v>0</v>
      </c>
      <c r="CD385" s="48">
        <v>0</v>
      </c>
      <c r="CE385" s="48">
        <v>0</v>
      </c>
      <c r="CF385" s="48">
        <v>0</v>
      </c>
      <c r="CG385" s="48">
        <v>0</v>
      </c>
      <c r="CH385" s="48">
        <v>98.91</v>
      </c>
      <c r="CI385" s="48">
        <v>0</v>
      </c>
      <c r="CJ385" s="48">
        <v>0</v>
      </c>
      <c r="CK385" s="48">
        <v>0</v>
      </c>
      <c r="CL385" s="48">
        <v>0</v>
      </c>
      <c r="CM385" s="48">
        <v>0</v>
      </c>
      <c r="CN385" s="48">
        <v>0</v>
      </c>
      <c r="CO385" s="48">
        <v>0</v>
      </c>
      <c r="CP385" s="48">
        <v>68.680000000000007</v>
      </c>
      <c r="CQ385" s="48">
        <v>0</v>
      </c>
      <c r="CR385" s="48">
        <v>0</v>
      </c>
      <c r="CS385" s="48">
        <v>0</v>
      </c>
      <c r="CT385" s="48">
        <v>0</v>
      </c>
      <c r="CU385" s="48">
        <v>0</v>
      </c>
      <c r="CV385" s="48">
        <v>0</v>
      </c>
      <c r="CW385" s="48">
        <v>0</v>
      </c>
      <c r="CX385" s="48">
        <v>0</v>
      </c>
      <c r="CY385" s="48">
        <v>0</v>
      </c>
      <c r="CZ385" s="48">
        <v>0</v>
      </c>
      <c r="DA385" s="48">
        <v>0</v>
      </c>
      <c r="DB385" s="48">
        <v>0</v>
      </c>
      <c r="DC385" s="48">
        <v>0</v>
      </c>
      <c r="DD385" s="48">
        <v>0</v>
      </c>
      <c r="DE385" s="48">
        <f>VLOOKUP($C385,'[2]Analysis 1'!$C$5:$DG$1025,107,FALSE)</f>
        <v>0</v>
      </c>
      <c r="DF385" s="48">
        <f>VLOOKUP($C385,'[2]Analysis 1'!$C$5:$DG$1025,108,FALSE)</f>
        <v>0</v>
      </c>
      <c r="DG385" s="48">
        <f>VLOOKUP($C385,'[2]Analysis 1'!$C$5:$DG$1025,109,FALSE)</f>
        <v>0</v>
      </c>
      <c r="DH385" s="369">
        <f t="shared" si="11"/>
        <v>0</v>
      </c>
    </row>
    <row r="386" spans="1:112">
      <c r="A386" s="357" t="str">
        <f t="shared" si="12"/>
        <v>7500110</v>
      </c>
      <c r="B386" s="350" t="s">
        <v>2170</v>
      </c>
      <c r="C386" s="335" t="s">
        <v>1243</v>
      </c>
      <c r="D386" s="340">
        <v>997107.72</v>
      </c>
      <c r="E386" s="340">
        <v>997107.72</v>
      </c>
      <c r="F386" s="340">
        <v>997107.72</v>
      </c>
      <c r="G386" s="340">
        <v>997107.72</v>
      </c>
      <c r="H386" s="340">
        <v>1015232.72</v>
      </c>
      <c r="I386" s="340">
        <v>1033357.72</v>
      </c>
      <c r="J386" s="340">
        <v>1033357.72</v>
      </c>
      <c r="K386" s="340">
        <v>1033357.72</v>
      </c>
      <c r="L386" s="340">
        <v>1033357.72</v>
      </c>
      <c r="M386" s="340">
        <v>1033357.72</v>
      </c>
      <c r="N386" s="340">
        <v>1033357.72</v>
      </c>
      <c r="O386" s="341">
        <v>1033357.72</v>
      </c>
      <c r="P386" s="48">
        <v>1033357.72</v>
      </c>
      <c r="Q386" s="48">
        <v>1033357.73</v>
      </c>
      <c r="R386" s="48">
        <v>1033357.73</v>
      </c>
      <c r="S386" s="48">
        <v>1033357.73</v>
      </c>
      <c r="T386" s="48">
        <v>1033357.73</v>
      </c>
      <c r="U386" s="48">
        <v>1136024.3999999999</v>
      </c>
      <c r="V386" s="48">
        <v>1103357.73</v>
      </c>
      <c r="W386" s="48">
        <v>1103357.73</v>
      </c>
      <c r="X386" s="48">
        <v>1103357.73</v>
      </c>
      <c r="Y386" s="48">
        <v>1103357.73</v>
      </c>
      <c r="Z386" s="48">
        <v>1103357.73</v>
      </c>
      <c r="AA386" s="48">
        <v>1103357.73</v>
      </c>
      <c r="AB386" s="48">
        <v>1103357.73</v>
      </c>
      <c r="AC386" s="48">
        <v>1103357.73</v>
      </c>
      <c r="AD386" s="48">
        <v>1103357.73</v>
      </c>
      <c r="AE386" s="48">
        <v>1103357.73</v>
      </c>
      <c r="AF386" s="48">
        <v>1103357.73</v>
      </c>
      <c r="AG386" s="48">
        <v>1103357.73</v>
      </c>
      <c r="AH386" s="48">
        <v>1103357.73</v>
      </c>
      <c r="AI386" s="48">
        <v>1093107.73</v>
      </c>
      <c r="AJ386" s="48">
        <v>1103357.73</v>
      </c>
      <c r="AK386" s="48">
        <v>1103357.73</v>
      </c>
      <c r="AL386" s="48">
        <v>1103357.73</v>
      </c>
      <c r="AM386" s="48">
        <v>1103357.73</v>
      </c>
      <c r="AN386" s="48">
        <v>1103357.73</v>
      </c>
      <c r="AO386" s="48">
        <v>1103357.73</v>
      </c>
      <c r="AP386" s="48">
        <v>1103357.73</v>
      </c>
      <c r="AQ386" s="48">
        <v>1103357.73</v>
      </c>
      <c r="AR386" s="48">
        <v>1103357.73</v>
      </c>
      <c r="AS386" s="48">
        <v>1103357.73</v>
      </c>
      <c r="AT386" s="48">
        <v>1103357.73</v>
      </c>
      <c r="AU386" s="48">
        <v>1103357.73</v>
      </c>
      <c r="AV386" s="48">
        <v>1103357.73</v>
      </c>
      <c r="AW386" s="48">
        <v>1103357.73</v>
      </c>
      <c r="AX386" s="48">
        <v>1103357.73</v>
      </c>
      <c r="AY386" s="48">
        <v>1103357.73</v>
      </c>
      <c r="AZ386" s="48">
        <v>1103357.73</v>
      </c>
      <c r="BA386" s="48">
        <v>1103357.73</v>
      </c>
      <c r="BB386" s="48">
        <v>1103357.73</v>
      </c>
      <c r="BC386" s="48">
        <v>1103357.73</v>
      </c>
      <c r="BD386" s="48">
        <v>976274</v>
      </c>
      <c r="BE386" s="48">
        <v>1055232.6499999999</v>
      </c>
      <c r="BF386" s="48">
        <v>1117941.06</v>
      </c>
      <c r="BG386" s="48">
        <v>1117941.06</v>
      </c>
      <c r="BH386" s="48">
        <v>1117941.06</v>
      </c>
      <c r="BI386" s="48">
        <v>1198288.32</v>
      </c>
      <c r="BJ386" s="48">
        <v>1210649.3899999999</v>
      </c>
      <c r="BK386" s="48">
        <v>1210649.3899999999</v>
      </c>
      <c r="BL386" s="48">
        <v>1210649.3899999999</v>
      </c>
      <c r="BM386" s="48">
        <v>1210649.3899999999</v>
      </c>
      <c r="BN386" s="48">
        <v>1210649.3899999999</v>
      </c>
      <c r="BO386" s="48">
        <v>1210649.3899999999</v>
      </c>
      <c r="BP386" s="48">
        <v>1210649.3899999999</v>
      </c>
      <c r="BQ386" s="48">
        <v>1210649.3899999999</v>
      </c>
      <c r="BR386" s="48">
        <v>1230788.28</v>
      </c>
      <c r="BS386" s="48">
        <v>1286170.22</v>
      </c>
      <c r="BT386" s="48">
        <v>1286170.22</v>
      </c>
      <c r="BU386" s="48">
        <v>1286170.22</v>
      </c>
      <c r="BV386" s="48">
        <v>1286170.22</v>
      </c>
      <c r="BW386" s="48">
        <v>1286170.22</v>
      </c>
      <c r="BX386" s="48">
        <v>1286170.22</v>
      </c>
      <c r="BY386" s="48">
        <v>1286170.22</v>
      </c>
      <c r="BZ386" s="48">
        <v>1281135.51</v>
      </c>
      <c r="CA386" s="48">
        <v>1286170.22</v>
      </c>
      <c r="CB386" s="48">
        <v>1286170.22</v>
      </c>
      <c r="CC386" s="48">
        <v>1286170.22</v>
      </c>
      <c r="CD386" s="48">
        <v>1286170.22</v>
      </c>
      <c r="CE386" s="48">
        <v>1286170.22</v>
      </c>
      <c r="CF386" s="48">
        <v>1286170.22</v>
      </c>
      <c r="CG386" s="48">
        <v>1286170.22</v>
      </c>
      <c r="CH386" s="48">
        <v>1286170.22</v>
      </c>
      <c r="CI386" s="48">
        <v>1286170.22</v>
      </c>
      <c r="CJ386" s="48">
        <v>1286170.22</v>
      </c>
      <c r="CK386" s="48">
        <v>1286170.22</v>
      </c>
      <c r="CL386" s="48">
        <v>1603857.72</v>
      </c>
      <c r="CM386" s="48">
        <v>1846795.22</v>
      </c>
      <c r="CN386" s="48">
        <v>1636354.16</v>
      </c>
      <c r="CO386" s="48">
        <v>1741574.69</v>
      </c>
      <c r="CP386" s="48">
        <v>1636354.16</v>
      </c>
      <c r="CQ386" s="48">
        <v>1636354.16</v>
      </c>
      <c r="CR386" s="48">
        <v>1542916.66</v>
      </c>
      <c r="CS386" s="48">
        <v>1636354.16</v>
      </c>
      <c r="CT386" s="48">
        <v>1636354.16</v>
      </c>
      <c r="CU386" s="48">
        <v>1636354.16</v>
      </c>
      <c r="CV386" s="48">
        <v>1636354.16</v>
      </c>
      <c r="CW386" s="48">
        <v>1636354.16</v>
      </c>
      <c r="CX386" s="48">
        <v>1636354.16</v>
      </c>
      <c r="CY386" s="48">
        <v>1636354.16</v>
      </c>
      <c r="CZ386" s="48">
        <v>1636354.16</v>
      </c>
      <c r="DA386" s="48">
        <v>1636354.16</v>
      </c>
      <c r="DB386" s="48">
        <v>1802760.41</v>
      </c>
      <c r="DC386" s="48">
        <v>1913697.91</v>
      </c>
      <c r="DD386" s="48">
        <v>1886614.45</v>
      </c>
      <c r="DE386" s="48">
        <f>VLOOKUP($C386,'[2]Analysis 1'!$C$5:$DG$1025,107,FALSE)</f>
        <v>1859531.24</v>
      </c>
      <c r="DF386" s="48">
        <f>VLOOKUP($C386,'[2]Analysis 1'!$C$5:$DG$1025,108,FALSE)</f>
        <v>1859531.24</v>
      </c>
      <c r="DG386" s="48">
        <f>VLOOKUP($C386,'[2]Analysis 1'!$C$5:$DG$1025,109,FALSE)</f>
        <v>1859531.24</v>
      </c>
      <c r="DH386" s="369">
        <f t="shared" si="11"/>
        <v>20999791.449999996</v>
      </c>
    </row>
    <row r="387" spans="1:112">
      <c r="A387" s="357" t="str">
        <f t="shared" si="12"/>
        <v>7500120</v>
      </c>
      <c r="B387" s="350" t="s">
        <v>1371</v>
      </c>
      <c r="C387" s="335" t="s">
        <v>1244</v>
      </c>
      <c r="D387" s="367">
        <v>1582.5</v>
      </c>
      <c r="E387" s="367">
        <v>1582.5</v>
      </c>
      <c r="F387" s="367">
        <v>1582.5</v>
      </c>
      <c r="G387" s="367">
        <v>1582.5</v>
      </c>
      <c r="H387" s="367">
        <v>1582.5</v>
      </c>
      <c r="I387" s="367">
        <v>1610.42</v>
      </c>
      <c r="J387" s="367">
        <v>1601.11</v>
      </c>
      <c r="K387" s="367">
        <v>1601.11</v>
      </c>
      <c r="L387" s="367">
        <v>1601.11</v>
      </c>
      <c r="M387" s="367">
        <v>1601.11</v>
      </c>
      <c r="N387" s="367">
        <v>1601.11</v>
      </c>
      <c r="O387" s="368">
        <v>1601.11</v>
      </c>
      <c r="P387" s="48">
        <v>1601.11</v>
      </c>
      <c r="Q387" s="48">
        <v>1601.11</v>
      </c>
      <c r="R387" s="48">
        <v>1601.11</v>
      </c>
      <c r="S387" s="48">
        <v>1601.11</v>
      </c>
      <c r="T387" s="48">
        <v>1601.11</v>
      </c>
      <c r="U387" s="48">
        <v>1705.64</v>
      </c>
      <c r="V387" s="48">
        <v>1704.44</v>
      </c>
      <c r="W387" s="48">
        <v>1704.44</v>
      </c>
      <c r="X387" s="48">
        <v>1704.44</v>
      </c>
      <c r="Y387" s="48">
        <v>1704.44</v>
      </c>
      <c r="Z387" s="48">
        <v>1704.44</v>
      </c>
      <c r="AA387" s="48">
        <v>1704.44</v>
      </c>
      <c r="AB387" s="48">
        <v>1704.44</v>
      </c>
      <c r="AC387" s="48">
        <v>1704.44</v>
      </c>
      <c r="AD387" s="48">
        <v>1704.44</v>
      </c>
      <c r="AE387" s="48">
        <v>1704.44</v>
      </c>
      <c r="AF387" s="48">
        <v>1704.44</v>
      </c>
      <c r="AG387" s="48">
        <v>1704.44</v>
      </c>
      <c r="AH387" s="48">
        <v>1704.44</v>
      </c>
      <c r="AI387" s="48">
        <v>1704.44</v>
      </c>
      <c r="AJ387" s="48">
        <v>1704.44</v>
      </c>
      <c r="AK387" s="48">
        <v>1704.44</v>
      </c>
      <c r="AL387" s="48">
        <v>1704.44</v>
      </c>
      <c r="AM387" s="48">
        <v>1704.44</v>
      </c>
      <c r="AN387" s="48">
        <v>1704.44</v>
      </c>
      <c r="AO387" s="48">
        <v>1704.44</v>
      </c>
      <c r="AP387" s="48">
        <v>1704.44</v>
      </c>
      <c r="AQ387" s="48">
        <v>1704.44</v>
      </c>
      <c r="AR387" s="48">
        <v>1704.44</v>
      </c>
      <c r="AS387" s="48">
        <v>1704.44</v>
      </c>
      <c r="AT387" s="48">
        <v>1704.44</v>
      </c>
      <c r="AU387" s="48">
        <v>1704.44</v>
      </c>
      <c r="AV387" s="48">
        <v>1704.44</v>
      </c>
      <c r="AW387" s="48">
        <v>1704.44</v>
      </c>
      <c r="AX387" s="48">
        <v>1704.44</v>
      </c>
      <c r="AY387" s="48">
        <v>1704.44</v>
      </c>
      <c r="AZ387" s="48">
        <v>1704.44</v>
      </c>
      <c r="BA387" s="48">
        <v>1704.44</v>
      </c>
      <c r="BB387" s="48">
        <v>1704.44</v>
      </c>
      <c r="BC387" s="48">
        <v>1704.44</v>
      </c>
      <c r="BD387" s="48">
        <v>1704.44</v>
      </c>
      <c r="BE387" s="48">
        <v>2819.91</v>
      </c>
      <c r="BF387" s="48">
        <v>2821.11</v>
      </c>
      <c r="BG387" s="48">
        <v>2821.11</v>
      </c>
      <c r="BH387" s="48">
        <v>2821.11</v>
      </c>
      <c r="BI387" s="48">
        <v>3167.06</v>
      </c>
      <c r="BJ387" s="48">
        <v>3168.26</v>
      </c>
      <c r="BK387" s="48">
        <v>3168.26</v>
      </c>
      <c r="BL387" s="48">
        <v>3168.26</v>
      </c>
      <c r="BM387" s="48">
        <v>3168.26</v>
      </c>
      <c r="BN387" s="48">
        <v>3168.26</v>
      </c>
      <c r="BO387" s="48">
        <v>3168.26</v>
      </c>
      <c r="BP387" s="48">
        <v>3168.26</v>
      </c>
      <c r="BQ387" s="48">
        <v>3168.26</v>
      </c>
      <c r="BR387" s="48">
        <v>3168.26</v>
      </c>
      <c r="BS387" s="48">
        <v>3992.76</v>
      </c>
      <c r="BT387" s="48">
        <v>3994.41</v>
      </c>
      <c r="BU387" s="48">
        <v>3994.41</v>
      </c>
      <c r="BV387" s="48">
        <v>3994.41</v>
      </c>
      <c r="BW387" s="48">
        <v>3994.41</v>
      </c>
      <c r="BX387" s="48">
        <v>3994.41</v>
      </c>
      <c r="BY387" s="48">
        <v>3994.41</v>
      </c>
      <c r="BZ387" s="48">
        <v>3994.41</v>
      </c>
      <c r="CA387" s="48">
        <v>3994.41</v>
      </c>
      <c r="CB387" s="48">
        <v>3994.41</v>
      </c>
      <c r="CC387" s="48">
        <v>3994.41</v>
      </c>
      <c r="CD387" s="48">
        <v>3994.41</v>
      </c>
      <c r="CE387" s="48">
        <v>3994.41</v>
      </c>
      <c r="CF387" s="48">
        <v>3994.41</v>
      </c>
      <c r="CG387" s="48">
        <v>3994.41</v>
      </c>
      <c r="CH387" s="48">
        <v>3994.41</v>
      </c>
      <c r="CI387" s="48">
        <v>3994.41</v>
      </c>
      <c r="CJ387" s="48">
        <v>3994.41</v>
      </c>
      <c r="CK387" s="48">
        <v>3994.41</v>
      </c>
      <c r="CL387" s="48">
        <v>7830.94</v>
      </c>
      <c r="CM387" s="48">
        <v>7652.44</v>
      </c>
      <c r="CN387" s="48">
        <v>7830.94</v>
      </c>
      <c r="CO387" s="48">
        <v>7830.94</v>
      </c>
      <c r="CP387" s="48">
        <v>7830.94</v>
      </c>
      <c r="CQ387" s="48">
        <v>7830.94</v>
      </c>
      <c r="CR387" s="48">
        <v>7830.94</v>
      </c>
      <c r="CS387" s="48">
        <v>7830.94</v>
      </c>
      <c r="CT387" s="48">
        <v>7830.94</v>
      </c>
      <c r="CU387" s="48">
        <v>7830.94</v>
      </c>
      <c r="CV387" s="48">
        <v>7830.94</v>
      </c>
      <c r="CW387" s="48">
        <v>7830.94</v>
      </c>
      <c r="CX387" s="48">
        <v>7830.94</v>
      </c>
      <c r="CY387" s="48">
        <v>7830.94</v>
      </c>
      <c r="CZ387" s="48">
        <v>7830.94</v>
      </c>
      <c r="DA387" s="48">
        <v>7830.94</v>
      </c>
      <c r="DB387" s="48">
        <v>8557.49</v>
      </c>
      <c r="DC387" s="48">
        <v>8555.8700000000008</v>
      </c>
      <c r="DD387" s="48">
        <v>8555.8700000000008</v>
      </c>
      <c r="DE387" s="48">
        <f>VLOOKUP($C387,'[2]Analysis 1'!$C$5:$DG$1025,107,FALSE)</f>
        <v>8301.7000000000007</v>
      </c>
      <c r="DF387" s="48">
        <f>VLOOKUP($C387,'[2]Analysis 1'!$C$5:$DG$1025,108,FALSE)</f>
        <v>8301.7000000000007</v>
      </c>
      <c r="DG387" s="48">
        <f>VLOOKUP($C387,'[2]Analysis 1'!$C$5:$DG$1025,109,FALSE)</f>
        <v>8301.7000000000007</v>
      </c>
      <c r="DH387" s="369">
        <f t="shared" si="11"/>
        <v>97559.969999999987</v>
      </c>
    </row>
    <row r="388" spans="1:112">
      <c r="A388" s="357" t="str">
        <f t="shared" si="12"/>
        <v>7500130</v>
      </c>
      <c r="B388" s="350" t="s">
        <v>1372</v>
      </c>
      <c r="C388" s="335" t="s">
        <v>1245</v>
      </c>
      <c r="D388" s="340">
        <v>43660.99</v>
      </c>
      <c r="E388" s="340">
        <v>43660.99</v>
      </c>
      <c r="F388" s="340">
        <v>43660.99</v>
      </c>
      <c r="G388" s="340">
        <v>43660.99</v>
      </c>
      <c r="H388" s="340">
        <v>43675.37</v>
      </c>
      <c r="I388" s="340">
        <v>44086.239999999998</v>
      </c>
      <c r="J388" s="340">
        <v>43971.83</v>
      </c>
      <c r="K388" s="340">
        <v>43963.13</v>
      </c>
      <c r="L388" s="340">
        <v>44167.34</v>
      </c>
      <c r="M388" s="340">
        <v>43995.54</v>
      </c>
      <c r="N388" s="340">
        <v>43993.45</v>
      </c>
      <c r="O388" s="341">
        <v>43993.45</v>
      </c>
      <c r="P388" s="48">
        <v>43993.45</v>
      </c>
      <c r="Q388" s="48">
        <v>43993.45</v>
      </c>
      <c r="R388" s="48">
        <v>43993.45</v>
      </c>
      <c r="S388" s="48">
        <v>43993.45</v>
      </c>
      <c r="T388" s="48">
        <v>76660.12</v>
      </c>
      <c r="U388" s="48">
        <v>10942.84</v>
      </c>
      <c r="V388" s="48">
        <v>43616.11</v>
      </c>
      <c r="W388" s="48">
        <v>43612.81</v>
      </c>
      <c r="X388" s="48">
        <v>43723.93</v>
      </c>
      <c r="Y388" s="48">
        <v>43640.59</v>
      </c>
      <c r="Z388" s="48">
        <v>43639.88</v>
      </c>
      <c r="AA388" s="48">
        <v>43658.71</v>
      </c>
      <c r="AB388" s="48">
        <v>43640.59</v>
      </c>
      <c r="AC388" s="48">
        <v>43640.59</v>
      </c>
      <c r="AD388" s="48">
        <v>43640.59</v>
      </c>
      <c r="AE388" s="48">
        <v>43640.59</v>
      </c>
      <c r="AF388" s="48">
        <v>43640.59</v>
      </c>
      <c r="AG388" s="48">
        <v>43640.59</v>
      </c>
      <c r="AH388" s="48">
        <v>43640.59</v>
      </c>
      <c r="AI388" s="48">
        <v>43640.59</v>
      </c>
      <c r="AJ388" s="48">
        <v>43640.59</v>
      </c>
      <c r="AK388" s="48">
        <v>43640.59</v>
      </c>
      <c r="AL388" s="48">
        <v>43640.59</v>
      </c>
      <c r="AM388" s="48">
        <v>43640.59</v>
      </c>
      <c r="AN388" s="48">
        <v>43640.59</v>
      </c>
      <c r="AO388" s="48">
        <v>43640.59</v>
      </c>
      <c r="AP388" s="48">
        <v>43640.59</v>
      </c>
      <c r="AQ388" s="48">
        <v>43640.59</v>
      </c>
      <c r="AR388" s="48">
        <v>43640.59</v>
      </c>
      <c r="AS388" s="48">
        <v>43640.59</v>
      </c>
      <c r="AT388" s="48">
        <v>43640.59</v>
      </c>
      <c r="AU388" s="48">
        <v>43640.59</v>
      </c>
      <c r="AV388" s="48">
        <v>43640.59</v>
      </c>
      <c r="AW388" s="48">
        <v>43640.59</v>
      </c>
      <c r="AX388" s="48">
        <v>43640.59</v>
      </c>
      <c r="AY388" s="48">
        <v>43640.59</v>
      </c>
      <c r="AZ388" s="48">
        <v>43640.59</v>
      </c>
      <c r="BA388" s="48">
        <v>43640.59</v>
      </c>
      <c r="BB388" s="48">
        <v>43640.59</v>
      </c>
      <c r="BC388" s="48">
        <v>43640.59</v>
      </c>
      <c r="BD388" s="48">
        <v>25664.55</v>
      </c>
      <c r="BE388" s="48">
        <v>9797.19</v>
      </c>
      <c r="BF388" s="48">
        <v>9883.1299999999992</v>
      </c>
      <c r="BG388" s="48">
        <v>9885.27</v>
      </c>
      <c r="BH388" s="48">
        <v>10320.620000000001</v>
      </c>
      <c r="BI388" s="48">
        <v>10636.85</v>
      </c>
      <c r="BJ388" s="48">
        <v>10660.83</v>
      </c>
      <c r="BK388" s="48">
        <v>10682.06</v>
      </c>
      <c r="BL388" s="48">
        <v>10654.62</v>
      </c>
      <c r="BM388" s="48">
        <v>10654.62</v>
      </c>
      <c r="BN388" s="48">
        <v>10884.14</v>
      </c>
      <c r="BO388" s="48">
        <v>10692.66</v>
      </c>
      <c r="BP388" s="48">
        <v>10692.66</v>
      </c>
      <c r="BQ388" s="48">
        <v>10692.66</v>
      </c>
      <c r="BR388" s="48">
        <v>10692.66</v>
      </c>
      <c r="BS388" s="48">
        <v>11405.86</v>
      </c>
      <c r="BT388" s="48">
        <v>11465.91</v>
      </c>
      <c r="BU388" s="48">
        <v>11435.41</v>
      </c>
      <c r="BV388" s="48">
        <v>11435.41</v>
      </c>
      <c r="BW388" s="48">
        <v>11633.81</v>
      </c>
      <c r="BX388" s="48">
        <v>11475.51</v>
      </c>
      <c r="BY388" s="48">
        <v>11475.51</v>
      </c>
      <c r="BZ388" s="48">
        <v>11486.87</v>
      </c>
      <c r="CA388" s="48">
        <v>11476.79</v>
      </c>
      <c r="CB388" s="48">
        <v>11476.79</v>
      </c>
      <c r="CC388" s="48">
        <v>11476.79</v>
      </c>
      <c r="CD388" s="48">
        <v>11476.79</v>
      </c>
      <c r="CE388" s="48">
        <v>11476.79</v>
      </c>
      <c r="CF388" s="48">
        <v>11476.79</v>
      </c>
      <c r="CG388" s="48">
        <v>11476.79</v>
      </c>
      <c r="CH388" s="48">
        <v>11476.79</v>
      </c>
      <c r="CI388" s="48">
        <v>11476.79</v>
      </c>
      <c r="CJ388" s="48">
        <v>11476.79</v>
      </c>
      <c r="CK388" s="48">
        <v>11476.79</v>
      </c>
      <c r="CL388" s="48">
        <v>21131.59</v>
      </c>
      <c r="CM388" s="48">
        <v>22693.21</v>
      </c>
      <c r="CN388" s="48">
        <v>24477.97</v>
      </c>
      <c r="CO388" s="48">
        <v>26535.63</v>
      </c>
      <c r="CP388" s="48">
        <v>23717.69</v>
      </c>
      <c r="CQ388" s="48">
        <v>23717.69</v>
      </c>
      <c r="CR388" s="48">
        <v>23717.69</v>
      </c>
      <c r="CS388" s="48">
        <v>23717.69</v>
      </c>
      <c r="CT388" s="48">
        <v>25183.59</v>
      </c>
      <c r="CU388" s="48">
        <v>23717.69</v>
      </c>
      <c r="CV388" s="48">
        <v>23717.69</v>
      </c>
      <c r="CW388" s="48">
        <v>23717.69</v>
      </c>
      <c r="CX388" s="48">
        <v>23717.69</v>
      </c>
      <c r="CY388" s="48">
        <v>23717.69</v>
      </c>
      <c r="CZ388" s="48">
        <v>23717.69</v>
      </c>
      <c r="DA388" s="48">
        <v>23717.69</v>
      </c>
      <c r="DB388" s="48">
        <v>29831.29</v>
      </c>
      <c r="DC388" s="48">
        <v>32956.74</v>
      </c>
      <c r="DD388" s="48">
        <v>31446.14</v>
      </c>
      <c r="DE388" s="48">
        <f>VLOOKUP($C388,'[2]Analysis 1'!$C$5:$DG$1025,107,FALSE)</f>
        <v>31017.47</v>
      </c>
      <c r="DF388" s="48">
        <f>VLOOKUP($C388,'[2]Analysis 1'!$C$5:$DG$1025,108,FALSE)</f>
        <v>30085.98</v>
      </c>
      <c r="DG388" s="48">
        <f>VLOOKUP($C388,'[2]Analysis 1'!$C$5:$DG$1025,109,FALSE)</f>
        <v>30085.98</v>
      </c>
      <c r="DH388" s="369">
        <f t="shared" si="11"/>
        <v>327729.74</v>
      </c>
    </row>
    <row r="389" spans="1:112">
      <c r="A389" s="357" t="str">
        <f t="shared" si="12"/>
        <v>7500240</v>
      </c>
      <c r="B389" s="350" t="s">
        <v>2171</v>
      </c>
      <c r="C389" s="335" t="s">
        <v>1246</v>
      </c>
      <c r="D389" s="367">
        <v>0</v>
      </c>
      <c r="E389" s="367">
        <v>0</v>
      </c>
      <c r="F389" s="367">
        <v>0</v>
      </c>
      <c r="G389" s="367">
        <v>26</v>
      </c>
      <c r="H389" s="367">
        <v>34</v>
      </c>
      <c r="I389" s="367">
        <v>33</v>
      </c>
      <c r="J389" s="367">
        <v>29</v>
      </c>
      <c r="K389" s="367">
        <v>12</v>
      </c>
      <c r="L389" s="367">
        <v>0</v>
      </c>
      <c r="M389" s="367">
        <v>0</v>
      </c>
      <c r="N389" s="367">
        <v>0</v>
      </c>
      <c r="O389" s="368">
        <v>2</v>
      </c>
      <c r="P389" s="48">
        <v>39</v>
      </c>
      <c r="Q389" s="48">
        <v>85</v>
      </c>
      <c r="R389" s="48">
        <v>141</v>
      </c>
      <c r="S389" s="48">
        <v>135</v>
      </c>
      <c r="T389" s="48">
        <v>169</v>
      </c>
      <c r="U389" s="48">
        <v>192</v>
      </c>
      <c r="V389" s="48">
        <v>191</v>
      </c>
      <c r="W389" s="48">
        <v>203</v>
      </c>
      <c r="X389" s="48">
        <v>208</v>
      </c>
      <c r="Y389" s="48">
        <v>181</v>
      </c>
      <c r="Z389" s="48">
        <v>186</v>
      </c>
      <c r="AA389" s="48">
        <v>449</v>
      </c>
      <c r="AB389" s="48">
        <v>731</v>
      </c>
      <c r="AC389" s="48">
        <v>850</v>
      </c>
      <c r="AD389" s="48">
        <v>998</v>
      </c>
      <c r="AE389" s="48">
        <v>952</v>
      </c>
      <c r="AF389" s="48">
        <v>887</v>
      </c>
      <c r="AG389" s="48">
        <v>825</v>
      </c>
      <c r="AH389" s="48">
        <v>710</v>
      </c>
      <c r="AI389" s="48">
        <v>537</v>
      </c>
      <c r="AJ389" s="48">
        <v>380</v>
      </c>
      <c r="AK389" s="48">
        <v>246</v>
      </c>
      <c r="AL389" s="48">
        <v>121</v>
      </c>
      <c r="AM389" s="48">
        <v>25</v>
      </c>
      <c r="AN389" s="48">
        <v>178</v>
      </c>
      <c r="AO389" s="48">
        <v>607</v>
      </c>
      <c r="AP389" s="48">
        <v>966</v>
      </c>
      <c r="AQ389" s="48">
        <v>1317</v>
      </c>
      <c r="AR389" s="48">
        <v>1260</v>
      </c>
      <c r="AS389" s="48">
        <v>977</v>
      </c>
      <c r="AT389" s="48">
        <v>470</v>
      </c>
      <c r="AU389" s="48">
        <v>0</v>
      </c>
      <c r="AV389" s="48">
        <v>0</v>
      </c>
      <c r="AW389" s="48">
        <v>0</v>
      </c>
      <c r="AX389" s="48">
        <v>0</v>
      </c>
      <c r="AY389" s="48">
        <v>0</v>
      </c>
      <c r="AZ389" s="48">
        <v>0</v>
      </c>
      <c r="BA389" s="48">
        <v>0</v>
      </c>
      <c r="BB389" s="48">
        <v>0</v>
      </c>
      <c r="BC389" s="48">
        <v>0</v>
      </c>
      <c r="BD389" s="48">
        <v>0</v>
      </c>
      <c r="BE389" s="48">
        <v>0</v>
      </c>
      <c r="BF389" s="48">
        <v>0</v>
      </c>
      <c r="BG389" s="48">
        <v>0</v>
      </c>
      <c r="BH389" s="48">
        <v>0</v>
      </c>
      <c r="BI389" s="48">
        <v>0</v>
      </c>
      <c r="BJ389" s="48">
        <v>0</v>
      </c>
      <c r="BK389" s="48">
        <v>0</v>
      </c>
      <c r="BL389" s="48">
        <v>0</v>
      </c>
      <c r="BM389" s="48">
        <v>0</v>
      </c>
      <c r="BN389" s="48">
        <v>0</v>
      </c>
      <c r="BO389" s="48">
        <v>0</v>
      </c>
      <c r="BP389" s="48">
        <v>0</v>
      </c>
      <c r="BQ389" s="48">
        <v>0</v>
      </c>
      <c r="BR389" s="48">
        <v>0</v>
      </c>
      <c r="BS389" s="48">
        <v>0</v>
      </c>
      <c r="BT389" s="48">
        <v>0</v>
      </c>
      <c r="BU389" s="48">
        <v>0</v>
      </c>
      <c r="BV389" s="48">
        <v>0</v>
      </c>
      <c r="BW389" s="48">
        <v>0</v>
      </c>
      <c r="BX389" s="48">
        <v>0</v>
      </c>
      <c r="BY389" s="48">
        <v>0</v>
      </c>
      <c r="BZ389" s="48">
        <v>0</v>
      </c>
      <c r="CA389" s="48">
        <v>0</v>
      </c>
      <c r="CB389" s="48">
        <v>0</v>
      </c>
      <c r="CC389" s="48">
        <v>0</v>
      </c>
      <c r="CD389" s="48">
        <v>0</v>
      </c>
      <c r="CE389" s="48">
        <v>0</v>
      </c>
      <c r="CF389" s="48">
        <v>0</v>
      </c>
      <c r="CG389" s="48">
        <v>0</v>
      </c>
      <c r="CH389" s="48">
        <v>0</v>
      </c>
      <c r="CI389" s="48">
        <v>0</v>
      </c>
      <c r="CJ389" s="48">
        <v>0</v>
      </c>
      <c r="CK389" s="48">
        <v>0</v>
      </c>
      <c r="CL389" s="48">
        <v>0</v>
      </c>
      <c r="CM389" s="48">
        <v>0</v>
      </c>
      <c r="CN389" s="48">
        <v>0</v>
      </c>
      <c r="CO389" s="48">
        <v>0</v>
      </c>
      <c r="CP389" s="48">
        <v>0</v>
      </c>
      <c r="CQ389" s="48">
        <v>0</v>
      </c>
      <c r="CR389" s="48">
        <v>0</v>
      </c>
      <c r="CS389" s="48">
        <v>0</v>
      </c>
      <c r="CT389" s="48">
        <v>0</v>
      </c>
      <c r="CU389" s="48">
        <v>0</v>
      </c>
      <c r="CV389" s="48">
        <v>0</v>
      </c>
      <c r="CW389" s="48">
        <v>213</v>
      </c>
      <c r="CX389" s="48">
        <v>586</v>
      </c>
      <c r="CY389" s="48">
        <v>1115</v>
      </c>
      <c r="CZ389" s="48">
        <v>2257</v>
      </c>
      <c r="DA389" s="48">
        <v>4470</v>
      </c>
      <c r="DB389" s="48">
        <v>6063</v>
      </c>
      <c r="DC389" s="48">
        <v>5314</v>
      </c>
      <c r="DD389" s="48">
        <v>5129</v>
      </c>
      <c r="DE389" s="48">
        <f>VLOOKUP($C389,'[2]Analysis 1'!$C$5:$DG$1025,107,FALSE)</f>
        <v>4808</v>
      </c>
      <c r="DF389" s="48">
        <f>VLOOKUP($C389,'[2]Analysis 1'!$C$5:$DG$1025,108,FALSE)</f>
        <v>4677</v>
      </c>
      <c r="DG389" s="48">
        <f>VLOOKUP($C389,'[2]Analysis 1'!$C$5:$DG$1025,109,FALSE)</f>
        <v>5145</v>
      </c>
      <c r="DH389" s="369">
        <f t="shared" si="11"/>
        <v>39777</v>
      </c>
    </row>
    <row r="390" spans="1:112">
      <c r="A390" s="357" t="str">
        <f t="shared" si="12"/>
        <v>7500260</v>
      </c>
      <c r="B390" s="350" t="s">
        <v>2172</v>
      </c>
      <c r="C390" s="335" t="s">
        <v>1247</v>
      </c>
      <c r="D390" s="340">
        <v>0</v>
      </c>
      <c r="E390" s="340">
        <v>0</v>
      </c>
      <c r="F390" s="340">
        <v>0</v>
      </c>
      <c r="G390" s="340">
        <v>145</v>
      </c>
      <c r="H390" s="340">
        <v>142</v>
      </c>
      <c r="I390" s="340">
        <v>117</v>
      </c>
      <c r="J390" s="340">
        <v>206</v>
      </c>
      <c r="K390" s="340">
        <v>249</v>
      </c>
      <c r="L390" s="340">
        <v>246</v>
      </c>
      <c r="M390" s="340">
        <v>185</v>
      </c>
      <c r="N390" s="340">
        <v>-26</v>
      </c>
      <c r="O390" s="341">
        <v>-153</v>
      </c>
      <c r="P390" s="48">
        <v>0</v>
      </c>
      <c r="Q390" s="48">
        <v>0</v>
      </c>
      <c r="R390" s="48">
        <v>0</v>
      </c>
      <c r="S390" s="48">
        <v>39</v>
      </c>
      <c r="T390" s="48">
        <v>0</v>
      </c>
      <c r="U390" s="48">
        <v>7</v>
      </c>
      <c r="V390" s="48">
        <v>53</v>
      </c>
      <c r="W390" s="48">
        <v>32</v>
      </c>
      <c r="X390" s="48">
        <v>38</v>
      </c>
      <c r="Y390" s="48">
        <v>0</v>
      </c>
      <c r="Z390" s="48">
        <v>0</v>
      </c>
      <c r="AA390" s="48">
        <v>0</v>
      </c>
      <c r="AB390" s="48">
        <v>0</v>
      </c>
      <c r="AC390" s="48">
        <v>0</v>
      </c>
      <c r="AD390" s="48">
        <v>682</v>
      </c>
      <c r="AE390" s="48">
        <v>987</v>
      </c>
      <c r="AF390" s="48">
        <v>1333</v>
      </c>
      <c r="AG390" s="48">
        <v>1981</v>
      </c>
      <c r="AH390" s="48">
        <v>2510</v>
      </c>
      <c r="AI390" s="48">
        <v>2952</v>
      </c>
      <c r="AJ390" s="48">
        <v>3171</v>
      </c>
      <c r="AK390" s="48">
        <v>2765</v>
      </c>
      <c r="AL390" s="48">
        <v>1640</v>
      </c>
      <c r="AM390" s="48">
        <v>1208</v>
      </c>
      <c r="AN390" s="48">
        <v>1465</v>
      </c>
      <c r="AO390" s="48">
        <v>2428</v>
      </c>
      <c r="AP390" s="48">
        <v>2665</v>
      </c>
      <c r="AQ390" s="48">
        <v>2079</v>
      </c>
      <c r="AR390" s="48">
        <v>2454</v>
      </c>
      <c r="AS390" s="48">
        <v>2364</v>
      </c>
      <c r="AT390" s="48">
        <v>1592</v>
      </c>
      <c r="AU390" s="48">
        <v>489</v>
      </c>
      <c r="AV390" s="48">
        <v>396</v>
      </c>
      <c r="AW390" s="48">
        <v>0</v>
      </c>
      <c r="AX390" s="48">
        <v>0</v>
      </c>
      <c r="AY390" s="48">
        <v>0</v>
      </c>
      <c r="AZ390" s="48">
        <v>0</v>
      </c>
      <c r="BA390" s="48">
        <v>7008</v>
      </c>
      <c r="BB390" s="48">
        <v>10442</v>
      </c>
      <c r="BC390" s="48">
        <v>11887</v>
      </c>
      <c r="BD390" s="48">
        <v>14614</v>
      </c>
      <c r="BE390" s="48">
        <v>15470</v>
      </c>
      <c r="BF390" s="48">
        <v>16526</v>
      </c>
      <c r="BG390" s="48">
        <v>16307</v>
      </c>
      <c r="BH390" s="48">
        <v>17347</v>
      </c>
      <c r="BI390" s="48">
        <v>16180</v>
      </c>
      <c r="BJ390" s="48">
        <v>7595</v>
      </c>
      <c r="BK390" s="48">
        <v>0</v>
      </c>
      <c r="BL390" s="48">
        <v>0</v>
      </c>
      <c r="BM390" s="48">
        <v>2141</v>
      </c>
      <c r="BN390" s="48">
        <v>6687</v>
      </c>
      <c r="BO390" s="48">
        <v>10771</v>
      </c>
      <c r="BP390" s="48">
        <v>15937</v>
      </c>
      <c r="BQ390" s="48">
        <v>19071</v>
      </c>
      <c r="BR390" s="48">
        <v>19102</v>
      </c>
      <c r="BS390" s="48">
        <v>16727</v>
      </c>
      <c r="BT390" s="48">
        <v>15362</v>
      </c>
      <c r="BU390" s="48">
        <v>12311</v>
      </c>
      <c r="BV390" s="48">
        <v>7698</v>
      </c>
      <c r="BW390" s="48">
        <v>6973</v>
      </c>
      <c r="BX390" s="48">
        <v>10190</v>
      </c>
      <c r="BY390" s="48">
        <v>14048</v>
      </c>
      <c r="BZ390" s="48">
        <v>19934</v>
      </c>
      <c r="CA390" s="48">
        <v>12890</v>
      </c>
      <c r="CB390" s="48">
        <v>798</v>
      </c>
      <c r="CC390" s="48">
        <v>1089</v>
      </c>
      <c r="CD390" s="48">
        <v>1320</v>
      </c>
      <c r="CE390" s="48">
        <v>1275</v>
      </c>
      <c r="CF390" s="48">
        <v>881</v>
      </c>
      <c r="CG390" s="48">
        <v>579</v>
      </c>
      <c r="CH390" s="48">
        <v>442</v>
      </c>
      <c r="CI390" s="48">
        <v>228</v>
      </c>
      <c r="CJ390" s="48">
        <v>339</v>
      </c>
      <c r="CK390" s="48">
        <v>372</v>
      </c>
      <c r="CL390" s="48">
        <v>194</v>
      </c>
      <c r="CM390" s="48">
        <v>269</v>
      </c>
      <c r="CN390" s="48">
        <v>261</v>
      </c>
      <c r="CO390" s="48">
        <v>276</v>
      </c>
      <c r="CP390" s="48">
        <v>310</v>
      </c>
      <c r="CQ390" s="48">
        <v>248</v>
      </c>
      <c r="CR390" s="48">
        <v>201</v>
      </c>
      <c r="CS390" s="48">
        <v>0</v>
      </c>
      <c r="CT390" s="48">
        <v>0</v>
      </c>
      <c r="CU390" s="48">
        <v>0</v>
      </c>
      <c r="CV390" s="48">
        <v>0</v>
      </c>
      <c r="CW390" s="48">
        <v>0</v>
      </c>
      <c r="CX390" s="48">
        <v>0</v>
      </c>
      <c r="CY390" s="48">
        <v>0</v>
      </c>
      <c r="CZ390" s="48">
        <v>914</v>
      </c>
      <c r="DA390" s="48">
        <v>631</v>
      </c>
      <c r="DB390" s="48">
        <v>1830</v>
      </c>
      <c r="DC390" s="48">
        <v>6412</v>
      </c>
      <c r="DD390" s="48">
        <v>17668</v>
      </c>
      <c r="DE390" s="48">
        <f>VLOOKUP($C390,'[2]Analysis 1'!$C$5:$DG$1025,107,FALSE)</f>
        <v>32197</v>
      </c>
      <c r="DF390" s="48">
        <f>VLOOKUP($C390,'[2]Analysis 1'!$C$5:$DG$1025,108,FALSE)</f>
        <v>25709</v>
      </c>
      <c r="DG390" s="48">
        <f>VLOOKUP($C390,'[2]Analysis 1'!$C$5:$DG$1025,109,FALSE)</f>
        <v>2297</v>
      </c>
      <c r="DH390" s="369">
        <f t="shared" si="11"/>
        <v>87658</v>
      </c>
    </row>
    <row r="391" spans="1:112">
      <c r="A391" s="357" t="str">
        <f t="shared" si="12"/>
        <v>7500271</v>
      </c>
      <c r="B391" s="350" t="s">
        <v>2173</v>
      </c>
      <c r="C391" s="335" t="s">
        <v>1248</v>
      </c>
      <c r="D391" s="340">
        <v>6</v>
      </c>
      <c r="E391" s="340">
        <v>11</v>
      </c>
      <c r="F391" s="340">
        <v>16</v>
      </c>
      <c r="G391" s="340">
        <v>23</v>
      </c>
      <c r="H391" s="340">
        <v>20</v>
      </c>
      <c r="I391" s="340">
        <v>16</v>
      </c>
      <c r="J391" s="340">
        <v>19</v>
      </c>
      <c r="K391" s="340">
        <v>16</v>
      </c>
      <c r="L391" s="340">
        <v>13</v>
      </c>
      <c r="M391" s="340">
        <v>9</v>
      </c>
      <c r="N391" s="340">
        <v>6</v>
      </c>
      <c r="O391" s="341">
        <v>4</v>
      </c>
      <c r="P391" s="48">
        <v>11</v>
      </c>
      <c r="Q391" s="48">
        <v>26</v>
      </c>
      <c r="R391" s="48">
        <v>37</v>
      </c>
      <c r="S391" s="48">
        <v>32</v>
      </c>
      <c r="T391" s="48">
        <v>36</v>
      </c>
      <c r="U391" s="48">
        <v>37</v>
      </c>
      <c r="V391" s="48">
        <v>31</v>
      </c>
      <c r="W391" s="48">
        <v>27</v>
      </c>
      <c r="X391" s="48">
        <v>21</v>
      </c>
      <c r="Y391" s="48">
        <v>11</v>
      </c>
      <c r="Z391" s="48">
        <v>0</v>
      </c>
      <c r="AA391" s="48">
        <v>0</v>
      </c>
      <c r="AB391" s="48">
        <v>0</v>
      </c>
      <c r="AC391" s="48">
        <v>39</v>
      </c>
      <c r="AD391" s="48">
        <v>91</v>
      </c>
      <c r="AE391" s="48">
        <v>106</v>
      </c>
      <c r="AF391" s="48">
        <v>103</v>
      </c>
      <c r="AG391" s="48">
        <v>93</v>
      </c>
      <c r="AH391" s="48">
        <v>743</v>
      </c>
      <c r="AI391" s="48">
        <v>721</v>
      </c>
      <c r="AJ391" s="48">
        <v>716</v>
      </c>
      <c r="AK391" s="48">
        <v>710</v>
      </c>
      <c r="AL391" s="48">
        <v>653</v>
      </c>
      <c r="AM391" s="48">
        <v>1225</v>
      </c>
      <c r="AN391" s="48">
        <v>1024</v>
      </c>
      <c r="AO391" s="48">
        <v>959</v>
      </c>
      <c r="AP391" s="48">
        <v>1024</v>
      </c>
      <c r="AQ391" s="48">
        <v>1072</v>
      </c>
      <c r="AR391" s="48">
        <v>939</v>
      </c>
      <c r="AS391" s="48">
        <v>865</v>
      </c>
      <c r="AT391" s="48">
        <v>681</v>
      </c>
      <c r="AU391" s="48">
        <v>396</v>
      </c>
      <c r="AV391" s="48">
        <v>96</v>
      </c>
      <c r="AW391" s="48">
        <v>0</v>
      </c>
      <c r="AX391" s="48">
        <v>-1</v>
      </c>
      <c r="AY391" s="48">
        <v>-879</v>
      </c>
      <c r="AZ391" s="48">
        <v>0</v>
      </c>
      <c r="BA391" s="48">
        <v>0</v>
      </c>
      <c r="BB391" s="48">
        <v>228</v>
      </c>
      <c r="BC391" s="48">
        <v>590</v>
      </c>
      <c r="BD391" s="48">
        <v>1916</v>
      </c>
      <c r="BE391" s="48">
        <v>902</v>
      </c>
      <c r="BF391" s="48">
        <v>1239</v>
      </c>
      <c r="BG391" s="48">
        <v>1048</v>
      </c>
      <c r="BH391" s="48">
        <v>887</v>
      </c>
      <c r="BI391" s="48">
        <v>635</v>
      </c>
      <c r="BJ391" s="48">
        <v>285</v>
      </c>
      <c r="BK391" s="48">
        <v>297</v>
      </c>
      <c r="BL391" s="48">
        <v>454</v>
      </c>
      <c r="BM391" s="48">
        <v>-285</v>
      </c>
      <c r="BN391" s="48">
        <v>935</v>
      </c>
      <c r="BO391" s="48">
        <v>806</v>
      </c>
      <c r="BP391" s="48">
        <v>435</v>
      </c>
      <c r="BQ391" s="48">
        <v>1</v>
      </c>
      <c r="BR391" s="48">
        <v>0</v>
      </c>
      <c r="BS391" s="48">
        <v>0</v>
      </c>
      <c r="BT391" s="48">
        <v>0</v>
      </c>
      <c r="BU391" s="48">
        <v>155</v>
      </c>
      <c r="BV391" s="48">
        <v>0</v>
      </c>
      <c r="BW391" s="48">
        <v>-634</v>
      </c>
      <c r="BX391" s="48">
        <v>0</v>
      </c>
      <c r="BY391" s="48">
        <v>0</v>
      </c>
      <c r="BZ391" s="48">
        <v>0</v>
      </c>
      <c r="CA391" s="48">
        <v>0</v>
      </c>
      <c r="CB391" s="48">
        <v>0</v>
      </c>
      <c r="CC391" s="48">
        <v>0</v>
      </c>
      <c r="CD391" s="48">
        <v>0</v>
      </c>
      <c r="CE391" s="48">
        <v>0</v>
      </c>
      <c r="CF391" s="48">
        <v>0</v>
      </c>
      <c r="CG391" s="48">
        <v>0</v>
      </c>
      <c r="CH391" s="48">
        <v>0</v>
      </c>
      <c r="CI391" s="48">
        <v>0</v>
      </c>
      <c r="CJ391" s="48">
        <v>0</v>
      </c>
      <c r="CK391" s="48">
        <v>0</v>
      </c>
      <c r="CL391" s="48">
        <v>0</v>
      </c>
      <c r="CM391" s="48">
        <v>0</v>
      </c>
      <c r="CN391" s="48">
        <v>0</v>
      </c>
      <c r="CO391" s="48">
        <v>0</v>
      </c>
      <c r="CP391" s="48">
        <v>0</v>
      </c>
      <c r="CQ391" s="48">
        <v>0</v>
      </c>
      <c r="CR391" s="48">
        <v>0</v>
      </c>
      <c r="CS391" s="48">
        <v>0</v>
      </c>
      <c r="CT391" s="48">
        <v>0</v>
      </c>
      <c r="CU391" s="48">
        <v>0</v>
      </c>
      <c r="CV391" s="48">
        <v>0</v>
      </c>
      <c r="CW391" s="48">
        <v>0</v>
      </c>
      <c r="CX391" s="48">
        <v>0</v>
      </c>
      <c r="CY391" s="48">
        <v>13</v>
      </c>
      <c r="CZ391" s="48">
        <v>46</v>
      </c>
      <c r="DA391" s="48">
        <v>220</v>
      </c>
      <c r="DB391" s="48">
        <v>438</v>
      </c>
      <c r="DC391" s="48">
        <v>282</v>
      </c>
      <c r="DD391" s="48">
        <v>0</v>
      </c>
      <c r="DE391" s="48">
        <f>VLOOKUP($C391,'[2]Analysis 1'!$C$5:$DG$1025,107,FALSE)</f>
        <v>0</v>
      </c>
      <c r="DF391" s="48">
        <f>VLOOKUP($C391,'[2]Analysis 1'!$C$5:$DG$1025,108,FALSE)</f>
        <v>0</v>
      </c>
      <c r="DG391" s="48">
        <f>VLOOKUP($C391,'[2]Analysis 1'!$C$5:$DG$1025,109,FALSE)</f>
        <v>0</v>
      </c>
      <c r="DH391" s="369">
        <f t="shared" si="11"/>
        <v>999</v>
      </c>
    </row>
    <row r="392" spans="1:112">
      <c r="A392" s="357" t="str">
        <f t="shared" si="12"/>
        <v>7500700</v>
      </c>
      <c r="B392" s="350" t="s">
        <v>1356</v>
      </c>
      <c r="C392" s="335" t="s">
        <v>1249</v>
      </c>
      <c r="D392" s="367">
        <v>8.7899999999999991</v>
      </c>
      <c r="E392" s="367">
        <v>0</v>
      </c>
      <c r="F392" s="367">
        <v>0</v>
      </c>
      <c r="G392" s="367">
        <v>0</v>
      </c>
      <c r="H392" s="367">
        <v>0</v>
      </c>
      <c r="I392" s="367">
        <v>0</v>
      </c>
      <c r="J392" s="367">
        <v>0</v>
      </c>
      <c r="K392" s="367">
        <v>21.92</v>
      </c>
      <c r="L392" s="367">
        <v>471.22</v>
      </c>
      <c r="M392" s="367">
        <v>359.57</v>
      </c>
      <c r="N392" s="367">
        <v>0</v>
      </c>
      <c r="O392" s="368">
        <v>255.48</v>
      </c>
      <c r="P392" s="48">
        <v>0</v>
      </c>
      <c r="Q392" s="48">
        <v>0</v>
      </c>
      <c r="R392" s="48">
        <v>0</v>
      </c>
      <c r="S392" s="48">
        <v>0</v>
      </c>
      <c r="T392" s="48">
        <v>0</v>
      </c>
      <c r="U392" s="48">
        <v>0</v>
      </c>
      <c r="V392" s="48">
        <v>0</v>
      </c>
      <c r="W392" s="48">
        <v>0</v>
      </c>
      <c r="X392" s="48">
        <v>0</v>
      </c>
      <c r="Y392" s="48">
        <v>0</v>
      </c>
      <c r="Z392" s="48">
        <v>0</v>
      </c>
      <c r="AA392" s="48">
        <v>0</v>
      </c>
      <c r="AB392" s="48">
        <v>0</v>
      </c>
      <c r="AC392" s="48">
        <v>0</v>
      </c>
      <c r="AD392" s="48">
        <v>0</v>
      </c>
      <c r="AE392" s="48">
        <v>0</v>
      </c>
      <c r="AF392" s="48">
        <v>0</v>
      </c>
      <c r="AG392" s="48">
        <v>0</v>
      </c>
      <c r="AH392" s="48">
        <v>0</v>
      </c>
      <c r="AI392" s="48">
        <v>0</v>
      </c>
      <c r="AJ392" s="48">
        <v>0</v>
      </c>
      <c r="AK392" s="48">
        <v>4.37</v>
      </c>
      <c r="AL392" s="48">
        <v>0</v>
      </c>
      <c r="AM392" s="48">
        <v>0</v>
      </c>
      <c r="AN392" s="48">
        <v>0</v>
      </c>
      <c r="AO392" s="48">
        <v>0</v>
      </c>
      <c r="AP392" s="48">
        <v>0</v>
      </c>
      <c r="AQ392" s="48">
        <v>0</v>
      </c>
      <c r="AR392" s="48">
        <v>0</v>
      </c>
      <c r="AS392" s="48">
        <v>0</v>
      </c>
      <c r="AT392" s="48">
        <v>0</v>
      </c>
      <c r="AU392" s="48">
        <v>0</v>
      </c>
      <c r="AV392" s="48">
        <v>0</v>
      </c>
      <c r="AW392" s="48">
        <v>0</v>
      </c>
      <c r="AX392" s="48">
        <v>11265.77</v>
      </c>
      <c r="AY392" s="48">
        <v>17164.080000000002</v>
      </c>
      <c r="AZ392" s="48">
        <v>0</v>
      </c>
      <c r="BA392" s="48">
        <v>0</v>
      </c>
      <c r="BB392" s="48">
        <v>0</v>
      </c>
      <c r="BC392" s="48">
        <v>0</v>
      </c>
      <c r="BD392" s="48">
        <v>0</v>
      </c>
      <c r="BE392" s="48">
        <v>0</v>
      </c>
      <c r="BF392" s="48">
        <v>0</v>
      </c>
      <c r="BG392" s="48">
        <v>0</v>
      </c>
      <c r="BH392" s="48">
        <v>0</v>
      </c>
      <c r="BI392" s="48">
        <v>10930.39</v>
      </c>
      <c r="BJ392" s="48">
        <v>9713.34</v>
      </c>
      <c r="BK392" s="48">
        <v>0</v>
      </c>
      <c r="BL392" s="48">
        <v>0</v>
      </c>
      <c r="BM392" s="48">
        <v>0</v>
      </c>
      <c r="BN392" s="48">
        <v>0</v>
      </c>
      <c r="BO392" s="48">
        <v>0</v>
      </c>
      <c r="BP392" s="48">
        <v>0</v>
      </c>
      <c r="BQ392" s="48">
        <v>0</v>
      </c>
      <c r="BR392" s="48">
        <v>0</v>
      </c>
      <c r="BS392" s="48">
        <v>0</v>
      </c>
      <c r="BT392" s="48">
        <v>0</v>
      </c>
      <c r="BU392" s="48">
        <v>0</v>
      </c>
      <c r="BV392" s="48">
        <v>0</v>
      </c>
      <c r="BW392" s="48">
        <v>0</v>
      </c>
      <c r="BX392" s="48">
        <v>0</v>
      </c>
      <c r="BY392" s="48">
        <v>0</v>
      </c>
      <c r="BZ392" s="48">
        <v>219.4</v>
      </c>
      <c r="CA392" s="48">
        <v>0</v>
      </c>
      <c r="CB392" s="48">
        <v>0</v>
      </c>
      <c r="CC392" s="48">
        <v>0</v>
      </c>
      <c r="CD392" s="48">
        <v>0</v>
      </c>
      <c r="CE392" s="48">
        <v>0</v>
      </c>
      <c r="CF392" s="48">
        <v>0</v>
      </c>
      <c r="CG392" s="48">
        <v>0</v>
      </c>
      <c r="CH392" s="48">
        <v>0</v>
      </c>
      <c r="CI392" s="48">
        <v>0</v>
      </c>
      <c r="CJ392" s="48">
        <v>0</v>
      </c>
      <c r="CK392" s="48">
        <v>0</v>
      </c>
      <c r="CL392" s="48">
        <v>278.17</v>
      </c>
      <c r="CM392" s="48">
        <v>993.1</v>
      </c>
      <c r="CN392" s="48">
        <v>0</v>
      </c>
      <c r="CO392" s="48">
        <v>0</v>
      </c>
      <c r="CP392" s="48">
        <v>0</v>
      </c>
      <c r="CQ392" s="48">
        <v>0</v>
      </c>
      <c r="CR392" s="48">
        <v>0</v>
      </c>
      <c r="CS392" s="48">
        <v>0</v>
      </c>
      <c r="CT392" s="48">
        <v>0</v>
      </c>
      <c r="CU392" s="48">
        <v>0</v>
      </c>
      <c r="CV392" s="48">
        <v>0</v>
      </c>
      <c r="CW392" s="48">
        <v>0</v>
      </c>
      <c r="CX392" s="48">
        <v>0</v>
      </c>
      <c r="CY392" s="48">
        <v>0</v>
      </c>
      <c r="CZ392" s="48">
        <v>0</v>
      </c>
      <c r="DA392" s="48">
        <v>0</v>
      </c>
      <c r="DB392" s="48">
        <v>17810.62</v>
      </c>
      <c r="DC392" s="48">
        <v>65441.59</v>
      </c>
      <c r="DD392" s="48">
        <v>30893.3</v>
      </c>
      <c r="DE392" s="48">
        <f>VLOOKUP($C392,'[2]Analysis 1'!$C$5:$DG$1025,107,FALSE)</f>
        <v>0</v>
      </c>
      <c r="DF392" s="48">
        <f>VLOOKUP($C392,'[2]Analysis 1'!$C$5:$DG$1025,108,FALSE)</f>
        <v>0</v>
      </c>
      <c r="DG392" s="48">
        <f>VLOOKUP($C392,'[2]Analysis 1'!$C$5:$DG$1025,109,FALSE)</f>
        <v>0</v>
      </c>
      <c r="DH392" s="369">
        <f t="shared" ref="DH392:DH455" si="13">SUM(CV392:DG392)</f>
        <v>114145.51</v>
      </c>
    </row>
    <row r="393" spans="1:112">
      <c r="A393" s="357" t="str">
        <f t="shared" si="12"/>
        <v>7500800</v>
      </c>
      <c r="B393" s="350" t="s">
        <v>2174</v>
      </c>
      <c r="C393" s="335" t="s">
        <v>1250</v>
      </c>
      <c r="D393" s="367">
        <v>0</v>
      </c>
      <c r="E393" s="367">
        <v>137.62</v>
      </c>
      <c r="F393" s="367">
        <v>0</v>
      </c>
      <c r="G393" s="367">
        <v>0</v>
      </c>
      <c r="H393" s="367">
        <v>285.36</v>
      </c>
      <c r="I393" s="367">
        <v>0</v>
      </c>
      <c r="J393" s="367">
        <v>0</v>
      </c>
      <c r="K393" s="367">
        <v>0</v>
      </c>
      <c r="L393" s="367">
        <v>0</v>
      </c>
      <c r="M393" s="367">
        <v>0</v>
      </c>
      <c r="N393" s="367">
        <v>0</v>
      </c>
      <c r="O393" s="368">
        <v>0</v>
      </c>
      <c r="P393" s="48">
        <v>461.02</v>
      </c>
      <c r="Q393" s="48">
        <v>87.8</v>
      </c>
      <c r="R393" s="48">
        <v>505.88</v>
      </c>
      <c r="S393" s="48">
        <v>0</v>
      </c>
      <c r="T393" s="48">
        <v>0</v>
      </c>
      <c r="U393" s="48">
        <v>0</v>
      </c>
      <c r="V393" s="48">
        <v>0</v>
      </c>
      <c r="W393" s="48">
        <v>0</v>
      </c>
      <c r="X393" s="48">
        <v>0</v>
      </c>
      <c r="Y393" s="48">
        <v>0</v>
      </c>
      <c r="Z393" s="48">
        <v>0</v>
      </c>
      <c r="AA393" s="48">
        <v>0</v>
      </c>
      <c r="AB393" s="48">
        <v>0</v>
      </c>
      <c r="AC393" s="48">
        <v>0</v>
      </c>
      <c r="AD393" s="48">
        <v>0</v>
      </c>
      <c r="AE393" s="48">
        <v>0</v>
      </c>
      <c r="AF393" s="48">
        <v>0</v>
      </c>
      <c r="AG393" s="48">
        <v>0</v>
      </c>
      <c r="AH393" s="48">
        <v>0</v>
      </c>
      <c r="AI393" s="48">
        <v>0</v>
      </c>
      <c r="AJ393" s="48">
        <v>0</v>
      </c>
      <c r="AK393" s="48">
        <v>0</v>
      </c>
      <c r="AL393" s="48">
        <v>0</v>
      </c>
      <c r="AM393" s="48">
        <v>0</v>
      </c>
      <c r="AN393" s="48">
        <v>0</v>
      </c>
      <c r="AO393" s="48">
        <v>0</v>
      </c>
      <c r="AP393" s="48">
        <v>0</v>
      </c>
      <c r="AQ393" s="48">
        <v>0</v>
      </c>
      <c r="AR393" s="48">
        <v>0</v>
      </c>
      <c r="AS393" s="48">
        <v>0</v>
      </c>
      <c r="AT393" s="48">
        <v>0</v>
      </c>
      <c r="AU393" s="48">
        <v>0</v>
      </c>
      <c r="AV393" s="48">
        <v>0</v>
      </c>
      <c r="AW393" s="48">
        <v>0</v>
      </c>
      <c r="AX393" s="48">
        <v>0</v>
      </c>
      <c r="AY393" s="48">
        <v>7988.7</v>
      </c>
      <c r="AZ393" s="48">
        <v>0</v>
      </c>
      <c r="BA393" s="48">
        <v>0</v>
      </c>
      <c r="BB393" s="48">
        <v>0</v>
      </c>
      <c r="BC393" s="48">
        <v>0</v>
      </c>
      <c r="BD393" s="48">
        <v>0</v>
      </c>
      <c r="BE393" s="48">
        <v>0</v>
      </c>
      <c r="BF393" s="48">
        <v>0</v>
      </c>
      <c r="BG393" s="48">
        <v>74.58</v>
      </c>
      <c r="BH393" s="48">
        <v>0</v>
      </c>
      <c r="BI393" s="48">
        <v>0</v>
      </c>
      <c r="BJ393" s="48">
        <v>0</v>
      </c>
      <c r="BK393" s="48">
        <v>0</v>
      </c>
      <c r="BL393" s="48">
        <v>0</v>
      </c>
      <c r="BM393" s="48">
        <v>0</v>
      </c>
      <c r="BN393" s="48">
        <v>0</v>
      </c>
      <c r="BO393" s="48">
        <v>0</v>
      </c>
      <c r="BP393" s="48">
        <v>0</v>
      </c>
      <c r="BQ393" s="48">
        <v>0</v>
      </c>
      <c r="BR393" s="48">
        <v>0</v>
      </c>
      <c r="BS393" s="48">
        <v>0</v>
      </c>
      <c r="BT393" s="48">
        <v>0</v>
      </c>
      <c r="BU393" s="48">
        <v>0</v>
      </c>
      <c r="BV393" s="48">
        <v>0</v>
      </c>
      <c r="BW393" s="48">
        <v>0</v>
      </c>
      <c r="BX393" s="48">
        <v>0</v>
      </c>
      <c r="BY393" s="48">
        <v>0</v>
      </c>
      <c r="BZ393" s="48">
        <v>0</v>
      </c>
      <c r="CA393" s="48">
        <v>0</v>
      </c>
      <c r="CB393" s="48">
        <v>0</v>
      </c>
      <c r="CC393" s="48">
        <v>0</v>
      </c>
      <c r="CD393" s="48">
        <v>0</v>
      </c>
      <c r="CE393" s="48">
        <v>0</v>
      </c>
      <c r="CF393" s="48">
        <v>0</v>
      </c>
      <c r="CG393" s="48">
        <v>0</v>
      </c>
      <c r="CH393" s="48">
        <v>0</v>
      </c>
      <c r="CI393" s="48">
        <v>0</v>
      </c>
      <c r="CJ393" s="48">
        <v>0</v>
      </c>
      <c r="CK393" s="48">
        <v>0</v>
      </c>
      <c r="CL393" s="48">
        <v>0</v>
      </c>
      <c r="CM393" s="48">
        <v>0</v>
      </c>
      <c r="CN393" s="48">
        <v>0</v>
      </c>
      <c r="CO393" s="48">
        <v>0</v>
      </c>
      <c r="CP393" s="48">
        <v>0</v>
      </c>
      <c r="CQ393" s="48">
        <v>0</v>
      </c>
      <c r="CR393" s="48">
        <v>0</v>
      </c>
      <c r="CS393" s="48">
        <v>0</v>
      </c>
      <c r="CT393" s="48">
        <v>0</v>
      </c>
      <c r="CU393" s="48">
        <v>0</v>
      </c>
      <c r="CV393" s="48">
        <v>0</v>
      </c>
      <c r="CW393" s="48">
        <v>0</v>
      </c>
      <c r="CX393" s="48">
        <v>0</v>
      </c>
      <c r="CY393" s="48">
        <v>0</v>
      </c>
      <c r="CZ393" s="48">
        <v>0</v>
      </c>
      <c r="DA393" s="48">
        <v>0</v>
      </c>
      <c r="DB393" s="48">
        <v>0</v>
      </c>
      <c r="DC393" s="48">
        <v>0</v>
      </c>
      <c r="DD393" s="48">
        <v>0</v>
      </c>
      <c r="DE393" s="48">
        <f>VLOOKUP($C393,'[2]Analysis 1'!$C$5:$DG$1025,107,FALSE)</f>
        <v>0</v>
      </c>
      <c r="DF393" s="48">
        <f>VLOOKUP($C393,'[2]Analysis 1'!$C$5:$DG$1025,108,FALSE)</f>
        <v>0</v>
      </c>
      <c r="DG393" s="48">
        <f>VLOOKUP($C393,'[2]Analysis 1'!$C$5:$DG$1025,109,FALSE)</f>
        <v>0</v>
      </c>
      <c r="DH393" s="369">
        <f t="shared" si="13"/>
        <v>0</v>
      </c>
    </row>
    <row r="394" spans="1:112">
      <c r="A394" s="357" t="str">
        <f>+B394</f>
        <v>7509000</v>
      </c>
      <c r="B394" s="350" t="s">
        <v>2381</v>
      </c>
      <c r="C394" s="335" t="s">
        <v>2382</v>
      </c>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c r="BB394" s="48"/>
      <c r="BC394" s="48"/>
      <c r="BD394" s="48"/>
      <c r="BE394" s="48"/>
      <c r="BF394" s="48"/>
      <c r="BG394" s="48"/>
      <c r="BH394" s="48"/>
      <c r="BI394" s="48"/>
      <c r="BJ394" s="48"/>
      <c r="BK394" s="48"/>
      <c r="BL394" s="48"/>
      <c r="BM394" s="48"/>
      <c r="BN394" s="48"/>
      <c r="BO394" s="48"/>
      <c r="BP394" s="48"/>
      <c r="BQ394" s="48"/>
      <c r="BR394" s="48"/>
      <c r="BS394" s="48"/>
      <c r="BT394" s="48"/>
      <c r="BU394" s="48">
        <v>0</v>
      </c>
      <c r="BV394" s="48">
        <v>0</v>
      </c>
      <c r="BW394" s="48">
        <v>-151005.57</v>
      </c>
      <c r="BX394" s="48">
        <v>-41123.9</v>
      </c>
      <c r="BY394" s="48">
        <v>-51382.78</v>
      </c>
      <c r="BZ394" s="48">
        <v>-60040.59</v>
      </c>
      <c r="CA394" s="48">
        <v>-68313.5</v>
      </c>
      <c r="CB394" s="48">
        <v>-82831.14</v>
      </c>
      <c r="CC394" s="48">
        <v>-94708.89</v>
      </c>
      <c r="CD394" s="48">
        <v>-101897.5</v>
      </c>
      <c r="CE394" s="48">
        <v>-113702.74</v>
      </c>
      <c r="CF394" s="48">
        <v>-127173</v>
      </c>
      <c r="CG394" s="48">
        <v>-100603.36</v>
      </c>
      <c r="CH394" s="48">
        <v>-74277.42</v>
      </c>
      <c r="CI394" s="48">
        <v>-85997.18</v>
      </c>
      <c r="CJ394" s="48">
        <v>-97828.96</v>
      </c>
      <c r="CK394" s="48">
        <v>-118962.67</v>
      </c>
      <c r="CL394" s="48">
        <v>-125175.22</v>
      </c>
      <c r="CM394" s="48">
        <v>-101772.96</v>
      </c>
      <c r="CN394" s="48">
        <v>-70765.289999999994</v>
      </c>
      <c r="CO394" s="48">
        <v>-73446.960000000006</v>
      </c>
      <c r="CP394" s="48">
        <v>-79548.13</v>
      </c>
      <c r="CQ394" s="48">
        <v>-89530.79</v>
      </c>
      <c r="CR394" s="48">
        <v>-98143.71</v>
      </c>
      <c r="CS394" s="48">
        <v>-105329.65</v>
      </c>
      <c r="CT394" s="48">
        <v>-37935.15</v>
      </c>
      <c r="CU394" s="48">
        <v>-52206.77</v>
      </c>
      <c r="CV394" s="48">
        <v>-57599.07</v>
      </c>
      <c r="CW394" s="48">
        <v>-62866.879999999997</v>
      </c>
      <c r="CX394" s="48">
        <v>-68331.64</v>
      </c>
      <c r="CY394" s="48">
        <v>-75234.820000000007</v>
      </c>
      <c r="CZ394" s="48">
        <v>-83191.78</v>
      </c>
      <c r="DA394" s="48">
        <v>-92933.84</v>
      </c>
      <c r="DB394" s="48">
        <v>-103760.02</v>
      </c>
      <c r="DC394" s="48">
        <v>-111463.17</v>
      </c>
      <c r="DD394" s="48">
        <v>-118085.17</v>
      </c>
      <c r="DE394" s="48">
        <f>VLOOKUP($C394,'[2]Analysis 1'!$C$5:$DG$1025,107,FALSE)</f>
        <v>-53459.64</v>
      </c>
      <c r="DF394" s="48">
        <f>VLOOKUP($C394,'[2]Analysis 1'!$C$5:$DG$1025,108,FALSE)</f>
        <v>-78253.39</v>
      </c>
      <c r="DG394" s="48">
        <f>VLOOKUP($C394,'[2]Analysis 1'!$C$5:$DG$1025,109,FALSE)</f>
        <v>-84749.19</v>
      </c>
      <c r="DH394" s="369">
        <f t="shared" si="13"/>
        <v>-989928.6100000001</v>
      </c>
    </row>
    <row r="395" spans="1:112">
      <c r="A395" s="357" t="str">
        <f t="shared" si="12"/>
        <v>8000300</v>
      </c>
      <c r="B395" s="350" t="s">
        <v>2175</v>
      </c>
      <c r="C395" s="335" t="s">
        <v>1251</v>
      </c>
      <c r="D395" s="367">
        <v>10122.36</v>
      </c>
      <c r="E395" s="367">
        <v>25294.86</v>
      </c>
      <c r="F395" s="367">
        <v>-3700.35</v>
      </c>
      <c r="G395" s="367">
        <v>59824.84</v>
      </c>
      <c r="H395" s="367">
        <v>-75602.44</v>
      </c>
      <c r="I395" s="367">
        <v>5163.3</v>
      </c>
      <c r="J395" s="367">
        <v>-25949.67</v>
      </c>
      <c r="K395" s="367">
        <v>-176.25</v>
      </c>
      <c r="L395" s="367">
        <v>10965.6</v>
      </c>
      <c r="M395" s="367">
        <v>3161.79</v>
      </c>
      <c r="N395" s="367">
        <v>-1615.38</v>
      </c>
      <c r="O395" s="368">
        <v>-63004.54</v>
      </c>
      <c r="P395" s="48">
        <v>5381.85</v>
      </c>
      <c r="Q395" s="48">
        <v>-3546.26</v>
      </c>
      <c r="R395" s="48">
        <v>-16936.259999999998</v>
      </c>
      <c r="S395" s="48">
        <v>-14255.84</v>
      </c>
      <c r="T395" s="48">
        <v>8603.56</v>
      </c>
      <c r="U395" s="48">
        <v>54731.41</v>
      </c>
      <c r="V395" s="48">
        <v>-5930.27</v>
      </c>
      <c r="W395" s="48">
        <v>588.51</v>
      </c>
      <c r="X395" s="48">
        <v>-47242.42</v>
      </c>
      <c r="Y395" s="48">
        <v>-1020.55</v>
      </c>
      <c r="Z395" s="48">
        <v>1781.75</v>
      </c>
      <c r="AA395" s="48">
        <v>172124.63</v>
      </c>
      <c r="AB395" s="48">
        <v>-3781.53</v>
      </c>
      <c r="AC395" s="48">
        <v>15347.9</v>
      </c>
      <c r="AD395" s="48">
        <v>-8510.25</v>
      </c>
      <c r="AE395" s="48">
        <v>3723.48</v>
      </c>
      <c r="AF395" s="48">
        <v>3858.13</v>
      </c>
      <c r="AG395" s="48">
        <v>-12811.93</v>
      </c>
      <c r="AH395" s="48">
        <v>71554.399999999994</v>
      </c>
      <c r="AI395" s="48">
        <v>135643.66</v>
      </c>
      <c r="AJ395" s="48">
        <v>251997.05</v>
      </c>
      <c r="AK395" s="48">
        <v>299178.48</v>
      </c>
      <c r="AL395" s="48">
        <v>62872.31</v>
      </c>
      <c r="AM395" s="48">
        <v>-556784.52</v>
      </c>
      <c r="AN395" s="48">
        <v>92848.33</v>
      </c>
      <c r="AO395" s="48">
        <v>66780.37</v>
      </c>
      <c r="AP395" s="48">
        <v>-71138.710000000006</v>
      </c>
      <c r="AQ395" s="48">
        <v>61139.63</v>
      </c>
      <c r="AR395" s="48">
        <v>59751.73</v>
      </c>
      <c r="AS395" s="48">
        <v>-169119.88</v>
      </c>
      <c r="AT395" s="48">
        <v>49796.88</v>
      </c>
      <c r="AU395" s="48">
        <v>53389.22</v>
      </c>
      <c r="AV395" s="48">
        <v>-136021.54</v>
      </c>
      <c r="AW395" s="48">
        <v>55034</v>
      </c>
      <c r="AX395" s="48">
        <v>55756.78</v>
      </c>
      <c r="AY395" s="48">
        <v>-113989.37</v>
      </c>
      <c r="AZ395" s="48">
        <v>36835.35</v>
      </c>
      <c r="BA395" s="48">
        <v>37551.25</v>
      </c>
      <c r="BB395" s="48">
        <v>-57030.31</v>
      </c>
      <c r="BC395" s="48">
        <v>20225.560000000001</v>
      </c>
      <c r="BD395" s="48">
        <v>31519.63</v>
      </c>
      <c r="BE395" s="48">
        <v>-64769.19</v>
      </c>
      <c r="BF395" s="48">
        <v>35411.68</v>
      </c>
      <c r="BG395" s="48">
        <v>32253.11</v>
      </c>
      <c r="BH395" s="48">
        <v>-76720.649999999994</v>
      </c>
      <c r="BI395" s="48">
        <v>24561.97</v>
      </c>
      <c r="BJ395" s="48">
        <v>25472.53</v>
      </c>
      <c r="BK395" s="48">
        <v>-106607.26</v>
      </c>
      <c r="BL395" s="48">
        <v>31834.66</v>
      </c>
      <c r="BM395" s="48">
        <v>34047.11</v>
      </c>
      <c r="BN395" s="48">
        <v>-29119.27</v>
      </c>
      <c r="BO395" s="48">
        <v>35700.839999999997</v>
      </c>
      <c r="BP395" s="48">
        <v>30783.18</v>
      </c>
      <c r="BQ395" s="48">
        <v>-65700.22</v>
      </c>
      <c r="BR395" s="48">
        <v>36316.379999999997</v>
      </c>
      <c r="BS395" s="48">
        <v>60936.21</v>
      </c>
      <c r="BT395" s="48">
        <v>-64190.71</v>
      </c>
      <c r="BU395" s="48">
        <v>48994.2</v>
      </c>
      <c r="BV395" s="48">
        <v>46673.56</v>
      </c>
      <c r="BW395" s="48">
        <v>-105699.92</v>
      </c>
      <c r="BX395" s="48">
        <v>61284.160000000003</v>
      </c>
      <c r="BY395" s="48">
        <v>55255.78</v>
      </c>
      <c r="BZ395" s="48">
        <v>-68433.66</v>
      </c>
      <c r="CA395" s="48">
        <v>65775.91</v>
      </c>
      <c r="CB395" s="48">
        <v>71264.73</v>
      </c>
      <c r="CC395" s="48">
        <v>77081.289999999994</v>
      </c>
      <c r="CD395" s="48">
        <v>66153.63</v>
      </c>
      <c r="CE395" s="48">
        <v>71392.66</v>
      </c>
      <c r="CF395" s="48">
        <v>-259505.43</v>
      </c>
      <c r="CG395" s="48">
        <v>55129.61</v>
      </c>
      <c r="CH395" s="48">
        <v>41684.720000000001</v>
      </c>
      <c r="CI395" s="48">
        <v>-335893.09</v>
      </c>
      <c r="CJ395" s="48">
        <v>60084.54</v>
      </c>
      <c r="CK395" s="48">
        <v>64674.45</v>
      </c>
      <c r="CL395" s="48">
        <v>-69800.52</v>
      </c>
      <c r="CM395" s="48">
        <v>61763.78</v>
      </c>
      <c r="CN395" s="48">
        <v>42420.41</v>
      </c>
      <c r="CO395" s="48">
        <v>-84066.36</v>
      </c>
      <c r="CP395" s="48">
        <v>47131.27</v>
      </c>
      <c r="CQ395" s="48">
        <v>51985.35</v>
      </c>
      <c r="CR395" s="48">
        <v>-68204.160000000003</v>
      </c>
      <c r="CS395" s="48">
        <v>61934.62</v>
      </c>
      <c r="CT395" s="48">
        <v>20440.650000000001</v>
      </c>
      <c r="CU395" s="48">
        <v>-83078.460000000006</v>
      </c>
      <c r="CV395" s="48">
        <v>24109.95</v>
      </c>
      <c r="CW395" s="48">
        <v>38168.89</v>
      </c>
      <c r="CX395" s="48">
        <v>-7365.18</v>
      </c>
      <c r="CY395" s="48">
        <v>34245.730000000003</v>
      </c>
      <c r="CZ395" s="48">
        <v>47866.65</v>
      </c>
      <c r="DA395" s="48">
        <v>38030.76</v>
      </c>
      <c r="DB395" s="48">
        <v>66225.08</v>
      </c>
      <c r="DC395" s="48">
        <v>80586.92</v>
      </c>
      <c r="DD395" s="48">
        <v>86886.73</v>
      </c>
      <c r="DE395" s="48">
        <f>VLOOKUP($C395,'[2]Analysis 1'!$C$5:$DG$1025,107,FALSE)</f>
        <v>40575.79</v>
      </c>
      <c r="DF395" s="48">
        <f>VLOOKUP($C395,'[2]Analysis 1'!$C$5:$DG$1025,108,FALSE)</f>
        <v>56463.12</v>
      </c>
      <c r="DG395" s="48">
        <f>VLOOKUP($C395,'[2]Analysis 1'!$C$5:$DG$1025,109,FALSE)</f>
        <v>-588227.1</v>
      </c>
      <c r="DH395" s="369">
        <f t="shared" si="13"/>
        <v>-82432.660000000033</v>
      </c>
    </row>
    <row r="396" spans="1:112">
      <c r="A396" s="357" t="str">
        <f t="shared" si="12"/>
        <v>8000310</v>
      </c>
      <c r="B396" s="350" t="s">
        <v>2176</v>
      </c>
      <c r="C396" s="335" t="s">
        <v>1252</v>
      </c>
      <c r="D396" s="340">
        <v>2064386.37</v>
      </c>
      <c r="E396" s="340">
        <v>2571435.4500000002</v>
      </c>
      <c r="F396" s="340">
        <v>2720974.61</v>
      </c>
      <c r="G396" s="340">
        <v>1419590.41</v>
      </c>
      <c r="H396" s="340">
        <v>1368909.15</v>
      </c>
      <c r="I396" s="340">
        <v>964813.63</v>
      </c>
      <c r="J396" s="340">
        <v>585498.98</v>
      </c>
      <c r="K396" s="340">
        <v>335584.38</v>
      </c>
      <c r="L396" s="340">
        <v>-1440494.73</v>
      </c>
      <c r="M396" s="340">
        <v>1666897.1</v>
      </c>
      <c r="N396" s="340">
        <v>-989523.84</v>
      </c>
      <c r="O396" s="341">
        <v>-5934692.4100000001</v>
      </c>
      <c r="P396" s="48">
        <v>3092367.22</v>
      </c>
      <c r="Q396" s="48">
        <v>1356392.26</v>
      </c>
      <c r="R396" s="48">
        <v>2443576.7599999998</v>
      </c>
      <c r="S396" s="48">
        <v>1063438.46</v>
      </c>
      <c r="T396" s="48">
        <v>911085.07</v>
      </c>
      <c r="U396" s="48">
        <v>1328024.7</v>
      </c>
      <c r="V396" s="48">
        <v>1032068.85</v>
      </c>
      <c r="W396" s="48">
        <v>1041214.7</v>
      </c>
      <c r="X396" s="48">
        <v>-340093.6</v>
      </c>
      <c r="Y396" s="48">
        <v>-231977.58</v>
      </c>
      <c r="Z396" s="48">
        <v>-143324.25</v>
      </c>
      <c r="AA396" s="48">
        <v>-9406716.0899999999</v>
      </c>
      <c r="AB396" s="48">
        <v>1893147.91</v>
      </c>
      <c r="AC396" s="48">
        <v>2490082.4900000002</v>
      </c>
      <c r="AD396" s="48">
        <v>920944.22</v>
      </c>
      <c r="AE396" s="48">
        <v>461251.11</v>
      </c>
      <c r="AF396" s="48">
        <v>151914.46</v>
      </c>
      <c r="AG396" s="48">
        <v>-25607.040000000001</v>
      </c>
      <c r="AH396" s="48">
        <v>210102.48</v>
      </c>
      <c r="AI396" s="48">
        <v>-798849.92</v>
      </c>
      <c r="AJ396" s="48">
        <v>1077049.5900000001</v>
      </c>
      <c r="AK396" s="48">
        <v>-652907.23</v>
      </c>
      <c r="AL396" s="48">
        <v>-225097.1</v>
      </c>
      <c r="AM396" s="48">
        <v>527993.18000000005</v>
      </c>
      <c r="AN396" s="48">
        <v>1749506.33</v>
      </c>
      <c r="AO396" s="48">
        <v>-541872.85</v>
      </c>
      <c r="AP396" s="48">
        <v>39810.129999999997</v>
      </c>
      <c r="AQ396" s="48">
        <v>395846.5</v>
      </c>
      <c r="AR396" s="48">
        <v>-704499.48</v>
      </c>
      <c r="AS396" s="48">
        <v>-855500.59</v>
      </c>
      <c r="AT396" s="48">
        <v>-864763</v>
      </c>
      <c r="AU396" s="48">
        <v>-906942.67</v>
      </c>
      <c r="AV396" s="48">
        <v>1539013.49</v>
      </c>
      <c r="AW396" s="48">
        <v>-1752700.95</v>
      </c>
      <c r="AX396" s="48">
        <v>-903079.65</v>
      </c>
      <c r="AY396" s="48">
        <v>5428060.2800000003</v>
      </c>
      <c r="AZ396" s="48">
        <v>2576885.4900000002</v>
      </c>
      <c r="BA396" s="48">
        <v>361097.41</v>
      </c>
      <c r="BB396" s="48">
        <v>800032.71</v>
      </c>
      <c r="BC396" s="48">
        <v>1080651.92</v>
      </c>
      <c r="BD396" s="48">
        <v>255319.65</v>
      </c>
      <c r="BE396" s="48">
        <v>480004.13</v>
      </c>
      <c r="BF396" s="48">
        <v>224960.63</v>
      </c>
      <c r="BG396" s="48">
        <v>-909855.17</v>
      </c>
      <c r="BH396" s="48">
        <v>394063.87</v>
      </c>
      <c r="BI396" s="48">
        <v>-221786.83</v>
      </c>
      <c r="BJ396" s="48">
        <v>-3288246.17</v>
      </c>
      <c r="BK396" s="48">
        <v>1972591.15</v>
      </c>
      <c r="BL396" s="48">
        <v>1613712.42</v>
      </c>
      <c r="BM396" s="48">
        <v>36052.230000000003</v>
      </c>
      <c r="BN396" s="48">
        <v>1025371.45</v>
      </c>
      <c r="BO396" s="48">
        <v>553919.17000000004</v>
      </c>
      <c r="BP396" s="48">
        <v>336031.09</v>
      </c>
      <c r="BQ396" s="48">
        <v>267179.34000000003</v>
      </c>
      <c r="BR396" s="48">
        <v>106751.32</v>
      </c>
      <c r="BS396" s="48">
        <v>89990.02</v>
      </c>
      <c r="BT396" s="48">
        <v>186096.53</v>
      </c>
      <c r="BU396" s="48">
        <v>190805.14</v>
      </c>
      <c r="BV396" s="48">
        <v>491884.42</v>
      </c>
      <c r="BW396" s="48">
        <v>202471.14</v>
      </c>
      <c r="BX396" s="48">
        <v>2575571.04</v>
      </c>
      <c r="BY396" s="48">
        <v>-1617160.33</v>
      </c>
      <c r="BZ396" s="48">
        <v>455513.67</v>
      </c>
      <c r="CA396" s="48">
        <v>194425.77</v>
      </c>
      <c r="CB396" s="48">
        <v>-245727.53</v>
      </c>
      <c r="CC396" s="48">
        <v>65760.34</v>
      </c>
      <c r="CD396" s="48">
        <v>-328747.68</v>
      </c>
      <c r="CE396" s="48">
        <v>-69051.22</v>
      </c>
      <c r="CF396" s="48">
        <v>232796.89</v>
      </c>
      <c r="CG396" s="48">
        <v>-1301454.24</v>
      </c>
      <c r="CH396" s="48">
        <v>209489.76</v>
      </c>
      <c r="CI396" s="48">
        <v>466916.1</v>
      </c>
      <c r="CJ396" s="48">
        <v>2336145.2200000002</v>
      </c>
      <c r="CK396" s="48">
        <v>945831.72</v>
      </c>
      <c r="CL396" s="48">
        <v>-345762.75</v>
      </c>
      <c r="CM396" s="48">
        <v>847359.34</v>
      </c>
      <c r="CN396" s="48">
        <v>-203997.68</v>
      </c>
      <c r="CO396" s="48">
        <v>1667072.22</v>
      </c>
      <c r="CP396" s="48">
        <v>-241107.61</v>
      </c>
      <c r="CQ396" s="48">
        <v>542237.17000000004</v>
      </c>
      <c r="CR396" s="48">
        <v>1423656.53</v>
      </c>
      <c r="CS396" s="48">
        <v>-1386541.32</v>
      </c>
      <c r="CT396" s="48">
        <v>-1358183.9</v>
      </c>
      <c r="CU396" s="48">
        <v>3287146.75</v>
      </c>
      <c r="CV396" s="48">
        <v>2249478.2000000002</v>
      </c>
      <c r="CW396" s="48">
        <v>2714231.25</v>
      </c>
      <c r="CX396" s="48">
        <v>205788.01</v>
      </c>
      <c r="CY396" s="48">
        <v>931922.02</v>
      </c>
      <c r="CZ396" s="48">
        <v>362376.66</v>
      </c>
      <c r="DA396" s="48">
        <v>269352.5</v>
      </c>
      <c r="DB396" s="48">
        <v>-173544</v>
      </c>
      <c r="DC396" s="48">
        <v>-2722463.79</v>
      </c>
      <c r="DD396" s="48">
        <v>631907.04</v>
      </c>
      <c r="DE396" s="48">
        <f>VLOOKUP($C396,'[2]Analysis 1'!$C$5:$DG$1025,107,FALSE)</f>
        <v>-460870.6</v>
      </c>
      <c r="DF396" s="48">
        <f>VLOOKUP($C396,'[2]Analysis 1'!$C$5:$DG$1025,108,FALSE)</f>
        <v>5056.24</v>
      </c>
      <c r="DG396" s="48">
        <f>VLOOKUP($C396,'[2]Analysis 1'!$C$5:$DG$1025,109,FALSE)</f>
        <v>-111306.76</v>
      </c>
      <c r="DH396" s="369">
        <f t="shared" si="13"/>
        <v>3901926.7700000009</v>
      </c>
    </row>
    <row r="397" spans="1:112">
      <c r="A397" s="357" t="str">
        <f t="shared" si="12"/>
        <v>8000400</v>
      </c>
      <c r="B397" s="350" t="s">
        <v>2177</v>
      </c>
      <c r="C397" s="335" t="s">
        <v>1253</v>
      </c>
      <c r="D397" s="367">
        <v>1683.23</v>
      </c>
      <c r="E397" s="367">
        <v>4206.25</v>
      </c>
      <c r="F397" s="367">
        <v>-615.32000000000005</v>
      </c>
      <c r="G397" s="367">
        <v>9948.19</v>
      </c>
      <c r="H397" s="367">
        <v>-12571.83</v>
      </c>
      <c r="I397" s="367">
        <v>858.6</v>
      </c>
      <c r="J397" s="367">
        <v>-4315.1400000000003</v>
      </c>
      <c r="K397" s="367">
        <v>-29.31</v>
      </c>
      <c r="L397" s="367">
        <v>1823.46</v>
      </c>
      <c r="M397" s="367">
        <v>525.77</v>
      </c>
      <c r="N397" s="367">
        <v>-268.62</v>
      </c>
      <c r="O397" s="368">
        <v>-10476.94</v>
      </c>
      <c r="P397" s="48">
        <v>894.94</v>
      </c>
      <c r="Q397" s="48">
        <v>-589.70000000000005</v>
      </c>
      <c r="R397" s="48">
        <v>-2816.31</v>
      </c>
      <c r="S397" s="48">
        <v>-2370.59</v>
      </c>
      <c r="T397" s="48">
        <v>1430.68</v>
      </c>
      <c r="U397" s="48">
        <v>9101.2099999999991</v>
      </c>
      <c r="V397" s="48">
        <v>-986.13</v>
      </c>
      <c r="W397" s="48">
        <v>97.86</v>
      </c>
      <c r="X397" s="48">
        <v>-7855.88</v>
      </c>
      <c r="Y397" s="48">
        <v>-169.71</v>
      </c>
      <c r="Z397" s="48">
        <v>296.29000000000002</v>
      </c>
      <c r="AA397" s="48">
        <v>28622.38</v>
      </c>
      <c r="AB397" s="48">
        <v>-628.83000000000004</v>
      </c>
      <c r="AC397" s="48">
        <v>2552.19</v>
      </c>
      <c r="AD397" s="48">
        <v>-1415.16</v>
      </c>
      <c r="AE397" s="48">
        <v>619.16999999999996</v>
      </c>
      <c r="AF397" s="48">
        <v>641.57000000000005</v>
      </c>
      <c r="AG397" s="48">
        <v>-2130.4899999999998</v>
      </c>
      <c r="AH397" s="48">
        <v>11898.7</v>
      </c>
      <c r="AI397" s="48">
        <v>22556.01</v>
      </c>
      <c r="AJ397" s="48">
        <v>41904.269999999997</v>
      </c>
      <c r="AK397" s="48">
        <v>49750.01</v>
      </c>
      <c r="AL397" s="48">
        <v>10454.959999999999</v>
      </c>
      <c r="AM397" s="48">
        <v>-92586.99</v>
      </c>
      <c r="AN397" s="48">
        <v>15439.63</v>
      </c>
      <c r="AO397" s="48">
        <v>11104.82</v>
      </c>
      <c r="AP397" s="48">
        <v>-11829.56</v>
      </c>
      <c r="AQ397" s="48">
        <v>10166.83</v>
      </c>
      <c r="AR397" s="48">
        <v>9936.0400000000009</v>
      </c>
      <c r="AS397" s="48">
        <v>-28122.73</v>
      </c>
      <c r="AT397" s="48">
        <v>8280.66</v>
      </c>
      <c r="AU397" s="48">
        <v>8878.0300000000007</v>
      </c>
      <c r="AV397" s="48">
        <v>-22618.86</v>
      </c>
      <c r="AW397" s="48">
        <v>9151.5400000000009</v>
      </c>
      <c r="AX397" s="48">
        <v>9271.7199999999993</v>
      </c>
      <c r="AY397" s="48">
        <v>-18955.150000000001</v>
      </c>
      <c r="AZ397" s="48">
        <v>10208.84</v>
      </c>
      <c r="BA397" s="48">
        <v>10407.25</v>
      </c>
      <c r="BB397" s="48">
        <v>-15805.83</v>
      </c>
      <c r="BC397" s="48">
        <v>5605.47</v>
      </c>
      <c r="BD397" s="48">
        <v>8735.6</v>
      </c>
      <c r="BE397" s="48">
        <v>-17950.650000000001</v>
      </c>
      <c r="BF397" s="48">
        <v>9814.2800000000007</v>
      </c>
      <c r="BG397" s="48">
        <v>8938.8799999999992</v>
      </c>
      <c r="BH397" s="48">
        <v>-21262.97</v>
      </c>
      <c r="BI397" s="48">
        <v>6807.3</v>
      </c>
      <c r="BJ397" s="48">
        <v>7059.66</v>
      </c>
      <c r="BK397" s="48">
        <v>-29545.98</v>
      </c>
      <c r="BL397" s="48">
        <v>8822.91</v>
      </c>
      <c r="BM397" s="48">
        <v>9436.08</v>
      </c>
      <c r="BN397" s="48">
        <v>-8070.34</v>
      </c>
      <c r="BO397" s="48">
        <v>9894.41</v>
      </c>
      <c r="BP397" s="48">
        <v>8531.5</v>
      </c>
      <c r="BQ397" s="48">
        <v>-18208.68</v>
      </c>
      <c r="BR397" s="48">
        <v>10065.01</v>
      </c>
      <c r="BS397" s="48">
        <v>16888.34</v>
      </c>
      <c r="BT397" s="48">
        <v>-21670.73</v>
      </c>
      <c r="BU397" s="48">
        <v>10886.07</v>
      </c>
      <c r="BV397" s="48">
        <v>10370.44</v>
      </c>
      <c r="BW397" s="48">
        <v>-23485.56</v>
      </c>
      <c r="BX397" s="48">
        <v>13616.79</v>
      </c>
      <c r="BY397" s="48">
        <v>12277.33</v>
      </c>
      <c r="BZ397" s="48">
        <v>-15205.34</v>
      </c>
      <c r="CA397" s="48">
        <v>14614.82</v>
      </c>
      <c r="CB397" s="48">
        <v>15834.38</v>
      </c>
      <c r="CC397" s="48">
        <v>17126.759999999998</v>
      </c>
      <c r="CD397" s="48">
        <v>14698.75</v>
      </c>
      <c r="CE397" s="48">
        <v>15862.8</v>
      </c>
      <c r="CF397" s="48">
        <v>-57659.77</v>
      </c>
      <c r="CG397" s="48">
        <v>12249.31</v>
      </c>
      <c r="CH397" s="48">
        <v>9261.9699999999993</v>
      </c>
      <c r="CI397" s="48">
        <v>-74632.42</v>
      </c>
      <c r="CJ397" s="48">
        <v>13350.24</v>
      </c>
      <c r="CK397" s="48">
        <v>14370.08</v>
      </c>
      <c r="CL397" s="48">
        <v>-15509.04</v>
      </c>
      <c r="CM397" s="48">
        <v>13723.35</v>
      </c>
      <c r="CN397" s="48">
        <v>9425.43</v>
      </c>
      <c r="CO397" s="48">
        <v>-18678.78</v>
      </c>
      <c r="CP397" s="48">
        <v>10472.14</v>
      </c>
      <c r="CQ397" s="48">
        <v>11550.68</v>
      </c>
      <c r="CR397" s="48">
        <v>-20208.849999999999</v>
      </c>
      <c r="CS397" s="48">
        <v>10807.71</v>
      </c>
      <c r="CT397" s="48">
        <v>3566.94</v>
      </c>
      <c r="CU397" s="48">
        <v>-14497.36</v>
      </c>
      <c r="CV397" s="48">
        <v>6682.02</v>
      </c>
      <c r="CW397" s="48">
        <v>10578.43</v>
      </c>
      <c r="CX397" s="48">
        <v>-2041.24</v>
      </c>
      <c r="CY397" s="48">
        <v>9491.1299999999992</v>
      </c>
      <c r="CZ397" s="48">
        <v>13266.14</v>
      </c>
      <c r="DA397" s="48">
        <v>10540.15</v>
      </c>
      <c r="DB397" s="48">
        <v>18354.13</v>
      </c>
      <c r="DC397" s="48">
        <v>22334.5</v>
      </c>
      <c r="DD397" s="48">
        <v>24080.48</v>
      </c>
      <c r="DE397" s="48">
        <f>VLOOKUP($C397,'[2]Analysis 1'!$C$5:$DG$1025,107,FALSE)</f>
        <v>11245.49</v>
      </c>
      <c r="DF397" s="48">
        <f>VLOOKUP($C397,'[2]Analysis 1'!$C$5:$DG$1025,108,FALSE)</f>
        <v>15648.63</v>
      </c>
      <c r="DG397" s="48">
        <f>VLOOKUP($C397,'[2]Analysis 1'!$C$5:$DG$1025,109,FALSE)</f>
        <v>-163025.9</v>
      </c>
      <c r="DH397" s="369">
        <f t="shared" si="13"/>
        <v>-22846.040000000008</v>
      </c>
    </row>
    <row r="398" spans="1:112">
      <c r="A398" s="357" t="str">
        <f t="shared" si="12"/>
        <v>8000410</v>
      </c>
      <c r="B398" s="350" t="s">
        <v>2178</v>
      </c>
      <c r="C398" s="335" t="s">
        <v>1254</v>
      </c>
      <c r="D398" s="340">
        <v>246936.25</v>
      </c>
      <c r="E398" s="340">
        <v>331252.8</v>
      </c>
      <c r="F398" s="340">
        <v>356119.49</v>
      </c>
      <c r="G398" s="340">
        <v>139713.94</v>
      </c>
      <c r="H398" s="340">
        <v>131286.22</v>
      </c>
      <c r="I398" s="340">
        <v>64089.69</v>
      </c>
      <c r="J398" s="340">
        <v>1013.93</v>
      </c>
      <c r="K398" s="340">
        <v>-40544.04</v>
      </c>
      <c r="L398" s="340">
        <v>-91349.66</v>
      </c>
      <c r="M398" s="340">
        <v>39467.040000000001</v>
      </c>
      <c r="N398" s="340">
        <v>-402265.84</v>
      </c>
      <c r="O398" s="341">
        <v>-90061.24</v>
      </c>
      <c r="P398" s="48">
        <v>419238.6</v>
      </c>
      <c r="Q398" s="48">
        <v>130565.53</v>
      </c>
      <c r="R398" s="48">
        <v>311352.05</v>
      </c>
      <c r="S398" s="48">
        <v>81850.61</v>
      </c>
      <c r="T398" s="48">
        <v>56515.95</v>
      </c>
      <c r="U398" s="48">
        <v>125848.32000000001</v>
      </c>
      <c r="V398" s="48">
        <v>76634.19</v>
      </c>
      <c r="W398" s="48">
        <v>78155.039999999994</v>
      </c>
      <c r="X398" s="48">
        <v>37153.050000000003</v>
      </c>
      <c r="Y398" s="48">
        <v>-131913.56</v>
      </c>
      <c r="Z398" s="48">
        <v>-117171.5</v>
      </c>
      <c r="AA398" s="48">
        <v>-305338.65999999997</v>
      </c>
      <c r="AB398" s="48">
        <v>335589.12</v>
      </c>
      <c r="AC398" s="48">
        <v>434852.62</v>
      </c>
      <c r="AD398" s="48">
        <v>173922.6</v>
      </c>
      <c r="AE398" s="48">
        <v>97480.81</v>
      </c>
      <c r="AF398" s="48">
        <v>46041.61</v>
      </c>
      <c r="AG398" s="48">
        <v>181018.72</v>
      </c>
      <c r="AH398" s="48">
        <v>55717.62</v>
      </c>
      <c r="AI398" s="48">
        <v>-131911.20000000001</v>
      </c>
      <c r="AJ398" s="48">
        <v>-4131.18</v>
      </c>
      <c r="AK398" s="48">
        <v>-107642.59</v>
      </c>
      <c r="AL398" s="48">
        <v>-36502.57</v>
      </c>
      <c r="AM398" s="48">
        <v>18680.599999999999</v>
      </c>
      <c r="AN398" s="48">
        <v>291319.28000000003</v>
      </c>
      <c r="AO398" s="48">
        <v>-89711.28</v>
      </c>
      <c r="AP398" s="48">
        <v>155003.29999999999</v>
      </c>
      <c r="AQ398" s="48">
        <v>115549.96</v>
      </c>
      <c r="AR398" s="48">
        <v>-137769.22</v>
      </c>
      <c r="AS398" s="48">
        <v>-106603.75</v>
      </c>
      <c r="AT398" s="48">
        <v>-108144</v>
      </c>
      <c r="AU398" s="48">
        <v>-115157.99</v>
      </c>
      <c r="AV398" s="48">
        <v>45059.81</v>
      </c>
      <c r="AW398" s="48">
        <v>-255798.08</v>
      </c>
      <c r="AX398" s="48">
        <v>-114515.62</v>
      </c>
      <c r="AY398" s="48">
        <v>297299.46000000002</v>
      </c>
      <c r="AZ398" s="48">
        <v>595955.29</v>
      </c>
      <c r="BA398" s="48">
        <v>-18145.72</v>
      </c>
      <c r="BB398" s="48">
        <v>95284.3</v>
      </c>
      <c r="BC398" s="48">
        <v>178537.3</v>
      </c>
      <c r="BD398" s="48">
        <v>-50201.8</v>
      </c>
      <c r="BE398" s="48">
        <v>12069.03</v>
      </c>
      <c r="BF398" s="48">
        <v>-58615.75</v>
      </c>
      <c r="BG398" s="48">
        <v>30518.68</v>
      </c>
      <c r="BH398" s="48">
        <v>38706.65</v>
      </c>
      <c r="BI398" s="48">
        <v>-131975.07</v>
      </c>
      <c r="BJ398" s="48">
        <v>-95156.160000000003</v>
      </c>
      <c r="BK398" s="48">
        <v>-548193.18000000005</v>
      </c>
      <c r="BL398" s="48">
        <v>284517.39</v>
      </c>
      <c r="BM398" s="48">
        <v>-123812.1</v>
      </c>
      <c r="BN398" s="48">
        <v>135917.76999999999</v>
      </c>
      <c r="BO398" s="48">
        <v>5255.78</v>
      </c>
      <c r="BP398" s="48">
        <v>-55131.45</v>
      </c>
      <c r="BQ398" s="48">
        <v>-74213.570000000007</v>
      </c>
      <c r="BR398" s="48">
        <v>-118675.85</v>
      </c>
      <c r="BS398" s="48">
        <v>-123321.18</v>
      </c>
      <c r="BT398" s="48">
        <v>-63739.12</v>
      </c>
      <c r="BU398" s="48">
        <v>-76467.08</v>
      </c>
      <c r="BV398" s="48">
        <v>-9569.98</v>
      </c>
      <c r="BW398" s="48">
        <v>-117447.52</v>
      </c>
      <c r="BX398" s="48">
        <v>474043.05</v>
      </c>
      <c r="BY398" s="48">
        <v>-457560.88</v>
      </c>
      <c r="BZ398" s="48">
        <v>2987.09</v>
      </c>
      <c r="CA398" s="48">
        <v>-55024.3</v>
      </c>
      <c r="CB398" s="48">
        <v>-152822.39000000001</v>
      </c>
      <c r="CC398" s="48">
        <v>-83612.59</v>
      </c>
      <c r="CD398" s="48">
        <v>-171268.72</v>
      </c>
      <c r="CE398" s="48">
        <v>-47658.54</v>
      </c>
      <c r="CF398" s="48">
        <v>-112401.54</v>
      </c>
      <c r="CG398" s="48">
        <v>-399432.42</v>
      </c>
      <c r="CH398" s="48">
        <v>-51678.89</v>
      </c>
      <c r="CI398" s="48">
        <v>-143363.22</v>
      </c>
      <c r="CJ398" s="48">
        <v>437579.17</v>
      </c>
      <c r="CK398" s="48">
        <v>128664.03</v>
      </c>
      <c r="CL398" s="48">
        <v>-158316.62</v>
      </c>
      <c r="CM398" s="48">
        <v>106784.36</v>
      </c>
      <c r="CN398" s="48">
        <v>-126817.7</v>
      </c>
      <c r="CO398" s="48">
        <v>288917.15999999997</v>
      </c>
      <c r="CP398" s="48">
        <v>-135063.19</v>
      </c>
      <c r="CQ398" s="48">
        <v>38988.949999999997</v>
      </c>
      <c r="CR398" s="48">
        <v>59786.34</v>
      </c>
      <c r="CS398" s="48">
        <v>-305954.93</v>
      </c>
      <c r="CT398" s="48">
        <v>-301006.5</v>
      </c>
      <c r="CU398" s="48">
        <v>691135.72</v>
      </c>
      <c r="CV398" s="48">
        <v>558856.85</v>
      </c>
      <c r="CW398" s="48">
        <v>687662.19</v>
      </c>
      <c r="CX398" s="48">
        <v>-7547.64</v>
      </c>
      <c r="CY398" s="48">
        <v>193698.94</v>
      </c>
      <c r="CZ398" s="48">
        <v>35850.639999999999</v>
      </c>
      <c r="DA398" s="48">
        <v>10069.18</v>
      </c>
      <c r="DB398" s="48">
        <v>-112678.64</v>
      </c>
      <c r="DC398" s="48">
        <v>-806278.7</v>
      </c>
      <c r="DD398" s="48">
        <v>112416.65</v>
      </c>
      <c r="DE398" s="48">
        <f>VLOOKUP($C398,'[2]Analysis 1'!$C$5:$DG$1025,107,FALSE)</f>
        <v>-190021.24</v>
      </c>
      <c r="DF398" s="48">
        <f>VLOOKUP($C398,'[2]Analysis 1'!$C$5:$DG$1025,108,FALSE)</f>
        <v>-60749.69</v>
      </c>
      <c r="DG398" s="48">
        <f>VLOOKUP($C398,'[2]Analysis 1'!$C$5:$DG$1025,109,FALSE)</f>
        <v>39721.730000000003</v>
      </c>
      <c r="DH398" s="369">
        <f t="shared" si="13"/>
        <v>461000.27000000008</v>
      </c>
    </row>
    <row r="399" spans="1:112">
      <c r="A399" s="357" t="str">
        <f t="shared" si="12"/>
        <v>8010300</v>
      </c>
      <c r="B399" s="350" t="s">
        <v>2179</v>
      </c>
      <c r="C399" s="335" t="s">
        <v>1255</v>
      </c>
      <c r="D399" s="367">
        <v>601431.35</v>
      </c>
      <c r="E399" s="367">
        <v>-340098.17</v>
      </c>
      <c r="F399" s="367">
        <v>-180250.75</v>
      </c>
      <c r="G399" s="367">
        <v>139483.21</v>
      </c>
      <c r="H399" s="367">
        <v>-403728.33</v>
      </c>
      <c r="I399" s="367">
        <v>229881.63</v>
      </c>
      <c r="J399" s="367">
        <v>249049.21</v>
      </c>
      <c r="K399" s="367">
        <v>486417.48</v>
      </c>
      <c r="L399" s="367">
        <v>2134507.46</v>
      </c>
      <c r="M399" s="367">
        <v>-518009.56</v>
      </c>
      <c r="N399" s="367">
        <v>2428029.71</v>
      </c>
      <c r="O399" s="368">
        <v>7917193.0999999996</v>
      </c>
      <c r="P399" s="48">
        <v>-318017.55</v>
      </c>
      <c r="Q399" s="48">
        <v>1219867.56</v>
      </c>
      <c r="R399" s="48">
        <v>-277916.02</v>
      </c>
      <c r="S399" s="48">
        <v>182932.81</v>
      </c>
      <c r="T399" s="48">
        <v>231193.94</v>
      </c>
      <c r="U399" s="48">
        <v>16201.45</v>
      </c>
      <c r="V399" s="48">
        <v>-106908.68</v>
      </c>
      <c r="W399" s="48">
        <v>501851.87</v>
      </c>
      <c r="X399" s="48">
        <v>1294302.71</v>
      </c>
      <c r="Y399" s="48">
        <v>1331940.01</v>
      </c>
      <c r="Z399" s="48">
        <v>1026352.68</v>
      </c>
      <c r="AA399" s="48">
        <v>10478245.810000001</v>
      </c>
      <c r="AB399" s="48">
        <v>809880.79</v>
      </c>
      <c r="AC399" s="48">
        <v>247877.75</v>
      </c>
      <c r="AD399" s="48">
        <v>867099.94</v>
      </c>
      <c r="AE399" s="48">
        <v>1067455.97</v>
      </c>
      <c r="AF399" s="48">
        <v>1191965.99</v>
      </c>
      <c r="AG399" s="48">
        <v>686745.34</v>
      </c>
      <c r="AH399" s="48">
        <v>1023221.12</v>
      </c>
      <c r="AI399" s="48">
        <v>1063533.6100000001</v>
      </c>
      <c r="AJ399" s="48">
        <v>-259208.13</v>
      </c>
      <c r="AK399" s="48">
        <v>1537485.19</v>
      </c>
      <c r="AL399" s="48">
        <v>1737134.91</v>
      </c>
      <c r="AM399" s="48">
        <v>1035457.41</v>
      </c>
      <c r="AN399" s="48">
        <v>864440.96</v>
      </c>
      <c r="AO399" s="48">
        <v>2403821.2599999998</v>
      </c>
      <c r="AP399" s="48">
        <v>2323297.88</v>
      </c>
      <c r="AQ399" s="48">
        <v>1539277.84</v>
      </c>
      <c r="AR399" s="48">
        <v>2473119.4300000002</v>
      </c>
      <c r="AS399" s="48">
        <v>2233308.4500000002</v>
      </c>
      <c r="AT399" s="48">
        <v>2181436.9700000002</v>
      </c>
      <c r="AU399" s="48">
        <v>2126525.64</v>
      </c>
      <c r="AV399" s="48">
        <v>-93314.22</v>
      </c>
      <c r="AW399" s="48">
        <v>2990531.82</v>
      </c>
      <c r="AX399" s="48">
        <v>2538493.4700000002</v>
      </c>
      <c r="AY399" s="48">
        <v>-2592723.4</v>
      </c>
      <c r="AZ399" s="48">
        <v>-460859.54</v>
      </c>
      <c r="BA399" s="48">
        <v>485845.47</v>
      </c>
      <c r="BB399" s="48">
        <v>-271377.28999999998</v>
      </c>
      <c r="BC399" s="48">
        <v>60330.9</v>
      </c>
      <c r="BD399" s="48">
        <v>678325.23</v>
      </c>
      <c r="BE399" s="48">
        <v>321863.56</v>
      </c>
      <c r="BF399" s="48">
        <v>463731.76</v>
      </c>
      <c r="BG399" s="48">
        <v>1485382.46</v>
      </c>
      <c r="BH399" s="48">
        <v>593924.77</v>
      </c>
      <c r="BI399" s="48">
        <v>850042.59</v>
      </c>
      <c r="BJ399" s="48">
        <v>4118779.12</v>
      </c>
      <c r="BK399" s="48">
        <v>-823941.81</v>
      </c>
      <c r="BL399" s="48">
        <v>68671.67</v>
      </c>
      <c r="BM399" s="48">
        <v>1484860.2</v>
      </c>
      <c r="BN399" s="48">
        <v>392819.43</v>
      </c>
      <c r="BO399" s="48">
        <v>736541.22</v>
      </c>
      <c r="BP399" s="48">
        <v>812273.36</v>
      </c>
      <c r="BQ399" s="48">
        <v>782803.12</v>
      </c>
      <c r="BR399" s="48">
        <v>630321</v>
      </c>
      <c r="BS399" s="48">
        <v>817032.89</v>
      </c>
      <c r="BT399" s="48">
        <v>836254.99</v>
      </c>
      <c r="BU399" s="48">
        <v>653655.13</v>
      </c>
      <c r="BV399" s="48">
        <v>611872.72</v>
      </c>
      <c r="BW399" s="48">
        <v>1079555.81</v>
      </c>
      <c r="BX399" s="48">
        <v>-631577.49</v>
      </c>
      <c r="BY399" s="48">
        <v>3018437.29</v>
      </c>
      <c r="BZ399" s="48">
        <v>704420.91</v>
      </c>
      <c r="CA399" s="48">
        <v>609992.89</v>
      </c>
      <c r="CB399" s="48">
        <v>981721.43</v>
      </c>
      <c r="CC399" s="48">
        <v>682951.61</v>
      </c>
      <c r="CD399" s="48">
        <v>979308.57</v>
      </c>
      <c r="CE399" s="48">
        <v>804395.51</v>
      </c>
      <c r="CF399" s="48">
        <v>914094.15</v>
      </c>
      <c r="CG399" s="48">
        <v>1439769.25</v>
      </c>
      <c r="CH399" s="48">
        <v>1031831.2</v>
      </c>
      <c r="CI399" s="48">
        <v>597169.56999999995</v>
      </c>
      <c r="CJ399" s="48">
        <v>489057.52</v>
      </c>
      <c r="CK399" s="48">
        <v>903008.8</v>
      </c>
      <c r="CL399" s="48">
        <v>2281521.73</v>
      </c>
      <c r="CM399" s="48">
        <v>1056414.75</v>
      </c>
      <c r="CN399" s="48">
        <v>1493447.01</v>
      </c>
      <c r="CO399" s="48">
        <v>-297314.15999999997</v>
      </c>
      <c r="CP399" s="48">
        <v>1259845.01</v>
      </c>
      <c r="CQ399" s="48">
        <v>533518.21</v>
      </c>
      <c r="CR399" s="48">
        <v>-138782.72</v>
      </c>
      <c r="CS399" s="48">
        <v>2485946.89</v>
      </c>
      <c r="CT399" s="48">
        <v>3206747.95</v>
      </c>
      <c r="CU399" s="48">
        <v>-2512668.58</v>
      </c>
      <c r="CV399" s="48">
        <v>310140.37</v>
      </c>
      <c r="CW399" s="48">
        <v>-458666.62</v>
      </c>
      <c r="CX399" s="48">
        <v>2283214.21</v>
      </c>
      <c r="CY399" s="48">
        <v>756324.41</v>
      </c>
      <c r="CZ399" s="48">
        <v>1168937.52</v>
      </c>
      <c r="DA399" s="48">
        <v>1441749</v>
      </c>
      <c r="DB399" s="48">
        <v>1124951.22</v>
      </c>
      <c r="DC399" s="48">
        <v>3880424.73</v>
      </c>
      <c r="DD399" s="48">
        <v>1097356.04</v>
      </c>
      <c r="DE399" s="48">
        <f>VLOOKUP($C399,'[2]Analysis 1'!$C$5:$DG$1025,107,FALSE)</f>
        <v>1656245.1</v>
      </c>
      <c r="DF399" s="48">
        <f>VLOOKUP($C399,'[2]Analysis 1'!$C$5:$DG$1025,108,FALSE)</f>
        <v>1441331.4</v>
      </c>
      <c r="DG399" s="48">
        <f>VLOOKUP($C399,'[2]Analysis 1'!$C$5:$DG$1025,109,FALSE)</f>
        <v>2102772.2999999998</v>
      </c>
      <c r="DH399" s="369">
        <f t="shared" si="13"/>
        <v>16804779.68</v>
      </c>
    </row>
    <row r="400" spans="1:112">
      <c r="A400" s="357" t="str">
        <f t="shared" si="12"/>
        <v>8010305</v>
      </c>
      <c r="B400" s="350" t="s">
        <v>2180</v>
      </c>
      <c r="C400" s="335" t="s">
        <v>1735</v>
      </c>
      <c r="D400" s="367"/>
      <c r="E400" s="367"/>
      <c r="F400" s="367"/>
      <c r="G400" s="367"/>
      <c r="H400" s="367"/>
      <c r="I400" s="367"/>
      <c r="J400" s="367"/>
      <c r="K400" s="367"/>
      <c r="L400" s="367"/>
      <c r="M400" s="367"/>
      <c r="N400" s="367"/>
      <c r="O400" s="368"/>
      <c r="P400" s="48"/>
      <c r="Q400" s="48"/>
      <c r="R400" s="48"/>
      <c r="S400" s="48"/>
      <c r="T400" s="48"/>
      <c r="U400" s="48"/>
      <c r="V400" s="48"/>
      <c r="W400" s="48"/>
      <c r="X400" s="48"/>
      <c r="Y400" s="48"/>
      <c r="Z400" s="48"/>
      <c r="AA400" s="48"/>
      <c r="AB400" s="48"/>
      <c r="AC400" s="48"/>
      <c r="AD400" s="48"/>
      <c r="AE400" s="48"/>
      <c r="AF400" s="48"/>
      <c r="AG400" s="48"/>
      <c r="AH400" s="48"/>
      <c r="AI400" s="48"/>
      <c r="AJ400" s="48"/>
      <c r="AK400" s="48">
        <v>0</v>
      </c>
      <c r="AL400" s="48">
        <v>0</v>
      </c>
      <c r="AM400" s="48">
        <v>-6.32</v>
      </c>
      <c r="AN400" s="48">
        <v>0</v>
      </c>
      <c r="AO400" s="48">
        <v>0</v>
      </c>
      <c r="AP400" s="48">
        <v>6.32</v>
      </c>
      <c r="AQ400" s="48">
        <v>0</v>
      </c>
      <c r="AR400" s="48">
        <v>0</v>
      </c>
      <c r="AS400" s="48">
        <v>0</v>
      </c>
      <c r="AT400" s="48">
        <v>0</v>
      </c>
      <c r="AU400" s="48">
        <v>0</v>
      </c>
      <c r="AV400" s="48">
        <v>0</v>
      </c>
      <c r="AW400" s="48">
        <v>18.8</v>
      </c>
      <c r="AX400" s="48">
        <v>-18.8</v>
      </c>
      <c r="AY400" s="48">
        <v>0</v>
      </c>
      <c r="AZ400" s="48">
        <v>0</v>
      </c>
      <c r="BA400" s="48">
        <v>0</v>
      </c>
      <c r="BB400" s="48">
        <v>0</v>
      </c>
      <c r="BC400" s="48">
        <v>0</v>
      </c>
      <c r="BD400" s="48">
        <v>0</v>
      </c>
      <c r="BE400" s="48">
        <v>20.91</v>
      </c>
      <c r="BF400" s="48">
        <v>309.99</v>
      </c>
      <c r="BG400" s="48">
        <v>-69.38</v>
      </c>
      <c r="BH400" s="48">
        <v>339.16</v>
      </c>
      <c r="BI400" s="48">
        <v>-482.03</v>
      </c>
      <c r="BJ400" s="48">
        <v>-301.77999999999997</v>
      </c>
      <c r="BK400" s="48">
        <v>-585.22</v>
      </c>
      <c r="BL400" s="48">
        <v>806.18</v>
      </c>
      <c r="BM400" s="48">
        <v>-78.36</v>
      </c>
      <c r="BN400" s="48">
        <v>0</v>
      </c>
      <c r="BO400" s="48">
        <v>-1210.69</v>
      </c>
      <c r="BP400" s="48">
        <v>-477.01</v>
      </c>
      <c r="BQ400" s="48">
        <v>1425.55</v>
      </c>
      <c r="BR400" s="48">
        <v>1192.77</v>
      </c>
      <c r="BS400" s="48">
        <v>-885.14</v>
      </c>
      <c r="BT400" s="48">
        <v>-14.88</v>
      </c>
      <c r="BU400" s="48">
        <v>-39.35</v>
      </c>
      <c r="BV400" s="48">
        <v>82.34</v>
      </c>
      <c r="BW400" s="48">
        <v>14.49</v>
      </c>
      <c r="BX400" s="48">
        <v>0</v>
      </c>
      <c r="BY400" s="48">
        <v>0</v>
      </c>
      <c r="BZ400" s="48">
        <v>0</v>
      </c>
      <c r="CA400" s="48">
        <v>0</v>
      </c>
      <c r="CB400" s="48">
        <v>0</v>
      </c>
      <c r="CC400" s="48">
        <v>0</v>
      </c>
      <c r="CD400" s="48">
        <v>0</v>
      </c>
      <c r="CE400" s="48">
        <v>0</v>
      </c>
      <c r="CF400" s="48">
        <v>0</v>
      </c>
      <c r="CG400" s="48">
        <v>0</v>
      </c>
      <c r="CH400" s="48">
        <v>0</v>
      </c>
      <c r="CI400" s="48">
        <v>0</v>
      </c>
      <c r="CJ400" s="48">
        <v>0</v>
      </c>
      <c r="CK400" s="48">
        <v>0</v>
      </c>
      <c r="CL400" s="48">
        <v>0</v>
      </c>
      <c r="CM400" s="48">
        <v>0</v>
      </c>
      <c r="CN400" s="48">
        <v>0</v>
      </c>
      <c r="CO400" s="48">
        <v>0</v>
      </c>
      <c r="CP400" s="48">
        <v>0</v>
      </c>
      <c r="CQ400" s="48">
        <v>0</v>
      </c>
      <c r="CR400" s="48">
        <v>0</v>
      </c>
      <c r="CS400" s="48">
        <v>0</v>
      </c>
      <c r="CT400" s="48">
        <v>0</v>
      </c>
      <c r="CU400" s="48">
        <v>0</v>
      </c>
      <c r="CV400" s="48">
        <v>0</v>
      </c>
      <c r="CW400" s="48">
        <v>0</v>
      </c>
      <c r="CX400" s="48">
        <v>0</v>
      </c>
      <c r="CY400" s="48">
        <v>0</v>
      </c>
      <c r="CZ400" s="48">
        <v>0</v>
      </c>
      <c r="DA400" s="48">
        <v>0</v>
      </c>
      <c r="DB400" s="48">
        <v>0</v>
      </c>
      <c r="DC400" s="48">
        <v>0</v>
      </c>
      <c r="DD400" s="48">
        <v>0</v>
      </c>
      <c r="DE400" s="48">
        <f>VLOOKUP($C400,'[2]Analysis 1'!$C$5:$DG$1025,107,FALSE)</f>
        <v>0</v>
      </c>
      <c r="DF400" s="48">
        <f>VLOOKUP($C400,'[2]Analysis 1'!$C$5:$DG$1025,108,FALSE)</f>
        <v>0</v>
      </c>
      <c r="DG400" s="48">
        <f>VLOOKUP($C400,'[2]Analysis 1'!$C$5:$DG$1025,109,FALSE)</f>
        <v>0</v>
      </c>
      <c r="DH400" s="369">
        <f t="shared" si="13"/>
        <v>0</v>
      </c>
    </row>
    <row r="401" spans="1:112">
      <c r="A401" s="357" t="str">
        <f t="shared" si="12"/>
        <v>8010400</v>
      </c>
      <c r="B401" s="350" t="s">
        <v>2181</v>
      </c>
      <c r="C401" s="335" t="s">
        <v>1256</v>
      </c>
      <c r="D401" s="340">
        <v>196359.22</v>
      </c>
      <c r="E401" s="340">
        <v>39793.47</v>
      </c>
      <c r="F401" s="340">
        <v>66374.27</v>
      </c>
      <c r="G401" s="340">
        <v>119542.46</v>
      </c>
      <c r="H401" s="340">
        <v>29212.48</v>
      </c>
      <c r="I401" s="340">
        <v>134574.67000000001</v>
      </c>
      <c r="J401" s="340">
        <v>137762.01</v>
      </c>
      <c r="K401" s="340">
        <v>177233.73</v>
      </c>
      <c r="L401" s="340">
        <v>208491.53</v>
      </c>
      <c r="M401" s="340">
        <v>151580.03</v>
      </c>
      <c r="N401" s="340">
        <v>641473.15</v>
      </c>
      <c r="O401" s="341">
        <v>419728.77</v>
      </c>
      <c r="P401" s="48">
        <v>42104.5</v>
      </c>
      <c r="Q401" s="48">
        <v>297837.48</v>
      </c>
      <c r="R401" s="48">
        <v>48772.91</v>
      </c>
      <c r="S401" s="48">
        <v>125406.91</v>
      </c>
      <c r="T401" s="48">
        <v>133432.20000000001</v>
      </c>
      <c r="U401" s="48">
        <v>97681.33</v>
      </c>
      <c r="V401" s="48">
        <v>77209.539999999994</v>
      </c>
      <c r="W401" s="48">
        <v>-653800.67000000004</v>
      </c>
      <c r="X401" s="48">
        <v>122897.23</v>
      </c>
      <c r="Y401" s="48">
        <v>314824.95</v>
      </c>
      <c r="Z401" s="48">
        <v>264009.19</v>
      </c>
      <c r="AA401" s="48">
        <v>483521.98</v>
      </c>
      <c r="AB401" s="48">
        <v>113894.09</v>
      </c>
      <c r="AC401" s="48">
        <v>20439.34</v>
      </c>
      <c r="AD401" s="48">
        <v>123409</v>
      </c>
      <c r="AE401" s="48">
        <v>156725.97</v>
      </c>
      <c r="AF401" s="48">
        <v>177430.57</v>
      </c>
      <c r="AG401" s="48">
        <v>28789.91</v>
      </c>
      <c r="AH401" s="48">
        <v>149370.19</v>
      </c>
      <c r="AI401" s="48">
        <v>235349.9</v>
      </c>
      <c r="AJ401" s="48">
        <v>128551.98</v>
      </c>
      <c r="AK401" s="48">
        <v>254737.94</v>
      </c>
      <c r="AL401" s="48">
        <v>287937.40000000002</v>
      </c>
      <c r="AM401" s="48">
        <v>241303.67999999999</v>
      </c>
      <c r="AN401" s="48">
        <v>143350.70000000001</v>
      </c>
      <c r="AO401" s="48">
        <v>399332.31</v>
      </c>
      <c r="AP401" s="48">
        <v>237954.95</v>
      </c>
      <c r="AQ401" s="48">
        <v>206239.43</v>
      </c>
      <c r="AR401" s="48">
        <v>431870.81</v>
      </c>
      <c r="AS401" s="48">
        <v>335717.67</v>
      </c>
      <c r="AT401" s="48">
        <v>327092.03999999998</v>
      </c>
      <c r="AU401" s="48">
        <v>317960.95</v>
      </c>
      <c r="AV401" s="48">
        <v>195343.67</v>
      </c>
      <c r="AW401" s="48">
        <v>461635.45</v>
      </c>
      <c r="AX401" s="48">
        <v>386466.48</v>
      </c>
      <c r="AY401" s="48">
        <v>172911.72</v>
      </c>
      <c r="AZ401" s="48">
        <v>36369.86</v>
      </c>
      <c r="BA401" s="48">
        <v>298509.11</v>
      </c>
      <c r="BB401" s="48">
        <v>39883.949999999997</v>
      </c>
      <c r="BC401" s="48">
        <v>164399.89000000001</v>
      </c>
      <c r="BD401" s="48">
        <v>240688.29</v>
      </c>
      <c r="BE401" s="48">
        <v>217888.8</v>
      </c>
      <c r="BF401" s="48">
        <v>257207.31</v>
      </c>
      <c r="BG401" s="48">
        <v>134071.12</v>
      </c>
      <c r="BH401" s="48">
        <v>242504.33</v>
      </c>
      <c r="BI401" s="48">
        <v>313486.96999999997</v>
      </c>
      <c r="BJ401" s="48">
        <v>338900.24</v>
      </c>
      <c r="BK401" s="48">
        <v>937270.41</v>
      </c>
      <c r="BL401" s="48">
        <v>177768.99</v>
      </c>
      <c r="BM401" s="48">
        <v>531605.23</v>
      </c>
      <c r="BN401" s="48">
        <v>248277.12</v>
      </c>
      <c r="BO401" s="48">
        <v>343538.97</v>
      </c>
      <c r="BP401" s="48">
        <v>364527.93</v>
      </c>
      <c r="BQ401" s="48">
        <v>356360.3</v>
      </c>
      <c r="BR401" s="48">
        <v>314100.19</v>
      </c>
      <c r="BS401" s="48">
        <v>356875.52000000002</v>
      </c>
      <c r="BT401" s="48">
        <v>-237242.75</v>
      </c>
      <c r="BU401" s="48">
        <v>256237.42</v>
      </c>
      <c r="BV401" s="48">
        <v>246948.52</v>
      </c>
      <c r="BW401" s="48">
        <v>372716.4</v>
      </c>
      <c r="BX401" s="48">
        <v>-46571.41</v>
      </c>
      <c r="BY401" s="48">
        <v>764964.42</v>
      </c>
      <c r="BZ401" s="48">
        <v>278736.42</v>
      </c>
      <c r="CA401" s="48">
        <v>230162.76</v>
      </c>
      <c r="CB401" s="48">
        <v>312740.11</v>
      </c>
      <c r="CC401" s="48">
        <v>228838.43</v>
      </c>
      <c r="CD401" s="48">
        <v>312119.86</v>
      </c>
      <c r="CE401" s="48">
        <v>214714.22</v>
      </c>
      <c r="CF401" s="48">
        <v>345903.41</v>
      </c>
      <c r="CG401" s="48">
        <v>503515.61</v>
      </c>
      <c r="CH401" s="48">
        <v>320124.3</v>
      </c>
      <c r="CI401" s="48">
        <v>482240.87</v>
      </c>
      <c r="CJ401" s="48">
        <v>186365.09</v>
      </c>
      <c r="CK401" s="48">
        <v>286372.7</v>
      </c>
      <c r="CL401" s="48">
        <v>472758.22</v>
      </c>
      <c r="CM401" s="48">
        <v>299226.93</v>
      </c>
      <c r="CN401" s="48">
        <v>408082.34</v>
      </c>
      <c r="CO401" s="48">
        <v>-98599.99</v>
      </c>
      <c r="CP401" s="48">
        <v>357778.66</v>
      </c>
      <c r="CQ401" s="48">
        <v>196131.78</v>
      </c>
      <c r="CR401" s="48">
        <v>-608284.18000000005</v>
      </c>
      <c r="CS401" s="48">
        <v>540696.63</v>
      </c>
      <c r="CT401" s="48">
        <v>594384.49</v>
      </c>
      <c r="CU401" s="48">
        <v>-103859.52</v>
      </c>
      <c r="CV401" s="48">
        <v>137849.38</v>
      </c>
      <c r="CW401" s="48">
        <v>-74828.75</v>
      </c>
      <c r="CX401" s="48">
        <v>751150.01</v>
      </c>
      <c r="CY401" s="48">
        <v>262495.46000000002</v>
      </c>
      <c r="CZ401" s="48">
        <v>377642.91</v>
      </c>
      <c r="DA401" s="48">
        <v>190475.02</v>
      </c>
      <c r="DB401" s="48">
        <v>366067.01</v>
      </c>
      <c r="DC401" s="48">
        <v>1098791.18</v>
      </c>
      <c r="DD401" s="48">
        <v>353425.09</v>
      </c>
      <c r="DE401" s="48">
        <f>VLOOKUP($C401,'[2]Analysis 1'!$C$5:$DG$1025,107,FALSE)</f>
        <v>509619.56</v>
      </c>
      <c r="DF401" s="48">
        <f>VLOOKUP($C401,'[2]Analysis 1'!$C$5:$DG$1025,108,FALSE)</f>
        <v>449365.76000000001</v>
      </c>
      <c r="DG401" s="48">
        <f>VLOOKUP($C401,'[2]Analysis 1'!$C$5:$DG$1025,109,FALSE)</f>
        <v>308201.89</v>
      </c>
      <c r="DH401" s="369">
        <f t="shared" si="13"/>
        <v>4730254.5199999996</v>
      </c>
    </row>
    <row r="402" spans="1:112">
      <c r="A402" s="357" t="str">
        <f t="shared" si="12"/>
        <v>8010405</v>
      </c>
      <c r="B402" s="350" t="s">
        <v>2183</v>
      </c>
      <c r="C402" s="335" t="s">
        <v>1736</v>
      </c>
      <c r="D402" s="340"/>
      <c r="E402" s="340"/>
      <c r="F402" s="340"/>
      <c r="G402" s="340"/>
      <c r="H402" s="340"/>
      <c r="I402" s="340"/>
      <c r="J402" s="340"/>
      <c r="K402" s="340"/>
      <c r="L402" s="340"/>
      <c r="M402" s="340"/>
      <c r="N402" s="340"/>
      <c r="O402" s="341"/>
      <c r="P402" s="48"/>
      <c r="Q402" s="48"/>
      <c r="R402" s="48"/>
      <c r="S402" s="48"/>
      <c r="T402" s="48"/>
      <c r="U402" s="48"/>
      <c r="V402" s="48"/>
      <c r="W402" s="48"/>
      <c r="X402" s="48"/>
      <c r="Y402" s="48"/>
      <c r="Z402" s="48"/>
      <c r="AA402" s="48"/>
      <c r="AB402" s="48"/>
      <c r="AC402" s="48"/>
      <c r="AD402" s="48"/>
      <c r="AE402" s="48"/>
      <c r="AF402" s="48"/>
      <c r="AG402" s="48"/>
      <c r="AH402" s="48"/>
      <c r="AI402" s="48"/>
      <c r="AJ402" s="48"/>
      <c r="AK402" s="48">
        <v>0</v>
      </c>
      <c r="AL402" s="48">
        <v>0</v>
      </c>
      <c r="AM402" s="48">
        <v>-1.05</v>
      </c>
      <c r="AN402" s="48">
        <v>0</v>
      </c>
      <c r="AO402" s="48">
        <v>0</v>
      </c>
      <c r="AP402" s="48">
        <v>1.05</v>
      </c>
      <c r="AQ402" s="48">
        <v>0</v>
      </c>
      <c r="AR402" s="48">
        <v>0</v>
      </c>
      <c r="AS402" s="48">
        <v>0</v>
      </c>
      <c r="AT402" s="48">
        <v>0</v>
      </c>
      <c r="AU402" s="48">
        <v>0</v>
      </c>
      <c r="AV402" s="48">
        <v>0</v>
      </c>
      <c r="AW402" s="48">
        <v>3.13</v>
      </c>
      <c r="AX402" s="48">
        <v>-3.13</v>
      </c>
      <c r="AY402" s="48">
        <v>0</v>
      </c>
      <c r="AZ402" s="48">
        <v>0</v>
      </c>
      <c r="BA402" s="48">
        <v>0</v>
      </c>
      <c r="BB402" s="48">
        <v>0</v>
      </c>
      <c r="BC402" s="48">
        <v>0</v>
      </c>
      <c r="BD402" s="48">
        <v>0</v>
      </c>
      <c r="BE402" s="48">
        <v>0</v>
      </c>
      <c r="BF402" s="48">
        <v>0</v>
      </c>
      <c r="BG402" s="48">
        <v>0</v>
      </c>
      <c r="BH402" s="48">
        <v>0</v>
      </c>
      <c r="BI402" s="48">
        <v>0</v>
      </c>
      <c r="BJ402" s="48">
        <v>0</v>
      </c>
      <c r="BK402" s="48">
        <v>0</v>
      </c>
      <c r="BL402" s="48">
        <v>0</v>
      </c>
      <c r="BM402" s="48">
        <v>0</v>
      </c>
      <c r="BN402" s="48">
        <v>0</v>
      </c>
      <c r="BO402" s="48">
        <v>0</v>
      </c>
      <c r="BP402" s="48">
        <v>0</v>
      </c>
      <c r="BQ402" s="48">
        <v>0</v>
      </c>
      <c r="BR402" s="48">
        <v>0</v>
      </c>
      <c r="BS402" s="48">
        <v>0</v>
      </c>
      <c r="BT402" s="48">
        <v>0</v>
      </c>
      <c r="BU402" s="48">
        <v>0</v>
      </c>
      <c r="BV402" s="48">
        <v>0</v>
      </c>
      <c r="BW402" s="48">
        <v>0</v>
      </c>
      <c r="BX402" s="48">
        <v>0</v>
      </c>
      <c r="BY402" s="48">
        <v>0</v>
      </c>
      <c r="BZ402" s="48">
        <v>0</v>
      </c>
      <c r="CA402" s="48">
        <v>0</v>
      </c>
      <c r="CB402" s="48">
        <v>0</v>
      </c>
      <c r="CC402" s="48">
        <v>0</v>
      </c>
      <c r="CD402" s="48">
        <v>0</v>
      </c>
      <c r="CE402" s="48">
        <v>0</v>
      </c>
      <c r="CF402" s="48">
        <v>0</v>
      </c>
      <c r="CG402" s="48">
        <v>0</v>
      </c>
      <c r="CH402" s="48">
        <v>0</v>
      </c>
      <c r="CI402" s="48">
        <v>0</v>
      </c>
      <c r="CJ402" s="48">
        <v>0</v>
      </c>
      <c r="CK402" s="48">
        <v>0</v>
      </c>
      <c r="CL402" s="48">
        <v>0</v>
      </c>
      <c r="CM402" s="48">
        <v>0</v>
      </c>
      <c r="CN402" s="48">
        <v>0</v>
      </c>
      <c r="CO402" s="48">
        <v>0</v>
      </c>
      <c r="CP402" s="48">
        <v>0</v>
      </c>
      <c r="CQ402" s="48">
        <v>0</v>
      </c>
      <c r="CR402" s="48">
        <v>0</v>
      </c>
      <c r="CS402" s="48">
        <v>0</v>
      </c>
      <c r="CT402" s="48">
        <v>0</v>
      </c>
      <c r="CU402" s="48">
        <v>0</v>
      </c>
      <c r="CV402" s="48">
        <v>0</v>
      </c>
      <c r="CW402" s="48">
        <v>0</v>
      </c>
      <c r="CX402" s="48">
        <v>0</v>
      </c>
      <c r="CY402" s="48">
        <v>0</v>
      </c>
      <c r="CZ402" s="48">
        <v>0</v>
      </c>
      <c r="DA402" s="48">
        <v>0</v>
      </c>
      <c r="DB402" s="48">
        <v>0</v>
      </c>
      <c r="DC402" s="48">
        <v>0</v>
      </c>
      <c r="DD402" s="48">
        <v>0</v>
      </c>
      <c r="DE402" s="48">
        <f>VLOOKUP($C402,'[2]Analysis 1'!$C$5:$DG$1025,107,FALSE)</f>
        <v>0</v>
      </c>
      <c r="DF402" s="48">
        <f>VLOOKUP($C402,'[2]Analysis 1'!$C$5:$DG$1025,108,FALSE)</f>
        <v>0</v>
      </c>
      <c r="DG402" s="48">
        <f>VLOOKUP($C402,'[2]Analysis 1'!$C$5:$DG$1025,109,FALSE)</f>
        <v>0</v>
      </c>
      <c r="DH402" s="369">
        <f t="shared" si="13"/>
        <v>0</v>
      </c>
    </row>
    <row r="403" spans="1:112">
      <c r="A403" s="357" t="str">
        <f t="shared" si="12"/>
        <v>8010600</v>
      </c>
      <c r="B403" s="350" t="s">
        <v>2182</v>
      </c>
      <c r="C403" s="335" t="s">
        <v>1257</v>
      </c>
      <c r="D403" s="340">
        <v>0</v>
      </c>
      <c r="E403" s="340">
        <v>0</v>
      </c>
      <c r="F403" s="340">
        <v>0</v>
      </c>
      <c r="G403" s="340">
        <v>0</v>
      </c>
      <c r="H403" s="340">
        <v>0</v>
      </c>
      <c r="I403" s="340">
        <v>0</v>
      </c>
      <c r="J403" s="340">
        <v>0</v>
      </c>
      <c r="K403" s="340">
        <v>0</v>
      </c>
      <c r="L403" s="340">
        <v>0</v>
      </c>
      <c r="M403" s="340">
        <v>0</v>
      </c>
      <c r="N403" s="340">
        <v>0</v>
      </c>
      <c r="O403" s="341">
        <v>0</v>
      </c>
      <c r="P403" s="48">
        <v>0</v>
      </c>
      <c r="Q403" s="48">
        <v>0</v>
      </c>
      <c r="R403" s="48">
        <v>0</v>
      </c>
      <c r="S403" s="48">
        <v>0</v>
      </c>
      <c r="T403" s="48">
        <v>0</v>
      </c>
      <c r="U403" s="48">
        <v>0</v>
      </c>
      <c r="V403" s="48">
        <v>0</v>
      </c>
      <c r="W403" s="48">
        <v>0</v>
      </c>
      <c r="X403" s="48">
        <v>0</v>
      </c>
      <c r="Y403" s="48">
        <v>0</v>
      </c>
      <c r="Z403" s="48">
        <v>0</v>
      </c>
      <c r="AA403" s="48">
        <v>0</v>
      </c>
      <c r="AB403" s="48">
        <v>1</v>
      </c>
      <c r="AC403" s="48">
        <v>2</v>
      </c>
      <c r="AD403" s="48">
        <v>3</v>
      </c>
      <c r="AE403" s="48">
        <v>0</v>
      </c>
      <c r="AF403" s="48">
        <v>0</v>
      </c>
      <c r="AG403" s="48">
        <v>0</v>
      </c>
      <c r="AH403" s="48">
        <v>0</v>
      </c>
      <c r="AI403" s="48">
        <v>0</v>
      </c>
      <c r="AJ403" s="48">
        <v>0</v>
      </c>
      <c r="AK403" s="48">
        <v>0</v>
      </c>
      <c r="AL403" s="48">
        <v>0</v>
      </c>
      <c r="AM403" s="48">
        <v>0</v>
      </c>
      <c r="AN403" s="48">
        <v>0</v>
      </c>
      <c r="AO403" s="48">
        <v>0</v>
      </c>
      <c r="AP403" s="48">
        <v>0</v>
      </c>
      <c r="AQ403" s="48">
        <v>0</v>
      </c>
      <c r="AR403" s="48">
        <v>0</v>
      </c>
      <c r="AS403" s="48">
        <v>0</v>
      </c>
      <c r="AT403" s="48">
        <v>0</v>
      </c>
      <c r="AU403" s="48">
        <v>0</v>
      </c>
      <c r="AV403" s="48">
        <v>0</v>
      </c>
      <c r="AW403" s="48">
        <v>0</v>
      </c>
      <c r="AX403" s="48">
        <v>0</v>
      </c>
      <c r="AY403" s="48">
        <v>0</v>
      </c>
      <c r="AZ403" s="48">
        <v>0</v>
      </c>
      <c r="BA403" s="48">
        <v>0</v>
      </c>
      <c r="BB403" s="48">
        <v>0</v>
      </c>
      <c r="BC403" s="48">
        <v>0</v>
      </c>
      <c r="BD403" s="48">
        <v>0</v>
      </c>
      <c r="BE403" s="48">
        <v>0</v>
      </c>
      <c r="BF403" s="48">
        <v>0</v>
      </c>
      <c r="BG403" s="48">
        <v>0</v>
      </c>
      <c r="BH403" s="48">
        <v>0</v>
      </c>
      <c r="BI403" s="48">
        <v>0</v>
      </c>
      <c r="BJ403" s="48">
        <v>0</v>
      </c>
      <c r="BK403" s="48">
        <v>0</v>
      </c>
      <c r="BL403" s="48">
        <v>0</v>
      </c>
      <c r="BM403" s="48">
        <v>0</v>
      </c>
      <c r="BN403" s="48">
        <v>0</v>
      </c>
      <c r="BO403" s="48">
        <v>0</v>
      </c>
      <c r="BP403" s="48">
        <v>0</v>
      </c>
      <c r="BQ403" s="48">
        <v>0</v>
      </c>
      <c r="BR403" s="48">
        <v>0</v>
      </c>
      <c r="BS403" s="48">
        <v>0</v>
      </c>
      <c r="BT403" s="48">
        <v>0</v>
      </c>
      <c r="BU403" s="48">
        <v>0</v>
      </c>
      <c r="BV403" s="48">
        <v>0</v>
      </c>
      <c r="BW403" s="48">
        <v>0</v>
      </c>
      <c r="BX403" s="48">
        <v>0</v>
      </c>
      <c r="BY403" s="48">
        <v>0</v>
      </c>
      <c r="BZ403" s="48">
        <v>0</v>
      </c>
      <c r="CA403" s="48">
        <v>0</v>
      </c>
      <c r="CB403" s="48">
        <v>0</v>
      </c>
      <c r="CC403" s="48">
        <v>0</v>
      </c>
      <c r="CD403" s="48">
        <v>0</v>
      </c>
      <c r="CE403" s="48">
        <v>0</v>
      </c>
      <c r="CF403" s="48">
        <v>0</v>
      </c>
      <c r="CG403" s="48">
        <v>0</v>
      </c>
      <c r="CH403" s="48">
        <v>0</v>
      </c>
      <c r="CI403" s="48">
        <v>0</v>
      </c>
      <c r="CJ403" s="48">
        <v>0</v>
      </c>
      <c r="CK403" s="48">
        <v>0</v>
      </c>
      <c r="CL403" s="48">
        <v>0</v>
      </c>
      <c r="CM403" s="48">
        <v>0</v>
      </c>
      <c r="CN403" s="48">
        <v>0</v>
      </c>
      <c r="CO403" s="48">
        <v>0</v>
      </c>
      <c r="CP403" s="48">
        <v>0</v>
      </c>
      <c r="CQ403" s="48">
        <v>0</v>
      </c>
      <c r="CR403" s="48">
        <v>0</v>
      </c>
      <c r="CS403" s="48">
        <v>0</v>
      </c>
      <c r="CT403" s="48">
        <v>0</v>
      </c>
      <c r="CU403" s="48">
        <v>0</v>
      </c>
      <c r="CV403" s="48">
        <v>0</v>
      </c>
      <c r="CW403" s="48">
        <v>0</v>
      </c>
      <c r="CX403" s="48">
        <v>0</v>
      </c>
      <c r="CY403" s="48">
        <v>0</v>
      </c>
      <c r="CZ403" s="48">
        <v>0</v>
      </c>
      <c r="DA403" s="48">
        <v>0</v>
      </c>
      <c r="DB403" s="48">
        <v>0</v>
      </c>
      <c r="DC403" s="48">
        <v>0</v>
      </c>
      <c r="DD403" s="48">
        <v>0</v>
      </c>
      <c r="DE403" s="48">
        <f>VLOOKUP($C403,'[2]Analysis 1'!$C$5:$DG$1025,107,FALSE)</f>
        <v>0</v>
      </c>
      <c r="DF403" s="48">
        <f>VLOOKUP($C403,'[2]Analysis 1'!$C$5:$DG$1025,108,FALSE)</f>
        <v>0</v>
      </c>
      <c r="DG403" s="48">
        <f>VLOOKUP($C403,'[2]Analysis 1'!$C$5:$DG$1025,109,FALSE)</f>
        <v>0</v>
      </c>
      <c r="DH403" s="369">
        <f t="shared" si="13"/>
        <v>0</v>
      </c>
    </row>
    <row r="404" spans="1:112">
      <c r="A404" s="1040">
        <f t="shared" si="12"/>
        <v>8900100</v>
      </c>
      <c r="B404" s="956">
        <v>8900100</v>
      </c>
      <c r="C404" s="956" t="s">
        <v>2905</v>
      </c>
      <c r="D404" s="340"/>
      <c r="E404" s="340"/>
      <c r="F404" s="340"/>
      <c r="G404" s="340"/>
      <c r="H404" s="340"/>
      <c r="I404" s="340"/>
      <c r="J404" s="340"/>
      <c r="K404" s="340"/>
      <c r="L404" s="340"/>
      <c r="M404" s="340"/>
      <c r="N404" s="340"/>
      <c r="O404" s="341"/>
      <c r="P404" s="48"/>
      <c r="Q404" s="48"/>
      <c r="R404" s="48"/>
      <c r="S404" s="48"/>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48"/>
      <c r="BA404" s="48"/>
      <c r="BB404" s="48"/>
      <c r="BC404" s="48"/>
      <c r="BD404" s="48"/>
      <c r="BE404" s="48"/>
      <c r="BF404" s="48"/>
      <c r="BG404" s="48"/>
      <c r="BH404" s="48"/>
      <c r="BI404" s="48"/>
      <c r="BJ404" s="48"/>
      <c r="BK404" s="48"/>
      <c r="BL404" s="48"/>
      <c r="BM404" s="48"/>
      <c r="BN404" s="48"/>
      <c r="BO404" s="48"/>
      <c r="BP404" s="48"/>
      <c r="BQ404" s="48"/>
      <c r="BR404" s="48"/>
      <c r="BS404" s="48"/>
      <c r="BT404" s="48"/>
      <c r="BU404" s="48"/>
      <c r="BV404" s="48"/>
      <c r="BW404" s="48"/>
      <c r="BX404" s="48"/>
      <c r="BY404" s="48"/>
      <c r="BZ404" s="48"/>
      <c r="CA404" s="48"/>
      <c r="CB404" s="48"/>
      <c r="CC404" s="48"/>
      <c r="CD404" s="48"/>
      <c r="CE404" s="48"/>
      <c r="CF404" s="48"/>
      <c r="CG404" s="48"/>
      <c r="CH404" s="48"/>
      <c r="CI404" s="48"/>
      <c r="CJ404" s="48"/>
      <c r="CK404" s="48"/>
      <c r="CL404" s="48"/>
      <c r="CM404" s="48"/>
      <c r="CN404" s="48"/>
      <c r="CO404" s="48"/>
      <c r="CP404" s="48"/>
      <c r="CQ404" s="48"/>
      <c r="CR404" s="48"/>
      <c r="CS404" s="48">
        <v>0</v>
      </c>
      <c r="CT404" s="48">
        <v>0</v>
      </c>
      <c r="CU404" s="48">
        <v>0</v>
      </c>
      <c r="CV404" s="48">
        <v>0</v>
      </c>
      <c r="CW404" s="48">
        <v>0</v>
      </c>
      <c r="CX404" s="48">
        <v>0</v>
      </c>
      <c r="CY404" s="48">
        <v>0</v>
      </c>
      <c r="CZ404" s="48">
        <v>0</v>
      </c>
      <c r="DA404" s="48">
        <v>0</v>
      </c>
      <c r="DB404" s="48">
        <v>0</v>
      </c>
      <c r="DC404" s="48">
        <v>0</v>
      </c>
      <c r="DD404" s="48">
        <v>0</v>
      </c>
      <c r="DE404" s="48">
        <f>VLOOKUP($C404,'[2]Analysis 1'!$C$5:$DG$1025,107,FALSE)</f>
        <v>415.77</v>
      </c>
      <c r="DF404" s="48">
        <f>VLOOKUP($C404,'[2]Analysis 1'!$C$5:$DG$1025,108,FALSE)</f>
        <v>0</v>
      </c>
      <c r="DG404" s="48">
        <f>VLOOKUP($C404,'[2]Analysis 1'!$C$5:$DG$1025,109,FALSE)</f>
        <v>0</v>
      </c>
      <c r="DH404" s="369">
        <f t="shared" si="13"/>
        <v>415.77</v>
      </c>
    </row>
    <row r="405" spans="1:112">
      <c r="A405" s="357" t="str">
        <f t="shared" si="12"/>
        <v>8900140</v>
      </c>
      <c r="B405" s="350" t="s">
        <v>2184</v>
      </c>
      <c r="C405" s="335" t="s">
        <v>1258</v>
      </c>
      <c r="D405" s="340">
        <v>393529.14</v>
      </c>
      <c r="E405" s="340">
        <v>364102.51</v>
      </c>
      <c r="F405" s="340">
        <v>430194.33</v>
      </c>
      <c r="G405" s="340">
        <v>432200.27</v>
      </c>
      <c r="H405" s="340">
        <v>384387.02</v>
      </c>
      <c r="I405" s="340">
        <v>383213.38</v>
      </c>
      <c r="J405" s="340">
        <v>257877.04</v>
      </c>
      <c r="K405" s="340">
        <v>354853.12</v>
      </c>
      <c r="L405" s="340">
        <v>302593.39</v>
      </c>
      <c r="M405" s="340">
        <v>19615.43</v>
      </c>
      <c r="N405" s="340">
        <v>218344.53</v>
      </c>
      <c r="O405" s="341">
        <v>292732.93</v>
      </c>
      <c r="P405" s="48">
        <v>290768.96000000002</v>
      </c>
      <c r="Q405" s="48">
        <v>258758.54</v>
      </c>
      <c r="R405" s="48">
        <v>362326.81</v>
      </c>
      <c r="S405" s="48">
        <v>179762.18</v>
      </c>
      <c r="T405" s="48">
        <v>-90169.47</v>
      </c>
      <c r="U405" s="48">
        <v>261459.69</v>
      </c>
      <c r="V405" s="48">
        <v>197119.3</v>
      </c>
      <c r="W405" s="48">
        <v>198094.14</v>
      </c>
      <c r="X405" s="48">
        <v>194922.45</v>
      </c>
      <c r="Y405" s="48">
        <v>191913.13</v>
      </c>
      <c r="Z405" s="48">
        <v>180576.23</v>
      </c>
      <c r="AA405" s="48">
        <v>224267.16</v>
      </c>
      <c r="AB405" s="48">
        <v>110534.95</v>
      </c>
      <c r="AC405" s="48">
        <v>75394.14</v>
      </c>
      <c r="AD405" s="48">
        <v>-45526.62</v>
      </c>
      <c r="AE405" s="48">
        <v>42171.68</v>
      </c>
      <c r="AF405" s="48">
        <v>30295.98</v>
      </c>
      <c r="AG405" s="48">
        <v>3909.26</v>
      </c>
      <c r="AH405" s="48">
        <v>34897.360000000001</v>
      </c>
      <c r="AI405" s="48">
        <v>-19185.560000000001</v>
      </c>
      <c r="AJ405" s="48">
        <v>47052.63</v>
      </c>
      <c r="AK405" s="48">
        <v>57779.38</v>
      </c>
      <c r="AL405" s="48">
        <v>17244.41</v>
      </c>
      <c r="AM405" s="48">
        <v>107574.45</v>
      </c>
      <c r="AN405" s="48">
        <v>228601.52</v>
      </c>
      <c r="AO405" s="48">
        <v>475045.16</v>
      </c>
      <c r="AP405" s="48">
        <v>514588.37</v>
      </c>
      <c r="AQ405" s="48">
        <v>656471.39</v>
      </c>
      <c r="AR405" s="48">
        <v>753287.3</v>
      </c>
      <c r="AS405" s="48">
        <v>922885.54</v>
      </c>
      <c r="AT405" s="48">
        <v>709726.93</v>
      </c>
      <c r="AU405" s="48">
        <v>792943.58</v>
      </c>
      <c r="AV405" s="48">
        <v>601588.66</v>
      </c>
      <c r="AW405" s="48">
        <v>711156.65</v>
      </c>
      <c r="AX405" s="48">
        <v>698473.73</v>
      </c>
      <c r="AY405" s="48">
        <v>829090.79</v>
      </c>
      <c r="AZ405" s="48">
        <v>819332.05</v>
      </c>
      <c r="BA405" s="48">
        <v>668461.92000000004</v>
      </c>
      <c r="BB405" s="48">
        <v>758312.57</v>
      </c>
      <c r="BC405" s="48">
        <v>705479.92</v>
      </c>
      <c r="BD405" s="48">
        <v>880272.38</v>
      </c>
      <c r="BE405" s="48">
        <v>908809.61</v>
      </c>
      <c r="BF405" s="48">
        <v>699624.9</v>
      </c>
      <c r="BG405" s="48">
        <v>640161.49</v>
      </c>
      <c r="BH405" s="48">
        <v>761466.62</v>
      </c>
      <c r="BI405" s="48">
        <v>850861.15</v>
      </c>
      <c r="BJ405" s="48">
        <v>941999.13</v>
      </c>
      <c r="BK405" s="48">
        <v>807324.87</v>
      </c>
      <c r="BL405" s="48">
        <v>862521.07</v>
      </c>
      <c r="BM405" s="48">
        <v>850520.63</v>
      </c>
      <c r="BN405" s="48">
        <v>805015.77</v>
      </c>
      <c r="BO405" s="48">
        <v>772959.79</v>
      </c>
      <c r="BP405" s="48">
        <v>1025152.62</v>
      </c>
      <c r="BQ405" s="48">
        <v>762339.03</v>
      </c>
      <c r="BR405" s="48">
        <v>731046.56</v>
      </c>
      <c r="BS405" s="48">
        <v>1002291.65</v>
      </c>
      <c r="BT405" s="48">
        <v>732021.42</v>
      </c>
      <c r="BU405" s="48">
        <v>793222.97</v>
      </c>
      <c r="BV405" s="48">
        <v>763597.07</v>
      </c>
      <c r="BW405" s="48">
        <v>623950.51</v>
      </c>
      <c r="BX405" s="48">
        <v>962402.5</v>
      </c>
      <c r="BY405" s="48">
        <v>956670.89</v>
      </c>
      <c r="BZ405" s="48">
        <v>1122609.94</v>
      </c>
      <c r="CA405" s="48">
        <v>1076871.1599999999</v>
      </c>
      <c r="CB405" s="48">
        <v>1127941.67</v>
      </c>
      <c r="CC405" s="48">
        <v>996251.95</v>
      </c>
      <c r="CD405" s="48">
        <v>1185348.46</v>
      </c>
      <c r="CE405" s="48">
        <v>963314.53</v>
      </c>
      <c r="CF405" s="48">
        <v>1019287.67</v>
      </c>
      <c r="CG405" s="48">
        <v>1030500.31</v>
      </c>
      <c r="CH405" s="48">
        <v>912276.58</v>
      </c>
      <c r="CI405" s="48">
        <v>1044707.78</v>
      </c>
      <c r="CJ405" s="48">
        <v>911555.88</v>
      </c>
      <c r="CK405" s="48">
        <v>853051.48</v>
      </c>
      <c r="CL405" s="48">
        <v>920678.08</v>
      </c>
      <c r="CM405" s="48">
        <v>923277.43</v>
      </c>
      <c r="CN405" s="48">
        <v>891553.5</v>
      </c>
      <c r="CO405" s="48">
        <v>1161890.75</v>
      </c>
      <c r="CP405" s="48">
        <v>1084462.8700000001</v>
      </c>
      <c r="CQ405" s="48">
        <v>1011842.14</v>
      </c>
      <c r="CR405" s="48">
        <v>948515.42</v>
      </c>
      <c r="CS405" s="48">
        <v>904534.92</v>
      </c>
      <c r="CT405" s="48">
        <v>1109844.1499999999</v>
      </c>
      <c r="CU405" s="48">
        <v>1123805.72</v>
      </c>
      <c r="CV405" s="48">
        <v>1031957.3</v>
      </c>
      <c r="CW405" s="48">
        <v>1011325.2</v>
      </c>
      <c r="CX405" s="48">
        <v>1191462.1200000001</v>
      </c>
      <c r="CY405" s="48">
        <v>1884597.65</v>
      </c>
      <c r="CZ405" s="48">
        <v>1387945.06</v>
      </c>
      <c r="DA405" s="48">
        <v>1861943.85</v>
      </c>
      <c r="DB405" s="48">
        <v>1368697.51</v>
      </c>
      <c r="DC405" s="48">
        <v>1671535.71</v>
      </c>
      <c r="DD405" s="48">
        <v>2000149.4</v>
      </c>
      <c r="DE405" s="48">
        <f>VLOOKUP($C405,'[2]Analysis 1'!$C$5:$DG$1025,107,FALSE)</f>
        <v>1478185.19</v>
      </c>
      <c r="DF405" s="48">
        <f>VLOOKUP($C405,'[2]Analysis 1'!$C$5:$DG$1025,108,FALSE)</f>
        <v>1731824.38</v>
      </c>
      <c r="DG405" s="48">
        <f>VLOOKUP($C405,'[2]Analysis 1'!$C$5:$DG$1025,109,FALSE)</f>
        <v>7432963.4699999997</v>
      </c>
      <c r="DH405" s="369">
        <f t="shared" si="13"/>
        <v>24052586.839999996</v>
      </c>
    </row>
    <row r="406" spans="1:112">
      <c r="A406" s="357" t="str">
        <f t="shared" si="12"/>
        <v>8900141</v>
      </c>
      <c r="B406" s="350" t="s">
        <v>2185</v>
      </c>
      <c r="C406" s="335" t="s">
        <v>1439</v>
      </c>
      <c r="D406" s="340"/>
      <c r="E406" s="340"/>
      <c r="F406" s="340"/>
      <c r="G406" s="340"/>
      <c r="H406" s="340"/>
      <c r="I406" s="340"/>
      <c r="J406" s="340"/>
      <c r="K406" s="340"/>
      <c r="L406" s="340"/>
      <c r="M406" s="340"/>
      <c r="N406" s="340"/>
      <c r="O406" s="341"/>
      <c r="P406" s="48"/>
      <c r="Q406" s="48"/>
      <c r="R406" s="48"/>
      <c r="S406" s="48"/>
      <c r="T406" s="48"/>
      <c r="U406" s="48"/>
      <c r="V406" s="48"/>
      <c r="W406" s="48"/>
      <c r="X406" s="48"/>
      <c r="Y406" s="48"/>
      <c r="Z406" s="48"/>
      <c r="AA406" s="48"/>
      <c r="AB406" s="48"/>
      <c r="AC406" s="48"/>
      <c r="AD406" s="48"/>
      <c r="AE406" s="48">
        <v>102020.69</v>
      </c>
      <c r="AF406" s="48">
        <v>79772.45</v>
      </c>
      <c r="AG406" s="48">
        <v>83380.350000000006</v>
      </c>
      <c r="AH406" s="48">
        <v>82422.69</v>
      </c>
      <c r="AI406" s="48">
        <v>95192.41</v>
      </c>
      <c r="AJ406" s="48">
        <v>94678.95</v>
      </c>
      <c r="AK406" s="48">
        <v>100885.88</v>
      </c>
      <c r="AL406" s="48">
        <v>119591.64</v>
      </c>
      <c r="AM406" s="48">
        <v>109692.98</v>
      </c>
      <c r="AN406" s="48">
        <v>130857.54</v>
      </c>
      <c r="AO406" s="48">
        <v>117175.82</v>
      </c>
      <c r="AP406" s="48">
        <v>139071.47</v>
      </c>
      <c r="AQ406" s="48">
        <v>151231.37</v>
      </c>
      <c r="AR406" s="48">
        <v>181194.37</v>
      </c>
      <c r="AS406" s="48">
        <v>176409.58</v>
      </c>
      <c r="AT406" s="48">
        <v>172869.43</v>
      </c>
      <c r="AU406" s="48">
        <v>184099.76</v>
      </c>
      <c r="AV406" s="48">
        <v>144770.89000000001</v>
      </c>
      <c r="AW406" s="48">
        <v>-27153.72</v>
      </c>
      <c r="AX406" s="48">
        <v>139592.91</v>
      </c>
      <c r="AY406" s="48">
        <v>135716.62</v>
      </c>
      <c r="AZ406" s="48">
        <v>144059.82999999999</v>
      </c>
      <c r="BA406" s="48">
        <v>133089.49</v>
      </c>
      <c r="BB406" s="48">
        <v>117978.01</v>
      </c>
      <c r="BC406" s="48">
        <v>123566.49</v>
      </c>
      <c r="BD406" s="48">
        <v>138861.49</v>
      </c>
      <c r="BE406" s="48">
        <v>132391.41</v>
      </c>
      <c r="BF406" s="48">
        <v>124505.63</v>
      </c>
      <c r="BG406" s="48">
        <v>123041.9</v>
      </c>
      <c r="BH406" s="48">
        <v>101616.02</v>
      </c>
      <c r="BI406" s="48">
        <v>131302.64000000001</v>
      </c>
      <c r="BJ406" s="48">
        <v>112293.18</v>
      </c>
      <c r="BK406" s="48">
        <v>109457.15</v>
      </c>
      <c r="BL406" s="48">
        <v>141982.32</v>
      </c>
      <c r="BM406" s="48">
        <v>147055.82</v>
      </c>
      <c r="BN406" s="48">
        <v>157622.89000000001</v>
      </c>
      <c r="BO406" s="48">
        <v>117473.99</v>
      </c>
      <c r="BP406" s="48">
        <v>141300.13</v>
      </c>
      <c r="BQ406" s="48">
        <v>125462.25</v>
      </c>
      <c r="BR406" s="48">
        <v>178955.98</v>
      </c>
      <c r="BS406" s="48">
        <v>148865.56</v>
      </c>
      <c r="BT406" s="48">
        <v>132142.18</v>
      </c>
      <c r="BU406" s="48">
        <v>179993.05</v>
      </c>
      <c r="BV406" s="48">
        <v>158930.79999999999</v>
      </c>
      <c r="BW406" s="48">
        <v>161557.9</v>
      </c>
      <c r="BX406" s="48">
        <v>0</v>
      </c>
      <c r="BY406" s="48">
        <v>0</v>
      </c>
      <c r="BZ406" s="48">
        <v>0</v>
      </c>
      <c r="CA406" s="48">
        <v>0</v>
      </c>
      <c r="CB406" s="48">
        <v>0</v>
      </c>
      <c r="CC406" s="48">
        <v>0</v>
      </c>
      <c r="CD406" s="48">
        <v>0</v>
      </c>
      <c r="CE406" s="48">
        <v>0</v>
      </c>
      <c r="CF406" s="48">
        <v>0</v>
      </c>
      <c r="CG406" s="48">
        <v>0</v>
      </c>
      <c r="CH406" s="48">
        <v>0</v>
      </c>
      <c r="CI406" s="48">
        <v>0</v>
      </c>
      <c r="CJ406" s="48">
        <v>0</v>
      </c>
      <c r="CK406" s="48">
        <v>47486.85</v>
      </c>
      <c r="CL406" s="48">
        <v>3258.53</v>
      </c>
      <c r="CM406" s="48">
        <v>0</v>
      </c>
      <c r="CN406" s="48">
        <v>0</v>
      </c>
      <c r="CO406" s="48">
        <v>0</v>
      </c>
      <c r="CP406" s="48">
        <v>0</v>
      </c>
      <c r="CQ406" s="48">
        <v>0</v>
      </c>
      <c r="CR406" s="48">
        <v>0</v>
      </c>
      <c r="CS406" s="48">
        <v>0</v>
      </c>
      <c r="CT406" s="48">
        <v>0</v>
      </c>
      <c r="CU406" s="48">
        <v>0</v>
      </c>
      <c r="CV406" s="48">
        <v>0</v>
      </c>
      <c r="CW406" s="48">
        <v>0</v>
      </c>
      <c r="CX406" s="48">
        <v>0</v>
      </c>
      <c r="CY406" s="48">
        <v>0</v>
      </c>
      <c r="CZ406" s="48">
        <v>0</v>
      </c>
      <c r="DA406" s="48">
        <v>0</v>
      </c>
      <c r="DB406" s="48">
        <v>0</v>
      </c>
      <c r="DC406" s="48">
        <v>0</v>
      </c>
      <c r="DD406" s="48">
        <v>0</v>
      </c>
      <c r="DE406" s="48">
        <f>VLOOKUP($C406,'[2]Analysis 1'!$C$5:$DG$1025,107,FALSE)</f>
        <v>0</v>
      </c>
      <c r="DF406" s="48">
        <f>VLOOKUP($C406,'[2]Analysis 1'!$C$5:$DG$1025,108,FALSE)</f>
        <v>0</v>
      </c>
      <c r="DG406" s="48">
        <f>VLOOKUP($C406,'[2]Analysis 1'!$C$5:$DG$1025,109,FALSE)</f>
        <v>0</v>
      </c>
      <c r="DH406" s="369">
        <f t="shared" si="13"/>
        <v>0</v>
      </c>
    </row>
    <row r="407" spans="1:112">
      <c r="A407" s="357" t="str">
        <f t="shared" si="12"/>
        <v>8900170</v>
      </c>
      <c r="B407" s="350" t="s">
        <v>2186</v>
      </c>
      <c r="C407" s="335" t="s">
        <v>1259</v>
      </c>
      <c r="D407" s="340">
        <v>0</v>
      </c>
      <c r="E407" s="340">
        <v>0</v>
      </c>
      <c r="F407" s="340">
        <v>0</v>
      </c>
      <c r="G407" s="340">
        <v>0</v>
      </c>
      <c r="H407" s="340">
        <v>0</v>
      </c>
      <c r="I407" s="340">
        <v>0</v>
      </c>
      <c r="J407" s="340">
        <v>0</v>
      </c>
      <c r="K407" s="340">
        <v>0</v>
      </c>
      <c r="L407" s="340">
        <v>0</v>
      </c>
      <c r="M407" s="340">
        <v>0</v>
      </c>
      <c r="N407" s="340">
        <v>-11.36</v>
      </c>
      <c r="O407" s="341">
        <v>0</v>
      </c>
      <c r="P407" s="48">
        <v>0</v>
      </c>
      <c r="Q407" s="48">
        <v>0</v>
      </c>
      <c r="R407" s="48">
        <v>0</v>
      </c>
      <c r="S407" s="48">
        <v>0</v>
      </c>
      <c r="T407" s="48">
        <v>0</v>
      </c>
      <c r="U407" s="48">
        <v>0.83</v>
      </c>
      <c r="V407" s="48">
        <v>0</v>
      </c>
      <c r="W407" s="48">
        <v>0</v>
      </c>
      <c r="X407" s="48">
        <v>0</v>
      </c>
      <c r="Y407" s="48">
        <v>0</v>
      </c>
      <c r="Z407" s="48">
        <v>0</v>
      </c>
      <c r="AA407" s="48">
        <v>0</v>
      </c>
      <c r="AB407" s="48">
        <v>0</v>
      </c>
      <c r="AC407" s="48">
        <v>0</v>
      </c>
      <c r="AD407" s="48">
        <v>1.1399999999999999</v>
      </c>
      <c r="AE407" s="48">
        <v>0</v>
      </c>
      <c r="AF407" s="48">
        <v>0</v>
      </c>
      <c r="AG407" s="48">
        <v>0</v>
      </c>
      <c r="AH407" s="48">
        <v>0</v>
      </c>
      <c r="AI407" s="48">
        <v>1.82</v>
      </c>
      <c r="AJ407" s="48">
        <v>0</v>
      </c>
      <c r="AK407" s="48">
        <v>0</v>
      </c>
      <c r="AL407" s="48">
        <v>0</v>
      </c>
      <c r="AM407" s="48">
        <v>0</v>
      </c>
      <c r="AN407" s="48">
        <v>1.19</v>
      </c>
      <c r="AO407" s="48">
        <v>0</v>
      </c>
      <c r="AP407" s="48">
        <v>0</v>
      </c>
      <c r="AQ407" s="48">
        <v>0</v>
      </c>
      <c r="AR407" s="48">
        <v>0</v>
      </c>
      <c r="AS407" s="48">
        <v>0</v>
      </c>
      <c r="AT407" s="48">
        <v>0</v>
      </c>
      <c r="AU407" s="48">
        <v>0</v>
      </c>
      <c r="AV407" s="48">
        <v>0</v>
      </c>
      <c r="AW407" s="48">
        <v>0</v>
      </c>
      <c r="AX407" s="48">
        <v>3.75</v>
      </c>
      <c r="AY407" s="48">
        <v>0</v>
      </c>
      <c r="AZ407" s="48">
        <v>0</v>
      </c>
      <c r="BA407" s="48">
        <v>0</v>
      </c>
      <c r="BB407" s="48">
        <v>0</v>
      </c>
      <c r="BC407" s="48">
        <v>0</v>
      </c>
      <c r="BD407" s="48">
        <v>0</v>
      </c>
      <c r="BE407" s="48">
        <v>3.59</v>
      </c>
      <c r="BF407" s="48">
        <v>-124.9</v>
      </c>
      <c r="BG407" s="48">
        <v>0</v>
      </c>
      <c r="BH407" s="48">
        <v>0</v>
      </c>
      <c r="BI407" s="48">
        <v>0</v>
      </c>
      <c r="BJ407" s="48">
        <v>0</v>
      </c>
      <c r="BK407" s="48">
        <v>-245.62</v>
      </c>
      <c r="BL407" s="48">
        <v>0</v>
      </c>
      <c r="BM407" s="48">
        <v>0</v>
      </c>
      <c r="BN407" s="48">
        <v>0</v>
      </c>
      <c r="BO407" s="48">
        <v>0</v>
      </c>
      <c r="BP407" s="48">
        <v>0</v>
      </c>
      <c r="BQ407" s="48">
        <v>0</v>
      </c>
      <c r="BR407" s="48">
        <v>0</v>
      </c>
      <c r="BS407" s="48">
        <v>0</v>
      </c>
      <c r="BT407" s="48">
        <v>9.7799999999999994</v>
      </c>
      <c r="BU407" s="48">
        <v>13.51</v>
      </c>
      <c r="BV407" s="48">
        <v>3.26</v>
      </c>
      <c r="BW407" s="48">
        <v>3.26</v>
      </c>
      <c r="BX407" s="48">
        <v>12.7</v>
      </c>
      <c r="BY407" s="48">
        <v>-529.36</v>
      </c>
      <c r="BZ407" s="48">
        <v>535.11</v>
      </c>
      <c r="CA407" s="48">
        <v>0</v>
      </c>
      <c r="CB407" s="48">
        <v>0</v>
      </c>
      <c r="CC407" s="48">
        <v>0</v>
      </c>
      <c r="CD407" s="48">
        <v>228.76</v>
      </c>
      <c r="CE407" s="48">
        <v>0</v>
      </c>
      <c r="CF407" s="48">
        <v>0</v>
      </c>
      <c r="CG407" s="48">
        <v>2.17</v>
      </c>
      <c r="CH407" s="48">
        <v>0</v>
      </c>
      <c r="CI407" s="48">
        <v>1968.22</v>
      </c>
      <c r="CJ407" s="48">
        <v>0</v>
      </c>
      <c r="CK407" s="48">
        <v>0</v>
      </c>
      <c r="CL407" s="48">
        <v>0</v>
      </c>
      <c r="CM407" s="48">
        <v>1038.8399999999999</v>
      </c>
      <c r="CN407" s="48">
        <v>273.81</v>
      </c>
      <c r="CO407" s="48">
        <v>329.37</v>
      </c>
      <c r="CP407" s="48">
        <v>134.88999999999999</v>
      </c>
      <c r="CQ407" s="48">
        <v>-829.96</v>
      </c>
      <c r="CR407" s="48">
        <v>0</v>
      </c>
      <c r="CS407" s="48">
        <v>0</v>
      </c>
      <c r="CT407" s="48">
        <v>-22.15</v>
      </c>
      <c r="CU407" s="48">
        <v>565.77</v>
      </c>
      <c r="CV407" s="48">
        <v>48086.32</v>
      </c>
      <c r="CW407" s="48">
        <v>45027.43</v>
      </c>
      <c r="CX407" s="48">
        <v>50088.46</v>
      </c>
      <c r="CY407" s="48">
        <v>51829.51</v>
      </c>
      <c r="CZ407" s="48">
        <v>54183.37</v>
      </c>
      <c r="DA407" s="48">
        <v>57129.59</v>
      </c>
      <c r="DB407" s="48">
        <v>61745.63</v>
      </c>
      <c r="DC407" s="48">
        <v>63666.27</v>
      </c>
      <c r="DD407" s="48">
        <v>58098.95</v>
      </c>
      <c r="DE407" s="48">
        <f>VLOOKUP($C407,'[2]Analysis 1'!$C$5:$DG$1025,107,FALSE)</f>
        <v>62372.71</v>
      </c>
      <c r="DF407" s="48">
        <f>VLOOKUP($C407,'[2]Analysis 1'!$C$5:$DG$1025,108,FALSE)</f>
        <v>59425.87</v>
      </c>
      <c r="DG407" s="48">
        <f>VLOOKUP($C407,'[2]Analysis 1'!$C$5:$DG$1025,109,FALSE)</f>
        <v>54825.63</v>
      </c>
      <c r="DH407" s="369">
        <f t="shared" si="13"/>
        <v>666479.74</v>
      </c>
    </row>
    <row r="408" spans="1:112">
      <c r="A408" s="357" t="str">
        <f t="shared" si="12"/>
        <v>8900180</v>
      </c>
      <c r="B408" s="350" t="s">
        <v>2187</v>
      </c>
      <c r="C408" s="335" t="s">
        <v>1260</v>
      </c>
      <c r="D408" s="367">
        <v>48</v>
      </c>
      <c r="E408" s="367">
        <v>47</v>
      </c>
      <c r="F408" s="367">
        <v>46</v>
      </c>
      <c r="G408" s="367">
        <v>46</v>
      </c>
      <c r="H408" s="367">
        <v>68</v>
      </c>
      <c r="I408" s="367">
        <v>43</v>
      </c>
      <c r="J408" s="367">
        <v>43</v>
      </c>
      <c r="K408" s="367">
        <v>44</v>
      </c>
      <c r="L408" s="367">
        <v>46</v>
      </c>
      <c r="M408" s="367">
        <v>75</v>
      </c>
      <c r="N408" s="367">
        <v>50</v>
      </c>
      <c r="O408" s="368">
        <v>50</v>
      </c>
      <c r="P408" s="48">
        <v>0</v>
      </c>
      <c r="Q408" s="48">
        <v>0</v>
      </c>
      <c r="R408" s="48">
        <v>0</v>
      </c>
      <c r="S408" s="48">
        <v>0</v>
      </c>
      <c r="T408" s="48">
        <v>0</v>
      </c>
      <c r="U408" s="48">
        <v>0</v>
      </c>
      <c r="V408" s="48">
        <v>0</v>
      </c>
      <c r="W408" s="48">
        <v>0</v>
      </c>
      <c r="X408" s="48">
        <v>0</v>
      </c>
      <c r="Y408" s="48">
        <v>0</v>
      </c>
      <c r="Z408" s="48">
        <v>0</v>
      </c>
      <c r="AA408" s="48">
        <v>0</v>
      </c>
      <c r="AB408" s="48">
        <v>0</v>
      </c>
      <c r="AC408" s="48">
        <v>0</v>
      </c>
      <c r="AD408" s="48">
        <v>0</v>
      </c>
      <c r="AE408" s="48">
        <v>0</v>
      </c>
      <c r="AF408" s="48">
        <v>0</v>
      </c>
      <c r="AG408" s="48">
        <v>0</v>
      </c>
      <c r="AH408" s="48">
        <v>0</v>
      </c>
      <c r="AI408" s="48">
        <v>0</v>
      </c>
      <c r="AJ408" s="48">
        <v>0</v>
      </c>
      <c r="AK408" s="48">
        <v>0</v>
      </c>
      <c r="AL408" s="48">
        <v>0</v>
      </c>
      <c r="AM408" s="48">
        <v>0</v>
      </c>
      <c r="AN408" s="48">
        <v>0</v>
      </c>
      <c r="AO408" s="48">
        <v>0</v>
      </c>
      <c r="AP408" s="48">
        <v>109.88</v>
      </c>
      <c r="AQ408" s="48">
        <v>0</v>
      </c>
      <c r="AR408" s="48">
        <v>0</v>
      </c>
      <c r="AS408" s="48">
        <v>0</v>
      </c>
      <c r="AT408" s="48">
        <v>0</v>
      </c>
      <c r="AU408" s="48">
        <v>0</v>
      </c>
      <c r="AV408" s="48">
        <v>0</v>
      </c>
      <c r="AW408" s="48">
        <v>0</v>
      </c>
      <c r="AX408" s="48">
        <v>0</v>
      </c>
      <c r="AY408" s="48">
        <v>0</v>
      </c>
      <c r="AZ408" s="48">
        <v>0</v>
      </c>
      <c r="BA408" s="48">
        <v>0</v>
      </c>
      <c r="BB408" s="48">
        <v>0</v>
      </c>
      <c r="BC408" s="48">
        <v>0</v>
      </c>
      <c r="BD408" s="48">
        <v>0</v>
      </c>
      <c r="BE408" s="48">
        <v>0</v>
      </c>
      <c r="BF408" s="48">
        <v>0</v>
      </c>
      <c r="BG408" s="48">
        <v>0</v>
      </c>
      <c r="BH408" s="48">
        <v>0</v>
      </c>
      <c r="BI408" s="48">
        <v>0</v>
      </c>
      <c r="BJ408" s="48">
        <v>0</v>
      </c>
      <c r="BK408" s="48">
        <v>0</v>
      </c>
      <c r="BL408" s="48">
        <v>0</v>
      </c>
      <c r="BM408" s="48">
        <v>0</v>
      </c>
      <c r="BN408" s="48">
        <v>0</v>
      </c>
      <c r="BO408" s="48">
        <v>0</v>
      </c>
      <c r="BP408" s="48">
        <v>0</v>
      </c>
      <c r="BQ408" s="48">
        <v>0</v>
      </c>
      <c r="BR408" s="48">
        <v>0</v>
      </c>
      <c r="BS408" s="48">
        <v>0</v>
      </c>
      <c r="BT408" s="48">
        <v>0</v>
      </c>
      <c r="BU408" s="48">
        <v>0</v>
      </c>
      <c r="BV408" s="48">
        <v>0</v>
      </c>
      <c r="BW408" s="48">
        <v>-2368.0700000000002</v>
      </c>
      <c r="BX408" s="48">
        <v>2368.0700000000002</v>
      </c>
      <c r="BY408" s="48">
        <v>0</v>
      </c>
      <c r="BZ408" s="48">
        <v>0</v>
      </c>
      <c r="CA408" s="48">
        <v>0</v>
      </c>
      <c r="CB408" s="48">
        <v>0</v>
      </c>
      <c r="CC408" s="48">
        <v>0</v>
      </c>
      <c r="CD408" s="48">
        <v>0</v>
      </c>
      <c r="CE408" s="48">
        <v>0</v>
      </c>
      <c r="CF408" s="48">
        <v>0</v>
      </c>
      <c r="CG408" s="48">
        <v>-15987.2</v>
      </c>
      <c r="CH408" s="48">
        <v>0</v>
      </c>
      <c r="CI408" s="48">
        <v>-18543.73</v>
      </c>
      <c r="CJ408" s="48">
        <v>-3808.97</v>
      </c>
      <c r="CK408" s="48">
        <v>0</v>
      </c>
      <c r="CL408" s="48">
        <v>0</v>
      </c>
      <c r="CM408" s="48">
        <v>-14680.09</v>
      </c>
      <c r="CN408" s="48">
        <v>0</v>
      </c>
      <c r="CO408" s="48">
        <v>0</v>
      </c>
      <c r="CP408" s="48">
        <v>-15915.37</v>
      </c>
      <c r="CQ408" s="48">
        <v>0</v>
      </c>
      <c r="CR408" s="48">
        <v>0</v>
      </c>
      <c r="CS408" s="48">
        <v>0</v>
      </c>
      <c r="CT408" s="48">
        <v>0</v>
      </c>
      <c r="CU408" s="48">
        <v>-15600.05</v>
      </c>
      <c r="CV408" s="48">
        <v>0</v>
      </c>
      <c r="CW408" s="48">
        <v>-22373.360000000001</v>
      </c>
      <c r="CX408" s="48">
        <v>-10500</v>
      </c>
      <c r="CY408" s="48">
        <v>0</v>
      </c>
      <c r="CZ408" s="48">
        <v>-21456.61</v>
      </c>
      <c r="DA408" s="48">
        <v>0</v>
      </c>
      <c r="DB408" s="48">
        <v>0</v>
      </c>
      <c r="DC408" s="48">
        <v>-20379.490000000002</v>
      </c>
      <c r="DD408" s="48">
        <v>0</v>
      </c>
      <c r="DE408" s="48">
        <f>VLOOKUP($C408,'[2]Analysis 1'!$C$5:$DG$1025,107,FALSE)</f>
        <v>0</v>
      </c>
      <c r="DF408" s="48">
        <f>VLOOKUP($C408,'[2]Analysis 1'!$C$5:$DG$1025,108,FALSE)</f>
        <v>0</v>
      </c>
      <c r="DG408" s="48">
        <f>VLOOKUP($C408,'[2]Analysis 1'!$C$5:$DG$1025,109,FALSE)</f>
        <v>-14411.13</v>
      </c>
      <c r="DH408" s="369">
        <f t="shared" si="13"/>
        <v>-89120.590000000011</v>
      </c>
    </row>
    <row r="409" spans="1:112">
      <c r="A409" s="357" t="str">
        <f t="shared" si="12"/>
        <v>8903001</v>
      </c>
      <c r="B409" s="350" t="s">
        <v>2188</v>
      </c>
      <c r="C409" s="335" t="s">
        <v>1398</v>
      </c>
      <c r="D409" s="367"/>
      <c r="E409" s="367"/>
      <c r="F409" s="367"/>
      <c r="G409" s="367"/>
      <c r="H409" s="367"/>
      <c r="I409" s="367"/>
      <c r="J409" s="367"/>
      <c r="K409" s="367"/>
      <c r="L409" s="367"/>
      <c r="M409" s="367"/>
      <c r="N409" s="367"/>
      <c r="O409" s="368"/>
      <c r="P409" s="48"/>
      <c r="Q409" s="48"/>
      <c r="R409" s="48"/>
      <c r="S409" s="48"/>
      <c r="T409" s="48"/>
      <c r="U409" s="48">
        <v>340196.87</v>
      </c>
      <c r="V409" s="48">
        <v>360376.11</v>
      </c>
      <c r="W409" s="48">
        <v>327688.73</v>
      </c>
      <c r="X409" s="48">
        <v>505130.44</v>
      </c>
      <c r="Y409" s="48">
        <v>293423.52</v>
      </c>
      <c r="Z409" s="48">
        <v>468968.19</v>
      </c>
      <c r="AA409" s="48">
        <v>456157.34</v>
      </c>
      <c r="AB409" s="48">
        <v>0</v>
      </c>
      <c r="AC409" s="48">
        <v>338795.02</v>
      </c>
      <c r="AD409" s="48">
        <v>433172.44</v>
      </c>
      <c r="AE409" s="48">
        <v>406311.65</v>
      </c>
      <c r="AF409" s="48">
        <v>399331.56</v>
      </c>
      <c r="AG409" s="48">
        <v>425226.31</v>
      </c>
      <c r="AH409" s="48">
        <v>312733.27</v>
      </c>
      <c r="AI409" s="48">
        <v>332500.53000000003</v>
      </c>
      <c r="AJ409" s="48">
        <v>258087.24</v>
      </c>
      <c r="AK409" s="48">
        <v>284161.68</v>
      </c>
      <c r="AL409" s="48">
        <v>541638.15</v>
      </c>
      <c r="AM409" s="48">
        <v>364706.15</v>
      </c>
      <c r="AN409" s="48">
        <v>318617.2</v>
      </c>
      <c r="AO409" s="48">
        <v>256325.83</v>
      </c>
      <c r="AP409" s="48">
        <v>335185.86</v>
      </c>
      <c r="AQ409" s="48">
        <v>294080.78999999998</v>
      </c>
      <c r="AR409" s="48">
        <v>317315.45</v>
      </c>
      <c r="AS409" s="48">
        <v>322341.21000000002</v>
      </c>
      <c r="AT409" s="48">
        <v>296908.77</v>
      </c>
      <c r="AU409" s="48">
        <v>299947.23</v>
      </c>
      <c r="AV409" s="48">
        <v>291944.32000000001</v>
      </c>
      <c r="AW409" s="48">
        <v>346645.64</v>
      </c>
      <c r="AX409" s="48">
        <v>372342.85</v>
      </c>
      <c r="AY409" s="48">
        <v>335426.77</v>
      </c>
      <c r="AZ409" s="48">
        <v>285286.28999999998</v>
      </c>
      <c r="BA409" s="48">
        <v>288474.98</v>
      </c>
      <c r="BB409" s="48">
        <v>311128.25</v>
      </c>
      <c r="BC409" s="48">
        <v>227439.51</v>
      </c>
      <c r="BD409" s="48">
        <v>253752.7</v>
      </c>
      <c r="BE409" s="48">
        <v>435277.96</v>
      </c>
      <c r="BF409" s="48">
        <v>312911.90000000002</v>
      </c>
      <c r="BG409" s="48">
        <v>301242.5</v>
      </c>
      <c r="BH409" s="48">
        <v>448803.56</v>
      </c>
      <c r="BI409" s="48">
        <v>289028.31</v>
      </c>
      <c r="BJ409" s="48">
        <v>284723.36</v>
      </c>
      <c r="BK409" s="48">
        <v>302852.33</v>
      </c>
      <c r="BL409" s="48">
        <v>250241.38</v>
      </c>
      <c r="BM409" s="48">
        <v>232073.1</v>
      </c>
      <c r="BN409" s="48">
        <v>438540.3</v>
      </c>
      <c r="BO409" s="48">
        <v>257556.94</v>
      </c>
      <c r="BP409" s="48">
        <v>253883.5</v>
      </c>
      <c r="BQ409" s="48">
        <v>442260.9</v>
      </c>
      <c r="BR409" s="48">
        <v>226936.25</v>
      </c>
      <c r="BS409" s="48">
        <v>295136.09999999998</v>
      </c>
      <c r="BT409" s="48">
        <v>490284.52</v>
      </c>
      <c r="BU409" s="48">
        <v>229520.12</v>
      </c>
      <c r="BV409" s="48">
        <v>192411.81</v>
      </c>
      <c r="BW409" s="48">
        <v>161287.59</v>
      </c>
      <c r="BX409" s="48">
        <v>254518.65</v>
      </c>
      <c r="BY409" s="48">
        <v>213109.5</v>
      </c>
      <c r="BZ409" s="48">
        <v>387030.9</v>
      </c>
      <c r="CA409" s="48">
        <v>237745.08</v>
      </c>
      <c r="CB409" s="48">
        <v>245899.26</v>
      </c>
      <c r="CC409" s="48">
        <v>195432.38</v>
      </c>
      <c r="CD409" s="48">
        <v>230578.63</v>
      </c>
      <c r="CE409" s="48">
        <v>239354.88</v>
      </c>
      <c r="CF409" s="48">
        <v>340346.17</v>
      </c>
      <c r="CG409" s="48">
        <v>240802.1</v>
      </c>
      <c r="CH409" s="48">
        <v>225389.75</v>
      </c>
      <c r="CI409" s="48">
        <v>700086.58</v>
      </c>
      <c r="CJ409" s="48">
        <v>249019.84</v>
      </c>
      <c r="CK409" s="48">
        <v>281366.49</v>
      </c>
      <c r="CL409" s="48">
        <v>430920.98</v>
      </c>
      <c r="CM409" s="48">
        <v>-9331.7099999999991</v>
      </c>
      <c r="CN409" s="48">
        <v>266496.43</v>
      </c>
      <c r="CO409" s="48">
        <v>348330.4</v>
      </c>
      <c r="CP409" s="48">
        <v>219276.46</v>
      </c>
      <c r="CQ409" s="48">
        <v>255022.12</v>
      </c>
      <c r="CR409" s="48">
        <v>279980.31</v>
      </c>
      <c r="CS409" s="48">
        <v>314206.28000000003</v>
      </c>
      <c r="CT409" s="48">
        <v>221002.93</v>
      </c>
      <c r="CU409" s="48">
        <v>362370.75</v>
      </c>
      <c r="CV409" s="48">
        <v>293125.93</v>
      </c>
      <c r="CW409" s="48">
        <v>288438.14</v>
      </c>
      <c r="CX409" s="48">
        <v>385509.07</v>
      </c>
      <c r="CY409" s="48">
        <v>199253.9</v>
      </c>
      <c r="CZ409" s="48">
        <v>290910.58</v>
      </c>
      <c r="DA409" s="48">
        <v>377934.22</v>
      </c>
      <c r="DB409" s="48">
        <v>278497.23</v>
      </c>
      <c r="DC409" s="48">
        <v>497770.09</v>
      </c>
      <c r="DD409" s="48">
        <v>348449.03</v>
      </c>
      <c r="DE409" s="48">
        <f>VLOOKUP($C409,'[2]Analysis 1'!$C$5:$DG$1025,107,FALSE)</f>
        <v>379492.63</v>
      </c>
      <c r="DF409" s="48">
        <f>VLOOKUP($C409,'[2]Analysis 1'!$C$5:$DG$1025,108,FALSE)</f>
        <v>295335.17</v>
      </c>
      <c r="DG409" s="48">
        <f>VLOOKUP($C409,'[2]Analysis 1'!$C$5:$DG$1025,109,FALSE)</f>
        <v>424684.03</v>
      </c>
      <c r="DH409" s="369">
        <f t="shared" si="13"/>
        <v>4059400.0200000005</v>
      </c>
    </row>
    <row r="410" spans="1:112">
      <c r="A410" s="357" t="str">
        <f t="shared" si="12"/>
        <v>8903002</v>
      </c>
      <c r="B410" s="350" t="s">
        <v>2189</v>
      </c>
      <c r="C410" s="335" t="s">
        <v>1261</v>
      </c>
      <c r="D410" s="340">
        <v>424221</v>
      </c>
      <c r="E410" s="340">
        <v>424221</v>
      </c>
      <c r="F410" s="340">
        <v>424221</v>
      </c>
      <c r="G410" s="340">
        <v>424221</v>
      </c>
      <c r="H410" s="340">
        <v>424221</v>
      </c>
      <c r="I410" s="340">
        <v>424221</v>
      </c>
      <c r="J410" s="340">
        <v>424221</v>
      </c>
      <c r="K410" s="340">
        <v>424221</v>
      </c>
      <c r="L410" s="340">
        <v>424221</v>
      </c>
      <c r="M410" s="340">
        <v>424221</v>
      </c>
      <c r="N410" s="340">
        <v>424221</v>
      </c>
      <c r="O410" s="341">
        <v>424221</v>
      </c>
      <c r="P410" s="48">
        <v>424155.2</v>
      </c>
      <c r="Q410" s="48">
        <v>327099.78999999998</v>
      </c>
      <c r="R410" s="48">
        <v>421274.65</v>
      </c>
      <c r="S410" s="48">
        <v>378032.96</v>
      </c>
      <c r="T410" s="48">
        <v>294047.57</v>
      </c>
      <c r="U410" s="48">
        <v>144014.47</v>
      </c>
      <c r="V410" s="48">
        <v>304923.39</v>
      </c>
      <c r="W410" s="48">
        <v>289482.02</v>
      </c>
      <c r="X410" s="48">
        <v>331747.06</v>
      </c>
      <c r="Y410" s="48">
        <v>332773.44</v>
      </c>
      <c r="Z410" s="48">
        <v>294761.93</v>
      </c>
      <c r="AA410" s="48">
        <v>344128.6</v>
      </c>
      <c r="AB410" s="48">
        <v>0</v>
      </c>
      <c r="AC410" s="48">
        <v>292110.84999999998</v>
      </c>
      <c r="AD410" s="48">
        <v>319408.75</v>
      </c>
      <c r="AE410" s="48">
        <v>275386.3</v>
      </c>
      <c r="AF410" s="48">
        <v>320715.5</v>
      </c>
      <c r="AG410" s="48">
        <v>359381.2</v>
      </c>
      <c r="AH410" s="48">
        <v>317105.73</v>
      </c>
      <c r="AI410" s="48">
        <v>343186.27</v>
      </c>
      <c r="AJ410" s="48">
        <v>445149.53</v>
      </c>
      <c r="AK410" s="48">
        <v>349927.55</v>
      </c>
      <c r="AL410" s="48">
        <v>335463.05</v>
      </c>
      <c r="AM410" s="48">
        <v>419663.69</v>
      </c>
      <c r="AN410" s="48">
        <v>311669.56</v>
      </c>
      <c r="AO410" s="48">
        <v>290150.83</v>
      </c>
      <c r="AP410" s="48">
        <v>317972.55</v>
      </c>
      <c r="AQ410" s="48">
        <v>341123.9</v>
      </c>
      <c r="AR410" s="48">
        <v>354119.67999999999</v>
      </c>
      <c r="AS410" s="48">
        <v>333432.05</v>
      </c>
      <c r="AT410" s="48">
        <v>309489.93</v>
      </c>
      <c r="AU410" s="48">
        <v>335198.09000000003</v>
      </c>
      <c r="AV410" s="48">
        <v>306947.74</v>
      </c>
      <c r="AW410" s="48">
        <v>189630.55</v>
      </c>
      <c r="AX410" s="48">
        <v>321312.67</v>
      </c>
      <c r="AY410" s="48">
        <v>352512.35</v>
      </c>
      <c r="AZ410" s="48">
        <v>387840.64</v>
      </c>
      <c r="BA410" s="48">
        <v>316583.2</v>
      </c>
      <c r="BB410" s="48">
        <v>365942.81</v>
      </c>
      <c r="BC410" s="48">
        <v>386747.22</v>
      </c>
      <c r="BD410" s="48">
        <v>368870.35</v>
      </c>
      <c r="BE410" s="48">
        <v>351690.97</v>
      </c>
      <c r="BF410" s="48">
        <v>360390.84</v>
      </c>
      <c r="BG410" s="48">
        <v>343200.77</v>
      </c>
      <c r="BH410" s="48">
        <v>331496.37</v>
      </c>
      <c r="BI410" s="48">
        <v>339238.56</v>
      </c>
      <c r="BJ410" s="48">
        <v>307777.8</v>
      </c>
      <c r="BK410" s="48">
        <v>327964.99</v>
      </c>
      <c r="BL410" s="48">
        <v>426770.16</v>
      </c>
      <c r="BM410" s="48">
        <v>331421.03000000003</v>
      </c>
      <c r="BN410" s="48">
        <v>360030.75</v>
      </c>
      <c r="BO410" s="48">
        <v>366193.13</v>
      </c>
      <c r="BP410" s="48">
        <v>386179.49</v>
      </c>
      <c r="BQ410" s="48">
        <v>350585.92</v>
      </c>
      <c r="BR410" s="48">
        <v>375243.15</v>
      </c>
      <c r="BS410" s="48">
        <v>359640.56</v>
      </c>
      <c r="BT410" s="48">
        <v>350024.43</v>
      </c>
      <c r="BU410" s="48">
        <v>355093.56</v>
      </c>
      <c r="BV410" s="48">
        <v>350550.81</v>
      </c>
      <c r="BW410" s="48">
        <v>406541.66</v>
      </c>
      <c r="BX410" s="48">
        <v>333936.81</v>
      </c>
      <c r="BY410" s="48">
        <v>446855.16</v>
      </c>
      <c r="BZ410" s="48">
        <v>430343.53</v>
      </c>
      <c r="CA410" s="48">
        <v>468903.4</v>
      </c>
      <c r="CB410" s="48">
        <v>416845.71</v>
      </c>
      <c r="CC410" s="48">
        <v>529473.76</v>
      </c>
      <c r="CD410" s="48">
        <v>373551.56</v>
      </c>
      <c r="CE410" s="48">
        <v>437686.36</v>
      </c>
      <c r="CF410" s="48">
        <v>351217</v>
      </c>
      <c r="CG410" s="48">
        <v>379249.53</v>
      </c>
      <c r="CH410" s="48">
        <v>380499.79</v>
      </c>
      <c r="CI410" s="48">
        <v>395882.03</v>
      </c>
      <c r="CJ410" s="48">
        <v>483012.97</v>
      </c>
      <c r="CK410" s="48">
        <v>417643.07</v>
      </c>
      <c r="CL410" s="48">
        <v>467471.86</v>
      </c>
      <c r="CM410" s="48">
        <v>317307.38</v>
      </c>
      <c r="CN410" s="48">
        <v>467802.1</v>
      </c>
      <c r="CO410" s="48">
        <v>509544.15</v>
      </c>
      <c r="CP410" s="48">
        <v>478566.07</v>
      </c>
      <c r="CQ410" s="48">
        <v>481610.43</v>
      </c>
      <c r="CR410" s="48">
        <v>471861.06</v>
      </c>
      <c r="CS410" s="48">
        <v>399353.38</v>
      </c>
      <c r="CT410" s="48">
        <v>570928.18999999994</v>
      </c>
      <c r="CU410" s="48">
        <v>585398.79</v>
      </c>
      <c r="CV410" s="48">
        <v>443030.39</v>
      </c>
      <c r="CW410" s="48">
        <v>527385.71</v>
      </c>
      <c r="CX410" s="48">
        <v>550690.79</v>
      </c>
      <c r="CY410" s="48">
        <v>504522.87</v>
      </c>
      <c r="CZ410" s="48">
        <v>529057.19999999995</v>
      </c>
      <c r="DA410" s="48">
        <v>499884.02</v>
      </c>
      <c r="DB410" s="48">
        <v>454213.24</v>
      </c>
      <c r="DC410" s="48">
        <v>558039.43000000005</v>
      </c>
      <c r="DD410" s="48">
        <v>507917.14</v>
      </c>
      <c r="DE410" s="48">
        <f>VLOOKUP($C410,'[2]Analysis 1'!$C$5:$DG$1025,107,FALSE)</f>
        <v>642876.30000000005</v>
      </c>
      <c r="DF410" s="48">
        <f>VLOOKUP($C410,'[2]Analysis 1'!$C$5:$DG$1025,108,FALSE)</f>
        <v>502383.01</v>
      </c>
      <c r="DG410" s="48">
        <f>VLOOKUP($C410,'[2]Analysis 1'!$C$5:$DG$1025,109,FALSE)</f>
        <v>724708.72</v>
      </c>
      <c r="DH410" s="369">
        <f t="shared" si="13"/>
        <v>6444708.8199999994</v>
      </c>
    </row>
    <row r="411" spans="1:112">
      <c r="A411" s="357" t="str">
        <f t="shared" si="12"/>
        <v>8903003</v>
      </c>
      <c r="B411" s="350" t="s">
        <v>2191</v>
      </c>
      <c r="C411" s="335" t="s">
        <v>1262</v>
      </c>
      <c r="D411" s="367">
        <v>27867</v>
      </c>
      <c r="E411" s="367">
        <v>27867</v>
      </c>
      <c r="F411" s="367">
        <v>27867</v>
      </c>
      <c r="G411" s="367">
        <v>27867</v>
      </c>
      <c r="H411" s="367">
        <v>27867</v>
      </c>
      <c r="I411" s="367">
        <v>27867</v>
      </c>
      <c r="J411" s="367">
        <v>27867</v>
      </c>
      <c r="K411" s="367">
        <v>27867</v>
      </c>
      <c r="L411" s="367">
        <v>27867</v>
      </c>
      <c r="M411" s="367">
        <v>27867</v>
      </c>
      <c r="N411" s="367">
        <v>27867</v>
      </c>
      <c r="O411" s="368">
        <v>27867</v>
      </c>
      <c r="P411" s="48">
        <v>25309</v>
      </c>
      <c r="Q411" s="48">
        <v>25309</v>
      </c>
      <c r="R411" s="48">
        <v>25309</v>
      </c>
      <c r="S411" s="48">
        <v>25309</v>
      </c>
      <c r="T411" s="48">
        <v>25309</v>
      </c>
      <c r="U411" s="48">
        <v>25309</v>
      </c>
      <c r="V411" s="48">
        <v>25309</v>
      </c>
      <c r="W411" s="48">
        <v>25309</v>
      </c>
      <c r="X411" s="48">
        <v>25309</v>
      </c>
      <c r="Y411" s="48">
        <v>25309</v>
      </c>
      <c r="Z411" s="48">
        <v>25309</v>
      </c>
      <c r="AA411" s="48">
        <v>25309</v>
      </c>
      <c r="AB411" s="48">
        <v>28453</v>
      </c>
      <c r="AC411" s="48">
        <v>28453</v>
      </c>
      <c r="AD411" s="48">
        <v>28453</v>
      </c>
      <c r="AE411" s="48">
        <v>28453</v>
      </c>
      <c r="AF411" s="48">
        <v>28453</v>
      </c>
      <c r="AG411" s="48">
        <v>28453</v>
      </c>
      <c r="AH411" s="48">
        <v>28453</v>
      </c>
      <c r="AI411" s="48">
        <v>28453</v>
      </c>
      <c r="AJ411" s="48">
        <v>28453</v>
      </c>
      <c r="AK411" s="48">
        <v>28453</v>
      </c>
      <c r="AL411" s="48">
        <v>28453</v>
      </c>
      <c r="AM411" s="48">
        <v>28453</v>
      </c>
      <c r="AN411" s="48">
        <v>22238</v>
      </c>
      <c r="AO411" s="48">
        <v>22238</v>
      </c>
      <c r="AP411" s="48">
        <v>22238</v>
      </c>
      <c r="AQ411" s="48">
        <v>22238</v>
      </c>
      <c r="AR411" s="48">
        <v>22238</v>
      </c>
      <c r="AS411" s="48">
        <v>22238</v>
      </c>
      <c r="AT411" s="48">
        <v>22238</v>
      </c>
      <c r="AU411" s="48">
        <v>22238</v>
      </c>
      <c r="AV411" s="48">
        <v>22238</v>
      </c>
      <c r="AW411" s="48">
        <v>22238</v>
      </c>
      <c r="AX411" s="48">
        <v>22238</v>
      </c>
      <c r="AY411" s="48">
        <v>22238</v>
      </c>
      <c r="AZ411" s="48">
        <v>22306</v>
      </c>
      <c r="BA411" s="48">
        <v>22306</v>
      </c>
      <c r="BB411" s="48">
        <v>22306</v>
      </c>
      <c r="BC411" s="48">
        <v>22306</v>
      </c>
      <c r="BD411" s="48">
        <v>22306</v>
      </c>
      <c r="BE411" s="48">
        <v>22306</v>
      </c>
      <c r="BF411" s="48">
        <v>22306</v>
      </c>
      <c r="BG411" s="48">
        <v>22306</v>
      </c>
      <c r="BH411" s="48">
        <v>22306</v>
      </c>
      <c r="BI411" s="48">
        <v>22306</v>
      </c>
      <c r="BJ411" s="48">
        <v>22306</v>
      </c>
      <c r="BK411" s="48">
        <v>22306</v>
      </c>
      <c r="BL411" s="48">
        <v>19953</v>
      </c>
      <c r="BM411" s="48">
        <v>19953</v>
      </c>
      <c r="BN411" s="48">
        <v>19953</v>
      </c>
      <c r="BO411" s="48">
        <v>19953</v>
      </c>
      <c r="BP411" s="48">
        <v>19953</v>
      </c>
      <c r="BQ411" s="48">
        <v>19953</v>
      </c>
      <c r="BR411" s="48">
        <v>19953</v>
      </c>
      <c r="BS411" s="48">
        <v>19953</v>
      </c>
      <c r="BT411" s="48">
        <v>19953</v>
      </c>
      <c r="BU411" s="48">
        <v>19953</v>
      </c>
      <c r="BV411" s="48">
        <v>19953</v>
      </c>
      <c r="BW411" s="48">
        <v>19953</v>
      </c>
      <c r="BX411" s="48">
        <v>28789</v>
      </c>
      <c r="BY411" s="48">
        <v>28789</v>
      </c>
      <c r="BZ411" s="48">
        <v>28789</v>
      </c>
      <c r="CA411" s="48">
        <v>28789</v>
      </c>
      <c r="CB411" s="48">
        <v>28789</v>
      </c>
      <c r="CC411" s="48">
        <v>28789</v>
      </c>
      <c r="CD411" s="48">
        <v>28789</v>
      </c>
      <c r="CE411" s="48">
        <v>28789</v>
      </c>
      <c r="CF411" s="48">
        <v>28789</v>
      </c>
      <c r="CG411" s="48">
        <v>28789</v>
      </c>
      <c r="CH411" s="48">
        <v>28789</v>
      </c>
      <c r="CI411" s="48">
        <v>28789</v>
      </c>
      <c r="CJ411" s="48">
        <v>32821</v>
      </c>
      <c r="CK411" s="48">
        <v>32821</v>
      </c>
      <c r="CL411" s="48">
        <v>32821</v>
      </c>
      <c r="CM411" s="48">
        <v>32821</v>
      </c>
      <c r="CN411" s="48">
        <v>32821</v>
      </c>
      <c r="CO411" s="48">
        <v>32821</v>
      </c>
      <c r="CP411" s="48">
        <v>32821</v>
      </c>
      <c r="CQ411" s="48">
        <v>32821</v>
      </c>
      <c r="CR411" s="48">
        <v>32821</v>
      </c>
      <c r="CS411" s="48">
        <v>32821</v>
      </c>
      <c r="CT411" s="48">
        <v>32821</v>
      </c>
      <c r="CU411" s="48">
        <v>32821</v>
      </c>
      <c r="CV411" s="48">
        <v>32821</v>
      </c>
      <c r="CW411" s="48">
        <v>31643</v>
      </c>
      <c r="CX411" s="48">
        <v>31643</v>
      </c>
      <c r="CY411" s="48">
        <v>31643</v>
      </c>
      <c r="CZ411" s="48">
        <v>31643</v>
      </c>
      <c r="DA411" s="48">
        <v>31643</v>
      </c>
      <c r="DB411" s="48">
        <v>31643</v>
      </c>
      <c r="DC411" s="48">
        <v>31643</v>
      </c>
      <c r="DD411" s="48">
        <v>31643</v>
      </c>
      <c r="DE411" s="48">
        <f>VLOOKUP($C411,'[2]Analysis 1'!$C$5:$DG$1025,107,FALSE)</f>
        <v>31643</v>
      </c>
      <c r="DF411" s="48">
        <f>VLOOKUP($C411,'[2]Analysis 1'!$C$5:$DG$1025,108,FALSE)</f>
        <v>31643</v>
      </c>
      <c r="DG411" s="48">
        <f>VLOOKUP($C411,'[2]Analysis 1'!$C$5:$DG$1025,109,FALSE)</f>
        <v>31643</v>
      </c>
      <c r="DH411" s="369">
        <f t="shared" si="13"/>
        <v>380894</v>
      </c>
    </row>
    <row r="412" spans="1:112">
      <c r="A412" s="357" t="str">
        <f t="shared" si="12"/>
        <v>8903004</v>
      </c>
      <c r="B412" s="350" t="s">
        <v>2190</v>
      </c>
      <c r="C412" s="335" t="s">
        <v>1263</v>
      </c>
      <c r="D412" s="367">
        <v>17754</v>
      </c>
      <c r="E412" s="367">
        <v>17754</v>
      </c>
      <c r="F412" s="367">
        <v>17754</v>
      </c>
      <c r="G412" s="367">
        <v>17754</v>
      </c>
      <c r="H412" s="367">
        <v>17754</v>
      </c>
      <c r="I412" s="367">
        <v>17754</v>
      </c>
      <c r="J412" s="367">
        <v>17754</v>
      </c>
      <c r="K412" s="367">
        <v>17754</v>
      </c>
      <c r="L412" s="367">
        <v>17754</v>
      </c>
      <c r="M412" s="367">
        <v>17754</v>
      </c>
      <c r="N412" s="367">
        <v>17754</v>
      </c>
      <c r="O412" s="368">
        <v>17754</v>
      </c>
      <c r="P412" s="48">
        <v>15703</v>
      </c>
      <c r="Q412" s="48">
        <v>15703</v>
      </c>
      <c r="R412" s="48">
        <v>16120</v>
      </c>
      <c r="S412" s="48">
        <v>16120</v>
      </c>
      <c r="T412" s="48">
        <v>16120</v>
      </c>
      <c r="U412" s="48">
        <v>16120</v>
      </c>
      <c r="V412" s="48">
        <v>16120</v>
      </c>
      <c r="W412" s="48">
        <v>16120</v>
      </c>
      <c r="X412" s="48">
        <v>16475</v>
      </c>
      <c r="Y412" s="48">
        <v>16475</v>
      </c>
      <c r="Z412" s="48">
        <v>16475</v>
      </c>
      <c r="AA412" s="48">
        <v>16475</v>
      </c>
      <c r="AB412" s="48">
        <v>16500</v>
      </c>
      <c r="AC412" s="48">
        <v>16500</v>
      </c>
      <c r="AD412" s="48">
        <v>16500</v>
      </c>
      <c r="AE412" s="48">
        <v>16500</v>
      </c>
      <c r="AF412" s="48">
        <v>16500</v>
      </c>
      <c r="AG412" s="48">
        <v>16500</v>
      </c>
      <c r="AH412" s="48">
        <v>16500</v>
      </c>
      <c r="AI412" s="48">
        <v>16500</v>
      </c>
      <c r="AJ412" s="48">
        <v>16500</v>
      </c>
      <c r="AK412" s="48">
        <v>16500</v>
      </c>
      <c r="AL412" s="48">
        <v>16500</v>
      </c>
      <c r="AM412" s="48">
        <v>16500</v>
      </c>
      <c r="AN412" s="48">
        <v>18845</v>
      </c>
      <c r="AO412" s="48">
        <v>18845</v>
      </c>
      <c r="AP412" s="48">
        <v>18845</v>
      </c>
      <c r="AQ412" s="48">
        <v>18845</v>
      </c>
      <c r="AR412" s="48">
        <v>18845</v>
      </c>
      <c r="AS412" s="48">
        <v>18845</v>
      </c>
      <c r="AT412" s="48">
        <v>18845</v>
      </c>
      <c r="AU412" s="48">
        <v>18845</v>
      </c>
      <c r="AV412" s="48">
        <v>18845</v>
      </c>
      <c r="AW412" s="48">
        <v>18845</v>
      </c>
      <c r="AX412" s="48">
        <v>18845</v>
      </c>
      <c r="AY412" s="48">
        <v>18845</v>
      </c>
      <c r="AZ412" s="48">
        <v>17454</v>
      </c>
      <c r="BA412" s="48">
        <v>17454</v>
      </c>
      <c r="BB412" s="48">
        <v>17454</v>
      </c>
      <c r="BC412" s="48">
        <v>17454</v>
      </c>
      <c r="BD412" s="48">
        <v>17454</v>
      </c>
      <c r="BE412" s="48">
        <v>17454</v>
      </c>
      <c r="BF412" s="48">
        <v>17454</v>
      </c>
      <c r="BG412" s="48">
        <v>17454</v>
      </c>
      <c r="BH412" s="48">
        <v>17454</v>
      </c>
      <c r="BI412" s="48">
        <v>17454</v>
      </c>
      <c r="BJ412" s="48">
        <v>17454</v>
      </c>
      <c r="BK412" s="48">
        <v>17454</v>
      </c>
      <c r="BL412" s="48">
        <v>18029</v>
      </c>
      <c r="BM412" s="48">
        <v>18029</v>
      </c>
      <c r="BN412" s="48">
        <v>18029</v>
      </c>
      <c r="BO412" s="48">
        <v>18029</v>
      </c>
      <c r="BP412" s="48">
        <v>18029</v>
      </c>
      <c r="BQ412" s="48">
        <v>18029</v>
      </c>
      <c r="BR412" s="48">
        <v>18029</v>
      </c>
      <c r="BS412" s="48">
        <v>18029</v>
      </c>
      <c r="BT412" s="48">
        <v>18029</v>
      </c>
      <c r="BU412" s="48">
        <v>18029</v>
      </c>
      <c r="BV412" s="48">
        <v>18029</v>
      </c>
      <c r="BW412" s="48">
        <v>18029</v>
      </c>
      <c r="BX412" s="48">
        <v>18029</v>
      </c>
      <c r="BY412" s="48">
        <v>18029</v>
      </c>
      <c r="BZ412" s="48">
        <v>31637</v>
      </c>
      <c r="CA412" s="48">
        <v>22565</v>
      </c>
      <c r="CB412" s="48">
        <v>22565</v>
      </c>
      <c r="CC412" s="48">
        <v>22565</v>
      </c>
      <c r="CD412" s="48">
        <v>22565</v>
      </c>
      <c r="CE412" s="48">
        <v>22565</v>
      </c>
      <c r="CF412" s="48">
        <v>22565</v>
      </c>
      <c r="CG412" s="48">
        <v>22565</v>
      </c>
      <c r="CH412" s="48">
        <v>22565</v>
      </c>
      <c r="CI412" s="48">
        <v>22565</v>
      </c>
      <c r="CJ412" s="48">
        <v>23105</v>
      </c>
      <c r="CK412" s="48">
        <v>23105</v>
      </c>
      <c r="CL412" s="48">
        <v>23105</v>
      </c>
      <c r="CM412" s="48">
        <v>23105</v>
      </c>
      <c r="CN412" s="48">
        <v>23105</v>
      </c>
      <c r="CO412" s="48">
        <v>23105</v>
      </c>
      <c r="CP412" s="48">
        <v>23105</v>
      </c>
      <c r="CQ412" s="48">
        <v>23105</v>
      </c>
      <c r="CR412" s="48">
        <v>23105</v>
      </c>
      <c r="CS412" s="48">
        <v>23105</v>
      </c>
      <c r="CT412" s="48">
        <v>23105</v>
      </c>
      <c r="CU412" s="48">
        <v>23105</v>
      </c>
      <c r="CV412" s="48">
        <v>23105</v>
      </c>
      <c r="CW412" s="48">
        <v>23105.78</v>
      </c>
      <c r="CX412" s="48">
        <v>23105.78</v>
      </c>
      <c r="CY412" s="48">
        <v>23105.78</v>
      </c>
      <c r="CZ412" s="48">
        <v>23105.78</v>
      </c>
      <c r="DA412" s="48">
        <v>23105.78</v>
      </c>
      <c r="DB412" s="48">
        <v>23105.78</v>
      </c>
      <c r="DC412" s="48">
        <v>23105.78</v>
      </c>
      <c r="DD412" s="48">
        <v>23105.78</v>
      </c>
      <c r="DE412" s="48">
        <f>VLOOKUP($C412,'[2]Analysis 1'!$C$5:$DG$1025,107,FALSE)</f>
        <v>23105.78</v>
      </c>
      <c r="DF412" s="48">
        <f>VLOOKUP($C412,'[2]Analysis 1'!$C$5:$DG$1025,108,FALSE)</f>
        <v>23105.78</v>
      </c>
      <c r="DG412" s="48">
        <f>VLOOKUP($C412,'[2]Analysis 1'!$C$5:$DG$1025,109,FALSE)</f>
        <v>23105.78</v>
      </c>
      <c r="DH412" s="369">
        <f t="shared" si="13"/>
        <v>277268.57999999996</v>
      </c>
    </row>
    <row r="413" spans="1:112">
      <c r="A413" s="357" t="str">
        <f t="shared" si="12"/>
        <v>8903005</v>
      </c>
      <c r="B413" s="350" t="s">
        <v>2192</v>
      </c>
      <c r="C413" s="335" t="s">
        <v>1394</v>
      </c>
      <c r="D413" s="367"/>
      <c r="E413" s="367"/>
      <c r="F413" s="367"/>
      <c r="G413" s="367"/>
      <c r="H413" s="367"/>
      <c r="I413" s="367"/>
      <c r="J413" s="367"/>
      <c r="K413" s="367"/>
      <c r="L413" s="367"/>
      <c r="M413" s="367"/>
      <c r="N413" s="367"/>
      <c r="O413" s="368"/>
      <c r="P413" s="48"/>
      <c r="Q413" s="48"/>
      <c r="R413" s="48"/>
      <c r="S413" s="48"/>
      <c r="T413" s="48"/>
      <c r="U413" s="48">
        <v>85760.81</v>
      </c>
      <c r="V413" s="48">
        <v>90159.16</v>
      </c>
      <c r="W413" s="48">
        <v>80768.160000000003</v>
      </c>
      <c r="X413" s="48">
        <v>90866.57</v>
      </c>
      <c r="Y413" s="48">
        <v>103440.16</v>
      </c>
      <c r="Z413" s="48">
        <v>88746.31</v>
      </c>
      <c r="AA413" s="48">
        <v>104819.93</v>
      </c>
      <c r="AB413" s="48">
        <v>0</v>
      </c>
      <c r="AC413" s="48">
        <v>73062.45</v>
      </c>
      <c r="AD413" s="48">
        <v>73223.259999999995</v>
      </c>
      <c r="AE413" s="48">
        <v>71389.490000000005</v>
      </c>
      <c r="AF413" s="48">
        <v>89389.08</v>
      </c>
      <c r="AG413" s="48">
        <v>89274.559999999998</v>
      </c>
      <c r="AH413" s="48">
        <v>74569.009999999995</v>
      </c>
      <c r="AI413" s="48">
        <v>83909.26</v>
      </c>
      <c r="AJ413" s="48">
        <v>84209.1</v>
      </c>
      <c r="AK413" s="48">
        <v>91039.35</v>
      </c>
      <c r="AL413" s="48">
        <v>81827.72</v>
      </c>
      <c r="AM413" s="48">
        <v>86445.759999999995</v>
      </c>
      <c r="AN413" s="48">
        <v>95929.86</v>
      </c>
      <c r="AO413" s="48">
        <v>79350.47</v>
      </c>
      <c r="AP413" s="48">
        <v>94323.54</v>
      </c>
      <c r="AQ413" s="48">
        <v>82555.100000000006</v>
      </c>
      <c r="AR413" s="48">
        <v>95321.61</v>
      </c>
      <c r="AS413" s="48">
        <v>85947.18</v>
      </c>
      <c r="AT413" s="48">
        <v>87441.94</v>
      </c>
      <c r="AU413" s="48">
        <v>90868.67</v>
      </c>
      <c r="AV413" s="48">
        <v>70182.570000000007</v>
      </c>
      <c r="AW413" s="48">
        <v>95036.160000000003</v>
      </c>
      <c r="AX413" s="48">
        <v>89726.24</v>
      </c>
      <c r="AY413" s="48">
        <v>98071.28</v>
      </c>
      <c r="AZ413" s="48">
        <v>92665.61</v>
      </c>
      <c r="BA413" s="48">
        <v>80515.41</v>
      </c>
      <c r="BB413" s="48">
        <v>84523.1</v>
      </c>
      <c r="BC413" s="48">
        <v>81407.92</v>
      </c>
      <c r="BD413" s="48">
        <v>90525.57</v>
      </c>
      <c r="BE413" s="48">
        <v>88380.46</v>
      </c>
      <c r="BF413" s="48">
        <v>104011.1</v>
      </c>
      <c r="BG413" s="48">
        <v>100437.01</v>
      </c>
      <c r="BH413" s="48">
        <v>73367.3</v>
      </c>
      <c r="BI413" s="48">
        <v>95991.33</v>
      </c>
      <c r="BJ413" s="48">
        <v>77875.13</v>
      </c>
      <c r="BK413" s="48">
        <v>84686.77</v>
      </c>
      <c r="BL413" s="48">
        <v>125623.97</v>
      </c>
      <c r="BM413" s="48">
        <v>84449.69</v>
      </c>
      <c r="BN413" s="48">
        <v>80829.72</v>
      </c>
      <c r="BO413" s="48">
        <v>95087.69</v>
      </c>
      <c r="BP413" s="48">
        <v>113772.2</v>
      </c>
      <c r="BQ413" s="48">
        <v>81659.5</v>
      </c>
      <c r="BR413" s="48">
        <v>114949.88</v>
      </c>
      <c r="BS413" s="48">
        <v>92982.720000000001</v>
      </c>
      <c r="BT413" s="48">
        <v>83564.98</v>
      </c>
      <c r="BU413" s="48">
        <v>111986.15</v>
      </c>
      <c r="BV413" s="48">
        <v>87999.53</v>
      </c>
      <c r="BW413" s="48">
        <v>85150.37</v>
      </c>
      <c r="BX413" s="48">
        <v>32007.93</v>
      </c>
      <c r="BY413" s="48">
        <v>36681.71</v>
      </c>
      <c r="BZ413" s="48">
        <v>40159.870000000003</v>
      </c>
      <c r="CA413" s="48">
        <v>30514.66</v>
      </c>
      <c r="CB413" s="48">
        <v>30054.080000000002</v>
      </c>
      <c r="CC413" s="48">
        <v>34975.82</v>
      </c>
      <c r="CD413" s="48">
        <v>32789.11</v>
      </c>
      <c r="CE413" s="48">
        <v>81941.17</v>
      </c>
      <c r="CF413" s="48">
        <v>40009.129999999997</v>
      </c>
      <c r="CG413" s="48">
        <v>39860.519999999997</v>
      </c>
      <c r="CH413" s="48">
        <v>32728.05</v>
      </c>
      <c r="CI413" s="48">
        <v>46945.93</v>
      </c>
      <c r="CJ413" s="48">
        <v>42984.85</v>
      </c>
      <c r="CK413" s="48">
        <v>37043.730000000003</v>
      </c>
      <c r="CL413" s="48">
        <v>54834.12</v>
      </c>
      <c r="CM413" s="48">
        <v>40207.879999999997</v>
      </c>
      <c r="CN413" s="48">
        <v>33240.28</v>
      </c>
      <c r="CO413" s="48">
        <v>36320.730000000003</v>
      </c>
      <c r="CP413" s="48">
        <v>40421.32</v>
      </c>
      <c r="CQ413" s="48">
        <v>35796.050000000003</v>
      </c>
      <c r="CR413" s="48">
        <v>-94258.08</v>
      </c>
      <c r="CS413" s="48">
        <v>166216.37</v>
      </c>
      <c r="CT413" s="48">
        <v>32248.73</v>
      </c>
      <c r="CU413" s="48">
        <v>55637.65</v>
      </c>
      <c r="CV413" s="48">
        <v>53974.71</v>
      </c>
      <c r="CW413" s="48">
        <v>29870.62</v>
      </c>
      <c r="CX413" s="48">
        <v>34606.94</v>
      </c>
      <c r="CY413" s="48">
        <v>25674.959999999999</v>
      </c>
      <c r="CZ413" s="48">
        <v>11475.12</v>
      </c>
      <c r="DA413" s="48">
        <v>48131.1</v>
      </c>
      <c r="DB413" s="48">
        <v>33640.85</v>
      </c>
      <c r="DC413" s="48">
        <v>37927.89</v>
      </c>
      <c r="DD413" s="48">
        <v>32683.72</v>
      </c>
      <c r="DE413" s="48">
        <f>VLOOKUP($C413,'[2]Analysis 1'!$C$5:$DG$1025,107,FALSE)</f>
        <v>29500.21</v>
      </c>
      <c r="DF413" s="48">
        <f>VLOOKUP($C413,'[2]Analysis 1'!$C$5:$DG$1025,108,FALSE)</f>
        <v>35875.370000000003</v>
      </c>
      <c r="DG413" s="48">
        <f>VLOOKUP($C413,'[2]Analysis 1'!$C$5:$DG$1025,109,FALSE)</f>
        <v>30462.29</v>
      </c>
      <c r="DH413" s="369">
        <f t="shared" si="13"/>
        <v>403823.78</v>
      </c>
    </row>
    <row r="414" spans="1:112">
      <c r="A414" s="357" t="str">
        <f t="shared" si="12"/>
        <v>8903006</v>
      </c>
      <c r="B414" s="350" t="s">
        <v>2193</v>
      </c>
      <c r="C414" s="335" t="s">
        <v>1395</v>
      </c>
      <c r="D414" s="367"/>
      <c r="E414" s="367"/>
      <c r="F414" s="367"/>
      <c r="G414" s="367"/>
      <c r="H414" s="367"/>
      <c r="I414" s="367"/>
      <c r="J414" s="367"/>
      <c r="K414" s="367"/>
      <c r="L414" s="367"/>
      <c r="M414" s="367"/>
      <c r="N414" s="367"/>
      <c r="O414" s="368"/>
      <c r="P414" s="48"/>
      <c r="Q414" s="48"/>
      <c r="R414" s="48"/>
      <c r="S414" s="48"/>
      <c r="T414" s="48"/>
      <c r="U414" s="48">
        <v>100475.17</v>
      </c>
      <c r="V414" s="48">
        <v>97087.31</v>
      </c>
      <c r="W414" s="48">
        <v>73487.210000000006</v>
      </c>
      <c r="X414" s="48">
        <v>80931.48</v>
      </c>
      <c r="Y414" s="48">
        <v>89464.24</v>
      </c>
      <c r="Z414" s="48">
        <v>88024.81</v>
      </c>
      <c r="AA414" s="48">
        <v>116094.95</v>
      </c>
      <c r="AB414" s="48">
        <v>0</v>
      </c>
      <c r="AC414" s="48">
        <v>92711.46</v>
      </c>
      <c r="AD414" s="48">
        <v>91299.35</v>
      </c>
      <c r="AE414" s="48">
        <v>81697.62</v>
      </c>
      <c r="AF414" s="48">
        <v>79615.539999999994</v>
      </c>
      <c r="AG414" s="48">
        <v>104116.01</v>
      </c>
      <c r="AH414" s="48">
        <v>80993.460000000006</v>
      </c>
      <c r="AI414" s="48">
        <v>81907.78</v>
      </c>
      <c r="AJ414" s="48">
        <v>84418.76</v>
      </c>
      <c r="AK414" s="48">
        <v>76760.97</v>
      </c>
      <c r="AL414" s="48">
        <v>79988.06</v>
      </c>
      <c r="AM414" s="48">
        <v>103823.46</v>
      </c>
      <c r="AN414" s="48">
        <v>120560.04</v>
      </c>
      <c r="AO414" s="48">
        <v>98375.81</v>
      </c>
      <c r="AP414" s="48">
        <v>105639</v>
      </c>
      <c r="AQ414" s="48">
        <v>97639.07</v>
      </c>
      <c r="AR414" s="48">
        <v>113440.9</v>
      </c>
      <c r="AS414" s="48">
        <v>104385.03</v>
      </c>
      <c r="AT414" s="48">
        <v>114813.36</v>
      </c>
      <c r="AU414" s="48">
        <v>102024.82</v>
      </c>
      <c r="AV414" s="48">
        <v>76536.83</v>
      </c>
      <c r="AW414" s="48">
        <v>97494.080000000002</v>
      </c>
      <c r="AX414" s="48">
        <v>103745.11</v>
      </c>
      <c r="AY414" s="48">
        <v>112520.95</v>
      </c>
      <c r="AZ414" s="48">
        <v>137549.57999999999</v>
      </c>
      <c r="BA414" s="48">
        <v>108888.12</v>
      </c>
      <c r="BB414" s="48">
        <v>100677.68</v>
      </c>
      <c r="BC414" s="48">
        <v>99067.83</v>
      </c>
      <c r="BD414" s="48">
        <v>110689</v>
      </c>
      <c r="BE414" s="48">
        <v>93634.15</v>
      </c>
      <c r="BF414" s="48">
        <v>123646.2</v>
      </c>
      <c r="BG414" s="48">
        <v>115074.35</v>
      </c>
      <c r="BH414" s="48">
        <v>101084.5</v>
      </c>
      <c r="BI414" s="48">
        <v>109584.67</v>
      </c>
      <c r="BJ414" s="48">
        <v>97280.65</v>
      </c>
      <c r="BK414" s="48">
        <v>106368.46</v>
      </c>
      <c r="BL414" s="48">
        <v>150916.1</v>
      </c>
      <c r="BM414" s="48">
        <v>119408.59</v>
      </c>
      <c r="BN414" s="48">
        <v>104945.94</v>
      </c>
      <c r="BO414" s="48">
        <v>121039.01</v>
      </c>
      <c r="BP414" s="48">
        <v>127988.52</v>
      </c>
      <c r="BQ414" s="48">
        <v>102346.61</v>
      </c>
      <c r="BR414" s="48">
        <v>117822.09</v>
      </c>
      <c r="BS414" s="48">
        <v>133237.03</v>
      </c>
      <c r="BT414" s="48">
        <v>105059.23</v>
      </c>
      <c r="BU414" s="48">
        <v>116122.33</v>
      </c>
      <c r="BV414" s="48">
        <v>116040.35</v>
      </c>
      <c r="BW414" s="48">
        <v>157339.75</v>
      </c>
      <c r="BX414" s="48">
        <v>27006.58</v>
      </c>
      <c r="BY414" s="48">
        <v>27655.48</v>
      </c>
      <c r="BZ414" s="48">
        <v>33150.42</v>
      </c>
      <c r="CA414" s="48">
        <v>27372.76</v>
      </c>
      <c r="CB414" s="48">
        <v>26392.14</v>
      </c>
      <c r="CC414" s="48">
        <v>28484.69</v>
      </c>
      <c r="CD414" s="48">
        <v>29205.62</v>
      </c>
      <c r="CE414" s="48">
        <v>27259.05</v>
      </c>
      <c r="CF414" s="48">
        <v>27130.639999999999</v>
      </c>
      <c r="CG414" s="48">
        <v>28920.23</v>
      </c>
      <c r="CH414" s="48">
        <v>24122.79</v>
      </c>
      <c r="CI414" s="48">
        <v>26665.42</v>
      </c>
      <c r="CJ414" s="48">
        <v>33223.449999999997</v>
      </c>
      <c r="CK414" s="48">
        <v>25041.439999999999</v>
      </c>
      <c r="CL414" s="48">
        <v>27185.85</v>
      </c>
      <c r="CM414" s="48">
        <v>29632.79</v>
      </c>
      <c r="CN414" s="48">
        <v>30314.03</v>
      </c>
      <c r="CO414" s="48">
        <v>27119.82</v>
      </c>
      <c r="CP414" s="48">
        <v>26431.57</v>
      </c>
      <c r="CQ414" s="48">
        <v>32422.91</v>
      </c>
      <c r="CR414" s="48">
        <v>29700.560000000001</v>
      </c>
      <c r="CS414" s="48">
        <v>27113.61</v>
      </c>
      <c r="CT414" s="48">
        <v>29365.02</v>
      </c>
      <c r="CU414" s="48">
        <v>30175.37</v>
      </c>
      <c r="CV414" s="48">
        <v>28273.19</v>
      </c>
      <c r="CW414" s="48">
        <v>28099.360000000001</v>
      </c>
      <c r="CX414" s="48">
        <v>31453.94</v>
      </c>
      <c r="CY414" s="48">
        <v>29064.89</v>
      </c>
      <c r="CZ414" s="48">
        <v>31431.75</v>
      </c>
      <c r="DA414" s="48">
        <v>30655.86</v>
      </c>
      <c r="DB414" s="48">
        <v>27188</v>
      </c>
      <c r="DC414" s="48">
        <v>30054.16</v>
      </c>
      <c r="DD414" s="48">
        <v>29476.61</v>
      </c>
      <c r="DE414" s="48">
        <f>VLOOKUP($C414,'[2]Analysis 1'!$C$5:$DG$1025,107,FALSE)</f>
        <v>25935.360000000001</v>
      </c>
      <c r="DF414" s="48">
        <f>VLOOKUP($C414,'[2]Analysis 1'!$C$5:$DG$1025,108,FALSE)</f>
        <v>29823.5</v>
      </c>
      <c r="DG414" s="48">
        <f>VLOOKUP($C414,'[2]Analysis 1'!$C$5:$DG$1025,109,FALSE)</f>
        <v>31725.49</v>
      </c>
      <c r="DH414" s="369">
        <f t="shared" si="13"/>
        <v>353182.11</v>
      </c>
    </row>
    <row r="415" spans="1:112">
      <c r="A415" s="357" t="str">
        <f t="shared" si="12"/>
        <v>8903007</v>
      </c>
      <c r="B415" s="350" t="s">
        <v>2194</v>
      </c>
      <c r="C415" s="335" t="s">
        <v>1396</v>
      </c>
      <c r="D415" s="367"/>
      <c r="E415" s="367"/>
      <c r="F415" s="367"/>
      <c r="G415" s="367"/>
      <c r="H415" s="367"/>
      <c r="I415" s="367"/>
      <c r="J415" s="367"/>
      <c r="K415" s="367"/>
      <c r="L415" s="367"/>
      <c r="M415" s="367"/>
      <c r="N415" s="367"/>
      <c r="O415" s="368"/>
      <c r="P415" s="48"/>
      <c r="Q415" s="48"/>
      <c r="R415" s="48"/>
      <c r="S415" s="48"/>
      <c r="T415" s="48"/>
      <c r="U415" s="48">
        <v>46422.5</v>
      </c>
      <c r="V415" s="48">
        <v>46455.29</v>
      </c>
      <c r="W415" s="48">
        <v>43385</v>
      </c>
      <c r="X415" s="48">
        <v>46087.19</v>
      </c>
      <c r="Y415" s="48">
        <v>48134.239999999998</v>
      </c>
      <c r="Z415" s="48">
        <v>43888.49</v>
      </c>
      <c r="AA415" s="48">
        <v>53478.21</v>
      </c>
      <c r="AB415" s="48">
        <v>0</v>
      </c>
      <c r="AC415" s="48">
        <v>45177.5</v>
      </c>
      <c r="AD415" s="48">
        <v>49269.18</v>
      </c>
      <c r="AE415" s="48">
        <v>44401.760000000002</v>
      </c>
      <c r="AF415" s="48">
        <v>44918.7</v>
      </c>
      <c r="AG415" s="48">
        <v>49305.52</v>
      </c>
      <c r="AH415" s="48">
        <v>44798.12</v>
      </c>
      <c r="AI415" s="48">
        <v>45078.37</v>
      </c>
      <c r="AJ415" s="48">
        <v>45100.29</v>
      </c>
      <c r="AK415" s="48">
        <v>43681.85</v>
      </c>
      <c r="AL415" s="48">
        <v>44560.05</v>
      </c>
      <c r="AM415" s="48">
        <v>51895.26</v>
      </c>
      <c r="AN415" s="48">
        <v>48290.18</v>
      </c>
      <c r="AO415" s="48">
        <v>46370.6</v>
      </c>
      <c r="AP415" s="48">
        <v>51857.9</v>
      </c>
      <c r="AQ415" s="48">
        <v>45894.28</v>
      </c>
      <c r="AR415" s="48">
        <v>48890.29</v>
      </c>
      <c r="AS415" s="48">
        <v>47940.24</v>
      </c>
      <c r="AT415" s="48">
        <v>45835.22</v>
      </c>
      <c r="AU415" s="48">
        <v>55730.46</v>
      </c>
      <c r="AV415" s="48">
        <v>39225.379999999997</v>
      </c>
      <c r="AW415" s="48">
        <v>47093.88</v>
      </c>
      <c r="AX415" s="48">
        <v>48977.65</v>
      </c>
      <c r="AY415" s="48">
        <v>45916.75</v>
      </c>
      <c r="AZ415" s="48">
        <v>55552.4</v>
      </c>
      <c r="BA415" s="48">
        <v>50463.57</v>
      </c>
      <c r="BB415" s="48">
        <v>54320.78</v>
      </c>
      <c r="BC415" s="48">
        <v>46800.44</v>
      </c>
      <c r="BD415" s="48">
        <v>53282.89</v>
      </c>
      <c r="BE415" s="48">
        <v>48976.49</v>
      </c>
      <c r="BF415" s="48">
        <v>54864.81</v>
      </c>
      <c r="BG415" s="48">
        <v>53569.14</v>
      </c>
      <c r="BH415" s="48">
        <v>48489.71</v>
      </c>
      <c r="BI415" s="48">
        <v>52913.8</v>
      </c>
      <c r="BJ415" s="48">
        <v>50753.35</v>
      </c>
      <c r="BK415" s="48">
        <v>49921.96</v>
      </c>
      <c r="BL415" s="48">
        <v>67813.259999999995</v>
      </c>
      <c r="BM415" s="48">
        <v>58988.58</v>
      </c>
      <c r="BN415" s="48">
        <v>60003.63</v>
      </c>
      <c r="BO415" s="48">
        <v>63545.760000000002</v>
      </c>
      <c r="BP415" s="48">
        <v>70011.839999999997</v>
      </c>
      <c r="BQ415" s="48">
        <v>57839.12</v>
      </c>
      <c r="BR415" s="48">
        <v>64378.720000000001</v>
      </c>
      <c r="BS415" s="48">
        <v>61318.49</v>
      </c>
      <c r="BT415" s="48">
        <v>53879.14</v>
      </c>
      <c r="BU415" s="48">
        <v>80807.740000000005</v>
      </c>
      <c r="BV415" s="48">
        <v>55151.79</v>
      </c>
      <c r="BW415" s="48">
        <v>60953.88</v>
      </c>
      <c r="BX415" s="48">
        <v>58092.93</v>
      </c>
      <c r="BY415" s="48">
        <v>55786.31</v>
      </c>
      <c r="BZ415" s="48">
        <v>62386.01</v>
      </c>
      <c r="CA415" s="48">
        <v>61288</v>
      </c>
      <c r="CB415" s="48">
        <v>50979.43</v>
      </c>
      <c r="CC415" s="48">
        <v>57751.040000000001</v>
      </c>
      <c r="CD415" s="48">
        <v>59407.17</v>
      </c>
      <c r="CE415" s="48">
        <v>45017.7</v>
      </c>
      <c r="CF415" s="48">
        <v>60127.02</v>
      </c>
      <c r="CG415" s="48">
        <v>55390.38</v>
      </c>
      <c r="CH415" s="48">
        <v>57884.87</v>
      </c>
      <c r="CI415" s="48">
        <v>67681.19</v>
      </c>
      <c r="CJ415" s="48">
        <v>71463.210000000006</v>
      </c>
      <c r="CK415" s="48">
        <v>62139.11</v>
      </c>
      <c r="CL415" s="48">
        <v>68326.92</v>
      </c>
      <c r="CM415" s="48">
        <v>62333.22</v>
      </c>
      <c r="CN415" s="48">
        <v>63059.3</v>
      </c>
      <c r="CO415" s="48">
        <v>69369.61</v>
      </c>
      <c r="CP415" s="48">
        <v>71376.98</v>
      </c>
      <c r="CQ415" s="48">
        <v>67862.899999999994</v>
      </c>
      <c r="CR415" s="48">
        <v>69128.91</v>
      </c>
      <c r="CS415" s="48">
        <v>70004.47</v>
      </c>
      <c r="CT415" s="48">
        <v>71057.429999999993</v>
      </c>
      <c r="CU415" s="48">
        <v>76350.23</v>
      </c>
      <c r="CV415" s="48">
        <v>71162.91</v>
      </c>
      <c r="CW415" s="48">
        <v>64529.7</v>
      </c>
      <c r="CX415" s="48">
        <v>76903.61</v>
      </c>
      <c r="CY415" s="48">
        <v>64986.01</v>
      </c>
      <c r="CZ415" s="48">
        <v>68656.66</v>
      </c>
      <c r="DA415" s="48">
        <v>67499.72</v>
      </c>
      <c r="DB415" s="48">
        <v>64062.91</v>
      </c>
      <c r="DC415" s="48">
        <v>75075.320000000007</v>
      </c>
      <c r="DD415" s="48">
        <v>62439.55</v>
      </c>
      <c r="DE415" s="48">
        <f>VLOOKUP($C415,'[2]Analysis 1'!$C$5:$DG$1025,107,FALSE)</f>
        <v>72601.13</v>
      </c>
      <c r="DF415" s="48">
        <f>VLOOKUP($C415,'[2]Analysis 1'!$C$5:$DG$1025,108,FALSE)</f>
        <v>77941.52</v>
      </c>
      <c r="DG415" s="48">
        <f>VLOOKUP($C415,'[2]Analysis 1'!$C$5:$DG$1025,109,FALSE)</f>
        <v>73211.539999999994</v>
      </c>
      <c r="DH415" s="369">
        <f t="shared" si="13"/>
        <v>839070.58000000019</v>
      </c>
    </row>
    <row r="416" spans="1:112">
      <c r="A416" s="357" t="str">
        <f>+B416</f>
        <v>8903008</v>
      </c>
      <c r="B416" s="350" t="s">
        <v>2443</v>
      </c>
      <c r="C416" s="335" t="s">
        <v>2444</v>
      </c>
      <c r="D416" s="367"/>
      <c r="E416" s="367"/>
      <c r="F416" s="367"/>
      <c r="G416" s="367"/>
      <c r="H416" s="367"/>
      <c r="I416" s="367"/>
      <c r="J416" s="367"/>
      <c r="K416" s="367"/>
      <c r="L416" s="367"/>
      <c r="M416" s="367"/>
      <c r="N416" s="367"/>
      <c r="O416" s="368"/>
      <c r="P416" s="48"/>
      <c r="Q416" s="48"/>
      <c r="R416" s="48"/>
      <c r="S416" s="48"/>
      <c r="T416" s="48"/>
      <c r="U416" s="48"/>
      <c r="V416" s="48"/>
      <c r="W416" s="48"/>
      <c r="X416" s="48"/>
      <c r="Y416" s="48"/>
      <c r="Z416" s="48"/>
      <c r="AA416" s="48"/>
      <c r="AB416" s="48"/>
      <c r="AC416" s="48"/>
      <c r="AD416" s="48"/>
      <c r="AE416" s="48"/>
      <c r="AF416" s="48"/>
      <c r="AG416" s="48"/>
      <c r="AH416" s="48"/>
      <c r="AI416" s="48"/>
      <c r="AJ416" s="48"/>
      <c r="AK416" s="48"/>
      <c r="AL416" s="48"/>
      <c r="AM416" s="48"/>
      <c r="AN416" s="48"/>
      <c r="AO416" s="48"/>
      <c r="AP416" s="48"/>
      <c r="AQ416" s="48"/>
      <c r="AR416" s="48"/>
      <c r="AS416" s="48"/>
      <c r="AT416" s="48"/>
      <c r="AU416" s="48"/>
      <c r="AV416" s="48"/>
      <c r="AW416" s="48"/>
      <c r="AX416" s="48"/>
      <c r="AY416" s="48"/>
      <c r="AZ416" s="48"/>
      <c r="BA416" s="48"/>
      <c r="BB416" s="48"/>
      <c r="BC416" s="48"/>
      <c r="BD416" s="48"/>
      <c r="BE416" s="48"/>
      <c r="BF416" s="48"/>
      <c r="BG416" s="48"/>
      <c r="BH416" s="48"/>
      <c r="BI416" s="48"/>
      <c r="BJ416" s="48"/>
      <c r="BK416" s="48"/>
      <c r="BL416" s="48"/>
      <c r="BM416" s="48"/>
      <c r="BN416" s="48"/>
      <c r="BO416" s="48"/>
      <c r="BP416" s="48"/>
      <c r="BQ416" s="48"/>
      <c r="BR416" s="48"/>
      <c r="BS416" s="48"/>
      <c r="BT416" s="48"/>
      <c r="BU416" s="48"/>
      <c r="BV416" s="48"/>
      <c r="BW416" s="48"/>
      <c r="BX416" s="48">
        <v>69676.479999999996</v>
      </c>
      <c r="BY416" s="48">
        <v>63791.99</v>
      </c>
      <c r="BZ416" s="48">
        <v>72689.23</v>
      </c>
      <c r="CA416" s="48">
        <v>51769.83</v>
      </c>
      <c r="CB416" s="48">
        <v>36018.269999999997</v>
      </c>
      <c r="CC416" s="48">
        <v>107477.14</v>
      </c>
      <c r="CD416" s="48">
        <v>67810.899999999994</v>
      </c>
      <c r="CE416" s="48">
        <v>-14656.01</v>
      </c>
      <c r="CF416" s="48">
        <v>48986.37</v>
      </c>
      <c r="CG416" s="48">
        <v>47404.81</v>
      </c>
      <c r="CH416" s="48">
        <v>32032.93</v>
      </c>
      <c r="CI416" s="48">
        <v>50338.94</v>
      </c>
      <c r="CJ416" s="48">
        <v>43070.54</v>
      </c>
      <c r="CK416" s="48">
        <v>32904.04</v>
      </c>
      <c r="CL416" s="48">
        <v>35779.839999999997</v>
      </c>
      <c r="CM416" s="48">
        <v>46205.09</v>
      </c>
      <c r="CN416" s="48">
        <v>37742.239999999998</v>
      </c>
      <c r="CO416" s="48">
        <v>43489.1</v>
      </c>
      <c r="CP416" s="48">
        <v>33599.65</v>
      </c>
      <c r="CQ416" s="48">
        <v>47414.75</v>
      </c>
      <c r="CR416" s="48">
        <v>39211.86</v>
      </c>
      <c r="CS416" s="48">
        <v>30765.89</v>
      </c>
      <c r="CT416" s="48">
        <v>32228.74</v>
      </c>
      <c r="CU416" s="48">
        <v>36650.21</v>
      </c>
      <c r="CV416" s="48">
        <v>3230.79</v>
      </c>
      <c r="CW416" s="48">
        <v>3164.49</v>
      </c>
      <c r="CX416" s="48">
        <v>4365.3599999999997</v>
      </c>
      <c r="CY416" s="48">
        <v>4150.1400000000003</v>
      </c>
      <c r="CZ416" s="48">
        <v>3494.27</v>
      </c>
      <c r="DA416" s="48">
        <v>4427.8</v>
      </c>
      <c r="DB416" s="48">
        <v>3499.99</v>
      </c>
      <c r="DC416" s="48">
        <v>3714.88</v>
      </c>
      <c r="DD416" s="48">
        <v>3773.73</v>
      </c>
      <c r="DE416" s="48">
        <f>VLOOKUP($C416,'[2]Analysis 1'!$C$5:$DG$1025,107,FALSE)</f>
        <v>1543.36</v>
      </c>
      <c r="DF416" s="48">
        <f>VLOOKUP($C416,'[2]Analysis 1'!$C$5:$DG$1025,108,FALSE)</f>
        <v>3366.15</v>
      </c>
      <c r="DG416" s="48">
        <f>VLOOKUP($C416,'[2]Analysis 1'!$C$5:$DG$1025,109,FALSE)</f>
        <v>3687.7</v>
      </c>
      <c r="DH416" s="369">
        <f t="shared" si="13"/>
        <v>42418.659999999996</v>
      </c>
    </row>
    <row r="417" spans="1:112">
      <c r="A417" s="357" t="str">
        <f>+B417</f>
        <v>8903009</v>
      </c>
      <c r="B417" s="350" t="s">
        <v>2445</v>
      </c>
      <c r="C417" s="335" t="s">
        <v>2449</v>
      </c>
      <c r="D417" s="367"/>
      <c r="E417" s="367"/>
      <c r="F417" s="367"/>
      <c r="G417" s="367"/>
      <c r="H417" s="367"/>
      <c r="I417" s="367"/>
      <c r="J417" s="367"/>
      <c r="K417" s="367"/>
      <c r="L417" s="367"/>
      <c r="M417" s="367"/>
      <c r="N417" s="367"/>
      <c r="O417" s="368"/>
      <c r="P417" s="48"/>
      <c r="Q417" s="48"/>
      <c r="R417" s="48"/>
      <c r="S417" s="48"/>
      <c r="T417" s="48"/>
      <c r="U417" s="48"/>
      <c r="V417" s="48"/>
      <c r="W417" s="48"/>
      <c r="X417" s="48"/>
      <c r="Y417" s="48"/>
      <c r="Z417" s="48"/>
      <c r="AA417" s="48"/>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c r="AX417" s="48"/>
      <c r="AY417" s="48"/>
      <c r="AZ417" s="48"/>
      <c r="BA417" s="48"/>
      <c r="BB417" s="48"/>
      <c r="BC417" s="48"/>
      <c r="BD417" s="48"/>
      <c r="BE417" s="48"/>
      <c r="BF417" s="48"/>
      <c r="BG417" s="48"/>
      <c r="BH417" s="48"/>
      <c r="BI417" s="48"/>
      <c r="BJ417" s="48"/>
      <c r="BK417" s="48"/>
      <c r="BL417" s="48"/>
      <c r="BM417" s="48"/>
      <c r="BN417" s="48"/>
      <c r="BO417" s="48"/>
      <c r="BP417" s="48"/>
      <c r="BQ417" s="48"/>
      <c r="BR417" s="48"/>
      <c r="BS417" s="48"/>
      <c r="BT417" s="48"/>
      <c r="BU417" s="48"/>
      <c r="BV417" s="48"/>
      <c r="BW417" s="48"/>
      <c r="BX417" s="48">
        <v>10501.5</v>
      </c>
      <c r="BY417" s="48">
        <v>6035.67</v>
      </c>
      <c r="BZ417" s="48">
        <v>7728.33</v>
      </c>
      <c r="CA417" s="48">
        <v>14038.45</v>
      </c>
      <c r="CB417" s="48">
        <v>6038.49</v>
      </c>
      <c r="CC417" s="48">
        <v>6564.1</v>
      </c>
      <c r="CD417" s="48">
        <v>7270.66</v>
      </c>
      <c r="CE417" s="48">
        <v>7242.92</v>
      </c>
      <c r="CF417" s="48">
        <v>6244.52</v>
      </c>
      <c r="CG417" s="48">
        <v>6065.88</v>
      </c>
      <c r="CH417" s="48">
        <v>6078.21</v>
      </c>
      <c r="CI417" s="48">
        <v>5899.17</v>
      </c>
      <c r="CJ417" s="48">
        <v>11340.66</v>
      </c>
      <c r="CK417" s="48">
        <v>14157.05</v>
      </c>
      <c r="CL417" s="48">
        <v>7435.59</v>
      </c>
      <c r="CM417" s="48">
        <v>7240.72</v>
      </c>
      <c r="CN417" s="48">
        <v>7136.07</v>
      </c>
      <c r="CO417" s="48">
        <v>7306.08</v>
      </c>
      <c r="CP417" s="48">
        <v>6358.42</v>
      </c>
      <c r="CQ417" s="48">
        <v>11816.95</v>
      </c>
      <c r="CR417" s="48">
        <v>7512.92</v>
      </c>
      <c r="CS417" s="48">
        <v>7387.39</v>
      </c>
      <c r="CT417" s="48">
        <v>7661.94</v>
      </c>
      <c r="CU417" s="48">
        <v>3624.46</v>
      </c>
      <c r="CV417" s="48">
        <v>12421.39</v>
      </c>
      <c r="CW417" s="48">
        <v>15550.17</v>
      </c>
      <c r="CX417" s="48">
        <v>9145.18</v>
      </c>
      <c r="CY417" s="48">
        <v>8767.59</v>
      </c>
      <c r="CZ417" s="48">
        <v>8671.2900000000009</v>
      </c>
      <c r="DA417" s="48">
        <v>9132.57</v>
      </c>
      <c r="DB417" s="48">
        <v>13670.37</v>
      </c>
      <c r="DC417" s="48">
        <v>5668.22</v>
      </c>
      <c r="DD417" s="48">
        <v>5945.79</v>
      </c>
      <c r="DE417" s="48">
        <f>VLOOKUP($C417,'[2]Analysis 1'!$C$5:$DG$1025,107,FALSE)</f>
        <v>6557.91</v>
      </c>
      <c r="DF417" s="48">
        <f>VLOOKUP($C417,'[2]Analysis 1'!$C$5:$DG$1025,108,FALSE)</f>
        <v>5957.27</v>
      </c>
      <c r="DG417" s="48">
        <f>VLOOKUP($C417,'[2]Analysis 1'!$C$5:$DG$1025,109,FALSE)</f>
        <v>5222.49</v>
      </c>
      <c r="DH417" s="369">
        <f t="shared" si="13"/>
        <v>106710.24</v>
      </c>
    </row>
    <row r="418" spans="1:112">
      <c r="A418" s="357" t="str">
        <f>+B418</f>
        <v>8903010</v>
      </c>
      <c r="B418" s="350" t="s">
        <v>2446</v>
      </c>
      <c r="C418" s="335" t="s">
        <v>2450</v>
      </c>
      <c r="D418" s="367"/>
      <c r="E418" s="367"/>
      <c r="F418" s="367"/>
      <c r="G418" s="367"/>
      <c r="H418" s="367"/>
      <c r="I418" s="367"/>
      <c r="J418" s="367"/>
      <c r="K418" s="367"/>
      <c r="L418" s="367"/>
      <c r="M418" s="367"/>
      <c r="N418" s="367"/>
      <c r="O418" s="368"/>
      <c r="P418" s="48"/>
      <c r="Q418" s="48"/>
      <c r="R418" s="48"/>
      <c r="S418" s="48"/>
      <c r="T418" s="48"/>
      <c r="U418" s="48"/>
      <c r="V418" s="48"/>
      <c r="W418" s="48"/>
      <c r="X418" s="48"/>
      <c r="Y418" s="48"/>
      <c r="Z418" s="48"/>
      <c r="AA418" s="48"/>
      <c r="AB418" s="48"/>
      <c r="AC418" s="48"/>
      <c r="AD418" s="48"/>
      <c r="AE418" s="48"/>
      <c r="AF418" s="48"/>
      <c r="AG418" s="48"/>
      <c r="AH418" s="48"/>
      <c r="AI418" s="48"/>
      <c r="AJ418" s="48"/>
      <c r="AK418" s="48"/>
      <c r="AL418" s="48"/>
      <c r="AM418" s="48"/>
      <c r="AN418" s="48"/>
      <c r="AO418" s="48"/>
      <c r="AP418" s="48"/>
      <c r="AQ418" s="48"/>
      <c r="AR418" s="48"/>
      <c r="AS418" s="48"/>
      <c r="AT418" s="48"/>
      <c r="AU418" s="48"/>
      <c r="AV418" s="48"/>
      <c r="AW418" s="48"/>
      <c r="AX418" s="48"/>
      <c r="AY418" s="48"/>
      <c r="AZ418" s="48"/>
      <c r="BA418" s="48"/>
      <c r="BB418" s="48"/>
      <c r="BC418" s="48"/>
      <c r="BD418" s="48"/>
      <c r="BE418" s="48"/>
      <c r="BF418" s="48"/>
      <c r="BG418" s="48"/>
      <c r="BH418" s="48"/>
      <c r="BI418" s="48"/>
      <c r="BJ418" s="48"/>
      <c r="BK418" s="48"/>
      <c r="BL418" s="48"/>
      <c r="BM418" s="48"/>
      <c r="BN418" s="48"/>
      <c r="BO418" s="48"/>
      <c r="BP418" s="48"/>
      <c r="BQ418" s="48"/>
      <c r="BR418" s="48"/>
      <c r="BS418" s="48"/>
      <c r="BT418" s="48"/>
      <c r="BU418" s="48"/>
      <c r="BV418" s="48"/>
      <c r="BW418" s="48"/>
      <c r="BX418" s="48">
        <v>17308.490000000002</v>
      </c>
      <c r="BY418" s="48">
        <v>40628.129999999997</v>
      </c>
      <c r="BZ418" s="48">
        <v>41140.54</v>
      </c>
      <c r="CA418" s="48">
        <v>36654.57</v>
      </c>
      <c r="CB418" s="48">
        <v>40525.599999999999</v>
      </c>
      <c r="CC418" s="48">
        <v>101951.35</v>
      </c>
      <c r="CD418" s="48">
        <v>60120</v>
      </c>
      <c r="CE418" s="48">
        <v>47392.05</v>
      </c>
      <c r="CF418" s="48">
        <v>74892.62</v>
      </c>
      <c r="CG418" s="48">
        <v>49937.81</v>
      </c>
      <c r="CH418" s="48">
        <v>49990.080000000002</v>
      </c>
      <c r="CI418" s="48">
        <v>65647.67</v>
      </c>
      <c r="CJ418" s="48">
        <v>37962.76</v>
      </c>
      <c r="CK418" s="48">
        <v>34850.239999999998</v>
      </c>
      <c r="CL418" s="48">
        <v>45163.6</v>
      </c>
      <c r="CM418" s="48">
        <v>37496.410000000003</v>
      </c>
      <c r="CN418" s="48">
        <v>43946.14</v>
      </c>
      <c r="CO418" s="48">
        <v>45511.37</v>
      </c>
      <c r="CP418" s="48">
        <v>41512.480000000003</v>
      </c>
      <c r="CQ418" s="48">
        <v>40012.18</v>
      </c>
      <c r="CR418" s="48">
        <v>35265.449999999997</v>
      </c>
      <c r="CS418" s="48">
        <v>37907.199999999997</v>
      </c>
      <c r="CT418" s="48">
        <v>38112.15</v>
      </c>
      <c r="CU418" s="48">
        <v>54419.78</v>
      </c>
      <c r="CV418" s="48">
        <v>0</v>
      </c>
      <c r="CW418" s="48">
        <v>0</v>
      </c>
      <c r="CX418" s="48">
        <v>0</v>
      </c>
      <c r="CY418" s="48">
        <v>0</v>
      </c>
      <c r="CZ418" s="48">
        <v>0</v>
      </c>
      <c r="DA418" s="48">
        <v>0</v>
      </c>
      <c r="DB418" s="48">
        <v>0</v>
      </c>
      <c r="DC418" s="48">
        <v>0</v>
      </c>
      <c r="DD418" s="48">
        <v>0</v>
      </c>
      <c r="DE418" s="48">
        <f>VLOOKUP($C418,'[2]Analysis 1'!$C$5:$DG$1025,107,FALSE)</f>
        <v>0</v>
      </c>
      <c r="DF418" s="48">
        <f>VLOOKUP($C418,'[2]Analysis 1'!$C$5:$DG$1025,108,FALSE)</f>
        <v>0</v>
      </c>
      <c r="DG418" s="48">
        <f>VLOOKUP($C418,'[2]Analysis 1'!$C$5:$DG$1025,109,FALSE)</f>
        <v>0</v>
      </c>
      <c r="DH418" s="369">
        <f t="shared" si="13"/>
        <v>0</v>
      </c>
    </row>
    <row r="419" spans="1:112">
      <c r="A419" s="357" t="str">
        <f>+B419</f>
        <v>8903011</v>
      </c>
      <c r="B419" s="350" t="s">
        <v>2447</v>
      </c>
      <c r="C419" s="335" t="s">
        <v>2451</v>
      </c>
      <c r="D419" s="367"/>
      <c r="E419" s="367"/>
      <c r="F419" s="367"/>
      <c r="G419" s="367"/>
      <c r="H419" s="367"/>
      <c r="I419" s="367"/>
      <c r="J419" s="367"/>
      <c r="K419" s="367"/>
      <c r="L419" s="367"/>
      <c r="M419" s="367"/>
      <c r="N419" s="367"/>
      <c r="O419" s="368"/>
      <c r="P419" s="48"/>
      <c r="Q419" s="48"/>
      <c r="R419" s="48"/>
      <c r="S419" s="48"/>
      <c r="T419" s="48"/>
      <c r="U419" s="48"/>
      <c r="V419" s="48"/>
      <c r="W419" s="48"/>
      <c r="X419" s="48"/>
      <c r="Y419" s="48"/>
      <c r="Z419" s="48"/>
      <c r="AA419" s="48"/>
      <c r="AB419" s="48"/>
      <c r="AC419" s="48"/>
      <c r="AD419" s="48"/>
      <c r="AE419" s="48"/>
      <c r="AF419" s="48"/>
      <c r="AG419" s="48"/>
      <c r="AH419" s="48"/>
      <c r="AI419" s="48"/>
      <c r="AJ419" s="48"/>
      <c r="AK419" s="48"/>
      <c r="AL419" s="48"/>
      <c r="AM419" s="48"/>
      <c r="AN419" s="48"/>
      <c r="AO419" s="48"/>
      <c r="AP419" s="48"/>
      <c r="AQ419" s="48"/>
      <c r="AR419" s="48"/>
      <c r="AS419" s="48"/>
      <c r="AT419" s="48"/>
      <c r="AU419" s="48"/>
      <c r="AV419" s="48"/>
      <c r="AW419" s="48"/>
      <c r="AX419" s="48"/>
      <c r="AY419" s="48"/>
      <c r="AZ419" s="48"/>
      <c r="BA419" s="48"/>
      <c r="BB419" s="48"/>
      <c r="BC419" s="48"/>
      <c r="BD419" s="48"/>
      <c r="BE419" s="48"/>
      <c r="BF419" s="48"/>
      <c r="BG419" s="48"/>
      <c r="BH419" s="48"/>
      <c r="BI419" s="48"/>
      <c r="BJ419" s="48"/>
      <c r="BK419" s="48"/>
      <c r="BL419" s="48"/>
      <c r="BM419" s="48"/>
      <c r="BN419" s="48"/>
      <c r="BO419" s="48"/>
      <c r="BP419" s="48"/>
      <c r="BQ419" s="48"/>
      <c r="BR419" s="48"/>
      <c r="BS419" s="48"/>
      <c r="BT419" s="48"/>
      <c r="BU419" s="48"/>
      <c r="BV419" s="48"/>
      <c r="BW419" s="48"/>
      <c r="BX419" s="48">
        <v>29321.34</v>
      </c>
      <c r="BY419" s="48">
        <v>23465.9</v>
      </c>
      <c r="BZ419" s="48">
        <v>28829.52</v>
      </c>
      <c r="CA419" s="48">
        <v>26703.19</v>
      </c>
      <c r="CB419" s="48">
        <v>24467.439999999999</v>
      </c>
      <c r="CC419" s="48">
        <v>24704.7</v>
      </c>
      <c r="CD419" s="48">
        <v>26771</v>
      </c>
      <c r="CE419" s="48">
        <v>24617.599999999999</v>
      </c>
      <c r="CF419" s="48">
        <v>25660.22</v>
      </c>
      <c r="CG419" s="48">
        <v>26223.09</v>
      </c>
      <c r="CH419" s="48">
        <v>23599.24</v>
      </c>
      <c r="CI419" s="48">
        <v>30382.59</v>
      </c>
      <c r="CJ419" s="48">
        <v>31059.54</v>
      </c>
      <c r="CK419" s="48">
        <v>31505.69</v>
      </c>
      <c r="CL419" s="48">
        <v>35831.839999999997</v>
      </c>
      <c r="CM419" s="48">
        <v>35104.82</v>
      </c>
      <c r="CN419" s="48">
        <v>34791.31</v>
      </c>
      <c r="CO419" s="48">
        <v>38751.06</v>
      </c>
      <c r="CP419" s="48">
        <v>45526.93</v>
      </c>
      <c r="CQ419" s="48">
        <v>35769.660000000003</v>
      </c>
      <c r="CR419" s="48">
        <v>36028.69</v>
      </c>
      <c r="CS419" s="48">
        <v>0</v>
      </c>
      <c r="CT419" s="48">
        <v>0</v>
      </c>
      <c r="CU419" s="48">
        <v>128192.9</v>
      </c>
      <c r="CV419" s="48">
        <v>46846</v>
      </c>
      <c r="CW419" s="48">
        <v>50799.71</v>
      </c>
      <c r="CX419" s="48">
        <v>51027.34</v>
      </c>
      <c r="CY419" s="48">
        <v>56132.91</v>
      </c>
      <c r="CZ419" s="48">
        <v>54509.22</v>
      </c>
      <c r="DA419" s="48">
        <v>48793.43</v>
      </c>
      <c r="DB419" s="48">
        <v>69206.3</v>
      </c>
      <c r="DC419" s="48">
        <v>41320.370000000003</v>
      </c>
      <c r="DD419" s="48">
        <v>52083.62</v>
      </c>
      <c r="DE419" s="48">
        <f>VLOOKUP($C419,'[2]Analysis 1'!$C$5:$DG$1025,107,FALSE)</f>
        <v>45906.31</v>
      </c>
      <c r="DF419" s="48">
        <f>VLOOKUP($C419,'[2]Analysis 1'!$C$5:$DG$1025,108,FALSE)</f>
        <v>45938.43</v>
      </c>
      <c r="DG419" s="48">
        <f>VLOOKUP($C419,'[2]Analysis 1'!$C$5:$DG$1025,109,FALSE)</f>
        <v>54084.58</v>
      </c>
      <c r="DH419" s="369">
        <f t="shared" si="13"/>
        <v>616648.22</v>
      </c>
    </row>
    <row r="420" spans="1:112">
      <c r="A420" s="357" t="str">
        <f>+B420</f>
        <v>8903012</v>
      </c>
      <c r="B420" s="350" t="s">
        <v>2448</v>
      </c>
      <c r="C420" s="335" t="s">
        <v>2452</v>
      </c>
      <c r="D420" s="367"/>
      <c r="E420" s="367"/>
      <c r="F420" s="367"/>
      <c r="G420" s="367"/>
      <c r="H420" s="367"/>
      <c r="I420" s="367"/>
      <c r="J420" s="367"/>
      <c r="K420" s="367"/>
      <c r="L420" s="367"/>
      <c r="M420" s="367"/>
      <c r="N420" s="367"/>
      <c r="O420" s="368"/>
      <c r="P420" s="48"/>
      <c r="Q420" s="48"/>
      <c r="R420" s="48"/>
      <c r="S420" s="48"/>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48"/>
      <c r="BC420" s="48"/>
      <c r="BD420" s="48"/>
      <c r="BE420" s="48"/>
      <c r="BF420" s="48"/>
      <c r="BG420" s="48"/>
      <c r="BH420" s="48"/>
      <c r="BI420" s="48"/>
      <c r="BJ420" s="48"/>
      <c r="BK420" s="48"/>
      <c r="BL420" s="48"/>
      <c r="BM420" s="48"/>
      <c r="BN420" s="48"/>
      <c r="BO420" s="48"/>
      <c r="BP420" s="48"/>
      <c r="BQ420" s="48"/>
      <c r="BR420" s="48"/>
      <c r="BS420" s="48"/>
      <c r="BT420" s="48"/>
      <c r="BU420" s="48"/>
      <c r="BV420" s="48"/>
      <c r="BW420" s="48"/>
      <c r="BX420" s="48">
        <v>96590.01</v>
      </c>
      <c r="BY420" s="48">
        <v>28834.63</v>
      </c>
      <c r="BZ420" s="48">
        <v>39380.35</v>
      </c>
      <c r="CA420" s="48">
        <v>31410.17</v>
      </c>
      <c r="CB420" s="48">
        <v>30151.71</v>
      </c>
      <c r="CC420" s="48">
        <v>31439.26</v>
      </c>
      <c r="CD420" s="48">
        <v>33396.5</v>
      </c>
      <c r="CE420" s="48">
        <v>29919.02</v>
      </c>
      <c r="CF420" s="48">
        <v>31615.040000000001</v>
      </c>
      <c r="CG420" s="48">
        <v>31013.39</v>
      </c>
      <c r="CH420" s="48">
        <v>29157.19</v>
      </c>
      <c r="CI420" s="48">
        <v>32891.32</v>
      </c>
      <c r="CJ420" s="48">
        <v>114624.06</v>
      </c>
      <c r="CK420" s="48">
        <v>-21790.74</v>
      </c>
      <c r="CL420" s="48">
        <v>46755.53</v>
      </c>
      <c r="CM420" s="48">
        <v>43038.559999999998</v>
      </c>
      <c r="CN420" s="48">
        <v>38165.83</v>
      </c>
      <c r="CO420" s="48">
        <v>32853.120000000003</v>
      </c>
      <c r="CP420" s="48">
        <v>44543.27</v>
      </c>
      <c r="CQ420" s="48">
        <v>39437.97</v>
      </c>
      <c r="CR420" s="48">
        <v>39118.089999999997</v>
      </c>
      <c r="CS420" s="48">
        <v>31728.240000000002</v>
      </c>
      <c r="CT420" s="48">
        <v>45164.47</v>
      </c>
      <c r="CU420" s="48">
        <v>41109.14</v>
      </c>
      <c r="CV420" s="48">
        <v>36957.9</v>
      </c>
      <c r="CW420" s="48">
        <v>40220.720000000001</v>
      </c>
      <c r="CX420" s="48">
        <v>45067.02</v>
      </c>
      <c r="CY420" s="48">
        <v>41889.22</v>
      </c>
      <c r="CZ420" s="48">
        <v>43540.68</v>
      </c>
      <c r="DA420" s="48">
        <v>43458.01</v>
      </c>
      <c r="DB420" s="48">
        <v>41841.440000000002</v>
      </c>
      <c r="DC420" s="48">
        <v>45129.54</v>
      </c>
      <c r="DD420" s="48">
        <v>45587.21</v>
      </c>
      <c r="DE420" s="48">
        <f>VLOOKUP($C420,'[2]Analysis 1'!$C$5:$DG$1025,107,FALSE)</f>
        <v>41840.26</v>
      </c>
      <c r="DF420" s="48">
        <f>VLOOKUP($C420,'[2]Analysis 1'!$C$5:$DG$1025,108,FALSE)</f>
        <v>44846.02</v>
      </c>
      <c r="DG420" s="48">
        <f>VLOOKUP($C420,'[2]Analysis 1'!$C$5:$DG$1025,109,FALSE)</f>
        <v>43880.23</v>
      </c>
      <c r="DH420" s="369">
        <f t="shared" si="13"/>
        <v>514258.25</v>
      </c>
    </row>
    <row r="421" spans="1:112">
      <c r="A421" s="357" t="str">
        <f t="shared" si="12"/>
        <v>8903100</v>
      </c>
      <c r="B421" s="350" t="s">
        <v>2195</v>
      </c>
      <c r="C421" s="335" t="s">
        <v>1397</v>
      </c>
      <c r="D421" s="367"/>
      <c r="E421" s="367"/>
      <c r="F421" s="367"/>
      <c r="G421" s="367"/>
      <c r="H421" s="367"/>
      <c r="I421" s="367"/>
      <c r="J421" s="367"/>
      <c r="K421" s="367"/>
      <c r="L421" s="367"/>
      <c r="M421" s="367"/>
      <c r="N421" s="367"/>
      <c r="O421" s="368"/>
      <c r="P421" s="48"/>
      <c r="Q421" s="48"/>
      <c r="R421" s="48"/>
      <c r="S421" s="48"/>
      <c r="T421" s="48"/>
      <c r="U421" s="48">
        <v>-14502.81</v>
      </c>
      <c r="V421" s="48">
        <v>-19583.3</v>
      </c>
      <c r="W421" s="48">
        <v>-2733</v>
      </c>
      <c r="X421" s="48">
        <v>-41427.71</v>
      </c>
      <c r="Y421" s="48">
        <v>-19095.740000000002</v>
      </c>
      <c r="Z421" s="48">
        <v>-59526.38</v>
      </c>
      <c r="AA421" s="48">
        <v>-47562.22</v>
      </c>
      <c r="AB421" s="48">
        <v>0</v>
      </c>
      <c r="AC421" s="48">
        <v>8007.07</v>
      </c>
      <c r="AD421" s="48">
        <v>20510.61</v>
      </c>
      <c r="AE421" s="48">
        <v>8858.57</v>
      </c>
      <c r="AF421" s="48">
        <v>5304.18</v>
      </c>
      <c r="AG421" s="48">
        <v>22000.57</v>
      </c>
      <c r="AH421" s="48">
        <v>21356.69</v>
      </c>
      <c r="AI421" s="48">
        <v>3157.7</v>
      </c>
      <c r="AJ421" s="48">
        <v>2104.58</v>
      </c>
      <c r="AK421" s="48">
        <v>6158.65</v>
      </c>
      <c r="AL421" s="48">
        <v>7324.83</v>
      </c>
      <c r="AM421" s="48">
        <v>7128.4</v>
      </c>
      <c r="AN421" s="48">
        <v>3416.85</v>
      </c>
      <c r="AO421" s="48">
        <v>6576.02</v>
      </c>
      <c r="AP421" s="48">
        <v>2900.04</v>
      </c>
      <c r="AQ421" s="48">
        <v>112.17</v>
      </c>
      <c r="AR421" s="48">
        <v>10912.3</v>
      </c>
      <c r="AS421" s="48">
        <v>4043.72</v>
      </c>
      <c r="AT421" s="48">
        <v>5305.79</v>
      </c>
      <c r="AU421" s="48">
        <v>4728.67</v>
      </c>
      <c r="AV421" s="48">
        <v>14364.27</v>
      </c>
      <c r="AW421" s="48">
        <v>16508.47</v>
      </c>
      <c r="AX421" s="48">
        <v>8787.82</v>
      </c>
      <c r="AY421" s="48">
        <v>11286.25</v>
      </c>
      <c r="AZ421" s="48">
        <v>25831.16</v>
      </c>
      <c r="BA421" s="48">
        <v>30008.63</v>
      </c>
      <c r="BB421" s="48">
        <v>45293.87</v>
      </c>
      <c r="BC421" s="48">
        <v>42111.41</v>
      </c>
      <c r="BD421" s="48">
        <v>36318.32</v>
      </c>
      <c r="BE421" s="48">
        <v>41362.68</v>
      </c>
      <c r="BF421" s="48">
        <v>51961.25</v>
      </c>
      <c r="BG421" s="48">
        <v>63976.21</v>
      </c>
      <c r="BH421" s="48">
        <v>70044.23</v>
      </c>
      <c r="BI421" s="48">
        <v>87887.76</v>
      </c>
      <c r="BJ421" s="48">
        <v>90977.07</v>
      </c>
      <c r="BK421" s="48">
        <v>148825.29999999999</v>
      </c>
      <c r="BL421" s="48">
        <v>91991.86</v>
      </c>
      <c r="BM421" s="48">
        <v>73523.990000000005</v>
      </c>
      <c r="BN421" s="48">
        <v>65113.62</v>
      </c>
      <c r="BO421" s="48">
        <v>67375.94</v>
      </c>
      <c r="BP421" s="48">
        <v>70973.240000000005</v>
      </c>
      <c r="BQ421" s="48">
        <v>61015.34</v>
      </c>
      <c r="BR421" s="48">
        <v>61102.23</v>
      </c>
      <c r="BS421" s="48">
        <v>67805.45</v>
      </c>
      <c r="BT421" s="48">
        <v>73825.850000000006</v>
      </c>
      <c r="BU421" s="48">
        <v>57799.55</v>
      </c>
      <c r="BV421" s="48">
        <v>56142.5</v>
      </c>
      <c r="BW421" s="48">
        <v>51836.24</v>
      </c>
      <c r="BX421" s="48">
        <v>0</v>
      </c>
      <c r="BY421" s="48">
        <v>0</v>
      </c>
      <c r="BZ421" s="48">
        <v>0</v>
      </c>
      <c r="CA421" s="48">
        <v>0</v>
      </c>
      <c r="CB421" s="48">
        <v>0</v>
      </c>
      <c r="CC421" s="48">
        <v>0</v>
      </c>
      <c r="CD421" s="48">
        <v>0</v>
      </c>
      <c r="CE421" s="48">
        <v>0</v>
      </c>
      <c r="CF421" s="48">
        <v>0</v>
      </c>
      <c r="CG421" s="48">
        <v>0</v>
      </c>
      <c r="CH421" s="48">
        <v>0</v>
      </c>
      <c r="CI421" s="48">
        <v>0</v>
      </c>
      <c r="CJ421" s="48">
        <v>0</v>
      </c>
      <c r="CK421" s="48">
        <v>0</v>
      </c>
      <c r="CL421" s="48">
        <v>0</v>
      </c>
      <c r="CM421" s="48">
        <v>0</v>
      </c>
      <c r="CN421" s="48">
        <v>0</v>
      </c>
      <c r="CO421" s="48">
        <v>0</v>
      </c>
      <c r="CP421" s="48">
        <v>0</v>
      </c>
      <c r="CQ421" s="48">
        <v>0</v>
      </c>
      <c r="CR421" s="48">
        <v>0</v>
      </c>
      <c r="CS421" s="48">
        <v>0</v>
      </c>
      <c r="CT421" s="48">
        <v>0</v>
      </c>
      <c r="CU421" s="48">
        <v>0</v>
      </c>
      <c r="CV421" s="48">
        <v>0</v>
      </c>
      <c r="CW421" s="48">
        <v>0</v>
      </c>
      <c r="CX421" s="48">
        <v>0</v>
      </c>
      <c r="CY421" s="48">
        <v>0</v>
      </c>
      <c r="CZ421" s="48">
        <v>0</v>
      </c>
      <c r="DA421" s="48">
        <v>0</v>
      </c>
      <c r="DB421" s="48">
        <v>0</v>
      </c>
      <c r="DC421" s="48">
        <v>0</v>
      </c>
      <c r="DD421" s="48">
        <v>0</v>
      </c>
      <c r="DE421" s="48">
        <f>VLOOKUP($C421,'[2]Analysis 1'!$C$5:$DG$1025,107,FALSE)</f>
        <v>0</v>
      </c>
      <c r="DF421" s="48">
        <f>VLOOKUP($C421,'[2]Analysis 1'!$C$5:$DG$1025,108,FALSE)</f>
        <v>0</v>
      </c>
      <c r="DG421" s="48">
        <f>VLOOKUP($C421,'[2]Analysis 1'!$C$5:$DG$1025,109,FALSE)</f>
        <v>0</v>
      </c>
      <c r="DH421" s="369">
        <f t="shared" si="13"/>
        <v>0</v>
      </c>
    </row>
    <row r="422" spans="1:112">
      <c r="A422" s="357" t="str">
        <f t="shared" si="12"/>
        <v>8999998</v>
      </c>
      <c r="B422" s="350" t="s">
        <v>2196</v>
      </c>
      <c r="C422" s="335" t="s">
        <v>1264</v>
      </c>
      <c r="D422" s="340">
        <v>7357286.6799999997</v>
      </c>
      <c r="E422" s="340">
        <v>0</v>
      </c>
      <c r="F422" s="340">
        <v>0</v>
      </c>
      <c r="G422" s="340">
        <v>11948603.68</v>
      </c>
      <c r="H422" s="340">
        <v>0</v>
      </c>
      <c r="I422" s="340">
        <v>0</v>
      </c>
      <c r="J422" s="340">
        <v>9971893.4700000007</v>
      </c>
      <c r="K422" s="340">
        <v>0</v>
      </c>
      <c r="L422" s="340">
        <v>0</v>
      </c>
      <c r="M422" s="340">
        <v>5874136.4699999997</v>
      </c>
      <c r="N422" s="340">
        <v>0</v>
      </c>
      <c r="O422" s="341">
        <v>0</v>
      </c>
      <c r="P422" s="48">
        <v>0</v>
      </c>
      <c r="Q422" s="48">
        <v>6579361.9699999997</v>
      </c>
      <c r="R422" s="48">
        <v>0</v>
      </c>
      <c r="S422" s="48">
        <v>14236193.27</v>
      </c>
      <c r="T422" s="48">
        <v>0</v>
      </c>
      <c r="U422" s="48">
        <v>0</v>
      </c>
      <c r="V422" s="48">
        <v>8836348.5500000007</v>
      </c>
      <c r="W422" s="48">
        <v>0</v>
      </c>
      <c r="X422" s="48">
        <v>0</v>
      </c>
      <c r="Y422" s="48">
        <v>0</v>
      </c>
      <c r="Z422" s="48">
        <v>7141083.0599999996</v>
      </c>
      <c r="AA422" s="48">
        <v>0</v>
      </c>
      <c r="AB422" s="48">
        <v>0</v>
      </c>
      <c r="AC422" s="48">
        <v>5832498.4000000004</v>
      </c>
      <c r="AD422" s="48">
        <v>0</v>
      </c>
      <c r="AE422" s="48">
        <v>0</v>
      </c>
      <c r="AF422" s="48">
        <v>13698517.41</v>
      </c>
      <c r="AG422" s="48">
        <v>8092257.4400000004</v>
      </c>
      <c r="AH422" s="48">
        <v>0</v>
      </c>
      <c r="AI422" s="48">
        <v>0</v>
      </c>
      <c r="AJ422" s="48">
        <v>0</v>
      </c>
      <c r="AK422" s="48">
        <v>0</v>
      </c>
      <c r="AL422" s="48">
        <v>5958301.9699999997</v>
      </c>
      <c r="AM422" s="48">
        <v>0</v>
      </c>
      <c r="AN422" s="48">
        <v>0</v>
      </c>
      <c r="AO422" s="48">
        <v>8007312.5300000003</v>
      </c>
      <c r="AP422" s="48">
        <v>0</v>
      </c>
      <c r="AQ422" s="48">
        <v>0</v>
      </c>
      <c r="AR422" s="48">
        <v>11289288.970000001</v>
      </c>
      <c r="AS422" s="48">
        <v>0</v>
      </c>
      <c r="AT422" s="48">
        <v>0</v>
      </c>
      <c r="AU422" s="48">
        <v>12086132.140000001</v>
      </c>
      <c r="AV422" s="48">
        <v>0</v>
      </c>
      <c r="AW422" s="48">
        <v>0</v>
      </c>
      <c r="AX422" s="48">
        <v>7337410.4100000001</v>
      </c>
      <c r="AY422" s="48">
        <v>0</v>
      </c>
      <c r="AZ422" s="48">
        <v>0</v>
      </c>
      <c r="BA422" s="48">
        <v>14365517.640000001</v>
      </c>
      <c r="BB422" s="48">
        <v>0</v>
      </c>
      <c r="BC422" s="48">
        <v>0</v>
      </c>
      <c r="BD422" s="48">
        <v>15456143.34</v>
      </c>
      <c r="BE422" s="48">
        <v>0</v>
      </c>
      <c r="BF422" s="48">
        <v>0</v>
      </c>
      <c r="BG422" s="48">
        <v>11089440.68</v>
      </c>
      <c r="BH422" s="48">
        <v>0</v>
      </c>
      <c r="BI422" s="48">
        <v>0</v>
      </c>
      <c r="BJ422" s="48">
        <v>9335324.0299999993</v>
      </c>
      <c r="BK422" s="48">
        <v>0</v>
      </c>
      <c r="BL422" s="48">
        <v>0</v>
      </c>
      <c r="BM422" s="48">
        <v>11818492.35</v>
      </c>
      <c r="BN422" s="48">
        <v>0</v>
      </c>
      <c r="BO422" s="48">
        <v>0</v>
      </c>
      <c r="BP422" s="48">
        <v>17980658.050000001</v>
      </c>
      <c r="BQ422" s="48">
        <v>0</v>
      </c>
      <c r="BR422" s="48">
        <v>0</v>
      </c>
      <c r="BS422" s="48">
        <v>13575264.68</v>
      </c>
      <c r="BT422" s="48">
        <v>0</v>
      </c>
      <c r="BU422" s="48">
        <v>0</v>
      </c>
      <c r="BV422" s="48">
        <v>10584558</v>
      </c>
      <c r="BW422" s="48">
        <v>0</v>
      </c>
      <c r="BX422" s="48">
        <v>0</v>
      </c>
      <c r="BY422" s="48">
        <v>11888651</v>
      </c>
      <c r="BZ422" s="48">
        <v>0</v>
      </c>
      <c r="CA422" s="48">
        <v>0</v>
      </c>
      <c r="CB422" s="48">
        <v>18460868</v>
      </c>
      <c r="CC422" s="48">
        <v>0</v>
      </c>
      <c r="CD422" s="48">
        <v>0</v>
      </c>
      <c r="CE422" s="48">
        <v>10528868</v>
      </c>
      <c r="CF422" s="48">
        <v>0</v>
      </c>
      <c r="CG422" s="48">
        <v>0</v>
      </c>
      <c r="CH422" s="48">
        <v>10269314</v>
      </c>
      <c r="CI422" s="48">
        <v>0</v>
      </c>
      <c r="CJ422" s="48">
        <v>0</v>
      </c>
      <c r="CK422" s="48">
        <v>12656339</v>
      </c>
      <c r="CL422" s="48">
        <v>0</v>
      </c>
      <c r="CM422" s="48">
        <v>27095926</v>
      </c>
      <c r="CN422" s="48">
        <v>0</v>
      </c>
      <c r="CO422" s="48">
        <v>0</v>
      </c>
      <c r="CP422" s="48">
        <v>0</v>
      </c>
      <c r="CQ422" s="48">
        <v>18659773</v>
      </c>
      <c r="CR422" s="48">
        <v>0</v>
      </c>
      <c r="CS422" s="48">
        <v>0</v>
      </c>
      <c r="CT422" s="48">
        <v>14758057</v>
      </c>
      <c r="CU422" s="48">
        <v>0</v>
      </c>
      <c r="CV422" s="48">
        <v>0</v>
      </c>
      <c r="CW422" s="48">
        <v>16769173</v>
      </c>
      <c r="CX422" s="48">
        <v>0</v>
      </c>
      <c r="CY422" s="48">
        <v>29543003</v>
      </c>
      <c r="CZ422" s="48">
        <v>0</v>
      </c>
      <c r="DA422" s="48">
        <v>0</v>
      </c>
      <c r="DB422" s="48">
        <v>0</v>
      </c>
      <c r="DC422" s="48">
        <v>19623044</v>
      </c>
      <c r="DD422" s="48">
        <v>0</v>
      </c>
      <c r="DE422" s="48">
        <f>VLOOKUP($C422,'[2]Analysis 1'!$C$5:$DG$1025,107,FALSE)</f>
        <v>16227366</v>
      </c>
      <c r="DF422" s="48">
        <f>VLOOKUP($C422,'[2]Analysis 1'!$C$5:$DG$1025,108,FALSE)</f>
        <v>0</v>
      </c>
      <c r="DG422" s="48">
        <f>VLOOKUP($C422,'[2]Analysis 1'!$C$5:$DG$1025,109,FALSE)</f>
        <v>0</v>
      </c>
      <c r="DH422" s="369">
        <f t="shared" si="13"/>
        <v>82162586</v>
      </c>
    </row>
    <row r="423" spans="1:112">
      <c r="A423" s="357" t="str">
        <f t="shared" si="12"/>
        <v>8999999</v>
      </c>
      <c r="B423" s="350" t="s">
        <v>2197</v>
      </c>
      <c r="C423" s="335" t="s">
        <v>1265</v>
      </c>
      <c r="D423" s="367">
        <v>-2181090.04</v>
      </c>
      <c r="E423" s="367">
        <v>4502626.84</v>
      </c>
      <c r="F423" s="367">
        <v>4881883.5599999996</v>
      </c>
      <c r="G423" s="367">
        <v>-8672808.1699999999</v>
      </c>
      <c r="H423" s="367">
        <v>1814214.4</v>
      </c>
      <c r="I423" s="367">
        <v>2478542.08</v>
      </c>
      <c r="J423" s="367">
        <v>-8287360.1799999997</v>
      </c>
      <c r="K423" s="367">
        <v>1711061.1</v>
      </c>
      <c r="L423" s="367">
        <v>1334666.74</v>
      </c>
      <c r="M423" s="367">
        <v>-3454548.84</v>
      </c>
      <c r="N423" s="367">
        <v>2825107.6</v>
      </c>
      <c r="O423" s="368">
        <v>3729886.48</v>
      </c>
      <c r="P423" s="48">
        <v>5545677.0499999998</v>
      </c>
      <c r="Q423" s="48">
        <v>-1618732.23</v>
      </c>
      <c r="R423" s="48">
        <v>4121482.69</v>
      </c>
      <c r="S423" s="48">
        <v>-11865145.140000001</v>
      </c>
      <c r="T423" s="48">
        <v>2343817.73</v>
      </c>
      <c r="U423" s="48">
        <v>2795820.78</v>
      </c>
      <c r="V423" s="48">
        <v>-7002762.9199999999</v>
      </c>
      <c r="W423" s="48">
        <v>2511676.65</v>
      </c>
      <c r="X423" s="48">
        <v>1860447.41</v>
      </c>
      <c r="Y423" s="48">
        <v>2165009.88</v>
      </c>
      <c r="Z423" s="48">
        <v>-5334041.95</v>
      </c>
      <c r="AA423" s="48">
        <v>2949033.29</v>
      </c>
      <c r="AB423" s="48">
        <v>5297380.29</v>
      </c>
      <c r="AC423" s="48">
        <v>-380394.57</v>
      </c>
      <c r="AD423" s="48">
        <v>2373165.4700000002</v>
      </c>
      <c r="AE423" s="48">
        <v>2946014.46</v>
      </c>
      <c r="AF423" s="48">
        <v>-10925439.9</v>
      </c>
      <c r="AG423" s="48">
        <v>-6769928.9000000004</v>
      </c>
      <c r="AH423" s="48">
        <v>2616097.65</v>
      </c>
      <c r="AI423" s="48">
        <v>2019875.78</v>
      </c>
      <c r="AJ423" s="48">
        <v>1958976.08</v>
      </c>
      <c r="AK423" s="48">
        <v>2943980.86</v>
      </c>
      <c r="AL423" s="48">
        <v>-2853946.38</v>
      </c>
      <c r="AM423" s="48">
        <v>2053249.05</v>
      </c>
      <c r="AN423" s="48">
        <v>5364828.88</v>
      </c>
      <c r="AO423" s="48">
        <v>-4136101.49</v>
      </c>
      <c r="AP423" s="48">
        <v>4536791.43</v>
      </c>
      <c r="AQ423" s="48">
        <v>3830968.03</v>
      </c>
      <c r="AR423" s="48">
        <v>-7570916.29</v>
      </c>
      <c r="AS423" s="48">
        <v>2081619.07</v>
      </c>
      <c r="AT423" s="48">
        <v>2758883.76</v>
      </c>
      <c r="AU423" s="48">
        <v>-9589224.5600000005</v>
      </c>
      <c r="AV423" s="48">
        <v>2707918.43</v>
      </c>
      <c r="AW423" s="48">
        <v>2630149.91</v>
      </c>
      <c r="AX423" s="48">
        <v>-3894080.18</v>
      </c>
      <c r="AY423" s="48">
        <v>5584119.0700000003</v>
      </c>
      <c r="AZ423" s="48">
        <v>9302106.2899999991</v>
      </c>
      <c r="BA423" s="48">
        <v>-9862049.3100000005</v>
      </c>
      <c r="BB423" s="48">
        <v>1650568.72</v>
      </c>
      <c r="BC423" s="48">
        <v>5304901.6399999997</v>
      </c>
      <c r="BD423" s="48">
        <v>-12767979.300000001</v>
      </c>
      <c r="BE423" s="48">
        <v>3096375</v>
      </c>
      <c r="BF423" s="48">
        <v>3105270.2</v>
      </c>
      <c r="BG423" s="48">
        <v>-8557337.3599999994</v>
      </c>
      <c r="BH423" s="48">
        <v>3697950.51</v>
      </c>
      <c r="BI423" s="48">
        <v>2803273.23</v>
      </c>
      <c r="BJ423" s="48">
        <v>-5813460.6699999999</v>
      </c>
      <c r="BK423" s="48">
        <v>5493355.7599999998</v>
      </c>
      <c r="BL423" s="48">
        <v>6617945.8899999997</v>
      </c>
      <c r="BM423" s="48">
        <v>-5951830.5</v>
      </c>
      <c r="BN423" s="48">
        <v>5496050.3099999996</v>
      </c>
      <c r="BO423" s="48">
        <v>5226930.1900000004</v>
      </c>
      <c r="BP423" s="48">
        <v>-13397496.93</v>
      </c>
      <c r="BQ423" s="48">
        <v>3765173.37</v>
      </c>
      <c r="BR423" s="48">
        <v>3058815.38</v>
      </c>
      <c r="BS423" s="48">
        <v>-9733380.8399999999</v>
      </c>
      <c r="BT423" s="48">
        <v>3683859.63</v>
      </c>
      <c r="BU423" s="48">
        <v>3425609.09</v>
      </c>
      <c r="BV423" s="48">
        <v>-6182919.29</v>
      </c>
      <c r="BW423" s="48">
        <v>4061403.69</v>
      </c>
      <c r="BX423" s="48">
        <v>7675617.6200000001</v>
      </c>
      <c r="BY423" s="48">
        <v>-5948184.0800000001</v>
      </c>
      <c r="BZ423" s="48">
        <v>4844783.18</v>
      </c>
      <c r="CA423" s="48">
        <v>3710728.28</v>
      </c>
      <c r="CB423" s="48">
        <v>-14852521.16</v>
      </c>
      <c r="CC423" s="48">
        <v>3209793.14</v>
      </c>
      <c r="CD423" s="48">
        <v>3096133.42</v>
      </c>
      <c r="CE423" s="48">
        <v>-6771045.1500000004</v>
      </c>
      <c r="CF423" s="48">
        <v>3415357.65</v>
      </c>
      <c r="CG423" s="48">
        <v>2946877.3</v>
      </c>
      <c r="CH423" s="48">
        <v>-5179416.92</v>
      </c>
      <c r="CI423" s="48">
        <v>4619564.9800000004</v>
      </c>
      <c r="CJ423" s="48">
        <v>11395487.33</v>
      </c>
      <c r="CK423" s="48">
        <v>-4646700.9000000004</v>
      </c>
      <c r="CL423" s="48">
        <v>7690800.4699999997</v>
      </c>
      <c r="CM423" s="48">
        <v>-19402192.890000001</v>
      </c>
      <c r="CN423" s="48">
        <v>5523422.1399999997</v>
      </c>
      <c r="CO423" s="48">
        <v>5442618.1799999997</v>
      </c>
      <c r="CP423" s="48">
        <v>4434602.46</v>
      </c>
      <c r="CQ423" s="48">
        <v>-13892246.57</v>
      </c>
      <c r="CR423" s="48">
        <v>5555927.8700000001</v>
      </c>
      <c r="CS423" s="48">
        <v>5105687.1500000004</v>
      </c>
      <c r="CT423" s="48">
        <v>-8957171.2300000004</v>
      </c>
      <c r="CU423" s="48">
        <v>5862599.79</v>
      </c>
      <c r="CV423" s="48">
        <v>9787937.4600000009</v>
      </c>
      <c r="CW423" s="48">
        <v>-7920739.6399999997</v>
      </c>
      <c r="CX423" s="48">
        <v>10906631.869999999</v>
      </c>
      <c r="CY423" s="48">
        <v>-22833862.670000002</v>
      </c>
      <c r="CZ423" s="48">
        <v>6255344.3099999996</v>
      </c>
      <c r="DA423" s="48">
        <v>6658559.8300000001</v>
      </c>
      <c r="DB423" s="48">
        <v>4395198.3499999996</v>
      </c>
      <c r="DC423" s="48">
        <v>-15060884.5</v>
      </c>
      <c r="DD423" s="48">
        <v>7270008.4299999997</v>
      </c>
      <c r="DE423" s="48">
        <f>VLOOKUP($C423,'[2]Analysis 1'!$C$5:$DG$1025,107,FALSE)</f>
        <v>-11423300.48</v>
      </c>
      <c r="DF423" s="48">
        <f>VLOOKUP($C423,'[2]Analysis 1'!$C$5:$DG$1025,108,FALSE)</f>
        <v>5933019.0599999996</v>
      </c>
      <c r="DG423" s="48">
        <f>VLOOKUP($C423,'[2]Analysis 1'!$C$5:$DG$1025,109,FALSE)</f>
        <v>6107119.9299999997</v>
      </c>
      <c r="DH423" s="369">
        <f t="shared" si="13"/>
        <v>75031.949999996461</v>
      </c>
    </row>
    <row r="424" spans="1:112">
      <c r="A424" s="1024"/>
      <c r="B424" s="1024"/>
      <c r="C424" s="1024"/>
      <c r="D424" s="1025"/>
      <c r="E424" s="1025"/>
      <c r="F424" s="1025"/>
      <c r="G424" s="1025"/>
      <c r="H424" s="1025"/>
      <c r="I424" s="1025"/>
      <c r="J424" s="1025"/>
      <c r="K424" s="1025"/>
      <c r="L424" s="1025"/>
      <c r="M424" s="1025"/>
      <c r="N424" s="1025"/>
      <c r="O424" s="1025"/>
      <c r="P424" s="1026"/>
      <c r="Q424" s="1026"/>
      <c r="R424" s="1026"/>
      <c r="S424" s="1026"/>
      <c r="T424" s="1026"/>
      <c r="U424" s="1026"/>
      <c r="V424" s="1026"/>
      <c r="W424" s="1026"/>
      <c r="X424" s="1026"/>
      <c r="Y424" s="1026"/>
      <c r="Z424" s="1026"/>
      <c r="AA424" s="1026"/>
      <c r="AB424" s="1026"/>
      <c r="AC424" s="1026"/>
      <c r="AD424" s="1026"/>
      <c r="AE424" s="1026"/>
      <c r="AF424" s="1026"/>
      <c r="AG424" s="1026"/>
      <c r="AH424" s="1026"/>
      <c r="AI424" s="1026"/>
      <c r="AJ424" s="1026"/>
      <c r="AK424" s="1026">
        <v>0</v>
      </c>
      <c r="AL424" s="1026">
        <v>7.9162418842315674E-9</v>
      </c>
      <c r="AM424" s="1026">
        <v>0</v>
      </c>
      <c r="AN424" s="1026">
        <f t="shared" ref="AN424:BZ424" si="14">SUM(AN5:AN422)+AN423</f>
        <v>0</v>
      </c>
      <c r="AO424" s="1026">
        <f t="shared" si="14"/>
        <v>1.3969838619232178E-8</v>
      </c>
      <c r="AP424" s="1026">
        <f t="shared" si="14"/>
        <v>7.4505805969238281E-9</v>
      </c>
      <c r="AQ424" s="1026">
        <f t="shared" si="14"/>
        <v>6.0535967350006104E-9</v>
      </c>
      <c r="AR424" s="1026">
        <f t="shared" si="14"/>
        <v>0</v>
      </c>
      <c r="AS424" s="1026">
        <f t="shared" si="14"/>
        <v>1.280568540096283E-8</v>
      </c>
      <c r="AT424" s="1026">
        <f t="shared" si="14"/>
        <v>-5.1222741603851318E-9</v>
      </c>
      <c r="AU424" s="1026">
        <f t="shared" si="14"/>
        <v>0</v>
      </c>
      <c r="AV424" s="1026">
        <f t="shared" si="14"/>
        <v>0</v>
      </c>
      <c r="AW424" s="1026">
        <f t="shared" si="14"/>
        <v>5.5879354476928711E-9</v>
      </c>
      <c r="AX424" s="1026">
        <f t="shared" si="14"/>
        <v>-2.0954757928848267E-8</v>
      </c>
      <c r="AY424" s="1026">
        <f t="shared" si="14"/>
        <v>0</v>
      </c>
      <c r="AZ424" s="1026">
        <f t="shared" si="14"/>
        <v>-1.6763806343078613E-8</v>
      </c>
      <c r="BA424" s="1026">
        <f t="shared" si="14"/>
        <v>2.4214386940002441E-8</v>
      </c>
      <c r="BB424" s="1026">
        <f t="shared" si="14"/>
        <v>6.7520886659622192E-9</v>
      </c>
      <c r="BC424" s="1026">
        <f t="shared" si="14"/>
        <v>0</v>
      </c>
      <c r="BD424" s="1026">
        <f t="shared" si="14"/>
        <v>0</v>
      </c>
      <c r="BE424" s="1026">
        <f t="shared" si="14"/>
        <v>0</v>
      </c>
      <c r="BF424" s="1026">
        <f t="shared" si="14"/>
        <v>-3.7252902984619141E-9</v>
      </c>
      <c r="BG424" s="1026">
        <f t="shared" si="14"/>
        <v>1638.5</v>
      </c>
      <c r="BH424" s="1026">
        <f t="shared" si="14"/>
        <v>-1638.5000000386499</v>
      </c>
      <c r="BI424" s="1026">
        <f t="shared" si="14"/>
        <v>5.1688402891159058E-8</v>
      </c>
      <c r="BJ424" s="1026">
        <f t="shared" si="14"/>
        <v>162.000000028871</v>
      </c>
      <c r="BK424" s="1026">
        <f t="shared" si="14"/>
        <v>-162.00000004377216</v>
      </c>
      <c r="BL424" s="1026">
        <f t="shared" si="14"/>
        <v>2.7939677238464355E-8</v>
      </c>
      <c r="BM424" s="1026">
        <f t="shared" si="14"/>
        <v>1.9557774066925049E-8</v>
      </c>
      <c r="BN424" s="1026">
        <f t="shared" si="14"/>
        <v>1.3969838619232178E-8</v>
      </c>
      <c r="BO424" s="1026">
        <f t="shared" si="14"/>
        <v>0</v>
      </c>
      <c r="BP424" s="1026">
        <f t="shared" si="14"/>
        <v>0</v>
      </c>
      <c r="BQ424" s="1026">
        <f t="shared" si="14"/>
        <v>-7.9162418842315674E-9</v>
      </c>
      <c r="BR424" s="1026">
        <f t="shared" si="14"/>
        <v>9.3132257461547852E-9</v>
      </c>
      <c r="BS424" s="1026">
        <f t="shared" si="14"/>
        <v>0</v>
      </c>
      <c r="BT424" s="1026">
        <f t="shared" si="14"/>
        <v>4.1909515857696533E-9</v>
      </c>
      <c r="BU424" s="1026">
        <f t="shared" si="14"/>
        <v>1.2107193470001221E-8</v>
      </c>
      <c r="BV424" s="1026">
        <f t="shared" si="14"/>
        <v>0</v>
      </c>
      <c r="BW424" s="1026">
        <f t="shared" si="14"/>
        <v>1.909211277961731E-8</v>
      </c>
      <c r="BX424" s="1026">
        <f t="shared" si="14"/>
        <v>9.3132257461547852E-9</v>
      </c>
      <c r="BY424" s="1026">
        <f t="shared" si="14"/>
        <v>0</v>
      </c>
      <c r="BZ424" s="1026">
        <f t="shared" si="14"/>
        <v>-7.4505805969238281E-9</v>
      </c>
      <c r="CA424" s="1026">
        <f t="shared" ref="CA424:CF424" si="15">SUM(CA5:CA422)+CA423</f>
        <v>7.4505805969238281E-9</v>
      </c>
      <c r="CB424" s="1026">
        <f t="shared" si="15"/>
        <v>27.999999986961484</v>
      </c>
      <c r="CC424" s="1026">
        <f t="shared" si="15"/>
        <v>-1.0244548320770264E-8</v>
      </c>
      <c r="CD424" s="1026">
        <f t="shared" si="15"/>
        <v>1.5366822481155396E-8</v>
      </c>
      <c r="CE424" s="1026">
        <f t="shared" si="15"/>
        <v>9.3132257461547852E-9</v>
      </c>
      <c r="CF424" s="1026">
        <f t="shared" si="15"/>
        <v>-1.1641532182693481E-8</v>
      </c>
      <c r="CG424" s="1026">
        <f t="shared" ref="CG424:CL424" si="16">SUM(CG5:CG422)+CG423</f>
        <v>0</v>
      </c>
      <c r="CH424" s="1026">
        <f t="shared" si="16"/>
        <v>0</v>
      </c>
      <c r="CI424" s="1026">
        <f t="shared" si="16"/>
        <v>-1.7695128917694092E-8</v>
      </c>
      <c r="CJ424" s="1026">
        <f t="shared" si="16"/>
        <v>-2.2351741790771484E-8</v>
      </c>
      <c r="CK424" s="1026">
        <f t="shared" si="16"/>
        <v>8.3819031715393066E-9</v>
      </c>
      <c r="CL424" s="1026">
        <f t="shared" si="16"/>
        <v>-2.4214386940002441E-8</v>
      </c>
      <c r="CM424" s="1026">
        <f>SUM(CM5:CM422)+CM423</f>
        <v>-2.9802322387695313E-8</v>
      </c>
      <c r="CN424" s="1026">
        <f>SUM(CN5:CN422)+CN423</f>
        <v>0</v>
      </c>
      <c r="CO424" s="1026">
        <f>SUM(CO5:CO422)+CO423</f>
        <v>0</v>
      </c>
      <c r="CP424" s="1026">
        <v>1.0244548320770264E-8</v>
      </c>
      <c r="CQ424" s="1026">
        <v>0</v>
      </c>
      <c r="CR424" s="1026">
        <v>-1.3038516044616699E-8</v>
      </c>
      <c r="CS424" s="1026">
        <v>3.2596290111541748E-8</v>
      </c>
      <c r="CT424" s="1026">
        <v>0</v>
      </c>
      <c r="CU424" s="1026">
        <v>0</v>
      </c>
      <c r="CV424" s="1026">
        <v>-4.6566128730773926E-8</v>
      </c>
      <c r="CW424" s="1026">
        <v>-1.5832483768463135E-8</v>
      </c>
      <c r="CX424" s="1026">
        <v>-1.862645149230957E-8</v>
      </c>
      <c r="CY424" s="1026">
        <v>0</v>
      </c>
      <c r="CZ424" s="1026">
        <v>1.4901161193847656E-8</v>
      </c>
      <c r="DA424" s="1026">
        <v>3.7252902984619141E-8</v>
      </c>
      <c r="DB424" s="1026">
        <f>SUM(DB5:DB422)+DB423</f>
        <v>-1.862645149230957E-8</v>
      </c>
      <c r="DC424" s="1026">
        <f>SUM(DC5:DC422)+DC423</f>
        <v>0</v>
      </c>
      <c r="DD424" s="1026">
        <f>SUM(DD5:DD422)+DD423</f>
        <v>4.0046870708465576E-8</v>
      </c>
      <c r="DE424" s="1026">
        <f t="shared" ref="DE424:DG424" si="17">SUM(DE5:DE422)+DE423</f>
        <v>1.862645149230957E-8</v>
      </c>
      <c r="DF424" s="1026">
        <f t="shared" si="17"/>
        <v>0</v>
      </c>
      <c r="DG424" s="1026">
        <f t="shared" si="17"/>
        <v>-3.6321580410003662E-8</v>
      </c>
      <c r="DH424" s="369">
        <f t="shared" si="13"/>
        <v>-2.514570951461792E-8</v>
      </c>
    </row>
    <row r="425" spans="1:112">
      <c r="A425" s="1023" t="s">
        <v>572</v>
      </c>
      <c r="B425" s="1023" t="s">
        <v>1266</v>
      </c>
      <c r="C425" s="1023" t="s">
        <v>574</v>
      </c>
      <c r="D425" s="337" t="str">
        <f>+D$4</f>
        <v>JAN 2014  Activity</v>
      </c>
      <c r="E425" s="337" t="str">
        <f t="shared" ref="E425:BU425" si="18">+E$4</f>
        <v>FEB 2014  Activity</v>
      </c>
      <c r="F425" s="337" t="str">
        <f t="shared" si="18"/>
        <v>MAR 2014  Activity</v>
      </c>
      <c r="G425" s="337" t="str">
        <f t="shared" si="18"/>
        <v>APR 2014  Activity</v>
      </c>
      <c r="H425" s="337" t="str">
        <f t="shared" si="18"/>
        <v>MAY 2014  Activity</v>
      </c>
      <c r="I425" s="337" t="str">
        <f t="shared" si="18"/>
        <v>JUN 2014  Activity</v>
      </c>
      <c r="J425" s="337" t="str">
        <f t="shared" si="18"/>
        <v>JUL 2014  Activity</v>
      </c>
      <c r="K425" s="337" t="str">
        <f t="shared" si="18"/>
        <v>AUG 2014  Activity</v>
      </c>
      <c r="L425" s="337" t="str">
        <f t="shared" si="18"/>
        <v>SEP 2014  Activity</v>
      </c>
      <c r="M425" s="337" t="str">
        <f t="shared" si="18"/>
        <v>OCT 2014  Activity</v>
      </c>
      <c r="N425" s="337" t="str">
        <f t="shared" si="18"/>
        <v>NOV 2014  Activity</v>
      </c>
      <c r="O425" s="337" t="str">
        <f t="shared" si="18"/>
        <v>DEC 2014  Activity</v>
      </c>
      <c r="P425" s="337" t="str">
        <f t="shared" si="18"/>
        <v>JAN 2015  Activity</v>
      </c>
      <c r="Q425" s="337" t="str">
        <f t="shared" si="18"/>
        <v>FEB 2015  Activity</v>
      </c>
      <c r="R425" s="337" t="str">
        <f t="shared" si="18"/>
        <v>MAR 2015  Activity</v>
      </c>
      <c r="S425" s="337" t="str">
        <f t="shared" si="18"/>
        <v>APR 2015  Activity</v>
      </c>
      <c r="T425" s="337" t="s">
        <v>1385</v>
      </c>
      <c r="U425" s="337" t="s">
        <v>1386</v>
      </c>
      <c r="V425" s="337" t="s">
        <v>1399</v>
      </c>
      <c r="W425" s="337" t="s">
        <v>1400</v>
      </c>
      <c r="X425" s="337" t="s">
        <v>1401</v>
      </c>
      <c r="Y425" s="337" t="s">
        <v>1408</v>
      </c>
      <c r="Z425" s="337" t="s">
        <v>1409</v>
      </c>
      <c r="AA425" s="337" t="s">
        <v>1410</v>
      </c>
      <c r="AB425" s="337" t="s">
        <v>1426</v>
      </c>
      <c r="AC425" s="337" t="s">
        <v>1427</v>
      </c>
      <c r="AD425" s="337" t="s">
        <v>1428</v>
      </c>
      <c r="AE425" s="337" t="str">
        <f t="shared" si="18"/>
        <v>APR 2016  Activity</v>
      </c>
      <c r="AF425" s="337" t="str">
        <f t="shared" si="18"/>
        <v>MAY 2016  Activity</v>
      </c>
      <c r="AG425" s="337" t="str">
        <f t="shared" si="18"/>
        <v>JUN 2016  Activity</v>
      </c>
      <c r="AH425" s="337" t="str">
        <f t="shared" si="18"/>
        <v>JUL 2016  Activity</v>
      </c>
      <c r="AI425" s="337" t="str">
        <f t="shared" si="18"/>
        <v>AUG 2016  Activity</v>
      </c>
      <c r="AJ425" s="337" t="str">
        <f t="shared" si="18"/>
        <v>SEP 2016  Activity</v>
      </c>
      <c r="AK425" s="337" t="s">
        <v>1710</v>
      </c>
      <c r="AL425" s="337" t="s">
        <v>1711</v>
      </c>
      <c r="AM425" s="337" t="s">
        <v>1712</v>
      </c>
      <c r="AN425" s="337" t="str">
        <f t="shared" si="18"/>
        <v>JAN 2017  Activity</v>
      </c>
      <c r="AO425" s="337" t="str">
        <f t="shared" si="18"/>
        <v>FEB 2017  Activity</v>
      </c>
      <c r="AP425" s="337" t="str">
        <f t="shared" si="18"/>
        <v>MAR 2017  Activity</v>
      </c>
      <c r="AQ425" s="337" t="s">
        <v>1814</v>
      </c>
      <c r="AR425" s="337" t="s">
        <v>1815</v>
      </c>
      <c r="AS425" s="337" t="s">
        <v>1816</v>
      </c>
      <c r="AT425" s="337" t="str">
        <f t="shared" si="18"/>
        <v>JUL 2017  Activity</v>
      </c>
      <c r="AU425" s="337" t="str">
        <f t="shared" si="18"/>
        <v>AUG 2017  Activity</v>
      </c>
      <c r="AV425" s="337" t="str">
        <f t="shared" si="18"/>
        <v>SEP 2017  Activity</v>
      </c>
      <c r="AW425" s="337" t="str">
        <f t="shared" si="18"/>
        <v>OCT 2017  Activity</v>
      </c>
      <c r="AX425" s="337" t="str">
        <f t="shared" si="18"/>
        <v>NOV 2017  Activity</v>
      </c>
      <c r="AY425" s="337" t="str">
        <f t="shared" si="18"/>
        <v>DEC 2017  Activity</v>
      </c>
      <c r="AZ425" s="337" t="str">
        <f t="shared" si="18"/>
        <v>JAN 2018  Activity</v>
      </c>
      <c r="BA425" s="337" t="str">
        <f t="shared" si="18"/>
        <v>FEB 2018  Activity</v>
      </c>
      <c r="BB425" s="337" t="str">
        <f t="shared" si="18"/>
        <v>MAR 2018  Activity</v>
      </c>
      <c r="BC425" s="337" t="str">
        <f t="shared" si="18"/>
        <v>APR 2018  Activity</v>
      </c>
      <c r="BD425" s="337" t="str">
        <f t="shared" si="18"/>
        <v>MAY 2018  Activity</v>
      </c>
      <c r="BE425" s="337" t="str">
        <f t="shared" si="18"/>
        <v>JUN 2018  Activity</v>
      </c>
      <c r="BF425" s="337" t="str">
        <f t="shared" si="18"/>
        <v>JUL 2018  Activity</v>
      </c>
      <c r="BG425" s="337" t="str">
        <f t="shared" si="18"/>
        <v>AUG 2018  Activity</v>
      </c>
      <c r="BH425" s="337" t="str">
        <f t="shared" si="18"/>
        <v>SEP 2018  Activity</v>
      </c>
      <c r="BI425" s="337" t="str">
        <f t="shared" si="18"/>
        <v>OCT 2018  Activity</v>
      </c>
      <c r="BJ425" s="337" t="str">
        <f t="shared" si="18"/>
        <v>NOV 2018  Activity</v>
      </c>
      <c r="BK425" s="337" t="str">
        <f t="shared" si="18"/>
        <v>DEC 2018  Activity</v>
      </c>
      <c r="BL425" s="337" t="str">
        <f t="shared" si="18"/>
        <v>JAN 2019  Activity</v>
      </c>
      <c r="BM425" s="337" t="str">
        <f t="shared" si="18"/>
        <v>FEB 2019  Activity</v>
      </c>
      <c r="BN425" s="337" t="str">
        <f t="shared" si="18"/>
        <v>MAR 2019  Activity</v>
      </c>
      <c r="BO425" s="337" t="str">
        <f t="shared" si="18"/>
        <v>APR 2019  Activity</v>
      </c>
      <c r="BP425" s="337" t="str">
        <f t="shared" si="18"/>
        <v>MAY 2019  Activity</v>
      </c>
      <c r="BQ425" s="337" t="str">
        <f t="shared" si="18"/>
        <v>JUN 2019  Activity</v>
      </c>
      <c r="BR425" s="337" t="str">
        <f t="shared" si="18"/>
        <v>JUL 2019  Activity</v>
      </c>
      <c r="BS425" s="337" t="str">
        <f t="shared" si="18"/>
        <v>AUG 2019  Activity</v>
      </c>
      <c r="BT425" s="337" t="str">
        <f t="shared" si="18"/>
        <v>SEP 2019  Activity</v>
      </c>
      <c r="BU425" s="337" t="str">
        <f t="shared" si="18"/>
        <v>OCT 2019  Activity</v>
      </c>
      <c r="BV425" s="337" t="str">
        <f t="shared" ref="BV425:DG425" si="19">+BV$4</f>
        <v>NOV 2019  Activity</v>
      </c>
      <c r="BW425" s="337" t="str">
        <f t="shared" si="19"/>
        <v>DEC 2019  Activity</v>
      </c>
      <c r="BX425" s="1022" t="str">
        <f t="shared" si="19"/>
        <v>JAN 2020  Activity</v>
      </c>
      <c r="BY425" s="1022" t="str">
        <f t="shared" si="19"/>
        <v>FEB 2020  Activity</v>
      </c>
      <c r="BZ425" s="1022" t="str">
        <f t="shared" si="19"/>
        <v>MAR 2020  Activity</v>
      </c>
      <c r="CA425" s="1022" t="str">
        <f t="shared" si="19"/>
        <v>APR 2020  Activity</v>
      </c>
      <c r="CB425" s="1022" t="str">
        <f t="shared" si="19"/>
        <v>MAY 2020  Activity</v>
      </c>
      <c r="CC425" s="1022" t="str">
        <f t="shared" si="19"/>
        <v>JUN 2020  Activity</v>
      </c>
      <c r="CD425" s="1022" t="str">
        <f t="shared" si="19"/>
        <v>JUL 2020  Activity</v>
      </c>
      <c r="CE425" s="1022" t="str">
        <f t="shared" si="19"/>
        <v>AUG 2020  Activity</v>
      </c>
      <c r="CF425" s="1022" t="str">
        <f t="shared" si="19"/>
        <v>SEP 2020  Activity</v>
      </c>
      <c r="CG425" s="1022" t="str">
        <f t="shared" si="19"/>
        <v>OCT 2020  Activity</v>
      </c>
      <c r="CH425" s="1022" t="str">
        <f t="shared" si="19"/>
        <v>NOV 2020  Activity</v>
      </c>
      <c r="CI425" s="1022" t="str">
        <f t="shared" si="19"/>
        <v>DEC 2020  Activity</v>
      </c>
      <c r="CJ425" s="1022" t="str">
        <f t="shared" si="19"/>
        <v>JAN 2021  Activity</v>
      </c>
      <c r="CK425" s="1022" t="str">
        <f t="shared" si="19"/>
        <v>FEB 2021  Activity</v>
      </c>
      <c r="CL425" s="1022" t="str">
        <f t="shared" si="19"/>
        <v>MAR 2021  Activity</v>
      </c>
      <c r="CM425" s="1022" t="str">
        <f t="shared" si="19"/>
        <v>APR 2021  Activity</v>
      </c>
      <c r="CN425" s="1022" t="str">
        <f t="shared" si="19"/>
        <v>MAY 2021  Activity</v>
      </c>
      <c r="CO425" s="1022" t="str">
        <f t="shared" si="19"/>
        <v>JUN 2021  Activity</v>
      </c>
      <c r="CP425" s="1022" t="s">
        <v>2695</v>
      </c>
      <c r="CQ425" s="1022" t="s">
        <v>2696</v>
      </c>
      <c r="CR425" s="1022" t="s">
        <v>2697</v>
      </c>
      <c r="CS425" s="1022" t="s">
        <v>2744</v>
      </c>
      <c r="CT425" s="1022" t="s">
        <v>2745</v>
      </c>
      <c r="CU425" s="1022" t="s">
        <v>2746</v>
      </c>
      <c r="CV425" s="1022" t="str">
        <f t="shared" si="19"/>
        <v>JAN 2022  Activity</v>
      </c>
      <c r="CW425" s="1022" t="str">
        <f t="shared" si="19"/>
        <v>FEB 2022  Activity</v>
      </c>
      <c r="CX425" s="1022" t="str">
        <f t="shared" si="19"/>
        <v>MAR 2022  Activity</v>
      </c>
      <c r="CY425" s="1022" t="str">
        <f t="shared" si="19"/>
        <v>APR 2022  Activity</v>
      </c>
      <c r="CZ425" s="1022" t="str">
        <f t="shared" si="19"/>
        <v>MAY 2022  Activity</v>
      </c>
      <c r="DA425" s="1022" t="str">
        <f t="shared" si="19"/>
        <v>JUN 2022  Activity</v>
      </c>
      <c r="DB425" s="1022" t="str">
        <f t="shared" si="19"/>
        <v>JULY 2022  Activity</v>
      </c>
      <c r="DC425" s="1022" t="str">
        <f t="shared" si="19"/>
        <v>AUG 2022  Activity</v>
      </c>
      <c r="DD425" s="1022" t="str">
        <f t="shared" si="19"/>
        <v>SEPT 2022  Activity</v>
      </c>
      <c r="DE425" s="1022" t="str">
        <f t="shared" si="19"/>
        <v>OCT 2022  Activity</v>
      </c>
      <c r="DF425" s="1022" t="str">
        <f t="shared" si="19"/>
        <v>NOV 2022  Activity</v>
      </c>
      <c r="DG425" s="1022" t="str">
        <f t="shared" si="19"/>
        <v>DEC 2022  Activity</v>
      </c>
      <c r="DH425">
        <f t="shared" si="13"/>
        <v>0</v>
      </c>
    </row>
    <row r="426" spans="1:112">
      <c r="A426" s="350" t="s">
        <v>1276</v>
      </c>
      <c r="D426" s="369">
        <v>4245161.26</v>
      </c>
      <c r="E426" s="369">
        <v>4207119.1399999997</v>
      </c>
      <c r="F426" s="369">
        <v>4214231.42</v>
      </c>
      <c r="G426" s="369">
        <v>4222479.62</v>
      </c>
      <c r="H426" s="369">
        <v>4241082.46</v>
      </c>
      <c r="I426" s="369">
        <v>4251586.87</v>
      </c>
      <c r="J426" s="369">
        <v>4262005.4800000004</v>
      </c>
      <c r="K426" s="369">
        <v>4298136.43</v>
      </c>
      <c r="L426" s="369">
        <v>4316386.4000000004</v>
      </c>
      <c r="M426" s="369">
        <v>4334447.7300000004</v>
      </c>
      <c r="N426" s="369">
        <v>4365072.1100000003</v>
      </c>
      <c r="O426" s="369">
        <v>4384360.91</v>
      </c>
      <c r="P426" s="48">
        <v>4407098.71</v>
      </c>
      <c r="Q426" s="48">
        <v>4425417.41</v>
      </c>
      <c r="R426" s="48">
        <v>4431232.5199999996</v>
      </c>
      <c r="S426" s="48">
        <v>4446182.9000000004</v>
      </c>
      <c r="T426" s="48">
        <v>4467479.41</v>
      </c>
      <c r="U426" s="48">
        <v>4488665.9000000004</v>
      </c>
      <c r="V426" s="48">
        <v>4538000.74</v>
      </c>
      <c r="W426" s="48">
        <v>4550526.09</v>
      </c>
      <c r="X426" s="48">
        <v>4562763.3</v>
      </c>
      <c r="Y426" s="48">
        <v>4584730.0999999996</v>
      </c>
      <c r="Z426" s="48">
        <v>4603963.09</v>
      </c>
      <c r="AA426" s="48">
        <v>4631851.5</v>
      </c>
      <c r="AB426" s="48">
        <v>4667147.76</v>
      </c>
      <c r="AC426" s="48">
        <v>4704864.67</v>
      </c>
      <c r="AD426" s="48">
        <v>4723345.3099999996</v>
      </c>
      <c r="AE426" s="48">
        <v>4743484.2699999996</v>
      </c>
      <c r="AF426" s="48">
        <v>4763746.34</v>
      </c>
      <c r="AG426" s="48">
        <v>4777464.88</v>
      </c>
      <c r="AH426" s="48">
        <v>4959441.68</v>
      </c>
      <c r="AI426" s="48">
        <v>4837445.83</v>
      </c>
      <c r="AJ426" s="48">
        <v>4938910.2699999996</v>
      </c>
      <c r="AK426" s="48">
        <v>4949351.38</v>
      </c>
      <c r="AL426" s="48">
        <v>5002328.6399999997</v>
      </c>
      <c r="AM426" s="48">
        <v>-11678706.08</v>
      </c>
      <c r="AN426" s="48">
        <v>3595775.31</v>
      </c>
      <c r="AO426" s="48">
        <v>3616299.31</v>
      </c>
      <c r="AP426" s="48">
        <v>3633375.89</v>
      </c>
      <c r="AQ426" s="48">
        <v>3642311.28</v>
      </c>
      <c r="AR426" s="48">
        <v>3646711.86</v>
      </c>
      <c r="AS426" s="48">
        <v>3664703.01</v>
      </c>
      <c r="AT426" s="48">
        <v>3681094.35</v>
      </c>
      <c r="AU426" s="48">
        <v>3699572.6</v>
      </c>
      <c r="AV426" s="48">
        <v>3720976.73</v>
      </c>
      <c r="AW426" s="48">
        <v>3759140.47</v>
      </c>
      <c r="AX426" s="48">
        <v>3784764.26</v>
      </c>
      <c r="AY426" s="48">
        <v>3802460.82</v>
      </c>
      <c r="AZ426" s="48">
        <v>3828881.35</v>
      </c>
      <c r="BA426" s="48">
        <v>3858918.81</v>
      </c>
      <c r="BB426" s="48">
        <v>3877230.57</v>
      </c>
      <c r="BC426" s="48">
        <v>3905747.53</v>
      </c>
      <c r="BD426" s="48">
        <v>3922730.34</v>
      </c>
      <c r="BE426" s="48">
        <v>3962454.71</v>
      </c>
      <c r="BF426" s="48">
        <v>3982806.7</v>
      </c>
      <c r="BG426" s="48">
        <v>4002276.8</v>
      </c>
      <c r="BH426" s="48">
        <v>4045105.27</v>
      </c>
      <c r="BI426" s="48">
        <v>4031307.23</v>
      </c>
      <c r="BJ426" s="48">
        <v>4072746.98</v>
      </c>
      <c r="BK426" s="48">
        <v>4134643.13</v>
      </c>
      <c r="BL426" s="48">
        <v>3107962.62</v>
      </c>
      <c r="BM426" s="48">
        <v>3127764.88</v>
      </c>
      <c r="BN426" s="48">
        <v>3164395.09</v>
      </c>
      <c r="BO426" s="48">
        <v>3192930.59</v>
      </c>
      <c r="BP426" s="48">
        <v>3215751.7</v>
      </c>
      <c r="BQ426" s="48">
        <v>3240566.32</v>
      </c>
      <c r="BR426" s="48">
        <v>3269450.45</v>
      </c>
      <c r="BS426" s="48">
        <v>3291399.24</v>
      </c>
      <c r="BT426" s="48">
        <v>3306879.04</v>
      </c>
      <c r="BU426" s="48">
        <v>3343583.3</v>
      </c>
      <c r="BV426" s="48">
        <v>3354950.57</v>
      </c>
      <c r="BW426" s="48">
        <v>3395513.35</v>
      </c>
      <c r="BX426" s="48">
        <v>3428541.86</v>
      </c>
      <c r="BY426" s="48">
        <v>3444795.37</v>
      </c>
      <c r="BZ426" s="48">
        <v>3482418.96</v>
      </c>
      <c r="CA426" s="48">
        <v>3513602.62</v>
      </c>
      <c r="CB426" s="48">
        <v>3534644.66</v>
      </c>
      <c r="CC426" s="48">
        <v>3555660.03</v>
      </c>
      <c r="CD426" s="48">
        <v>3580039.27</v>
      </c>
      <c r="CE426" s="48">
        <v>3598451.29</v>
      </c>
      <c r="CF426" s="48">
        <v>3632403.4</v>
      </c>
      <c r="CG426" s="48">
        <v>3656996.48</v>
      </c>
      <c r="CH426" s="48">
        <v>3752982.95</v>
      </c>
      <c r="CI426" s="48">
        <v>3789137.69</v>
      </c>
      <c r="CJ426" s="48">
        <v>4058861.98</v>
      </c>
      <c r="CK426" s="48">
        <v>4092393.43</v>
      </c>
      <c r="CL426" s="48">
        <v>4088038.85</v>
      </c>
      <c r="CM426" s="48">
        <v>4119088.03</v>
      </c>
      <c r="CN426" s="48">
        <v>4253544.55</v>
      </c>
      <c r="CO426" s="48">
        <v>4279271.59</v>
      </c>
      <c r="CP426" s="48">
        <v>4304775.75</v>
      </c>
      <c r="CQ426" s="48">
        <v>4323312.1900000004</v>
      </c>
      <c r="CR426" s="48">
        <v>4344549.92</v>
      </c>
      <c r="CS426" s="48">
        <v>4358337.1100000003</v>
      </c>
      <c r="CT426" s="48">
        <v>4383559.29</v>
      </c>
      <c r="CU426" s="48">
        <v>4514855.82</v>
      </c>
      <c r="CV426" s="48">
        <v>4556223.72</v>
      </c>
      <c r="CW426" s="48">
        <v>4580607.3600000003</v>
      </c>
      <c r="CX426" s="48">
        <v>-192470.77</v>
      </c>
      <c r="CY426" s="48">
        <v>4621121.43</v>
      </c>
      <c r="CZ426" s="48">
        <v>4653219.08</v>
      </c>
      <c r="DA426" s="48">
        <v>-96220.41</v>
      </c>
      <c r="DB426" s="48">
        <v>4717547.8899999997</v>
      </c>
      <c r="DC426" s="48">
        <v>4710523.5599999996</v>
      </c>
      <c r="DD426" s="48">
        <v>-42495.4</v>
      </c>
      <c r="DE426" s="48">
        <f>VLOOKUP($A426,'[2]Analysis 1'!$A$5:$DG$1025,109,FALSE)</f>
        <v>4762167.58</v>
      </c>
      <c r="DF426" s="48">
        <f>VLOOKUP($A426,'[2]Analysis 1'!$A$5:$DG$1025,110,FALSE)</f>
        <v>4864802.5199999996</v>
      </c>
      <c r="DG426" s="48">
        <f>VLOOKUP($A426,'[2]Analysis 1'!$A$5:$DG$1025,111,FALSE)</f>
        <v>4887440.9400000004</v>
      </c>
      <c r="DH426" s="369">
        <f t="shared" si="13"/>
        <v>42022467.5</v>
      </c>
    </row>
    <row r="427" spans="1:112">
      <c r="A427" s="335" t="s">
        <v>1277</v>
      </c>
      <c r="D427" s="369">
        <v>147191.46</v>
      </c>
      <c r="E427" s="369">
        <v>150189.5</v>
      </c>
      <c r="F427" s="369">
        <v>150194.57999999999</v>
      </c>
      <c r="G427" s="369">
        <v>150194.63</v>
      </c>
      <c r="H427" s="369">
        <v>150484.89000000001</v>
      </c>
      <c r="I427" s="369">
        <v>150486.68</v>
      </c>
      <c r="J427" s="369">
        <v>150488.16</v>
      </c>
      <c r="K427" s="369">
        <v>148336.57999999999</v>
      </c>
      <c r="L427" s="369">
        <v>154584.12</v>
      </c>
      <c r="M427" s="369">
        <v>154782.59</v>
      </c>
      <c r="N427" s="369">
        <v>154803.57999999999</v>
      </c>
      <c r="O427" s="369">
        <v>154804.53</v>
      </c>
      <c r="P427" s="48">
        <v>154806.53</v>
      </c>
      <c r="Q427" s="48">
        <v>154806.63</v>
      </c>
      <c r="R427" s="48">
        <v>134962.85</v>
      </c>
      <c r="S427" s="48">
        <v>135733.29</v>
      </c>
      <c r="T427" s="48">
        <v>147032.15</v>
      </c>
      <c r="U427" s="48">
        <v>146988.38</v>
      </c>
      <c r="V427" s="48">
        <v>147053.41</v>
      </c>
      <c r="W427" s="48">
        <v>148150.35999999999</v>
      </c>
      <c r="X427" s="48">
        <v>148668.26999999999</v>
      </c>
      <c r="Y427" s="48">
        <v>149307.07999999999</v>
      </c>
      <c r="Z427" s="48">
        <v>148928.76</v>
      </c>
      <c r="AA427" s="48">
        <v>149025.72</v>
      </c>
      <c r="AB427" s="48">
        <v>149157.06</v>
      </c>
      <c r="AC427" s="48">
        <v>149157.44</v>
      </c>
      <c r="AD427" s="48">
        <v>149159.98000000001</v>
      </c>
      <c r="AE427" s="48">
        <v>149093.32999999999</v>
      </c>
      <c r="AF427" s="48">
        <v>149095.4</v>
      </c>
      <c r="AG427" s="48">
        <v>149095.99</v>
      </c>
      <c r="AH427" s="48">
        <v>151055.9</v>
      </c>
      <c r="AI427" s="48">
        <v>158659.17000000001</v>
      </c>
      <c r="AJ427" s="48">
        <v>158665.84</v>
      </c>
      <c r="AK427" s="48">
        <v>158827.91</v>
      </c>
      <c r="AL427" s="48">
        <v>160395.59</v>
      </c>
      <c r="AM427" s="48">
        <v>160906.1</v>
      </c>
      <c r="AN427" s="48">
        <v>155958.22</v>
      </c>
      <c r="AO427" s="48">
        <v>155958.41</v>
      </c>
      <c r="AP427" s="48">
        <v>155959.65</v>
      </c>
      <c r="AQ427" s="48">
        <v>158368.13</v>
      </c>
      <c r="AR427" s="48">
        <v>157782.47</v>
      </c>
      <c r="AS427" s="48">
        <v>157809.01999999999</v>
      </c>
      <c r="AT427" s="48">
        <v>158117.35999999999</v>
      </c>
      <c r="AU427" s="48">
        <v>158131.23000000001</v>
      </c>
      <c r="AV427" s="48">
        <v>158476.85</v>
      </c>
      <c r="AW427" s="48">
        <v>158503.75</v>
      </c>
      <c r="AX427" s="48">
        <v>158595.5</v>
      </c>
      <c r="AY427" s="48">
        <v>158595.15</v>
      </c>
      <c r="AZ427" s="48">
        <v>160184.29999999999</v>
      </c>
      <c r="BA427" s="48">
        <v>160187.41</v>
      </c>
      <c r="BB427" s="48">
        <v>160210.32999999999</v>
      </c>
      <c r="BC427" s="48">
        <v>161347.1</v>
      </c>
      <c r="BD427" s="48">
        <v>161706.65</v>
      </c>
      <c r="BE427" s="48">
        <v>161723.91</v>
      </c>
      <c r="BF427" s="48">
        <v>161648.19</v>
      </c>
      <c r="BG427" s="48">
        <v>163599.94</v>
      </c>
      <c r="BH427" s="48">
        <v>163761.54</v>
      </c>
      <c r="BI427" s="48">
        <v>163948.59</v>
      </c>
      <c r="BJ427" s="48">
        <v>168391.29</v>
      </c>
      <c r="BK427" s="48">
        <v>168590.2</v>
      </c>
      <c r="BL427" s="48">
        <v>175750.58</v>
      </c>
      <c r="BM427" s="48">
        <v>176244.21</v>
      </c>
      <c r="BN427" s="48">
        <v>176111.99</v>
      </c>
      <c r="BO427" s="48">
        <v>176101.6</v>
      </c>
      <c r="BP427" s="48">
        <v>176152.95</v>
      </c>
      <c r="BQ427" s="48">
        <v>172556.62</v>
      </c>
      <c r="BR427" s="48">
        <v>172563.25</v>
      </c>
      <c r="BS427" s="48">
        <v>172487.48</v>
      </c>
      <c r="BT427" s="48">
        <v>172554.12</v>
      </c>
      <c r="BU427" s="48">
        <v>178817.54</v>
      </c>
      <c r="BV427" s="48">
        <v>179457.42</v>
      </c>
      <c r="BW427" s="48">
        <v>180492.46</v>
      </c>
      <c r="BX427" s="48">
        <v>186368.99</v>
      </c>
      <c r="BY427" s="48">
        <v>184231.94</v>
      </c>
      <c r="BZ427" s="48">
        <v>185353.5</v>
      </c>
      <c r="CA427" s="48">
        <v>184520.25</v>
      </c>
      <c r="CB427" s="48">
        <v>184391.25</v>
      </c>
      <c r="CC427" s="48">
        <v>184507.58</v>
      </c>
      <c r="CD427" s="48">
        <v>185260.31</v>
      </c>
      <c r="CE427" s="48">
        <v>185376.15</v>
      </c>
      <c r="CF427" s="48">
        <v>183665.84</v>
      </c>
      <c r="CG427" s="48">
        <v>183812.57</v>
      </c>
      <c r="CH427" s="48">
        <v>274286.36</v>
      </c>
      <c r="CI427" s="48">
        <v>274706.28999999998</v>
      </c>
      <c r="CJ427" s="48">
        <v>270651.27</v>
      </c>
      <c r="CK427" s="48">
        <v>270886.17</v>
      </c>
      <c r="CL427" s="48">
        <v>271218.26</v>
      </c>
      <c r="CM427" s="48">
        <v>285406.7</v>
      </c>
      <c r="CN427" s="48">
        <v>301060.37</v>
      </c>
      <c r="CO427" s="48">
        <v>302455.27</v>
      </c>
      <c r="CP427" s="48">
        <v>303895.84999999998</v>
      </c>
      <c r="CQ427" s="48">
        <v>305319.11</v>
      </c>
      <c r="CR427" s="48">
        <v>305870.89</v>
      </c>
      <c r="CS427" s="48">
        <v>306026.75</v>
      </c>
      <c r="CT427" s="48">
        <v>306171.98</v>
      </c>
      <c r="CU427" s="48">
        <v>306369.34999999998</v>
      </c>
      <c r="CV427" s="48">
        <v>306480.17</v>
      </c>
      <c r="CW427" s="48">
        <v>306715.53999999998</v>
      </c>
      <c r="CX427" s="48">
        <v>339061.6</v>
      </c>
      <c r="CY427" s="48">
        <v>339744.77</v>
      </c>
      <c r="CZ427" s="48">
        <v>339862.64</v>
      </c>
      <c r="DA427" s="48">
        <v>340197.19</v>
      </c>
      <c r="DB427" s="48">
        <v>339366.82</v>
      </c>
      <c r="DC427" s="48">
        <v>339490.01</v>
      </c>
      <c r="DD427" s="48">
        <v>339472.62</v>
      </c>
      <c r="DE427" s="48">
        <f>VLOOKUP($A427,'[2]Analysis 1'!$A$5:$DG$1025,109,FALSE)</f>
        <v>339739.91</v>
      </c>
      <c r="DF427" s="48">
        <f>VLOOKUP($A427,'[2]Analysis 1'!$A$5:$DG$1025,110,FALSE)</f>
        <v>339859.61</v>
      </c>
      <c r="DG427" s="48">
        <f>VLOOKUP($A427,'[2]Analysis 1'!$A$5:$DG$1025,111,FALSE)</f>
        <v>343378.44</v>
      </c>
      <c r="DH427" s="369">
        <f t="shared" si="13"/>
        <v>4013369.3200000003</v>
      </c>
    </row>
    <row r="428" spans="1:112">
      <c r="A428" s="335" t="s">
        <v>1278</v>
      </c>
      <c r="D428" s="369">
        <v>12428.82</v>
      </c>
      <c r="E428" s="369">
        <v>12428.82</v>
      </c>
      <c r="F428" s="369">
        <v>12428.82</v>
      </c>
      <c r="G428" s="369">
        <v>12428.82</v>
      </c>
      <c r="H428" s="369">
        <v>12428.82</v>
      </c>
      <c r="I428" s="369">
        <v>12428.82</v>
      </c>
      <c r="J428" s="369">
        <v>12428.82</v>
      </c>
      <c r="K428" s="369">
        <v>12428.82</v>
      </c>
      <c r="L428" s="369">
        <v>12428.82</v>
      </c>
      <c r="M428" s="369">
        <v>12428.82</v>
      </c>
      <c r="N428" s="369">
        <v>12428.82</v>
      </c>
      <c r="O428" s="369">
        <v>12428.82</v>
      </c>
      <c r="P428" s="48">
        <v>12428.82</v>
      </c>
      <c r="Q428" s="48">
        <v>12428.82</v>
      </c>
      <c r="R428" s="48">
        <v>12428.82</v>
      </c>
      <c r="S428" s="48">
        <v>12428.82</v>
      </c>
      <c r="T428" s="48">
        <v>12428.82</v>
      </c>
      <c r="U428" s="48">
        <v>12428.82</v>
      </c>
      <c r="V428" s="48">
        <v>12428.82</v>
      </c>
      <c r="W428" s="48">
        <v>12428.82</v>
      </c>
      <c r="X428" s="48">
        <v>12428.82</v>
      </c>
      <c r="Y428" s="48">
        <v>12428.82</v>
      </c>
      <c r="Z428" s="48">
        <v>12428.82</v>
      </c>
      <c r="AA428" s="48">
        <v>12428.82</v>
      </c>
      <c r="AB428" s="48">
        <v>12428.82</v>
      </c>
      <c r="AC428" s="48">
        <v>12428.82</v>
      </c>
      <c r="AD428" s="48">
        <v>12428.82</v>
      </c>
      <c r="AE428" s="48">
        <v>12428.82</v>
      </c>
      <c r="AF428" s="48">
        <v>12428.82</v>
      </c>
      <c r="AG428" s="48">
        <v>12428.82</v>
      </c>
      <c r="AH428" s="48">
        <v>12428.82</v>
      </c>
      <c r="AI428" s="48">
        <v>12428.82</v>
      </c>
      <c r="AJ428" s="48">
        <v>12428.82</v>
      </c>
      <c r="AK428" s="48">
        <v>12428.82</v>
      </c>
      <c r="AL428" s="48">
        <v>12428.82</v>
      </c>
      <c r="AM428" s="48">
        <v>12428.82</v>
      </c>
      <c r="AN428" s="48">
        <v>12428.82</v>
      </c>
      <c r="AO428" s="48">
        <v>12428.82</v>
      </c>
      <c r="AP428" s="48">
        <v>12428.82</v>
      </c>
      <c r="AQ428" s="48">
        <v>12428.82</v>
      </c>
      <c r="AR428" s="48">
        <v>12428.82</v>
      </c>
      <c r="AS428" s="48">
        <v>12428.82</v>
      </c>
      <c r="AT428" s="48">
        <v>12428.82</v>
      </c>
      <c r="AU428" s="48">
        <v>12428.82</v>
      </c>
      <c r="AV428" s="48">
        <v>12428.82</v>
      </c>
      <c r="AW428" s="48">
        <v>12428.82</v>
      </c>
      <c r="AX428" s="48">
        <v>12428.82</v>
      </c>
      <c r="AY428" s="48">
        <v>12428.82</v>
      </c>
      <c r="AZ428" s="48">
        <v>12428.82</v>
      </c>
      <c r="BA428" s="48">
        <v>12428.82</v>
      </c>
      <c r="BB428" s="48">
        <v>12428.82</v>
      </c>
      <c r="BC428" s="48">
        <v>12428.82</v>
      </c>
      <c r="BD428" s="48">
        <v>12428.82</v>
      </c>
      <c r="BE428" s="48">
        <v>12428.82</v>
      </c>
      <c r="BF428" s="48">
        <v>12428.82</v>
      </c>
      <c r="BG428" s="48">
        <v>12428.82</v>
      </c>
      <c r="BH428" s="48">
        <v>12428.82</v>
      </c>
      <c r="BI428" s="48">
        <v>12428.82</v>
      </c>
      <c r="BJ428" s="48">
        <v>12428.82</v>
      </c>
      <c r="BK428" s="48">
        <v>12428.82</v>
      </c>
      <c r="BL428" s="48">
        <v>12428.82</v>
      </c>
      <c r="BM428" s="48">
        <v>12428.82</v>
      </c>
      <c r="BN428" s="48">
        <v>12428.82</v>
      </c>
      <c r="BO428" s="48">
        <v>12428.82</v>
      </c>
      <c r="BP428" s="48">
        <v>12428.82</v>
      </c>
      <c r="BQ428" s="48">
        <v>12428.82</v>
      </c>
      <c r="BR428" s="48">
        <v>12428.82</v>
      </c>
      <c r="BS428" s="48">
        <v>12428.82</v>
      </c>
      <c r="BT428" s="48">
        <v>12428.82</v>
      </c>
      <c r="BU428" s="48">
        <v>12428.82</v>
      </c>
      <c r="BV428" s="48">
        <v>12428.82</v>
      </c>
      <c r="BW428" s="48">
        <v>12428.82</v>
      </c>
      <c r="BX428" s="48">
        <v>12428.82</v>
      </c>
      <c r="BY428" s="48">
        <v>12428.82</v>
      </c>
      <c r="BZ428" s="48">
        <v>12428.82</v>
      </c>
      <c r="CA428" s="48">
        <v>12428.82</v>
      </c>
      <c r="CB428" s="48">
        <v>12428.82</v>
      </c>
      <c r="CC428" s="48">
        <v>12428.82</v>
      </c>
      <c r="CD428" s="48">
        <v>12428.82</v>
      </c>
      <c r="CE428" s="48">
        <v>12428.82</v>
      </c>
      <c r="CF428" s="48">
        <v>12428.82</v>
      </c>
      <c r="CG428" s="48">
        <v>5949.73</v>
      </c>
      <c r="CH428" s="48">
        <v>5949.73</v>
      </c>
      <c r="CI428" s="48">
        <v>5949.73</v>
      </c>
      <c r="CJ428" s="48">
        <v>5949.73</v>
      </c>
      <c r="CK428" s="48">
        <v>5949.73</v>
      </c>
      <c r="CL428" s="48">
        <v>5949.73</v>
      </c>
      <c r="CM428" s="48">
        <v>5949.73</v>
      </c>
      <c r="CN428" s="48">
        <v>5949.73</v>
      </c>
      <c r="CO428" s="48">
        <v>5949.73</v>
      </c>
      <c r="CP428" s="48">
        <v>5949.73</v>
      </c>
      <c r="CQ428" s="48">
        <v>-687.37</v>
      </c>
      <c r="CR428" s="48">
        <v>0</v>
      </c>
      <c r="CS428" s="48">
        <v>0</v>
      </c>
      <c r="CT428" s="48">
        <v>0</v>
      </c>
      <c r="CU428" s="48">
        <v>0</v>
      </c>
      <c r="CV428" s="48">
        <v>0</v>
      </c>
      <c r="CW428" s="48">
        <v>0</v>
      </c>
      <c r="CX428" s="48">
        <v>0</v>
      </c>
      <c r="CY428" s="48">
        <v>0</v>
      </c>
      <c r="CZ428" s="48">
        <v>0</v>
      </c>
      <c r="DA428" s="48">
        <v>0</v>
      </c>
      <c r="DB428" s="48">
        <v>0</v>
      </c>
      <c r="DC428" s="48">
        <v>0</v>
      </c>
      <c r="DD428" s="48">
        <v>0</v>
      </c>
      <c r="DE428" s="48">
        <f>VLOOKUP($A428,'[2]Analysis 1'!$A$5:$DG$1025,109,FALSE)</f>
        <v>0</v>
      </c>
      <c r="DF428" s="48">
        <f>VLOOKUP($A428,'[2]Analysis 1'!$A$5:$DG$1025,110,FALSE)</f>
        <v>0</v>
      </c>
      <c r="DG428" s="48">
        <f>VLOOKUP($A428,'[2]Analysis 1'!$A$5:$DG$1025,111,FALSE)</f>
        <v>0</v>
      </c>
      <c r="DH428" s="369">
        <f t="shared" si="13"/>
        <v>0</v>
      </c>
    </row>
    <row r="429" spans="1:112">
      <c r="A429" s="335" t="s">
        <v>1279</v>
      </c>
      <c r="D429" s="369">
        <v>692732</v>
      </c>
      <c r="E429" s="369">
        <v>1004123</v>
      </c>
      <c r="F429" s="369">
        <v>735084</v>
      </c>
      <c r="G429" s="369">
        <v>458589</v>
      </c>
      <c r="H429" s="369">
        <v>191456</v>
      </c>
      <c r="I429" s="369">
        <v>155589</v>
      </c>
      <c r="J429" s="369">
        <v>53333</v>
      </c>
      <c r="K429" s="369">
        <v>53333</v>
      </c>
      <c r="L429" s="369">
        <v>53333</v>
      </c>
      <c r="M429" s="369">
        <v>53333</v>
      </c>
      <c r="N429" s="369">
        <v>83411</v>
      </c>
      <c r="O429" s="369">
        <v>606127</v>
      </c>
      <c r="P429" s="48">
        <v>640463</v>
      </c>
      <c r="Q429" s="48">
        <v>1044195.45</v>
      </c>
      <c r="R429" s="48">
        <v>767964.41</v>
      </c>
      <c r="S429" s="48">
        <v>517228.68</v>
      </c>
      <c r="T429" s="48">
        <v>53155</v>
      </c>
      <c r="U429" s="48">
        <v>117676</v>
      </c>
      <c r="V429" s="48">
        <v>53333</v>
      </c>
      <c r="W429" s="48">
        <v>564537</v>
      </c>
      <c r="X429" s="48">
        <v>53333</v>
      </c>
      <c r="Y429" s="48">
        <v>53333</v>
      </c>
      <c r="Z429" s="48">
        <v>232559</v>
      </c>
      <c r="AA429" s="48">
        <v>449762</v>
      </c>
      <c r="AB429" s="48">
        <v>514421.52</v>
      </c>
      <c r="AC429" s="48">
        <v>816086</v>
      </c>
      <c r="AD429" s="48">
        <v>467539</v>
      </c>
      <c r="AE429" s="48">
        <v>356640</v>
      </c>
      <c r="AF429" s="48">
        <v>53197</v>
      </c>
      <c r="AG429" s="48">
        <v>-8011.48</v>
      </c>
      <c r="AH429" s="48">
        <v>53333</v>
      </c>
      <c r="AI429" s="48">
        <v>53333</v>
      </c>
      <c r="AJ429" s="48">
        <v>53333</v>
      </c>
      <c r="AK429" s="48">
        <v>53333</v>
      </c>
      <c r="AL429" s="48">
        <v>209703</v>
      </c>
      <c r="AM429" s="48">
        <v>16053333</v>
      </c>
      <c r="AN429" s="48">
        <v>1431292</v>
      </c>
      <c r="AO429" s="48">
        <v>1020414</v>
      </c>
      <c r="AP429" s="48">
        <v>760824</v>
      </c>
      <c r="AQ429" s="48">
        <v>753237</v>
      </c>
      <c r="AR429" s="48">
        <v>485801</v>
      </c>
      <c r="AS429" s="48">
        <v>485801</v>
      </c>
      <c r="AT429" s="48">
        <v>485801</v>
      </c>
      <c r="AU429" s="48">
        <v>485801</v>
      </c>
      <c r="AV429" s="48">
        <v>485801</v>
      </c>
      <c r="AW429" s="48">
        <v>485801</v>
      </c>
      <c r="AX429" s="48">
        <v>485801</v>
      </c>
      <c r="AY429" s="48">
        <v>-613552</v>
      </c>
      <c r="AZ429" s="48">
        <v>1523673</v>
      </c>
      <c r="BA429" s="48">
        <v>2748713.34</v>
      </c>
      <c r="BB429" s="48">
        <v>4446076.68</v>
      </c>
      <c r="BC429" s="48">
        <v>1578070</v>
      </c>
      <c r="BD429" s="48">
        <v>911765</v>
      </c>
      <c r="BE429" s="48">
        <v>860609</v>
      </c>
      <c r="BF429" s="48">
        <v>932571</v>
      </c>
      <c r="BG429" s="48">
        <v>921234</v>
      </c>
      <c r="BH429" s="48">
        <v>733299</v>
      </c>
      <c r="BI429" s="48">
        <v>684719</v>
      </c>
      <c r="BJ429" s="48">
        <v>684719</v>
      </c>
      <c r="BK429" s="48">
        <v>266083</v>
      </c>
      <c r="BL429" s="48">
        <v>773967</v>
      </c>
      <c r="BM429" s="48">
        <v>1622841</v>
      </c>
      <c r="BN429" s="48">
        <v>771740</v>
      </c>
      <c r="BO429" s="48">
        <v>251810</v>
      </c>
      <c r="BP429" s="48">
        <v>366029</v>
      </c>
      <c r="BQ429" s="48">
        <v>119556</v>
      </c>
      <c r="BR429" s="48">
        <v>119556</v>
      </c>
      <c r="BS429" s="48">
        <v>119556</v>
      </c>
      <c r="BT429" s="48">
        <v>201614</v>
      </c>
      <c r="BU429" s="48">
        <v>144133</v>
      </c>
      <c r="BV429" s="48">
        <v>119556</v>
      </c>
      <c r="BW429" s="48">
        <v>350140</v>
      </c>
      <c r="BX429" s="48">
        <v>1045771</v>
      </c>
      <c r="BY429" s="48">
        <v>1486794</v>
      </c>
      <c r="BZ429" s="48">
        <v>1242135</v>
      </c>
      <c r="CA429" s="48">
        <v>409329</v>
      </c>
      <c r="CB429" s="48">
        <v>409329</v>
      </c>
      <c r="CC429" s="48">
        <v>409329</v>
      </c>
      <c r="CD429" s="48">
        <v>409329</v>
      </c>
      <c r="CE429" s="48">
        <v>409329</v>
      </c>
      <c r="CF429" s="48">
        <v>409329</v>
      </c>
      <c r="CG429" s="48">
        <v>409329</v>
      </c>
      <c r="CH429" s="48">
        <v>409329</v>
      </c>
      <c r="CI429" s="48">
        <v>567204</v>
      </c>
      <c r="CJ429" s="48">
        <v>1732592.33</v>
      </c>
      <c r="CK429" s="48">
        <v>892693.33</v>
      </c>
      <c r="CL429" s="48">
        <v>713190.33</v>
      </c>
      <c r="CM429" s="48">
        <v>794950.33</v>
      </c>
      <c r="CN429" s="48">
        <v>524590.32999999996</v>
      </c>
      <c r="CO429" s="48">
        <v>514587.33</v>
      </c>
      <c r="CP429" s="48">
        <v>514587.33</v>
      </c>
      <c r="CQ429" s="48">
        <v>568195.32999999996</v>
      </c>
      <c r="CR429" s="48">
        <v>1235910</v>
      </c>
      <c r="CS429" s="48">
        <v>483183.82</v>
      </c>
      <c r="CT429" s="48">
        <v>581072.93999999994</v>
      </c>
      <c r="CU429" s="48">
        <v>721825.45</v>
      </c>
      <c r="CV429" s="48">
        <v>1401187.33</v>
      </c>
      <c r="CW429" s="48">
        <v>1948709.33</v>
      </c>
      <c r="CX429" s="48">
        <v>444635.33</v>
      </c>
      <c r="CY429" s="48">
        <v>918702.33</v>
      </c>
      <c r="CZ429" s="48">
        <v>824020.33</v>
      </c>
      <c r="DA429" s="48">
        <v>1050341.33</v>
      </c>
      <c r="DB429" s="48">
        <v>346304.33</v>
      </c>
      <c r="DC429" s="48">
        <v>346304.33</v>
      </c>
      <c r="DD429" s="48">
        <v>346304.33</v>
      </c>
      <c r="DE429" s="48">
        <f>VLOOKUP($A429,'[2]Analysis 1'!$A$5:$DG$1025,109,FALSE)</f>
        <v>346304.33</v>
      </c>
      <c r="DF429" s="48">
        <f>VLOOKUP($A429,'[2]Analysis 1'!$A$5:$DG$1025,110,FALSE)</f>
        <v>346304.33</v>
      </c>
      <c r="DG429" s="48">
        <f>VLOOKUP($A429,'[2]Analysis 1'!$A$5:$DG$1025,111,FALSE)</f>
        <v>354133.33</v>
      </c>
      <c r="DH429" s="369">
        <f t="shared" si="13"/>
        <v>8673250.9600000009</v>
      </c>
    </row>
    <row r="430" spans="1:112">
      <c r="A430" s="335" t="s">
        <v>1280</v>
      </c>
      <c r="D430" s="369">
        <v>-449</v>
      </c>
      <c r="E430" s="369">
        <v>0</v>
      </c>
      <c r="F430" s="369">
        <v>0</v>
      </c>
      <c r="G430" s="369">
        <v>120</v>
      </c>
      <c r="H430" s="369">
        <v>0</v>
      </c>
      <c r="I430" s="369">
        <v>-16168</v>
      </c>
      <c r="J430" s="369">
        <v>-551337</v>
      </c>
      <c r="K430" s="369">
        <v>-267863</v>
      </c>
      <c r="L430" s="369">
        <v>-361503</v>
      </c>
      <c r="M430" s="369">
        <v>-187139</v>
      </c>
      <c r="N430" s="369">
        <v>-71943</v>
      </c>
      <c r="O430" s="369">
        <v>-30478</v>
      </c>
      <c r="P430" s="48">
        <v>-26117</v>
      </c>
      <c r="Q430" s="48">
        <v>-25795</v>
      </c>
      <c r="R430" s="48">
        <v>-25795</v>
      </c>
      <c r="S430" s="48">
        <v>-25795</v>
      </c>
      <c r="T430" s="48">
        <v>-139270.35999999999</v>
      </c>
      <c r="U430" s="48">
        <v>-78805.63</v>
      </c>
      <c r="V430" s="48">
        <v>-130640.69</v>
      </c>
      <c r="W430" s="48">
        <v>-323064.52</v>
      </c>
      <c r="X430" s="48">
        <v>-218469.72</v>
      </c>
      <c r="Y430" s="48">
        <v>-509248.91</v>
      </c>
      <c r="Z430" s="48">
        <v>-116856.32000000001</v>
      </c>
      <c r="AA430" s="48">
        <v>-86845.91</v>
      </c>
      <c r="AB430" s="48">
        <v>-178474</v>
      </c>
      <c r="AC430" s="48">
        <v>-178038</v>
      </c>
      <c r="AD430" s="48">
        <v>-178038</v>
      </c>
      <c r="AE430" s="163">
        <v>-178038</v>
      </c>
      <c r="AF430" s="163">
        <v>-349720</v>
      </c>
      <c r="AG430" s="163">
        <v>-447541</v>
      </c>
      <c r="AH430" s="163">
        <v>-408543</v>
      </c>
      <c r="AI430" s="163">
        <v>-935390</v>
      </c>
      <c r="AJ430" s="163">
        <v>-344140</v>
      </c>
      <c r="AK430" s="163">
        <v>-782161</v>
      </c>
      <c r="AL430" s="163">
        <v>-306546</v>
      </c>
      <c r="AM430" s="163">
        <v>-341795</v>
      </c>
      <c r="AN430" s="163">
        <v>-59322</v>
      </c>
      <c r="AO430" s="163">
        <v>-45253</v>
      </c>
      <c r="AP430" s="163">
        <v>-109905</v>
      </c>
      <c r="AQ430" s="163">
        <v>-137919</v>
      </c>
      <c r="AR430" s="163">
        <v>-668825</v>
      </c>
      <c r="AS430" s="163">
        <v>-899674</v>
      </c>
      <c r="AT430" s="163">
        <v>-968188</v>
      </c>
      <c r="AU430" s="163">
        <v>-1159101</v>
      </c>
      <c r="AV430" s="163">
        <v>-713056</v>
      </c>
      <c r="AW430" s="163">
        <v>-1567703</v>
      </c>
      <c r="AX430" s="163">
        <v>-723534</v>
      </c>
      <c r="AY430" s="163">
        <v>-337518</v>
      </c>
      <c r="AZ430" s="163">
        <v>0</v>
      </c>
      <c r="BA430" s="163">
        <v>0</v>
      </c>
      <c r="BB430" s="163">
        <v>-472880</v>
      </c>
      <c r="BC430" s="163">
        <v>-1178357</v>
      </c>
      <c r="BD430" s="163">
        <v>0</v>
      </c>
      <c r="BE430" s="163">
        <v>-141955</v>
      </c>
      <c r="BF430" s="163">
        <v>-1404380</v>
      </c>
      <c r="BG430" s="163">
        <v>-891247</v>
      </c>
      <c r="BH430" s="163">
        <v>-148132</v>
      </c>
      <c r="BI430" s="163">
        <v>-1477193</v>
      </c>
      <c r="BJ430" s="163">
        <v>-268461</v>
      </c>
      <c r="BK430" s="163">
        <v>-7586</v>
      </c>
      <c r="BL430" s="163">
        <v>-119764</v>
      </c>
      <c r="BM430" s="163">
        <v>-174835</v>
      </c>
      <c r="BN430" s="163">
        <v>-119764</v>
      </c>
      <c r="BO430" s="163">
        <v>-119764</v>
      </c>
      <c r="BP430" s="163">
        <v>-237165</v>
      </c>
      <c r="BQ430" s="163">
        <v>-1073082</v>
      </c>
      <c r="BR430" s="163">
        <v>-1564647</v>
      </c>
      <c r="BS430" s="163">
        <v>-865141</v>
      </c>
      <c r="BT430" s="163">
        <v>-517878</v>
      </c>
      <c r="BU430" s="163">
        <v>-1033944.21</v>
      </c>
      <c r="BV430" s="163">
        <v>-734848.79</v>
      </c>
      <c r="BW430" s="163">
        <v>-519278</v>
      </c>
      <c r="BX430" s="163">
        <v>0</v>
      </c>
      <c r="BY430" s="163">
        <v>0</v>
      </c>
      <c r="BZ430" s="163">
        <v>0</v>
      </c>
      <c r="CA430" s="163">
        <v>-541125</v>
      </c>
      <c r="CB430" s="163">
        <v>-713524</v>
      </c>
      <c r="CC430" s="163">
        <v>-799801</v>
      </c>
      <c r="CD430" s="163">
        <v>-880400</v>
      </c>
      <c r="CE430" s="163">
        <v>-1147999</v>
      </c>
      <c r="CF430" s="163">
        <v>-1478348</v>
      </c>
      <c r="CG430" s="163">
        <v>-1540208</v>
      </c>
      <c r="CH430" s="163">
        <v>-607047</v>
      </c>
      <c r="CI430" s="163">
        <v>-115872</v>
      </c>
      <c r="CJ430" s="163">
        <v>0</v>
      </c>
      <c r="CK430" s="163">
        <v>0</v>
      </c>
      <c r="CL430" s="163">
        <v>0</v>
      </c>
      <c r="CM430" s="163">
        <v>1900</v>
      </c>
      <c r="CN430" s="163">
        <v>-8166</v>
      </c>
      <c r="CO430" s="163">
        <v>-65264</v>
      </c>
      <c r="CP430" s="163">
        <v>-383487</v>
      </c>
      <c r="CQ430" s="163">
        <v>-133213</v>
      </c>
      <c r="CR430" s="163">
        <v>-633481</v>
      </c>
      <c r="CS430" s="163">
        <v>-559659</v>
      </c>
      <c r="CT430" s="163">
        <v>-279446</v>
      </c>
      <c r="CU430" s="163">
        <v>-61927</v>
      </c>
      <c r="CV430" s="163">
        <v>0</v>
      </c>
      <c r="CW430" s="163">
        <v>0</v>
      </c>
      <c r="CX430" s="163">
        <v>-627335</v>
      </c>
      <c r="CY430" s="163">
        <v>0</v>
      </c>
      <c r="CZ430" s="163">
        <v>-476476</v>
      </c>
      <c r="DA430" s="163">
        <v>-176577</v>
      </c>
      <c r="DB430" s="163">
        <v>-1843532.5</v>
      </c>
      <c r="DC430" s="163">
        <v>-769216.5</v>
      </c>
      <c r="DD430" s="163">
        <v>-1136302.5</v>
      </c>
      <c r="DE430" s="163">
        <f>VLOOKUP($A430,'[2]Analysis 1'!$A$5:$DG$1025,109,FALSE)</f>
        <v>-707125.5</v>
      </c>
      <c r="DF430" s="163">
        <f>VLOOKUP($A430,'[2]Analysis 1'!$A$5:$DG$1025,110,FALSE)</f>
        <v>-688030.5</v>
      </c>
      <c r="DG430" s="163">
        <f>VLOOKUP($A430,'[2]Analysis 1'!$A$5:$DG$1025,111,FALSE)</f>
        <v>-266816.5</v>
      </c>
      <c r="DH430" s="369">
        <f t="shared" si="13"/>
        <v>-6691412</v>
      </c>
    </row>
    <row r="431" spans="1:112">
      <c r="A431" s="335" t="s">
        <v>1281</v>
      </c>
      <c r="D431" s="369">
        <v>3900728.63</v>
      </c>
      <c r="E431" s="369">
        <v>3576790.95</v>
      </c>
      <c r="F431" s="369">
        <v>3236058.27</v>
      </c>
      <c r="G431" s="369">
        <v>3026048.36</v>
      </c>
      <c r="H431" s="369">
        <v>2806888.43</v>
      </c>
      <c r="I431" s="369">
        <v>2620717.92</v>
      </c>
      <c r="J431" s="369">
        <v>2518056.41</v>
      </c>
      <c r="K431" s="369">
        <v>2150955.4900000002</v>
      </c>
      <c r="L431" s="369">
        <v>2559103.38</v>
      </c>
      <c r="M431" s="369">
        <v>2601447.5099999998</v>
      </c>
      <c r="N431" s="369">
        <v>2764179.48</v>
      </c>
      <c r="O431" s="369">
        <v>3351238.9</v>
      </c>
      <c r="P431" s="48">
        <v>3516551.96</v>
      </c>
      <c r="Q431" s="48">
        <v>3692989.66</v>
      </c>
      <c r="R431" s="48">
        <v>3508343.87</v>
      </c>
      <c r="S431" s="48">
        <v>3029851.64</v>
      </c>
      <c r="T431" s="48">
        <v>2658287.17</v>
      </c>
      <c r="U431" s="48">
        <v>2703167.19</v>
      </c>
      <c r="V431" s="48">
        <v>3008899.7</v>
      </c>
      <c r="W431" s="48">
        <v>1966851.14</v>
      </c>
      <c r="X431" s="48">
        <v>2595616.34</v>
      </c>
      <c r="Y431" s="48">
        <v>2716940.84</v>
      </c>
      <c r="Z431" s="48">
        <v>2810517.19</v>
      </c>
      <c r="AA431" s="48">
        <v>3136601.07</v>
      </c>
      <c r="AB431" s="48">
        <v>3699068.84</v>
      </c>
      <c r="AC431" s="48">
        <v>3886626.27</v>
      </c>
      <c r="AD431" s="48">
        <v>3544103.31</v>
      </c>
      <c r="AE431" s="163">
        <v>3090934.6</v>
      </c>
      <c r="AF431" s="163">
        <v>2977110.5</v>
      </c>
      <c r="AG431" s="163">
        <v>2761534.17</v>
      </c>
      <c r="AH431" s="163">
        <v>2721572.76</v>
      </c>
      <c r="AI431" s="163">
        <v>2646289.21</v>
      </c>
      <c r="AJ431" s="163">
        <v>2754142.86</v>
      </c>
      <c r="AK431" s="163">
        <v>2661219.9300000002</v>
      </c>
      <c r="AL431" s="163">
        <v>2430568.36</v>
      </c>
      <c r="AM431" s="163">
        <v>3139624.19</v>
      </c>
      <c r="AN431" s="163">
        <v>3585184.72</v>
      </c>
      <c r="AO431" s="163">
        <v>3442063.32</v>
      </c>
      <c r="AP431" s="163">
        <v>3377076.84</v>
      </c>
      <c r="AQ431" s="163">
        <v>3283577.51</v>
      </c>
      <c r="AR431" s="163">
        <v>2774403.19</v>
      </c>
      <c r="AS431" s="163">
        <v>2695535.35</v>
      </c>
      <c r="AT431" s="163">
        <v>2572142.87</v>
      </c>
      <c r="AU431" s="163">
        <v>2627913.4</v>
      </c>
      <c r="AV431" s="163">
        <v>2578610.96</v>
      </c>
      <c r="AW431" s="163">
        <v>2756832.45</v>
      </c>
      <c r="AX431" s="163">
        <v>2674039.12</v>
      </c>
      <c r="AY431" s="163">
        <v>3520899.82</v>
      </c>
      <c r="AZ431" s="163">
        <v>4334596.51</v>
      </c>
      <c r="BA431" s="163">
        <v>4015312.02</v>
      </c>
      <c r="BB431" s="163">
        <v>3337124.2</v>
      </c>
      <c r="BC431" s="163">
        <v>3589495.24</v>
      </c>
      <c r="BD431" s="163">
        <v>3221215.62</v>
      </c>
      <c r="BE431" s="163">
        <v>3014361.48</v>
      </c>
      <c r="BF431" s="163">
        <v>2936582.3</v>
      </c>
      <c r="BG431" s="163">
        <v>2981647.76</v>
      </c>
      <c r="BH431" s="163">
        <v>2925509</v>
      </c>
      <c r="BI431" s="163">
        <v>2877123.16</v>
      </c>
      <c r="BJ431" s="163">
        <v>2540050.87</v>
      </c>
      <c r="BK431" s="163">
        <v>3556648.52</v>
      </c>
      <c r="BL431" s="163">
        <v>4307739.33</v>
      </c>
      <c r="BM431" s="163">
        <v>4173065.52</v>
      </c>
      <c r="BN431" s="163">
        <v>3738381.25</v>
      </c>
      <c r="BO431" s="163">
        <v>3495798.49</v>
      </c>
      <c r="BP431" s="163">
        <v>3411019.13</v>
      </c>
      <c r="BQ431" s="163">
        <v>3099423.36</v>
      </c>
      <c r="BR431" s="163">
        <v>3149256.73</v>
      </c>
      <c r="BS431" s="163">
        <v>2655880.29</v>
      </c>
      <c r="BT431" s="163">
        <v>2933410.13</v>
      </c>
      <c r="BU431" s="163">
        <v>3022627.73</v>
      </c>
      <c r="BV431" s="163">
        <v>3338463.86</v>
      </c>
      <c r="BW431" s="163">
        <v>3904465.91</v>
      </c>
      <c r="BX431" s="163">
        <v>4250408.28</v>
      </c>
      <c r="BY431" s="163">
        <v>4388338.07</v>
      </c>
      <c r="BZ431" s="163">
        <v>3828557.5</v>
      </c>
      <c r="CA431" s="163">
        <v>3446284.32</v>
      </c>
      <c r="CB431" s="163">
        <v>3239483.55</v>
      </c>
      <c r="CC431" s="163">
        <v>3047965.42</v>
      </c>
      <c r="CD431" s="163">
        <v>3230459.86</v>
      </c>
      <c r="CE431" s="163">
        <v>3169729.55</v>
      </c>
      <c r="CF431" s="163">
        <v>2793302.48</v>
      </c>
      <c r="CG431" s="163">
        <v>3215027.13</v>
      </c>
      <c r="CH431" s="163">
        <v>2972960.48</v>
      </c>
      <c r="CI431" s="163">
        <v>3310526.72</v>
      </c>
      <c r="CJ431" s="163">
        <v>4930150.0999999996</v>
      </c>
      <c r="CK431" s="163">
        <v>4622177.08</v>
      </c>
      <c r="CL431" s="163">
        <v>4266596.8600000003</v>
      </c>
      <c r="CM431" s="163">
        <v>4290323.0599999996</v>
      </c>
      <c r="CN431" s="163">
        <v>4348543.2699999996</v>
      </c>
      <c r="CO431" s="163">
        <v>3105990.25</v>
      </c>
      <c r="CP431" s="163">
        <v>3879599.44</v>
      </c>
      <c r="CQ431" s="163">
        <v>3558072.92</v>
      </c>
      <c r="CR431" s="163">
        <v>2843876.53</v>
      </c>
      <c r="CS431" s="163">
        <v>3600052.09</v>
      </c>
      <c r="CT431" s="163">
        <v>3884712.46</v>
      </c>
      <c r="CU431" s="163">
        <v>4388583.91</v>
      </c>
      <c r="CV431" s="163">
        <v>5171990.68</v>
      </c>
      <c r="CW431" s="163">
        <v>5274757.16</v>
      </c>
      <c r="CX431" s="163">
        <v>4861659.2</v>
      </c>
      <c r="CY431" s="163">
        <v>4755937.9800000004</v>
      </c>
      <c r="CZ431" s="163">
        <v>4464843.93</v>
      </c>
      <c r="DA431" s="163">
        <v>4313233.5999999996</v>
      </c>
      <c r="DB431" s="163">
        <v>4030385.48</v>
      </c>
      <c r="DC431" s="163">
        <v>4095278.69</v>
      </c>
      <c r="DD431" s="163">
        <v>3364089.67</v>
      </c>
      <c r="DE431" s="163">
        <f>VLOOKUP($A431,'[2]Analysis 1'!$A$5:$DG$1025,109,FALSE)</f>
        <v>4301171.3499999996</v>
      </c>
      <c r="DF431" s="163">
        <f>VLOOKUP($A431,'[2]Analysis 1'!$A$5:$DG$1025,110,FALSE)</f>
        <v>3875646.51</v>
      </c>
      <c r="DG431" s="163">
        <f>VLOOKUP($A431,'[2]Analysis 1'!$A$5:$DG$1025,111,FALSE)</f>
        <v>5357717.79</v>
      </c>
      <c r="DH431" s="369">
        <f t="shared" si="13"/>
        <v>53866712.039999999</v>
      </c>
    </row>
    <row r="432" spans="1:112">
      <c r="A432" s="335" t="s">
        <v>1282</v>
      </c>
      <c r="D432" s="369">
        <v>2311322.62</v>
      </c>
      <c r="E432" s="369">
        <v>2902688.25</v>
      </c>
      <c r="F432" s="369">
        <v>3077094.1</v>
      </c>
      <c r="G432" s="369">
        <v>1559304.35</v>
      </c>
      <c r="H432" s="369">
        <v>1500195.37</v>
      </c>
      <c r="I432" s="369">
        <v>1028903.32</v>
      </c>
      <c r="J432" s="369">
        <v>586512.91</v>
      </c>
      <c r="K432" s="369">
        <v>295040.34000000003</v>
      </c>
      <c r="L432" s="369">
        <v>-1531844.39</v>
      </c>
      <c r="M432" s="369">
        <v>1706364.14</v>
      </c>
      <c r="N432" s="369">
        <v>-1391789.68</v>
      </c>
      <c r="O432" s="369">
        <v>-6024753.6500000004</v>
      </c>
      <c r="P432" s="48">
        <v>3511605.82</v>
      </c>
      <c r="Q432" s="48">
        <v>1486957.79</v>
      </c>
      <c r="R432" s="48">
        <v>2754928.81</v>
      </c>
      <c r="S432" s="48">
        <v>1145289.07</v>
      </c>
      <c r="T432" s="48">
        <v>967601.02</v>
      </c>
      <c r="U432" s="48">
        <v>1453873.02</v>
      </c>
      <c r="V432" s="48">
        <v>1108703.04</v>
      </c>
      <c r="W432" s="48">
        <v>1119369.74</v>
      </c>
      <c r="X432" s="48">
        <v>-302940.55</v>
      </c>
      <c r="Y432" s="48">
        <v>-363891.14</v>
      </c>
      <c r="Z432" s="48">
        <v>-260495.75</v>
      </c>
      <c r="AA432" s="48">
        <v>-9712054.75</v>
      </c>
      <c r="AB432" s="48">
        <v>2228737.0299999998</v>
      </c>
      <c r="AC432" s="48">
        <v>2924935.11</v>
      </c>
      <c r="AD432" s="48">
        <v>1094866.82</v>
      </c>
      <c r="AE432" s="163">
        <v>558731.92000000004</v>
      </c>
      <c r="AF432" s="163">
        <v>197956.07</v>
      </c>
      <c r="AG432" s="163">
        <v>155411.68</v>
      </c>
      <c r="AH432" s="163">
        <v>265820.09999999998</v>
      </c>
      <c r="AI432" s="163">
        <v>-930761.12</v>
      </c>
      <c r="AJ432" s="163">
        <v>1072918.4099999999</v>
      </c>
      <c r="AK432" s="163">
        <v>-760549.82</v>
      </c>
      <c r="AL432" s="163">
        <v>-261599.67</v>
      </c>
      <c r="AM432" s="163">
        <v>546673.78</v>
      </c>
      <c r="AN432" s="163">
        <v>2040825.61</v>
      </c>
      <c r="AO432" s="163">
        <v>-631584.13</v>
      </c>
      <c r="AP432" s="163">
        <v>194813.43</v>
      </c>
      <c r="AQ432" s="163">
        <v>511396.46</v>
      </c>
      <c r="AR432" s="163">
        <v>-842268.7</v>
      </c>
      <c r="AS432" s="163">
        <v>-962104.34</v>
      </c>
      <c r="AT432" s="163">
        <v>-972907</v>
      </c>
      <c r="AU432" s="163">
        <v>-1022100.66</v>
      </c>
      <c r="AV432" s="163">
        <v>1584073.3</v>
      </c>
      <c r="AW432" s="163">
        <v>-2008499.03</v>
      </c>
      <c r="AX432" s="163">
        <v>-1017595.27</v>
      </c>
      <c r="AY432" s="163">
        <v>5725359.7400000002</v>
      </c>
      <c r="AZ432" s="163">
        <v>3172840.78</v>
      </c>
      <c r="BA432" s="163">
        <v>342951.69</v>
      </c>
      <c r="BB432" s="163">
        <v>895317.01</v>
      </c>
      <c r="BC432" s="163">
        <v>1259189.22</v>
      </c>
      <c r="BD432" s="163">
        <v>205117.85</v>
      </c>
      <c r="BE432" s="163">
        <v>492073.16</v>
      </c>
      <c r="BF432" s="163">
        <v>166344.88</v>
      </c>
      <c r="BG432" s="163">
        <v>-879336.49</v>
      </c>
      <c r="BH432" s="163">
        <v>432770.52</v>
      </c>
      <c r="BI432" s="163">
        <v>-353761.9</v>
      </c>
      <c r="BJ432" s="163">
        <v>-3383402.33</v>
      </c>
      <c r="BK432" s="163">
        <v>1424397.97</v>
      </c>
      <c r="BL432" s="163">
        <v>1898229.81</v>
      </c>
      <c r="BM432" s="163">
        <v>-87759.87</v>
      </c>
      <c r="BN432" s="163">
        <v>1161289.22</v>
      </c>
      <c r="BO432" s="163">
        <v>559174.94999999995</v>
      </c>
      <c r="BP432" s="163">
        <v>280899.64</v>
      </c>
      <c r="BQ432" s="163">
        <v>192965.77</v>
      </c>
      <c r="BR432" s="163">
        <v>-11924.53</v>
      </c>
      <c r="BS432" s="163">
        <v>-33331.160000000003</v>
      </c>
      <c r="BT432" s="163">
        <v>122357.41</v>
      </c>
      <c r="BU432" s="163">
        <v>114338.06</v>
      </c>
      <c r="BV432" s="163">
        <v>482314.44</v>
      </c>
      <c r="BW432" s="163">
        <v>85023.62</v>
      </c>
      <c r="BX432" s="163">
        <v>3049614.09</v>
      </c>
      <c r="BY432" s="163">
        <v>-2074721.21</v>
      </c>
      <c r="BZ432" s="163">
        <v>458500.76</v>
      </c>
      <c r="CA432" s="163">
        <v>139401.47</v>
      </c>
      <c r="CB432" s="163">
        <v>-398549.92</v>
      </c>
      <c r="CC432" s="163">
        <v>-17852.25</v>
      </c>
      <c r="CD432" s="163">
        <v>-500016.4</v>
      </c>
      <c r="CE432" s="163">
        <v>-116709.75999999999</v>
      </c>
      <c r="CF432" s="163">
        <v>120395.35</v>
      </c>
      <c r="CG432" s="163">
        <v>-1700886.66</v>
      </c>
      <c r="CH432" s="163">
        <v>157810.87</v>
      </c>
      <c r="CI432" s="163">
        <v>323552.88</v>
      </c>
      <c r="CJ432" s="163">
        <v>2773724.39</v>
      </c>
      <c r="CK432" s="163">
        <v>1074495.75</v>
      </c>
      <c r="CL432" s="163">
        <v>-504079.37</v>
      </c>
      <c r="CM432" s="163">
        <v>954143.7</v>
      </c>
      <c r="CN432" s="163">
        <v>-330815.38</v>
      </c>
      <c r="CO432" s="163">
        <v>1955989.38</v>
      </c>
      <c r="CP432" s="163">
        <v>-376170.8</v>
      </c>
      <c r="CQ432" s="163">
        <v>581226.12</v>
      </c>
      <c r="CR432" s="163">
        <v>1483442.87</v>
      </c>
      <c r="CS432" s="163">
        <v>-1692496.25</v>
      </c>
      <c r="CT432" s="163">
        <v>-1659190.4</v>
      </c>
      <c r="CU432" s="163">
        <v>3978282.47</v>
      </c>
      <c r="CV432" s="163">
        <v>2808335.05</v>
      </c>
      <c r="CW432" s="163">
        <v>3401893.44</v>
      </c>
      <c r="CX432" s="163">
        <v>198240.37</v>
      </c>
      <c r="CY432" s="163">
        <v>1125620.96</v>
      </c>
      <c r="CZ432" s="163">
        <v>398227.3</v>
      </c>
      <c r="DA432" s="163">
        <v>279421.68</v>
      </c>
      <c r="DB432" s="163">
        <v>-286222.64</v>
      </c>
      <c r="DC432" s="163">
        <v>-3528742.49</v>
      </c>
      <c r="DD432" s="163">
        <v>744323.69</v>
      </c>
      <c r="DE432" s="163">
        <f>VLOOKUP($A432,'[2]Analysis 1'!$A$5:$DG$1025,109,FALSE)</f>
        <v>-650891.84</v>
      </c>
      <c r="DF432" s="163">
        <f>VLOOKUP($A432,'[2]Analysis 1'!$A$5:$DG$1025,110,FALSE)</f>
        <v>-55693.45</v>
      </c>
      <c r="DG432" s="163">
        <f>VLOOKUP($A432,'[2]Analysis 1'!$A$5:$DG$1025,111,FALSE)</f>
        <v>-71585.03</v>
      </c>
      <c r="DH432" s="369">
        <f t="shared" si="13"/>
        <v>4362927.0399999991</v>
      </c>
    </row>
    <row r="433" spans="1:112">
      <c r="A433" s="335" t="s">
        <v>1283</v>
      </c>
      <c r="D433" s="369">
        <v>11805.59</v>
      </c>
      <c r="E433" s="369">
        <v>29501.11</v>
      </c>
      <c r="F433" s="369">
        <v>-4315.67</v>
      </c>
      <c r="G433" s="369">
        <v>69773.03</v>
      </c>
      <c r="H433" s="369">
        <v>-88174.27</v>
      </c>
      <c r="I433" s="369">
        <v>6021.9</v>
      </c>
      <c r="J433" s="369">
        <v>-30264.81</v>
      </c>
      <c r="K433" s="369">
        <v>-205.56</v>
      </c>
      <c r="L433" s="369">
        <v>12789.06</v>
      </c>
      <c r="M433" s="369">
        <v>3687.56</v>
      </c>
      <c r="N433" s="369">
        <v>-1884</v>
      </c>
      <c r="O433" s="369">
        <v>-73481.48</v>
      </c>
      <c r="P433" s="48">
        <v>6276.79</v>
      </c>
      <c r="Q433" s="48">
        <v>-4135.96</v>
      </c>
      <c r="R433" s="48">
        <v>-19752.57</v>
      </c>
      <c r="S433" s="48">
        <v>-16626.43</v>
      </c>
      <c r="T433" s="48">
        <v>10034.24</v>
      </c>
      <c r="U433" s="48">
        <v>63832.62</v>
      </c>
      <c r="V433" s="48">
        <v>-6916.4</v>
      </c>
      <c r="W433" s="48">
        <v>686.37</v>
      </c>
      <c r="X433" s="48">
        <v>-55098.3</v>
      </c>
      <c r="Y433" s="48">
        <v>-1190.26</v>
      </c>
      <c r="Z433" s="48">
        <v>2078.04</v>
      </c>
      <c r="AA433" s="48">
        <v>200747.01</v>
      </c>
      <c r="AB433" s="48">
        <v>-4410.3599999999997</v>
      </c>
      <c r="AC433" s="48">
        <v>17900.09</v>
      </c>
      <c r="AD433" s="48">
        <v>-9925.41</v>
      </c>
      <c r="AE433" s="163">
        <v>4342.6499999999996</v>
      </c>
      <c r="AF433" s="163">
        <v>4499.7</v>
      </c>
      <c r="AG433" s="163">
        <v>-14942.42</v>
      </c>
      <c r="AH433" s="163">
        <v>83453.100000000006</v>
      </c>
      <c r="AI433" s="163">
        <v>158199.67000000001</v>
      </c>
      <c r="AJ433" s="163">
        <v>293901.32</v>
      </c>
      <c r="AK433" s="163">
        <v>348928.49</v>
      </c>
      <c r="AL433" s="163">
        <v>73327.27</v>
      </c>
      <c r="AM433" s="163">
        <v>-649371.51</v>
      </c>
      <c r="AN433" s="163">
        <v>108287.96</v>
      </c>
      <c r="AO433" s="163">
        <v>77885.19</v>
      </c>
      <c r="AP433" s="163">
        <v>-82968.27</v>
      </c>
      <c r="AQ433" s="163">
        <v>71306.460000000006</v>
      </c>
      <c r="AR433" s="163">
        <v>69687.77</v>
      </c>
      <c r="AS433" s="163">
        <v>-197242.61</v>
      </c>
      <c r="AT433" s="163">
        <v>58077.54</v>
      </c>
      <c r="AU433" s="163">
        <v>62267.25</v>
      </c>
      <c r="AV433" s="163">
        <v>-158640.4</v>
      </c>
      <c r="AW433" s="163">
        <v>64185.54</v>
      </c>
      <c r="AX433" s="163">
        <v>65028.5</v>
      </c>
      <c r="AY433" s="163">
        <v>-132944.51999999999</v>
      </c>
      <c r="AZ433" s="163">
        <v>47044.19</v>
      </c>
      <c r="BA433" s="163">
        <v>47958.5</v>
      </c>
      <c r="BB433" s="163">
        <v>-72836.14</v>
      </c>
      <c r="BC433" s="163">
        <v>25831.03</v>
      </c>
      <c r="BD433" s="163">
        <v>40255.230000000003</v>
      </c>
      <c r="BE433" s="163">
        <v>-82719.839999999997</v>
      </c>
      <c r="BF433" s="163">
        <v>45225.96</v>
      </c>
      <c r="BG433" s="163">
        <v>41191.99</v>
      </c>
      <c r="BH433" s="163">
        <v>-97983.62</v>
      </c>
      <c r="BI433" s="163">
        <v>31369.27</v>
      </c>
      <c r="BJ433" s="163">
        <v>32532.19</v>
      </c>
      <c r="BK433" s="163">
        <v>-136153.24</v>
      </c>
      <c r="BL433" s="163">
        <v>40657.57</v>
      </c>
      <c r="BM433" s="163">
        <v>43483.19</v>
      </c>
      <c r="BN433" s="163">
        <v>-37189.61</v>
      </c>
      <c r="BO433" s="163">
        <v>45595.25</v>
      </c>
      <c r="BP433" s="163">
        <v>39314.68</v>
      </c>
      <c r="BQ433" s="163">
        <v>-83908.9</v>
      </c>
      <c r="BR433" s="163">
        <v>46381.39</v>
      </c>
      <c r="BS433" s="163">
        <v>77824.55</v>
      </c>
      <c r="BT433" s="163">
        <v>-85861.440000000002</v>
      </c>
      <c r="BU433" s="163">
        <v>59880.27</v>
      </c>
      <c r="BV433" s="163">
        <v>57044</v>
      </c>
      <c r="BW433" s="163">
        <v>-129185.48</v>
      </c>
      <c r="BX433" s="163">
        <v>74900.95</v>
      </c>
      <c r="BY433" s="163">
        <v>67533.11</v>
      </c>
      <c r="BZ433" s="163">
        <v>-83639</v>
      </c>
      <c r="CA433" s="163">
        <v>80390.73</v>
      </c>
      <c r="CB433" s="163">
        <v>87099.11</v>
      </c>
      <c r="CC433" s="163">
        <v>94208.05</v>
      </c>
      <c r="CD433" s="163">
        <v>80852.38</v>
      </c>
      <c r="CE433" s="163">
        <v>87255.46</v>
      </c>
      <c r="CF433" s="163">
        <v>-317165.2</v>
      </c>
      <c r="CG433" s="163">
        <v>67378.92</v>
      </c>
      <c r="CH433" s="163">
        <v>50946.69</v>
      </c>
      <c r="CI433" s="163">
        <v>-410525.51</v>
      </c>
      <c r="CJ433" s="163">
        <v>73434.78</v>
      </c>
      <c r="CK433" s="163">
        <v>79044.53</v>
      </c>
      <c r="CL433" s="163">
        <v>-85309.56</v>
      </c>
      <c r="CM433" s="163">
        <v>75487.13</v>
      </c>
      <c r="CN433" s="163">
        <v>51845.84</v>
      </c>
      <c r="CO433" s="163">
        <v>-102745.14</v>
      </c>
      <c r="CP433" s="163">
        <v>57603.41</v>
      </c>
      <c r="CQ433" s="163">
        <v>63536.03</v>
      </c>
      <c r="CR433" s="163">
        <v>-88413.01</v>
      </c>
      <c r="CS433" s="163">
        <v>72742.33</v>
      </c>
      <c r="CT433" s="163">
        <v>24007.59</v>
      </c>
      <c r="CU433" s="163">
        <v>-97575.82</v>
      </c>
      <c r="CV433" s="163">
        <v>30791.97</v>
      </c>
      <c r="CW433" s="163">
        <v>48747.32</v>
      </c>
      <c r="CX433" s="163">
        <v>-9406.42</v>
      </c>
      <c r="CY433" s="163">
        <v>43736.86</v>
      </c>
      <c r="CZ433" s="163">
        <v>61132.79</v>
      </c>
      <c r="DA433" s="163">
        <v>48570.91</v>
      </c>
      <c r="DB433" s="163">
        <v>84579.21</v>
      </c>
      <c r="DC433" s="163">
        <v>102921.42</v>
      </c>
      <c r="DD433" s="163">
        <v>110967.21</v>
      </c>
      <c r="DE433" s="163">
        <f>VLOOKUP($A433,'[2]Analysis 1'!$A$5:$DG$1025,109,FALSE)</f>
        <v>51821.279999999999</v>
      </c>
      <c r="DF433" s="163">
        <f>VLOOKUP($A433,'[2]Analysis 1'!$A$5:$DG$1025,110,FALSE)</f>
        <v>72111.75</v>
      </c>
      <c r="DG433" s="163">
        <f>VLOOKUP($A433,'[2]Analysis 1'!$A$5:$DG$1025,111,FALSE)</f>
        <v>-751253</v>
      </c>
      <c r="DH433" s="369">
        <f t="shared" si="13"/>
        <v>-105278.69999999995</v>
      </c>
    </row>
    <row r="434" spans="1:112">
      <c r="A434" s="335" t="s">
        <v>1284</v>
      </c>
      <c r="D434" s="369">
        <v>797790.57</v>
      </c>
      <c r="E434" s="369">
        <v>-300304.7</v>
      </c>
      <c r="F434" s="369">
        <v>-113876.48</v>
      </c>
      <c r="G434" s="369">
        <v>259025.67</v>
      </c>
      <c r="H434" s="369">
        <v>-374515.85</v>
      </c>
      <c r="I434" s="369">
        <v>364456.3</v>
      </c>
      <c r="J434" s="369">
        <v>386811.22</v>
      </c>
      <c r="K434" s="369">
        <v>663651.21</v>
      </c>
      <c r="L434" s="369">
        <v>2342998.9900000002</v>
      </c>
      <c r="M434" s="369">
        <v>-366429.53</v>
      </c>
      <c r="N434" s="369">
        <v>3069502.86</v>
      </c>
      <c r="O434" s="369">
        <v>8336921.8700000001</v>
      </c>
      <c r="P434" s="48">
        <v>-275913.05</v>
      </c>
      <c r="Q434" s="48">
        <v>1517705.04</v>
      </c>
      <c r="R434" s="48">
        <v>-229143.11</v>
      </c>
      <c r="S434" s="48">
        <v>308339.71999999997</v>
      </c>
      <c r="T434" s="48">
        <v>364626.14</v>
      </c>
      <c r="U434" s="48">
        <v>113882.78</v>
      </c>
      <c r="V434" s="48">
        <v>-29699.14</v>
      </c>
      <c r="W434" s="48">
        <v>-151948.79999999999</v>
      </c>
      <c r="X434" s="48">
        <v>1417199.94</v>
      </c>
      <c r="Y434" s="48">
        <v>1646764.96</v>
      </c>
      <c r="Z434" s="48">
        <v>1290361.8700000001</v>
      </c>
      <c r="AA434" s="48">
        <v>10961767.789999999</v>
      </c>
      <c r="AB434" s="48">
        <v>923774.88</v>
      </c>
      <c r="AC434" s="48">
        <v>268317.09000000003</v>
      </c>
      <c r="AD434" s="48">
        <v>990508.94</v>
      </c>
      <c r="AE434" s="163">
        <v>1224181.94</v>
      </c>
      <c r="AF434" s="163">
        <v>1369396.56</v>
      </c>
      <c r="AG434" s="163">
        <v>715535.25</v>
      </c>
      <c r="AH434" s="163">
        <v>1172591.31</v>
      </c>
      <c r="AI434" s="163">
        <v>1298883.51</v>
      </c>
      <c r="AJ434" s="163">
        <v>-130656.15</v>
      </c>
      <c r="AK434" s="163">
        <v>1792223.13</v>
      </c>
      <c r="AL434" s="163">
        <v>2025072.31</v>
      </c>
      <c r="AM434" s="163">
        <v>1276761.0900000001</v>
      </c>
      <c r="AN434" s="163">
        <v>1007791.66</v>
      </c>
      <c r="AO434" s="163">
        <v>2803153.57</v>
      </c>
      <c r="AP434" s="163">
        <v>2561252.83</v>
      </c>
      <c r="AQ434" s="163">
        <v>1745517.27</v>
      </c>
      <c r="AR434" s="163">
        <v>2904990.24</v>
      </c>
      <c r="AS434" s="163">
        <v>2569026.12</v>
      </c>
      <c r="AT434" s="163">
        <v>2508529.0099999998</v>
      </c>
      <c r="AU434" s="163">
        <v>2444486.59</v>
      </c>
      <c r="AV434" s="163">
        <v>102029.45</v>
      </c>
      <c r="AW434" s="163">
        <v>3452167.27</v>
      </c>
      <c r="AX434" s="163">
        <v>2924959.95</v>
      </c>
      <c r="AY434" s="163">
        <v>-2419811.6800000002</v>
      </c>
      <c r="AZ434" s="163">
        <v>-424489.68</v>
      </c>
      <c r="BA434" s="163">
        <v>784354.58</v>
      </c>
      <c r="BB434" s="163">
        <v>-231493.34</v>
      </c>
      <c r="BC434" s="163">
        <v>224730.79</v>
      </c>
      <c r="BD434" s="163">
        <v>919013.52</v>
      </c>
      <c r="BE434" s="163">
        <v>539752.36</v>
      </c>
      <c r="BF434" s="163">
        <v>720939.07</v>
      </c>
      <c r="BG434" s="163">
        <v>1619453.58</v>
      </c>
      <c r="BH434" s="163">
        <v>836429.1</v>
      </c>
      <c r="BI434" s="163">
        <v>1163529.56</v>
      </c>
      <c r="BJ434" s="163">
        <v>4457679.3600000003</v>
      </c>
      <c r="BK434" s="163">
        <v>113328.6</v>
      </c>
      <c r="BL434" s="163">
        <v>246440.66</v>
      </c>
      <c r="BM434" s="163">
        <v>2016465.43</v>
      </c>
      <c r="BN434" s="163">
        <v>641096.55000000005</v>
      </c>
      <c r="BO434" s="163">
        <v>1080080.19</v>
      </c>
      <c r="BP434" s="163">
        <v>1176801.29</v>
      </c>
      <c r="BQ434" s="163">
        <v>1139163.42</v>
      </c>
      <c r="BR434" s="163">
        <v>944421.19</v>
      </c>
      <c r="BS434" s="163">
        <v>1173908.4099999999</v>
      </c>
      <c r="BT434" s="163">
        <v>599012.24</v>
      </c>
      <c r="BU434" s="163">
        <v>909892.55</v>
      </c>
      <c r="BV434" s="163">
        <v>858821.24</v>
      </c>
      <c r="BW434" s="163">
        <v>1452272.21</v>
      </c>
      <c r="BX434" s="163">
        <v>-678148.9</v>
      </c>
      <c r="BY434" s="163">
        <v>3783401.71</v>
      </c>
      <c r="BZ434" s="163">
        <v>983157.33</v>
      </c>
      <c r="CA434" s="163">
        <v>840155.65</v>
      </c>
      <c r="CB434" s="163">
        <v>1294461.54</v>
      </c>
      <c r="CC434" s="163">
        <v>911790.04</v>
      </c>
      <c r="CD434" s="163">
        <v>1291428.43</v>
      </c>
      <c r="CE434" s="163">
        <v>1019109.73</v>
      </c>
      <c r="CF434" s="163">
        <v>1259997.56</v>
      </c>
      <c r="CG434" s="163">
        <v>1943284.86</v>
      </c>
      <c r="CH434" s="163">
        <v>1351955.5</v>
      </c>
      <c r="CI434" s="163">
        <v>1079410.44</v>
      </c>
      <c r="CJ434" s="163">
        <v>675422.61</v>
      </c>
      <c r="CK434" s="163">
        <v>1189381.5</v>
      </c>
      <c r="CL434" s="163">
        <v>2754279.95</v>
      </c>
      <c r="CM434" s="163">
        <v>1355641.68</v>
      </c>
      <c r="CN434" s="163">
        <v>1901529.35</v>
      </c>
      <c r="CO434" s="163">
        <v>-395914.15</v>
      </c>
      <c r="CP434" s="163">
        <v>1617623.67</v>
      </c>
      <c r="CQ434" s="163">
        <v>729649.99</v>
      </c>
      <c r="CR434" s="163">
        <v>-747066.9</v>
      </c>
      <c r="CS434" s="163">
        <v>3026643.52</v>
      </c>
      <c r="CT434" s="163">
        <v>3801132.44</v>
      </c>
      <c r="CU434" s="163">
        <v>-2616528.1</v>
      </c>
      <c r="CV434" s="163">
        <v>447989.75</v>
      </c>
      <c r="CW434" s="163">
        <v>-533495.37</v>
      </c>
      <c r="CX434" s="163">
        <v>3034364.22</v>
      </c>
      <c r="CY434" s="163">
        <v>1018819.87</v>
      </c>
      <c r="CZ434" s="163">
        <v>1546580.43</v>
      </c>
      <c r="DA434" s="163">
        <v>1632224.02</v>
      </c>
      <c r="DB434" s="163">
        <v>1491018.23</v>
      </c>
      <c r="DC434" s="163">
        <v>4979215.91</v>
      </c>
      <c r="DD434" s="163">
        <v>1450781.13</v>
      </c>
      <c r="DE434" s="163">
        <f>VLOOKUP($A434,'[2]Analysis 1'!$A$5:$DG$1025,109,FALSE)</f>
        <v>2165864.66</v>
      </c>
      <c r="DF434" s="163">
        <f>VLOOKUP($A434,'[2]Analysis 1'!$A$5:$DG$1025,110,FALSE)</f>
        <v>1890697.16</v>
      </c>
      <c r="DG434" s="163">
        <f>VLOOKUP($A434,'[2]Analysis 1'!$A$5:$DG$1025,111,FALSE)</f>
        <v>2410974.19</v>
      </c>
      <c r="DH434" s="369">
        <f t="shared" si="13"/>
        <v>21535034.200000003</v>
      </c>
    </row>
    <row r="435" spans="1:112">
      <c r="A435" s="335" t="s">
        <v>1737</v>
      </c>
      <c r="D435" s="369"/>
      <c r="E435" s="369"/>
      <c r="F435" s="369"/>
      <c r="G435" s="369"/>
      <c r="H435" s="369"/>
      <c r="I435" s="369"/>
      <c r="J435" s="369"/>
      <c r="K435" s="369"/>
      <c r="L435" s="369"/>
      <c r="M435" s="369"/>
      <c r="N435" s="369"/>
      <c r="O435" s="369"/>
      <c r="P435" s="48"/>
      <c r="Q435" s="48"/>
      <c r="R435" s="48"/>
      <c r="S435" s="48"/>
      <c r="T435" s="48"/>
      <c r="U435" s="48"/>
      <c r="V435" s="48"/>
      <c r="W435" s="48"/>
      <c r="X435" s="48"/>
      <c r="Y435" s="48"/>
      <c r="Z435" s="48"/>
      <c r="AA435" s="48"/>
      <c r="AB435" s="48"/>
      <c r="AC435" s="48"/>
      <c r="AD435" s="48"/>
      <c r="AE435" s="163"/>
      <c r="AF435" s="163"/>
      <c r="AG435" s="163"/>
      <c r="AH435" s="163"/>
      <c r="AI435" s="163"/>
      <c r="AJ435" s="163"/>
      <c r="AK435" s="163">
        <v>0</v>
      </c>
      <c r="AL435" s="163">
        <v>0</v>
      </c>
      <c r="AM435" s="163">
        <v>-7.37</v>
      </c>
      <c r="AN435" s="163">
        <v>0</v>
      </c>
      <c r="AO435" s="163">
        <v>0</v>
      </c>
      <c r="AP435" s="163">
        <v>7.37</v>
      </c>
      <c r="AQ435" s="163">
        <v>0</v>
      </c>
      <c r="AR435" s="163">
        <v>0</v>
      </c>
      <c r="AS435" s="163">
        <v>0</v>
      </c>
      <c r="AT435" s="163">
        <v>0</v>
      </c>
      <c r="AU435" s="163">
        <v>0</v>
      </c>
      <c r="AV435" s="163">
        <v>0</v>
      </c>
      <c r="AW435" s="163">
        <v>21.93</v>
      </c>
      <c r="AX435" s="163">
        <v>-21.93</v>
      </c>
      <c r="AY435" s="163">
        <v>0</v>
      </c>
      <c r="AZ435" s="163">
        <v>0</v>
      </c>
      <c r="BA435" s="163">
        <v>0</v>
      </c>
      <c r="BB435" s="163">
        <v>0</v>
      </c>
      <c r="BC435" s="163">
        <v>0</v>
      </c>
      <c r="BD435" s="163">
        <v>0</v>
      </c>
      <c r="BE435" s="163">
        <v>20.91</v>
      </c>
      <c r="BF435" s="163">
        <v>309.99</v>
      </c>
      <c r="BG435" s="163">
        <v>-69.38</v>
      </c>
      <c r="BH435" s="163">
        <v>339.16</v>
      </c>
      <c r="BI435" s="163">
        <v>-482.03</v>
      </c>
      <c r="BJ435" s="163">
        <v>-301.77999999999997</v>
      </c>
      <c r="BK435" s="163">
        <v>-585.22</v>
      </c>
      <c r="BL435" s="163">
        <v>806.18</v>
      </c>
      <c r="BM435" s="163">
        <v>-78.36</v>
      </c>
      <c r="BN435" s="163">
        <v>0</v>
      </c>
      <c r="BO435" s="163">
        <v>-1210.69</v>
      </c>
      <c r="BP435" s="163">
        <v>-477.01</v>
      </c>
      <c r="BQ435" s="163">
        <v>1425.55</v>
      </c>
      <c r="BR435" s="163">
        <v>1192.77</v>
      </c>
      <c r="BS435" s="163">
        <v>-885.14</v>
      </c>
      <c r="BT435" s="163">
        <v>-14.88</v>
      </c>
      <c r="BU435" s="163">
        <v>-39.35</v>
      </c>
      <c r="BV435" s="163">
        <v>82.34</v>
      </c>
      <c r="BW435" s="163">
        <v>14.49</v>
      </c>
      <c r="BX435" s="163">
        <v>0</v>
      </c>
      <c r="BY435" s="163">
        <v>0</v>
      </c>
      <c r="BZ435" s="163">
        <v>0</v>
      </c>
      <c r="CA435" s="163">
        <v>0</v>
      </c>
      <c r="CB435" s="163">
        <v>0</v>
      </c>
      <c r="CC435" s="163">
        <v>0</v>
      </c>
      <c r="CD435" s="163">
        <v>0</v>
      </c>
      <c r="CE435" s="163">
        <v>0</v>
      </c>
      <c r="CF435" s="163">
        <v>0</v>
      </c>
      <c r="CG435" s="163">
        <v>0</v>
      </c>
      <c r="CH435" s="163">
        <v>0</v>
      </c>
      <c r="CI435" s="163">
        <v>0</v>
      </c>
      <c r="CJ435" s="163">
        <v>0</v>
      </c>
      <c r="CK435" s="163">
        <v>0</v>
      </c>
      <c r="CL435" s="163">
        <v>0</v>
      </c>
      <c r="CM435" s="163">
        <v>0</v>
      </c>
      <c r="CN435" s="163">
        <v>0</v>
      </c>
      <c r="CO435" s="163">
        <v>0</v>
      </c>
      <c r="CP435" s="163">
        <v>0</v>
      </c>
      <c r="CQ435" s="163">
        <v>0</v>
      </c>
      <c r="CR435" s="163">
        <v>0</v>
      </c>
      <c r="CS435" s="163">
        <v>0</v>
      </c>
      <c r="CT435" s="163">
        <v>0</v>
      </c>
      <c r="CU435" s="163">
        <v>0</v>
      </c>
      <c r="CV435" s="163">
        <v>0</v>
      </c>
      <c r="CW435" s="163">
        <v>0</v>
      </c>
      <c r="CX435" s="163">
        <v>0</v>
      </c>
      <c r="CY435" s="163">
        <v>0</v>
      </c>
      <c r="CZ435" s="163">
        <v>0</v>
      </c>
      <c r="DA435" s="163">
        <v>0</v>
      </c>
      <c r="DB435" s="163">
        <v>0</v>
      </c>
      <c r="DC435" s="163">
        <v>0</v>
      </c>
      <c r="DD435" s="163">
        <v>0</v>
      </c>
      <c r="DE435" s="163">
        <f>VLOOKUP($A435,'[2]Analysis 1'!$A$5:$DG$1025,109,FALSE)</f>
        <v>0</v>
      </c>
      <c r="DF435" s="163">
        <f>VLOOKUP($A435,'[2]Analysis 1'!$A$5:$DG$1025,110,FALSE)</f>
        <v>0</v>
      </c>
      <c r="DG435" s="163">
        <f>VLOOKUP($A435,'[2]Analysis 1'!$A$5:$DG$1025,111,FALSE)</f>
        <v>0</v>
      </c>
      <c r="DH435" s="369">
        <f t="shared" si="13"/>
        <v>0</v>
      </c>
    </row>
    <row r="436" spans="1:112">
      <c r="A436" s="357" t="s">
        <v>1432</v>
      </c>
      <c r="D436" s="369"/>
      <c r="E436" s="369"/>
      <c r="F436" s="369"/>
      <c r="G436" s="369"/>
      <c r="H436" s="369"/>
      <c r="I436" s="369"/>
      <c r="J436" s="369"/>
      <c r="K436" s="369"/>
      <c r="L436" s="369"/>
      <c r="M436" s="369"/>
      <c r="N436" s="369"/>
      <c r="O436" s="369"/>
      <c r="P436" s="48"/>
      <c r="Q436" s="48"/>
      <c r="R436" s="48"/>
      <c r="S436" s="48"/>
      <c r="T436" s="48"/>
      <c r="U436" s="48"/>
      <c r="V436" s="48"/>
      <c r="W436" s="48"/>
      <c r="X436" s="48"/>
      <c r="Y436" s="48"/>
      <c r="Z436" s="48"/>
      <c r="AA436" s="48"/>
      <c r="AB436" s="48"/>
      <c r="AC436" s="48"/>
      <c r="AD436" s="48"/>
      <c r="AE436" s="163">
        <v>0</v>
      </c>
      <c r="AF436" s="458">
        <v>-235245.67</v>
      </c>
      <c r="AG436" s="458">
        <v>-84738.62</v>
      </c>
      <c r="AH436" s="458">
        <v>-84738.62</v>
      </c>
      <c r="AI436" s="458">
        <v>-84738.62</v>
      </c>
      <c r="AJ436" s="458">
        <v>-84738.62</v>
      </c>
      <c r="AK436" s="458">
        <v>-106698.62</v>
      </c>
      <c r="AL436" s="458">
        <v>-106698.62</v>
      </c>
      <c r="AM436" s="458">
        <v>-106698.62</v>
      </c>
      <c r="AN436" s="458">
        <v>-106698.62</v>
      </c>
      <c r="AO436" s="458">
        <v>-106698.62</v>
      </c>
      <c r="AP436" s="458">
        <v>-106735.81</v>
      </c>
      <c r="AQ436" s="458">
        <v>-193421.26</v>
      </c>
      <c r="AR436" s="458">
        <v>-193458.45</v>
      </c>
      <c r="AS436" s="458">
        <v>-193458.45</v>
      </c>
      <c r="AT436" s="458">
        <v>-193458.45</v>
      </c>
      <c r="AU436" s="458">
        <v>-193458.45</v>
      </c>
      <c r="AV436" s="458">
        <v>-193458.45</v>
      </c>
      <c r="AW436" s="458">
        <v>-223789.45</v>
      </c>
      <c r="AX436" s="458">
        <v>-223789.45</v>
      </c>
      <c r="AY436" s="458">
        <v>-223789.45</v>
      </c>
      <c r="AZ436" s="458">
        <v>-223789.45</v>
      </c>
      <c r="BA436" s="458">
        <v>-223789.45</v>
      </c>
      <c r="BB436" s="458">
        <v>-223789.45</v>
      </c>
      <c r="BC436" s="458">
        <v>-223789.45</v>
      </c>
      <c r="BD436" s="458">
        <v>-223789.45</v>
      </c>
      <c r="BE436" s="458">
        <v>-223789.45</v>
      </c>
      <c r="BF436" s="458">
        <v>-223789.45</v>
      </c>
      <c r="BG436" s="458">
        <v>-223789.45</v>
      </c>
      <c r="BH436" s="458">
        <v>-223789.45</v>
      </c>
      <c r="BI436" s="458">
        <v>-223789.45</v>
      </c>
      <c r="BJ436" s="458">
        <v>-223789.45</v>
      </c>
      <c r="BK436" s="458">
        <v>-223789.45</v>
      </c>
      <c r="BL436" s="458">
        <v>-223789.45</v>
      </c>
      <c r="BM436" s="458">
        <v>-223789.45</v>
      </c>
      <c r="BN436" s="458">
        <v>-255542.13</v>
      </c>
      <c r="BO436" s="458">
        <v>-239665.79</v>
      </c>
      <c r="BP436" s="458">
        <v>-239665.79</v>
      </c>
      <c r="BQ436" s="458">
        <v>-239665.79</v>
      </c>
      <c r="BR436" s="458">
        <v>-239665.79</v>
      </c>
      <c r="BS436" s="458">
        <v>-239665.79</v>
      </c>
      <c r="BT436" s="458">
        <v>-239665.79</v>
      </c>
      <c r="BU436" s="458">
        <v>-239665.79</v>
      </c>
      <c r="BV436" s="458">
        <v>-239665.79</v>
      </c>
      <c r="BW436" s="458">
        <v>-239665.79</v>
      </c>
      <c r="BX436" s="458">
        <v>-239665.79</v>
      </c>
      <c r="BY436" s="458">
        <v>-239665.79</v>
      </c>
      <c r="BZ436" s="458">
        <v>-239665.79</v>
      </c>
      <c r="CA436" s="458">
        <v>-239665.79</v>
      </c>
      <c r="CB436" s="458">
        <v>-191777.77</v>
      </c>
      <c r="CC436" s="458">
        <v>-215721.78</v>
      </c>
      <c r="CD436" s="458">
        <v>-215721.78</v>
      </c>
      <c r="CE436" s="458">
        <v>-215721.78</v>
      </c>
      <c r="CF436" s="458">
        <v>-215721.78</v>
      </c>
      <c r="CG436" s="458">
        <v>-207350.78</v>
      </c>
      <c r="CH436" s="458">
        <v>-207350.78</v>
      </c>
      <c r="CI436" s="458">
        <v>-207350.78</v>
      </c>
      <c r="CJ436" s="458">
        <v>-207350.78</v>
      </c>
      <c r="CK436" s="458">
        <v>-207350.78</v>
      </c>
      <c r="CL436" s="458">
        <v>-207350.78</v>
      </c>
      <c r="CM436" s="458">
        <v>-207350.78</v>
      </c>
      <c r="CN436" s="458">
        <v>-207350.78</v>
      </c>
      <c r="CO436" s="458">
        <v>-207350.78</v>
      </c>
      <c r="CP436" s="458">
        <v>-207350.78</v>
      </c>
      <c r="CQ436" s="458">
        <v>-207350.78</v>
      </c>
      <c r="CR436" s="458">
        <v>-207350.78</v>
      </c>
      <c r="CS436" s="458">
        <v>-207350.78</v>
      </c>
      <c r="CT436" s="458">
        <v>-207350.78</v>
      </c>
      <c r="CU436" s="458">
        <v>-207350.78</v>
      </c>
      <c r="CV436" s="458">
        <v>-207350.78</v>
      </c>
      <c r="CW436" s="458">
        <v>-207350.78</v>
      </c>
      <c r="CX436" s="458">
        <v>-207350.78</v>
      </c>
      <c r="CY436" s="458">
        <v>-163430.78</v>
      </c>
      <c r="CZ436" s="458">
        <v>-163430.78</v>
      </c>
      <c r="DA436" s="458">
        <v>-160597.23000000001</v>
      </c>
      <c r="DB436" s="458">
        <v>-139115.15</v>
      </c>
      <c r="DC436" s="458">
        <v>-37799.15</v>
      </c>
      <c r="DD436" s="458">
        <v>-37799.15</v>
      </c>
      <c r="DE436" s="458">
        <f>VLOOKUP($A436,'[2]Analysis 1'!$A$5:$DG$1025,109,FALSE)</f>
        <v>-37799.15</v>
      </c>
      <c r="DF436" s="458">
        <f>VLOOKUP($A436,'[2]Analysis 1'!$A$5:$DG$1025,110,FALSE)</f>
        <v>-37799.15</v>
      </c>
      <c r="DG436" s="458">
        <f>VLOOKUP($A436,'[2]Analysis 1'!$A$5:$DG$1025,111,FALSE)</f>
        <v>-37799.15</v>
      </c>
      <c r="DH436" s="369">
        <f t="shared" si="13"/>
        <v>-1437622.0299999996</v>
      </c>
    </row>
    <row r="437" spans="1:112">
      <c r="A437" s="357" t="s">
        <v>1433</v>
      </c>
      <c r="D437" s="369"/>
      <c r="E437" s="369"/>
      <c r="F437" s="369"/>
      <c r="G437" s="369"/>
      <c r="H437" s="369"/>
      <c r="I437" s="369"/>
      <c r="J437" s="369"/>
      <c r="K437" s="369"/>
      <c r="L437" s="369"/>
      <c r="M437" s="369"/>
      <c r="N437" s="369"/>
      <c r="O437" s="369"/>
      <c r="P437" s="48"/>
      <c r="Q437" s="48"/>
      <c r="R437" s="48"/>
      <c r="S437" s="48"/>
      <c r="T437" s="48"/>
      <c r="U437" s="48"/>
      <c r="V437" s="48"/>
      <c r="W437" s="48"/>
      <c r="X437" s="48"/>
      <c r="Y437" s="48"/>
      <c r="Z437" s="48"/>
      <c r="AA437" s="48"/>
      <c r="AB437" s="48"/>
      <c r="AC437" s="48"/>
      <c r="AD437" s="48"/>
      <c r="AE437" s="163">
        <v>0</v>
      </c>
      <c r="AF437" s="436">
        <v>59935.28</v>
      </c>
      <c r="AG437" s="436">
        <v>29792.75</v>
      </c>
      <c r="AH437" s="436">
        <v>26012.6</v>
      </c>
      <c r="AI437" s="436">
        <v>0</v>
      </c>
      <c r="AJ437" s="436">
        <v>26012.6</v>
      </c>
      <c r="AK437" s="436">
        <v>29621.89</v>
      </c>
      <c r="AL437" s="436">
        <v>28176.42</v>
      </c>
      <c r="AM437" s="436">
        <v>63769.66</v>
      </c>
      <c r="AN437" s="436">
        <v>34276.04</v>
      </c>
      <c r="AO437" s="436">
        <v>2574.23</v>
      </c>
      <c r="AP437" s="436">
        <v>67540.070000000007</v>
      </c>
      <c r="AQ437" s="436">
        <v>94223.15</v>
      </c>
      <c r="AR437" s="436">
        <v>-54538.32</v>
      </c>
      <c r="AS437" s="436">
        <v>109525.14</v>
      </c>
      <c r="AT437" s="436">
        <v>889.54</v>
      </c>
      <c r="AU437" s="436">
        <v>6512.74</v>
      </c>
      <c r="AV437" s="436">
        <v>144.33000000000001</v>
      </c>
      <c r="AW437" s="436">
        <v>277739.28000000003</v>
      </c>
      <c r="AX437" s="436">
        <v>78537.850000000006</v>
      </c>
      <c r="AY437" s="436">
        <v>92366.75</v>
      </c>
      <c r="AZ437" s="436">
        <v>81461.37</v>
      </c>
      <c r="BA437" s="436">
        <v>-83106.259999999995</v>
      </c>
      <c r="BB437" s="436">
        <v>229286.68</v>
      </c>
      <c r="BC437" s="436">
        <v>73789.39</v>
      </c>
      <c r="BD437" s="436">
        <v>75324.44</v>
      </c>
      <c r="BE437" s="436">
        <v>77558.559999999998</v>
      </c>
      <c r="BF437" s="436">
        <v>77403.22</v>
      </c>
      <c r="BG437" s="436">
        <v>157507.70000000001</v>
      </c>
      <c r="BH437" s="436">
        <v>80487.7</v>
      </c>
      <c r="BI437" s="436">
        <v>80153.58</v>
      </c>
      <c r="BJ437" s="436">
        <v>77357.2</v>
      </c>
      <c r="BK437" s="436">
        <v>60033.36</v>
      </c>
      <c r="BL437" s="436">
        <v>75108.36</v>
      </c>
      <c r="BM437" s="436">
        <v>75647.7</v>
      </c>
      <c r="BN437" s="436">
        <v>80738.600000000006</v>
      </c>
      <c r="BO437" s="436">
        <v>75403.45</v>
      </c>
      <c r="BP437" s="436">
        <v>75166.86</v>
      </c>
      <c r="BQ437" s="436">
        <v>77013.210000000006</v>
      </c>
      <c r="BR437" s="436">
        <v>74658.36</v>
      </c>
      <c r="BS437" s="436">
        <v>77510.62</v>
      </c>
      <c r="BT437" s="436">
        <v>75736.929999999993</v>
      </c>
      <c r="BU437" s="436">
        <v>76206.86</v>
      </c>
      <c r="BV437" s="436">
        <v>75323</v>
      </c>
      <c r="BW437" s="436">
        <v>76159.63</v>
      </c>
      <c r="BX437" s="436">
        <v>76488.67</v>
      </c>
      <c r="BY437" s="436">
        <v>75613.899999999994</v>
      </c>
      <c r="BZ437" s="436">
        <v>74868.460000000006</v>
      </c>
      <c r="CA437" s="436">
        <v>75878.070000000007</v>
      </c>
      <c r="CB437" s="436">
        <v>76544.67</v>
      </c>
      <c r="CC437" s="436">
        <v>68725.490000000005</v>
      </c>
      <c r="CD437" s="436">
        <v>49440.9</v>
      </c>
      <c r="CE437" s="436">
        <v>66950.42</v>
      </c>
      <c r="CF437" s="436">
        <v>66531.509999999995</v>
      </c>
      <c r="CG437" s="436">
        <v>62960.08</v>
      </c>
      <c r="CH437" s="436">
        <v>7368.81</v>
      </c>
      <c r="CI437" s="436">
        <v>126476.23</v>
      </c>
      <c r="CJ437" s="436">
        <v>63222.29</v>
      </c>
      <c r="CK437" s="436">
        <v>62731.43</v>
      </c>
      <c r="CL437" s="436">
        <v>66923.62</v>
      </c>
      <c r="CM437" s="436">
        <v>62796.1</v>
      </c>
      <c r="CN437" s="436">
        <v>66674.960000000006</v>
      </c>
      <c r="CO437" s="436">
        <v>63362.68</v>
      </c>
      <c r="CP437" s="436">
        <v>65617.02</v>
      </c>
      <c r="CQ437" s="436">
        <v>62590.45</v>
      </c>
      <c r="CR437" s="436">
        <v>63359.73</v>
      </c>
      <c r="CS437" s="436">
        <v>63379.74</v>
      </c>
      <c r="CT437" s="436">
        <v>61543.93</v>
      </c>
      <c r="CU437" s="436">
        <v>100866.23</v>
      </c>
      <c r="CV437" s="436">
        <v>62482.400000000001</v>
      </c>
      <c r="CW437" s="436">
        <v>64619.35</v>
      </c>
      <c r="CX437" s="436">
        <v>61482.35</v>
      </c>
      <c r="CY437" s="436">
        <v>47749.97</v>
      </c>
      <c r="CZ437" s="436">
        <v>48170.6</v>
      </c>
      <c r="DA437" s="436">
        <v>48238.65</v>
      </c>
      <c r="DB437" s="436">
        <v>35159.08</v>
      </c>
      <c r="DC437" s="436">
        <v>308.99</v>
      </c>
      <c r="DD437" s="436">
        <v>3561.78</v>
      </c>
      <c r="DE437" s="436">
        <f>VLOOKUP($A437,'[2]Analysis 1'!$A$5:$DG$1025,109,FALSE)</f>
        <v>3082.76</v>
      </c>
      <c r="DF437" s="436">
        <f>VLOOKUP($A437,'[2]Analysis 1'!$A$5:$DG$1025,110,FALSE)</f>
        <v>2637.98</v>
      </c>
      <c r="DG437" s="436">
        <f>VLOOKUP($A437,'[2]Analysis 1'!$A$5:$DG$1025,111,FALSE)</f>
        <v>2473.5700000000002</v>
      </c>
      <c r="DH437" s="369">
        <f t="shared" si="13"/>
        <v>379967.48000000004</v>
      </c>
    </row>
    <row r="438" spans="1:112">
      <c r="A438" s="357" t="s">
        <v>1285</v>
      </c>
      <c r="D438" s="369">
        <v>-1875</v>
      </c>
      <c r="E438" s="369">
        <v>3655</v>
      </c>
      <c r="F438" s="369">
        <v>-1145</v>
      </c>
      <c r="G438" s="369">
        <v>-10415</v>
      </c>
      <c r="H438" s="369">
        <v>1325</v>
      </c>
      <c r="I438" s="369">
        <v>-1560</v>
      </c>
      <c r="J438" s="369">
        <v>-1000</v>
      </c>
      <c r="K438" s="369">
        <v>-42.5</v>
      </c>
      <c r="L438" s="369">
        <v>-2900</v>
      </c>
      <c r="M438" s="369">
        <v>-468</v>
      </c>
      <c r="N438" s="369">
        <v>965.5</v>
      </c>
      <c r="O438" s="369">
        <v>-75</v>
      </c>
      <c r="P438" s="48">
        <v>-9126</v>
      </c>
      <c r="Q438" s="48">
        <v>5641.39</v>
      </c>
      <c r="R438" s="48">
        <v>-70</v>
      </c>
      <c r="S438" s="48">
        <v>-73</v>
      </c>
      <c r="T438" s="48">
        <v>-3135</v>
      </c>
      <c r="U438" s="48">
        <v>1385</v>
      </c>
      <c r="V438" s="48">
        <v>-455</v>
      </c>
      <c r="W438" s="48">
        <v>-780</v>
      </c>
      <c r="X438" s="48">
        <v>-1772</v>
      </c>
      <c r="Y438" s="48">
        <v>-640</v>
      </c>
      <c r="Z438" s="48">
        <v>-75</v>
      </c>
      <c r="AA438" s="48">
        <v>-1222</v>
      </c>
      <c r="AB438" s="48">
        <v>-255</v>
      </c>
      <c r="AC438" s="48">
        <v>-850</v>
      </c>
      <c r="AD438" s="48">
        <v>-585</v>
      </c>
      <c r="AE438" s="163">
        <v>-510</v>
      </c>
      <c r="AF438" s="163">
        <v>-2080</v>
      </c>
      <c r="AG438" s="163">
        <v>-5455</v>
      </c>
      <c r="AH438" s="163">
        <v>-875</v>
      </c>
      <c r="AI438" s="163">
        <v>-810</v>
      </c>
      <c r="AJ438" s="163">
        <v>125.77</v>
      </c>
      <c r="AK438" s="163">
        <v>-4210</v>
      </c>
      <c r="AL438" s="163">
        <v>0</v>
      </c>
      <c r="AM438" s="163">
        <v>2335</v>
      </c>
      <c r="AN438" s="163">
        <v>0</v>
      </c>
      <c r="AO438" s="163">
        <v>0</v>
      </c>
      <c r="AP438" s="163">
        <v>0</v>
      </c>
      <c r="AQ438" s="163">
        <v>0</v>
      </c>
      <c r="AR438" s="163">
        <v>0</v>
      </c>
      <c r="AS438" s="163">
        <v>-260</v>
      </c>
      <c r="AT438" s="163">
        <v>0</v>
      </c>
      <c r="AU438" s="163">
        <v>-140</v>
      </c>
      <c r="AV438" s="163">
        <v>0</v>
      </c>
      <c r="AW438" s="163">
        <v>0</v>
      </c>
      <c r="AX438" s="163">
        <v>0</v>
      </c>
      <c r="AY438" s="163">
        <v>0</v>
      </c>
      <c r="AZ438" s="163">
        <v>0</v>
      </c>
      <c r="BA438" s="163">
        <v>0</v>
      </c>
      <c r="BB438" s="163">
        <v>0</v>
      </c>
      <c r="BC438" s="163">
        <v>0</v>
      </c>
      <c r="BD438" s="163">
        <v>0</v>
      </c>
      <c r="BE438" s="163">
        <v>0</v>
      </c>
      <c r="BF438" s="163">
        <v>0</v>
      </c>
      <c r="BG438" s="163">
        <v>0</v>
      </c>
      <c r="BH438" s="163">
        <v>0</v>
      </c>
      <c r="BI438" s="163">
        <v>0</v>
      </c>
      <c r="BJ438" s="163">
        <v>0</v>
      </c>
      <c r="BK438" s="163">
        <v>0</v>
      </c>
      <c r="BL438" s="163">
        <v>0</v>
      </c>
      <c r="BM438" s="163">
        <v>0</v>
      </c>
      <c r="BN438" s="163">
        <v>0</v>
      </c>
      <c r="BO438" s="163">
        <v>0</v>
      </c>
      <c r="BP438" s="163">
        <v>0</v>
      </c>
      <c r="BQ438" s="163">
        <v>0</v>
      </c>
      <c r="BR438" s="163">
        <v>0</v>
      </c>
      <c r="BS438" s="163">
        <v>0</v>
      </c>
      <c r="BT438" s="163">
        <v>1564.43</v>
      </c>
      <c r="BU438" s="163">
        <v>0</v>
      </c>
      <c r="BV438" s="163">
        <v>1112.5899999999999</v>
      </c>
      <c r="BW438" s="163">
        <v>-1895.21</v>
      </c>
      <c r="BX438" s="163">
        <v>-271.35000000000002</v>
      </c>
      <c r="BY438" s="163">
        <v>-4107.51</v>
      </c>
      <c r="BZ438" s="163">
        <v>319.36</v>
      </c>
      <c r="CA438" s="163">
        <v>-4678.4799999999996</v>
      </c>
      <c r="CB438" s="163">
        <v>-121.46</v>
      </c>
      <c r="CC438" s="163">
        <v>0</v>
      </c>
      <c r="CD438" s="163">
        <v>406.16</v>
      </c>
      <c r="CE438" s="163">
        <v>-6245.23</v>
      </c>
      <c r="CF438" s="163">
        <v>297.63</v>
      </c>
      <c r="CG438" s="163">
        <v>16055.95</v>
      </c>
      <c r="CH438" s="163">
        <v>262.72000000000003</v>
      </c>
      <c r="CI438" s="163">
        <v>209.41</v>
      </c>
      <c r="CJ438" s="163">
        <v>0</v>
      </c>
      <c r="CK438" s="163">
        <v>0</v>
      </c>
      <c r="CL438" s="163">
        <v>560.01</v>
      </c>
      <c r="CM438" s="163">
        <v>389.45</v>
      </c>
      <c r="CN438" s="163">
        <v>366.93</v>
      </c>
      <c r="CO438" s="163">
        <v>405.87</v>
      </c>
      <c r="CP438" s="163">
        <v>251.35</v>
      </c>
      <c r="CQ438" s="163">
        <v>723.79</v>
      </c>
      <c r="CR438" s="163">
        <v>332.88</v>
      </c>
      <c r="CS438" s="163">
        <v>0</v>
      </c>
      <c r="CT438" s="163">
        <v>647.57000000000005</v>
      </c>
      <c r="CU438" s="163">
        <v>228.43</v>
      </c>
      <c r="CV438" s="163">
        <v>64.459999999999994</v>
      </c>
      <c r="CW438" s="163">
        <v>268.54000000000002</v>
      </c>
      <c r="CX438" s="163">
        <v>344.6</v>
      </c>
      <c r="CY438" s="163">
        <v>401.07</v>
      </c>
      <c r="CZ438" s="163">
        <v>0</v>
      </c>
      <c r="DA438" s="163">
        <v>461.43</v>
      </c>
      <c r="DB438" s="163">
        <v>379.61</v>
      </c>
      <c r="DC438" s="163">
        <v>0</v>
      </c>
      <c r="DD438" s="163">
        <v>0</v>
      </c>
      <c r="DE438" s="163">
        <f>VLOOKUP($A438,'[2]Analysis 1'!$A$5:$DG$1025,109,FALSE)</f>
        <v>0</v>
      </c>
      <c r="DF438" s="163">
        <f>VLOOKUP($A438,'[2]Analysis 1'!$A$5:$DG$1025,110,FALSE)</f>
        <v>0</v>
      </c>
      <c r="DG438" s="163">
        <f>VLOOKUP($A438,'[2]Analysis 1'!$A$5:$DG$1025,111,FALSE)</f>
        <v>-16490.150000000001</v>
      </c>
      <c r="DH438" s="369">
        <f t="shared" si="13"/>
        <v>-14570.440000000002</v>
      </c>
    </row>
    <row r="439" spans="1:112">
      <c r="A439" s="335" t="s">
        <v>1286</v>
      </c>
      <c r="D439" s="369">
        <v>3539.47</v>
      </c>
      <c r="E439" s="369">
        <v>-16307.33</v>
      </c>
      <c r="F439" s="369">
        <v>14206.66</v>
      </c>
      <c r="G439" s="369">
        <v>14234.5</v>
      </c>
      <c r="H439" s="369">
        <v>9754.2800000000007</v>
      </c>
      <c r="I439" s="369">
        <v>4514.58</v>
      </c>
      <c r="J439" s="369">
        <v>10090.469999999999</v>
      </c>
      <c r="K439" s="369">
        <v>-9600.18</v>
      </c>
      <c r="L439" s="369">
        <v>-7703.73</v>
      </c>
      <c r="M439" s="369">
        <v>-2399.52</v>
      </c>
      <c r="N439" s="369">
        <v>394.72</v>
      </c>
      <c r="O439" s="369">
        <v>124374.7</v>
      </c>
      <c r="P439" s="48">
        <v>2229.9299999999998</v>
      </c>
      <c r="Q439" s="48">
        <v>2334.5100000000002</v>
      </c>
      <c r="R439" s="48">
        <v>-5763.95</v>
      </c>
      <c r="S439" s="48">
        <v>-4675.8900000000003</v>
      </c>
      <c r="T439" s="48">
        <v>1634.73</v>
      </c>
      <c r="U439" s="48">
        <v>2942.74</v>
      </c>
      <c r="V439" s="48">
        <v>-18335.62</v>
      </c>
      <c r="W439" s="48">
        <v>1029.46</v>
      </c>
      <c r="X439" s="48">
        <v>1176.81</v>
      </c>
      <c r="Y439" s="48">
        <v>-3342.67</v>
      </c>
      <c r="Z439" s="48">
        <v>-16837.87</v>
      </c>
      <c r="AA439" s="48">
        <v>92205.06</v>
      </c>
      <c r="AB439" s="48">
        <v>1042.7</v>
      </c>
      <c r="AC439" s="48">
        <v>1131.72</v>
      </c>
      <c r="AD439" s="48">
        <v>-12506.92</v>
      </c>
      <c r="AE439" s="163">
        <v>-1657.83</v>
      </c>
      <c r="AF439" s="163">
        <v>0</v>
      </c>
      <c r="AG439" s="163">
        <v>-400</v>
      </c>
      <c r="AH439" s="163">
        <v>-1908.52</v>
      </c>
      <c r="AI439" s="163">
        <v>882.52</v>
      </c>
      <c r="AJ439" s="163">
        <v>95.73</v>
      </c>
      <c r="AK439" s="163">
        <v>0</v>
      </c>
      <c r="AL439" s="163">
        <v>400.81</v>
      </c>
      <c r="AM439" s="163">
        <v>63620</v>
      </c>
      <c r="AN439" s="163">
        <v>-125</v>
      </c>
      <c r="AO439" s="163">
        <v>0</v>
      </c>
      <c r="AP439" s="163">
        <v>-26689.71</v>
      </c>
      <c r="AQ439" s="163">
        <v>0</v>
      </c>
      <c r="AR439" s="163">
        <v>0</v>
      </c>
      <c r="AS439" s="163">
        <v>-3879.98</v>
      </c>
      <c r="AT439" s="163">
        <v>764.25</v>
      </c>
      <c r="AU439" s="163">
        <v>249.83</v>
      </c>
      <c r="AV439" s="163">
        <v>44.61</v>
      </c>
      <c r="AW439" s="163">
        <v>28.42</v>
      </c>
      <c r="AX439" s="163">
        <v>710.23</v>
      </c>
      <c r="AY439" s="163">
        <v>-37947</v>
      </c>
      <c r="AZ439" s="163">
        <v>36.43</v>
      </c>
      <c r="BA439" s="163">
        <v>-14279.87</v>
      </c>
      <c r="BB439" s="163">
        <v>-2460.94</v>
      </c>
      <c r="BC439" s="163">
        <v>-22589.25</v>
      </c>
      <c r="BD439" s="163">
        <v>32.590000000000003</v>
      </c>
      <c r="BE439" s="163">
        <v>-3943.19</v>
      </c>
      <c r="BF439" s="163">
        <v>-5781.88</v>
      </c>
      <c r="BG439" s="163">
        <v>-7777.3</v>
      </c>
      <c r="BH439" s="163">
        <v>-5393.89</v>
      </c>
      <c r="BI439" s="163">
        <v>239.08</v>
      </c>
      <c r="BJ439" s="163">
        <v>218.27</v>
      </c>
      <c r="BK439" s="163">
        <v>316.47000000000003</v>
      </c>
      <c r="BL439" s="163">
        <v>753.97</v>
      </c>
      <c r="BM439" s="163">
        <v>-3809.22</v>
      </c>
      <c r="BN439" s="163">
        <v>115.45</v>
      </c>
      <c r="BO439" s="163">
        <v>145.88999999999999</v>
      </c>
      <c r="BP439" s="163">
        <v>-5830.38</v>
      </c>
      <c r="BQ439" s="163">
        <v>128.44</v>
      </c>
      <c r="BR439" s="163">
        <v>275.52</v>
      </c>
      <c r="BS439" s="163">
        <v>-571.84</v>
      </c>
      <c r="BT439" s="163">
        <v>156.44</v>
      </c>
      <c r="BU439" s="163">
        <v>-3437.29</v>
      </c>
      <c r="BV439" s="163">
        <v>375.27</v>
      </c>
      <c r="BW439" s="163">
        <v>186.41</v>
      </c>
      <c r="BX439" s="163">
        <v>573.27</v>
      </c>
      <c r="BY439" s="163">
        <v>1194.47</v>
      </c>
      <c r="BZ439" s="163">
        <v>516.41999999999996</v>
      </c>
      <c r="CA439" s="163">
        <v>471.07</v>
      </c>
      <c r="CB439" s="163">
        <v>2559.56</v>
      </c>
      <c r="CC439" s="163">
        <v>-3701.68</v>
      </c>
      <c r="CD439" s="163">
        <v>221.82</v>
      </c>
      <c r="CE439" s="163">
        <v>272.27</v>
      </c>
      <c r="CF439" s="163">
        <v>381.97</v>
      </c>
      <c r="CG439" s="163">
        <v>962.02</v>
      </c>
      <c r="CH439" s="163">
        <v>602.87</v>
      </c>
      <c r="CI439" s="163">
        <v>3886.81</v>
      </c>
      <c r="CJ439" s="163">
        <v>2667.96</v>
      </c>
      <c r="CK439" s="163">
        <v>2689.41</v>
      </c>
      <c r="CL439" s="163">
        <v>1819.43</v>
      </c>
      <c r="CM439" s="163">
        <v>-6854.96</v>
      </c>
      <c r="CN439" s="163">
        <v>225.86</v>
      </c>
      <c r="CO439" s="163">
        <v>1238.1600000000001</v>
      </c>
      <c r="CP439" s="163">
        <v>1080.22</v>
      </c>
      <c r="CQ439" s="163">
        <v>932.52</v>
      </c>
      <c r="CR439" s="163">
        <v>2309.46</v>
      </c>
      <c r="CS439" s="163">
        <v>1974.72</v>
      </c>
      <c r="CT439" s="163">
        <v>2411.87</v>
      </c>
      <c r="CU439" s="163">
        <v>2038.32</v>
      </c>
      <c r="CV439" s="163">
        <v>1771.05</v>
      </c>
      <c r="CW439" s="163">
        <v>1001.39</v>
      </c>
      <c r="CX439" s="163">
        <v>1149.2</v>
      </c>
      <c r="CY439" s="163">
        <v>342.76</v>
      </c>
      <c r="CZ439" s="163">
        <v>377.86</v>
      </c>
      <c r="DA439" s="163">
        <v>2135.5100000000002</v>
      </c>
      <c r="DB439" s="163">
        <v>48.11</v>
      </c>
      <c r="DC439" s="163">
        <v>792.49</v>
      </c>
      <c r="DD439" s="163">
        <v>74.489999999999995</v>
      </c>
      <c r="DE439" s="163">
        <f>VLOOKUP($A439,'[2]Analysis 1'!$A$5:$DG$1025,109,FALSE)</f>
        <v>1316.14</v>
      </c>
      <c r="DF439" s="163">
        <f>VLOOKUP($A439,'[2]Analysis 1'!$A$5:$DG$1025,110,FALSE)</f>
        <v>3478.96</v>
      </c>
      <c r="DG439" s="163">
        <f>VLOOKUP($A439,'[2]Analysis 1'!$A$5:$DG$1025,111,FALSE)</f>
        <v>-8248.69</v>
      </c>
      <c r="DH439" s="369">
        <f t="shared" si="13"/>
        <v>4239.2699999999986</v>
      </c>
    </row>
    <row r="440" spans="1:112">
      <c r="A440" s="335" t="s">
        <v>1287</v>
      </c>
      <c r="D440" s="369">
        <v>-214296.28</v>
      </c>
      <c r="E440" s="369">
        <v>-330590.94</v>
      </c>
      <c r="F440" s="369">
        <v>-206491.26</v>
      </c>
      <c r="G440" s="369">
        <v>-280856.64</v>
      </c>
      <c r="H440" s="369">
        <v>-178527.23</v>
      </c>
      <c r="I440" s="369">
        <v>-262447.71999999997</v>
      </c>
      <c r="J440" s="369">
        <v>-240575.55</v>
      </c>
      <c r="K440" s="369">
        <v>-197832.04</v>
      </c>
      <c r="L440" s="369">
        <v>-68753.320000000007</v>
      </c>
      <c r="M440" s="369">
        <v>-294246.26</v>
      </c>
      <c r="N440" s="369">
        <v>-168347.11</v>
      </c>
      <c r="O440" s="369">
        <v>-192880.57</v>
      </c>
      <c r="P440" s="48">
        <v>-390775.07</v>
      </c>
      <c r="Q440" s="48">
        <v>-210884.69</v>
      </c>
      <c r="R440" s="48">
        <v>-150763.29</v>
      </c>
      <c r="S440" s="48">
        <v>-117072.92</v>
      </c>
      <c r="T440" s="48">
        <v>-224359.7</v>
      </c>
      <c r="U440" s="48">
        <v>-216294.17</v>
      </c>
      <c r="V440" s="48">
        <v>-152920.16</v>
      </c>
      <c r="W440" s="48">
        <v>-171043.58</v>
      </c>
      <c r="X440" s="48">
        <v>-223338.23999999999</v>
      </c>
      <c r="Y440" s="48">
        <v>-130233.48</v>
      </c>
      <c r="Z440" s="48">
        <v>-190346.84</v>
      </c>
      <c r="AA440" s="48">
        <v>-703834.01</v>
      </c>
      <c r="AB440" s="48">
        <v>-296280.46000000002</v>
      </c>
      <c r="AC440" s="48">
        <v>-362928.71</v>
      </c>
      <c r="AD440" s="48">
        <v>-102655.97</v>
      </c>
      <c r="AE440" s="163">
        <v>-122065.81</v>
      </c>
      <c r="AF440" s="163">
        <v>-290536.36</v>
      </c>
      <c r="AG440" s="163">
        <v>-148831.98000000001</v>
      </c>
      <c r="AH440" s="163">
        <v>-214871.25</v>
      </c>
      <c r="AI440" s="163">
        <v>-277765.40000000002</v>
      </c>
      <c r="AJ440" s="163">
        <v>-180270.99</v>
      </c>
      <c r="AK440" s="163">
        <v>-769396.37</v>
      </c>
      <c r="AL440" s="163">
        <v>-202984.49</v>
      </c>
      <c r="AM440" s="163">
        <v>-221317.04</v>
      </c>
      <c r="AN440" s="163">
        <v>-353932.4</v>
      </c>
      <c r="AO440" s="163">
        <v>-308136.26</v>
      </c>
      <c r="AP440" s="163">
        <v>-287169.15000000002</v>
      </c>
      <c r="AQ440" s="163">
        <v>-146968.54999999999</v>
      </c>
      <c r="AR440" s="163">
        <v>-331963.59000000003</v>
      </c>
      <c r="AS440" s="163">
        <v>153361.17000000001</v>
      </c>
      <c r="AT440" s="163">
        <v>-293256.39</v>
      </c>
      <c r="AU440" s="163">
        <v>-142790.04999999999</v>
      </c>
      <c r="AV440" s="163">
        <v>-297970.53000000003</v>
      </c>
      <c r="AW440" s="163">
        <v>-245610.76</v>
      </c>
      <c r="AX440" s="163">
        <v>-341556.85</v>
      </c>
      <c r="AY440" s="163">
        <v>-549068.92000000004</v>
      </c>
      <c r="AZ440" s="163">
        <v>-427265.75</v>
      </c>
      <c r="BA440" s="163">
        <v>-414555.12</v>
      </c>
      <c r="BB440" s="163">
        <v>-112602.5</v>
      </c>
      <c r="BC440" s="163">
        <v>-506278.72</v>
      </c>
      <c r="BD440" s="163">
        <v>-262049.55</v>
      </c>
      <c r="BE440" s="163">
        <v>-222660.19</v>
      </c>
      <c r="BF440" s="163">
        <v>-289543.83</v>
      </c>
      <c r="BG440" s="163">
        <v>-189620.79</v>
      </c>
      <c r="BH440" s="163">
        <v>-174472.46</v>
      </c>
      <c r="BI440" s="163">
        <v>-253677.03</v>
      </c>
      <c r="BJ440" s="163">
        <v>-242731.81</v>
      </c>
      <c r="BK440" s="163">
        <v>-417337.17</v>
      </c>
      <c r="BL440" s="163">
        <v>-256648.59</v>
      </c>
      <c r="BM440" s="163">
        <v>-285523.38</v>
      </c>
      <c r="BN440" s="163">
        <v>-461128.74</v>
      </c>
      <c r="BO440" s="163">
        <v>-417107.02</v>
      </c>
      <c r="BP440" s="163">
        <v>-323818.81</v>
      </c>
      <c r="BQ440" s="163">
        <v>-234534.32</v>
      </c>
      <c r="BR440" s="163">
        <v>-338930.12</v>
      </c>
      <c r="BS440" s="163">
        <v>-459463.36</v>
      </c>
      <c r="BT440" s="163">
        <v>-219164.33</v>
      </c>
      <c r="BU440" s="163">
        <v>-197590.86</v>
      </c>
      <c r="BV440" s="163">
        <v>-194188.46</v>
      </c>
      <c r="BW440" s="163">
        <v>-228792.44</v>
      </c>
      <c r="BX440" s="163">
        <v>-126272.64</v>
      </c>
      <c r="BY440" s="163">
        <v>-424898.82</v>
      </c>
      <c r="BZ440" s="163">
        <v>-93899.42</v>
      </c>
      <c r="CA440" s="163">
        <v>-334447.24</v>
      </c>
      <c r="CB440" s="163">
        <v>-410336.04</v>
      </c>
      <c r="CC440" s="163">
        <v>-224341.44</v>
      </c>
      <c r="CD440" s="163">
        <v>-188439.92</v>
      </c>
      <c r="CE440" s="163">
        <v>-311341.21000000002</v>
      </c>
      <c r="CF440" s="163">
        <v>-239230.3</v>
      </c>
      <c r="CG440" s="163">
        <v>-350793.42</v>
      </c>
      <c r="CH440" s="163">
        <v>-209032.59</v>
      </c>
      <c r="CI440" s="163">
        <v>-367048.31</v>
      </c>
      <c r="CJ440" s="163">
        <v>-334134.96999999997</v>
      </c>
      <c r="CK440" s="163">
        <v>-387862.25</v>
      </c>
      <c r="CL440" s="163">
        <v>-275361.32</v>
      </c>
      <c r="CM440" s="163">
        <v>-331471.51</v>
      </c>
      <c r="CN440" s="163">
        <v>-390513.08</v>
      </c>
      <c r="CO440" s="163">
        <v>-271490.58</v>
      </c>
      <c r="CP440" s="163">
        <v>-274120.75</v>
      </c>
      <c r="CQ440" s="163">
        <v>-337068.29</v>
      </c>
      <c r="CR440" s="163">
        <v>-295827.65000000002</v>
      </c>
      <c r="CS440" s="163">
        <v>-313747.78000000003</v>
      </c>
      <c r="CT440" s="163">
        <v>-273112.37</v>
      </c>
      <c r="CU440" s="163">
        <v>-159444.92000000001</v>
      </c>
      <c r="CV440" s="163">
        <v>-144996.4</v>
      </c>
      <c r="CW440" s="163">
        <v>-253318.71</v>
      </c>
      <c r="CX440" s="163">
        <v>-473623.69</v>
      </c>
      <c r="CY440" s="163">
        <v>-257376.17</v>
      </c>
      <c r="CZ440" s="163">
        <v>-276005.40999999997</v>
      </c>
      <c r="DA440" s="163">
        <v>-222974.37</v>
      </c>
      <c r="DB440" s="163">
        <v>-436612.73</v>
      </c>
      <c r="DC440" s="163">
        <v>-287987.53999999998</v>
      </c>
      <c r="DD440" s="163">
        <v>-337555.77</v>
      </c>
      <c r="DE440" s="163">
        <f>VLOOKUP($A440,'[2]Analysis 1'!$A$5:$DG$1025,109,FALSE)</f>
        <v>-251499.69</v>
      </c>
      <c r="DF440" s="163">
        <f>VLOOKUP($A440,'[2]Analysis 1'!$A$5:$DG$1025,110,FALSE)</f>
        <v>-300104.23</v>
      </c>
      <c r="DG440" s="163">
        <f>VLOOKUP($A440,'[2]Analysis 1'!$A$5:$DG$1025,111,FALSE)</f>
        <v>-13128.95</v>
      </c>
      <c r="DH440" s="369">
        <f t="shared" si="13"/>
        <v>-3255183.66</v>
      </c>
    </row>
    <row r="441" spans="1:112">
      <c r="A441" s="335" t="s">
        <v>1288</v>
      </c>
      <c r="D441" s="369">
        <v>-33105.9</v>
      </c>
      <c r="E441" s="369">
        <v>-60160.57</v>
      </c>
      <c r="F441" s="369">
        <v>-16942.79</v>
      </c>
      <c r="G441" s="369">
        <v>-13700.03</v>
      </c>
      <c r="H441" s="369">
        <v>-22433.86</v>
      </c>
      <c r="I441" s="369">
        <v>-34601</v>
      </c>
      <c r="J441" s="369">
        <v>-13577.67</v>
      </c>
      <c r="K441" s="369">
        <v>-15638</v>
      </c>
      <c r="L441" s="369">
        <v>-15354.58</v>
      </c>
      <c r="M441" s="369">
        <v>-17160.03</v>
      </c>
      <c r="N441" s="369">
        <v>-11242.67</v>
      </c>
      <c r="O441" s="369">
        <v>-30143.55</v>
      </c>
      <c r="P441" s="48">
        <v>-25287.87</v>
      </c>
      <c r="Q441" s="48">
        <v>-18621.48</v>
      </c>
      <c r="R441" s="48">
        <v>-20659.18</v>
      </c>
      <c r="S441" s="48">
        <v>-25139.11</v>
      </c>
      <c r="T441" s="48">
        <v>-45226.83</v>
      </c>
      <c r="U441" s="48">
        <v>-46562.080000000002</v>
      </c>
      <c r="V441" s="48">
        <v>-13445.99</v>
      </c>
      <c r="W441" s="48">
        <v>-21691.13</v>
      </c>
      <c r="X441" s="48">
        <v>-16325.54</v>
      </c>
      <c r="Y441" s="48">
        <v>-18294.91</v>
      </c>
      <c r="Z441" s="48">
        <v>-24058.92</v>
      </c>
      <c r="AA441" s="48">
        <v>-21149.64</v>
      </c>
      <c r="AB441" s="48">
        <v>-17840.47</v>
      </c>
      <c r="AC441" s="48">
        <v>-68388.09</v>
      </c>
      <c r="AD441" s="48">
        <v>-25117.439999999999</v>
      </c>
      <c r="AE441" s="163">
        <v>-36773.22</v>
      </c>
      <c r="AF441" s="163">
        <v>-38605.68</v>
      </c>
      <c r="AG441" s="163">
        <v>-48091.37</v>
      </c>
      <c r="AH441" s="163">
        <v>-53566.52</v>
      </c>
      <c r="AI441" s="163">
        <v>-41569.760000000002</v>
      </c>
      <c r="AJ441" s="163">
        <v>-29858.92</v>
      </c>
      <c r="AK441" s="163">
        <v>-24046.71</v>
      </c>
      <c r="AL441" s="163">
        <v>-34613.72</v>
      </c>
      <c r="AM441" s="163">
        <v>-41797.339999999997</v>
      </c>
      <c r="AN441" s="163">
        <v>-28006.81</v>
      </c>
      <c r="AO441" s="163">
        <v>-37984.57</v>
      </c>
      <c r="AP441" s="163">
        <v>-31193.17</v>
      </c>
      <c r="AQ441" s="163">
        <v>-30066.84</v>
      </c>
      <c r="AR441" s="163">
        <v>-9809.65</v>
      </c>
      <c r="AS441" s="163">
        <v>-20994.17</v>
      </c>
      <c r="AT441" s="163">
        <v>-1754.21</v>
      </c>
      <c r="AU441" s="163">
        <v>-5124.66</v>
      </c>
      <c r="AV441" s="163">
        <v>-1872.7</v>
      </c>
      <c r="AW441" s="163">
        <v>-2250.67</v>
      </c>
      <c r="AX441" s="163">
        <v>-653.58000000000004</v>
      </c>
      <c r="AY441" s="163">
        <v>-722.53</v>
      </c>
      <c r="AZ441" s="163">
        <v>-5980.14</v>
      </c>
      <c r="BA441" s="163">
        <v>-683.95</v>
      </c>
      <c r="BB441" s="163">
        <v>-593.34</v>
      </c>
      <c r="BC441" s="163">
        <v>-1242.23</v>
      </c>
      <c r="BD441" s="163">
        <v>-3325.19</v>
      </c>
      <c r="BE441" s="163">
        <v>-823.95</v>
      </c>
      <c r="BF441" s="163">
        <v>61.04</v>
      </c>
      <c r="BG441" s="163">
        <v>-774.42</v>
      </c>
      <c r="BH441" s="163">
        <v>-869.08</v>
      </c>
      <c r="BI441" s="163">
        <v>123.42</v>
      </c>
      <c r="BJ441" s="163">
        <v>-859.74</v>
      </c>
      <c r="BK441" s="163">
        <v>-1245.73</v>
      </c>
      <c r="BL441" s="163">
        <v>-1386.14</v>
      </c>
      <c r="BM441" s="163">
        <v>-1039.8</v>
      </c>
      <c r="BN441" s="163">
        <v>-926.46</v>
      </c>
      <c r="BO441" s="163">
        <v>-955.99</v>
      </c>
      <c r="BP441" s="163">
        <v>-1150.17</v>
      </c>
      <c r="BQ441" s="163">
        <v>-3577.39</v>
      </c>
      <c r="BR441" s="163">
        <v>-3981.29</v>
      </c>
      <c r="BS441" s="163">
        <v>-3921.99</v>
      </c>
      <c r="BT441" s="163">
        <v>-3048.89</v>
      </c>
      <c r="BU441" s="163">
        <v>-21.6</v>
      </c>
      <c r="BV441" s="163">
        <v>-5046.87</v>
      </c>
      <c r="BW441" s="163">
        <v>-1393.46</v>
      </c>
      <c r="BX441" s="163">
        <v>-5829.61</v>
      </c>
      <c r="BY441" s="163">
        <v>-5336.06</v>
      </c>
      <c r="BZ441" s="163">
        <v>-13624.8</v>
      </c>
      <c r="CA441" s="163">
        <v>-48706.879999999997</v>
      </c>
      <c r="CB441" s="163">
        <v>-1187.4000000000001</v>
      </c>
      <c r="CC441" s="163">
        <v>-991.75</v>
      </c>
      <c r="CD441" s="163">
        <v>-897.63</v>
      </c>
      <c r="CE441" s="163">
        <v>-1009.82</v>
      </c>
      <c r="CF441" s="163">
        <v>-815.56</v>
      </c>
      <c r="CG441" s="163">
        <v>-749.87</v>
      </c>
      <c r="CH441" s="163">
        <v>-902.24</v>
      </c>
      <c r="CI441" s="163">
        <v>-992.81</v>
      </c>
      <c r="CJ441" s="163">
        <v>-10589.77</v>
      </c>
      <c r="CK441" s="163">
        <v>-10135.75</v>
      </c>
      <c r="CL441" s="163">
        <v>-9969.0400000000009</v>
      </c>
      <c r="CM441" s="163">
        <v>-9850.0300000000007</v>
      </c>
      <c r="CN441" s="163">
        <v>-14402.36</v>
      </c>
      <c r="CO441" s="163">
        <v>-5189.09</v>
      </c>
      <c r="CP441" s="163">
        <v>-3312.69</v>
      </c>
      <c r="CQ441" s="163">
        <v>-3259.81</v>
      </c>
      <c r="CR441" s="163">
        <v>-2984.07</v>
      </c>
      <c r="CS441" s="163">
        <v>-3102.86</v>
      </c>
      <c r="CT441" s="163">
        <v>-3158.87</v>
      </c>
      <c r="CU441" s="163">
        <v>-3669.28</v>
      </c>
      <c r="CV441" s="163">
        <v>-4131.33</v>
      </c>
      <c r="CW441" s="163">
        <v>-3504.64</v>
      </c>
      <c r="CX441" s="163">
        <v>-9107.92</v>
      </c>
      <c r="CY441" s="163">
        <v>-12370.84</v>
      </c>
      <c r="CZ441" s="163">
        <v>-14123.49</v>
      </c>
      <c r="DA441" s="163">
        <v>-18412.560000000001</v>
      </c>
      <c r="DB441" s="163">
        <v>-24298.01</v>
      </c>
      <c r="DC441" s="163">
        <v>-36020.74</v>
      </c>
      <c r="DD441" s="163">
        <v>-47039.45</v>
      </c>
      <c r="DE441" s="163">
        <f>VLOOKUP($A441,'[2]Analysis 1'!$A$5:$DG$1025,109,FALSE)</f>
        <v>-56763.22</v>
      </c>
      <c r="DF441" s="163">
        <f>VLOOKUP($A441,'[2]Analysis 1'!$A$5:$DG$1025,110,FALSE)</f>
        <v>-52515.59</v>
      </c>
      <c r="DG441" s="163">
        <f>VLOOKUP($A441,'[2]Analysis 1'!$A$5:$DG$1025,111,FALSE)</f>
        <v>-59599.09</v>
      </c>
      <c r="DH441" s="369">
        <f t="shared" si="13"/>
        <v>-337886.88</v>
      </c>
    </row>
    <row r="442" spans="1:112">
      <c r="A442" s="357" t="s">
        <v>2331</v>
      </c>
      <c r="D442" s="369"/>
      <c r="E442" s="369"/>
      <c r="F442" s="369"/>
      <c r="G442" s="369"/>
      <c r="H442" s="369"/>
      <c r="I442" s="369"/>
      <c r="J442" s="369"/>
      <c r="K442" s="369"/>
      <c r="L442" s="369"/>
      <c r="M442" s="369"/>
      <c r="N442" s="369"/>
      <c r="O442" s="369"/>
      <c r="P442" s="48"/>
      <c r="Q442" s="48"/>
      <c r="R442" s="48"/>
      <c r="S442" s="48"/>
      <c r="T442" s="48"/>
      <c r="U442" s="48"/>
      <c r="V442" s="48"/>
      <c r="W442" s="48"/>
      <c r="X442" s="48"/>
      <c r="Y442" s="48"/>
      <c r="Z442" s="48"/>
      <c r="AA442" s="48"/>
      <c r="AB442" s="48"/>
      <c r="AC442" s="48"/>
      <c r="AD442" s="48"/>
      <c r="AE442" s="163"/>
      <c r="AF442" s="163"/>
      <c r="AG442" s="163"/>
      <c r="AH442" s="163"/>
      <c r="AI442" s="163"/>
      <c r="AJ442" s="163"/>
      <c r="AK442" s="163"/>
      <c r="AL442" s="163"/>
      <c r="AM442" s="163"/>
      <c r="AN442" s="163"/>
      <c r="AO442" s="163"/>
      <c r="AP442" s="163"/>
      <c r="AQ442" s="163"/>
      <c r="AR442" s="163"/>
      <c r="AS442" s="163"/>
      <c r="AT442" s="163"/>
      <c r="AU442" s="163"/>
      <c r="AV442" s="163"/>
      <c r="AW442" s="163"/>
      <c r="AX442" s="163"/>
      <c r="AY442" s="163"/>
      <c r="AZ442" s="163"/>
      <c r="BA442" s="163"/>
      <c r="BB442" s="163"/>
      <c r="BC442" s="163"/>
      <c r="BD442" s="163"/>
      <c r="BE442" s="163"/>
      <c r="BF442" s="163"/>
      <c r="BG442" s="163"/>
      <c r="BH442" s="163"/>
      <c r="BI442" s="163"/>
      <c r="BJ442" s="163"/>
      <c r="BK442" s="163"/>
      <c r="BL442" s="163"/>
      <c r="BM442" s="163"/>
      <c r="BN442" s="163"/>
      <c r="BO442" s="163"/>
      <c r="BP442" s="163"/>
      <c r="BQ442" s="163"/>
      <c r="BR442" s="163">
        <v>0</v>
      </c>
      <c r="BS442" s="163">
        <v>0</v>
      </c>
      <c r="BT442" s="163">
        <v>-88143.23</v>
      </c>
      <c r="BU442" s="163">
        <v>-205245.14</v>
      </c>
      <c r="BV442" s="163">
        <v>-78293.710000000006</v>
      </c>
      <c r="BW442" s="163">
        <v>-98731.87</v>
      </c>
      <c r="BX442" s="163">
        <v>-128109.59</v>
      </c>
      <c r="BY442" s="163">
        <v>-160068.20000000001</v>
      </c>
      <c r="BZ442" s="163">
        <v>-187039.09</v>
      </c>
      <c r="CA442" s="163">
        <v>-212810.96</v>
      </c>
      <c r="CB442" s="163">
        <v>-258036.43</v>
      </c>
      <c r="CC442" s="163">
        <v>-295038.21000000002</v>
      </c>
      <c r="CD442" s="163">
        <v>-317432.21000000002</v>
      </c>
      <c r="CE442" s="163">
        <v>-354208</v>
      </c>
      <c r="CF442" s="163">
        <v>-396170.73</v>
      </c>
      <c r="CG442" s="163">
        <v>-313400.96999999997</v>
      </c>
      <c r="CH442" s="163">
        <v>-231389.87</v>
      </c>
      <c r="CI442" s="163">
        <v>-267899.33</v>
      </c>
      <c r="CJ442" s="163">
        <v>-304757.78999999998</v>
      </c>
      <c r="CK442" s="163">
        <v>-370593.85</v>
      </c>
      <c r="CL442" s="163">
        <v>-389947.17</v>
      </c>
      <c r="CM442" s="163">
        <v>-326242.06</v>
      </c>
      <c r="CN442" s="163">
        <v>-221915.58</v>
      </c>
      <c r="CO442" s="163">
        <v>-230325.17</v>
      </c>
      <c r="CP442" s="163">
        <v>-249458.15</v>
      </c>
      <c r="CQ442" s="163">
        <v>-280763.06</v>
      </c>
      <c r="CR442" s="163">
        <v>-307772.68</v>
      </c>
      <c r="CS442" s="163">
        <v>-330307.34000000003</v>
      </c>
      <c r="CT442" s="163">
        <v>-118962.32</v>
      </c>
      <c r="CU442" s="163">
        <v>-163717.22</v>
      </c>
      <c r="CV442" s="163">
        <v>-180627.20000000001</v>
      </c>
      <c r="CW442" s="163">
        <v>-197146.68</v>
      </c>
      <c r="CX442" s="163">
        <v>-214283.86</v>
      </c>
      <c r="CY442" s="163">
        <v>-235931.8</v>
      </c>
      <c r="CZ442" s="163">
        <v>-260884.35</v>
      </c>
      <c r="DA442" s="163">
        <v>-291434.89</v>
      </c>
      <c r="DB442" s="163">
        <v>-325385.08</v>
      </c>
      <c r="DC442" s="163">
        <v>-349541.75</v>
      </c>
      <c r="DD442" s="163">
        <v>-370307.86</v>
      </c>
      <c r="DE442" s="163">
        <f>VLOOKUP($A442,'[2]Analysis 1'!$A$5:$DG$1025,109,FALSE)</f>
        <v>-167646.16</v>
      </c>
      <c r="DF442" s="163">
        <f>VLOOKUP($A442,'[2]Analysis 1'!$A$5:$DG$1025,110,FALSE)</f>
        <v>-245397.82</v>
      </c>
      <c r="DG442" s="163">
        <f>VLOOKUP($A442,'[2]Analysis 1'!$A$5:$DG$1025,111,FALSE)</f>
        <v>-265768.27</v>
      </c>
      <c r="DH442" s="369">
        <f t="shared" si="13"/>
        <v>-3104355.72</v>
      </c>
    </row>
    <row r="443" spans="1:112">
      <c r="A443" s="335" t="s">
        <v>1289</v>
      </c>
      <c r="D443" s="369">
        <v>-150</v>
      </c>
      <c r="E443" s="369">
        <v>-6994.39</v>
      </c>
      <c r="F443" s="369">
        <v>-60</v>
      </c>
      <c r="G443" s="369">
        <v>-168</v>
      </c>
      <c r="H443" s="369">
        <v>-158</v>
      </c>
      <c r="I443" s="369">
        <v>-120</v>
      </c>
      <c r="J443" s="369">
        <v>-142</v>
      </c>
      <c r="K443" s="369">
        <v>-138</v>
      </c>
      <c r="L443" s="369">
        <v>-136</v>
      </c>
      <c r="M443" s="369">
        <v>215.02</v>
      </c>
      <c r="N443" s="369">
        <v>-186</v>
      </c>
      <c r="O443" s="369">
        <v>-226</v>
      </c>
      <c r="P443" s="48">
        <v>-257</v>
      </c>
      <c r="Q443" s="48">
        <v>-244</v>
      </c>
      <c r="R443" s="48">
        <v>-191</v>
      </c>
      <c r="S443" s="48">
        <v>-177</v>
      </c>
      <c r="T443" s="48">
        <v>-232</v>
      </c>
      <c r="U443" s="48">
        <v>-203</v>
      </c>
      <c r="V443" s="48">
        <v>-200</v>
      </c>
      <c r="W443" s="48">
        <v>-223</v>
      </c>
      <c r="X443" s="48">
        <v>-246</v>
      </c>
      <c r="Y443" s="48">
        <v>-353</v>
      </c>
      <c r="Z443" s="48">
        <v>-672</v>
      </c>
      <c r="AA443" s="48">
        <v>-689484.31</v>
      </c>
      <c r="AB443" s="48">
        <v>-2208</v>
      </c>
      <c r="AC443" s="48">
        <v>-1354</v>
      </c>
      <c r="AD443" s="48">
        <v>-920</v>
      </c>
      <c r="AE443" s="163">
        <v>-839</v>
      </c>
      <c r="AF443" s="163">
        <v>-735</v>
      </c>
      <c r="AG443" s="163">
        <v>-784</v>
      </c>
      <c r="AH443" s="163">
        <v>-861</v>
      </c>
      <c r="AI443" s="163">
        <v>-215412</v>
      </c>
      <c r="AJ443" s="163">
        <v>-939</v>
      </c>
      <c r="AK443" s="163">
        <v>-733292.85</v>
      </c>
      <c r="AL443" s="163">
        <v>-1090</v>
      </c>
      <c r="AM443" s="163">
        <v>-1346.9</v>
      </c>
      <c r="AN443" s="163">
        <v>-1663</v>
      </c>
      <c r="AO443" s="163">
        <v>-1575</v>
      </c>
      <c r="AP443" s="163">
        <v>-1792.1</v>
      </c>
      <c r="AQ443" s="163">
        <v>-202</v>
      </c>
      <c r="AR443" s="163">
        <v>-3836</v>
      </c>
      <c r="AS443" s="163">
        <v>-2294</v>
      </c>
      <c r="AT443" s="163">
        <v>-2480</v>
      </c>
      <c r="AU443" s="163">
        <v>-2612</v>
      </c>
      <c r="AV443" s="163">
        <v>-2668</v>
      </c>
      <c r="AW443" s="163">
        <v>-4283.83</v>
      </c>
      <c r="AX443" s="163">
        <v>-8063.17</v>
      </c>
      <c r="AY443" s="163">
        <v>-9906</v>
      </c>
      <c r="AZ443" s="163">
        <v>-14551.86</v>
      </c>
      <c r="BA443" s="163">
        <v>-6591.1</v>
      </c>
      <c r="BB443" s="163">
        <v>-4896.34</v>
      </c>
      <c r="BC443" s="163">
        <v>31623.62</v>
      </c>
      <c r="BD443" s="163">
        <v>-7936.51</v>
      </c>
      <c r="BE443" s="163">
        <v>-9480.34</v>
      </c>
      <c r="BF443" s="163">
        <v>-10662.88</v>
      </c>
      <c r="BG443" s="163">
        <v>-10848.93</v>
      </c>
      <c r="BH443" s="163">
        <v>-18177.66</v>
      </c>
      <c r="BI443" s="163">
        <v>10056.18</v>
      </c>
      <c r="BJ443" s="163">
        <v>-15054.92</v>
      </c>
      <c r="BK443" s="163">
        <v>-2072.3200000000002</v>
      </c>
      <c r="BL443" s="163">
        <v>-24884.45</v>
      </c>
      <c r="BM443" s="163">
        <v>-12638.17</v>
      </c>
      <c r="BN443" s="163">
        <v>-11641.8</v>
      </c>
      <c r="BO443" s="163">
        <v>-13221.11</v>
      </c>
      <c r="BP443" s="163">
        <v>-8857.3700000000008</v>
      </c>
      <c r="BQ443" s="163">
        <v>32.21</v>
      </c>
      <c r="BR443" s="163">
        <v>-17147.310000000001</v>
      </c>
      <c r="BS443" s="163">
        <v>-7165.61</v>
      </c>
      <c r="BT443" s="163">
        <v>-11563.54</v>
      </c>
      <c r="BU443" s="163">
        <v>-9042.99</v>
      </c>
      <c r="BV443" s="163">
        <v>-9013.42</v>
      </c>
      <c r="BW443" s="163">
        <v>-8529.58</v>
      </c>
      <c r="BX443" s="163">
        <v>-4975.74</v>
      </c>
      <c r="BY443" s="163">
        <v>-4999.54</v>
      </c>
      <c r="BZ443" s="163">
        <v>-8703.32</v>
      </c>
      <c r="CA443" s="163">
        <v>4456.03</v>
      </c>
      <c r="CB443" s="163">
        <v>-44</v>
      </c>
      <c r="CC443" s="163">
        <v>-1660.18</v>
      </c>
      <c r="CD443" s="163">
        <v>384.92</v>
      </c>
      <c r="CE443" s="163">
        <v>-13641.89</v>
      </c>
      <c r="CF443" s="163">
        <v>-852.55</v>
      </c>
      <c r="CG443" s="163">
        <v>-2386.31</v>
      </c>
      <c r="CH443" s="163">
        <v>1094.53</v>
      </c>
      <c r="CI443" s="163">
        <v>-395.97</v>
      </c>
      <c r="CJ443" s="163">
        <v>-999.71</v>
      </c>
      <c r="CK443" s="163">
        <v>805.71</v>
      </c>
      <c r="CL443" s="163">
        <v>-64.64</v>
      </c>
      <c r="CM443" s="163">
        <v>-4013.08</v>
      </c>
      <c r="CN443" s="163">
        <v>-7</v>
      </c>
      <c r="CO443" s="163">
        <v>-2693.33</v>
      </c>
      <c r="CP443" s="163">
        <v>2444.14</v>
      </c>
      <c r="CQ443" s="163">
        <v>-113.74</v>
      </c>
      <c r="CR443" s="163">
        <v>-1434.45</v>
      </c>
      <c r="CS443" s="163">
        <v>1436.19</v>
      </c>
      <c r="CT443" s="163">
        <v>-3539.36</v>
      </c>
      <c r="CU443" s="163">
        <v>1551.62</v>
      </c>
      <c r="CV443" s="163">
        <v>-2608.79</v>
      </c>
      <c r="CW443" s="163">
        <v>948.79</v>
      </c>
      <c r="CX443" s="163">
        <v>-731</v>
      </c>
      <c r="CY443" s="163">
        <v>-2489.8200000000002</v>
      </c>
      <c r="CZ443" s="163">
        <v>3334.34</v>
      </c>
      <c r="DA443" s="163">
        <v>-2849.23</v>
      </c>
      <c r="DB443" s="163">
        <v>1815.71</v>
      </c>
      <c r="DC443" s="163">
        <v>-2606.79</v>
      </c>
      <c r="DD443" s="163">
        <v>-11291.19</v>
      </c>
      <c r="DE443" s="163">
        <f>VLOOKUP($A443,'[2]Analysis 1'!$A$5:$DG$1025,109,FALSE)</f>
        <v>4202.33</v>
      </c>
      <c r="DF443" s="163">
        <f>VLOOKUP($A443,'[2]Analysis 1'!$A$5:$DG$1025,110,FALSE)</f>
        <v>-912.26</v>
      </c>
      <c r="DG443" s="163">
        <f>VLOOKUP($A443,'[2]Analysis 1'!$A$5:$DG$1025,111,FALSE)</f>
        <v>2409.1799999999998</v>
      </c>
      <c r="DH443" s="369">
        <f t="shared" si="13"/>
        <v>-10778.73</v>
      </c>
    </row>
    <row r="444" spans="1:112">
      <c r="A444" s="357" t="s">
        <v>1700</v>
      </c>
      <c r="D444" s="369"/>
      <c r="E444" s="369"/>
      <c r="F444" s="369"/>
      <c r="G444" s="369"/>
      <c r="H444" s="369"/>
      <c r="I444" s="369"/>
      <c r="J444" s="369"/>
      <c r="K444" s="369"/>
      <c r="L444" s="369"/>
      <c r="M444" s="369"/>
      <c r="N444" s="369"/>
      <c r="O444" s="369"/>
      <c r="P444" s="369"/>
      <c r="Q444" s="369"/>
      <c r="R444" s="369"/>
      <c r="S444" s="369"/>
      <c r="T444" s="369"/>
      <c r="U444" s="369"/>
      <c r="V444" s="369"/>
      <c r="W444" s="369"/>
      <c r="X444" s="369"/>
      <c r="Y444" s="369"/>
      <c r="Z444" s="369"/>
      <c r="AA444" s="369"/>
      <c r="AB444" s="369"/>
      <c r="AC444" s="369"/>
      <c r="AD444" s="369"/>
      <c r="AE444" s="369"/>
      <c r="AF444" s="369"/>
      <c r="AG444" s="369"/>
      <c r="AH444" s="163">
        <v>-178382.13</v>
      </c>
      <c r="AI444" s="163">
        <v>-178382.13</v>
      </c>
      <c r="AJ444" s="163">
        <v>-178382.13</v>
      </c>
      <c r="AK444" s="163">
        <v>-178382.13</v>
      </c>
      <c r="AL444" s="163">
        <v>-178382.13</v>
      </c>
      <c r="AM444" s="163">
        <v>-178382.13</v>
      </c>
      <c r="AN444" s="163">
        <v>-178382.13</v>
      </c>
      <c r="AO444" s="163">
        <v>-178382.13</v>
      </c>
      <c r="AP444" s="163">
        <v>-178382.13</v>
      </c>
      <c r="AQ444" s="163">
        <v>-178382.13</v>
      </c>
      <c r="AR444" s="163">
        <v>-178382.13</v>
      </c>
      <c r="AS444" s="163">
        <v>-178382.13</v>
      </c>
      <c r="AT444" s="163">
        <v>-178382.13</v>
      </c>
      <c r="AU444" s="163">
        <v>-178382.13</v>
      </c>
      <c r="AV444" s="163">
        <v>-178382.13</v>
      </c>
      <c r="AW444" s="163">
        <v>-178382.13</v>
      </c>
      <c r="AX444" s="163">
        <v>-178382.13</v>
      </c>
      <c r="AY444" s="163">
        <v>-178382.13</v>
      </c>
      <c r="AZ444" s="163">
        <v>-178382.13</v>
      </c>
      <c r="BA444" s="163">
        <v>-178382.13</v>
      </c>
      <c r="BB444" s="163">
        <v>-178382.13</v>
      </c>
      <c r="BC444" s="163">
        <v>-178382.13</v>
      </c>
      <c r="BD444" s="163">
        <v>-178382.13</v>
      </c>
      <c r="BE444" s="163">
        <v>-178382.13</v>
      </c>
      <c r="BF444" s="163">
        <v>-178382.13</v>
      </c>
      <c r="BG444" s="163">
        <v>-178382.13</v>
      </c>
      <c r="BH444" s="163">
        <v>-178382.13</v>
      </c>
      <c r="BI444" s="163">
        <v>-178382.13</v>
      </c>
      <c r="BJ444" s="163">
        <v>-178382.13</v>
      </c>
      <c r="BK444" s="163">
        <v>-178382.13</v>
      </c>
      <c r="BL444" s="163">
        <v>-178382.13</v>
      </c>
      <c r="BM444" s="163">
        <v>-178382.13</v>
      </c>
      <c r="BN444" s="163">
        <v>-178382.13</v>
      </c>
      <c r="BO444" s="163">
        <v>-178382.13</v>
      </c>
      <c r="BP444" s="163">
        <v>-178382.13</v>
      </c>
      <c r="BQ444" s="163">
        <v>-178382.13</v>
      </c>
      <c r="BR444" s="163">
        <v>-178382.13</v>
      </c>
      <c r="BS444" s="163">
        <v>-178382.13</v>
      </c>
      <c r="BT444" s="163">
        <v>-178382.13</v>
      </c>
      <c r="BU444" s="163">
        <v>-178382.13</v>
      </c>
      <c r="BV444" s="163">
        <v>-178382.13</v>
      </c>
      <c r="BW444" s="163">
        <v>-178382.13</v>
      </c>
      <c r="BX444" s="163">
        <v>-178382.13</v>
      </c>
      <c r="BY444" s="163">
        <v>-178382.13</v>
      </c>
      <c r="BZ444" s="163">
        <v>-178382.13</v>
      </c>
      <c r="CA444" s="163">
        <v>-178382.13</v>
      </c>
      <c r="CB444" s="163">
        <v>-134554.43</v>
      </c>
      <c r="CC444" s="163">
        <v>-156002.03</v>
      </c>
      <c r="CD444" s="163">
        <v>-21447.55</v>
      </c>
      <c r="CE444" s="163">
        <v>0</v>
      </c>
      <c r="CF444" s="163">
        <v>0</v>
      </c>
      <c r="CG444" s="163">
        <v>0</v>
      </c>
      <c r="CH444" s="163">
        <v>0</v>
      </c>
      <c r="CI444" s="163">
        <v>0</v>
      </c>
      <c r="CJ444" s="163">
        <v>0</v>
      </c>
      <c r="CK444" s="163">
        <v>0</v>
      </c>
      <c r="CL444" s="163">
        <v>0</v>
      </c>
      <c r="CM444" s="163">
        <v>0</v>
      </c>
      <c r="CN444" s="163">
        <v>0</v>
      </c>
      <c r="CO444" s="163">
        <v>0</v>
      </c>
      <c r="CP444" s="163">
        <v>0</v>
      </c>
      <c r="CQ444" s="163">
        <v>0</v>
      </c>
      <c r="CR444" s="163">
        <v>0</v>
      </c>
      <c r="CS444" s="163">
        <v>0</v>
      </c>
      <c r="CT444" s="163">
        <v>0</v>
      </c>
      <c r="CU444" s="163">
        <v>0</v>
      </c>
      <c r="CV444" s="163">
        <v>0</v>
      </c>
      <c r="CW444" s="163">
        <v>0</v>
      </c>
      <c r="CX444" s="163">
        <v>0</v>
      </c>
      <c r="CY444" s="163">
        <v>-13450.42</v>
      </c>
      <c r="CZ444" s="163">
        <v>-13450.42</v>
      </c>
      <c r="DA444" s="163">
        <v>-13450.42</v>
      </c>
      <c r="DB444" s="163">
        <v>-13450.42</v>
      </c>
      <c r="DC444" s="163">
        <v>-46401.599999999999</v>
      </c>
      <c r="DD444" s="163">
        <v>-46401.599999999999</v>
      </c>
      <c r="DE444" s="163">
        <f>VLOOKUP($A444,'[2]Analysis 1'!$A$5:$DG$1025,109,FALSE)</f>
        <v>-46401.599999999999</v>
      </c>
      <c r="DF444" s="163">
        <f>VLOOKUP($A444,'[2]Analysis 1'!$A$5:$DG$1025,110,FALSE)</f>
        <v>-46401.599999999999</v>
      </c>
      <c r="DG444" s="163">
        <f>VLOOKUP($A444,'[2]Analysis 1'!$A$5:$DG$1025,111,FALSE)</f>
        <v>-46401.599999999999</v>
      </c>
      <c r="DH444" s="369">
        <f t="shared" si="13"/>
        <v>-285809.68</v>
      </c>
    </row>
    <row r="445" spans="1:112">
      <c r="A445" s="357" t="s">
        <v>2442</v>
      </c>
      <c r="D445" s="369"/>
      <c r="E445" s="369"/>
      <c r="F445" s="369"/>
      <c r="G445" s="369"/>
      <c r="H445" s="369"/>
      <c r="I445" s="369"/>
      <c r="J445" s="369"/>
      <c r="K445" s="369"/>
      <c r="L445" s="369"/>
      <c r="M445" s="369"/>
      <c r="N445" s="369"/>
      <c r="O445" s="369"/>
      <c r="P445" s="369"/>
      <c r="Q445" s="369"/>
      <c r="R445" s="369"/>
      <c r="S445" s="369"/>
      <c r="T445" s="369"/>
      <c r="U445" s="369"/>
      <c r="V445" s="369"/>
      <c r="W445" s="369"/>
      <c r="X445" s="369"/>
      <c r="Y445" s="369"/>
      <c r="Z445" s="369"/>
      <c r="AA445" s="369"/>
      <c r="AB445" s="369"/>
      <c r="AC445" s="369"/>
      <c r="AD445" s="369"/>
      <c r="AE445" s="369"/>
      <c r="AF445" s="369"/>
      <c r="AG445" s="369"/>
      <c r="AH445" s="163"/>
      <c r="AI445" s="163"/>
      <c r="AJ445" s="163"/>
      <c r="AK445" s="163"/>
      <c r="AL445" s="163"/>
      <c r="AM445" s="163"/>
      <c r="AN445" s="163"/>
      <c r="AO445" s="163"/>
      <c r="AP445" s="163"/>
      <c r="AQ445" s="163"/>
      <c r="AR445" s="163"/>
      <c r="AS445" s="163"/>
      <c r="AT445" s="163"/>
      <c r="AU445" s="163"/>
      <c r="AV445" s="163"/>
      <c r="AW445" s="163"/>
      <c r="AX445" s="163"/>
      <c r="AY445" s="163"/>
      <c r="AZ445" s="163"/>
      <c r="BA445" s="163"/>
      <c r="BB445" s="163"/>
      <c r="BC445" s="163"/>
      <c r="BD445" s="163"/>
      <c r="BE445" s="163"/>
      <c r="BF445" s="163"/>
      <c r="BG445" s="163"/>
      <c r="BH445" s="163"/>
      <c r="BI445" s="163"/>
      <c r="BJ445" s="163"/>
      <c r="BK445" s="163"/>
      <c r="BL445" s="163"/>
      <c r="BM445" s="163"/>
      <c r="BN445" s="163"/>
      <c r="BO445" s="163"/>
      <c r="BP445" s="163"/>
      <c r="BQ445" s="163"/>
      <c r="BR445" s="163"/>
      <c r="BS445" s="163"/>
      <c r="BT445" s="163"/>
      <c r="BU445" s="163"/>
      <c r="BV445" s="163"/>
      <c r="BW445" s="163"/>
      <c r="BX445" s="163">
        <v>0</v>
      </c>
      <c r="BY445" s="163">
        <v>0</v>
      </c>
      <c r="BZ445" s="163">
        <v>5165.29</v>
      </c>
      <c r="CA445" s="163">
        <v>5165.29</v>
      </c>
      <c r="CB445" s="163">
        <v>5165.29</v>
      </c>
      <c r="CC445" s="163">
        <v>5165.29</v>
      </c>
      <c r="CD445" s="163">
        <v>5165.29</v>
      </c>
      <c r="CE445" s="163">
        <v>5165.29</v>
      </c>
      <c r="CF445" s="163">
        <v>5165.29</v>
      </c>
      <c r="CG445" s="163">
        <v>5165.29</v>
      </c>
      <c r="CH445" s="163">
        <v>5165.29</v>
      </c>
      <c r="CI445" s="163">
        <v>5165.29</v>
      </c>
      <c r="CJ445" s="163">
        <v>5165.29</v>
      </c>
      <c r="CK445" s="163">
        <v>5165.29</v>
      </c>
      <c r="CL445" s="163">
        <v>5165.29</v>
      </c>
      <c r="CM445" s="163">
        <v>5165.29</v>
      </c>
      <c r="CN445" s="163">
        <v>5165.29</v>
      </c>
      <c r="CO445" s="163">
        <v>5165.29</v>
      </c>
      <c r="CP445" s="163">
        <v>5165.29</v>
      </c>
      <c r="CQ445" s="163">
        <v>5165.29</v>
      </c>
      <c r="CR445" s="163">
        <v>5165.29</v>
      </c>
      <c r="CS445" s="163">
        <v>5165.29</v>
      </c>
      <c r="CT445" s="163">
        <v>5165.29</v>
      </c>
      <c r="CU445" s="163">
        <v>5165.29</v>
      </c>
      <c r="CV445" s="163">
        <v>5165.29</v>
      </c>
      <c r="CW445" s="163">
        <v>5165.29</v>
      </c>
      <c r="CX445" s="163">
        <v>5165.29</v>
      </c>
      <c r="CY445" s="163">
        <v>5165.29</v>
      </c>
      <c r="CZ445" s="163">
        <v>5165.29</v>
      </c>
      <c r="DA445" s="163">
        <v>5165.29</v>
      </c>
      <c r="DB445" s="163">
        <v>5165.29</v>
      </c>
      <c r="DC445" s="163">
        <v>5165.29</v>
      </c>
      <c r="DD445" s="163">
        <v>5165.29</v>
      </c>
      <c r="DE445" s="163">
        <f>VLOOKUP($A445,'[2]Analysis 1'!$A$5:$DG$1025,109,FALSE)</f>
        <v>5165.29</v>
      </c>
      <c r="DF445" s="163">
        <f>VLOOKUP($A445,'[2]Analysis 1'!$A$5:$DG$1025,110,FALSE)</f>
        <v>5165.29</v>
      </c>
      <c r="DG445" s="163">
        <f>VLOOKUP($A445,'[2]Analysis 1'!$A$5:$DG$1025,111,FALSE)</f>
        <v>5165.29</v>
      </c>
      <c r="DH445" s="369">
        <f t="shared" si="13"/>
        <v>61983.48</v>
      </c>
    </row>
    <row r="446" spans="1:112">
      <c r="A446" s="335" t="s">
        <v>1290</v>
      </c>
      <c r="D446" s="369">
        <v>9592.44</v>
      </c>
      <c r="E446" s="369">
        <v>13624.55</v>
      </c>
      <c r="F446" s="369">
        <v>38973.22</v>
      </c>
      <c r="G446" s="369">
        <v>5029.49</v>
      </c>
      <c r="H446" s="369">
        <v>31197.18</v>
      </c>
      <c r="I446" s="369">
        <v>17101.439999999999</v>
      </c>
      <c r="J446" s="369">
        <v>18584.96</v>
      </c>
      <c r="K446" s="369">
        <v>11886.14</v>
      </c>
      <c r="L446" s="369">
        <v>4447.22</v>
      </c>
      <c r="M446" s="369">
        <v>4817.4799999999996</v>
      </c>
      <c r="N446" s="369">
        <v>11142.36</v>
      </c>
      <c r="O446" s="369">
        <v>44282.16</v>
      </c>
      <c r="P446" s="48">
        <v>15506.55</v>
      </c>
      <c r="Q446" s="48">
        <v>13930.6</v>
      </c>
      <c r="R446" s="48">
        <v>49664.43</v>
      </c>
      <c r="S446" s="48">
        <v>46999.16</v>
      </c>
      <c r="T446" s="48">
        <v>13878.49</v>
      </c>
      <c r="U446" s="48">
        <v>16301.05</v>
      </c>
      <c r="V446" s="48">
        <v>27966.02</v>
      </c>
      <c r="W446" s="48">
        <v>12631.5</v>
      </c>
      <c r="X446" s="48">
        <v>16679.37</v>
      </c>
      <c r="Y446" s="48">
        <v>18539.5</v>
      </c>
      <c r="Z446" s="48">
        <v>4985.3599999999997</v>
      </c>
      <c r="AA446" s="48">
        <v>37666.269999999997</v>
      </c>
      <c r="AB446" s="48">
        <v>22213.35</v>
      </c>
      <c r="AC446" s="48">
        <v>12189.45</v>
      </c>
      <c r="AD446" s="48">
        <v>34690.93</v>
      </c>
      <c r="AE446" s="163">
        <v>20261.73</v>
      </c>
      <c r="AF446" s="163">
        <v>19974.55</v>
      </c>
      <c r="AG446" s="163">
        <v>73602.73</v>
      </c>
      <c r="AH446" s="163">
        <v>13181.29</v>
      </c>
      <c r="AI446" s="163">
        <v>17352.16</v>
      </c>
      <c r="AJ446" s="163">
        <v>27273.73</v>
      </c>
      <c r="AK446" s="163">
        <v>27983.200000000001</v>
      </c>
      <c r="AL446" s="163">
        <v>14492.4</v>
      </c>
      <c r="AM446" s="163">
        <v>59061.77</v>
      </c>
      <c r="AN446" s="163">
        <v>-17504.79</v>
      </c>
      <c r="AO446" s="163">
        <v>20036.939999999999</v>
      </c>
      <c r="AP446" s="163">
        <v>7494</v>
      </c>
      <c r="AQ446" s="163">
        <v>24842.06</v>
      </c>
      <c r="AR446" s="163">
        <v>15256.43</v>
      </c>
      <c r="AS446" s="163">
        <v>13760.13</v>
      </c>
      <c r="AT446" s="163">
        <v>31162.720000000001</v>
      </c>
      <c r="AU446" s="163">
        <v>24941.200000000001</v>
      </c>
      <c r="AV446" s="163">
        <v>36071.5</v>
      </c>
      <c r="AW446" s="163">
        <v>18645.54</v>
      </c>
      <c r="AX446" s="163">
        <v>18830.18</v>
      </c>
      <c r="AY446" s="163">
        <v>32557.69</v>
      </c>
      <c r="AZ446" s="163">
        <v>12466.08</v>
      </c>
      <c r="BA446" s="163">
        <v>15071.08</v>
      </c>
      <c r="BB446" s="163">
        <v>20708.099999999999</v>
      </c>
      <c r="BC446" s="163">
        <v>45994.63</v>
      </c>
      <c r="BD446" s="163">
        <v>30451.5</v>
      </c>
      <c r="BE446" s="163">
        <v>13366.28</v>
      </c>
      <c r="BF446" s="163">
        <v>7388.87</v>
      </c>
      <c r="BG446" s="163">
        <v>27186.62</v>
      </c>
      <c r="BH446" s="163">
        <v>14967.46</v>
      </c>
      <c r="BI446" s="163">
        <v>64456.99</v>
      </c>
      <c r="BJ446" s="163">
        <v>38901.300000000003</v>
      </c>
      <c r="BK446" s="163">
        <v>31195.23</v>
      </c>
      <c r="BL446" s="163">
        <v>34369.599999999999</v>
      </c>
      <c r="BM446" s="163">
        <v>19560</v>
      </c>
      <c r="BN446" s="163">
        <v>24488</v>
      </c>
      <c r="BO446" s="163">
        <v>18203.97</v>
      </c>
      <c r="BP446" s="163">
        <v>32038.52</v>
      </c>
      <c r="BQ446" s="163">
        <v>17468.5</v>
      </c>
      <c r="BR446" s="163">
        <v>10044.66</v>
      </c>
      <c r="BS446" s="163">
        <v>25738</v>
      </c>
      <c r="BT446" s="163">
        <v>71510.52</v>
      </c>
      <c r="BU446" s="163">
        <v>12717.33</v>
      </c>
      <c r="BV446" s="163">
        <v>38277.9</v>
      </c>
      <c r="BW446" s="163">
        <v>62477.48</v>
      </c>
      <c r="BX446" s="163">
        <v>8839</v>
      </c>
      <c r="BY446" s="163">
        <v>74718.399999999994</v>
      </c>
      <c r="BZ446" s="163">
        <v>40720.53</v>
      </c>
      <c r="CA446" s="163">
        <v>104506.58</v>
      </c>
      <c r="CB446" s="163">
        <v>30345.29</v>
      </c>
      <c r="CC446" s="163">
        <v>56278.77</v>
      </c>
      <c r="CD446" s="163">
        <v>1499</v>
      </c>
      <c r="CE446" s="163">
        <v>9139.7800000000007</v>
      </c>
      <c r="CF446" s="163">
        <v>4147.07</v>
      </c>
      <c r="CG446" s="163">
        <v>30031.98</v>
      </c>
      <c r="CH446" s="163">
        <v>17013.7</v>
      </c>
      <c r="CI446" s="163">
        <v>70637.98</v>
      </c>
      <c r="CJ446" s="163">
        <v>2361.58</v>
      </c>
      <c r="CK446" s="163">
        <v>44113.37</v>
      </c>
      <c r="CL446" s="163">
        <v>21018.38</v>
      </c>
      <c r="CM446" s="163">
        <v>19632.919999999998</v>
      </c>
      <c r="CN446" s="163">
        <v>9424.93</v>
      </c>
      <c r="CO446" s="163">
        <v>7376.06</v>
      </c>
      <c r="CP446" s="163">
        <v>5775.25</v>
      </c>
      <c r="CQ446" s="163">
        <v>27888.79</v>
      </c>
      <c r="CR446" s="163">
        <v>35987.75</v>
      </c>
      <c r="CS446" s="163">
        <v>12118.86</v>
      </c>
      <c r="CT446" s="163">
        <v>17192.990000000002</v>
      </c>
      <c r="CU446" s="163">
        <v>82041.02</v>
      </c>
      <c r="CV446" s="163">
        <v>53547.11</v>
      </c>
      <c r="CW446" s="163">
        <v>7300</v>
      </c>
      <c r="CX446" s="163">
        <v>22324.06</v>
      </c>
      <c r="CY446" s="163">
        <v>55793.1</v>
      </c>
      <c r="CZ446" s="163">
        <v>38278.19</v>
      </c>
      <c r="DA446" s="163">
        <v>24783.67</v>
      </c>
      <c r="DB446" s="163">
        <v>22583.18</v>
      </c>
      <c r="DC446" s="163">
        <v>1288.6400000000001</v>
      </c>
      <c r="DD446" s="163">
        <v>26009.99</v>
      </c>
      <c r="DE446" s="163">
        <f>VLOOKUP($A446,'[2]Analysis 1'!$A$5:$DG$1025,109,FALSE)</f>
        <v>64231.81</v>
      </c>
      <c r="DF446" s="163">
        <f>VLOOKUP($A446,'[2]Analysis 1'!$A$5:$DG$1025,110,FALSE)</f>
        <v>54034.71</v>
      </c>
      <c r="DG446" s="163">
        <f>VLOOKUP($A446,'[2]Analysis 1'!$A$5:$DG$1025,111,FALSE)</f>
        <v>46282.45</v>
      </c>
      <c r="DH446" s="369">
        <f t="shared" si="13"/>
        <v>416456.91000000003</v>
      </c>
    </row>
    <row r="447" spans="1:112">
      <c r="A447" s="350" t="s">
        <v>1423</v>
      </c>
      <c r="D447" s="369"/>
      <c r="E447" s="369"/>
      <c r="F447" s="369"/>
      <c r="G447" s="369"/>
      <c r="H447" s="369"/>
      <c r="I447" s="369"/>
      <c r="J447" s="369"/>
      <c r="K447" s="369"/>
      <c r="L447" s="369"/>
      <c r="M447" s="369"/>
      <c r="N447" s="369"/>
      <c r="O447" s="369"/>
      <c r="P447" s="48"/>
      <c r="Q447" s="48"/>
      <c r="R447" s="48"/>
      <c r="S447" s="48"/>
      <c r="T447" s="48"/>
      <c r="U447" s="48"/>
      <c r="V447" s="48"/>
      <c r="W447" s="48"/>
      <c r="X447" s="48"/>
      <c r="Y447" s="48"/>
      <c r="Z447" s="48"/>
      <c r="AA447" s="48"/>
      <c r="AB447" s="48">
        <v>0</v>
      </c>
      <c r="AC447" s="48">
        <v>0</v>
      </c>
      <c r="AD447" s="421">
        <v>1000000</v>
      </c>
      <c r="AE447" s="437">
        <v>0</v>
      </c>
      <c r="AF447" s="437">
        <v>0</v>
      </c>
      <c r="AG447" s="437">
        <v>0</v>
      </c>
      <c r="AH447" s="437">
        <v>0</v>
      </c>
      <c r="AI447" s="437">
        <v>0</v>
      </c>
      <c r="AJ447" s="437">
        <v>0</v>
      </c>
      <c r="AK447" s="437">
        <v>0</v>
      </c>
      <c r="AL447" s="437">
        <v>0</v>
      </c>
      <c r="AM447" s="437">
        <v>0</v>
      </c>
      <c r="AN447" s="437">
        <v>0</v>
      </c>
      <c r="AO447" s="437">
        <v>0</v>
      </c>
      <c r="AP447" s="437">
        <v>0</v>
      </c>
      <c r="AQ447" s="437">
        <v>973.26</v>
      </c>
      <c r="AR447" s="437">
        <v>0</v>
      </c>
      <c r="AS447" s="437">
        <v>49.71</v>
      </c>
      <c r="AT447" s="437">
        <v>0</v>
      </c>
      <c r="AU447" s="437">
        <v>0</v>
      </c>
      <c r="AV447" s="437">
        <v>0</v>
      </c>
      <c r="AW447" s="437">
        <v>0</v>
      </c>
      <c r="AX447" s="437">
        <v>0</v>
      </c>
      <c r="AY447" s="437">
        <v>0</v>
      </c>
      <c r="AZ447" s="437">
        <v>0</v>
      </c>
      <c r="BA447" s="437">
        <v>692.94</v>
      </c>
      <c r="BB447" s="437">
        <v>0</v>
      </c>
      <c r="BC447" s="437">
        <v>0</v>
      </c>
      <c r="BD447" s="437">
        <v>0</v>
      </c>
      <c r="BE447" s="437">
        <v>0</v>
      </c>
      <c r="BF447" s="437">
        <v>0</v>
      </c>
      <c r="BG447" s="437">
        <v>0</v>
      </c>
      <c r="BH447" s="437">
        <v>0</v>
      </c>
      <c r="BI447" s="437">
        <v>500</v>
      </c>
      <c r="BJ447" s="437">
        <v>-500</v>
      </c>
      <c r="BK447" s="437">
        <v>0</v>
      </c>
      <c r="BL447" s="437">
        <v>0</v>
      </c>
      <c r="BM447" s="437">
        <v>0</v>
      </c>
      <c r="BN447" s="437">
        <v>0</v>
      </c>
      <c r="BO447" s="437">
        <v>0</v>
      </c>
      <c r="BP447" s="437">
        <v>0</v>
      </c>
      <c r="BQ447" s="437">
        <v>0</v>
      </c>
      <c r="BR447" s="437">
        <v>0</v>
      </c>
      <c r="BS447" s="437">
        <v>0</v>
      </c>
      <c r="BT447" s="437">
        <v>0</v>
      </c>
      <c r="BU447" s="437">
        <v>555.34</v>
      </c>
      <c r="BV447" s="437">
        <v>-441.91</v>
      </c>
      <c r="BW447" s="437">
        <v>0</v>
      </c>
      <c r="BX447" s="437">
        <v>0</v>
      </c>
      <c r="BY447" s="437">
        <v>0</v>
      </c>
      <c r="BZ447" s="437">
        <v>0</v>
      </c>
      <c r="CA447" s="437">
        <v>0</v>
      </c>
      <c r="CB447" s="437">
        <v>0</v>
      </c>
      <c r="CC447" s="437">
        <v>0</v>
      </c>
      <c r="CD447" s="437">
        <v>0</v>
      </c>
      <c r="CE447" s="437">
        <v>0</v>
      </c>
      <c r="CF447" s="437">
        <v>0</v>
      </c>
      <c r="CG447" s="437">
        <v>0</v>
      </c>
      <c r="CH447" s="437">
        <v>0</v>
      </c>
      <c r="CI447" s="437">
        <v>0</v>
      </c>
      <c r="CJ447" s="437">
        <v>0</v>
      </c>
      <c r="CK447" s="437">
        <v>0</v>
      </c>
      <c r="CL447" s="437">
        <v>0</v>
      </c>
      <c r="CM447" s="437">
        <v>0</v>
      </c>
      <c r="CN447" s="437">
        <v>0</v>
      </c>
      <c r="CO447" s="437">
        <v>0</v>
      </c>
      <c r="CP447" s="437">
        <v>0</v>
      </c>
      <c r="CQ447" s="437">
        <v>0</v>
      </c>
      <c r="CR447" s="437">
        <v>0</v>
      </c>
      <c r="CS447" s="437">
        <v>0</v>
      </c>
      <c r="CT447" s="437">
        <v>0</v>
      </c>
      <c r="CU447" s="437">
        <v>0</v>
      </c>
      <c r="CV447" s="437">
        <v>0</v>
      </c>
      <c r="CW447" s="437">
        <v>0</v>
      </c>
      <c r="CX447" s="437">
        <v>0</v>
      </c>
      <c r="CY447" s="437">
        <v>0</v>
      </c>
      <c r="CZ447" s="437">
        <v>0</v>
      </c>
      <c r="DA447" s="437">
        <v>0</v>
      </c>
      <c r="DB447" s="437">
        <v>0</v>
      </c>
      <c r="DC447" s="437">
        <v>0</v>
      </c>
      <c r="DD447" s="437">
        <v>0</v>
      </c>
      <c r="DE447" s="437">
        <f>VLOOKUP($A447,'[2]Analysis 1'!$A$5:$DG$1025,109,FALSE)</f>
        <v>0</v>
      </c>
      <c r="DF447" s="437">
        <f>VLOOKUP($A447,'[2]Analysis 1'!$A$5:$DG$1025,110,FALSE)</f>
        <v>0</v>
      </c>
      <c r="DG447" s="437">
        <f>VLOOKUP($A447,'[2]Analysis 1'!$A$5:$DG$1025,111,FALSE)</f>
        <v>0</v>
      </c>
      <c r="DH447" s="369">
        <f t="shared" si="13"/>
        <v>0</v>
      </c>
    </row>
    <row r="448" spans="1:112">
      <c r="A448" s="335" t="s">
        <v>1291</v>
      </c>
      <c r="D448" s="369">
        <v>5336.66</v>
      </c>
      <c r="E448" s="369">
        <v>19982.07</v>
      </c>
      <c r="F448" s="369">
        <v>12992.5</v>
      </c>
      <c r="G448" s="369">
        <v>4646.66</v>
      </c>
      <c r="H448" s="369">
        <v>4166.66</v>
      </c>
      <c r="I448" s="369">
        <v>4166.66</v>
      </c>
      <c r="J448" s="369">
        <v>39806.230000000003</v>
      </c>
      <c r="K448" s="369">
        <v>4809.25</v>
      </c>
      <c r="L448" s="369">
        <v>4746.66</v>
      </c>
      <c r="M448" s="369">
        <v>4460.8599999999997</v>
      </c>
      <c r="N448" s="369">
        <v>4359.66</v>
      </c>
      <c r="O448" s="369">
        <v>8456.35</v>
      </c>
      <c r="P448" s="48">
        <v>4726.66</v>
      </c>
      <c r="Q448" s="48">
        <v>22120.65</v>
      </c>
      <c r="R448" s="48">
        <v>4166.66</v>
      </c>
      <c r="S448" s="48">
        <v>25536.68</v>
      </c>
      <c r="T448" s="48">
        <v>9805.07</v>
      </c>
      <c r="U448" s="48">
        <v>9698.48</v>
      </c>
      <c r="V448" s="48">
        <v>12232.5</v>
      </c>
      <c r="W448" s="48">
        <v>8333.32</v>
      </c>
      <c r="X448" s="48">
        <v>43370.65</v>
      </c>
      <c r="Y448" s="48">
        <v>8565.7900000000009</v>
      </c>
      <c r="Z448" s="48">
        <v>12692.73</v>
      </c>
      <c r="AA448" s="48">
        <v>42216.52</v>
      </c>
      <c r="AB448" s="48">
        <v>9583.32</v>
      </c>
      <c r="AC448" s="48">
        <v>14605.15</v>
      </c>
      <c r="AD448" s="48">
        <v>14969.82</v>
      </c>
      <c r="AE448" s="163">
        <v>10890.15</v>
      </c>
      <c r="AF448" s="163">
        <v>9833.32</v>
      </c>
      <c r="AG448" s="163">
        <v>74390.460000000006</v>
      </c>
      <c r="AH448" s="163">
        <v>11664.35</v>
      </c>
      <c r="AI448" s="163">
        <v>8764.39</v>
      </c>
      <c r="AJ448" s="163">
        <v>9668.32</v>
      </c>
      <c r="AK448" s="163">
        <v>10140.15</v>
      </c>
      <c r="AL448" s="163">
        <v>9718.32</v>
      </c>
      <c r="AM448" s="163">
        <v>10833.32</v>
      </c>
      <c r="AN448" s="163">
        <v>4166.66</v>
      </c>
      <c r="AO448" s="163">
        <v>-402.21</v>
      </c>
      <c r="AP448" s="163">
        <v>636.51</v>
      </c>
      <c r="AQ448" s="163">
        <v>3870.25</v>
      </c>
      <c r="AR448" s="163">
        <v>0</v>
      </c>
      <c r="AS448" s="163">
        <v>710</v>
      </c>
      <c r="AT448" s="163">
        <v>22100.25</v>
      </c>
      <c r="AU448" s="163">
        <v>0</v>
      </c>
      <c r="AV448" s="163">
        <v>4251.66</v>
      </c>
      <c r="AW448" s="163">
        <v>3570.25</v>
      </c>
      <c r="AX448" s="163">
        <v>0</v>
      </c>
      <c r="AY448" s="163">
        <v>1234</v>
      </c>
      <c r="AZ448" s="163">
        <v>1210</v>
      </c>
      <c r="BA448" s="163">
        <v>62950.93</v>
      </c>
      <c r="BB448" s="163">
        <v>0</v>
      </c>
      <c r="BC448" s="163">
        <v>10000</v>
      </c>
      <c r="BD448" s="163">
        <v>1909.13</v>
      </c>
      <c r="BE448" s="163">
        <v>0</v>
      </c>
      <c r="BF448" s="163">
        <v>3027.66</v>
      </c>
      <c r="BG448" s="163">
        <v>115</v>
      </c>
      <c r="BH448" s="163">
        <v>0</v>
      </c>
      <c r="BI448" s="163">
        <v>6504.13</v>
      </c>
      <c r="BJ448" s="163">
        <v>26000</v>
      </c>
      <c r="BK448" s="163">
        <v>2840</v>
      </c>
      <c r="BL448" s="163">
        <v>4250</v>
      </c>
      <c r="BM448" s="163">
        <v>4846.24</v>
      </c>
      <c r="BN448" s="163">
        <v>60493.8</v>
      </c>
      <c r="BO448" s="163">
        <v>11632.64</v>
      </c>
      <c r="BP448" s="163">
        <v>600</v>
      </c>
      <c r="BQ448" s="163">
        <v>675</v>
      </c>
      <c r="BR448" s="163">
        <v>4255.1400000000003</v>
      </c>
      <c r="BS448" s="163">
        <v>-530</v>
      </c>
      <c r="BT448" s="163">
        <v>4417.45</v>
      </c>
      <c r="BU448" s="163">
        <v>2012.64</v>
      </c>
      <c r="BV448" s="163">
        <v>1042.79</v>
      </c>
      <c r="BW448" s="163">
        <v>380</v>
      </c>
      <c r="BX448" s="163">
        <v>500</v>
      </c>
      <c r="BY448" s="163">
        <v>38414.83</v>
      </c>
      <c r="BZ448" s="163">
        <v>2000.6</v>
      </c>
      <c r="CA448" s="163">
        <v>3631.03</v>
      </c>
      <c r="CB448" s="163">
        <v>1650</v>
      </c>
      <c r="CC448" s="163">
        <v>0</v>
      </c>
      <c r="CD448" s="163">
        <v>4486.03</v>
      </c>
      <c r="CE448" s="163">
        <v>10125</v>
      </c>
      <c r="CF448" s="163">
        <v>0</v>
      </c>
      <c r="CG448" s="163">
        <v>8911.0300000000007</v>
      </c>
      <c r="CH448" s="163">
        <v>0</v>
      </c>
      <c r="CI448" s="163">
        <v>35</v>
      </c>
      <c r="CJ448" s="163">
        <v>38178.76</v>
      </c>
      <c r="CK448" s="163">
        <v>4022.71</v>
      </c>
      <c r="CL448" s="163">
        <v>11524.6</v>
      </c>
      <c r="CM448" s="163">
        <v>2141.14</v>
      </c>
      <c r="CN448" s="163">
        <v>1608.26</v>
      </c>
      <c r="CO448" s="163">
        <v>25611</v>
      </c>
      <c r="CP448" s="163">
        <v>21491.14</v>
      </c>
      <c r="CQ448" s="163">
        <v>0</v>
      </c>
      <c r="CR448" s="163">
        <v>340.75</v>
      </c>
      <c r="CS448" s="163">
        <v>2269.34</v>
      </c>
      <c r="CT448" s="163">
        <v>3250</v>
      </c>
      <c r="CU448" s="163">
        <v>50</v>
      </c>
      <c r="CV448" s="163">
        <v>35191.800000000003</v>
      </c>
      <c r="CW448" s="163">
        <v>4418.22</v>
      </c>
      <c r="CX448" s="163">
        <v>24555</v>
      </c>
      <c r="CY448" s="163">
        <v>61018.22</v>
      </c>
      <c r="CZ448" s="163">
        <v>12000</v>
      </c>
      <c r="DA448" s="163">
        <v>40</v>
      </c>
      <c r="DB448" s="163">
        <v>2918.22</v>
      </c>
      <c r="DC448" s="163">
        <v>20490.2</v>
      </c>
      <c r="DD448" s="163">
        <v>1111.5</v>
      </c>
      <c r="DE448" s="163">
        <f>VLOOKUP($A448,'[2]Analysis 1'!$A$5:$DG$1025,109,FALSE)</f>
        <v>4446.97</v>
      </c>
      <c r="DF448" s="163">
        <f>VLOOKUP($A448,'[2]Analysis 1'!$A$5:$DG$1025,110,FALSE)</f>
        <v>3868.75</v>
      </c>
      <c r="DG448" s="163">
        <f>VLOOKUP($A448,'[2]Analysis 1'!$A$5:$DG$1025,111,FALSE)</f>
        <v>0</v>
      </c>
      <c r="DH448" s="369">
        <f t="shared" si="13"/>
        <v>170058.88</v>
      </c>
    </row>
    <row r="449" spans="1:112">
      <c r="A449" s="335" t="s">
        <v>1738</v>
      </c>
      <c r="D449" s="369"/>
      <c r="E449" s="369"/>
      <c r="F449" s="369"/>
      <c r="G449" s="369"/>
      <c r="H449" s="369"/>
      <c r="I449" s="369"/>
      <c r="J449" s="369"/>
      <c r="K449" s="369"/>
      <c r="L449" s="369"/>
      <c r="M449" s="369"/>
      <c r="N449" s="369"/>
      <c r="O449" s="369"/>
      <c r="P449" s="48"/>
      <c r="Q449" s="48"/>
      <c r="R449" s="48"/>
      <c r="S449" s="48"/>
      <c r="T449" s="48"/>
      <c r="U449" s="48"/>
      <c r="V449" s="48"/>
      <c r="W449" s="48"/>
      <c r="X449" s="48"/>
      <c r="Y449" s="48"/>
      <c r="Z449" s="48"/>
      <c r="AA449" s="48"/>
      <c r="AB449" s="48"/>
      <c r="AC449" s="48"/>
      <c r="AD449" s="48"/>
      <c r="AE449" s="163"/>
      <c r="AF449" s="163"/>
      <c r="AG449" s="163"/>
      <c r="AH449" s="163"/>
      <c r="AI449" s="163"/>
      <c r="AJ449" s="163"/>
      <c r="AK449" s="163">
        <v>0</v>
      </c>
      <c r="AL449" s="163">
        <v>0</v>
      </c>
      <c r="AM449" s="163">
        <v>52212.5</v>
      </c>
      <c r="AN449" s="163">
        <v>0</v>
      </c>
      <c r="AO449" s="163">
        <v>0</v>
      </c>
      <c r="AP449" s="163">
        <v>0</v>
      </c>
      <c r="AQ449" s="163">
        <v>0</v>
      </c>
      <c r="AR449" s="163">
        <v>0</v>
      </c>
      <c r="AS449" s="163">
        <v>0</v>
      </c>
      <c r="AT449" s="163">
        <v>0</v>
      </c>
      <c r="AU449" s="163">
        <v>0</v>
      </c>
      <c r="AV449" s="163">
        <v>0</v>
      </c>
      <c r="AW449" s="163">
        <v>0</v>
      </c>
      <c r="AX449" s="163">
        <v>21.58</v>
      </c>
      <c r="AY449" s="163">
        <v>0</v>
      </c>
      <c r="AZ449" s="163">
        <v>322.72000000000003</v>
      </c>
      <c r="BA449" s="163">
        <v>-247.08</v>
      </c>
      <c r="BB449" s="163">
        <v>-60.48</v>
      </c>
      <c r="BC449" s="163">
        <v>168.26</v>
      </c>
      <c r="BD449" s="163">
        <v>39.76</v>
      </c>
      <c r="BE449" s="163">
        <v>0</v>
      </c>
      <c r="BF449" s="163">
        <v>680.92</v>
      </c>
      <c r="BG449" s="163">
        <v>594.04</v>
      </c>
      <c r="BH449" s="163">
        <v>1691.18</v>
      </c>
      <c r="BI449" s="163">
        <v>2427.79</v>
      </c>
      <c r="BJ449" s="163">
        <v>1877.73</v>
      </c>
      <c r="BK449" s="163">
        <v>3833.85</v>
      </c>
      <c r="BL449" s="163">
        <v>2573.54</v>
      </c>
      <c r="BM449" s="163">
        <v>1196.08</v>
      </c>
      <c r="BN449" s="163">
        <v>4236.67</v>
      </c>
      <c r="BO449" s="163">
        <v>-1004.36</v>
      </c>
      <c r="BP449" s="163">
        <v>2740.65</v>
      </c>
      <c r="BQ449" s="163">
        <v>-6969.4</v>
      </c>
      <c r="BR449" s="163">
        <v>674.95</v>
      </c>
      <c r="BS449" s="163">
        <v>-1987.58</v>
      </c>
      <c r="BT449" s="163">
        <v>1457.65</v>
      </c>
      <c r="BU449" s="163">
        <v>4000.18</v>
      </c>
      <c r="BV449" s="163">
        <v>2862.25</v>
      </c>
      <c r="BW449" s="163">
        <v>3333.09</v>
      </c>
      <c r="BX449" s="163">
        <v>1716.41</v>
      </c>
      <c r="BY449" s="163">
        <v>1328.04</v>
      </c>
      <c r="BZ449" s="163">
        <v>-4447.1899999999996</v>
      </c>
      <c r="CA449" s="163">
        <v>204.78</v>
      </c>
      <c r="CB449" s="163">
        <v>4210.97</v>
      </c>
      <c r="CC449" s="163">
        <v>5413.12</v>
      </c>
      <c r="CD449" s="163">
        <v>3425.2</v>
      </c>
      <c r="CE449" s="163">
        <v>1766.81</v>
      </c>
      <c r="CF449" s="163">
        <v>-74.09</v>
      </c>
      <c r="CG449" s="163">
        <v>3263.67</v>
      </c>
      <c r="CH449" s="163">
        <v>4171.8999999999996</v>
      </c>
      <c r="CI449" s="163">
        <v>4948.1000000000004</v>
      </c>
      <c r="CJ449" s="163">
        <v>4251.91</v>
      </c>
      <c r="CK449" s="163">
        <v>7938.42</v>
      </c>
      <c r="CL449" s="163">
        <v>3555.15</v>
      </c>
      <c r="CM449" s="163">
        <v>10664.77</v>
      </c>
      <c r="CN449" s="163">
        <v>6945.01</v>
      </c>
      <c r="CO449" s="163">
        <v>2773.41</v>
      </c>
      <c r="CP449" s="163">
        <v>561.66999999999996</v>
      </c>
      <c r="CQ449" s="163">
        <v>867.44</v>
      </c>
      <c r="CR449" s="163">
        <v>51757.39</v>
      </c>
      <c r="CS449" s="163">
        <v>21363.09</v>
      </c>
      <c r="CT449" s="163">
        <v>7515.07</v>
      </c>
      <c r="CU449" s="163">
        <v>13376.04</v>
      </c>
      <c r="CV449" s="163">
        <v>3452.92</v>
      </c>
      <c r="CW449" s="163">
        <v>476.06</v>
      </c>
      <c r="CX449" s="163">
        <v>7106.76</v>
      </c>
      <c r="CY449" s="163">
        <v>-2736.1</v>
      </c>
      <c r="CZ449" s="163">
        <v>5701.26</v>
      </c>
      <c r="DA449" s="163">
        <v>100727.05</v>
      </c>
      <c r="DB449" s="163">
        <v>4281.47</v>
      </c>
      <c r="DC449" s="163">
        <v>235.82</v>
      </c>
      <c r="DD449" s="163">
        <v>0</v>
      </c>
      <c r="DE449" s="163">
        <f>VLOOKUP($A449,'[2]Analysis 1'!$A$5:$DG$1025,109,FALSE)</f>
        <v>636.33000000000004</v>
      </c>
      <c r="DF449" s="163">
        <f>VLOOKUP($A449,'[2]Analysis 1'!$A$5:$DG$1025,110,FALSE)</f>
        <v>3050.61</v>
      </c>
      <c r="DG449" s="163">
        <f>VLOOKUP($A449,'[2]Analysis 1'!$A$5:$DG$1025,111,FALSE)</f>
        <v>1727.41</v>
      </c>
      <c r="DH449" s="369">
        <f t="shared" si="13"/>
        <v>124659.59000000001</v>
      </c>
    </row>
    <row r="450" spans="1:112">
      <c r="A450" s="335" t="s">
        <v>1292</v>
      </c>
      <c r="D450" s="369">
        <v>997107.72</v>
      </c>
      <c r="E450" s="369">
        <v>997107.72</v>
      </c>
      <c r="F450" s="369">
        <v>997107.72</v>
      </c>
      <c r="G450" s="369">
        <v>997107.72</v>
      </c>
      <c r="H450" s="369">
        <v>1015232.72</v>
      </c>
      <c r="I450" s="369">
        <v>1033357.72</v>
      </c>
      <c r="J450" s="369">
        <v>1033357.72</v>
      </c>
      <c r="K450" s="369">
        <v>1033357.72</v>
      </c>
      <c r="L450" s="369">
        <v>1033357.72</v>
      </c>
      <c r="M450" s="369">
        <v>1033357.72</v>
      </c>
      <c r="N450" s="369">
        <v>1033357.72</v>
      </c>
      <c r="O450" s="369">
        <v>1033357.72</v>
      </c>
      <c r="P450" s="48">
        <v>1033357.72</v>
      </c>
      <c r="Q450" s="48">
        <v>1033357.73</v>
      </c>
      <c r="R450" s="48">
        <v>1033357.73</v>
      </c>
      <c r="S450" s="48">
        <v>1033357.73</v>
      </c>
      <c r="T450" s="48">
        <v>1033357.73</v>
      </c>
      <c r="U450" s="48">
        <v>1136024.3999999999</v>
      </c>
      <c r="V450" s="48">
        <v>1103357.73</v>
      </c>
      <c r="W450" s="48">
        <v>1103357.73</v>
      </c>
      <c r="X450" s="48">
        <v>1103357.73</v>
      </c>
      <c r="Y450" s="48">
        <v>1103357.73</v>
      </c>
      <c r="Z450" s="48">
        <v>1103357.73</v>
      </c>
      <c r="AA450" s="48">
        <v>1103357.73</v>
      </c>
      <c r="AB450" s="48">
        <v>1103357.73</v>
      </c>
      <c r="AC450" s="48">
        <v>1103357.73</v>
      </c>
      <c r="AD450" s="48">
        <v>1103357.73</v>
      </c>
      <c r="AE450" s="163">
        <v>1103357.73</v>
      </c>
      <c r="AF450" s="163">
        <v>1103357.73</v>
      </c>
      <c r="AG450" s="163">
        <v>1103357.73</v>
      </c>
      <c r="AH450" s="163">
        <v>1103357.73</v>
      </c>
      <c r="AI450" s="163">
        <v>1093107.73</v>
      </c>
      <c r="AJ450" s="163">
        <v>1103357.73</v>
      </c>
      <c r="AK450" s="163">
        <v>1103357.73</v>
      </c>
      <c r="AL450" s="163">
        <v>1103357.73</v>
      </c>
      <c r="AM450" s="163">
        <v>1103357.73</v>
      </c>
      <c r="AN450" s="163">
        <v>1103357.73</v>
      </c>
      <c r="AO450" s="163">
        <v>1103357.73</v>
      </c>
      <c r="AP450" s="163">
        <v>1103357.73</v>
      </c>
      <c r="AQ450" s="163">
        <v>1103357.73</v>
      </c>
      <c r="AR450" s="163">
        <v>1103357.73</v>
      </c>
      <c r="AS450" s="163">
        <v>1103357.73</v>
      </c>
      <c r="AT450" s="163">
        <v>1103357.73</v>
      </c>
      <c r="AU450" s="163">
        <v>1103357.73</v>
      </c>
      <c r="AV450" s="163">
        <v>1103357.73</v>
      </c>
      <c r="AW450" s="163">
        <v>1103357.73</v>
      </c>
      <c r="AX450" s="163">
        <v>1103357.73</v>
      </c>
      <c r="AY450" s="163">
        <v>1103357.73</v>
      </c>
      <c r="AZ450" s="163">
        <v>1103357.73</v>
      </c>
      <c r="BA450" s="163">
        <v>1103357.73</v>
      </c>
      <c r="BB450" s="163">
        <v>1103357.73</v>
      </c>
      <c r="BC450" s="163">
        <v>1103357.73</v>
      </c>
      <c r="BD450" s="163">
        <v>976274</v>
      </c>
      <c r="BE450" s="163">
        <v>1055232.6499999999</v>
      </c>
      <c r="BF450" s="163">
        <v>1117941.06</v>
      </c>
      <c r="BG450" s="163">
        <v>1117941.06</v>
      </c>
      <c r="BH450" s="163">
        <v>1117941.06</v>
      </c>
      <c r="BI450" s="163">
        <v>1198288.32</v>
      </c>
      <c r="BJ450" s="163">
        <v>1210649.3899999999</v>
      </c>
      <c r="BK450" s="163">
        <v>1210649.3899999999</v>
      </c>
      <c r="BL450" s="163">
        <v>1210649.3899999999</v>
      </c>
      <c r="BM450" s="163">
        <v>1210649.3899999999</v>
      </c>
      <c r="BN450" s="163">
        <v>1210649.3899999999</v>
      </c>
      <c r="BO450" s="163">
        <v>1210649.3899999999</v>
      </c>
      <c r="BP450" s="163">
        <v>1210649.3899999999</v>
      </c>
      <c r="BQ450" s="163">
        <v>1210649.3899999999</v>
      </c>
      <c r="BR450" s="163">
        <v>1230788.28</v>
      </c>
      <c r="BS450" s="163">
        <v>1286170.22</v>
      </c>
      <c r="BT450" s="163">
        <v>1286170.22</v>
      </c>
      <c r="BU450" s="163">
        <v>1286170.22</v>
      </c>
      <c r="BV450" s="163">
        <v>1286170.22</v>
      </c>
      <c r="BW450" s="163">
        <v>1286170.22</v>
      </c>
      <c r="BX450" s="163">
        <v>1286170.22</v>
      </c>
      <c r="BY450" s="163">
        <v>1286170.22</v>
      </c>
      <c r="BZ450" s="163">
        <v>1281135.51</v>
      </c>
      <c r="CA450" s="163">
        <v>1286170.22</v>
      </c>
      <c r="CB450" s="163">
        <v>1286170.22</v>
      </c>
      <c r="CC450" s="163">
        <v>1286170.22</v>
      </c>
      <c r="CD450" s="163">
        <v>1286170.22</v>
      </c>
      <c r="CE450" s="163">
        <v>1286170.22</v>
      </c>
      <c r="CF450" s="163">
        <v>1286170.22</v>
      </c>
      <c r="CG450" s="163">
        <v>1286170.22</v>
      </c>
      <c r="CH450" s="163">
        <v>1286170.22</v>
      </c>
      <c r="CI450" s="163">
        <v>1286170.22</v>
      </c>
      <c r="CJ450" s="163">
        <v>1286170.22</v>
      </c>
      <c r="CK450" s="163">
        <v>1286170.22</v>
      </c>
      <c r="CL450" s="163">
        <v>1603857.72</v>
      </c>
      <c r="CM450" s="163">
        <v>1846795.22</v>
      </c>
      <c r="CN450" s="163">
        <v>1636354.16</v>
      </c>
      <c r="CO450" s="163">
        <v>1741574.69</v>
      </c>
      <c r="CP450" s="163">
        <v>1636354.16</v>
      </c>
      <c r="CQ450" s="163">
        <v>1636354.16</v>
      </c>
      <c r="CR450" s="163">
        <v>1542916.66</v>
      </c>
      <c r="CS450" s="163">
        <v>1636354.16</v>
      </c>
      <c r="CT450" s="163">
        <v>1636354.16</v>
      </c>
      <c r="CU450" s="163">
        <v>1636354.16</v>
      </c>
      <c r="CV450" s="163">
        <v>1636354.16</v>
      </c>
      <c r="CW450" s="163">
        <v>1636354.16</v>
      </c>
      <c r="CX450" s="163">
        <v>1636354.16</v>
      </c>
      <c r="CY450" s="163">
        <v>1636354.16</v>
      </c>
      <c r="CZ450" s="163">
        <v>1636354.16</v>
      </c>
      <c r="DA450" s="163">
        <v>1636354.16</v>
      </c>
      <c r="DB450" s="163">
        <v>1802760.41</v>
      </c>
      <c r="DC450" s="163">
        <v>1913697.91</v>
      </c>
      <c r="DD450" s="163">
        <v>1886614.45</v>
      </c>
      <c r="DE450" s="163">
        <f>VLOOKUP($A450,'[2]Analysis 1'!$A$5:$DG$1025,109,FALSE)</f>
        <v>1859531.24</v>
      </c>
      <c r="DF450" s="163">
        <f>VLOOKUP($A450,'[2]Analysis 1'!$A$5:$DG$1025,110,FALSE)</f>
        <v>1859531.24</v>
      </c>
      <c r="DG450" s="163">
        <f>VLOOKUP($A450,'[2]Analysis 1'!$A$5:$DG$1025,111,FALSE)</f>
        <v>1859531.24</v>
      </c>
      <c r="DH450" s="369">
        <f t="shared" si="13"/>
        <v>20999791.449999996</v>
      </c>
    </row>
    <row r="451" spans="1:112">
      <c r="A451" s="335" t="s">
        <v>1293</v>
      </c>
      <c r="D451" s="369">
        <v>45243.49</v>
      </c>
      <c r="E451" s="369">
        <v>45243.49</v>
      </c>
      <c r="F451" s="369">
        <v>45243.49</v>
      </c>
      <c r="G451" s="369">
        <v>45243.49</v>
      </c>
      <c r="H451" s="369">
        <v>45257.87</v>
      </c>
      <c r="I451" s="369">
        <v>45696.66</v>
      </c>
      <c r="J451" s="369">
        <v>45572.94</v>
      </c>
      <c r="K451" s="369">
        <v>45564.24</v>
      </c>
      <c r="L451" s="369">
        <v>45768.45</v>
      </c>
      <c r="M451" s="369">
        <v>45596.65</v>
      </c>
      <c r="N451" s="369">
        <v>45594.559999999998</v>
      </c>
      <c r="O451" s="369">
        <v>45594.559999999998</v>
      </c>
      <c r="P451" s="48">
        <v>45594.559999999998</v>
      </c>
      <c r="Q451" s="48">
        <v>45594.559999999998</v>
      </c>
      <c r="R451" s="48">
        <v>45594.559999999998</v>
      </c>
      <c r="S451" s="48">
        <v>45594.559999999998</v>
      </c>
      <c r="T451" s="48">
        <v>78261.23</v>
      </c>
      <c r="U451" s="48">
        <v>12648.48</v>
      </c>
      <c r="V451" s="48">
        <v>45320.55</v>
      </c>
      <c r="W451" s="48">
        <v>45317.25</v>
      </c>
      <c r="X451" s="48">
        <v>45428.37</v>
      </c>
      <c r="Y451" s="48">
        <v>45345.03</v>
      </c>
      <c r="Z451" s="48">
        <v>45344.32</v>
      </c>
      <c r="AA451" s="48">
        <v>45363.15</v>
      </c>
      <c r="AB451" s="48">
        <v>45345.03</v>
      </c>
      <c r="AC451" s="48">
        <v>45345.03</v>
      </c>
      <c r="AD451" s="48">
        <v>45345.03</v>
      </c>
      <c r="AE451" s="163">
        <v>45345.03</v>
      </c>
      <c r="AF451" s="163">
        <v>45345.03</v>
      </c>
      <c r="AG451" s="163">
        <v>45345.03</v>
      </c>
      <c r="AH451" s="163">
        <v>45345.03</v>
      </c>
      <c r="AI451" s="163">
        <v>45345.03</v>
      </c>
      <c r="AJ451" s="163">
        <v>45345.03</v>
      </c>
      <c r="AK451" s="163">
        <v>45345.03</v>
      </c>
      <c r="AL451" s="163">
        <v>45345.03</v>
      </c>
      <c r="AM451" s="163">
        <v>45345.03</v>
      </c>
      <c r="AN451" s="163">
        <v>45345.03</v>
      </c>
      <c r="AO451" s="163">
        <v>45345.03</v>
      </c>
      <c r="AP451" s="163">
        <v>45345.03</v>
      </c>
      <c r="AQ451" s="163">
        <v>45345.03</v>
      </c>
      <c r="AR451" s="163">
        <v>45345.03</v>
      </c>
      <c r="AS451" s="163">
        <v>45345.03</v>
      </c>
      <c r="AT451" s="163">
        <v>45345.03</v>
      </c>
      <c r="AU451" s="163">
        <v>45345.03</v>
      </c>
      <c r="AV451" s="163">
        <v>45345.03</v>
      </c>
      <c r="AW451" s="163">
        <v>45345.03</v>
      </c>
      <c r="AX451" s="163">
        <v>45345.03</v>
      </c>
      <c r="AY451" s="163">
        <v>45345.03</v>
      </c>
      <c r="AZ451" s="163">
        <v>45345.03</v>
      </c>
      <c r="BA451" s="163">
        <v>45345.03</v>
      </c>
      <c r="BB451" s="163">
        <v>45345.03</v>
      </c>
      <c r="BC451" s="163">
        <v>45345.03</v>
      </c>
      <c r="BD451" s="163">
        <v>27368.99</v>
      </c>
      <c r="BE451" s="163">
        <v>12617.1</v>
      </c>
      <c r="BF451" s="163">
        <v>12704.24</v>
      </c>
      <c r="BG451" s="163">
        <v>12706.38</v>
      </c>
      <c r="BH451" s="163">
        <v>13141.73</v>
      </c>
      <c r="BI451" s="163">
        <v>13803.91</v>
      </c>
      <c r="BJ451" s="163">
        <v>13829.09</v>
      </c>
      <c r="BK451" s="163">
        <v>13850.32</v>
      </c>
      <c r="BL451" s="163">
        <v>13822.88</v>
      </c>
      <c r="BM451" s="163">
        <v>13822.88</v>
      </c>
      <c r="BN451" s="163">
        <v>14052.4</v>
      </c>
      <c r="BO451" s="163">
        <v>13860.92</v>
      </c>
      <c r="BP451" s="163">
        <v>13860.92</v>
      </c>
      <c r="BQ451" s="163">
        <v>13860.92</v>
      </c>
      <c r="BR451" s="163">
        <v>13860.92</v>
      </c>
      <c r="BS451" s="163">
        <v>15398.62</v>
      </c>
      <c r="BT451" s="163">
        <v>15460.32</v>
      </c>
      <c r="BU451" s="163">
        <v>15429.82</v>
      </c>
      <c r="BV451" s="163">
        <v>15429.82</v>
      </c>
      <c r="BW451" s="163">
        <v>15628.22</v>
      </c>
      <c r="BX451" s="163">
        <v>15469.92</v>
      </c>
      <c r="BY451" s="163">
        <v>15469.92</v>
      </c>
      <c r="BZ451" s="163">
        <v>15481.28</v>
      </c>
      <c r="CA451" s="163">
        <v>15471.2</v>
      </c>
      <c r="CB451" s="163">
        <v>15471.2</v>
      </c>
      <c r="CC451" s="163">
        <v>15471.2</v>
      </c>
      <c r="CD451" s="163">
        <v>15471.2</v>
      </c>
      <c r="CE451" s="163">
        <v>15471.2</v>
      </c>
      <c r="CF451" s="163">
        <v>15471.2</v>
      </c>
      <c r="CG451" s="163">
        <v>15471.2</v>
      </c>
      <c r="CH451" s="163">
        <v>15471.2</v>
      </c>
      <c r="CI451" s="163">
        <v>15471.2</v>
      </c>
      <c r="CJ451" s="163">
        <v>15471.2</v>
      </c>
      <c r="CK451" s="163">
        <v>15471.2</v>
      </c>
      <c r="CL451" s="163">
        <v>28962.53</v>
      </c>
      <c r="CM451" s="163">
        <v>30345.65</v>
      </c>
      <c r="CN451" s="163">
        <v>32308.91</v>
      </c>
      <c r="CO451" s="163">
        <v>34366.57</v>
      </c>
      <c r="CP451" s="163">
        <v>31548.63</v>
      </c>
      <c r="CQ451" s="163">
        <v>31548.63</v>
      </c>
      <c r="CR451" s="163">
        <v>31548.63</v>
      </c>
      <c r="CS451" s="163">
        <v>31548.63</v>
      </c>
      <c r="CT451" s="163">
        <v>33014.53</v>
      </c>
      <c r="CU451" s="163">
        <v>31548.63</v>
      </c>
      <c r="CV451" s="163">
        <v>31548.63</v>
      </c>
      <c r="CW451" s="163">
        <v>31548.63</v>
      </c>
      <c r="CX451" s="163">
        <v>31548.63</v>
      </c>
      <c r="CY451" s="163">
        <v>31548.63</v>
      </c>
      <c r="CZ451" s="163">
        <v>31548.63</v>
      </c>
      <c r="DA451" s="163">
        <v>31548.63</v>
      </c>
      <c r="DB451" s="163">
        <v>38388.78</v>
      </c>
      <c r="DC451" s="163">
        <v>41512.61</v>
      </c>
      <c r="DD451" s="163">
        <v>40002.01</v>
      </c>
      <c r="DE451" s="163">
        <f>VLOOKUP($A451,'[2]Analysis 1'!$A$5:$DG$1025,109,FALSE)</f>
        <v>39319.17</v>
      </c>
      <c r="DF451" s="163">
        <f>VLOOKUP($A451,'[2]Analysis 1'!$A$5:$DG$1025,110,FALSE)</f>
        <v>38387.68</v>
      </c>
      <c r="DG451" s="163">
        <f>VLOOKUP($A451,'[2]Analysis 1'!$A$5:$DG$1025,111,FALSE)</f>
        <v>38387.68</v>
      </c>
      <c r="DH451" s="369">
        <f t="shared" si="13"/>
        <v>425289.70999999996</v>
      </c>
    </row>
    <row r="452" spans="1:112">
      <c r="A452" s="335" t="s">
        <v>1294</v>
      </c>
      <c r="C452" s="369"/>
      <c r="D452" s="369">
        <v>91832.03</v>
      </c>
      <c r="E452" s="369">
        <v>86843.68</v>
      </c>
      <c r="F452" s="369">
        <v>83829.72</v>
      </c>
      <c r="G452" s="369">
        <v>82862.45</v>
      </c>
      <c r="H452" s="369">
        <v>83203.09</v>
      </c>
      <c r="I452" s="369">
        <v>83004.789999999994</v>
      </c>
      <c r="J452" s="369">
        <v>83313.78</v>
      </c>
      <c r="K452" s="369">
        <v>83772.83</v>
      </c>
      <c r="L452" s="369">
        <v>84826.76</v>
      </c>
      <c r="M452" s="369">
        <v>85140.56</v>
      </c>
      <c r="N452" s="369">
        <v>83829.83</v>
      </c>
      <c r="O452" s="369">
        <v>87042.3</v>
      </c>
      <c r="P452" s="48">
        <v>91779.17</v>
      </c>
      <c r="Q452" s="48">
        <v>87967.99</v>
      </c>
      <c r="R452" s="48">
        <v>88312.63</v>
      </c>
      <c r="S452" s="48">
        <v>84733.17</v>
      </c>
      <c r="T452" s="48">
        <v>85537.26</v>
      </c>
      <c r="U452" s="48">
        <v>85868.43</v>
      </c>
      <c r="V452" s="48">
        <v>86218.240000000005</v>
      </c>
      <c r="W452" s="48">
        <v>86523.16</v>
      </c>
      <c r="X452" s="48">
        <v>86793.2</v>
      </c>
      <c r="Y452" s="48">
        <v>86922.98</v>
      </c>
      <c r="Z452" s="48">
        <v>87199.89</v>
      </c>
      <c r="AA452" s="48">
        <v>87642.38</v>
      </c>
      <c r="AB452" s="48">
        <v>88204.160000000003</v>
      </c>
      <c r="AC452" s="48">
        <v>84916.01</v>
      </c>
      <c r="AD452" s="48">
        <v>83468.460000000006</v>
      </c>
      <c r="AE452" s="163">
        <v>81129.69</v>
      </c>
      <c r="AF452" s="163">
        <v>79572.649999999994</v>
      </c>
      <c r="AG452" s="163">
        <v>78527.350000000006</v>
      </c>
      <c r="AH452" s="163">
        <v>77711.679999999993</v>
      </c>
      <c r="AI452" s="163">
        <v>75873.56</v>
      </c>
      <c r="AJ452" s="163">
        <v>74486.52</v>
      </c>
      <c r="AK452" s="163">
        <v>69929.990000000005</v>
      </c>
      <c r="AL452" s="163">
        <v>71695.98</v>
      </c>
      <c r="AM452" s="163">
        <v>91083.1</v>
      </c>
      <c r="AN452" s="163">
        <v>106376.67</v>
      </c>
      <c r="AO452" s="163">
        <v>111197.64</v>
      </c>
      <c r="AP452" s="163">
        <v>115433.49</v>
      </c>
      <c r="AQ452" s="163">
        <v>119292.82</v>
      </c>
      <c r="AR452" s="163">
        <v>96273.49</v>
      </c>
      <c r="AS452" s="163">
        <v>107307.95</v>
      </c>
      <c r="AT452" s="163">
        <v>118182.64</v>
      </c>
      <c r="AU452" s="163">
        <v>121484.48</v>
      </c>
      <c r="AV452" s="163">
        <v>189046.07</v>
      </c>
      <c r="AW452" s="163">
        <v>179486.34</v>
      </c>
      <c r="AX452" s="163">
        <v>83473.97</v>
      </c>
      <c r="AY452" s="163">
        <v>93967.35</v>
      </c>
      <c r="AZ452" s="163">
        <v>54753.9</v>
      </c>
      <c r="BA452" s="163">
        <v>251500.86</v>
      </c>
      <c r="BB452" s="163">
        <v>-122647.52</v>
      </c>
      <c r="BC452" s="163">
        <v>67679.490000000005</v>
      </c>
      <c r="BD452" s="163">
        <v>131602.81</v>
      </c>
      <c r="BE452" s="163">
        <v>148650.22</v>
      </c>
      <c r="BF452" s="163">
        <v>83348.53</v>
      </c>
      <c r="BG452" s="163">
        <v>77093.279999999999</v>
      </c>
      <c r="BH452" s="163">
        <v>83054.06</v>
      </c>
      <c r="BI452" s="163">
        <v>88636.19</v>
      </c>
      <c r="BJ452" s="163">
        <v>112575.9</v>
      </c>
      <c r="BK452" s="163">
        <v>195317.3</v>
      </c>
      <c r="BL452" s="163">
        <v>270593.53999999998</v>
      </c>
      <c r="BM452" s="163">
        <v>254938.72</v>
      </c>
      <c r="BN452" s="163">
        <v>238517.44</v>
      </c>
      <c r="BO452" s="163">
        <v>228488.16</v>
      </c>
      <c r="BP452" s="163">
        <v>173371.21</v>
      </c>
      <c r="BQ452" s="163">
        <v>-46770.7</v>
      </c>
      <c r="BR452" s="163">
        <v>182601.9</v>
      </c>
      <c r="BS452" s="163">
        <v>166855.78</v>
      </c>
      <c r="BT452" s="163">
        <v>174900.04</v>
      </c>
      <c r="BU452" s="163">
        <v>183329.45</v>
      </c>
      <c r="BV452" s="163">
        <v>185761.31</v>
      </c>
      <c r="BW452" s="163">
        <v>228886.96</v>
      </c>
      <c r="BX452" s="163">
        <v>65193.35</v>
      </c>
      <c r="BY452" s="163">
        <v>69209.09</v>
      </c>
      <c r="BZ452" s="163">
        <v>75353.75</v>
      </c>
      <c r="CA452" s="163">
        <v>68080.61</v>
      </c>
      <c r="CB452" s="163">
        <v>55867.64</v>
      </c>
      <c r="CC452" s="163">
        <v>821110.09</v>
      </c>
      <c r="CD452" s="163">
        <v>163389</v>
      </c>
      <c r="CE452" s="163">
        <v>160022.69</v>
      </c>
      <c r="CF452" s="163">
        <v>155534.31</v>
      </c>
      <c r="CG452" s="163">
        <v>173753.4</v>
      </c>
      <c r="CH452" s="163">
        <v>188205.81</v>
      </c>
      <c r="CI452" s="163">
        <v>202881.97</v>
      </c>
      <c r="CJ452" s="163">
        <v>242829.99</v>
      </c>
      <c r="CK452" s="163">
        <v>236632.34</v>
      </c>
      <c r="CL452" s="163">
        <v>198773.55</v>
      </c>
      <c r="CM452" s="163">
        <v>61351.61</v>
      </c>
      <c r="CN452" s="163">
        <v>82179.83</v>
      </c>
      <c r="CO452" s="163">
        <v>125163.83</v>
      </c>
      <c r="CP452" s="163">
        <v>82024.320000000007</v>
      </c>
      <c r="CQ452" s="163">
        <v>85168.46</v>
      </c>
      <c r="CR452" s="163">
        <v>77517.289999999994</v>
      </c>
      <c r="CS452" s="163">
        <v>91095.42</v>
      </c>
      <c r="CT452" s="163">
        <v>92735.29</v>
      </c>
      <c r="CU452" s="163">
        <v>104432.07</v>
      </c>
      <c r="CV452" s="163">
        <v>154024.62</v>
      </c>
      <c r="CW452" s="163">
        <v>132457.49</v>
      </c>
      <c r="CX452" s="163">
        <v>178230.33</v>
      </c>
      <c r="CY452" s="163">
        <v>220081.39</v>
      </c>
      <c r="CZ452" s="163">
        <v>291652.99</v>
      </c>
      <c r="DA452" s="163">
        <v>317240.2</v>
      </c>
      <c r="DB452" s="163">
        <v>397230.93</v>
      </c>
      <c r="DC452" s="163">
        <v>379236.04</v>
      </c>
      <c r="DD452" s="163">
        <v>460705.09</v>
      </c>
      <c r="DE452" s="163">
        <f>VLOOKUP($A452,'[2]Analysis 1'!$A$5:$DG$1025,109,FALSE)</f>
        <v>595762.93999999994</v>
      </c>
      <c r="DF452" s="163">
        <f>VLOOKUP($A452,'[2]Analysis 1'!$A$5:$DG$1025,110,FALSE)</f>
        <v>682799.43</v>
      </c>
      <c r="DG452" s="163">
        <f>VLOOKUP($A452,'[2]Analysis 1'!$A$5:$DG$1025,111,FALSE)</f>
        <v>797578.27</v>
      </c>
      <c r="DH452" s="369">
        <f t="shared" si="13"/>
        <v>4606999.7200000007</v>
      </c>
    </row>
    <row r="453" spans="1:112">
      <c r="A453" s="357" t="s">
        <v>2332</v>
      </c>
      <c r="D453" s="369"/>
      <c r="E453" s="369"/>
      <c r="F453" s="369"/>
      <c r="G453" s="369"/>
      <c r="H453" s="369"/>
      <c r="I453" s="369"/>
      <c r="J453" s="369"/>
      <c r="K453" s="369"/>
      <c r="L453" s="369"/>
      <c r="M453" s="369"/>
      <c r="N453" s="369"/>
      <c r="O453" s="369"/>
      <c r="P453" s="48"/>
      <c r="Q453" s="48"/>
      <c r="R453" s="48"/>
      <c r="S453" s="48"/>
      <c r="T453" s="48"/>
      <c r="U453" s="48"/>
      <c r="V453" s="48"/>
      <c r="W453" s="48"/>
      <c r="X453" s="48"/>
      <c r="Y453" s="48"/>
      <c r="Z453" s="48"/>
      <c r="AA453" s="48"/>
      <c r="AB453" s="48"/>
      <c r="AC453" s="48"/>
      <c r="AD453" s="48"/>
      <c r="AE453" s="163"/>
      <c r="AF453" s="163"/>
      <c r="AG453" s="163"/>
      <c r="AH453" s="163"/>
      <c r="AI453" s="163"/>
      <c r="AJ453" s="163"/>
      <c r="AK453" s="163"/>
      <c r="AL453" s="163"/>
      <c r="AM453" s="163"/>
      <c r="AN453" s="163"/>
      <c r="AO453" s="163"/>
      <c r="AP453" s="163"/>
      <c r="AQ453" s="163"/>
      <c r="AR453" s="163"/>
      <c r="AS453" s="163"/>
      <c r="AT453" s="163"/>
      <c r="AU453" s="163"/>
      <c r="AV453" s="163"/>
      <c r="AW453" s="163"/>
      <c r="AX453" s="163"/>
      <c r="AY453" s="163"/>
      <c r="AZ453" s="163"/>
      <c r="BA453" s="163"/>
      <c r="BB453" s="163"/>
      <c r="BC453" s="163"/>
      <c r="BD453" s="163"/>
      <c r="BE453" s="163"/>
      <c r="BF453" s="163"/>
      <c r="BG453" s="163"/>
      <c r="BH453" s="163"/>
      <c r="BI453" s="163"/>
      <c r="BJ453" s="163"/>
      <c r="BK453" s="163"/>
      <c r="BL453" s="163"/>
      <c r="BM453" s="163"/>
      <c r="BN453" s="163"/>
      <c r="BO453" s="163"/>
      <c r="BP453" s="163"/>
      <c r="BQ453" s="163"/>
      <c r="BR453" s="163">
        <v>0</v>
      </c>
      <c r="BS453" s="163">
        <v>0</v>
      </c>
      <c r="BT453" s="163">
        <v>-28294.53</v>
      </c>
      <c r="BU453" s="163">
        <v>-65884.87</v>
      </c>
      <c r="BV453" s="163">
        <v>-25132.7</v>
      </c>
      <c r="BW453" s="163">
        <v>-31693.47</v>
      </c>
      <c r="BX453" s="163">
        <v>-41123.9</v>
      </c>
      <c r="BY453" s="163">
        <v>-51382.78</v>
      </c>
      <c r="BZ453" s="163">
        <v>-60040.59</v>
      </c>
      <c r="CA453" s="163">
        <v>-68313.5</v>
      </c>
      <c r="CB453" s="163">
        <v>-82831.14</v>
      </c>
      <c r="CC453" s="163">
        <v>-94708.89</v>
      </c>
      <c r="CD453" s="163">
        <v>-101897.5</v>
      </c>
      <c r="CE453" s="163">
        <v>-113702.74</v>
      </c>
      <c r="CF453" s="163">
        <v>-127173</v>
      </c>
      <c r="CG453" s="163">
        <v>-100603.36</v>
      </c>
      <c r="CH453" s="163">
        <v>-74277.42</v>
      </c>
      <c r="CI453" s="163">
        <v>-85997.18</v>
      </c>
      <c r="CJ453" s="163">
        <v>-97828.96</v>
      </c>
      <c r="CK453" s="163">
        <v>-118962.67</v>
      </c>
      <c r="CL453" s="163">
        <v>-125175.22</v>
      </c>
      <c r="CM453" s="163">
        <v>-101772.96</v>
      </c>
      <c r="CN453" s="163">
        <v>-70765.289999999994</v>
      </c>
      <c r="CO453" s="163">
        <v>-73446.960000000006</v>
      </c>
      <c r="CP453" s="163">
        <v>-79548.13</v>
      </c>
      <c r="CQ453" s="163">
        <v>-89530.79</v>
      </c>
      <c r="CR453" s="163">
        <v>-98143.71</v>
      </c>
      <c r="CS453" s="163">
        <v>-105329.65</v>
      </c>
      <c r="CT453" s="163">
        <v>-37935.15</v>
      </c>
      <c r="CU453" s="163">
        <v>-52206.77</v>
      </c>
      <c r="CV453" s="163">
        <v>-57599.07</v>
      </c>
      <c r="CW453" s="163">
        <v>-62866.879999999997</v>
      </c>
      <c r="CX453" s="163">
        <v>-68331.64</v>
      </c>
      <c r="CY453" s="163">
        <v>-75234.820000000007</v>
      </c>
      <c r="CZ453" s="163">
        <v>-83191.78</v>
      </c>
      <c r="DA453" s="163">
        <v>-92933.84</v>
      </c>
      <c r="DB453" s="163">
        <v>-103760.02</v>
      </c>
      <c r="DC453" s="163">
        <v>-111463.17</v>
      </c>
      <c r="DD453" s="163">
        <v>-118085.17</v>
      </c>
      <c r="DE453" s="163">
        <f>VLOOKUP($A453,'[2]Analysis 1'!$A$5:$DG$1025,109,FALSE)</f>
        <v>-53459.64</v>
      </c>
      <c r="DF453" s="163">
        <f>VLOOKUP($A453,'[2]Analysis 1'!$A$5:$DG$1025,110,FALSE)</f>
        <v>-78253.39</v>
      </c>
      <c r="DG453" s="163">
        <f>VLOOKUP($A453,'[2]Analysis 1'!$A$5:$DG$1025,111,FALSE)</f>
        <v>-84749.19</v>
      </c>
      <c r="DH453" s="369">
        <f t="shared" si="13"/>
        <v>-989928.6100000001</v>
      </c>
    </row>
    <row r="454" spans="1:112">
      <c r="A454" s="335" t="s">
        <v>1295</v>
      </c>
      <c r="D454" s="369">
        <v>-2181090.04</v>
      </c>
      <c r="E454" s="369">
        <v>4502626.84</v>
      </c>
      <c r="F454" s="369">
        <v>4881883.5599999996</v>
      </c>
      <c r="G454" s="369">
        <v>-8672808.1699999999</v>
      </c>
      <c r="H454" s="369">
        <v>1814214.4</v>
      </c>
      <c r="I454" s="369">
        <v>2478542.08</v>
      </c>
      <c r="J454" s="369">
        <v>-8287360.1799999997</v>
      </c>
      <c r="K454" s="369">
        <v>1711061.1</v>
      </c>
      <c r="L454" s="369">
        <v>1334666.74</v>
      </c>
      <c r="M454" s="369">
        <v>-3454548.84</v>
      </c>
      <c r="N454" s="369">
        <v>2825107.6</v>
      </c>
      <c r="O454" s="369">
        <v>3729886.48</v>
      </c>
      <c r="P454" s="48">
        <v>5545677.0499999998</v>
      </c>
      <c r="Q454" s="48">
        <v>-1618732.23</v>
      </c>
      <c r="R454" s="48">
        <v>4121482.69</v>
      </c>
      <c r="S454" s="48">
        <v>-11865145.140000001</v>
      </c>
      <c r="T454" s="48">
        <v>2343817.73</v>
      </c>
      <c r="U454" s="48">
        <v>2795820.78</v>
      </c>
      <c r="V454" s="48">
        <v>-7002762.9199999999</v>
      </c>
      <c r="W454" s="48">
        <v>2511676.65</v>
      </c>
      <c r="X454" s="48">
        <v>1860447.41</v>
      </c>
      <c r="Y454" s="48">
        <v>2165009.88</v>
      </c>
      <c r="Z454" s="48">
        <v>-5334041.95</v>
      </c>
      <c r="AA454" s="48">
        <v>2949033.29</v>
      </c>
      <c r="AB454" s="48">
        <v>5297380.29</v>
      </c>
      <c r="AC454" s="48">
        <v>-380394.57</v>
      </c>
      <c r="AD454" s="48">
        <v>2373165.4700000002</v>
      </c>
      <c r="AE454" s="163">
        <v>2946014.46</v>
      </c>
      <c r="AF454" s="163">
        <v>-10925439.9</v>
      </c>
      <c r="AG454" s="163">
        <v>-6769928.9000000004</v>
      </c>
      <c r="AH454" s="163">
        <v>2616097.65</v>
      </c>
      <c r="AI454" s="163">
        <v>2019875.78</v>
      </c>
      <c r="AJ454" s="163">
        <v>1958976.08</v>
      </c>
      <c r="AK454" s="163">
        <v>2943980.86</v>
      </c>
      <c r="AL454" s="163">
        <v>-2853946.38</v>
      </c>
      <c r="AM454" s="163">
        <v>2053249.05</v>
      </c>
      <c r="AN454" s="163">
        <v>5364828.88</v>
      </c>
      <c r="AO454" s="163">
        <v>-4136101.49</v>
      </c>
      <c r="AP454" s="163">
        <v>4536791.43</v>
      </c>
      <c r="AQ454" s="163">
        <v>3830968.03</v>
      </c>
      <c r="AR454" s="163">
        <v>-7570916.29</v>
      </c>
      <c r="AS454" s="163">
        <v>2081619.07</v>
      </c>
      <c r="AT454" s="163">
        <v>2758883.76</v>
      </c>
      <c r="AU454" s="163">
        <v>-9589224.5600000005</v>
      </c>
      <c r="AV454" s="163">
        <v>2707918.43</v>
      </c>
      <c r="AW454" s="163">
        <v>2630149.91</v>
      </c>
      <c r="AX454" s="163">
        <v>-3894080.18</v>
      </c>
      <c r="AY454" s="163">
        <v>5584119.0700000003</v>
      </c>
      <c r="AZ454" s="163">
        <v>9302106.2899999991</v>
      </c>
      <c r="BA454" s="163">
        <v>-9862049.3100000005</v>
      </c>
      <c r="BB454" s="163">
        <v>1650568.72</v>
      </c>
      <c r="BC454" s="163">
        <v>5304901.6399999997</v>
      </c>
      <c r="BD454" s="163">
        <v>-12767979.300000001</v>
      </c>
      <c r="BE454" s="163">
        <v>3096375</v>
      </c>
      <c r="BF454" s="163">
        <v>3105270.2</v>
      </c>
      <c r="BG454" s="163">
        <v>-8557337.3599999994</v>
      </c>
      <c r="BH454" s="163">
        <v>3697950.51</v>
      </c>
      <c r="BI454" s="163">
        <v>2803273.23</v>
      </c>
      <c r="BJ454" s="163">
        <v>-5813460.6699999999</v>
      </c>
      <c r="BK454" s="163">
        <v>5493355.7599999998</v>
      </c>
      <c r="BL454" s="163">
        <v>6617945.8899999997</v>
      </c>
      <c r="BM454" s="163">
        <v>-5951830.5</v>
      </c>
      <c r="BN454" s="163">
        <v>5496050.3099999996</v>
      </c>
      <c r="BO454" s="163">
        <v>5226930.1900000004</v>
      </c>
      <c r="BP454" s="163">
        <v>-13397496.93</v>
      </c>
      <c r="BQ454" s="163">
        <v>3765173.37</v>
      </c>
      <c r="BR454" s="163">
        <v>3058815.38</v>
      </c>
      <c r="BS454" s="163">
        <v>-9733380.8399999999</v>
      </c>
      <c r="BT454" s="163">
        <v>3683859.63</v>
      </c>
      <c r="BU454" s="163">
        <v>3425609.09</v>
      </c>
      <c r="BV454" s="163">
        <v>-6182919.29</v>
      </c>
      <c r="BW454" s="163">
        <v>4061403.69</v>
      </c>
      <c r="BX454" s="163">
        <v>7675617.6200000001</v>
      </c>
      <c r="BY454" s="163">
        <v>-5948184.0800000001</v>
      </c>
      <c r="BZ454" s="163">
        <v>4844783.18</v>
      </c>
      <c r="CA454" s="163">
        <v>3710728.28</v>
      </c>
      <c r="CB454" s="163">
        <v>-14852521.16</v>
      </c>
      <c r="CC454" s="163">
        <v>3209793.14</v>
      </c>
      <c r="CD454" s="163">
        <v>3096133.42</v>
      </c>
      <c r="CE454" s="163">
        <v>-6771045.1500000004</v>
      </c>
      <c r="CF454" s="163">
        <v>3415357.65</v>
      </c>
      <c r="CG454" s="163">
        <v>2946877.3</v>
      </c>
      <c r="CH454" s="163">
        <v>-5179416.92</v>
      </c>
      <c r="CI454" s="163">
        <v>4619564.9800000004</v>
      </c>
      <c r="CJ454" s="163">
        <v>11395487.33</v>
      </c>
      <c r="CK454" s="163">
        <v>-4646700.9000000004</v>
      </c>
      <c r="CL454" s="163">
        <v>7690800.4699999997</v>
      </c>
      <c r="CM454" s="163">
        <v>-19402192.890000001</v>
      </c>
      <c r="CN454" s="163">
        <v>5523422.1399999997</v>
      </c>
      <c r="CO454" s="163">
        <v>5442618.1799999997</v>
      </c>
      <c r="CP454" s="163">
        <v>4434602.46</v>
      </c>
      <c r="CQ454" s="163">
        <v>-13892246.57</v>
      </c>
      <c r="CR454" s="163">
        <v>5555927.8700000001</v>
      </c>
      <c r="CS454" s="163">
        <v>5105687.1500000004</v>
      </c>
      <c r="CT454" s="163">
        <v>-8957171.2300000004</v>
      </c>
      <c r="CU454" s="163">
        <v>5862599.79</v>
      </c>
      <c r="CV454" s="163">
        <v>9787937.4600000009</v>
      </c>
      <c r="CW454" s="163">
        <v>-7920739.6399999997</v>
      </c>
      <c r="CX454" s="163">
        <v>10906631.869999999</v>
      </c>
      <c r="CY454" s="163">
        <v>-22833862.670000002</v>
      </c>
      <c r="CZ454" s="163">
        <v>6255344.3099999996</v>
      </c>
      <c r="DA454" s="163">
        <v>6658559.8300000001</v>
      </c>
      <c r="DB454" s="163">
        <v>4395198.3499999996</v>
      </c>
      <c r="DC454" s="163">
        <v>-15060884.5</v>
      </c>
      <c r="DD454" s="163">
        <v>7270008.4299999997</v>
      </c>
      <c r="DE454" s="163">
        <f>VLOOKUP($A454,'[2]Analysis 1'!$A$5:$DG$1025,109,FALSE)</f>
        <v>-11423300.48</v>
      </c>
      <c r="DF454" s="163">
        <f>VLOOKUP($A454,'[2]Analysis 1'!$A$5:$DG$1025,110,FALSE)</f>
        <v>5933019.0599999996</v>
      </c>
      <c r="DG454" s="163">
        <f>VLOOKUP($A454,'[2]Analysis 1'!$A$5:$DG$1025,111,FALSE)</f>
        <v>6107119.9299999997</v>
      </c>
      <c r="DH454" s="369">
        <f t="shared" si="13"/>
        <v>75031.949999996461</v>
      </c>
    </row>
    <row r="455" spans="1:112">
      <c r="A455" s="335" t="s">
        <v>1296</v>
      </c>
      <c r="D455" s="369">
        <v>7357286.6799999997</v>
      </c>
      <c r="E455" s="369">
        <v>0</v>
      </c>
      <c r="F455" s="369">
        <v>0</v>
      </c>
      <c r="G455" s="369">
        <v>11948603.68</v>
      </c>
      <c r="H455" s="369">
        <v>0</v>
      </c>
      <c r="I455" s="369">
        <v>0</v>
      </c>
      <c r="J455" s="369">
        <v>9971893.4700000007</v>
      </c>
      <c r="K455" s="369">
        <v>0</v>
      </c>
      <c r="L455" s="369">
        <v>0</v>
      </c>
      <c r="M455" s="369">
        <v>5874136.4699999997</v>
      </c>
      <c r="N455" s="369">
        <v>0</v>
      </c>
      <c r="O455" s="369">
        <v>0</v>
      </c>
      <c r="P455" s="48">
        <v>0</v>
      </c>
      <c r="Q455" s="48">
        <v>6579361.9699999997</v>
      </c>
      <c r="R455" s="48">
        <v>0</v>
      </c>
      <c r="S455" s="48">
        <v>14236193.27</v>
      </c>
      <c r="T455" s="48">
        <v>0</v>
      </c>
      <c r="U455" s="48">
        <v>0</v>
      </c>
      <c r="V455" s="48">
        <v>8836348.5500000007</v>
      </c>
      <c r="W455" s="48">
        <v>0</v>
      </c>
      <c r="X455" s="48">
        <v>0</v>
      </c>
      <c r="Y455" s="48">
        <v>0</v>
      </c>
      <c r="Z455" s="48">
        <v>7141083.0599999996</v>
      </c>
      <c r="AA455" s="48">
        <v>0</v>
      </c>
      <c r="AB455" s="48">
        <v>0</v>
      </c>
      <c r="AC455" s="48">
        <v>5832498.4000000004</v>
      </c>
      <c r="AD455" s="48">
        <v>0</v>
      </c>
      <c r="AE455" s="163">
        <v>0</v>
      </c>
      <c r="AF455" s="163">
        <v>13698517.41</v>
      </c>
      <c r="AG455" s="163">
        <v>8092257.4400000004</v>
      </c>
      <c r="AH455" s="163">
        <v>0</v>
      </c>
      <c r="AI455" s="163">
        <v>0</v>
      </c>
      <c r="AJ455" s="163">
        <v>0</v>
      </c>
      <c r="AK455" s="163">
        <v>0</v>
      </c>
      <c r="AL455" s="163">
        <v>5958301.9699999997</v>
      </c>
      <c r="AM455" s="163">
        <v>0</v>
      </c>
      <c r="AN455" s="163">
        <v>0</v>
      </c>
      <c r="AO455" s="163">
        <v>8007312.5300000003</v>
      </c>
      <c r="AP455" s="163">
        <v>0</v>
      </c>
      <c r="AQ455" s="163">
        <v>0</v>
      </c>
      <c r="AR455" s="163">
        <v>11289288.970000001</v>
      </c>
      <c r="AS455" s="163">
        <v>0</v>
      </c>
      <c r="AT455" s="163">
        <v>0</v>
      </c>
      <c r="AU455" s="163">
        <v>12086132.140000001</v>
      </c>
      <c r="AV455" s="163">
        <v>0</v>
      </c>
      <c r="AW455" s="163">
        <v>0</v>
      </c>
      <c r="AX455" s="163">
        <v>7337410.4100000001</v>
      </c>
      <c r="AY455" s="163">
        <v>0</v>
      </c>
      <c r="AZ455" s="163">
        <v>0</v>
      </c>
      <c r="BA455" s="163">
        <v>14365517.640000001</v>
      </c>
      <c r="BB455" s="163">
        <v>0</v>
      </c>
      <c r="BC455" s="163">
        <v>0</v>
      </c>
      <c r="BD455" s="163">
        <v>15456143.34</v>
      </c>
      <c r="BE455" s="163">
        <v>0</v>
      </c>
      <c r="BF455" s="163">
        <v>0</v>
      </c>
      <c r="BG455" s="163">
        <v>11089440.68</v>
      </c>
      <c r="BH455" s="163">
        <v>0</v>
      </c>
      <c r="BI455" s="163">
        <v>0</v>
      </c>
      <c r="BJ455" s="163">
        <v>9335324.0299999993</v>
      </c>
      <c r="BK455" s="163">
        <v>0</v>
      </c>
      <c r="BL455" s="163">
        <v>0</v>
      </c>
      <c r="BM455" s="163">
        <v>11818492.35</v>
      </c>
      <c r="BN455" s="163">
        <v>0</v>
      </c>
      <c r="BO455" s="163">
        <v>0</v>
      </c>
      <c r="BP455" s="163">
        <v>17980658.050000001</v>
      </c>
      <c r="BQ455" s="163">
        <v>0</v>
      </c>
      <c r="BR455" s="163">
        <v>0</v>
      </c>
      <c r="BS455" s="163">
        <v>13575264.68</v>
      </c>
      <c r="BT455" s="163">
        <v>0</v>
      </c>
      <c r="BU455" s="163">
        <v>0</v>
      </c>
      <c r="BV455" s="163">
        <v>10584558</v>
      </c>
      <c r="BW455" s="163">
        <v>0</v>
      </c>
      <c r="BX455" s="163">
        <v>0</v>
      </c>
      <c r="BY455" s="163">
        <v>11888651</v>
      </c>
      <c r="BZ455" s="163">
        <v>0</v>
      </c>
      <c r="CA455" s="163">
        <v>0</v>
      </c>
      <c r="CB455" s="163">
        <v>18460868</v>
      </c>
      <c r="CC455" s="163">
        <v>0</v>
      </c>
      <c r="CD455" s="163">
        <v>0</v>
      </c>
      <c r="CE455" s="163">
        <v>10528868</v>
      </c>
      <c r="CF455" s="163">
        <v>0</v>
      </c>
      <c r="CG455" s="163">
        <v>0</v>
      </c>
      <c r="CH455" s="163">
        <v>10269314</v>
      </c>
      <c r="CI455" s="163">
        <v>0</v>
      </c>
      <c r="CJ455" s="163">
        <v>0</v>
      </c>
      <c r="CK455" s="163">
        <v>12656339</v>
      </c>
      <c r="CL455" s="163">
        <v>0</v>
      </c>
      <c r="CM455" s="163">
        <v>27095926</v>
      </c>
      <c r="CN455" s="163">
        <v>0</v>
      </c>
      <c r="CO455" s="163">
        <v>0</v>
      </c>
      <c r="CP455" s="163">
        <v>0</v>
      </c>
      <c r="CQ455" s="163">
        <v>18659773</v>
      </c>
      <c r="CR455" s="163">
        <v>0</v>
      </c>
      <c r="CS455" s="163">
        <v>0</v>
      </c>
      <c r="CT455" s="163">
        <v>14758057</v>
      </c>
      <c r="CU455" s="163">
        <v>0</v>
      </c>
      <c r="CV455" s="163">
        <v>0</v>
      </c>
      <c r="CW455" s="163">
        <v>16769173</v>
      </c>
      <c r="CX455" s="163">
        <v>0</v>
      </c>
      <c r="CY455" s="163">
        <v>29543003</v>
      </c>
      <c r="CZ455" s="163">
        <v>0</v>
      </c>
      <c r="DA455" s="163">
        <v>0</v>
      </c>
      <c r="DB455" s="163">
        <v>0</v>
      </c>
      <c r="DC455" s="163">
        <v>19623044</v>
      </c>
      <c r="DD455" s="163">
        <v>0</v>
      </c>
      <c r="DE455" s="163">
        <f>VLOOKUP($A455,'[2]Analysis 1'!$A$5:$DG$1025,109,FALSE)</f>
        <v>16227366</v>
      </c>
      <c r="DF455" s="163">
        <f>VLOOKUP($A455,'[2]Analysis 1'!$A$5:$DG$1025,110,FALSE)</f>
        <v>0</v>
      </c>
      <c r="DG455" s="163">
        <f>VLOOKUP($A455,'[2]Analysis 1'!$A$5:$DG$1025,111,FALSE)</f>
        <v>0</v>
      </c>
      <c r="DH455" s="369">
        <f t="shared" si="13"/>
        <v>82162586</v>
      </c>
    </row>
    <row r="456" spans="1:112">
      <c r="A456" s="350" t="s">
        <v>1359</v>
      </c>
      <c r="D456" s="369">
        <v>0</v>
      </c>
      <c r="E456" s="369">
        <v>0</v>
      </c>
      <c r="F456" s="369">
        <v>0</v>
      </c>
      <c r="G456" s="369">
        <v>0</v>
      </c>
      <c r="H456" s="369">
        <v>0</v>
      </c>
      <c r="I456" s="369">
        <v>0</v>
      </c>
      <c r="J456" s="369">
        <v>0</v>
      </c>
      <c r="K456" s="369">
        <v>0</v>
      </c>
      <c r="L456" s="369">
        <v>0</v>
      </c>
      <c r="M456" s="369">
        <v>0</v>
      </c>
      <c r="N456" s="369">
        <v>0</v>
      </c>
      <c r="O456" s="369">
        <v>0</v>
      </c>
      <c r="P456" s="48"/>
      <c r="Q456" s="48"/>
      <c r="R456" s="48"/>
      <c r="S456" s="48"/>
      <c r="T456" s="48"/>
      <c r="U456" s="48"/>
      <c r="V456" s="48"/>
      <c r="W456" s="48"/>
      <c r="X456" s="48"/>
      <c r="Y456" s="48"/>
      <c r="Z456" s="48"/>
      <c r="AA456" s="48"/>
      <c r="AB456" s="48"/>
      <c r="AC456" s="48"/>
      <c r="AD456" s="48"/>
      <c r="AE456" s="163"/>
      <c r="AF456" s="163"/>
      <c r="AG456" s="163"/>
      <c r="AH456" s="163"/>
      <c r="AI456" s="163"/>
      <c r="AJ456" s="163"/>
      <c r="AK456" s="163"/>
      <c r="AL456" s="163"/>
      <c r="AM456" s="163"/>
      <c r="AN456" s="163"/>
      <c r="AO456" s="163"/>
      <c r="AP456" s="163"/>
      <c r="AQ456" s="163"/>
      <c r="AR456" s="163"/>
      <c r="AS456" s="163"/>
      <c r="AT456" s="163"/>
      <c r="AU456" s="163"/>
      <c r="AV456" s="163"/>
      <c r="AW456" s="163"/>
      <c r="AX456" s="163"/>
      <c r="AY456" s="163"/>
      <c r="AZ456" s="163"/>
      <c r="BA456" s="163"/>
      <c r="BB456" s="163"/>
      <c r="BC456" s="163"/>
      <c r="BD456" s="163"/>
      <c r="BE456" s="163"/>
      <c r="BF456" s="163"/>
      <c r="BG456" s="163"/>
      <c r="BH456" s="163"/>
      <c r="BI456" s="163"/>
      <c r="BJ456" s="163"/>
      <c r="BK456" s="163"/>
      <c r="BL456" s="163"/>
      <c r="BM456" s="163"/>
      <c r="BN456" s="163"/>
      <c r="BO456" s="163"/>
      <c r="BP456" s="163"/>
      <c r="BQ456" s="163"/>
      <c r="BR456" s="163"/>
      <c r="BS456" s="163"/>
      <c r="BT456" s="163"/>
      <c r="BU456" s="163"/>
      <c r="BV456" s="163"/>
      <c r="BW456" s="163"/>
      <c r="BX456" s="163"/>
      <c r="BY456" s="163"/>
      <c r="BZ456" s="163"/>
      <c r="CA456" s="163"/>
      <c r="CB456" s="163"/>
      <c r="CC456" s="163"/>
      <c r="CD456" s="163"/>
      <c r="CE456" s="163"/>
      <c r="CF456" s="163"/>
      <c r="CG456" s="163"/>
      <c r="CH456" s="163"/>
      <c r="CI456" s="163"/>
      <c r="CJ456" s="163"/>
      <c r="CK456" s="163"/>
      <c r="CL456" s="163"/>
      <c r="CM456" s="163"/>
      <c r="CN456" s="163"/>
      <c r="CO456" s="163"/>
      <c r="CP456" s="163"/>
      <c r="CQ456" s="163"/>
      <c r="CR456" s="163"/>
      <c r="CS456" s="163"/>
      <c r="CT456" s="163"/>
      <c r="CU456" s="163"/>
      <c r="CV456" s="163"/>
      <c r="CW456" s="163"/>
      <c r="CX456" s="163"/>
      <c r="CY456" s="163"/>
      <c r="CZ456" s="163"/>
      <c r="DA456" s="163"/>
      <c r="DB456" s="163"/>
      <c r="DC456" s="163"/>
      <c r="DD456" s="163"/>
      <c r="DE456" s="163"/>
      <c r="DF456" s="163"/>
      <c r="DG456" s="163"/>
      <c r="DH456" s="369">
        <f t="shared" ref="DH456:DH514" si="20">SUM(CV456:DG456)</f>
        <v>0</v>
      </c>
    </row>
    <row r="457" spans="1:112">
      <c r="A457" s="335" t="s">
        <v>1297</v>
      </c>
      <c r="D457" s="369">
        <v>-18789070.870000001</v>
      </c>
      <c r="E457" s="369">
        <v>-17974787.210000001</v>
      </c>
      <c r="F457" s="369">
        <v>-12072394.210000001</v>
      </c>
      <c r="G457" s="369">
        <v>-11512611.34</v>
      </c>
      <c r="H457" s="369">
        <v>-9204449.0899999999</v>
      </c>
      <c r="I457" s="369">
        <v>-9401415.9199999999</v>
      </c>
      <c r="J457" s="369">
        <v>-8616808.4900000002</v>
      </c>
      <c r="K457" s="369">
        <v>-8341471.8700000001</v>
      </c>
      <c r="L457" s="369">
        <v>-8876012.4299999997</v>
      </c>
      <c r="M457" s="369">
        <v>-9407334.7400000002</v>
      </c>
      <c r="N457" s="369">
        <v>-11392701.92</v>
      </c>
      <c r="O457" s="369">
        <v>-16023211.560000001</v>
      </c>
      <c r="P457" s="48">
        <v>-17146562.120000001</v>
      </c>
      <c r="Q457" s="48">
        <v>-16308098.98</v>
      </c>
      <c r="R457" s="48">
        <v>-14821418.9</v>
      </c>
      <c r="S457" s="48">
        <v>-9110900.8399999999</v>
      </c>
      <c r="T457" s="48">
        <v>-8985543.3499999996</v>
      </c>
      <c r="U457" s="48">
        <v>-9531636.3800000008</v>
      </c>
      <c r="V457" s="48">
        <v>-8548703.2799999993</v>
      </c>
      <c r="W457" s="48">
        <v>-8938662.9800000004</v>
      </c>
      <c r="X457" s="48">
        <v>-8913731.5299999993</v>
      </c>
      <c r="Y457" s="48">
        <v>-9314477.0199999996</v>
      </c>
      <c r="Z457" s="48">
        <v>-10620000.07</v>
      </c>
      <c r="AA457" s="48">
        <v>-12335179.560000001</v>
      </c>
      <c r="AB457" s="48">
        <v>-17160821.050000001</v>
      </c>
      <c r="AC457" s="48">
        <v>-18845612.18</v>
      </c>
      <c r="AD457" s="48">
        <v>-13444605.42</v>
      </c>
      <c r="AE457" s="163">
        <v>-10931467.970000001</v>
      </c>
      <c r="AF457" s="163">
        <v>-10047229.130000001</v>
      </c>
      <c r="AG457" s="163">
        <v>-8956120.2799999993</v>
      </c>
      <c r="AH457" s="163">
        <v>-8211620.5800000001</v>
      </c>
      <c r="AI457" s="163">
        <v>-8498263.0700000003</v>
      </c>
      <c r="AJ457" s="163">
        <v>-8749395.3100000005</v>
      </c>
      <c r="AK457" s="163">
        <v>-8862736.3000000007</v>
      </c>
      <c r="AL457" s="163">
        <v>-10510381.029999999</v>
      </c>
      <c r="AM457" s="163">
        <v>-12762491.27</v>
      </c>
      <c r="AN457" s="163">
        <v>-14720023.439999999</v>
      </c>
      <c r="AO457" s="163">
        <v>-13827429.51</v>
      </c>
      <c r="AP457" s="163">
        <v>-12172738.6</v>
      </c>
      <c r="AQ457" s="163">
        <v>-12116790.6</v>
      </c>
      <c r="AR457" s="163">
        <v>-9770434.3800000008</v>
      </c>
      <c r="AS457" s="163">
        <v>-8920686.9299999997</v>
      </c>
      <c r="AT457" s="163">
        <v>-8592431.6500000004</v>
      </c>
      <c r="AU457" s="163">
        <v>-8779572.8499999996</v>
      </c>
      <c r="AV457" s="163">
        <v>-10086790.9</v>
      </c>
      <c r="AW457" s="163">
        <v>-9764900.4399999995</v>
      </c>
      <c r="AX457" s="163">
        <v>-11846411.35</v>
      </c>
      <c r="AY457" s="163">
        <v>-14779023.710000001</v>
      </c>
      <c r="AZ457" s="163">
        <v>-25308184.75</v>
      </c>
      <c r="BA457" s="163">
        <v>-17174539</v>
      </c>
      <c r="BB457" s="163">
        <v>-11911371.42</v>
      </c>
      <c r="BC457" s="163">
        <v>-14470072</v>
      </c>
      <c r="BD457" s="163">
        <v>-10129247.9</v>
      </c>
      <c r="BE457" s="163">
        <v>-9704933.2200000007</v>
      </c>
      <c r="BF457" s="163">
        <v>-9559028.3399999999</v>
      </c>
      <c r="BG457" s="163">
        <v>-9282203.4399999995</v>
      </c>
      <c r="BH457" s="163">
        <v>-10118267.810000001</v>
      </c>
      <c r="BI457" s="163">
        <v>-9461613.5099999998</v>
      </c>
      <c r="BJ457" s="163">
        <v>-11331414.84</v>
      </c>
      <c r="BK457" s="163">
        <v>-15658973.699999999</v>
      </c>
      <c r="BL457" s="163">
        <v>-18509048.350000001</v>
      </c>
      <c r="BM457" s="163">
        <v>-16272346.470000001</v>
      </c>
      <c r="BN457" s="163">
        <v>-14136282.07</v>
      </c>
      <c r="BO457" s="163">
        <v>-14510060.26</v>
      </c>
      <c r="BP457" s="163">
        <v>-11453413.99</v>
      </c>
      <c r="BQ457" s="163">
        <v>-9741135.8399999999</v>
      </c>
      <c r="BR457" s="163">
        <v>-9869781.0299999993</v>
      </c>
      <c r="BS457" s="163">
        <v>-8973386.5399999991</v>
      </c>
      <c r="BT457" s="163">
        <v>-9873812.5700000003</v>
      </c>
      <c r="BU457" s="163">
        <v>-9662683.8300000001</v>
      </c>
      <c r="BV457" s="163">
        <v>-12129852.220000001</v>
      </c>
      <c r="BW457" s="163">
        <v>-16044610.1</v>
      </c>
      <c r="BX457" s="163">
        <v>-17619082.52</v>
      </c>
      <c r="BY457" s="163">
        <v>-15620600.68</v>
      </c>
      <c r="BZ457" s="163">
        <v>-13452666.41</v>
      </c>
      <c r="CA457" s="163">
        <v>-12722541.84</v>
      </c>
      <c r="CB457" s="163">
        <v>-11904847.33</v>
      </c>
      <c r="CC457" s="163">
        <v>-10926414.619999999</v>
      </c>
      <c r="CD457" s="163">
        <v>-9415780.2799999993</v>
      </c>
      <c r="CE457" s="163">
        <v>-9916007.6699999999</v>
      </c>
      <c r="CF457" s="163">
        <v>-9877256.0999999996</v>
      </c>
      <c r="CG457" s="163">
        <v>-10966189.01</v>
      </c>
      <c r="CH457" s="163">
        <v>-12940613.550000001</v>
      </c>
      <c r="CI457" s="163">
        <v>-19829450.940000001</v>
      </c>
      <c r="CJ457" s="163">
        <v>-26457420.960000001</v>
      </c>
      <c r="CK457" s="163">
        <v>-19184048.739999998</v>
      </c>
      <c r="CL457" s="163">
        <v>-20098401.280000001</v>
      </c>
      <c r="CM457" s="163">
        <v>-19209311.260000002</v>
      </c>
      <c r="CN457" s="163">
        <v>-14369600.52</v>
      </c>
      <c r="CO457" s="163">
        <v>-14243262.9</v>
      </c>
      <c r="CP457" s="163">
        <v>-13561702.66</v>
      </c>
      <c r="CQ457" s="163">
        <v>-13058455.18</v>
      </c>
      <c r="CR457" s="163">
        <v>-13931671.439999999</v>
      </c>
      <c r="CS457" s="163">
        <v>-14110256.74</v>
      </c>
      <c r="CT457" s="163">
        <v>-17172599.760000002</v>
      </c>
      <c r="CU457" s="163">
        <v>-22874214.050000001</v>
      </c>
      <c r="CV457" s="163">
        <v>-27758182.899999999</v>
      </c>
      <c r="CW457" s="163">
        <v>-26882190.350000001</v>
      </c>
      <c r="CX457" s="163">
        <v>-19298906.43</v>
      </c>
      <c r="CY457" s="163">
        <v>-18653376.609999999</v>
      </c>
      <c r="CZ457" s="163">
        <v>-16680760.27</v>
      </c>
      <c r="DA457" s="163">
        <v>-14033111.210000001</v>
      </c>
      <c r="DB457" s="163">
        <v>-13393189.880000001</v>
      </c>
      <c r="DC457" s="163">
        <v>-17022450.91</v>
      </c>
      <c r="DD457" s="163">
        <v>-16044413.35</v>
      </c>
      <c r="DE457" s="163">
        <f>VLOOKUP($A457,'[2]Analysis 1'!$A$5:$DG$1025,109,FALSE)</f>
        <v>-20444215.59</v>
      </c>
      <c r="DF457" s="163">
        <f>VLOOKUP($A457,'[2]Analysis 1'!$A$5:$DG$1025,110,FALSE)</f>
        <v>-14648919.77</v>
      </c>
      <c r="DG457" s="163">
        <f>VLOOKUP($A457,'[2]Analysis 1'!$A$5:$DG$1025,111,FALSE)</f>
        <v>-20183603.059999999</v>
      </c>
      <c r="DH457" s="369">
        <f t="shared" si="20"/>
        <v>-225043320.33000001</v>
      </c>
    </row>
    <row r="458" spans="1:112">
      <c r="A458" s="335" t="s">
        <v>1298</v>
      </c>
      <c r="D458" s="369">
        <v>-9281661.2799999993</v>
      </c>
      <c r="E458" s="369">
        <v>-6942485.1799999997</v>
      </c>
      <c r="F458" s="369">
        <v>-6196518.0700000003</v>
      </c>
      <c r="G458" s="369">
        <v>-9812135.8399999999</v>
      </c>
      <c r="H458" s="369">
        <v>-4873328.57</v>
      </c>
      <c r="I458" s="369">
        <v>-4949811.8899999997</v>
      </c>
      <c r="J458" s="369">
        <v>-7088126.04</v>
      </c>
      <c r="K458" s="369">
        <v>-9144553</v>
      </c>
      <c r="L458" s="369">
        <v>-6028157.7400000002</v>
      </c>
      <c r="M458" s="369">
        <v>-6220286.9299999997</v>
      </c>
      <c r="N458" s="369">
        <v>-6167285.9199999999</v>
      </c>
      <c r="O458" s="369">
        <v>-6326820.54</v>
      </c>
      <c r="P458" s="48">
        <v>-7235355.2400000002</v>
      </c>
      <c r="Q458" s="48">
        <v>-7653264.3300000001</v>
      </c>
      <c r="R458" s="48">
        <v>-5861467.4100000001</v>
      </c>
      <c r="S458" s="48">
        <v>-8813333.6300000008</v>
      </c>
      <c r="T458" s="48">
        <v>-5914370.3399999999</v>
      </c>
      <c r="U458" s="48">
        <v>-9083584.1099999994</v>
      </c>
      <c r="V458" s="48">
        <v>-6001980.0499999998</v>
      </c>
      <c r="W458" s="48">
        <v>-8775359.1300000008</v>
      </c>
      <c r="X458" s="48">
        <v>-7151083.5800000001</v>
      </c>
      <c r="Y458" s="48">
        <v>-7412057.1299999999</v>
      </c>
      <c r="Z458" s="48">
        <v>-10373787.6</v>
      </c>
      <c r="AA458" s="48">
        <v>-5498301.5499999998</v>
      </c>
      <c r="AB458" s="48">
        <v>-8493884.5299999993</v>
      </c>
      <c r="AC458" s="48">
        <v>-8535137.2899999991</v>
      </c>
      <c r="AD458" s="48">
        <v>-8529452.0600000005</v>
      </c>
      <c r="AE458" s="163">
        <v>-10628465.720000001</v>
      </c>
      <c r="AF458" s="163">
        <v>-7450734.2300000004</v>
      </c>
      <c r="AG458" s="163">
        <v>-9214933.5999999996</v>
      </c>
      <c r="AH458" s="163">
        <v>-13243087.539999999</v>
      </c>
      <c r="AI458" s="163">
        <v>-12055907.91</v>
      </c>
      <c r="AJ458" s="163">
        <v>-10066072.119999999</v>
      </c>
      <c r="AK458" s="163">
        <v>-10467432.119999999</v>
      </c>
      <c r="AL458" s="163">
        <v>-5438106.2999999998</v>
      </c>
      <c r="AM458" s="163">
        <v>-6284243.4699999997</v>
      </c>
      <c r="AN458" s="163">
        <v>-7328944.2300000004</v>
      </c>
      <c r="AO458" s="163">
        <v>-6696487.6399999997</v>
      </c>
      <c r="AP458" s="163">
        <v>-6097147.2400000002</v>
      </c>
      <c r="AQ458" s="163">
        <v>-8729546.9499999993</v>
      </c>
      <c r="AR458" s="163">
        <v>-9438397.3599999994</v>
      </c>
      <c r="AS458" s="163">
        <v>-7262160.46</v>
      </c>
      <c r="AT458" s="163">
        <v>-9404221.8800000008</v>
      </c>
      <c r="AU458" s="163">
        <v>-14720457.949999999</v>
      </c>
      <c r="AV458" s="163">
        <v>-13025019.35</v>
      </c>
      <c r="AW458" s="163">
        <v>-7109268.5199999996</v>
      </c>
      <c r="AX458" s="163">
        <v>-7620892.0099999998</v>
      </c>
      <c r="AY458" s="163">
        <v>-10331192.130000001</v>
      </c>
      <c r="AZ458" s="163">
        <v>-13920525.58</v>
      </c>
      <c r="BA458" s="163">
        <v>-8284049.6500000004</v>
      </c>
      <c r="BB458" s="163">
        <v>-5770678.2300000004</v>
      </c>
      <c r="BC458" s="163">
        <v>-7147212.3600000003</v>
      </c>
      <c r="BD458" s="163">
        <v>-7933673.7999999998</v>
      </c>
      <c r="BE458" s="163">
        <v>-11029266.029999999</v>
      </c>
      <c r="BF458" s="163">
        <v>-12692018.039999999</v>
      </c>
      <c r="BG458" s="163">
        <v>-9600349.6199999992</v>
      </c>
      <c r="BH458" s="163">
        <v>-11244221.15</v>
      </c>
      <c r="BI458" s="163">
        <v>-13462137.279999999</v>
      </c>
      <c r="BJ458" s="163">
        <v>-9918969.3200000003</v>
      </c>
      <c r="BK458" s="163">
        <v>-8022036.0199999996</v>
      </c>
      <c r="BL458" s="163">
        <v>-9609637.7200000007</v>
      </c>
      <c r="BM458" s="163">
        <v>-6735495.1100000003</v>
      </c>
      <c r="BN458" s="163">
        <v>-7989982.2199999997</v>
      </c>
      <c r="BO458" s="163">
        <v>-7737686.0499999998</v>
      </c>
      <c r="BP458" s="163">
        <v>-9889265.2699999996</v>
      </c>
      <c r="BQ458" s="163">
        <v>-6775396.1900000004</v>
      </c>
      <c r="BR458" s="163">
        <v>-6673373.5599999996</v>
      </c>
      <c r="BS458" s="163">
        <v>-6442681.9199999999</v>
      </c>
      <c r="BT458" s="163">
        <v>-10078716.07</v>
      </c>
      <c r="BU458" s="163">
        <v>-8599046.7400000002</v>
      </c>
      <c r="BV458" s="163">
        <v>-7186578.8099999996</v>
      </c>
      <c r="BW458" s="163">
        <v>-7033282.6600000001</v>
      </c>
      <c r="BX458" s="163">
        <v>-8408399.2699999996</v>
      </c>
      <c r="BY458" s="163">
        <v>-6439015.0700000003</v>
      </c>
      <c r="BZ458" s="163">
        <v>-6469029.6699999999</v>
      </c>
      <c r="CA458" s="163">
        <v>-4190606.35</v>
      </c>
      <c r="CB458" s="163">
        <v>-4035332.9</v>
      </c>
      <c r="CC458" s="163">
        <v>-5933594.4699999997</v>
      </c>
      <c r="CD458" s="163">
        <v>-6159324.5300000003</v>
      </c>
      <c r="CE458" s="163">
        <v>-4341049.33</v>
      </c>
      <c r="CF458" s="163">
        <v>-4764202.59</v>
      </c>
      <c r="CG458" s="163">
        <v>-4261479.07</v>
      </c>
      <c r="CH458" s="163">
        <v>-5311717.91</v>
      </c>
      <c r="CI458" s="163">
        <v>-5978031.46</v>
      </c>
      <c r="CJ458" s="163">
        <v>-7511735.0499999998</v>
      </c>
      <c r="CK458" s="163">
        <v>-7090544.5599999996</v>
      </c>
      <c r="CL458" s="163">
        <v>-7354314.4299999997</v>
      </c>
      <c r="CM458" s="163">
        <v>-5718480.1200000001</v>
      </c>
      <c r="CN458" s="163">
        <v>-5762979.1399999997</v>
      </c>
      <c r="CO458" s="163">
        <v>-5930014.8600000003</v>
      </c>
      <c r="CP458" s="163">
        <v>-6966959.5300000003</v>
      </c>
      <c r="CQ458" s="163">
        <v>-6597386.5499999998</v>
      </c>
      <c r="CR458" s="163">
        <v>-6704518.8700000001</v>
      </c>
      <c r="CS458" s="163">
        <v>-8903604.1400000006</v>
      </c>
      <c r="CT458" s="163">
        <v>-5392027.7199999997</v>
      </c>
      <c r="CU458" s="163">
        <v>-6273501.8099999996</v>
      </c>
      <c r="CV458" s="163">
        <v>-12802765.83</v>
      </c>
      <c r="CW458" s="163">
        <v>-9872115.5600000005</v>
      </c>
      <c r="CX458" s="163">
        <v>-10748985.01</v>
      </c>
      <c r="CY458" s="163">
        <v>-9930264.7300000004</v>
      </c>
      <c r="CZ458" s="163">
        <v>-17575008.010000002</v>
      </c>
      <c r="DA458" s="163">
        <v>-19539496.190000001</v>
      </c>
      <c r="DB458" s="163">
        <v>-18992886.870000001</v>
      </c>
      <c r="DC458" s="163">
        <v>-20927546.66</v>
      </c>
      <c r="DD458" s="163">
        <v>-14655119.08</v>
      </c>
      <c r="DE458" s="163">
        <f>VLOOKUP($A458,'[2]Analysis 1'!$A$5:$DG$1025,109,FALSE)</f>
        <v>-10809759.82</v>
      </c>
      <c r="DF458" s="163">
        <f>VLOOKUP($A458,'[2]Analysis 1'!$A$5:$DG$1025,110,FALSE)</f>
        <v>-7572255.8600000003</v>
      </c>
      <c r="DG458" s="163">
        <f>VLOOKUP($A458,'[2]Analysis 1'!$A$5:$DG$1025,111,FALSE)</f>
        <v>-11015079.560000001</v>
      </c>
      <c r="DH458" s="369">
        <f t="shared" si="20"/>
        <v>-164441283.18000001</v>
      </c>
    </row>
    <row r="459" spans="1:112">
      <c r="A459" s="335" t="s">
        <v>1299</v>
      </c>
      <c r="D459" s="369">
        <v>-165948.49</v>
      </c>
      <c r="E459" s="369">
        <v>-166882.10999999999</v>
      </c>
      <c r="F459" s="369">
        <v>-121309.54</v>
      </c>
      <c r="G459" s="369">
        <v>-112241.89</v>
      </c>
      <c r="H459" s="369">
        <v>-88055.74</v>
      </c>
      <c r="I459" s="369">
        <v>-113233.28</v>
      </c>
      <c r="J459" s="369">
        <v>-79618.36</v>
      </c>
      <c r="K459" s="369">
        <v>-75572.460000000006</v>
      </c>
      <c r="L459" s="369">
        <v>-81371.37</v>
      </c>
      <c r="M459" s="369">
        <v>-74627.62</v>
      </c>
      <c r="N459" s="369">
        <v>-87419.69</v>
      </c>
      <c r="O459" s="369">
        <v>-128527.09</v>
      </c>
      <c r="P459" s="48">
        <v>-159362.96</v>
      </c>
      <c r="Q459" s="48">
        <v>-166911.39000000001</v>
      </c>
      <c r="R459" s="48">
        <v>-145933.60999999999</v>
      </c>
      <c r="S459" s="48">
        <v>-93775.51</v>
      </c>
      <c r="T459" s="48">
        <v>-59842.21</v>
      </c>
      <c r="U459" s="48">
        <v>-64270.78</v>
      </c>
      <c r="V459" s="48">
        <v>-64779.32</v>
      </c>
      <c r="W459" s="48">
        <v>-112866.18</v>
      </c>
      <c r="X459" s="48">
        <v>-72812.73</v>
      </c>
      <c r="Y459" s="48">
        <v>-91536.78</v>
      </c>
      <c r="Z459" s="48">
        <v>-81435.16</v>
      </c>
      <c r="AA459" s="48">
        <v>-104209.01</v>
      </c>
      <c r="AB459" s="48">
        <v>-156894.09</v>
      </c>
      <c r="AC459" s="48">
        <v>-191571.76</v>
      </c>
      <c r="AD459" s="48">
        <v>-135848.59</v>
      </c>
      <c r="AE459" s="163">
        <v>-126080.26</v>
      </c>
      <c r="AF459" s="163">
        <v>-113589.87</v>
      </c>
      <c r="AG459" s="163">
        <v>-83154.490000000005</v>
      </c>
      <c r="AH459" s="163">
        <v>-75330.259999999995</v>
      </c>
      <c r="AI459" s="163">
        <v>-91408.17</v>
      </c>
      <c r="AJ459" s="163">
        <v>-92050.96</v>
      </c>
      <c r="AK459" s="163">
        <v>-114235.31</v>
      </c>
      <c r="AL459" s="163">
        <v>-85939.91</v>
      </c>
      <c r="AM459" s="163">
        <v>-87662.22</v>
      </c>
      <c r="AN459" s="163">
        <v>-198565.1</v>
      </c>
      <c r="AO459" s="163">
        <v>-31129.7</v>
      </c>
      <c r="AP459" s="163">
        <v>-179902.62</v>
      </c>
      <c r="AQ459" s="163">
        <v>-80670.740000000005</v>
      </c>
      <c r="AR459" s="163">
        <v>-80640.210000000006</v>
      </c>
      <c r="AS459" s="163">
        <v>-75047.81</v>
      </c>
      <c r="AT459" s="163">
        <v>-163265.99</v>
      </c>
      <c r="AU459" s="163">
        <v>214237.54</v>
      </c>
      <c r="AV459" s="163">
        <v>-325184.90999999997</v>
      </c>
      <c r="AW459" s="163">
        <v>-86920.65</v>
      </c>
      <c r="AX459" s="163">
        <v>-125341.17</v>
      </c>
      <c r="AY459" s="163">
        <v>-149230.22</v>
      </c>
      <c r="AZ459" s="163">
        <v>-288733.65000000002</v>
      </c>
      <c r="BA459" s="163">
        <v>-204535.92</v>
      </c>
      <c r="BB459" s="163">
        <v>-119266.63</v>
      </c>
      <c r="BC459" s="163">
        <v>-150137.54</v>
      </c>
      <c r="BD459" s="163">
        <v>-115486.59</v>
      </c>
      <c r="BE459" s="163">
        <v>-103906.31</v>
      </c>
      <c r="BF459" s="163">
        <v>-89116.34</v>
      </c>
      <c r="BG459" s="163">
        <v>-29335.15</v>
      </c>
      <c r="BH459" s="163">
        <v>-67705.3</v>
      </c>
      <c r="BI459" s="163">
        <v>-63543.24</v>
      </c>
      <c r="BJ459" s="163">
        <v>-28996.27</v>
      </c>
      <c r="BK459" s="163">
        <v>-252207.23</v>
      </c>
      <c r="BL459" s="163">
        <v>-161211.5</v>
      </c>
      <c r="BM459" s="163">
        <v>-182769.23</v>
      </c>
      <c r="BN459" s="163">
        <v>-112509.57</v>
      </c>
      <c r="BO459" s="163">
        <v>-113299.19</v>
      </c>
      <c r="BP459" s="163">
        <v>-95702.66</v>
      </c>
      <c r="BQ459" s="163">
        <v>-82360.14</v>
      </c>
      <c r="BR459" s="163">
        <v>-76542.11</v>
      </c>
      <c r="BS459" s="163">
        <v>-64481.71</v>
      </c>
      <c r="BT459" s="163">
        <v>-88937.27</v>
      </c>
      <c r="BU459" s="163">
        <v>-72548.789999999994</v>
      </c>
      <c r="BV459" s="163">
        <v>-87238.74</v>
      </c>
      <c r="BW459" s="163">
        <v>-306546.28999999998</v>
      </c>
      <c r="BX459" s="163">
        <v>-188425.51</v>
      </c>
      <c r="BY459" s="163">
        <v>-234475.11</v>
      </c>
      <c r="BZ459" s="163">
        <v>-175939.58</v>
      </c>
      <c r="CA459" s="163">
        <v>-114337.92</v>
      </c>
      <c r="CB459" s="163">
        <v>-116862.89</v>
      </c>
      <c r="CC459" s="163">
        <v>-105380.95</v>
      </c>
      <c r="CD459" s="163">
        <v>-102841.73</v>
      </c>
      <c r="CE459" s="163">
        <v>-104990.64</v>
      </c>
      <c r="CF459" s="163">
        <v>-116284.89</v>
      </c>
      <c r="CG459" s="163">
        <v>-130430.25</v>
      </c>
      <c r="CH459" s="163">
        <v>-177622.98</v>
      </c>
      <c r="CI459" s="163">
        <v>-223183.14</v>
      </c>
      <c r="CJ459" s="163">
        <v>-349770.53</v>
      </c>
      <c r="CK459" s="163">
        <v>-322502.15999999997</v>
      </c>
      <c r="CL459" s="163">
        <v>-230557.2</v>
      </c>
      <c r="CM459" s="163">
        <v>-285136.31</v>
      </c>
      <c r="CN459" s="163">
        <v>-230476.35</v>
      </c>
      <c r="CO459" s="163">
        <v>-183791.69</v>
      </c>
      <c r="CP459" s="163">
        <v>-140282.75</v>
      </c>
      <c r="CQ459" s="163">
        <v>-241856.37</v>
      </c>
      <c r="CR459" s="163">
        <v>-202987.19</v>
      </c>
      <c r="CS459" s="163">
        <v>-206737.67</v>
      </c>
      <c r="CT459" s="163">
        <v>-221283.58</v>
      </c>
      <c r="CU459" s="163">
        <v>-251478.85</v>
      </c>
      <c r="CV459" s="163">
        <v>-291023.95</v>
      </c>
      <c r="CW459" s="163">
        <v>-617714.02</v>
      </c>
      <c r="CX459" s="163">
        <v>-295585.51</v>
      </c>
      <c r="CY459" s="163">
        <v>-305091.51</v>
      </c>
      <c r="CZ459" s="163">
        <v>-228086.82</v>
      </c>
      <c r="DA459" s="163">
        <v>-215889.52</v>
      </c>
      <c r="DB459" s="163">
        <v>-159402.96</v>
      </c>
      <c r="DC459" s="163">
        <v>-209619.7</v>
      </c>
      <c r="DD459" s="163">
        <v>-234697.91</v>
      </c>
      <c r="DE459" s="163">
        <f>VLOOKUP($A459,'[2]Analysis 1'!$A$5:$DG$1025,109,FALSE)</f>
        <v>-279372.07</v>
      </c>
      <c r="DF459" s="163">
        <f>VLOOKUP($A459,'[2]Analysis 1'!$A$5:$DG$1025,110,FALSE)</f>
        <v>-252397.56</v>
      </c>
      <c r="DG459" s="163">
        <f>VLOOKUP($A459,'[2]Analysis 1'!$A$5:$DG$1025,111,FALSE)</f>
        <v>-248077.57</v>
      </c>
      <c r="DH459" s="369">
        <f t="shared" si="20"/>
        <v>-3336959.1</v>
      </c>
    </row>
    <row r="460" spans="1:112">
      <c r="A460" s="335" t="s">
        <v>1300</v>
      </c>
      <c r="D460" s="369">
        <v>-87247.01</v>
      </c>
      <c r="E460" s="369">
        <v>-96255.7</v>
      </c>
      <c r="F460" s="369">
        <v>-92056.61</v>
      </c>
      <c r="G460" s="369">
        <v>-89213.83</v>
      </c>
      <c r="H460" s="369">
        <v>-77492.5</v>
      </c>
      <c r="I460" s="369">
        <v>-61370.03</v>
      </c>
      <c r="J460" s="369">
        <v>-83041.899999999994</v>
      </c>
      <c r="K460" s="369">
        <v>-63714.47</v>
      </c>
      <c r="L460" s="369">
        <v>-66933.72</v>
      </c>
      <c r="M460" s="369">
        <v>-65930.600000000006</v>
      </c>
      <c r="N460" s="369">
        <v>-55364.42</v>
      </c>
      <c r="O460" s="369">
        <v>-84632.61</v>
      </c>
      <c r="P460" s="48">
        <v>-87423.9</v>
      </c>
      <c r="Q460" s="48">
        <v>-89152.35</v>
      </c>
      <c r="R460" s="48">
        <v>-84691.04</v>
      </c>
      <c r="S460" s="48">
        <v>-80392.259999999995</v>
      </c>
      <c r="T460" s="48">
        <v>-72940.820000000007</v>
      </c>
      <c r="U460" s="48">
        <v>-61978.98</v>
      </c>
      <c r="V460" s="48">
        <v>-67374.3</v>
      </c>
      <c r="W460" s="48">
        <v>-65541.210000000006</v>
      </c>
      <c r="X460" s="48">
        <v>-64531.85</v>
      </c>
      <c r="Y460" s="48">
        <v>-67554.8</v>
      </c>
      <c r="Z460" s="48">
        <v>-55547.86</v>
      </c>
      <c r="AA460" s="48">
        <v>-85259.37</v>
      </c>
      <c r="AB460" s="48">
        <v>-83397.03</v>
      </c>
      <c r="AC460" s="48">
        <v>-83231.009999999995</v>
      </c>
      <c r="AD460" s="48">
        <v>-101891.83</v>
      </c>
      <c r="AE460" s="163">
        <v>-82907.240000000005</v>
      </c>
      <c r="AF460" s="163">
        <v>-74399.78</v>
      </c>
      <c r="AG460" s="163">
        <v>-88287.29</v>
      </c>
      <c r="AH460" s="163">
        <v>-71623.55</v>
      </c>
      <c r="AI460" s="163">
        <v>-67213.05</v>
      </c>
      <c r="AJ460" s="163">
        <v>-66750.03</v>
      </c>
      <c r="AK460" s="163">
        <v>-72295.350000000006</v>
      </c>
      <c r="AL460" s="163">
        <v>-72659.210000000006</v>
      </c>
      <c r="AM460" s="163">
        <v>-77624.399999999994</v>
      </c>
      <c r="AN460" s="163">
        <v>-59316.46</v>
      </c>
      <c r="AO460" s="163">
        <v>-151333.35999999999</v>
      </c>
      <c r="AP460" s="163">
        <v>-128907.76</v>
      </c>
      <c r="AQ460" s="163">
        <v>-124259.41</v>
      </c>
      <c r="AR460" s="163">
        <v>-124490.84</v>
      </c>
      <c r="AS460" s="163">
        <v>-113303.96</v>
      </c>
      <c r="AT460" s="163">
        <v>-96809.73</v>
      </c>
      <c r="AU460" s="163">
        <v>-85436.47</v>
      </c>
      <c r="AV460" s="163">
        <v>-58089.18</v>
      </c>
      <c r="AW460" s="163">
        <v>-87568.86</v>
      </c>
      <c r="AX460" s="163">
        <v>-92341.759999999995</v>
      </c>
      <c r="AY460" s="163">
        <v>-100712.94</v>
      </c>
      <c r="AZ460" s="163">
        <v>-136915.21</v>
      </c>
      <c r="BA460" s="163">
        <v>-152350.26</v>
      </c>
      <c r="BB460" s="163">
        <v>-135306.41</v>
      </c>
      <c r="BC460" s="163">
        <v>-120362.92</v>
      </c>
      <c r="BD460" s="163">
        <v>-107479.67999999999</v>
      </c>
      <c r="BE460" s="163">
        <v>-108178.03</v>
      </c>
      <c r="BF460" s="163">
        <v>-81021.48</v>
      </c>
      <c r="BG460" s="163">
        <v>-93145.66</v>
      </c>
      <c r="BH460" s="163">
        <v>-93797.8</v>
      </c>
      <c r="BI460" s="163">
        <v>-92860.57</v>
      </c>
      <c r="BJ460" s="163">
        <v>-92318.16</v>
      </c>
      <c r="BK460" s="163">
        <v>-102418.29</v>
      </c>
      <c r="BL460" s="163">
        <v>-122474.71</v>
      </c>
      <c r="BM460" s="163">
        <v>-104745.17</v>
      </c>
      <c r="BN460" s="163">
        <v>-101191.82</v>
      </c>
      <c r="BO460" s="163">
        <v>-90192.52</v>
      </c>
      <c r="BP460" s="163">
        <v>-95436.56</v>
      </c>
      <c r="BQ460" s="163">
        <v>-81788.81</v>
      </c>
      <c r="BR460" s="163">
        <v>-79095.179999999993</v>
      </c>
      <c r="BS460" s="163">
        <v>-82562.100000000006</v>
      </c>
      <c r="BT460" s="163">
        <v>-80215.199999999997</v>
      </c>
      <c r="BU460" s="163">
        <v>-78789.2</v>
      </c>
      <c r="BV460" s="163">
        <v>-75675.8</v>
      </c>
      <c r="BW460" s="163">
        <v>-86066.92</v>
      </c>
      <c r="BX460" s="163">
        <v>-109351.41</v>
      </c>
      <c r="BY460" s="163">
        <v>-96150.71</v>
      </c>
      <c r="BZ460" s="163">
        <v>-95243.34</v>
      </c>
      <c r="CA460" s="163">
        <v>-125154.01</v>
      </c>
      <c r="CB460" s="163">
        <v>-125404.42</v>
      </c>
      <c r="CC460" s="163">
        <v>-118230.31</v>
      </c>
      <c r="CD460" s="163">
        <v>-111280.65</v>
      </c>
      <c r="CE460" s="163">
        <v>-107101.89</v>
      </c>
      <c r="CF460" s="163">
        <v>-77071.8</v>
      </c>
      <c r="CG460" s="163">
        <v>-100031.24</v>
      </c>
      <c r="CH460" s="163">
        <v>-96374.31</v>
      </c>
      <c r="CI460" s="163">
        <v>-96654.77</v>
      </c>
      <c r="CJ460" s="163">
        <v>-119228.77</v>
      </c>
      <c r="CK460" s="163">
        <v>-130606.05</v>
      </c>
      <c r="CL460" s="163">
        <v>-133259.43</v>
      </c>
      <c r="CM460" s="163">
        <v>-103588.7</v>
      </c>
      <c r="CN460" s="163">
        <v>-116765.87</v>
      </c>
      <c r="CO460" s="163">
        <v>-114304.89</v>
      </c>
      <c r="CP460" s="163">
        <v>-88348.87</v>
      </c>
      <c r="CQ460" s="163">
        <v>-97463.65</v>
      </c>
      <c r="CR460" s="163">
        <v>-98512.4</v>
      </c>
      <c r="CS460" s="163">
        <v>-86061.9</v>
      </c>
      <c r="CT460" s="163">
        <v>-95425.25</v>
      </c>
      <c r="CU460" s="163">
        <v>-112683.27</v>
      </c>
      <c r="CV460" s="163">
        <v>-129742.77</v>
      </c>
      <c r="CW460" s="163">
        <v>-126915.26</v>
      </c>
      <c r="CX460" s="163">
        <v>-129695.91</v>
      </c>
      <c r="CY460" s="163">
        <v>-110652.56</v>
      </c>
      <c r="CZ460" s="163">
        <v>-113565.37</v>
      </c>
      <c r="DA460" s="163">
        <v>-112833.55</v>
      </c>
      <c r="DB460" s="163">
        <v>-108117.42</v>
      </c>
      <c r="DC460" s="163">
        <v>-105940.48</v>
      </c>
      <c r="DD460" s="163">
        <v>-117793.88</v>
      </c>
      <c r="DE460" s="163">
        <f>VLOOKUP($A460,'[2]Analysis 1'!$A$5:$DG$1025,109,FALSE)</f>
        <v>-111403.97</v>
      </c>
      <c r="DF460" s="163">
        <f>VLOOKUP($A460,'[2]Analysis 1'!$A$5:$DG$1025,110,FALSE)</f>
        <v>-118920.17</v>
      </c>
      <c r="DG460" s="163">
        <f>VLOOKUP($A460,'[2]Analysis 1'!$A$5:$DG$1025,111,FALSE)</f>
        <v>-118443.07</v>
      </c>
      <c r="DH460" s="369">
        <f t="shared" si="20"/>
        <v>-1404024.4100000001</v>
      </c>
    </row>
    <row r="461" spans="1:112">
      <c r="A461" s="335" t="s">
        <v>1301</v>
      </c>
      <c r="D461" s="369">
        <v>-421018.33</v>
      </c>
      <c r="E461" s="369">
        <v>-475784.35</v>
      </c>
      <c r="F461" s="369">
        <v>-471211.45</v>
      </c>
      <c r="G461" s="369">
        <v>-437964.28</v>
      </c>
      <c r="H461" s="369">
        <v>-424133.32</v>
      </c>
      <c r="I461" s="369">
        <v>-470602.64</v>
      </c>
      <c r="J461" s="369">
        <v>-426526.2</v>
      </c>
      <c r="K461" s="369">
        <v>-528085.31999999995</v>
      </c>
      <c r="L461" s="369">
        <v>-442374.06</v>
      </c>
      <c r="M461" s="369">
        <v>-479358.86</v>
      </c>
      <c r="N461" s="369">
        <v>-443372.39</v>
      </c>
      <c r="O461" s="369">
        <v>-416299.14</v>
      </c>
      <c r="P461" s="48">
        <v>-439447.39</v>
      </c>
      <c r="Q461" s="48">
        <v>-469614.67</v>
      </c>
      <c r="R461" s="48">
        <v>-449307.58</v>
      </c>
      <c r="S461" s="48">
        <v>-421529.28</v>
      </c>
      <c r="T461" s="48">
        <v>-449271.15</v>
      </c>
      <c r="U461" s="48">
        <v>-442903.77</v>
      </c>
      <c r="V461" s="48">
        <v>-432348.32</v>
      </c>
      <c r="W461" s="48">
        <v>-442745.94</v>
      </c>
      <c r="X461" s="48">
        <v>-407370.4</v>
      </c>
      <c r="Y461" s="48">
        <v>-435476.32</v>
      </c>
      <c r="Z461" s="48">
        <v>-421043.35</v>
      </c>
      <c r="AA461" s="48">
        <v>-400128.89</v>
      </c>
      <c r="AB461" s="48">
        <v>-409264.1</v>
      </c>
      <c r="AC461" s="48">
        <v>-423491.46</v>
      </c>
      <c r="AD461" s="48">
        <v>-461614.33</v>
      </c>
      <c r="AE461" s="163">
        <v>-424678.35</v>
      </c>
      <c r="AF461" s="163">
        <v>-331902.67</v>
      </c>
      <c r="AG461" s="163">
        <v>-419044.02</v>
      </c>
      <c r="AH461" s="163">
        <v>-434678.74</v>
      </c>
      <c r="AI461" s="163">
        <v>-433429.26</v>
      </c>
      <c r="AJ461" s="163">
        <v>-399914.12</v>
      </c>
      <c r="AK461" s="163">
        <v>-399405.89</v>
      </c>
      <c r="AL461" s="163">
        <v>-432082.57</v>
      </c>
      <c r="AM461" s="163">
        <v>-390446.5</v>
      </c>
      <c r="AN461" s="163">
        <v>-243411.03</v>
      </c>
      <c r="AO461" s="163">
        <v>-294177.68</v>
      </c>
      <c r="AP461" s="163">
        <v>-413394.35</v>
      </c>
      <c r="AQ461" s="163">
        <v>-388846</v>
      </c>
      <c r="AR461" s="163">
        <v>-467178.26</v>
      </c>
      <c r="AS461" s="163">
        <v>-476988.71</v>
      </c>
      <c r="AT461" s="163">
        <v>-423292.12</v>
      </c>
      <c r="AU461" s="163">
        <v>-456877.53</v>
      </c>
      <c r="AV461" s="163">
        <v>-301884.12</v>
      </c>
      <c r="AW461" s="163">
        <v>-413744.41</v>
      </c>
      <c r="AX461" s="163">
        <v>-409031.17</v>
      </c>
      <c r="AY461" s="163">
        <v>-391010.03</v>
      </c>
      <c r="AZ461" s="163">
        <v>-412890.3</v>
      </c>
      <c r="BA461" s="163">
        <v>-408954.67</v>
      </c>
      <c r="BB461" s="163">
        <v>-463208.14</v>
      </c>
      <c r="BC461" s="163">
        <v>-445235.3</v>
      </c>
      <c r="BD461" s="163">
        <v>-446894.71</v>
      </c>
      <c r="BE461" s="163">
        <v>-456228.17</v>
      </c>
      <c r="BF461" s="163">
        <v>-458310.96</v>
      </c>
      <c r="BG461" s="163">
        <v>-486360.24</v>
      </c>
      <c r="BH461" s="163">
        <v>-383708.17</v>
      </c>
      <c r="BI461" s="163">
        <v>-384461.23</v>
      </c>
      <c r="BJ461" s="163">
        <v>-442561.62</v>
      </c>
      <c r="BK461" s="163">
        <v>-393228.36</v>
      </c>
      <c r="BL461" s="163">
        <v>-472429.47</v>
      </c>
      <c r="BM461" s="163">
        <v>-482821.29</v>
      </c>
      <c r="BN461" s="163">
        <v>-506963.34</v>
      </c>
      <c r="BO461" s="163">
        <v>-466686.79</v>
      </c>
      <c r="BP461" s="163">
        <v>-499074.3</v>
      </c>
      <c r="BQ461" s="163">
        <v>-464094.94</v>
      </c>
      <c r="BR461" s="163">
        <v>-482937.84</v>
      </c>
      <c r="BS461" s="163">
        <v>-487254.71</v>
      </c>
      <c r="BT461" s="163">
        <v>-417003.1</v>
      </c>
      <c r="BU461" s="163">
        <v>-479483.97</v>
      </c>
      <c r="BV461" s="163">
        <v>-436085.34</v>
      </c>
      <c r="BW461" s="163">
        <v>-435804.28</v>
      </c>
      <c r="BX461" s="163">
        <v>-423268.57</v>
      </c>
      <c r="BY461" s="163">
        <v>-439073.36</v>
      </c>
      <c r="BZ461" s="163">
        <v>-426433.48</v>
      </c>
      <c r="CA461" s="163">
        <v>-335965.89</v>
      </c>
      <c r="CB461" s="163">
        <v>-322862.14</v>
      </c>
      <c r="CC461" s="163">
        <v>-374424.28</v>
      </c>
      <c r="CD461" s="163">
        <v>-404832.37</v>
      </c>
      <c r="CE461" s="163">
        <v>-376759.39</v>
      </c>
      <c r="CF461" s="163">
        <v>-405163.74</v>
      </c>
      <c r="CG461" s="163">
        <v>-444455.97</v>
      </c>
      <c r="CH461" s="163">
        <v>-397134.71</v>
      </c>
      <c r="CI461" s="163">
        <v>-447280.97</v>
      </c>
      <c r="CJ461" s="163">
        <v>-462238.48</v>
      </c>
      <c r="CK461" s="163">
        <v>-475986.49</v>
      </c>
      <c r="CL461" s="163">
        <v>-163632.63</v>
      </c>
      <c r="CM461" s="163">
        <v>-501173.7</v>
      </c>
      <c r="CN461" s="163">
        <v>-430484.34</v>
      </c>
      <c r="CO461" s="163">
        <v>-551564.22</v>
      </c>
      <c r="CP461" s="163">
        <v>-494371.1</v>
      </c>
      <c r="CQ461" s="163">
        <v>-534344.15</v>
      </c>
      <c r="CR461" s="163">
        <v>-504454.05</v>
      </c>
      <c r="CS461" s="163">
        <v>-524164.94</v>
      </c>
      <c r="CT461" s="163">
        <v>-503053.13</v>
      </c>
      <c r="CU461" s="163">
        <v>-494807.79</v>
      </c>
      <c r="CV461" s="163">
        <v>-487715.09</v>
      </c>
      <c r="CW461" s="163">
        <v>-540252.21</v>
      </c>
      <c r="CX461" s="163">
        <v>-591709.68000000005</v>
      </c>
      <c r="CY461" s="163">
        <v>-565165.56999999995</v>
      </c>
      <c r="CZ461" s="163">
        <v>-545648.17000000004</v>
      </c>
      <c r="DA461" s="163">
        <v>-589885.56999999995</v>
      </c>
      <c r="DB461" s="163">
        <v>-563214.78</v>
      </c>
      <c r="DC461" s="163">
        <v>-580498.67000000004</v>
      </c>
      <c r="DD461" s="163">
        <v>-525588.42000000004</v>
      </c>
      <c r="DE461" s="163">
        <f>VLOOKUP($A461,'[2]Analysis 1'!$A$5:$DG$1025,109,FALSE)</f>
        <v>-580850.26</v>
      </c>
      <c r="DF461" s="163">
        <f>VLOOKUP($A461,'[2]Analysis 1'!$A$5:$DG$1025,110,FALSE)</f>
        <v>-587255.47</v>
      </c>
      <c r="DG461" s="163">
        <f>VLOOKUP($A461,'[2]Analysis 1'!$A$5:$DG$1025,111,FALSE)</f>
        <v>-541362.14</v>
      </c>
      <c r="DH461" s="369">
        <f t="shared" si="20"/>
        <v>-6699146.0299999984</v>
      </c>
    </row>
    <row r="462" spans="1:112">
      <c r="A462" s="335" t="s">
        <v>1302</v>
      </c>
      <c r="D462" s="369">
        <v>-11943251.99</v>
      </c>
      <c r="E462" s="369">
        <v>-10535694.85</v>
      </c>
      <c r="F462" s="369">
        <v>-10405118.189999999</v>
      </c>
      <c r="G462" s="369">
        <v>-9980002.3599999994</v>
      </c>
      <c r="H462" s="369">
        <v>-9022179.2599999998</v>
      </c>
      <c r="I462" s="369">
        <v>-9318419.4700000007</v>
      </c>
      <c r="J462" s="369">
        <v>-8772751.5</v>
      </c>
      <c r="K462" s="369">
        <v>-8512452.6300000008</v>
      </c>
      <c r="L462" s="369">
        <v>-9075950.3399999999</v>
      </c>
      <c r="M462" s="369">
        <v>-9025448.5399999991</v>
      </c>
      <c r="N462" s="369">
        <v>-9509783.5299999993</v>
      </c>
      <c r="O462" s="369">
        <v>-10406120.18</v>
      </c>
      <c r="P462" s="48">
        <v>-11819909.710000001</v>
      </c>
      <c r="Q462" s="48">
        <v>-11140707.640000001</v>
      </c>
      <c r="R462" s="48">
        <v>-11365728.9</v>
      </c>
      <c r="S462" s="48">
        <v>-9904956.1400000006</v>
      </c>
      <c r="T462" s="48">
        <v>-8871982.8300000001</v>
      </c>
      <c r="U462" s="48">
        <v>-9680302.2699999996</v>
      </c>
      <c r="V462" s="48">
        <v>-9090107.0899999999</v>
      </c>
      <c r="W462" s="48">
        <v>-9414621.6999999993</v>
      </c>
      <c r="X462" s="48">
        <v>-9058762.7200000007</v>
      </c>
      <c r="Y462" s="48">
        <v>-9403565.7400000002</v>
      </c>
      <c r="Z462" s="48">
        <v>-9662872.7799999993</v>
      </c>
      <c r="AA462" s="48">
        <v>-10843337.43</v>
      </c>
      <c r="AB462" s="48">
        <v>-12585990.960000001</v>
      </c>
      <c r="AC462" s="48">
        <v>-12141245.85</v>
      </c>
      <c r="AD462" s="48">
        <v>-11341708.26</v>
      </c>
      <c r="AE462" s="163">
        <v>-10204189.99</v>
      </c>
      <c r="AF462" s="163">
        <v>-9205342.7400000002</v>
      </c>
      <c r="AG462" s="163">
        <v>-9869249.0800000001</v>
      </c>
      <c r="AH462" s="163">
        <v>-9837700.5299999993</v>
      </c>
      <c r="AI462" s="163">
        <v>-9134831.5299999993</v>
      </c>
      <c r="AJ462" s="163">
        <v>-9747761.8599999994</v>
      </c>
      <c r="AK462" s="163">
        <v>-9423413.6300000008</v>
      </c>
      <c r="AL462" s="163">
        <v>-10353763.59</v>
      </c>
      <c r="AM462" s="163">
        <v>-11479965.49</v>
      </c>
      <c r="AN462" s="163">
        <v>-12140407.439999999</v>
      </c>
      <c r="AO462" s="163">
        <v>-10869644.689999999</v>
      </c>
      <c r="AP462" s="163">
        <v>-11213314.75</v>
      </c>
      <c r="AQ462" s="163">
        <v>-11244187.710000001</v>
      </c>
      <c r="AR462" s="163">
        <v>-10297020.970000001</v>
      </c>
      <c r="AS462" s="163">
        <v>-10046835.949999999</v>
      </c>
      <c r="AT462" s="163">
        <v>-9682893.75</v>
      </c>
      <c r="AU462" s="163">
        <v>-9801278.1999999993</v>
      </c>
      <c r="AV462" s="163">
        <v>-9992110.3200000003</v>
      </c>
      <c r="AW462" s="163">
        <v>-9514300.2899999991</v>
      </c>
      <c r="AX462" s="163">
        <v>-10419917.73</v>
      </c>
      <c r="AY462" s="163">
        <v>-11878946.57</v>
      </c>
      <c r="AZ462" s="163">
        <v>-13550003.609999999</v>
      </c>
      <c r="BA462" s="163">
        <v>-11770843.25</v>
      </c>
      <c r="BB462" s="163">
        <v>-11442781.119999999</v>
      </c>
      <c r="BC462" s="163">
        <v>-12168870.01</v>
      </c>
      <c r="BD462" s="163">
        <v>-10438936.16</v>
      </c>
      <c r="BE462" s="163">
        <v>-10476016.75</v>
      </c>
      <c r="BF462" s="163">
        <v>-10212484.289999999</v>
      </c>
      <c r="BG462" s="163">
        <v>-9872127.1799999997</v>
      </c>
      <c r="BH462" s="163">
        <v>-10431592.560000001</v>
      </c>
      <c r="BI462" s="163">
        <v>-9919669.3599999994</v>
      </c>
      <c r="BJ462" s="163">
        <v>-10599696.67</v>
      </c>
      <c r="BK462" s="163">
        <v>-11963777.710000001</v>
      </c>
      <c r="BL462" s="163">
        <v>-12357374.34</v>
      </c>
      <c r="BM462" s="163">
        <v>-11134893.68</v>
      </c>
      <c r="BN462" s="163">
        <v>-12250981.83</v>
      </c>
      <c r="BO462" s="163">
        <v>-10795399.65</v>
      </c>
      <c r="BP462" s="163">
        <v>-10834442.310000001</v>
      </c>
      <c r="BQ462" s="163">
        <v>-9817906.3200000003</v>
      </c>
      <c r="BR462" s="163">
        <v>-9654589.8100000005</v>
      </c>
      <c r="BS462" s="163">
        <v>-9648147.1799999997</v>
      </c>
      <c r="BT462" s="163">
        <v>-9890476.5999999996</v>
      </c>
      <c r="BU462" s="163">
        <v>-9912051.3599999994</v>
      </c>
      <c r="BV462" s="163">
        <v>-11241012.220000001</v>
      </c>
      <c r="BW462" s="163">
        <v>-11551435.51</v>
      </c>
      <c r="BX462" s="163">
        <v>-12667609.789999999</v>
      </c>
      <c r="BY462" s="163">
        <v>-11769647.039999999</v>
      </c>
      <c r="BZ462" s="163">
        <v>-11410547.52</v>
      </c>
      <c r="CA462" s="163">
        <v>-8805524.9199999999</v>
      </c>
      <c r="CB462" s="163">
        <v>-8621919.9199999999</v>
      </c>
      <c r="CC462" s="163">
        <v>-9427528.4800000004</v>
      </c>
      <c r="CD462" s="163">
        <v>-9195331.5399999991</v>
      </c>
      <c r="CE462" s="163">
        <v>-9283169.9600000009</v>
      </c>
      <c r="CF462" s="163">
        <v>-9174239.25</v>
      </c>
      <c r="CG462" s="163">
        <v>-9704281.8599999994</v>
      </c>
      <c r="CH462" s="163">
        <v>-10364671.24</v>
      </c>
      <c r="CI462" s="163">
        <v>-11738883.960000001</v>
      </c>
      <c r="CJ462" s="163">
        <v>-15958239.76</v>
      </c>
      <c r="CK462" s="163">
        <v>-13425716.07</v>
      </c>
      <c r="CL462" s="163">
        <v>-14168557.68</v>
      </c>
      <c r="CM462" s="163">
        <v>-14182676.550000001</v>
      </c>
      <c r="CN462" s="163">
        <v>-12699279.65</v>
      </c>
      <c r="CO462" s="163">
        <v>-12576186.130000001</v>
      </c>
      <c r="CP462" s="163">
        <v>-12501449.189999999</v>
      </c>
      <c r="CQ462" s="163">
        <v>-11703410.25</v>
      </c>
      <c r="CR462" s="163">
        <v>-12284261.43</v>
      </c>
      <c r="CS462" s="163">
        <v>-12188227.25</v>
      </c>
      <c r="CT462" s="163">
        <v>-13099671.1</v>
      </c>
      <c r="CU462" s="163">
        <v>-14977732.189999999</v>
      </c>
      <c r="CV462" s="163">
        <v>-15892098.189999999</v>
      </c>
      <c r="CW462" s="163">
        <v>-14288945.220000001</v>
      </c>
      <c r="CX462" s="163">
        <v>-14384547.09</v>
      </c>
      <c r="CY462" s="163">
        <v>-14169633.029999999</v>
      </c>
      <c r="CZ462" s="163">
        <v>-13891210.220000001</v>
      </c>
      <c r="DA462" s="163">
        <v>-12623833.01</v>
      </c>
      <c r="DB462" s="163">
        <v>-12490757.050000001</v>
      </c>
      <c r="DC462" s="163">
        <v>-12150798.949999999</v>
      </c>
      <c r="DD462" s="163">
        <v>-12108567.810000001</v>
      </c>
      <c r="DE462" s="163">
        <f>VLOOKUP($A462,'[2]Analysis 1'!$A$5:$DG$1025,109,FALSE)</f>
        <v>-13874608.75</v>
      </c>
      <c r="DF462" s="163">
        <f>VLOOKUP($A462,'[2]Analysis 1'!$A$5:$DG$1025,110,FALSE)</f>
        <v>-13809819.4</v>
      </c>
      <c r="DG462" s="163">
        <f>VLOOKUP($A462,'[2]Analysis 1'!$A$5:$DG$1025,111,FALSE)</f>
        <v>-15287145.449999999</v>
      </c>
      <c r="DH462" s="369">
        <f t="shared" si="20"/>
        <v>-164971964.16999999</v>
      </c>
    </row>
    <row r="463" spans="1:112">
      <c r="A463" s="335" t="s">
        <v>1303</v>
      </c>
      <c r="D463" s="369">
        <v>-28854.44</v>
      </c>
      <c r="E463" s="369">
        <v>-27854.44</v>
      </c>
      <c r="F463" s="369">
        <v>-25854.44</v>
      </c>
      <c r="G463" s="369">
        <v>-100541.83</v>
      </c>
      <c r="H463" s="369">
        <v>-25854.44</v>
      </c>
      <c r="I463" s="369">
        <v>-25854.44</v>
      </c>
      <c r="J463" s="369">
        <v>-28854.44</v>
      </c>
      <c r="K463" s="369">
        <v>-25854.44</v>
      </c>
      <c r="L463" s="369">
        <v>-25854.44</v>
      </c>
      <c r="M463" s="369">
        <v>-25854.44</v>
      </c>
      <c r="N463" s="369">
        <v>-25854.44</v>
      </c>
      <c r="O463" s="369">
        <v>-28854.44</v>
      </c>
      <c r="P463" s="48">
        <v>-26138.27</v>
      </c>
      <c r="Q463" s="48">
        <v>-27959.439999999999</v>
      </c>
      <c r="R463" s="48">
        <v>-25954.44</v>
      </c>
      <c r="S463" s="48">
        <v>-25854.44</v>
      </c>
      <c r="T463" s="48">
        <v>-99736.98</v>
      </c>
      <c r="U463" s="48">
        <v>-28954.44</v>
      </c>
      <c r="V463" s="48">
        <v>-25954.44</v>
      </c>
      <c r="W463" s="48">
        <v>-25797.64</v>
      </c>
      <c r="X463" s="48">
        <v>-19784.2</v>
      </c>
      <c r="Y463" s="48">
        <v>-19784.2</v>
      </c>
      <c r="Z463" s="48">
        <v>-19784.2</v>
      </c>
      <c r="AA463" s="48">
        <v>-19784.2</v>
      </c>
      <c r="AB463" s="48">
        <v>-22588.06</v>
      </c>
      <c r="AC463" s="48">
        <v>-19784.2</v>
      </c>
      <c r="AD463" s="48">
        <v>-19784.2</v>
      </c>
      <c r="AE463" s="163">
        <v>-28123.84</v>
      </c>
      <c r="AF463" s="163">
        <v>-103826.86</v>
      </c>
      <c r="AG463" s="163">
        <v>-19784.2</v>
      </c>
      <c r="AH463" s="163">
        <v>-29522.55</v>
      </c>
      <c r="AI463" s="163">
        <v>-26718.82</v>
      </c>
      <c r="AJ463" s="163">
        <v>-26718.82</v>
      </c>
      <c r="AK463" s="163">
        <v>-26718.82</v>
      </c>
      <c r="AL463" s="163">
        <v>-29522.560000000001</v>
      </c>
      <c r="AM463" s="163">
        <v>-26718.83</v>
      </c>
      <c r="AN463" s="163">
        <v>-27918.83</v>
      </c>
      <c r="AO463" s="163">
        <v>-28718.83</v>
      </c>
      <c r="AP463" s="163">
        <v>-30690.080000000002</v>
      </c>
      <c r="AQ463" s="163">
        <v>-26718.83</v>
      </c>
      <c r="AR463" s="163">
        <v>-110589.11</v>
      </c>
      <c r="AS463" s="163">
        <v>-26718.83</v>
      </c>
      <c r="AT463" s="163">
        <v>-22494.26</v>
      </c>
      <c r="AU463" s="163">
        <v>-19690.53</v>
      </c>
      <c r="AV463" s="163">
        <v>-19690.53</v>
      </c>
      <c r="AW463" s="163">
        <v>-19690.53</v>
      </c>
      <c r="AX463" s="163">
        <v>-22494.26</v>
      </c>
      <c r="AY463" s="163">
        <v>-19690.53</v>
      </c>
      <c r="AZ463" s="163">
        <v>-19690.53</v>
      </c>
      <c r="BA463" s="163">
        <v>-19690.53</v>
      </c>
      <c r="BB463" s="163">
        <v>-20048.310000000001</v>
      </c>
      <c r="BC463" s="163">
        <v>-19690.53</v>
      </c>
      <c r="BD463" s="163">
        <v>-103196.03</v>
      </c>
      <c r="BE463" s="163">
        <v>-22494.26</v>
      </c>
      <c r="BF463" s="163">
        <v>-19690.53</v>
      </c>
      <c r="BG463" s="163">
        <v>-19690.53</v>
      </c>
      <c r="BH463" s="163">
        <v>-19690.53</v>
      </c>
      <c r="BI463" s="163">
        <v>-19690.53</v>
      </c>
      <c r="BJ463" s="163">
        <v>-19690.53</v>
      </c>
      <c r="BK463" s="163">
        <v>-19690.53</v>
      </c>
      <c r="BL463" s="163">
        <v>-12637.26</v>
      </c>
      <c r="BM463" s="163">
        <v>-9684</v>
      </c>
      <c r="BN463" s="163">
        <v>-7889.79</v>
      </c>
      <c r="BO463" s="163">
        <v>-7684</v>
      </c>
      <c r="BP463" s="163">
        <v>-7684</v>
      </c>
      <c r="BQ463" s="163">
        <v>-109746.03</v>
      </c>
      <c r="BR463" s="163">
        <v>-7684</v>
      </c>
      <c r="BS463" s="163">
        <v>-11635.46</v>
      </c>
      <c r="BT463" s="163">
        <v>-7684</v>
      </c>
      <c r="BU463" s="163">
        <v>-7684</v>
      </c>
      <c r="BV463" s="163">
        <v>-7684</v>
      </c>
      <c r="BW463" s="163">
        <v>-7684</v>
      </c>
      <c r="BX463" s="163">
        <v>-10487.73</v>
      </c>
      <c r="BY463" s="163">
        <v>-9684</v>
      </c>
      <c r="BZ463" s="163">
        <v>-7684</v>
      </c>
      <c r="CA463" s="163">
        <v>-7684</v>
      </c>
      <c r="CB463" s="163">
        <v>-114225.55</v>
      </c>
      <c r="CC463" s="163">
        <v>-7684</v>
      </c>
      <c r="CD463" s="163">
        <v>-10487.73</v>
      </c>
      <c r="CE463" s="163">
        <v>-7684</v>
      </c>
      <c r="CF463" s="163">
        <v>-7684</v>
      </c>
      <c r="CG463" s="163">
        <v>-7684</v>
      </c>
      <c r="CH463" s="163">
        <v>-7684</v>
      </c>
      <c r="CI463" s="163">
        <v>-7684</v>
      </c>
      <c r="CJ463" s="163">
        <v>-10487.73</v>
      </c>
      <c r="CK463" s="163">
        <v>-9684</v>
      </c>
      <c r="CL463" s="163">
        <v>-7684</v>
      </c>
      <c r="CM463" s="163">
        <v>-7684</v>
      </c>
      <c r="CN463" s="163">
        <v>-116215.81</v>
      </c>
      <c r="CO463" s="163">
        <v>-7684</v>
      </c>
      <c r="CP463" s="163">
        <v>-10487.74</v>
      </c>
      <c r="CQ463" s="163">
        <v>-7684</v>
      </c>
      <c r="CR463" s="163">
        <v>-7684</v>
      </c>
      <c r="CS463" s="163">
        <v>-7684</v>
      </c>
      <c r="CT463" s="163">
        <v>-7684</v>
      </c>
      <c r="CU463" s="163">
        <v>-7684</v>
      </c>
      <c r="CV463" s="163">
        <v>-10487.74</v>
      </c>
      <c r="CW463" s="163">
        <v>-9684</v>
      </c>
      <c r="CX463" s="163">
        <v>-7684</v>
      </c>
      <c r="CY463" s="163">
        <v>-7684</v>
      </c>
      <c r="CZ463" s="163">
        <v>-125480</v>
      </c>
      <c r="DA463" s="163">
        <v>-7684</v>
      </c>
      <c r="DB463" s="163">
        <v>-10487.74</v>
      </c>
      <c r="DC463" s="163">
        <v>-7684</v>
      </c>
      <c r="DD463" s="163">
        <v>-7684</v>
      </c>
      <c r="DE463" s="163">
        <f>VLOOKUP($A463,'[2]Analysis 1'!$A$5:$DG$1025,109,FALSE)</f>
        <v>-7684</v>
      </c>
      <c r="DF463" s="163">
        <f>VLOOKUP($A463,'[2]Analysis 1'!$A$5:$DG$1025,110,FALSE)</f>
        <v>-7684</v>
      </c>
      <c r="DG463" s="163">
        <f>VLOOKUP($A463,'[2]Analysis 1'!$A$5:$DG$1025,111,FALSE)</f>
        <v>-7684</v>
      </c>
      <c r="DH463" s="369">
        <f t="shared" si="20"/>
        <v>-217611.47999999998</v>
      </c>
    </row>
    <row r="464" spans="1:112">
      <c r="A464" s="335" t="s">
        <v>1304</v>
      </c>
      <c r="D464" s="369">
        <v>-4331727.76</v>
      </c>
      <c r="E464" s="369">
        <v>-5088541.9400000004</v>
      </c>
      <c r="F464" s="369">
        <v>-4839596.66</v>
      </c>
      <c r="G464" s="369">
        <v>-3370319.14</v>
      </c>
      <c r="H464" s="369">
        <v>-2792235.35</v>
      </c>
      <c r="I464" s="369">
        <v>-2677450.9700000002</v>
      </c>
      <c r="J464" s="369">
        <v>-2479842.3199999998</v>
      </c>
      <c r="K464" s="369">
        <v>-2343138.2400000002</v>
      </c>
      <c r="L464" s="369">
        <v>-2482034.56</v>
      </c>
      <c r="M464" s="369">
        <v>-2951548.24</v>
      </c>
      <c r="N464" s="369">
        <v>-2941154.39</v>
      </c>
      <c r="O464" s="369">
        <v>-3931951.7</v>
      </c>
      <c r="P464" s="48">
        <v>-4586536.8499999996</v>
      </c>
      <c r="Q464" s="48">
        <v>-4865614.3899999997</v>
      </c>
      <c r="R464" s="48">
        <v>-4895260.4800000004</v>
      </c>
      <c r="S464" s="48">
        <v>-3543651.96</v>
      </c>
      <c r="T464" s="48">
        <v>-2780710.77</v>
      </c>
      <c r="U464" s="48">
        <v>-2874032.88</v>
      </c>
      <c r="V464" s="48">
        <v>-3582661.22</v>
      </c>
      <c r="W464" s="48">
        <v>-2445385.94</v>
      </c>
      <c r="X464" s="48">
        <v>-2937118.23</v>
      </c>
      <c r="Y464" s="48">
        <v>-3085639.66</v>
      </c>
      <c r="Z464" s="48">
        <v>-3094127.28</v>
      </c>
      <c r="AA464" s="48">
        <v>-3634861.11</v>
      </c>
      <c r="AB464" s="48">
        <v>-4366929.8</v>
      </c>
      <c r="AC464" s="48">
        <v>-5756465.5</v>
      </c>
      <c r="AD464" s="48">
        <v>-4318152.78</v>
      </c>
      <c r="AE464" s="163">
        <v>-3392567.99</v>
      </c>
      <c r="AF464" s="163">
        <v>-3439816.9</v>
      </c>
      <c r="AG464" s="163">
        <v>-2841544.13</v>
      </c>
      <c r="AH464" s="163">
        <v>-2719152.99</v>
      </c>
      <c r="AI464" s="163">
        <v>-2443479.5099999998</v>
      </c>
      <c r="AJ464" s="163">
        <v>-2608560.4</v>
      </c>
      <c r="AK464" s="163">
        <v>-3112556.58</v>
      </c>
      <c r="AL464" s="163">
        <v>-2955341.35</v>
      </c>
      <c r="AM464" s="163">
        <v>-3683225.77</v>
      </c>
      <c r="AN464" s="163">
        <v>-4231725.46</v>
      </c>
      <c r="AO464" s="163">
        <v>-4180954.37</v>
      </c>
      <c r="AP464" s="163">
        <v>-3653266.39</v>
      </c>
      <c r="AQ464" s="163">
        <v>-3939952.78</v>
      </c>
      <c r="AR464" s="163">
        <v>-3085901.99</v>
      </c>
      <c r="AS464" s="163">
        <v>-2806333.22</v>
      </c>
      <c r="AT464" s="163">
        <v>-2542884.15</v>
      </c>
      <c r="AU464" s="163">
        <v>-2600483.89</v>
      </c>
      <c r="AV464" s="163">
        <v>-2698235.25</v>
      </c>
      <c r="AW464" s="163">
        <v>-2700629.84</v>
      </c>
      <c r="AX464" s="163">
        <v>-3194243.31</v>
      </c>
      <c r="AY464" s="163">
        <v>-4154754.7</v>
      </c>
      <c r="AZ464" s="163">
        <v>-6100424.8600000003</v>
      </c>
      <c r="BA464" s="163">
        <v>-5441539.4299999997</v>
      </c>
      <c r="BB464" s="163">
        <v>-5103745.08</v>
      </c>
      <c r="BC464" s="163">
        <v>-5263194.91</v>
      </c>
      <c r="BD464" s="163">
        <v>-4475518.4000000004</v>
      </c>
      <c r="BE464" s="163">
        <v>-4057171.95</v>
      </c>
      <c r="BF464" s="163">
        <v>-3735562.38</v>
      </c>
      <c r="BG464" s="163">
        <v>-3462575.71</v>
      </c>
      <c r="BH464" s="163">
        <v>-3830705.31</v>
      </c>
      <c r="BI464" s="163">
        <v>-4020081.88</v>
      </c>
      <c r="BJ464" s="163">
        <v>-3948227.06</v>
      </c>
      <c r="BK464" s="163">
        <v>-5530039.8799999999</v>
      </c>
      <c r="BL464" s="163">
        <v>-6087032.2999999998</v>
      </c>
      <c r="BM464" s="163">
        <v>-5960967.25</v>
      </c>
      <c r="BN464" s="163">
        <v>-5491310.5300000003</v>
      </c>
      <c r="BO464" s="163">
        <v>-4477421.43</v>
      </c>
      <c r="BP464" s="163">
        <v>-4127854</v>
      </c>
      <c r="BQ464" s="163">
        <v>-3639905.69</v>
      </c>
      <c r="BR464" s="163">
        <v>-3492498.57</v>
      </c>
      <c r="BS464" s="163">
        <v>-3948963.8399999999</v>
      </c>
      <c r="BT464" s="163">
        <v>-4139904.29</v>
      </c>
      <c r="BU464" s="163">
        <v>-4225190.59</v>
      </c>
      <c r="BV464" s="163">
        <v>-4619205.33</v>
      </c>
      <c r="BW464" s="163">
        <v>-6212634.5199999996</v>
      </c>
      <c r="BX464" s="163">
        <v>-6898108.9299999997</v>
      </c>
      <c r="BY464" s="163">
        <v>-6793191.4800000004</v>
      </c>
      <c r="BZ464" s="163">
        <v>-6167630.1600000001</v>
      </c>
      <c r="CA464" s="163">
        <v>-4748576.43</v>
      </c>
      <c r="CB464" s="163">
        <v>-4214475.5599999996</v>
      </c>
      <c r="CC464" s="163">
        <v>-4136227.8</v>
      </c>
      <c r="CD464" s="163">
        <v>-4029209.34</v>
      </c>
      <c r="CE464" s="163">
        <v>-3933859.04</v>
      </c>
      <c r="CF464" s="163">
        <v>-3975864.29</v>
      </c>
      <c r="CG464" s="163">
        <v>-4086632.02</v>
      </c>
      <c r="CH464" s="163">
        <v>-4699066.3099999996</v>
      </c>
      <c r="CI464" s="163">
        <v>-6185044.9000000004</v>
      </c>
      <c r="CJ464" s="163">
        <v>-6351352.71</v>
      </c>
      <c r="CK464" s="163">
        <v>-6868284.4800000004</v>
      </c>
      <c r="CL464" s="163">
        <v>-3985881.85</v>
      </c>
      <c r="CM464" s="163">
        <v>-4781500.72</v>
      </c>
      <c r="CN464" s="163">
        <v>-4019908.06</v>
      </c>
      <c r="CO464" s="163">
        <v>-3749141.62</v>
      </c>
      <c r="CP464" s="163">
        <v>-3831829.94</v>
      </c>
      <c r="CQ464" s="163">
        <v>-3456704.16</v>
      </c>
      <c r="CR464" s="163">
        <v>-3459908.84</v>
      </c>
      <c r="CS464" s="163">
        <v>-3716736.47</v>
      </c>
      <c r="CT464" s="163">
        <v>-4769155.41</v>
      </c>
      <c r="CU464" s="163">
        <v>-5290079.79</v>
      </c>
      <c r="CV464" s="163">
        <v>-7535652.8300000001</v>
      </c>
      <c r="CW464" s="163">
        <v>-8355320.7000000002</v>
      </c>
      <c r="CX464" s="163">
        <v>-7354820.6799999997</v>
      </c>
      <c r="CY464" s="163">
        <v>-6211141.5599999996</v>
      </c>
      <c r="CZ464" s="163">
        <v>-5621668.3099999996</v>
      </c>
      <c r="DA464" s="163">
        <v>-5065402.1100000003</v>
      </c>
      <c r="DB464" s="163">
        <v>-4520999.55</v>
      </c>
      <c r="DC464" s="163">
        <v>-4492453.9800000004</v>
      </c>
      <c r="DD464" s="163">
        <v>-4586241.74</v>
      </c>
      <c r="DE464" s="163">
        <f>VLOOKUP($A464,'[2]Analysis 1'!$A$5:$DG$1025,109,FALSE)</f>
        <v>-5199583.34</v>
      </c>
      <c r="DF464" s="163">
        <f>VLOOKUP($A464,'[2]Analysis 1'!$A$5:$DG$1025,110,FALSE)</f>
        <v>-5560370.8399999999</v>
      </c>
      <c r="DG464" s="163">
        <f>VLOOKUP($A464,'[2]Analysis 1'!$A$5:$DG$1025,111,FALSE)</f>
        <v>-6581090.0099999998</v>
      </c>
      <c r="DH464" s="369">
        <f t="shared" si="20"/>
        <v>-71084745.650000006</v>
      </c>
    </row>
    <row r="465" spans="1:112">
      <c r="A465" s="335" t="s">
        <v>1305</v>
      </c>
      <c r="D465" s="369">
        <v>0</v>
      </c>
      <c r="E465" s="369">
        <v>0</v>
      </c>
      <c r="F465" s="369">
        <v>0</v>
      </c>
      <c r="G465" s="369">
        <v>0</v>
      </c>
      <c r="H465" s="369">
        <v>0</v>
      </c>
      <c r="I465" s="369">
        <v>0</v>
      </c>
      <c r="J465" s="369">
        <v>74947.5</v>
      </c>
      <c r="K465" s="369">
        <v>-74945.52</v>
      </c>
      <c r="L465" s="369">
        <v>-1.98</v>
      </c>
      <c r="M465" s="369">
        <v>0</v>
      </c>
      <c r="N465" s="369">
        <v>0</v>
      </c>
      <c r="O465" s="369">
        <v>0</v>
      </c>
      <c r="P465" s="48">
        <v>0</v>
      </c>
      <c r="Q465" s="48">
        <v>0</v>
      </c>
      <c r="R465" s="48">
        <v>0</v>
      </c>
      <c r="S465" s="48">
        <v>0</v>
      </c>
      <c r="T465" s="48">
        <v>0</v>
      </c>
      <c r="U465" s="48">
        <v>0</v>
      </c>
      <c r="V465" s="48">
        <v>0</v>
      </c>
      <c r="W465" s="48">
        <v>0</v>
      </c>
      <c r="X465" s="48">
        <v>0</v>
      </c>
      <c r="Y465" s="48">
        <v>0</v>
      </c>
      <c r="Z465" s="48">
        <v>0</v>
      </c>
      <c r="AA465" s="48">
        <v>0</v>
      </c>
      <c r="AB465" s="48">
        <v>0</v>
      </c>
      <c r="AC465" s="48">
        <v>0</v>
      </c>
      <c r="AD465" s="48">
        <v>0</v>
      </c>
      <c r="AE465" s="163">
        <v>0</v>
      </c>
      <c r="AF465" s="163">
        <v>0</v>
      </c>
      <c r="AG465" s="163">
        <v>0</v>
      </c>
      <c r="AH465" s="163">
        <v>0</v>
      </c>
      <c r="AI465" s="163">
        <v>0</v>
      </c>
      <c r="AJ465" s="163">
        <v>0</v>
      </c>
      <c r="AK465" s="163">
        <v>0</v>
      </c>
      <c r="AL465" s="163">
        <v>0</v>
      </c>
      <c r="AM465" s="163">
        <v>0</v>
      </c>
      <c r="AN465" s="163">
        <v>0</v>
      </c>
      <c r="AO465" s="163">
        <v>0</v>
      </c>
      <c r="AP465" s="163">
        <v>0</v>
      </c>
      <c r="AQ465" s="163">
        <v>0</v>
      </c>
      <c r="AR465" s="163">
        <v>0</v>
      </c>
      <c r="AS465" s="163">
        <v>0</v>
      </c>
      <c r="AT465" s="163">
        <v>0</v>
      </c>
      <c r="AU465" s="163">
        <v>0</v>
      </c>
      <c r="AV465" s="163">
        <v>0</v>
      </c>
      <c r="AW465" s="163">
        <v>0</v>
      </c>
      <c r="AX465" s="163">
        <v>0</v>
      </c>
      <c r="AY465" s="163">
        <v>0</v>
      </c>
      <c r="AZ465" s="163">
        <v>0</v>
      </c>
      <c r="BA465" s="163">
        <v>0</v>
      </c>
      <c r="BB465" s="163">
        <v>0</v>
      </c>
      <c r="BC465" s="163">
        <v>0</v>
      </c>
      <c r="BD465" s="163">
        <v>0</v>
      </c>
      <c r="BE465" s="163">
        <v>0</v>
      </c>
      <c r="BF465" s="163">
        <v>0</v>
      </c>
      <c r="BG465" s="163">
        <v>0</v>
      </c>
      <c r="BH465" s="163">
        <v>0</v>
      </c>
      <c r="BI465" s="163">
        <v>0</v>
      </c>
      <c r="BJ465" s="163">
        <v>0</v>
      </c>
      <c r="BK465" s="163">
        <v>0</v>
      </c>
      <c r="BL465" s="163">
        <v>0</v>
      </c>
      <c r="BM465" s="163">
        <v>0</v>
      </c>
      <c r="BN465" s="163">
        <v>0</v>
      </c>
      <c r="BO465" s="163">
        <v>0</v>
      </c>
      <c r="BP465" s="163">
        <v>0</v>
      </c>
      <c r="BQ465" s="163">
        <v>0</v>
      </c>
      <c r="BR465" s="163">
        <v>0</v>
      </c>
      <c r="BS465" s="163">
        <v>0</v>
      </c>
      <c r="BT465" s="163">
        <v>0</v>
      </c>
      <c r="BU465" s="163">
        <v>0</v>
      </c>
      <c r="BV465" s="163">
        <v>0</v>
      </c>
      <c r="BW465" s="163">
        <v>0</v>
      </c>
      <c r="BX465" s="163">
        <v>0</v>
      </c>
      <c r="BY465" s="163">
        <v>0</v>
      </c>
      <c r="BZ465" s="163">
        <v>0</v>
      </c>
      <c r="CA465" s="163">
        <v>0</v>
      </c>
      <c r="CB465" s="163">
        <v>0</v>
      </c>
      <c r="CC465" s="163">
        <v>0</v>
      </c>
      <c r="CD465" s="163">
        <v>0</v>
      </c>
      <c r="CE465" s="163">
        <v>0</v>
      </c>
      <c r="CF465" s="163">
        <v>0</v>
      </c>
      <c r="CG465" s="163">
        <v>0</v>
      </c>
      <c r="CH465" s="163">
        <v>0</v>
      </c>
      <c r="CI465" s="163">
        <v>0</v>
      </c>
      <c r="CJ465" s="163">
        <v>0</v>
      </c>
      <c r="CK465" s="163">
        <v>0</v>
      </c>
      <c r="CL465" s="163">
        <v>0</v>
      </c>
      <c r="CM465" s="163">
        <v>0</v>
      </c>
      <c r="CN465" s="163">
        <v>0</v>
      </c>
      <c r="CO465" s="163">
        <v>0</v>
      </c>
      <c r="CP465" s="163">
        <v>0</v>
      </c>
      <c r="CQ465" s="163">
        <v>0</v>
      </c>
      <c r="CR465" s="163">
        <v>0</v>
      </c>
      <c r="CS465" s="163">
        <v>0</v>
      </c>
      <c r="CT465" s="163">
        <v>0</v>
      </c>
      <c r="CU465" s="163">
        <v>0</v>
      </c>
      <c r="CV465" s="163">
        <v>0</v>
      </c>
      <c r="CW465" s="163">
        <v>0</v>
      </c>
      <c r="CX465" s="163">
        <v>0</v>
      </c>
      <c r="CY465" s="163">
        <v>0</v>
      </c>
      <c r="CZ465" s="163">
        <v>0</v>
      </c>
      <c r="DA465" s="163">
        <v>0</v>
      </c>
      <c r="DB465" s="163">
        <v>0</v>
      </c>
      <c r="DC465" s="163">
        <v>0</v>
      </c>
      <c r="DD465" s="163">
        <v>0</v>
      </c>
      <c r="DE465" s="163">
        <f>VLOOKUP($A465,'[2]Analysis 1'!$A$5:$DG$1025,109,FALSE)</f>
        <v>0</v>
      </c>
      <c r="DF465" s="163">
        <f>VLOOKUP($A465,'[2]Analysis 1'!$A$5:$DG$1025,110,FALSE)</f>
        <v>0</v>
      </c>
      <c r="DG465" s="163">
        <f>VLOOKUP($A465,'[2]Analysis 1'!$A$5:$DG$1025,111,FALSE)</f>
        <v>0</v>
      </c>
      <c r="DH465" s="369">
        <f t="shared" si="20"/>
        <v>0</v>
      </c>
    </row>
    <row r="466" spans="1:112">
      <c r="A466" s="335" t="s">
        <v>1306</v>
      </c>
      <c r="D466" s="369">
        <v>12561571.85</v>
      </c>
      <c r="E466" s="369">
        <v>6525416.46</v>
      </c>
      <c r="F466" s="369">
        <v>7250975.8399999999</v>
      </c>
      <c r="G466" s="369">
        <v>7128382.2400000002</v>
      </c>
      <c r="H466" s="369">
        <v>6245636.2699999996</v>
      </c>
      <c r="I466" s="369">
        <v>3116198.03</v>
      </c>
      <c r="J466" s="369">
        <v>4962776.37</v>
      </c>
      <c r="K466" s="369">
        <v>7684991.5</v>
      </c>
      <c r="L466" s="369">
        <v>5434003.0199999996</v>
      </c>
      <c r="M466" s="369">
        <v>6346878.1699999999</v>
      </c>
      <c r="N466" s="369">
        <v>10634548.01</v>
      </c>
      <c r="O466" s="369">
        <v>6160228.0499999998</v>
      </c>
      <c r="P466" s="48">
        <v>8516626.5299999993</v>
      </c>
      <c r="Q466" s="48">
        <v>9700009.5899999999</v>
      </c>
      <c r="R466" s="48">
        <v>4424630.05</v>
      </c>
      <c r="S466" s="48">
        <v>7167658.9199999999</v>
      </c>
      <c r="T466" s="48">
        <v>4326192.88</v>
      </c>
      <c r="U466" s="48">
        <v>6143972.9100000001</v>
      </c>
      <c r="V466" s="48">
        <v>5895266.9000000004</v>
      </c>
      <c r="W466" s="48">
        <v>6492080.8399999999</v>
      </c>
      <c r="X466" s="48">
        <v>6109691.0599999996</v>
      </c>
      <c r="Y466" s="48">
        <v>7203265.4199999999</v>
      </c>
      <c r="Z466" s="48">
        <v>9511810.8699999992</v>
      </c>
      <c r="AA466" s="48">
        <v>4842061.9800000004</v>
      </c>
      <c r="AB466" s="48">
        <v>10754382.890000001</v>
      </c>
      <c r="AC466" s="48">
        <v>8124951.2599999998</v>
      </c>
      <c r="AD466" s="48">
        <v>6507188.2199999997</v>
      </c>
      <c r="AE466" s="163">
        <v>7908919.5800000001</v>
      </c>
      <c r="AF466" s="163">
        <v>5359402.57</v>
      </c>
      <c r="AG466" s="163">
        <v>6279826.1200000001</v>
      </c>
      <c r="AH466" s="163">
        <v>10737105.75</v>
      </c>
      <c r="AI466" s="163">
        <v>10268790.210000001</v>
      </c>
      <c r="AJ466" s="163">
        <v>8985528.2699999996</v>
      </c>
      <c r="AK466" s="163">
        <v>9930860.6899999995</v>
      </c>
      <c r="AL466" s="163">
        <v>5622708.7199999997</v>
      </c>
      <c r="AM466" s="163">
        <v>6114464.9400000004</v>
      </c>
      <c r="AN466" s="163">
        <v>7533935.1900000004</v>
      </c>
      <c r="AO466" s="163">
        <v>4453391.84</v>
      </c>
      <c r="AP466" s="163">
        <v>7294468.54</v>
      </c>
      <c r="AQ466" s="163">
        <v>6927062.9800000004</v>
      </c>
      <c r="AR466" s="163">
        <v>7675566.0300000003</v>
      </c>
      <c r="AS466" s="163">
        <v>6117128.9699999997</v>
      </c>
      <c r="AT466" s="163">
        <v>7357064.2400000002</v>
      </c>
      <c r="AU466" s="163">
        <v>12863912.109999999</v>
      </c>
      <c r="AV466" s="163">
        <v>10089367.199999999</v>
      </c>
      <c r="AW466" s="163">
        <v>7178549.3700000001</v>
      </c>
      <c r="AX466" s="163">
        <v>6545528.5</v>
      </c>
      <c r="AY466" s="163">
        <v>9699036.0299999993</v>
      </c>
      <c r="AZ466" s="163">
        <v>15644864.970000001</v>
      </c>
      <c r="BA466" s="163">
        <v>5340727.6399999997</v>
      </c>
      <c r="BB466" s="163">
        <v>6277782.7800000003</v>
      </c>
      <c r="BC466" s="163">
        <v>4881971.83</v>
      </c>
      <c r="BD466" s="163">
        <v>6533494.5800000001</v>
      </c>
      <c r="BE466" s="163">
        <v>8650777.0500000007</v>
      </c>
      <c r="BF466" s="163">
        <v>10374290.039999999</v>
      </c>
      <c r="BG466" s="163">
        <v>7852549.0999999996</v>
      </c>
      <c r="BH466" s="163">
        <v>9175129.9100000001</v>
      </c>
      <c r="BI466" s="163">
        <v>12800433.609999999</v>
      </c>
      <c r="BJ466" s="163">
        <v>12417507.609999999</v>
      </c>
      <c r="BK466" s="163">
        <v>11340818.380000001</v>
      </c>
      <c r="BL466" s="163">
        <v>10920258.68</v>
      </c>
      <c r="BM466" s="163">
        <v>4818164.2699999996</v>
      </c>
      <c r="BN466" s="163">
        <v>7024273.3099999996</v>
      </c>
      <c r="BO466" s="163">
        <v>5787609.75</v>
      </c>
      <c r="BP466" s="163">
        <v>7248887.9800000004</v>
      </c>
      <c r="BQ466" s="163">
        <v>4712578.1900000004</v>
      </c>
      <c r="BR466" s="163">
        <v>4977853.0599999996</v>
      </c>
      <c r="BS466" s="163">
        <v>5261662.51</v>
      </c>
      <c r="BT466" s="163">
        <v>7537296.2599999998</v>
      </c>
      <c r="BU466" s="163">
        <v>7709685.6900000004</v>
      </c>
      <c r="BV466" s="163">
        <v>6504167.6900000004</v>
      </c>
      <c r="BW466" s="163">
        <v>6526098.8200000003</v>
      </c>
      <c r="BX466" s="163">
        <v>7351025.9699999997</v>
      </c>
      <c r="BY466" s="163">
        <v>4675986.6900000004</v>
      </c>
      <c r="BZ466" s="163">
        <v>3131403.68</v>
      </c>
      <c r="CA466" s="163">
        <v>2638311.52</v>
      </c>
      <c r="CB466" s="163">
        <v>4375377.1399999997</v>
      </c>
      <c r="CC466" s="163">
        <v>3988040.85</v>
      </c>
      <c r="CD466" s="163">
        <v>4361384.07</v>
      </c>
      <c r="CE466" s="163">
        <v>3454869.17</v>
      </c>
      <c r="CF466" s="163">
        <v>2864851.99</v>
      </c>
      <c r="CG466" s="163">
        <v>4298261.6399999997</v>
      </c>
      <c r="CH466" s="163">
        <v>5328723.91</v>
      </c>
      <c r="CI466" s="163">
        <v>8902538.5500000007</v>
      </c>
      <c r="CJ466" s="163">
        <v>8180694.8799999999</v>
      </c>
      <c r="CK466" s="163">
        <v>11970322.49</v>
      </c>
      <c r="CL466" s="163">
        <v>7246725.5599999996</v>
      </c>
      <c r="CM466" s="163">
        <v>3201611.55</v>
      </c>
      <c r="CN466" s="163">
        <v>3044400.33</v>
      </c>
      <c r="CO466" s="163">
        <v>4855418.79</v>
      </c>
      <c r="CP466" s="163">
        <v>4740323.63</v>
      </c>
      <c r="CQ466" s="163">
        <v>4761484.3899999997</v>
      </c>
      <c r="CR466" s="163">
        <v>5479365.6699999999</v>
      </c>
      <c r="CS466" s="163">
        <v>12614259.33</v>
      </c>
      <c r="CT466" s="163">
        <v>12119689.630000001</v>
      </c>
      <c r="CU466" s="163">
        <v>6485793.3399999999</v>
      </c>
      <c r="CV466" s="163">
        <v>15899242.619999999</v>
      </c>
      <c r="CW466" s="163">
        <v>12705145.189999999</v>
      </c>
      <c r="CX466" s="163">
        <v>11603973.09</v>
      </c>
      <c r="CY466" s="163">
        <v>9992448.5700000003</v>
      </c>
      <c r="CZ466" s="163">
        <v>18454948.52</v>
      </c>
      <c r="DA466" s="163">
        <v>17932753.890000001</v>
      </c>
      <c r="DB466" s="163">
        <v>17658204.780000001</v>
      </c>
      <c r="DC466" s="163">
        <v>18963499.109999999</v>
      </c>
      <c r="DD466" s="163">
        <v>10989178.57</v>
      </c>
      <c r="DE466" s="163">
        <f>VLOOKUP($A466,'[2]Analysis 1'!$A$5:$DG$1025,109,FALSE)</f>
        <v>10210400.18</v>
      </c>
      <c r="DF466" s="163">
        <f>VLOOKUP($A466,'[2]Analysis 1'!$A$5:$DG$1025,110,FALSE)</f>
        <v>14018600.66</v>
      </c>
      <c r="DG466" s="163">
        <f>VLOOKUP($A466,'[2]Analysis 1'!$A$5:$DG$1025,111,FALSE)</f>
        <v>17580198.039999999</v>
      </c>
      <c r="DH466" s="369">
        <f t="shared" si="20"/>
        <v>176008593.22</v>
      </c>
    </row>
    <row r="467" spans="1:112">
      <c r="A467" s="335" t="s">
        <v>1307</v>
      </c>
      <c r="D467" s="369">
        <v>5639514.71</v>
      </c>
      <c r="E467" s="369">
        <v>5164240.18</v>
      </c>
      <c r="F467" s="369">
        <v>5572105.29</v>
      </c>
      <c r="G467" s="369">
        <v>5108472.4400000004</v>
      </c>
      <c r="H467" s="369">
        <v>3949891.1</v>
      </c>
      <c r="I467" s="369">
        <v>2985779.54</v>
      </c>
      <c r="J467" s="369">
        <v>3199602.32</v>
      </c>
      <c r="K467" s="369">
        <v>3216054.54</v>
      </c>
      <c r="L467" s="369">
        <v>3181092.1</v>
      </c>
      <c r="M467" s="369">
        <v>4836985.97</v>
      </c>
      <c r="N467" s="369">
        <v>5473371.0800000001</v>
      </c>
      <c r="O467" s="369">
        <v>5233601.82</v>
      </c>
      <c r="P467" s="48">
        <v>6400077.0199999996</v>
      </c>
      <c r="Q467" s="48">
        <v>6300292.3200000003</v>
      </c>
      <c r="R467" s="48">
        <v>6794940.2300000004</v>
      </c>
      <c r="S467" s="48">
        <v>5750568.9000000004</v>
      </c>
      <c r="T467" s="48">
        <v>4527268.83</v>
      </c>
      <c r="U467" s="48">
        <v>2892504.28</v>
      </c>
      <c r="V467" s="48">
        <v>4037598.81</v>
      </c>
      <c r="W467" s="48">
        <v>4036045.53</v>
      </c>
      <c r="X467" s="48">
        <v>4055244.95</v>
      </c>
      <c r="Y467" s="48">
        <v>5479602.5199999996</v>
      </c>
      <c r="Z467" s="48">
        <v>6529393.1399999997</v>
      </c>
      <c r="AA467" s="48">
        <v>5964121.4800000004</v>
      </c>
      <c r="AB467" s="48">
        <v>5508918.25</v>
      </c>
      <c r="AC467" s="48">
        <v>5904060.8700000001</v>
      </c>
      <c r="AD467" s="48">
        <v>6617774.8799999999</v>
      </c>
      <c r="AE467" s="163">
        <v>5651778.71</v>
      </c>
      <c r="AF467" s="163">
        <v>3798936</v>
      </c>
      <c r="AG467" s="163">
        <v>3295648.4</v>
      </c>
      <c r="AH467" s="163">
        <v>2923828.14</v>
      </c>
      <c r="AI467" s="163">
        <v>3252988.88</v>
      </c>
      <c r="AJ467" s="163">
        <v>3795277.86</v>
      </c>
      <c r="AK467" s="163">
        <v>5673789.9900000002</v>
      </c>
      <c r="AL467" s="163">
        <v>6164743.8399999999</v>
      </c>
      <c r="AM467" s="163">
        <v>5734177.8700000001</v>
      </c>
      <c r="AN467" s="163">
        <v>6091709.2599999998</v>
      </c>
      <c r="AO467" s="163">
        <v>5806917.71</v>
      </c>
      <c r="AP467" s="163">
        <v>6264563.6399999997</v>
      </c>
      <c r="AQ467" s="163">
        <v>5745309.9699999997</v>
      </c>
      <c r="AR467" s="163">
        <v>4441659.24</v>
      </c>
      <c r="AS467" s="163">
        <v>4320316.16</v>
      </c>
      <c r="AT467" s="163">
        <v>5288490.95</v>
      </c>
      <c r="AU467" s="163">
        <v>4874658.04</v>
      </c>
      <c r="AV467" s="163">
        <v>4702938.42</v>
      </c>
      <c r="AW467" s="163">
        <v>6315693.0700000003</v>
      </c>
      <c r="AX467" s="163">
        <v>6885306.9900000002</v>
      </c>
      <c r="AY467" s="163">
        <v>6953115.9100000001</v>
      </c>
      <c r="AZ467" s="163">
        <v>7450511.25</v>
      </c>
      <c r="BA467" s="163">
        <v>5405755.8099999996</v>
      </c>
      <c r="BB467" s="163">
        <v>7079580.0199999996</v>
      </c>
      <c r="BC467" s="163">
        <v>5553699.1699999999</v>
      </c>
      <c r="BD467" s="163">
        <v>5190895.4000000004</v>
      </c>
      <c r="BE467" s="163">
        <v>4844459.96</v>
      </c>
      <c r="BF467" s="163">
        <v>5002186.0199999996</v>
      </c>
      <c r="BG467" s="163">
        <v>4742570.3099999996</v>
      </c>
      <c r="BH467" s="163">
        <v>4599171.3899999997</v>
      </c>
      <c r="BI467" s="163">
        <v>6596462.3799999999</v>
      </c>
      <c r="BJ467" s="163">
        <v>7857688.54</v>
      </c>
      <c r="BK467" s="163">
        <v>7652151.7699999996</v>
      </c>
      <c r="BL467" s="163">
        <v>6837538.9400000004</v>
      </c>
      <c r="BM467" s="163">
        <v>6544615.7599999998</v>
      </c>
      <c r="BN467" s="163">
        <v>6760335.04</v>
      </c>
      <c r="BO467" s="163">
        <v>5770035.0999999996</v>
      </c>
      <c r="BP467" s="163">
        <v>4445931.78</v>
      </c>
      <c r="BQ467" s="163">
        <v>3977453.81</v>
      </c>
      <c r="BR467" s="163">
        <v>4689146.51</v>
      </c>
      <c r="BS467" s="163">
        <v>4952073.71</v>
      </c>
      <c r="BT467" s="163">
        <v>4909703.74</v>
      </c>
      <c r="BU467" s="163">
        <v>6342647.2699999996</v>
      </c>
      <c r="BV467" s="163">
        <v>7502900.8600000003</v>
      </c>
      <c r="BW467" s="163">
        <v>7019581.8700000001</v>
      </c>
      <c r="BX467" s="163">
        <v>6281796.8799999999</v>
      </c>
      <c r="BY467" s="163">
        <v>5977920.4900000002</v>
      </c>
      <c r="BZ467" s="163">
        <v>7512091.0899999999</v>
      </c>
      <c r="CA467" s="163">
        <v>5949777.6299999999</v>
      </c>
      <c r="CB467" s="163">
        <v>4520520.3600000003</v>
      </c>
      <c r="CC467" s="163">
        <v>4749436.8</v>
      </c>
      <c r="CD467" s="163">
        <v>4787878.3899999997</v>
      </c>
      <c r="CE467" s="163">
        <v>5936683.1299999999</v>
      </c>
      <c r="CF467" s="163">
        <v>5349042.1500000004</v>
      </c>
      <c r="CG467" s="163">
        <v>7252677.9299999997</v>
      </c>
      <c r="CH467" s="163">
        <v>8395195.4199999999</v>
      </c>
      <c r="CI467" s="163">
        <v>8301268.0300000003</v>
      </c>
      <c r="CJ467" s="163">
        <v>8654356.9499999993</v>
      </c>
      <c r="CK467" s="163">
        <v>7083952.8099999996</v>
      </c>
      <c r="CL467" s="163">
        <v>9557116.3499999996</v>
      </c>
      <c r="CM467" s="163">
        <v>6965657.5300000003</v>
      </c>
      <c r="CN467" s="163">
        <v>6756863.3600000003</v>
      </c>
      <c r="CO467" s="163">
        <v>6227929.1500000004</v>
      </c>
      <c r="CP467" s="163">
        <v>5878221.7699999996</v>
      </c>
      <c r="CQ467" s="163">
        <v>6385843.3600000003</v>
      </c>
      <c r="CR467" s="163">
        <v>6528674.5800000001</v>
      </c>
      <c r="CS467" s="163">
        <v>8435647.3499999996</v>
      </c>
      <c r="CT467" s="163">
        <v>9234809.6999999993</v>
      </c>
      <c r="CU467" s="163">
        <v>10046836.35</v>
      </c>
      <c r="CV467" s="163">
        <v>8173195.6299999999</v>
      </c>
      <c r="CW467" s="163">
        <v>7490912.8799999999</v>
      </c>
      <c r="CX467" s="163">
        <v>9000033.1999999993</v>
      </c>
      <c r="CY467" s="163">
        <v>8316292.0099999998</v>
      </c>
      <c r="CZ467" s="163">
        <v>7148894.2800000003</v>
      </c>
      <c r="DA467" s="163">
        <v>5639197.6500000004</v>
      </c>
      <c r="DB467" s="163">
        <v>4405329.3899999997</v>
      </c>
      <c r="DC467" s="163">
        <v>4534903.9000000004</v>
      </c>
      <c r="DD467" s="163">
        <v>4708308.17</v>
      </c>
      <c r="DE467" s="163">
        <f>VLOOKUP($A467,'[2]Analysis 1'!$A$5:$DG$1025,109,FALSE)</f>
        <v>7676249.1399999997</v>
      </c>
      <c r="DF467" s="163">
        <f>VLOOKUP($A467,'[2]Analysis 1'!$A$5:$DG$1025,110,FALSE)</f>
        <v>7942989.6100000003</v>
      </c>
      <c r="DG467" s="163">
        <f>VLOOKUP($A467,'[2]Analysis 1'!$A$5:$DG$1025,111,FALSE)</f>
        <v>7510443.5099999998</v>
      </c>
      <c r="DH467" s="369">
        <f t="shared" si="20"/>
        <v>82546749.370000005</v>
      </c>
    </row>
    <row r="468" spans="1:112">
      <c r="A468" s="335" t="s">
        <v>1308</v>
      </c>
      <c r="D468" s="369">
        <v>679383</v>
      </c>
      <c r="E468" s="369">
        <v>5018688</v>
      </c>
      <c r="F468" s="369">
        <v>-819317</v>
      </c>
      <c r="G468" s="369">
        <v>1884531</v>
      </c>
      <c r="H468" s="369">
        <v>-2014284</v>
      </c>
      <c r="I468" s="369">
        <v>1920123</v>
      </c>
      <c r="J468" s="369">
        <v>763900.05</v>
      </c>
      <c r="K468" s="369">
        <v>189368</v>
      </c>
      <c r="L468" s="369">
        <v>-269930</v>
      </c>
      <c r="M468" s="369">
        <v>-1989265</v>
      </c>
      <c r="N468" s="369">
        <v>-5688623</v>
      </c>
      <c r="O468" s="369">
        <v>2439540.9</v>
      </c>
      <c r="P468" s="48">
        <v>822357</v>
      </c>
      <c r="Q468" s="48">
        <v>-524157</v>
      </c>
      <c r="R468" s="48">
        <v>1640691</v>
      </c>
      <c r="S468" s="48">
        <v>-1672434</v>
      </c>
      <c r="T468" s="48">
        <v>-496279</v>
      </c>
      <c r="U468" s="48">
        <v>2294075</v>
      </c>
      <c r="V468" s="48">
        <v>-1214409</v>
      </c>
      <c r="W468" s="48">
        <v>480856</v>
      </c>
      <c r="X468" s="48">
        <v>-421956</v>
      </c>
      <c r="Y468" s="48">
        <v>-2416207</v>
      </c>
      <c r="Z468" s="48">
        <v>-2314895</v>
      </c>
      <c r="AA468" s="48">
        <v>-249974.01</v>
      </c>
      <c r="AB468" s="48">
        <v>942318</v>
      </c>
      <c r="AC468" s="48">
        <v>4960838</v>
      </c>
      <c r="AD468" s="48">
        <v>1555564</v>
      </c>
      <c r="AE468" s="163">
        <v>710094</v>
      </c>
      <c r="AF468" s="163">
        <v>1525026</v>
      </c>
      <c r="AG468" s="163">
        <v>1904894</v>
      </c>
      <c r="AH468" s="163">
        <v>1196792</v>
      </c>
      <c r="AI468" s="163">
        <v>767312</v>
      </c>
      <c r="AJ468" s="163">
        <v>-541211</v>
      </c>
      <c r="AK468" s="163">
        <v>-2740969</v>
      </c>
      <c r="AL468" s="163">
        <v>-2889321</v>
      </c>
      <c r="AM468" s="163">
        <v>-482580.06</v>
      </c>
      <c r="AN468" s="163">
        <v>464212</v>
      </c>
      <c r="AO468" s="163">
        <v>3133204</v>
      </c>
      <c r="AP468" s="163">
        <v>-3512801</v>
      </c>
      <c r="AQ468" s="163">
        <v>954400</v>
      </c>
      <c r="AR468" s="163">
        <v>5631</v>
      </c>
      <c r="AS468" s="163">
        <v>-928000</v>
      </c>
      <c r="AT468" s="163">
        <v>-1188769</v>
      </c>
      <c r="AU468" s="163">
        <v>-1203702</v>
      </c>
      <c r="AV468" s="163">
        <v>1187742</v>
      </c>
      <c r="AW468" s="163">
        <v>-3418268</v>
      </c>
      <c r="AX468" s="163">
        <v>-1209484</v>
      </c>
      <c r="AY468" s="163">
        <v>674723</v>
      </c>
      <c r="AZ468" s="163">
        <v>5219016</v>
      </c>
      <c r="BA468" s="163">
        <v>6154483</v>
      </c>
      <c r="BB468" s="163">
        <v>-2687877</v>
      </c>
      <c r="BC468" s="163">
        <v>3642970</v>
      </c>
      <c r="BD468" s="163">
        <v>-137378</v>
      </c>
      <c r="BE468" s="163">
        <v>464262</v>
      </c>
      <c r="BF468" s="163">
        <v>124713</v>
      </c>
      <c r="BG468" s="163">
        <v>-422436</v>
      </c>
      <c r="BH468" s="163">
        <v>496539</v>
      </c>
      <c r="BI468" s="163">
        <v>-3086396</v>
      </c>
      <c r="BJ468" s="163">
        <v>-6321984</v>
      </c>
      <c r="BK468" s="163">
        <v>-3245669.72</v>
      </c>
      <c r="BL468" s="163">
        <v>1746712</v>
      </c>
      <c r="BM468" s="163">
        <v>3391969</v>
      </c>
      <c r="BN468" s="163">
        <v>1035531</v>
      </c>
      <c r="BO468" s="163">
        <v>2917021</v>
      </c>
      <c r="BP468" s="163">
        <v>2402818</v>
      </c>
      <c r="BQ468" s="163">
        <v>1040195</v>
      </c>
      <c r="BR468" s="163">
        <v>141162</v>
      </c>
      <c r="BS468" s="163">
        <v>-1576330</v>
      </c>
      <c r="BT468" s="163">
        <v>517518</v>
      </c>
      <c r="BU468" s="163">
        <v>-2632582</v>
      </c>
      <c r="BV468" s="163">
        <v>-2335633</v>
      </c>
      <c r="BW468" s="163">
        <v>1095920</v>
      </c>
      <c r="BX468" s="163">
        <v>3379908</v>
      </c>
      <c r="BY468" s="163">
        <v>3035687</v>
      </c>
      <c r="BZ468" s="163">
        <v>1210082</v>
      </c>
      <c r="CA468" s="163">
        <v>627746</v>
      </c>
      <c r="CB468" s="163">
        <v>-536907</v>
      </c>
      <c r="CC468" s="163">
        <v>599375</v>
      </c>
      <c r="CD468" s="163">
        <v>-584864</v>
      </c>
      <c r="CE468" s="163">
        <v>-2509697</v>
      </c>
      <c r="CF468" s="163">
        <v>-804568</v>
      </c>
      <c r="CG468" s="163">
        <v>-4016394</v>
      </c>
      <c r="CH468" s="163">
        <v>-3496243</v>
      </c>
      <c r="CI468" s="163">
        <v>-785190.97</v>
      </c>
      <c r="CJ468" s="163">
        <v>3626639</v>
      </c>
      <c r="CK468" s="163">
        <v>-2541111</v>
      </c>
      <c r="CL468" s="163">
        <v>-1306764</v>
      </c>
      <c r="CM468" s="163">
        <v>3821598</v>
      </c>
      <c r="CN468" s="163">
        <v>395754</v>
      </c>
      <c r="CO468" s="163">
        <v>-783525</v>
      </c>
      <c r="CP468" s="163">
        <v>310670</v>
      </c>
      <c r="CQ468" s="163">
        <v>-1010873</v>
      </c>
      <c r="CR468" s="163">
        <v>-1505757</v>
      </c>
      <c r="CS468" s="163">
        <v>-7716553</v>
      </c>
      <c r="CT468" s="163">
        <v>-7792165</v>
      </c>
      <c r="CU468" s="163">
        <v>482154</v>
      </c>
      <c r="CV468" s="163">
        <v>4562587</v>
      </c>
      <c r="CW468" s="163">
        <v>5360882</v>
      </c>
      <c r="CX468" s="163">
        <v>-620907</v>
      </c>
      <c r="CY468" s="163">
        <v>-159134</v>
      </c>
      <c r="CZ468" s="163">
        <v>-1594164</v>
      </c>
      <c r="DA468" s="163">
        <v>299138</v>
      </c>
      <c r="DB468" s="163">
        <v>759871</v>
      </c>
      <c r="DC468" s="163">
        <v>3487183</v>
      </c>
      <c r="DD468" s="163">
        <v>5197002</v>
      </c>
      <c r="DE468" s="163">
        <f>VLOOKUP($A468,'[2]Analysis 1'!$A$5:$DG$1025,109,FALSE)</f>
        <v>3106649</v>
      </c>
      <c r="DF468" s="163">
        <f>VLOOKUP($A468,'[2]Analysis 1'!$A$5:$DG$1025,110,FALSE)</f>
        <v>-9972573</v>
      </c>
      <c r="DG468" s="163">
        <f>VLOOKUP($A468,'[2]Analysis 1'!$A$5:$DG$1025,111,FALSE)</f>
        <v>-5484233</v>
      </c>
      <c r="DH468" s="369">
        <f t="shared" si="20"/>
        <v>4942301</v>
      </c>
    </row>
    <row r="469" spans="1:112">
      <c r="A469" s="335" t="s">
        <v>1309</v>
      </c>
      <c r="D469" s="369">
        <v>0</v>
      </c>
      <c r="E469" s="369">
        <v>0</v>
      </c>
      <c r="F469" s="369">
        <v>0</v>
      </c>
      <c r="G469" s="369">
        <v>0</v>
      </c>
      <c r="H469" s="369">
        <v>206496.21</v>
      </c>
      <c r="I469" s="369">
        <v>0</v>
      </c>
      <c r="J469" s="369">
        <v>349195.48</v>
      </c>
      <c r="K469" s="369">
        <v>39558.47</v>
      </c>
      <c r="L469" s="369">
        <v>0</v>
      </c>
      <c r="M469" s="369">
        <v>155416.06</v>
      </c>
      <c r="N469" s="369">
        <v>0</v>
      </c>
      <c r="O469" s="369">
        <v>371458.58</v>
      </c>
      <c r="P469" s="48">
        <v>0</v>
      </c>
      <c r="Q469" s="48">
        <v>0</v>
      </c>
      <c r="R469" s="48">
        <v>0</v>
      </c>
      <c r="S469" s="48">
        <v>0</v>
      </c>
      <c r="T469" s="48">
        <v>0</v>
      </c>
      <c r="U469" s="48">
        <v>175914.65</v>
      </c>
      <c r="V469" s="48">
        <v>0</v>
      </c>
      <c r="W469" s="48">
        <v>87282.54</v>
      </c>
      <c r="X469" s="48">
        <v>0</v>
      </c>
      <c r="Y469" s="48">
        <v>0</v>
      </c>
      <c r="Z469" s="48">
        <v>39701.15</v>
      </c>
      <c r="AA469" s="48">
        <v>76364.31</v>
      </c>
      <c r="AB469" s="48">
        <v>41648.54</v>
      </c>
      <c r="AC469" s="48">
        <v>0</v>
      </c>
      <c r="AD469" s="48">
        <v>0</v>
      </c>
      <c r="AE469" s="163">
        <v>52144.2</v>
      </c>
      <c r="AF469" s="163">
        <v>0</v>
      </c>
      <c r="AG469" s="163">
        <v>0</v>
      </c>
      <c r="AH469" s="163">
        <v>16602.21</v>
      </c>
      <c r="AI469" s="163">
        <v>-451024.81</v>
      </c>
      <c r="AJ469" s="163">
        <v>0</v>
      </c>
      <c r="AK469" s="163">
        <v>73195.289999999994</v>
      </c>
      <c r="AL469" s="163">
        <v>0</v>
      </c>
      <c r="AM469" s="163">
        <v>160586.42000000001</v>
      </c>
      <c r="AN469" s="163">
        <v>43578.22</v>
      </c>
      <c r="AO469" s="163">
        <v>0</v>
      </c>
      <c r="AP469" s="163">
        <v>164510.85999999999</v>
      </c>
      <c r="AQ469" s="163">
        <v>0</v>
      </c>
      <c r="AR469" s="163">
        <v>0</v>
      </c>
      <c r="AS469" s="163">
        <v>0</v>
      </c>
      <c r="AT469" s="163">
        <v>122030.6</v>
      </c>
      <c r="AU469" s="163">
        <v>0</v>
      </c>
      <c r="AV469" s="163">
        <v>354485.92</v>
      </c>
      <c r="AW469" s="163">
        <v>0</v>
      </c>
      <c r="AX469" s="163">
        <v>0</v>
      </c>
      <c r="AY469" s="163">
        <v>0</v>
      </c>
      <c r="AZ469" s="163">
        <v>0</v>
      </c>
      <c r="BA469" s="163">
        <v>0</v>
      </c>
      <c r="BB469" s="163">
        <v>0</v>
      </c>
      <c r="BC469" s="163">
        <v>0</v>
      </c>
      <c r="BD469" s="163">
        <v>0</v>
      </c>
      <c r="BE469" s="163">
        <v>0</v>
      </c>
      <c r="BF469" s="163">
        <v>0</v>
      </c>
      <c r="BG469" s="163">
        <v>0</v>
      </c>
      <c r="BH469" s="163">
        <v>0</v>
      </c>
      <c r="BI469" s="163">
        <v>0</v>
      </c>
      <c r="BJ469" s="163">
        <v>0</v>
      </c>
      <c r="BK469" s="163">
        <v>0</v>
      </c>
      <c r="BL469" s="163">
        <v>0</v>
      </c>
      <c r="BM469" s="163">
        <v>0</v>
      </c>
      <c r="BN469" s="163">
        <v>0</v>
      </c>
      <c r="BO469" s="163">
        <v>0</v>
      </c>
      <c r="BP469" s="163">
        <v>0</v>
      </c>
      <c r="BQ469" s="163">
        <v>0</v>
      </c>
      <c r="BR469" s="163">
        <v>0</v>
      </c>
      <c r="BS469" s="163">
        <v>0</v>
      </c>
      <c r="BT469" s="163">
        <v>0</v>
      </c>
      <c r="BU469" s="163">
        <v>0</v>
      </c>
      <c r="BV469" s="163">
        <v>0</v>
      </c>
      <c r="BW469" s="163">
        <v>0</v>
      </c>
      <c r="BX469" s="163">
        <v>0</v>
      </c>
      <c r="BY469" s="163">
        <v>0</v>
      </c>
      <c r="BZ469" s="163">
        <v>0</v>
      </c>
      <c r="CA469" s="163">
        <v>0</v>
      </c>
      <c r="CB469" s="163">
        <v>0</v>
      </c>
      <c r="CC469" s="163">
        <v>0</v>
      </c>
      <c r="CD469" s="163">
        <v>0</v>
      </c>
      <c r="CE469" s="163">
        <v>0</v>
      </c>
      <c r="CF469" s="163">
        <v>0</v>
      </c>
      <c r="CG469" s="163">
        <v>0</v>
      </c>
      <c r="CH469" s="163">
        <v>0</v>
      </c>
      <c r="CI469" s="163">
        <v>0</v>
      </c>
      <c r="CJ469" s="163">
        <v>0</v>
      </c>
      <c r="CK469" s="163">
        <v>0</v>
      </c>
      <c r="CL469" s="163">
        <v>0</v>
      </c>
      <c r="CM469" s="163">
        <v>0</v>
      </c>
      <c r="CN469" s="163">
        <v>0</v>
      </c>
      <c r="CO469" s="163">
        <v>0</v>
      </c>
      <c r="CP469" s="163">
        <v>0</v>
      </c>
      <c r="CQ469" s="163">
        <v>0</v>
      </c>
      <c r="CR469" s="163">
        <v>0</v>
      </c>
      <c r="CS469" s="163">
        <v>0</v>
      </c>
      <c r="CT469" s="163">
        <v>0</v>
      </c>
      <c r="CU469" s="163">
        <v>131045.66</v>
      </c>
      <c r="CV469" s="163">
        <v>-131045.66</v>
      </c>
      <c r="CW469" s="163">
        <v>40600.42</v>
      </c>
      <c r="CX469" s="163">
        <v>219512.59</v>
      </c>
      <c r="CY469" s="163">
        <v>0</v>
      </c>
      <c r="CZ469" s="163">
        <v>0</v>
      </c>
      <c r="DA469" s="163">
        <v>3.65</v>
      </c>
      <c r="DB469" s="163">
        <v>0</v>
      </c>
      <c r="DC469" s="163">
        <v>4807.3</v>
      </c>
      <c r="DD469" s="163">
        <v>-9.92</v>
      </c>
      <c r="DE469" s="163">
        <f>VLOOKUP($A469,'[2]Analysis 1'!$A$5:$DG$1025,109,FALSE)</f>
        <v>0</v>
      </c>
      <c r="DF469" s="163">
        <f>VLOOKUP($A469,'[2]Analysis 1'!$A$5:$DG$1025,110,FALSE)</f>
        <v>0</v>
      </c>
      <c r="DG469" s="163">
        <f>VLOOKUP($A469,'[2]Analysis 1'!$A$5:$DG$1025,111,FALSE)</f>
        <v>545973.76000000001</v>
      </c>
      <c r="DH469" s="369">
        <f t="shared" si="20"/>
        <v>679842.14</v>
      </c>
    </row>
    <row r="470" spans="1:112">
      <c r="A470" s="335" t="s">
        <v>1310</v>
      </c>
      <c r="D470" s="369">
        <v>0</v>
      </c>
      <c r="E470" s="369">
        <v>0</v>
      </c>
      <c r="F470" s="369">
        <v>0</v>
      </c>
      <c r="G470" s="369">
        <v>0</v>
      </c>
      <c r="H470" s="369">
        <v>-880730.91</v>
      </c>
      <c r="I470" s="369">
        <v>-241393.98</v>
      </c>
      <c r="J470" s="369">
        <v>0</v>
      </c>
      <c r="K470" s="369">
        <v>0</v>
      </c>
      <c r="L470" s="369">
        <v>0</v>
      </c>
      <c r="M470" s="369">
        <v>0</v>
      </c>
      <c r="N470" s="369">
        <v>0</v>
      </c>
      <c r="O470" s="369">
        <v>0</v>
      </c>
      <c r="P470" s="48">
        <v>0</v>
      </c>
      <c r="Q470" s="48">
        <v>-126382.67</v>
      </c>
      <c r="R470" s="48">
        <v>-80.209999999999994</v>
      </c>
      <c r="S470" s="48">
        <v>-176894.55</v>
      </c>
      <c r="T470" s="48">
        <v>-24863.17</v>
      </c>
      <c r="U470" s="48">
        <v>0</v>
      </c>
      <c r="V470" s="48">
        <v>-123030.41</v>
      </c>
      <c r="W470" s="48">
        <v>0</v>
      </c>
      <c r="X470" s="48">
        <v>-86637.61</v>
      </c>
      <c r="Y470" s="48">
        <v>0</v>
      </c>
      <c r="Z470" s="48">
        <v>0</v>
      </c>
      <c r="AA470" s="48">
        <v>0</v>
      </c>
      <c r="AB470" s="48">
        <v>0</v>
      </c>
      <c r="AC470" s="48">
        <v>-24313</v>
      </c>
      <c r="AD470" s="48">
        <v>-39460.67</v>
      </c>
      <c r="AE470" s="163">
        <v>0</v>
      </c>
      <c r="AF470" s="163">
        <v>-46455.519999999997</v>
      </c>
      <c r="AG470" s="163">
        <v>-716.81</v>
      </c>
      <c r="AH470" s="163">
        <v>0</v>
      </c>
      <c r="AI470" s="163">
        <v>0</v>
      </c>
      <c r="AJ470" s="163">
        <v>0</v>
      </c>
      <c r="AK470" s="163">
        <v>0</v>
      </c>
      <c r="AL470" s="163">
        <v>0</v>
      </c>
      <c r="AM470" s="163">
        <v>0</v>
      </c>
      <c r="AN470" s="163">
        <v>0</v>
      </c>
      <c r="AO470" s="163">
        <v>-108258.6</v>
      </c>
      <c r="AP470" s="163">
        <v>0</v>
      </c>
      <c r="AQ470" s="163">
        <v>-49583.07</v>
      </c>
      <c r="AR470" s="163">
        <v>0</v>
      </c>
      <c r="AS470" s="163">
        <v>-140905.28</v>
      </c>
      <c r="AT470" s="163">
        <v>76.25</v>
      </c>
      <c r="AU470" s="163">
        <v>-9512.32</v>
      </c>
      <c r="AV470" s="163">
        <v>0</v>
      </c>
      <c r="AW470" s="163">
        <v>0</v>
      </c>
      <c r="AX470" s="163">
        <v>0</v>
      </c>
      <c r="AY470" s="163">
        <v>0</v>
      </c>
      <c r="AZ470" s="163">
        <v>0</v>
      </c>
      <c r="BA470" s="163">
        <v>0</v>
      </c>
      <c r="BB470" s="163">
        <v>0</v>
      </c>
      <c r="BC470" s="163">
        <v>0</v>
      </c>
      <c r="BD470" s="163">
        <v>0</v>
      </c>
      <c r="BE470" s="163">
        <v>0</v>
      </c>
      <c r="BF470" s="163">
        <v>0</v>
      </c>
      <c r="BG470" s="163">
        <v>0</v>
      </c>
      <c r="BH470" s="163">
        <v>0</v>
      </c>
      <c r="BI470" s="163">
        <v>0</v>
      </c>
      <c r="BJ470" s="163">
        <v>0</v>
      </c>
      <c r="BK470" s="163">
        <v>0</v>
      </c>
      <c r="BL470" s="163">
        <v>0</v>
      </c>
      <c r="BM470" s="163">
        <v>0</v>
      </c>
      <c r="BN470" s="163">
        <v>0</v>
      </c>
      <c r="BO470" s="163">
        <v>0</v>
      </c>
      <c r="BP470" s="163">
        <v>0</v>
      </c>
      <c r="BQ470" s="163">
        <v>0</v>
      </c>
      <c r="BR470" s="163">
        <v>0</v>
      </c>
      <c r="BS470" s="163">
        <v>0</v>
      </c>
      <c r="BT470" s="163">
        <v>0</v>
      </c>
      <c r="BU470" s="163">
        <v>0</v>
      </c>
      <c r="BV470" s="163">
        <v>0</v>
      </c>
      <c r="BW470" s="163">
        <v>0</v>
      </c>
      <c r="BX470" s="163">
        <v>0</v>
      </c>
      <c r="BY470" s="163">
        <v>0</v>
      </c>
      <c r="BZ470" s="163">
        <v>0</v>
      </c>
      <c r="CA470" s="163">
        <v>0</v>
      </c>
      <c r="CB470" s="163">
        <v>0</v>
      </c>
      <c r="CC470" s="163">
        <v>0</v>
      </c>
      <c r="CD470" s="163">
        <v>0</v>
      </c>
      <c r="CE470" s="163">
        <v>0</v>
      </c>
      <c r="CF470" s="163">
        <v>0</v>
      </c>
      <c r="CG470" s="163">
        <v>0</v>
      </c>
      <c r="CH470" s="163">
        <v>0</v>
      </c>
      <c r="CI470" s="163">
        <v>0</v>
      </c>
      <c r="CJ470" s="163">
        <v>0</v>
      </c>
      <c r="CK470" s="163">
        <v>0</v>
      </c>
      <c r="CL470" s="163">
        <v>0</v>
      </c>
      <c r="CM470" s="163">
        <v>0</v>
      </c>
      <c r="CN470" s="163">
        <v>0</v>
      </c>
      <c r="CO470" s="163">
        <v>0</v>
      </c>
      <c r="CP470" s="163">
        <v>0</v>
      </c>
      <c r="CQ470" s="163">
        <v>0</v>
      </c>
      <c r="CR470" s="163">
        <v>0</v>
      </c>
      <c r="CS470" s="163">
        <v>0</v>
      </c>
      <c r="CT470" s="163">
        <v>-995777.75</v>
      </c>
      <c r="CU470" s="163">
        <v>0</v>
      </c>
      <c r="CV470" s="163">
        <v>104210.34</v>
      </c>
      <c r="CW470" s="163">
        <v>65029.39</v>
      </c>
      <c r="CX470" s="163">
        <v>0</v>
      </c>
      <c r="CY470" s="163">
        <v>0</v>
      </c>
      <c r="CZ470" s="163">
        <v>0</v>
      </c>
      <c r="DA470" s="163">
        <v>-142007.76999999999</v>
      </c>
      <c r="DB470" s="163">
        <v>0</v>
      </c>
      <c r="DC470" s="163">
        <v>0</v>
      </c>
      <c r="DD470" s="163">
        <v>-66102.23</v>
      </c>
      <c r="DE470" s="163">
        <f>VLOOKUP($A470,'[2]Analysis 1'!$A$5:$DG$1025,109,FALSE)</f>
        <v>-164063.06</v>
      </c>
      <c r="DF470" s="163">
        <f>VLOOKUP($A470,'[2]Analysis 1'!$A$5:$DG$1025,110,FALSE)</f>
        <v>-25635.47</v>
      </c>
      <c r="DG470" s="163">
        <f>VLOOKUP($A470,'[2]Analysis 1'!$A$5:$DG$1025,111,FALSE)</f>
        <v>223.77</v>
      </c>
      <c r="DH470" s="369">
        <f t="shared" si="20"/>
        <v>-228345.03000000003</v>
      </c>
    </row>
    <row r="471" spans="1:112">
      <c r="A471" s="335" t="s">
        <v>1311</v>
      </c>
      <c r="D471" s="369">
        <v>5031.8100000000004</v>
      </c>
      <c r="E471" s="369">
        <v>1759.11</v>
      </c>
      <c r="F471" s="369">
        <v>-12864.46</v>
      </c>
      <c r="G471" s="369">
        <v>-24442.66</v>
      </c>
      <c r="H471" s="369">
        <v>3936.42</v>
      </c>
      <c r="I471" s="369">
        <v>-361.84</v>
      </c>
      <c r="J471" s="369">
        <v>-20624.79</v>
      </c>
      <c r="K471" s="369">
        <v>-19225.04</v>
      </c>
      <c r="L471" s="369">
        <v>-9899.99</v>
      </c>
      <c r="M471" s="369">
        <v>-23558.01</v>
      </c>
      <c r="N471" s="369">
        <v>-105.7</v>
      </c>
      <c r="O471" s="369">
        <v>-22995.200000000001</v>
      </c>
      <c r="P471" s="48">
        <v>5134.62</v>
      </c>
      <c r="Q471" s="48">
        <v>-21988.37</v>
      </c>
      <c r="R471" s="48">
        <v>-38907.440000000002</v>
      </c>
      <c r="S471" s="48">
        <v>-16227.32</v>
      </c>
      <c r="T471" s="48">
        <v>3957.09</v>
      </c>
      <c r="U471" s="48">
        <v>147.63</v>
      </c>
      <c r="V471" s="48">
        <v>-4068.17</v>
      </c>
      <c r="W471" s="48">
        <v>-10048.07</v>
      </c>
      <c r="X471" s="48">
        <v>-5237.26</v>
      </c>
      <c r="Y471" s="48">
        <v>-19206.27</v>
      </c>
      <c r="Z471" s="48">
        <v>-3334.21</v>
      </c>
      <c r="AA471" s="48">
        <v>-25078.34</v>
      </c>
      <c r="AB471" s="48">
        <v>-23120.639999999999</v>
      </c>
      <c r="AC471" s="48">
        <v>-11535.74</v>
      </c>
      <c r="AD471" s="48">
        <v>-30975.14</v>
      </c>
      <c r="AE471" s="163">
        <v>-21830.15</v>
      </c>
      <c r="AF471" s="163">
        <v>-3838.87</v>
      </c>
      <c r="AG471" s="163">
        <v>-28898.21</v>
      </c>
      <c r="AH471" s="163">
        <v>3073</v>
      </c>
      <c r="AI471" s="163">
        <v>28790.37</v>
      </c>
      <c r="AJ471" s="163">
        <v>-32086.400000000001</v>
      </c>
      <c r="AK471" s="163">
        <v>-57552.58</v>
      </c>
      <c r="AL471" s="163">
        <v>-44871.41</v>
      </c>
      <c r="AM471" s="163">
        <v>-31318.14</v>
      </c>
      <c r="AN471" s="163">
        <v>-9678.23</v>
      </c>
      <c r="AO471" s="163">
        <v>-550.6</v>
      </c>
      <c r="AP471" s="163">
        <v>-78128.59</v>
      </c>
      <c r="AQ471" s="163">
        <v>47121.74</v>
      </c>
      <c r="AR471" s="163">
        <v>-46623.51</v>
      </c>
      <c r="AS471" s="163">
        <v>-17327.740000000002</v>
      </c>
      <c r="AT471" s="163">
        <v>-2686.26</v>
      </c>
      <c r="AU471" s="163">
        <v>22102.19</v>
      </c>
      <c r="AV471" s="163">
        <v>-25735.41</v>
      </c>
      <c r="AW471" s="163">
        <v>-25976.74</v>
      </c>
      <c r="AX471" s="163">
        <v>6638.96</v>
      </c>
      <c r="AY471" s="163">
        <v>-102160.27</v>
      </c>
      <c r="AZ471" s="163">
        <v>8944.7900000000009</v>
      </c>
      <c r="BA471" s="163">
        <v>-22995.279999999999</v>
      </c>
      <c r="BB471" s="163">
        <v>-12940.83</v>
      </c>
      <c r="BC471" s="163">
        <v>-42910.37</v>
      </c>
      <c r="BD471" s="163">
        <v>-2142.7399999999998</v>
      </c>
      <c r="BE471" s="163">
        <v>-32488.16</v>
      </c>
      <c r="BF471" s="163">
        <v>-42937.33</v>
      </c>
      <c r="BG471" s="163">
        <v>-93071.17</v>
      </c>
      <c r="BH471" s="163">
        <v>-33737.800000000003</v>
      </c>
      <c r="BI471" s="163">
        <v>1223.81</v>
      </c>
      <c r="BJ471" s="163">
        <v>16889.27</v>
      </c>
      <c r="BK471" s="163">
        <v>-27547.88</v>
      </c>
      <c r="BL471" s="163">
        <v>-16831.560000000001</v>
      </c>
      <c r="BM471" s="163">
        <v>-21601.19</v>
      </c>
      <c r="BN471" s="163">
        <v>-34566.82</v>
      </c>
      <c r="BO471" s="163">
        <v>-29684.639999999999</v>
      </c>
      <c r="BP471" s="163">
        <v>-51404.78</v>
      </c>
      <c r="BQ471" s="163">
        <v>-22396.44</v>
      </c>
      <c r="BR471" s="163">
        <v>-50832.02</v>
      </c>
      <c r="BS471" s="163">
        <v>-18479.98</v>
      </c>
      <c r="BT471" s="163">
        <v>-60762.86</v>
      </c>
      <c r="BU471" s="163">
        <v>-15231.38</v>
      </c>
      <c r="BV471" s="163">
        <v>-27772.13</v>
      </c>
      <c r="BW471" s="163">
        <v>-24352.49</v>
      </c>
      <c r="BX471" s="163">
        <v>12226.95</v>
      </c>
      <c r="BY471" s="163">
        <v>-41506.17</v>
      </c>
      <c r="BZ471" s="163">
        <v>-31055.55</v>
      </c>
      <c r="CA471" s="163">
        <v>-86279.8</v>
      </c>
      <c r="CB471" s="163">
        <v>-107029.96</v>
      </c>
      <c r="CC471" s="163">
        <v>-91803.31</v>
      </c>
      <c r="CD471" s="163">
        <v>-68588.47</v>
      </c>
      <c r="CE471" s="163">
        <v>47511.5</v>
      </c>
      <c r="CF471" s="163">
        <v>-17197.939999999999</v>
      </c>
      <c r="CG471" s="163">
        <v>105633.96</v>
      </c>
      <c r="CH471" s="163">
        <v>-57460.87</v>
      </c>
      <c r="CI471" s="163">
        <v>-958.05</v>
      </c>
      <c r="CJ471" s="163">
        <v>-9495.9599999999991</v>
      </c>
      <c r="CK471" s="163">
        <v>-32389.24</v>
      </c>
      <c r="CL471" s="163">
        <v>-15738.63</v>
      </c>
      <c r="CM471" s="163">
        <v>-45543.34</v>
      </c>
      <c r="CN471" s="163">
        <v>-21924.26</v>
      </c>
      <c r="CO471" s="163">
        <v>-55084.92</v>
      </c>
      <c r="CP471" s="163">
        <v>-43210.7</v>
      </c>
      <c r="CQ471" s="163">
        <v>-76985.259999999995</v>
      </c>
      <c r="CR471" s="163">
        <v>-37342.75</v>
      </c>
      <c r="CS471" s="163">
        <v>15565.71</v>
      </c>
      <c r="CT471" s="163">
        <v>8192.2000000000007</v>
      </c>
      <c r="CU471" s="163">
        <v>21440.799999999999</v>
      </c>
      <c r="CV471" s="163">
        <v>-34618.61</v>
      </c>
      <c r="CW471" s="163">
        <v>-57529.21</v>
      </c>
      <c r="CX471" s="163">
        <v>-72339.990000000005</v>
      </c>
      <c r="CY471" s="163">
        <v>-33118.6</v>
      </c>
      <c r="CZ471" s="163">
        <v>-12869.27</v>
      </c>
      <c r="DA471" s="163">
        <v>23149.87</v>
      </c>
      <c r="DB471" s="163">
        <v>-87239.26</v>
      </c>
      <c r="DC471" s="163">
        <v>-81634.34</v>
      </c>
      <c r="DD471" s="163">
        <v>-68049.56</v>
      </c>
      <c r="DE471" s="163">
        <f>VLOOKUP($A471,'[2]Analysis 1'!$A$5:$DG$1025,109,FALSE)</f>
        <v>-26945.96</v>
      </c>
      <c r="DF471" s="163">
        <f>VLOOKUP($A471,'[2]Analysis 1'!$A$5:$DG$1025,110,FALSE)</f>
        <v>1714.82</v>
      </c>
      <c r="DG471" s="163">
        <f>VLOOKUP($A471,'[2]Analysis 1'!$A$5:$DG$1025,111,FALSE)</f>
        <v>-61341.49</v>
      </c>
      <c r="DH471" s="369">
        <f t="shared" si="20"/>
        <v>-510821.60000000003</v>
      </c>
    </row>
    <row r="472" spans="1:112">
      <c r="A472" s="335" t="s">
        <v>1312</v>
      </c>
      <c r="D472" s="369">
        <v>43492.84</v>
      </c>
      <c r="E472" s="369">
        <v>41819.25</v>
      </c>
      <c r="F472" s="369">
        <v>147261.51999999999</v>
      </c>
      <c r="G472" s="369">
        <v>37296.949999999997</v>
      </c>
      <c r="H472" s="369">
        <v>53436.44</v>
      </c>
      <c r="I472" s="369">
        <v>66183.8</v>
      </c>
      <c r="J472" s="369">
        <v>37838.15</v>
      </c>
      <c r="K472" s="369">
        <v>54557.75</v>
      </c>
      <c r="L472" s="369">
        <v>38008.82</v>
      </c>
      <c r="M472" s="369">
        <v>45337.33</v>
      </c>
      <c r="N472" s="369">
        <v>40300.519999999997</v>
      </c>
      <c r="O472" s="369">
        <v>50086.94</v>
      </c>
      <c r="P472" s="48">
        <v>49028.6</v>
      </c>
      <c r="Q472" s="48">
        <v>44070.5</v>
      </c>
      <c r="R472" s="48">
        <v>47402.45</v>
      </c>
      <c r="S472" s="48">
        <v>41623.94</v>
      </c>
      <c r="T472" s="48">
        <v>55979.86</v>
      </c>
      <c r="U472" s="48">
        <v>41515.269999999997</v>
      </c>
      <c r="V472" s="48">
        <v>73700.61</v>
      </c>
      <c r="W472" s="48">
        <v>42364.19</v>
      </c>
      <c r="X472" s="48">
        <v>43875.91</v>
      </c>
      <c r="Y472" s="48">
        <v>40185.54</v>
      </c>
      <c r="Z472" s="48">
        <v>38448.239999999998</v>
      </c>
      <c r="AA472" s="48">
        <v>39388.639999999999</v>
      </c>
      <c r="AB472" s="48">
        <v>38644.42</v>
      </c>
      <c r="AC472" s="48">
        <v>50751.77</v>
      </c>
      <c r="AD472" s="48">
        <v>48446.59</v>
      </c>
      <c r="AE472" s="163">
        <v>58855.01</v>
      </c>
      <c r="AF472" s="163">
        <v>56993.95</v>
      </c>
      <c r="AG472" s="163">
        <v>56568.57</v>
      </c>
      <c r="AH472" s="163">
        <v>48455.92</v>
      </c>
      <c r="AI472" s="163">
        <v>51141.13</v>
      </c>
      <c r="AJ472" s="163">
        <v>59016.12</v>
      </c>
      <c r="AK472" s="163">
        <v>92135.2</v>
      </c>
      <c r="AL472" s="163">
        <v>69019.360000000001</v>
      </c>
      <c r="AM472" s="163">
        <v>93147.89</v>
      </c>
      <c r="AN472" s="163">
        <v>79314.77</v>
      </c>
      <c r="AO472" s="163">
        <v>67532.98</v>
      </c>
      <c r="AP472" s="163">
        <v>98077.36</v>
      </c>
      <c r="AQ472" s="163">
        <v>72081.03</v>
      </c>
      <c r="AR472" s="163">
        <v>86098.880000000005</v>
      </c>
      <c r="AS472" s="163">
        <v>85596.86</v>
      </c>
      <c r="AT472" s="163">
        <v>77916.929999999993</v>
      </c>
      <c r="AU472" s="163">
        <v>66870.44</v>
      </c>
      <c r="AV472" s="163">
        <v>78403.399999999994</v>
      </c>
      <c r="AW472" s="163">
        <v>69160.44</v>
      </c>
      <c r="AX472" s="163">
        <v>77422.64</v>
      </c>
      <c r="AY472" s="163">
        <v>75075.009999999995</v>
      </c>
      <c r="AZ472" s="163">
        <v>77233.990000000005</v>
      </c>
      <c r="BA472" s="163">
        <v>72034.34</v>
      </c>
      <c r="BB472" s="163">
        <v>85588.800000000003</v>
      </c>
      <c r="BC472" s="163">
        <v>89582.26</v>
      </c>
      <c r="BD472" s="163">
        <v>67274.52</v>
      </c>
      <c r="BE472" s="163">
        <v>67665.25</v>
      </c>
      <c r="BF472" s="163">
        <v>68362.899999999994</v>
      </c>
      <c r="BG472" s="163">
        <v>61590.98</v>
      </c>
      <c r="BH472" s="163">
        <v>55830.35</v>
      </c>
      <c r="BI472" s="163">
        <v>66011.83</v>
      </c>
      <c r="BJ472" s="163">
        <v>50167.62</v>
      </c>
      <c r="BK472" s="163">
        <v>56792.75</v>
      </c>
      <c r="BL472" s="163">
        <v>62554.05</v>
      </c>
      <c r="BM472" s="163">
        <v>68615.02</v>
      </c>
      <c r="BN472" s="163">
        <v>80173.19</v>
      </c>
      <c r="BO472" s="163">
        <v>71409.97</v>
      </c>
      <c r="BP472" s="163">
        <v>74055.509999999995</v>
      </c>
      <c r="BQ472" s="163">
        <v>85551.15</v>
      </c>
      <c r="BR472" s="163">
        <v>91649.279999999999</v>
      </c>
      <c r="BS472" s="163">
        <v>100214.3</v>
      </c>
      <c r="BT472" s="163">
        <v>79027.759999999995</v>
      </c>
      <c r="BU472" s="163">
        <v>106863.43</v>
      </c>
      <c r="BV472" s="163">
        <v>164522.63</v>
      </c>
      <c r="BW472" s="163">
        <v>164549.82</v>
      </c>
      <c r="BX472" s="163">
        <v>129920.32000000001</v>
      </c>
      <c r="BY472" s="163">
        <v>102817.72</v>
      </c>
      <c r="BZ472" s="163">
        <v>162960.49</v>
      </c>
      <c r="CA472" s="163">
        <v>112441.28</v>
      </c>
      <c r="CB472" s="163">
        <v>91275.74</v>
      </c>
      <c r="CC472" s="163">
        <v>171845.14</v>
      </c>
      <c r="CD472" s="163">
        <v>74907.59</v>
      </c>
      <c r="CE472" s="163">
        <v>121252.46</v>
      </c>
      <c r="CF472" s="163">
        <v>111246.57</v>
      </c>
      <c r="CG472" s="163">
        <v>123856.32000000001</v>
      </c>
      <c r="CH472" s="163">
        <v>108030.24</v>
      </c>
      <c r="CI472" s="163">
        <v>137369.35</v>
      </c>
      <c r="CJ472" s="163">
        <v>145864.01</v>
      </c>
      <c r="CK472" s="163">
        <v>86562.64</v>
      </c>
      <c r="CL472" s="163">
        <v>152522.38</v>
      </c>
      <c r="CM472" s="163">
        <v>125082.79</v>
      </c>
      <c r="CN472" s="163">
        <v>124375.55</v>
      </c>
      <c r="CO472" s="163">
        <v>142845.18</v>
      </c>
      <c r="CP472" s="163">
        <v>125339.42</v>
      </c>
      <c r="CQ472" s="163">
        <v>151657.76</v>
      </c>
      <c r="CR472" s="163">
        <v>122844.24</v>
      </c>
      <c r="CS472" s="163">
        <v>146656.26999999999</v>
      </c>
      <c r="CT472" s="163">
        <v>203219.20000000001</v>
      </c>
      <c r="CU472" s="163">
        <v>89633.33</v>
      </c>
      <c r="CV472" s="163">
        <v>142515.82999999999</v>
      </c>
      <c r="CW472" s="163">
        <v>155142.29</v>
      </c>
      <c r="CX472" s="163">
        <v>125809.12</v>
      </c>
      <c r="CY472" s="163">
        <v>162589.93</v>
      </c>
      <c r="CZ472" s="163">
        <v>93546.5</v>
      </c>
      <c r="DA472" s="163">
        <v>151080.56</v>
      </c>
      <c r="DB472" s="163">
        <v>145540.25</v>
      </c>
      <c r="DC472" s="163">
        <v>170995.84</v>
      </c>
      <c r="DD472" s="163">
        <v>130337.72</v>
      </c>
      <c r="DE472" s="163">
        <f>VLOOKUP($A472,'[2]Analysis 1'!$A$5:$DG$1025,109,FALSE)</f>
        <v>121717.98</v>
      </c>
      <c r="DF472" s="163">
        <f>VLOOKUP($A472,'[2]Analysis 1'!$A$5:$DG$1025,110,FALSE)</f>
        <v>167320.6</v>
      </c>
      <c r="DG472" s="163">
        <f>VLOOKUP($A472,'[2]Analysis 1'!$A$5:$DG$1025,111,FALSE)</f>
        <v>116699.71</v>
      </c>
      <c r="DH472" s="369">
        <f t="shared" si="20"/>
        <v>1683296.33</v>
      </c>
    </row>
    <row r="473" spans="1:112">
      <c r="A473" s="335" t="s">
        <v>1313</v>
      </c>
      <c r="D473" s="369">
        <v>34881.199999999997</v>
      </c>
      <c r="E473" s="369">
        <v>32550.1</v>
      </c>
      <c r="F473" s="369">
        <v>33040.1</v>
      </c>
      <c r="G473" s="369">
        <v>21284.83</v>
      </c>
      <c r="H473" s="369">
        <v>7073.04</v>
      </c>
      <c r="I473" s="369">
        <v>6326.14</v>
      </c>
      <c r="J473" s="369">
        <v>31055.23</v>
      </c>
      <c r="K473" s="369">
        <v>25154.16</v>
      </c>
      <c r="L473" s="369">
        <v>26430.3</v>
      </c>
      <c r="M473" s="369">
        <v>21620.47</v>
      </c>
      <c r="N473" s="369">
        <v>23087.09</v>
      </c>
      <c r="O473" s="369">
        <v>25906</v>
      </c>
      <c r="P473" s="48">
        <v>24727.08</v>
      </c>
      <c r="Q473" s="48">
        <v>20098.38</v>
      </c>
      <c r="R473" s="48">
        <v>22885.37</v>
      </c>
      <c r="S473" s="48">
        <v>26635.1</v>
      </c>
      <c r="T473" s="48">
        <v>30668.47</v>
      </c>
      <c r="U473" s="48">
        <v>52351.69</v>
      </c>
      <c r="V473" s="48">
        <v>25236.880000000001</v>
      </c>
      <c r="W473" s="48">
        <v>54964.38</v>
      </c>
      <c r="X473" s="48">
        <v>36225.67</v>
      </c>
      <c r="Y473" s="48">
        <v>35192.18</v>
      </c>
      <c r="Z473" s="48">
        <v>31951.67</v>
      </c>
      <c r="AA473" s="48">
        <v>70915.179999999993</v>
      </c>
      <c r="AB473" s="48">
        <v>27862.5</v>
      </c>
      <c r="AC473" s="48">
        <v>25161.45</v>
      </c>
      <c r="AD473" s="48">
        <v>26728.76</v>
      </c>
      <c r="AE473" s="163">
        <v>30365.79</v>
      </c>
      <c r="AF473" s="163">
        <v>38584.339999999997</v>
      </c>
      <c r="AG473" s="163">
        <v>91852.31</v>
      </c>
      <c r="AH473" s="163">
        <v>29087.56</v>
      </c>
      <c r="AI473" s="163">
        <v>29207.58</v>
      </c>
      <c r="AJ473" s="163">
        <v>32363.27</v>
      </c>
      <c r="AK473" s="163">
        <v>27179.22</v>
      </c>
      <c r="AL473" s="163">
        <v>66702.48</v>
      </c>
      <c r="AM473" s="163">
        <v>32131.13</v>
      </c>
      <c r="AN473" s="163">
        <v>39919.19</v>
      </c>
      <c r="AO473" s="163">
        <v>31438.85</v>
      </c>
      <c r="AP473" s="163">
        <v>39056.97</v>
      </c>
      <c r="AQ473" s="163">
        <v>34115.760000000002</v>
      </c>
      <c r="AR473" s="163">
        <v>31686.11</v>
      </c>
      <c r="AS473" s="163">
        <v>32497.47</v>
      </c>
      <c r="AT473" s="163">
        <v>36185.93</v>
      </c>
      <c r="AU473" s="163">
        <v>30773.8</v>
      </c>
      <c r="AV473" s="163">
        <v>32942.620000000003</v>
      </c>
      <c r="AW473" s="163">
        <v>31337.09</v>
      </c>
      <c r="AX473" s="163">
        <v>29756.83</v>
      </c>
      <c r="AY473" s="163">
        <v>39385.769999999997</v>
      </c>
      <c r="AZ473" s="163">
        <v>44181.96</v>
      </c>
      <c r="BA473" s="163">
        <v>29973.67</v>
      </c>
      <c r="BB473" s="163">
        <v>31893.73</v>
      </c>
      <c r="BC473" s="163">
        <v>38907.26</v>
      </c>
      <c r="BD473" s="163">
        <v>38456.949999999997</v>
      </c>
      <c r="BE473" s="163">
        <v>36763.69</v>
      </c>
      <c r="BF473" s="163">
        <v>43246.559999999998</v>
      </c>
      <c r="BG473" s="163">
        <v>35653.660000000003</v>
      </c>
      <c r="BH473" s="163">
        <v>49582.78</v>
      </c>
      <c r="BI473" s="163">
        <v>31573.94</v>
      </c>
      <c r="BJ473" s="163">
        <v>42277.05</v>
      </c>
      <c r="BK473" s="163">
        <v>35103.35</v>
      </c>
      <c r="BL473" s="163">
        <v>36523.919999999998</v>
      </c>
      <c r="BM473" s="163">
        <v>25711.98</v>
      </c>
      <c r="BN473" s="163">
        <v>30548.98</v>
      </c>
      <c r="BO473" s="163">
        <v>34225.33</v>
      </c>
      <c r="BP473" s="163">
        <v>30023.01</v>
      </c>
      <c r="BQ473" s="163">
        <v>29493.34</v>
      </c>
      <c r="BR473" s="163">
        <v>32638.1</v>
      </c>
      <c r="BS473" s="163">
        <v>30805.78</v>
      </c>
      <c r="BT473" s="163">
        <v>30561.33</v>
      </c>
      <c r="BU473" s="163">
        <v>46789.68</v>
      </c>
      <c r="BV473" s="163">
        <v>57451.93</v>
      </c>
      <c r="BW473" s="163">
        <v>65754.41</v>
      </c>
      <c r="BX473" s="163">
        <v>38679.18</v>
      </c>
      <c r="BY473" s="163">
        <v>39463.440000000002</v>
      </c>
      <c r="BZ473" s="163">
        <v>45655.44</v>
      </c>
      <c r="CA473" s="163">
        <v>35737.339999999997</v>
      </c>
      <c r="CB473" s="163">
        <v>6029.75</v>
      </c>
      <c r="CC473" s="163">
        <v>31034.3</v>
      </c>
      <c r="CD473" s="163">
        <v>36208.85</v>
      </c>
      <c r="CE473" s="163">
        <v>37561.410000000003</v>
      </c>
      <c r="CF473" s="163">
        <v>26578.77</v>
      </c>
      <c r="CG473" s="163">
        <v>27728.73</v>
      </c>
      <c r="CH473" s="163">
        <v>26528.46</v>
      </c>
      <c r="CI473" s="163">
        <v>43344.77</v>
      </c>
      <c r="CJ473" s="163">
        <v>47859.91</v>
      </c>
      <c r="CK473" s="163">
        <v>27577.02</v>
      </c>
      <c r="CL473" s="163">
        <v>41770.1</v>
      </c>
      <c r="CM473" s="163">
        <v>29610.25</v>
      </c>
      <c r="CN473" s="163">
        <v>32767.49</v>
      </c>
      <c r="CO473" s="163">
        <v>38290.31</v>
      </c>
      <c r="CP473" s="163">
        <v>40606.400000000001</v>
      </c>
      <c r="CQ473" s="163">
        <v>40722.03</v>
      </c>
      <c r="CR473" s="163">
        <v>37455.300000000003</v>
      </c>
      <c r="CS473" s="163">
        <v>37881.42</v>
      </c>
      <c r="CT473" s="163">
        <v>43002.04</v>
      </c>
      <c r="CU473" s="163">
        <v>40475.47</v>
      </c>
      <c r="CV473" s="163">
        <v>39645.410000000003</v>
      </c>
      <c r="CW473" s="163">
        <v>34152.42</v>
      </c>
      <c r="CX473" s="163">
        <v>35697.32</v>
      </c>
      <c r="CY473" s="163">
        <v>39577.089999999997</v>
      </c>
      <c r="CZ473" s="163">
        <v>34893.19</v>
      </c>
      <c r="DA473" s="163">
        <v>40825.21</v>
      </c>
      <c r="DB473" s="163">
        <v>48693.94</v>
      </c>
      <c r="DC473" s="163">
        <v>62593.35</v>
      </c>
      <c r="DD473" s="163">
        <v>47162.35</v>
      </c>
      <c r="DE473" s="163">
        <f>VLOOKUP($A473,'[2]Analysis 1'!$A$5:$DG$1025,109,FALSE)</f>
        <v>42546.39</v>
      </c>
      <c r="DF473" s="163">
        <f>VLOOKUP($A473,'[2]Analysis 1'!$A$5:$DG$1025,110,FALSE)</f>
        <v>43512.23</v>
      </c>
      <c r="DG473" s="163">
        <f>VLOOKUP($A473,'[2]Analysis 1'!$A$5:$DG$1025,111,FALSE)</f>
        <v>39170.6</v>
      </c>
      <c r="DH473" s="369">
        <f t="shared" si="20"/>
        <v>508469.49999999988</v>
      </c>
    </row>
    <row r="474" spans="1:112">
      <c r="A474" s="335" t="s">
        <v>1314</v>
      </c>
      <c r="D474" s="369">
        <v>0</v>
      </c>
      <c r="E474" s="369">
        <v>429.54</v>
      </c>
      <c r="F474" s="369">
        <v>0</v>
      </c>
      <c r="G474" s="369">
        <v>0</v>
      </c>
      <c r="H474" s="369">
        <v>0</v>
      </c>
      <c r="I474" s="369">
        <v>0</v>
      </c>
      <c r="J474" s="369">
        <v>0</v>
      </c>
      <c r="K474" s="369">
        <v>0</v>
      </c>
      <c r="L474" s="369">
        <v>0</v>
      </c>
      <c r="M474" s="369">
        <v>0</v>
      </c>
      <c r="N474" s="369">
        <v>0</v>
      </c>
      <c r="O474" s="369">
        <v>0</v>
      </c>
      <c r="P474" s="48">
        <v>0</v>
      </c>
      <c r="Q474" s="48">
        <v>0</v>
      </c>
      <c r="R474" s="48">
        <v>1745.71</v>
      </c>
      <c r="S474" s="48">
        <v>0</v>
      </c>
      <c r="T474" s="48">
        <v>0</v>
      </c>
      <c r="U474" s="48">
        <v>0</v>
      </c>
      <c r="V474" s="48">
        <v>0</v>
      </c>
      <c r="W474" s="48">
        <v>0</v>
      </c>
      <c r="X474" s="48">
        <v>0</v>
      </c>
      <c r="Y474" s="48">
        <v>0</v>
      </c>
      <c r="Z474" s="48">
        <v>0</v>
      </c>
      <c r="AA474" s="48">
        <v>0</v>
      </c>
      <c r="AB474" s="48">
        <v>0</v>
      </c>
      <c r="AC474" s="48">
        <v>0</v>
      </c>
      <c r="AD474" s="48">
        <v>0</v>
      </c>
      <c r="AE474" s="163">
        <v>0</v>
      </c>
      <c r="AF474" s="163">
        <v>0</v>
      </c>
      <c r="AG474" s="163">
        <v>0</v>
      </c>
      <c r="AH474" s="163">
        <v>0</v>
      </c>
      <c r="AI474" s="163">
        <v>0</v>
      </c>
      <c r="AJ474" s="163">
        <v>0</v>
      </c>
      <c r="AK474" s="163">
        <v>0</v>
      </c>
      <c r="AL474" s="163">
        <v>0</v>
      </c>
      <c r="AM474" s="163">
        <v>891.38</v>
      </c>
      <c r="AN474" s="163">
        <v>0</v>
      </c>
      <c r="AO474" s="163">
        <v>0</v>
      </c>
      <c r="AP474" s="163">
        <v>310.02999999999997</v>
      </c>
      <c r="AQ474" s="163">
        <v>0</v>
      </c>
      <c r="AR474" s="163">
        <v>0</v>
      </c>
      <c r="AS474" s="163">
        <v>3463.56</v>
      </c>
      <c r="AT474" s="163">
        <v>-210</v>
      </c>
      <c r="AU474" s="163">
        <v>455</v>
      </c>
      <c r="AV474" s="163">
        <v>-70</v>
      </c>
      <c r="AW474" s="163">
        <v>0</v>
      </c>
      <c r="AX474" s="163">
        <v>0</v>
      </c>
      <c r="AY474" s="163">
        <v>0</v>
      </c>
      <c r="AZ474" s="163">
        <v>5630.49</v>
      </c>
      <c r="BA474" s="163">
        <v>23418.54</v>
      </c>
      <c r="BB474" s="163">
        <v>13869.29</v>
      </c>
      <c r="BC474" s="163">
        <v>17349.810000000001</v>
      </c>
      <c r="BD474" s="163">
        <v>26737.73</v>
      </c>
      <c r="BE474" s="163">
        <v>2643.58</v>
      </c>
      <c r="BF474" s="163">
        <v>1131.8900000000001</v>
      </c>
      <c r="BG474" s="163">
        <v>-3257.45</v>
      </c>
      <c r="BH474" s="163">
        <v>3373.9</v>
      </c>
      <c r="BI474" s="163">
        <v>2306.98</v>
      </c>
      <c r="BJ474" s="163">
        <v>2509.64</v>
      </c>
      <c r="BK474" s="163">
        <v>2853.72</v>
      </c>
      <c r="BL474" s="163">
        <v>2967.18</v>
      </c>
      <c r="BM474" s="163">
        <v>2086.16</v>
      </c>
      <c r="BN474" s="163">
        <v>3844.25</v>
      </c>
      <c r="BO474" s="163">
        <v>2425.9899999999998</v>
      </c>
      <c r="BP474" s="163">
        <v>3279.12</v>
      </c>
      <c r="BQ474" s="163">
        <v>1475.86</v>
      </c>
      <c r="BR474" s="163">
        <v>181.94</v>
      </c>
      <c r="BS474" s="163">
        <v>286.77</v>
      </c>
      <c r="BT474" s="163">
        <v>-421.37</v>
      </c>
      <c r="BU474" s="163">
        <v>463.03</v>
      </c>
      <c r="BV474" s="163">
        <v>938.81</v>
      </c>
      <c r="BW474" s="163">
        <v>2714.13</v>
      </c>
      <c r="BX474" s="163">
        <v>1395.46</v>
      </c>
      <c r="BY474" s="163">
        <v>0</v>
      </c>
      <c r="BZ474" s="163">
        <v>0</v>
      </c>
      <c r="CA474" s="163">
        <v>0</v>
      </c>
      <c r="CB474" s="163">
        <v>0</v>
      </c>
      <c r="CC474" s="163">
        <v>0</v>
      </c>
      <c r="CD474" s="163">
        <v>0</v>
      </c>
      <c r="CE474" s="163">
        <v>0</v>
      </c>
      <c r="CF474" s="163">
        <v>0</v>
      </c>
      <c r="CG474" s="163">
        <v>0</v>
      </c>
      <c r="CH474" s="163">
        <v>0</v>
      </c>
      <c r="CI474" s="163">
        <v>17.97</v>
      </c>
      <c r="CJ474" s="163">
        <v>36.93</v>
      </c>
      <c r="CK474" s="163">
        <v>16703.599999999999</v>
      </c>
      <c r="CL474" s="163">
        <v>-16703.599999999999</v>
      </c>
      <c r="CM474" s="163">
        <v>19050.810000000001</v>
      </c>
      <c r="CN474" s="163">
        <v>0</v>
      </c>
      <c r="CO474" s="163">
        <v>38000</v>
      </c>
      <c r="CP474" s="163">
        <v>337</v>
      </c>
      <c r="CQ474" s="163">
        <v>7334.14</v>
      </c>
      <c r="CR474" s="163">
        <v>107745.53</v>
      </c>
      <c r="CS474" s="163">
        <v>-20386.919999999998</v>
      </c>
      <c r="CT474" s="163">
        <v>11039.37</v>
      </c>
      <c r="CU474" s="163">
        <v>36064.019999999997</v>
      </c>
      <c r="CV474" s="163">
        <v>51584.2</v>
      </c>
      <c r="CW474" s="163">
        <v>14706.69</v>
      </c>
      <c r="CX474" s="163">
        <v>15373.35</v>
      </c>
      <c r="CY474" s="163">
        <v>58409.55</v>
      </c>
      <c r="CZ474" s="163">
        <v>77850.27</v>
      </c>
      <c r="DA474" s="163">
        <v>11159.51</v>
      </c>
      <c r="DB474" s="163">
        <v>37420.14</v>
      </c>
      <c r="DC474" s="163">
        <v>54865.84</v>
      </c>
      <c r="DD474" s="163">
        <v>12065.62</v>
      </c>
      <c r="DE474" s="163">
        <f>VLOOKUP($A474,'[2]Analysis 1'!$A$5:$DG$1025,109,FALSE)</f>
        <v>19389.5</v>
      </c>
      <c r="DF474" s="163">
        <f>VLOOKUP($A474,'[2]Analysis 1'!$A$5:$DG$1025,110,FALSE)</f>
        <v>89058.99</v>
      </c>
      <c r="DG474" s="163">
        <f>VLOOKUP($A474,'[2]Analysis 1'!$A$5:$DG$1025,111,FALSE)</f>
        <v>37014.1</v>
      </c>
      <c r="DH474" s="369">
        <f t="shared" si="20"/>
        <v>478897.76</v>
      </c>
    </row>
    <row r="475" spans="1:112">
      <c r="A475" s="335" t="s">
        <v>1315</v>
      </c>
      <c r="D475" s="369">
        <v>0</v>
      </c>
      <c r="E475" s="369">
        <v>0</v>
      </c>
      <c r="F475" s="369">
        <v>0</v>
      </c>
      <c r="G475" s="369">
        <v>0</v>
      </c>
      <c r="H475" s="369">
        <v>0</v>
      </c>
      <c r="I475" s="369">
        <v>0</v>
      </c>
      <c r="J475" s="369">
        <v>87.7</v>
      </c>
      <c r="K475" s="369">
        <v>0</v>
      </c>
      <c r="L475" s="369">
        <v>0</v>
      </c>
      <c r="M475" s="369">
        <v>0</v>
      </c>
      <c r="N475" s="369">
        <v>0</v>
      </c>
      <c r="O475" s="369">
        <v>0</v>
      </c>
      <c r="P475" s="48">
        <v>0</v>
      </c>
      <c r="Q475" s="48">
        <v>0</v>
      </c>
      <c r="R475" s="48">
        <v>4340.45</v>
      </c>
      <c r="S475" s="48">
        <v>0</v>
      </c>
      <c r="T475" s="48">
        <v>0</v>
      </c>
      <c r="U475" s="48">
        <v>0</v>
      </c>
      <c r="V475" s="48">
        <v>0</v>
      </c>
      <c r="W475" s="48">
        <v>193.98</v>
      </c>
      <c r="X475" s="48">
        <v>73.040000000000006</v>
      </c>
      <c r="Y475" s="48">
        <v>13.39</v>
      </c>
      <c r="Z475" s="48">
        <v>499.35</v>
      </c>
      <c r="AA475" s="48">
        <v>2.87</v>
      </c>
      <c r="AB475" s="48">
        <v>3.51</v>
      </c>
      <c r="AC475" s="48">
        <v>14.01</v>
      </c>
      <c r="AD475" s="48">
        <v>2.23</v>
      </c>
      <c r="AE475" s="163">
        <v>139.51</v>
      </c>
      <c r="AF475" s="163">
        <v>71.680000000000007</v>
      </c>
      <c r="AG475" s="163">
        <v>21.41</v>
      </c>
      <c r="AH475" s="163">
        <v>48.12</v>
      </c>
      <c r="AI475" s="163">
        <v>118.51</v>
      </c>
      <c r="AJ475" s="163">
        <v>2325.59</v>
      </c>
      <c r="AK475" s="163">
        <v>1077.07</v>
      </c>
      <c r="AL475" s="163">
        <v>234.69</v>
      </c>
      <c r="AM475" s="163">
        <v>461.09</v>
      </c>
      <c r="AN475" s="163">
        <v>2349.9</v>
      </c>
      <c r="AO475" s="163">
        <v>1654.81</v>
      </c>
      <c r="AP475" s="163">
        <v>542.12</v>
      </c>
      <c r="AQ475" s="163">
        <v>297.35000000000002</v>
      </c>
      <c r="AR475" s="163">
        <v>663.75</v>
      </c>
      <c r="AS475" s="163">
        <v>1738.58</v>
      </c>
      <c r="AT475" s="163">
        <v>2379.77</v>
      </c>
      <c r="AU475" s="163">
        <v>808.61</v>
      </c>
      <c r="AV475" s="163">
        <v>1508.02</v>
      </c>
      <c r="AW475" s="163">
        <v>1648.58</v>
      </c>
      <c r="AX475" s="163">
        <v>1602.93</v>
      </c>
      <c r="AY475" s="163">
        <v>2052.77</v>
      </c>
      <c r="AZ475" s="163">
        <v>4076.15</v>
      </c>
      <c r="BA475" s="163">
        <v>712.4</v>
      </c>
      <c r="BB475" s="163">
        <v>213.97</v>
      </c>
      <c r="BC475" s="163">
        <v>488.05</v>
      </c>
      <c r="BD475" s="163">
        <v>-8263.25</v>
      </c>
      <c r="BE475" s="163">
        <v>820.82</v>
      </c>
      <c r="BF475" s="163">
        <v>132.18</v>
      </c>
      <c r="BG475" s="163">
        <v>613.11</v>
      </c>
      <c r="BH475" s="163">
        <v>410.04</v>
      </c>
      <c r="BI475" s="163">
        <v>0</v>
      </c>
      <c r="BJ475" s="163">
        <v>0</v>
      </c>
      <c r="BK475" s="163">
        <v>0</v>
      </c>
      <c r="BL475" s="163">
        <v>0</v>
      </c>
      <c r="BM475" s="163">
        <v>0</v>
      </c>
      <c r="BN475" s="163">
        <v>68.290000000000006</v>
      </c>
      <c r="BO475" s="163">
        <v>0</v>
      </c>
      <c r="BP475" s="163">
        <v>45.15</v>
      </c>
      <c r="BQ475" s="163">
        <v>0</v>
      </c>
      <c r="BR475" s="163">
        <v>0</v>
      </c>
      <c r="BS475" s="163">
        <v>0</v>
      </c>
      <c r="BT475" s="163">
        <v>0</v>
      </c>
      <c r="BU475" s="163">
        <v>0</v>
      </c>
      <c r="BV475" s="163">
        <v>6800.67</v>
      </c>
      <c r="BW475" s="163">
        <v>0</v>
      </c>
      <c r="BX475" s="163">
        <v>0</v>
      </c>
      <c r="BY475" s="163">
        <v>0</v>
      </c>
      <c r="BZ475" s="163">
        <v>29370.5</v>
      </c>
      <c r="CA475" s="163">
        <v>-29370.5</v>
      </c>
      <c r="CB475" s="163">
        <v>0</v>
      </c>
      <c r="CC475" s="163">
        <v>0</v>
      </c>
      <c r="CD475" s="163">
        <v>1402.82</v>
      </c>
      <c r="CE475" s="163">
        <v>1309.6400000000001</v>
      </c>
      <c r="CF475" s="163">
        <v>-1547.94</v>
      </c>
      <c r="CG475" s="163">
        <v>0</v>
      </c>
      <c r="CH475" s="163">
        <v>0</v>
      </c>
      <c r="CI475" s="163">
        <v>198.97</v>
      </c>
      <c r="CJ475" s="163">
        <v>0</v>
      </c>
      <c r="CK475" s="163">
        <v>111.65</v>
      </c>
      <c r="CL475" s="163">
        <v>0</v>
      </c>
      <c r="CM475" s="163">
        <v>8879.4599999999991</v>
      </c>
      <c r="CN475" s="163">
        <v>0</v>
      </c>
      <c r="CO475" s="163">
        <v>5038.8999999999996</v>
      </c>
      <c r="CP475" s="163">
        <v>2440.64</v>
      </c>
      <c r="CQ475" s="163">
        <v>0</v>
      </c>
      <c r="CR475" s="163">
        <v>5835.64</v>
      </c>
      <c r="CS475" s="163">
        <v>2703.55</v>
      </c>
      <c r="CT475" s="163">
        <v>0</v>
      </c>
      <c r="CU475" s="163">
        <v>303.68</v>
      </c>
      <c r="CV475" s="163">
        <v>2263.3200000000002</v>
      </c>
      <c r="CW475" s="163">
        <v>5354.49</v>
      </c>
      <c r="CX475" s="163">
        <v>0</v>
      </c>
      <c r="CY475" s="163">
        <v>13762.56</v>
      </c>
      <c r="CZ475" s="163">
        <v>0</v>
      </c>
      <c r="DA475" s="163">
        <v>3751.5</v>
      </c>
      <c r="DB475" s="163">
        <v>3571.58</v>
      </c>
      <c r="DC475" s="163">
        <v>3914.69</v>
      </c>
      <c r="DD475" s="163">
        <v>4008.9</v>
      </c>
      <c r="DE475" s="163">
        <f>VLOOKUP($A475,'[2]Analysis 1'!$A$5:$DG$1025,109,FALSE)</f>
        <v>4044.19</v>
      </c>
      <c r="DF475" s="163">
        <f>VLOOKUP($A475,'[2]Analysis 1'!$A$5:$DG$1025,110,FALSE)</f>
        <v>4164.43</v>
      </c>
      <c r="DG475" s="163">
        <f>VLOOKUP($A475,'[2]Analysis 1'!$A$5:$DG$1025,111,FALSE)</f>
        <v>4213.13</v>
      </c>
      <c r="DH475" s="369">
        <f t="shared" si="20"/>
        <v>49048.789999999994</v>
      </c>
    </row>
    <row r="476" spans="1:112">
      <c r="A476" s="335" t="s">
        <v>1316</v>
      </c>
      <c r="D476" s="369">
        <v>577089.72</v>
      </c>
      <c r="E476" s="369">
        <v>639014.15</v>
      </c>
      <c r="F476" s="369">
        <v>585154.23</v>
      </c>
      <c r="G476" s="369">
        <v>535565.94999999995</v>
      </c>
      <c r="H476" s="369">
        <v>593598.56999999995</v>
      </c>
      <c r="I476" s="369">
        <v>547717.12</v>
      </c>
      <c r="J476" s="369">
        <v>580745.89</v>
      </c>
      <c r="K476" s="369">
        <v>549414.79</v>
      </c>
      <c r="L476" s="369">
        <v>577788.25</v>
      </c>
      <c r="M476" s="369">
        <v>523465.04</v>
      </c>
      <c r="N476" s="369">
        <v>456297.06</v>
      </c>
      <c r="O476" s="369">
        <v>492865.18</v>
      </c>
      <c r="P476" s="48">
        <v>491978.62</v>
      </c>
      <c r="Q476" s="48">
        <v>502210.18</v>
      </c>
      <c r="R476" s="48">
        <v>612472.02</v>
      </c>
      <c r="S476" s="48">
        <v>607688.39</v>
      </c>
      <c r="T476" s="48">
        <v>605333.89</v>
      </c>
      <c r="U476" s="48">
        <v>592371.18000000005</v>
      </c>
      <c r="V476" s="48">
        <v>581629.1</v>
      </c>
      <c r="W476" s="48">
        <v>596842.81000000006</v>
      </c>
      <c r="X476" s="48">
        <v>599453.13</v>
      </c>
      <c r="Y476" s="48">
        <v>615791.30000000005</v>
      </c>
      <c r="Z476" s="48">
        <v>578046.06000000006</v>
      </c>
      <c r="AA476" s="48">
        <v>666579.26</v>
      </c>
      <c r="AB476" s="48">
        <v>611899.77</v>
      </c>
      <c r="AC476" s="48">
        <v>604586.18999999994</v>
      </c>
      <c r="AD476" s="48">
        <v>673294.15</v>
      </c>
      <c r="AE476" s="163">
        <v>615430.79</v>
      </c>
      <c r="AF476" s="163">
        <v>610905.92000000004</v>
      </c>
      <c r="AG476" s="163">
        <v>725723.89</v>
      </c>
      <c r="AH476" s="163">
        <v>600609.31999999995</v>
      </c>
      <c r="AI476" s="163">
        <v>663406.97</v>
      </c>
      <c r="AJ476" s="163">
        <v>659454.43999999994</v>
      </c>
      <c r="AK476" s="163">
        <v>676768.26</v>
      </c>
      <c r="AL476" s="163">
        <v>707508.2</v>
      </c>
      <c r="AM476" s="163">
        <v>919355.54</v>
      </c>
      <c r="AN476" s="163">
        <v>642502.97</v>
      </c>
      <c r="AO476" s="163">
        <v>642809.19999999995</v>
      </c>
      <c r="AP476" s="163">
        <v>646141.41</v>
      </c>
      <c r="AQ476" s="163">
        <v>632477.06999999995</v>
      </c>
      <c r="AR476" s="163">
        <v>636917.56999999995</v>
      </c>
      <c r="AS476" s="163">
        <v>686248.89</v>
      </c>
      <c r="AT476" s="163">
        <v>656910.18000000005</v>
      </c>
      <c r="AU476" s="163">
        <v>651650.27</v>
      </c>
      <c r="AV476" s="163">
        <v>574320.67000000004</v>
      </c>
      <c r="AW476" s="163">
        <v>658870.54</v>
      </c>
      <c r="AX476" s="163">
        <v>661221.9</v>
      </c>
      <c r="AY476" s="163">
        <v>670675.04</v>
      </c>
      <c r="AZ476" s="163">
        <v>592515.17000000004</v>
      </c>
      <c r="BA476" s="163">
        <v>620235.99</v>
      </c>
      <c r="BB476" s="163">
        <v>661419.51</v>
      </c>
      <c r="BC476" s="163">
        <v>723425.51</v>
      </c>
      <c r="BD476" s="163">
        <v>737264.16</v>
      </c>
      <c r="BE476" s="163">
        <v>685064.94</v>
      </c>
      <c r="BF476" s="163">
        <v>663274.48</v>
      </c>
      <c r="BG476" s="163">
        <v>729481.75</v>
      </c>
      <c r="BH476" s="163">
        <v>639103.05000000005</v>
      </c>
      <c r="BI476" s="163">
        <v>478572.13</v>
      </c>
      <c r="BJ476" s="163">
        <v>563795.5</v>
      </c>
      <c r="BK476" s="163">
        <v>672214.19</v>
      </c>
      <c r="BL476" s="163">
        <v>703722.93</v>
      </c>
      <c r="BM476" s="163">
        <v>741128.44</v>
      </c>
      <c r="BN476" s="163">
        <v>762680.58</v>
      </c>
      <c r="BO476" s="163">
        <v>825224.5</v>
      </c>
      <c r="BP476" s="163">
        <v>787513.25</v>
      </c>
      <c r="BQ476" s="163">
        <v>726816.15</v>
      </c>
      <c r="BR476" s="163">
        <v>766685.67</v>
      </c>
      <c r="BS476" s="163">
        <v>826164.97</v>
      </c>
      <c r="BT476" s="163">
        <v>771566.38</v>
      </c>
      <c r="BU476" s="163">
        <v>833338.42</v>
      </c>
      <c r="BV476" s="163">
        <v>752929.52</v>
      </c>
      <c r="BW476" s="163">
        <v>1115412.76</v>
      </c>
      <c r="BX476" s="163">
        <v>863020.97</v>
      </c>
      <c r="BY476" s="163">
        <v>766890.42</v>
      </c>
      <c r="BZ476" s="163">
        <v>991112.09</v>
      </c>
      <c r="CA476" s="163">
        <v>831704.98</v>
      </c>
      <c r="CB476" s="163">
        <v>844095.83</v>
      </c>
      <c r="CC476" s="163">
        <v>823697.11</v>
      </c>
      <c r="CD476" s="163">
        <v>862478.47</v>
      </c>
      <c r="CE476" s="163">
        <v>856408.76</v>
      </c>
      <c r="CF476" s="163">
        <v>910899</v>
      </c>
      <c r="CG476" s="163">
        <v>800414.17</v>
      </c>
      <c r="CH476" s="163">
        <v>805610.1</v>
      </c>
      <c r="CI476" s="163">
        <v>905910.14</v>
      </c>
      <c r="CJ476" s="163">
        <v>768608.13</v>
      </c>
      <c r="CK476" s="163">
        <v>764033.2</v>
      </c>
      <c r="CL476" s="163">
        <v>951619.33</v>
      </c>
      <c r="CM476" s="163">
        <v>945528.75</v>
      </c>
      <c r="CN476" s="163">
        <v>847910.23</v>
      </c>
      <c r="CO476" s="163">
        <v>946097.2</v>
      </c>
      <c r="CP476" s="163">
        <v>948990.03</v>
      </c>
      <c r="CQ476" s="163">
        <v>836325.01</v>
      </c>
      <c r="CR476" s="163">
        <v>844625.04</v>
      </c>
      <c r="CS476" s="163">
        <v>888791.38</v>
      </c>
      <c r="CT476" s="163">
        <v>926458.65</v>
      </c>
      <c r="CU476" s="163">
        <v>977594.36</v>
      </c>
      <c r="CV476" s="163">
        <v>879586.48</v>
      </c>
      <c r="CW476" s="163">
        <v>920585.12</v>
      </c>
      <c r="CX476" s="163">
        <v>1060566.79</v>
      </c>
      <c r="CY476" s="163">
        <v>933709.52</v>
      </c>
      <c r="CZ476" s="163">
        <v>1083636.22</v>
      </c>
      <c r="DA476" s="163">
        <v>1034935.47</v>
      </c>
      <c r="DB476" s="163">
        <v>1002026.91</v>
      </c>
      <c r="DC476" s="163">
        <v>1293701.5900000001</v>
      </c>
      <c r="DD476" s="163">
        <v>989366.94</v>
      </c>
      <c r="DE476" s="163">
        <f>VLOOKUP($A476,'[2]Analysis 1'!$A$5:$DG$1025,109,FALSE)</f>
        <v>882579</v>
      </c>
      <c r="DF476" s="163">
        <f>VLOOKUP($A476,'[2]Analysis 1'!$A$5:$DG$1025,110,FALSE)</f>
        <v>1031563.71</v>
      </c>
      <c r="DG476" s="163">
        <f>VLOOKUP($A476,'[2]Analysis 1'!$A$5:$DG$1025,111,FALSE)</f>
        <v>758468.64</v>
      </c>
      <c r="DH476" s="369">
        <f t="shared" si="20"/>
        <v>11870726.390000001</v>
      </c>
    </row>
    <row r="477" spans="1:112">
      <c r="A477" s="335" t="s">
        <v>1317</v>
      </c>
      <c r="D477" s="369">
        <v>4024.59</v>
      </c>
      <c r="E477" s="369">
        <v>2741.74</v>
      </c>
      <c r="F477" s="369">
        <v>4287.5200000000004</v>
      </c>
      <c r="G477" s="369">
        <v>5819.1</v>
      </c>
      <c r="H477" s="369">
        <v>10690.28</v>
      </c>
      <c r="I477" s="369">
        <v>6663.8</v>
      </c>
      <c r="J477" s="369">
        <v>9295.24</v>
      </c>
      <c r="K477" s="369">
        <v>1469.67</v>
      </c>
      <c r="L477" s="369">
        <v>5713.23</v>
      </c>
      <c r="M477" s="369">
        <v>6751.13</v>
      </c>
      <c r="N477" s="369">
        <v>6070.78</v>
      </c>
      <c r="O477" s="369">
        <v>2860.94</v>
      </c>
      <c r="P477" s="48">
        <v>2490.9699999999998</v>
      </c>
      <c r="Q477" s="48">
        <v>4243.43</v>
      </c>
      <c r="R477" s="48">
        <v>2332.2800000000002</v>
      </c>
      <c r="S477" s="48">
        <v>14815.01</v>
      </c>
      <c r="T477" s="48">
        <v>8065.9</v>
      </c>
      <c r="U477" s="48">
        <v>9384.94</v>
      </c>
      <c r="V477" s="48">
        <v>5152.1400000000003</v>
      </c>
      <c r="W477" s="48">
        <v>7338.77</v>
      </c>
      <c r="X477" s="48">
        <v>5934.94</v>
      </c>
      <c r="Y477" s="48">
        <v>7101.27</v>
      </c>
      <c r="Z477" s="48">
        <v>3559.66</v>
      </c>
      <c r="AA477" s="48">
        <v>2268.4699999999998</v>
      </c>
      <c r="AB477" s="48">
        <v>2789.29</v>
      </c>
      <c r="AC477" s="48">
        <v>7802.73</v>
      </c>
      <c r="AD477" s="48">
        <v>3262.36</v>
      </c>
      <c r="AE477" s="163">
        <v>3362.92</v>
      </c>
      <c r="AF477" s="163">
        <v>1327.7</v>
      </c>
      <c r="AG477" s="163">
        <v>3140.07</v>
      </c>
      <c r="AH477" s="163">
        <v>911.53</v>
      </c>
      <c r="AI477" s="163">
        <v>1028.6300000000001</v>
      </c>
      <c r="AJ477" s="163">
        <v>6497.92</v>
      </c>
      <c r="AK477" s="163">
        <v>397</v>
      </c>
      <c r="AL477" s="163">
        <v>1040.03</v>
      </c>
      <c r="AM477" s="163">
        <v>646.52</v>
      </c>
      <c r="AN477" s="163">
        <v>957.36</v>
      </c>
      <c r="AO477" s="163">
        <v>463.65</v>
      </c>
      <c r="AP477" s="163">
        <v>4488.3999999999996</v>
      </c>
      <c r="AQ477" s="163">
        <v>1288.5</v>
      </c>
      <c r="AR477" s="163">
        <v>529.44000000000005</v>
      </c>
      <c r="AS477" s="163">
        <v>2195.7199999999998</v>
      </c>
      <c r="AT477" s="163">
        <v>1600</v>
      </c>
      <c r="AU477" s="163">
        <v>4108.46</v>
      </c>
      <c r="AV477" s="163">
        <v>2161.0300000000002</v>
      </c>
      <c r="AW477" s="163">
        <v>5832.41</v>
      </c>
      <c r="AX477" s="163">
        <v>5780.47</v>
      </c>
      <c r="AY477" s="163">
        <v>2237.61</v>
      </c>
      <c r="AZ477" s="163">
        <v>609.24</v>
      </c>
      <c r="BA477" s="163">
        <v>5925.03</v>
      </c>
      <c r="BB477" s="163">
        <v>2220.65</v>
      </c>
      <c r="BC477" s="163">
        <v>1409.4</v>
      </c>
      <c r="BD477" s="163">
        <v>2519.23</v>
      </c>
      <c r="BE477" s="163">
        <v>473.79</v>
      </c>
      <c r="BF477" s="163">
        <v>484</v>
      </c>
      <c r="BG477" s="163">
        <v>1760.72</v>
      </c>
      <c r="BH477" s="163">
        <v>294.38</v>
      </c>
      <c r="BI477" s="163">
        <v>11.2</v>
      </c>
      <c r="BJ477" s="163">
        <v>762.67</v>
      </c>
      <c r="BK477" s="163">
        <v>158.99</v>
      </c>
      <c r="BL477" s="163">
        <v>16.2</v>
      </c>
      <c r="BM477" s="163">
        <v>4985.09</v>
      </c>
      <c r="BN477" s="163">
        <v>7042.14</v>
      </c>
      <c r="BO477" s="163">
        <v>389.58</v>
      </c>
      <c r="BP477" s="163">
        <v>1802.89</v>
      </c>
      <c r="BQ477" s="163">
        <v>867.75</v>
      </c>
      <c r="BR477" s="163">
        <v>2106.54</v>
      </c>
      <c r="BS477" s="163">
        <v>2972.04</v>
      </c>
      <c r="BT477" s="163">
        <v>1206.2</v>
      </c>
      <c r="BU477" s="163">
        <v>4626.8100000000004</v>
      </c>
      <c r="BV477" s="163">
        <v>2818.03</v>
      </c>
      <c r="BW477" s="163">
        <v>11702.39</v>
      </c>
      <c r="BX477" s="163">
        <v>5631.3</v>
      </c>
      <c r="BY477" s="163">
        <v>2019.48</v>
      </c>
      <c r="BZ477" s="163">
        <v>3323.83</v>
      </c>
      <c r="CA477" s="163">
        <v>4776.3999999999996</v>
      </c>
      <c r="CB477" s="163">
        <v>1796.43</v>
      </c>
      <c r="CC477" s="163">
        <v>1855.29</v>
      </c>
      <c r="CD477" s="163">
        <v>12973.46</v>
      </c>
      <c r="CE477" s="163">
        <v>5746.47</v>
      </c>
      <c r="CF477" s="163">
        <v>-181.7</v>
      </c>
      <c r="CG477" s="163">
        <v>397.01</v>
      </c>
      <c r="CH477" s="163">
        <v>3801.16</v>
      </c>
      <c r="CI477" s="163">
        <v>4900.88</v>
      </c>
      <c r="CJ477" s="163">
        <v>1271.53</v>
      </c>
      <c r="CK477" s="163">
        <v>3061.75</v>
      </c>
      <c r="CL477" s="163">
        <v>7968.62</v>
      </c>
      <c r="CM477" s="163">
        <v>696.77</v>
      </c>
      <c r="CN477" s="163">
        <v>3904.78</v>
      </c>
      <c r="CO477" s="163">
        <v>284.18</v>
      </c>
      <c r="CP477" s="163">
        <v>2861.93</v>
      </c>
      <c r="CQ477" s="163">
        <v>336.96</v>
      </c>
      <c r="CR477" s="163">
        <v>1167.49</v>
      </c>
      <c r="CS477" s="163">
        <v>2608.89</v>
      </c>
      <c r="CT477" s="163">
        <v>1398.31</v>
      </c>
      <c r="CU477" s="163">
        <v>411.74</v>
      </c>
      <c r="CV477" s="163">
        <v>757.71</v>
      </c>
      <c r="CW477" s="163">
        <v>3259.99</v>
      </c>
      <c r="CX477" s="163">
        <v>3660.78</v>
      </c>
      <c r="CY477" s="163">
        <v>7423.82</v>
      </c>
      <c r="CZ477" s="163">
        <v>2780.25</v>
      </c>
      <c r="DA477" s="163">
        <v>1757.14</v>
      </c>
      <c r="DB477" s="163">
        <v>1996.94</v>
      </c>
      <c r="DC477" s="163">
        <v>54855.37</v>
      </c>
      <c r="DD477" s="163">
        <v>-50506.44</v>
      </c>
      <c r="DE477" s="163">
        <f>VLOOKUP($A477,'[2]Analysis 1'!$A$5:$DG$1025,109,FALSE)</f>
        <v>1508.92</v>
      </c>
      <c r="DF477" s="163">
        <f>VLOOKUP($A477,'[2]Analysis 1'!$A$5:$DG$1025,110,FALSE)</f>
        <v>853.48</v>
      </c>
      <c r="DG477" s="163">
        <f>VLOOKUP($A477,'[2]Analysis 1'!$A$5:$DG$1025,111,FALSE)</f>
        <v>531.15</v>
      </c>
      <c r="DH477" s="369">
        <f t="shared" si="20"/>
        <v>28879.109999999997</v>
      </c>
    </row>
    <row r="478" spans="1:112">
      <c r="A478" s="335" t="s">
        <v>1318</v>
      </c>
      <c r="D478" s="369">
        <v>11329.12</v>
      </c>
      <c r="E478" s="369">
        <v>0</v>
      </c>
      <c r="F478" s="369">
        <v>0</v>
      </c>
      <c r="G478" s="369">
        <v>7455.59</v>
      </c>
      <c r="H478" s="369">
        <v>2128.31</v>
      </c>
      <c r="I478" s="369">
        <v>4982.6400000000003</v>
      </c>
      <c r="J478" s="369">
        <v>2797.28</v>
      </c>
      <c r="K478" s="369">
        <v>3330.49</v>
      </c>
      <c r="L478" s="369">
        <v>2630.71</v>
      </c>
      <c r="M478" s="369">
        <v>3266.52</v>
      </c>
      <c r="N478" s="369">
        <v>5121.1400000000003</v>
      </c>
      <c r="O478" s="369">
        <v>4801.05</v>
      </c>
      <c r="P478" s="48">
        <v>0</v>
      </c>
      <c r="Q478" s="48">
        <v>451.79</v>
      </c>
      <c r="R478" s="48">
        <v>1239.6400000000001</v>
      </c>
      <c r="S478" s="48">
        <v>4265.18</v>
      </c>
      <c r="T478" s="48">
        <v>2353.21</v>
      </c>
      <c r="U478" s="48">
        <v>453.48</v>
      </c>
      <c r="V478" s="48">
        <v>1523.58</v>
      </c>
      <c r="W478" s="48">
        <v>164.25</v>
      </c>
      <c r="X478" s="48">
        <v>8993.6299999999992</v>
      </c>
      <c r="Y478" s="48">
        <v>7670.06</v>
      </c>
      <c r="Z478" s="48">
        <v>682.58</v>
      </c>
      <c r="AA478" s="48">
        <v>9505.5</v>
      </c>
      <c r="AB478" s="48">
        <v>799.68</v>
      </c>
      <c r="AC478" s="48">
        <v>232.3</v>
      </c>
      <c r="AD478" s="48">
        <v>0</v>
      </c>
      <c r="AE478" s="163">
        <v>1605.2</v>
      </c>
      <c r="AF478" s="163">
        <v>1451.08</v>
      </c>
      <c r="AG478" s="163">
        <v>14827.04</v>
      </c>
      <c r="AH478" s="163">
        <v>2746</v>
      </c>
      <c r="AI478" s="163">
        <v>8587.57</v>
      </c>
      <c r="AJ478" s="163">
        <v>1185.31</v>
      </c>
      <c r="AK478" s="163">
        <v>180.77</v>
      </c>
      <c r="AL478" s="163">
        <v>4207.49</v>
      </c>
      <c r="AM478" s="163">
        <v>14974</v>
      </c>
      <c r="AN478" s="163">
        <v>160.38</v>
      </c>
      <c r="AO478" s="163">
        <v>0</v>
      </c>
      <c r="AP478" s="163">
        <v>4599.2299999999996</v>
      </c>
      <c r="AQ478" s="163">
        <v>80.790000000000006</v>
      </c>
      <c r="AR478" s="163">
        <v>4290.8500000000004</v>
      </c>
      <c r="AS478" s="163">
        <v>41791.81</v>
      </c>
      <c r="AT478" s="163">
        <v>-4720.9399999999996</v>
      </c>
      <c r="AU478" s="163">
        <v>-3675.66</v>
      </c>
      <c r="AV478" s="163">
        <v>101.28</v>
      </c>
      <c r="AW478" s="163">
        <v>4661.1899999999996</v>
      </c>
      <c r="AX478" s="163">
        <v>453.11</v>
      </c>
      <c r="AY478" s="163">
        <v>567.55999999999995</v>
      </c>
      <c r="AZ478" s="163">
        <v>1258.05</v>
      </c>
      <c r="BA478" s="163">
        <v>312.88</v>
      </c>
      <c r="BB478" s="163">
        <v>2645.7</v>
      </c>
      <c r="BC478" s="163">
        <v>-34.619999999999997</v>
      </c>
      <c r="BD478" s="163">
        <v>3887.33</v>
      </c>
      <c r="BE478" s="163">
        <v>92.65</v>
      </c>
      <c r="BF478" s="163">
        <v>231.89</v>
      </c>
      <c r="BG478" s="163">
        <v>0</v>
      </c>
      <c r="BH478" s="163">
        <v>274.2</v>
      </c>
      <c r="BI478" s="163">
        <v>627.09</v>
      </c>
      <c r="BJ478" s="163">
        <v>12149.38</v>
      </c>
      <c r="BK478" s="163">
        <v>-10260.129999999999</v>
      </c>
      <c r="BL478" s="163">
        <v>0</v>
      </c>
      <c r="BM478" s="163">
        <v>87.21</v>
      </c>
      <c r="BN478" s="163">
        <v>0</v>
      </c>
      <c r="BO478" s="163">
        <v>0</v>
      </c>
      <c r="BP478" s="163">
        <v>0</v>
      </c>
      <c r="BQ478" s="163">
        <v>0</v>
      </c>
      <c r="BR478" s="163">
        <v>0</v>
      </c>
      <c r="BS478" s="163">
        <v>0</v>
      </c>
      <c r="BT478" s="163">
        <v>1884.2</v>
      </c>
      <c r="BU478" s="163">
        <v>44.8</v>
      </c>
      <c r="BV478" s="163">
        <v>103.93</v>
      </c>
      <c r="BW478" s="163">
        <v>43.61</v>
      </c>
      <c r="BX478" s="163">
        <v>0</v>
      </c>
      <c r="BY478" s="163">
        <v>0</v>
      </c>
      <c r="BZ478" s="163">
        <v>53.75</v>
      </c>
      <c r="CA478" s="163">
        <v>0</v>
      </c>
      <c r="CB478" s="163">
        <v>0</v>
      </c>
      <c r="CC478" s="163">
        <v>37.44</v>
      </c>
      <c r="CD478" s="163">
        <v>0</v>
      </c>
      <c r="CE478" s="163">
        <v>75.8</v>
      </c>
      <c r="CF478" s="163">
        <v>2502.73</v>
      </c>
      <c r="CG478" s="163">
        <v>0</v>
      </c>
      <c r="CH478" s="163">
        <v>0</v>
      </c>
      <c r="CI478" s="163">
        <v>0</v>
      </c>
      <c r="CJ478" s="163">
        <v>0</v>
      </c>
      <c r="CK478" s="163">
        <v>24237.64</v>
      </c>
      <c r="CL478" s="163">
        <v>0</v>
      </c>
      <c r="CM478" s="163">
        <v>2621.5</v>
      </c>
      <c r="CN478" s="163">
        <v>0</v>
      </c>
      <c r="CO478" s="163">
        <v>0</v>
      </c>
      <c r="CP478" s="163">
        <v>18208.12</v>
      </c>
      <c r="CQ478" s="163">
        <v>-18208.12</v>
      </c>
      <c r="CR478" s="163">
        <v>11246.87</v>
      </c>
      <c r="CS478" s="163">
        <v>-707.37</v>
      </c>
      <c r="CT478" s="163">
        <v>0</v>
      </c>
      <c r="CU478" s="163">
        <v>1071</v>
      </c>
      <c r="CV478" s="163">
        <v>27253.97</v>
      </c>
      <c r="CW478" s="163">
        <v>0</v>
      </c>
      <c r="CX478" s="163">
        <v>1099.74</v>
      </c>
      <c r="CY478" s="163">
        <v>0</v>
      </c>
      <c r="CZ478" s="163">
        <v>0</v>
      </c>
      <c r="DA478" s="163">
        <v>52.09</v>
      </c>
      <c r="DB478" s="163">
        <v>0</v>
      </c>
      <c r="DC478" s="163">
        <v>0</v>
      </c>
      <c r="DD478" s="163">
        <v>124.76</v>
      </c>
      <c r="DE478" s="163">
        <f>VLOOKUP($A478,'[2]Analysis 1'!$A$5:$DG$1025,109,FALSE)</f>
        <v>0</v>
      </c>
      <c r="DF478" s="163">
        <f>VLOOKUP($A478,'[2]Analysis 1'!$A$5:$DG$1025,110,FALSE)</f>
        <v>0</v>
      </c>
      <c r="DG478" s="163">
        <f>VLOOKUP($A478,'[2]Analysis 1'!$A$5:$DG$1025,111,FALSE)</f>
        <v>0</v>
      </c>
      <c r="DH478" s="369">
        <f t="shared" si="20"/>
        <v>28530.560000000001</v>
      </c>
    </row>
    <row r="479" spans="1:112">
      <c r="A479" s="335" t="s">
        <v>1319</v>
      </c>
      <c r="D479" s="369">
        <v>6136.13</v>
      </c>
      <c r="E479" s="369">
        <v>7359.23</v>
      </c>
      <c r="F479" s="369">
        <v>6274.3</v>
      </c>
      <c r="G479" s="369">
        <v>15354.8</v>
      </c>
      <c r="H479" s="369">
        <v>20558.740000000002</v>
      </c>
      <c r="I479" s="369">
        <v>4968.17</v>
      </c>
      <c r="J479" s="369">
        <v>33579.03</v>
      </c>
      <c r="K479" s="369">
        <v>4281.38</v>
      </c>
      <c r="L479" s="369">
        <v>4888.8599999999997</v>
      </c>
      <c r="M479" s="369">
        <v>5152.3999999999996</v>
      </c>
      <c r="N479" s="369">
        <v>2588.96</v>
      </c>
      <c r="O479" s="369">
        <v>6280.54</v>
      </c>
      <c r="P479" s="48">
        <v>5429.72</v>
      </c>
      <c r="Q479" s="48">
        <v>4817.17</v>
      </c>
      <c r="R479" s="48">
        <v>4042.49</v>
      </c>
      <c r="S479" s="48">
        <v>4247.37</v>
      </c>
      <c r="T479" s="48">
        <v>5410.4</v>
      </c>
      <c r="U479" s="48">
        <v>4874.42</v>
      </c>
      <c r="V479" s="48">
        <v>7525.25</v>
      </c>
      <c r="W479" s="48">
        <v>4286.3599999999997</v>
      </c>
      <c r="X479" s="48">
        <v>6647.33</v>
      </c>
      <c r="Y479" s="48">
        <v>4362.4799999999996</v>
      </c>
      <c r="Z479" s="48">
        <v>6389.38</v>
      </c>
      <c r="AA479" s="48">
        <v>6851.65</v>
      </c>
      <c r="AB479" s="48">
        <v>4768.78</v>
      </c>
      <c r="AC479" s="48">
        <v>6717.8</v>
      </c>
      <c r="AD479" s="48">
        <v>4620.21</v>
      </c>
      <c r="AE479" s="163">
        <v>3488.97</v>
      </c>
      <c r="AF479" s="163">
        <v>3391.69</v>
      </c>
      <c r="AG479" s="163">
        <v>7442.68</v>
      </c>
      <c r="AH479" s="163">
        <v>4599.84</v>
      </c>
      <c r="AI479" s="163">
        <v>6812.54</v>
      </c>
      <c r="AJ479" s="163">
        <v>9183.56</v>
      </c>
      <c r="AK479" s="163">
        <v>6099.91</v>
      </c>
      <c r="AL479" s="163">
        <v>5343.67</v>
      </c>
      <c r="AM479" s="163">
        <v>11677.24</v>
      </c>
      <c r="AN479" s="163">
        <v>8645.01</v>
      </c>
      <c r="AO479" s="163">
        <v>3343.18</v>
      </c>
      <c r="AP479" s="163">
        <v>-234.53</v>
      </c>
      <c r="AQ479" s="163">
        <v>5489.87</v>
      </c>
      <c r="AR479" s="163">
        <v>4969.1899999999996</v>
      </c>
      <c r="AS479" s="163">
        <v>5211</v>
      </c>
      <c r="AT479" s="163">
        <v>6009.93</v>
      </c>
      <c r="AU479" s="163">
        <v>3902.83</v>
      </c>
      <c r="AV479" s="163">
        <v>5631.76</v>
      </c>
      <c r="AW479" s="163">
        <v>6418.11</v>
      </c>
      <c r="AX479" s="163">
        <v>6361.12</v>
      </c>
      <c r="AY479" s="163">
        <v>8213.4</v>
      </c>
      <c r="AZ479" s="163">
        <v>5307.39</v>
      </c>
      <c r="BA479" s="163">
        <v>5078.68</v>
      </c>
      <c r="BB479" s="163">
        <v>6606.61</v>
      </c>
      <c r="BC479" s="163">
        <v>7510.54</v>
      </c>
      <c r="BD479" s="163">
        <v>4845.4399999999996</v>
      </c>
      <c r="BE479" s="163">
        <v>4832.95</v>
      </c>
      <c r="BF479" s="163">
        <v>7334.07</v>
      </c>
      <c r="BG479" s="163">
        <v>5426.87</v>
      </c>
      <c r="BH479" s="163">
        <v>6382.87</v>
      </c>
      <c r="BI479" s="163">
        <v>6207.69</v>
      </c>
      <c r="BJ479" s="163">
        <v>5948.72</v>
      </c>
      <c r="BK479" s="163">
        <v>8356.74</v>
      </c>
      <c r="BL479" s="163">
        <v>5564.7</v>
      </c>
      <c r="BM479" s="163">
        <v>7729.39</v>
      </c>
      <c r="BN479" s="163">
        <v>6554.31</v>
      </c>
      <c r="BO479" s="163">
        <v>7417.55</v>
      </c>
      <c r="BP479" s="163">
        <v>6931.88</v>
      </c>
      <c r="BQ479" s="163">
        <v>6703.65</v>
      </c>
      <c r="BR479" s="163">
        <v>6306.55</v>
      </c>
      <c r="BS479" s="163">
        <v>7762.79</v>
      </c>
      <c r="BT479" s="163">
        <v>7571.35</v>
      </c>
      <c r="BU479" s="163">
        <v>6662.03</v>
      </c>
      <c r="BV479" s="163">
        <v>7222.6</v>
      </c>
      <c r="BW479" s="163">
        <v>8969.0400000000009</v>
      </c>
      <c r="BX479" s="163">
        <v>8290.02</v>
      </c>
      <c r="BY479" s="163">
        <v>6405.51</v>
      </c>
      <c r="BZ479" s="163">
        <v>8863.8799999999992</v>
      </c>
      <c r="CA479" s="163">
        <v>7161.8</v>
      </c>
      <c r="CB479" s="163">
        <v>93577.66</v>
      </c>
      <c r="CC479" s="163">
        <v>23659.86</v>
      </c>
      <c r="CD479" s="163">
        <v>25905.02</v>
      </c>
      <c r="CE479" s="163">
        <v>23353.02</v>
      </c>
      <c r="CF479" s="163">
        <v>23443.54</v>
      </c>
      <c r="CG479" s="163">
        <v>25979.84</v>
      </c>
      <c r="CH479" s="163">
        <v>25213.77</v>
      </c>
      <c r="CI479" s="163">
        <v>28658.68</v>
      </c>
      <c r="CJ479" s="163">
        <v>14919.36</v>
      </c>
      <c r="CK479" s="163">
        <v>8543.06</v>
      </c>
      <c r="CL479" s="163">
        <v>9630.9599999999991</v>
      </c>
      <c r="CM479" s="163">
        <v>9422.43</v>
      </c>
      <c r="CN479" s="163">
        <v>7778.1</v>
      </c>
      <c r="CO479" s="163">
        <v>7878.85</v>
      </c>
      <c r="CP479" s="163">
        <v>13471.21</v>
      </c>
      <c r="CQ479" s="163">
        <v>8896.1200000000008</v>
      </c>
      <c r="CR479" s="163">
        <v>11167.95</v>
      </c>
      <c r="CS479" s="163">
        <v>10773.39</v>
      </c>
      <c r="CT479" s="163">
        <v>9130.48</v>
      </c>
      <c r="CU479" s="163">
        <v>12471.49</v>
      </c>
      <c r="CV479" s="163">
        <v>9706</v>
      </c>
      <c r="CW479" s="163">
        <v>11399.81</v>
      </c>
      <c r="CX479" s="163">
        <v>11471.53</v>
      </c>
      <c r="CY479" s="163">
        <v>9275.6299999999992</v>
      </c>
      <c r="CZ479" s="163">
        <v>12235.57</v>
      </c>
      <c r="DA479" s="163">
        <v>12391.21</v>
      </c>
      <c r="DB479" s="163">
        <v>12110.98</v>
      </c>
      <c r="DC479" s="163">
        <v>15826.22</v>
      </c>
      <c r="DD479" s="163">
        <v>7482.35</v>
      </c>
      <c r="DE479" s="163">
        <f>VLOOKUP($A479,'[2]Analysis 1'!$A$5:$DG$1025,109,FALSE)</f>
        <v>22894.78</v>
      </c>
      <c r="DF479" s="163">
        <f>VLOOKUP($A479,'[2]Analysis 1'!$A$5:$DG$1025,110,FALSE)</f>
        <v>19114.66</v>
      </c>
      <c r="DG479" s="163">
        <f>VLOOKUP($A479,'[2]Analysis 1'!$A$5:$DG$1025,111,FALSE)</f>
        <v>10769.76</v>
      </c>
      <c r="DH479" s="369">
        <f t="shared" si="20"/>
        <v>154678.5</v>
      </c>
    </row>
    <row r="480" spans="1:112">
      <c r="A480" s="335" t="s">
        <v>1320</v>
      </c>
      <c r="D480" s="369">
        <v>331664.32</v>
      </c>
      <c r="E480" s="369">
        <v>280878.81</v>
      </c>
      <c r="F480" s="369">
        <v>340841.73</v>
      </c>
      <c r="G480" s="369">
        <v>336468.88</v>
      </c>
      <c r="H480" s="369">
        <v>358277.46</v>
      </c>
      <c r="I480" s="369">
        <v>348496.89</v>
      </c>
      <c r="J480" s="369">
        <v>401879.03</v>
      </c>
      <c r="K480" s="369">
        <v>395945.61</v>
      </c>
      <c r="L480" s="369">
        <v>393749.54</v>
      </c>
      <c r="M480" s="369">
        <v>346898.74</v>
      </c>
      <c r="N480" s="369">
        <v>324130.23</v>
      </c>
      <c r="O480" s="369">
        <v>318864.71000000002</v>
      </c>
      <c r="P480" s="48">
        <v>303119.52</v>
      </c>
      <c r="Q480" s="48">
        <v>306386.05</v>
      </c>
      <c r="R480" s="48">
        <v>324008.94</v>
      </c>
      <c r="S480" s="48">
        <v>329943.99</v>
      </c>
      <c r="T480" s="48">
        <v>373121.43</v>
      </c>
      <c r="U480" s="48">
        <v>373278.5</v>
      </c>
      <c r="V480" s="48">
        <v>379361.08</v>
      </c>
      <c r="W480" s="48">
        <v>363906.81</v>
      </c>
      <c r="X480" s="48">
        <v>361671.39</v>
      </c>
      <c r="Y480" s="48">
        <v>373518.29</v>
      </c>
      <c r="Z480" s="48">
        <v>390443.42</v>
      </c>
      <c r="AA480" s="48">
        <v>391313.14</v>
      </c>
      <c r="AB480" s="48">
        <v>387278.21</v>
      </c>
      <c r="AC480" s="48">
        <v>320639.03999999998</v>
      </c>
      <c r="AD480" s="48">
        <v>392361.23</v>
      </c>
      <c r="AE480" s="163">
        <v>344536.52</v>
      </c>
      <c r="AF480" s="163">
        <v>333609.61</v>
      </c>
      <c r="AG480" s="163">
        <v>367571.77</v>
      </c>
      <c r="AH480" s="163">
        <v>337048.62</v>
      </c>
      <c r="AI480" s="163">
        <v>415646.4</v>
      </c>
      <c r="AJ480" s="163">
        <v>350825.22</v>
      </c>
      <c r="AK480" s="163">
        <v>406109.41</v>
      </c>
      <c r="AL480" s="163">
        <v>509946.34</v>
      </c>
      <c r="AM480" s="163">
        <v>473934.12</v>
      </c>
      <c r="AN480" s="163">
        <v>330722.59000000003</v>
      </c>
      <c r="AO480" s="163">
        <v>329327.03000000003</v>
      </c>
      <c r="AP480" s="163">
        <v>353317.25</v>
      </c>
      <c r="AQ480" s="163">
        <v>389287.23</v>
      </c>
      <c r="AR480" s="163">
        <v>478317.47</v>
      </c>
      <c r="AS480" s="163">
        <v>472464.22</v>
      </c>
      <c r="AT480" s="163">
        <v>481635.72</v>
      </c>
      <c r="AU480" s="163">
        <v>517421.4</v>
      </c>
      <c r="AV480" s="163">
        <v>357513.09</v>
      </c>
      <c r="AW480" s="163">
        <v>506337.1</v>
      </c>
      <c r="AX480" s="163">
        <v>500950.42</v>
      </c>
      <c r="AY480" s="163">
        <v>552550.44999999995</v>
      </c>
      <c r="AZ480" s="163">
        <v>428461.48</v>
      </c>
      <c r="BA480" s="163">
        <v>468341.03</v>
      </c>
      <c r="BB480" s="163">
        <v>476985.96</v>
      </c>
      <c r="BC480" s="163">
        <v>453349.23</v>
      </c>
      <c r="BD480" s="163">
        <v>403614.47</v>
      </c>
      <c r="BE480" s="163">
        <v>458408.1</v>
      </c>
      <c r="BF480" s="163">
        <v>380866.75</v>
      </c>
      <c r="BG480" s="163">
        <v>414751.56</v>
      </c>
      <c r="BH480" s="163">
        <v>351139.78</v>
      </c>
      <c r="BI480" s="163">
        <v>396062.05</v>
      </c>
      <c r="BJ480" s="163">
        <v>319811.71999999997</v>
      </c>
      <c r="BK480" s="163">
        <v>391463.82</v>
      </c>
      <c r="BL480" s="163">
        <v>403554.52</v>
      </c>
      <c r="BM480" s="163">
        <v>339306.14</v>
      </c>
      <c r="BN480" s="163">
        <v>438874.04</v>
      </c>
      <c r="BO480" s="163">
        <v>341530.26</v>
      </c>
      <c r="BP480" s="163">
        <v>422969.32</v>
      </c>
      <c r="BQ480" s="163">
        <v>364047.39</v>
      </c>
      <c r="BR480" s="163">
        <v>435869.56</v>
      </c>
      <c r="BS480" s="163">
        <v>447427.46</v>
      </c>
      <c r="BT480" s="163">
        <v>404354.55</v>
      </c>
      <c r="BU480" s="163">
        <v>409337.35</v>
      </c>
      <c r="BV480" s="163">
        <v>529053.13</v>
      </c>
      <c r="BW480" s="163">
        <v>520136.74</v>
      </c>
      <c r="BX480" s="163">
        <v>500679.98</v>
      </c>
      <c r="BY480" s="163">
        <v>392228.57</v>
      </c>
      <c r="BZ480" s="163">
        <v>615433.6</v>
      </c>
      <c r="CA480" s="163">
        <v>417025.28000000003</v>
      </c>
      <c r="CB480" s="163">
        <v>348949.88</v>
      </c>
      <c r="CC480" s="163">
        <v>395017.46</v>
      </c>
      <c r="CD480" s="163">
        <v>397132.11</v>
      </c>
      <c r="CE480" s="163">
        <v>411433.44</v>
      </c>
      <c r="CF480" s="163">
        <v>411020.19</v>
      </c>
      <c r="CG480" s="163">
        <v>406461.9</v>
      </c>
      <c r="CH480" s="163">
        <v>410458.93</v>
      </c>
      <c r="CI480" s="163">
        <v>475080.71</v>
      </c>
      <c r="CJ480" s="163">
        <v>386666.72</v>
      </c>
      <c r="CK480" s="163">
        <v>367093.51</v>
      </c>
      <c r="CL480" s="163">
        <v>512899.84000000003</v>
      </c>
      <c r="CM480" s="163">
        <v>428165.84</v>
      </c>
      <c r="CN480" s="163">
        <v>432385.1</v>
      </c>
      <c r="CO480" s="163">
        <v>422798.92</v>
      </c>
      <c r="CP480" s="163">
        <v>462718.69</v>
      </c>
      <c r="CQ480" s="163">
        <v>450568.6</v>
      </c>
      <c r="CR480" s="163">
        <v>461344.34</v>
      </c>
      <c r="CS480" s="163">
        <v>407696.22</v>
      </c>
      <c r="CT480" s="163">
        <v>517713.02</v>
      </c>
      <c r="CU480" s="163">
        <v>580938.28</v>
      </c>
      <c r="CV480" s="163">
        <v>433635.64</v>
      </c>
      <c r="CW480" s="163">
        <v>389343.41</v>
      </c>
      <c r="CX480" s="163">
        <v>450628.17</v>
      </c>
      <c r="CY480" s="163">
        <v>513599.74</v>
      </c>
      <c r="CZ480" s="163">
        <v>541226.47</v>
      </c>
      <c r="DA480" s="163">
        <v>460609.04</v>
      </c>
      <c r="DB480" s="163">
        <v>514118.02</v>
      </c>
      <c r="DC480" s="163">
        <v>591781.4</v>
      </c>
      <c r="DD480" s="163">
        <v>536565.29</v>
      </c>
      <c r="DE480" s="163">
        <f>VLOOKUP($A480,'[2]Analysis 1'!$A$5:$DG$1025,109,FALSE)</f>
        <v>560671.98</v>
      </c>
      <c r="DF480" s="163">
        <f>VLOOKUP($A480,'[2]Analysis 1'!$A$5:$DG$1025,110,FALSE)</f>
        <v>555669.42000000004</v>
      </c>
      <c r="DG480" s="163">
        <f>VLOOKUP($A480,'[2]Analysis 1'!$A$5:$DG$1025,111,FALSE)</f>
        <v>661296.09</v>
      </c>
      <c r="DH480" s="369">
        <f t="shared" si="20"/>
        <v>6209144.6699999999</v>
      </c>
    </row>
    <row r="481" spans="1:112">
      <c r="A481" s="335" t="s">
        <v>1321</v>
      </c>
      <c r="D481" s="369">
        <v>184557.37</v>
      </c>
      <c r="E481" s="369">
        <v>147280.78</v>
      </c>
      <c r="F481" s="369">
        <v>151730.47</v>
      </c>
      <c r="G481" s="369">
        <v>138717.81</v>
      </c>
      <c r="H481" s="369">
        <v>158418.76999999999</v>
      </c>
      <c r="I481" s="369">
        <v>141319.22</v>
      </c>
      <c r="J481" s="369">
        <v>188796.06</v>
      </c>
      <c r="K481" s="369">
        <v>150911.19</v>
      </c>
      <c r="L481" s="369">
        <v>236065.04</v>
      </c>
      <c r="M481" s="369">
        <v>176585.16</v>
      </c>
      <c r="N481" s="369">
        <v>163521.91</v>
      </c>
      <c r="O481" s="369">
        <v>202287.45</v>
      </c>
      <c r="P481" s="48">
        <v>176829.47</v>
      </c>
      <c r="Q481" s="48">
        <v>158173.24</v>
      </c>
      <c r="R481" s="48">
        <v>161430.24</v>
      </c>
      <c r="S481" s="48">
        <v>166194.35999999999</v>
      </c>
      <c r="T481" s="48">
        <v>164214.57999999999</v>
      </c>
      <c r="U481" s="48">
        <v>153860.42000000001</v>
      </c>
      <c r="V481" s="48">
        <v>149582.04999999999</v>
      </c>
      <c r="W481" s="48">
        <v>145490.45000000001</v>
      </c>
      <c r="X481" s="48">
        <v>168339.48</v>
      </c>
      <c r="Y481" s="48">
        <v>170838.72</v>
      </c>
      <c r="Z481" s="48">
        <v>154663.1</v>
      </c>
      <c r="AA481" s="48">
        <v>176453.41</v>
      </c>
      <c r="AB481" s="48">
        <v>189051.24</v>
      </c>
      <c r="AC481" s="48">
        <v>183690.69</v>
      </c>
      <c r="AD481" s="48">
        <v>177697.38</v>
      </c>
      <c r="AE481" s="163">
        <v>140301.82</v>
      </c>
      <c r="AF481" s="163">
        <v>136480.20000000001</v>
      </c>
      <c r="AG481" s="163">
        <v>160545.94</v>
      </c>
      <c r="AH481" s="163">
        <v>147268.47</v>
      </c>
      <c r="AI481" s="163">
        <v>161044.42000000001</v>
      </c>
      <c r="AJ481" s="163">
        <v>148232.94</v>
      </c>
      <c r="AK481" s="163">
        <v>158640.1</v>
      </c>
      <c r="AL481" s="163">
        <v>193969.25</v>
      </c>
      <c r="AM481" s="163">
        <v>195056.83</v>
      </c>
      <c r="AN481" s="163">
        <v>219479.33</v>
      </c>
      <c r="AO481" s="163">
        <v>147211.97</v>
      </c>
      <c r="AP481" s="163">
        <v>135616.91</v>
      </c>
      <c r="AQ481" s="163">
        <v>139080.53</v>
      </c>
      <c r="AR481" s="163">
        <v>141809.94</v>
      </c>
      <c r="AS481" s="163">
        <v>136054.07</v>
      </c>
      <c r="AT481" s="163">
        <v>133906.81</v>
      </c>
      <c r="AU481" s="163">
        <v>159606.20000000001</v>
      </c>
      <c r="AV481" s="163">
        <v>187136.5</v>
      </c>
      <c r="AW481" s="163">
        <v>132105.44</v>
      </c>
      <c r="AX481" s="163">
        <v>168058.81</v>
      </c>
      <c r="AY481" s="163">
        <v>194287.25</v>
      </c>
      <c r="AZ481" s="163">
        <v>224980.51</v>
      </c>
      <c r="BA481" s="163">
        <v>169696.27</v>
      </c>
      <c r="BB481" s="163">
        <v>155592.04</v>
      </c>
      <c r="BC481" s="163">
        <v>155577.76999999999</v>
      </c>
      <c r="BD481" s="163">
        <v>155362.79</v>
      </c>
      <c r="BE481" s="163">
        <v>144753.72</v>
      </c>
      <c r="BF481" s="163">
        <v>168942.48</v>
      </c>
      <c r="BG481" s="163">
        <v>169974.31</v>
      </c>
      <c r="BH481" s="163">
        <v>158445.26999999999</v>
      </c>
      <c r="BI481" s="163">
        <v>182356.78</v>
      </c>
      <c r="BJ481" s="163">
        <v>160648.76</v>
      </c>
      <c r="BK481" s="163">
        <v>225761.03</v>
      </c>
      <c r="BL481" s="163">
        <v>237541.02</v>
      </c>
      <c r="BM481" s="163">
        <v>214787.02</v>
      </c>
      <c r="BN481" s="163">
        <v>177580.52</v>
      </c>
      <c r="BO481" s="163">
        <v>198763.76</v>
      </c>
      <c r="BP481" s="163">
        <v>165135.82999999999</v>
      </c>
      <c r="BQ481" s="163">
        <v>173833.9</v>
      </c>
      <c r="BR481" s="163">
        <v>227791.35</v>
      </c>
      <c r="BS481" s="163">
        <v>210685.91</v>
      </c>
      <c r="BT481" s="163">
        <v>180552.42</v>
      </c>
      <c r="BU481" s="163">
        <v>195388.93</v>
      </c>
      <c r="BV481" s="163">
        <v>189566.5</v>
      </c>
      <c r="BW481" s="163">
        <v>223586.69</v>
      </c>
      <c r="BX481" s="163">
        <v>215086.82</v>
      </c>
      <c r="BY481" s="163">
        <v>173816.31</v>
      </c>
      <c r="BZ481" s="163">
        <v>210080.51</v>
      </c>
      <c r="CA481" s="163">
        <v>163474.62</v>
      </c>
      <c r="CB481" s="163">
        <v>171364.64</v>
      </c>
      <c r="CC481" s="163">
        <v>191891.07</v>
      </c>
      <c r="CD481" s="163">
        <v>211609.9</v>
      </c>
      <c r="CE481" s="163">
        <v>206834.3</v>
      </c>
      <c r="CF481" s="163">
        <v>195754.87</v>
      </c>
      <c r="CG481" s="163">
        <v>195189.33</v>
      </c>
      <c r="CH481" s="163">
        <v>164341.63</v>
      </c>
      <c r="CI481" s="163">
        <v>305986.2</v>
      </c>
      <c r="CJ481" s="163">
        <v>283041.71999999997</v>
      </c>
      <c r="CK481" s="163">
        <v>228594.09</v>
      </c>
      <c r="CL481" s="163">
        <v>247596.66</v>
      </c>
      <c r="CM481" s="163">
        <v>212818.62</v>
      </c>
      <c r="CN481" s="163">
        <v>228039.98</v>
      </c>
      <c r="CO481" s="163">
        <v>237926.18</v>
      </c>
      <c r="CP481" s="163">
        <v>256618.99</v>
      </c>
      <c r="CQ481" s="163">
        <v>228220.96</v>
      </c>
      <c r="CR481" s="163">
        <v>252059.38</v>
      </c>
      <c r="CS481" s="163">
        <v>250428.44</v>
      </c>
      <c r="CT481" s="163">
        <v>259426.08</v>
      </c>
      <c r="CU481" s="163">
        <v>291927.61</v>
      </c>
      <c r="CV481" s="163">
        <v>276853.52</v>
      </c>
      <c r="CW481" s="163">
        <v>247457.39</v>
      </c>
      <c r="CX481" s="163">
        <v>222260.17</v>
      </c>
      <c r="CY481" s="163">
        <v>235436.5</v>
      </c>
      <c r="CZ481" s="163">
        <v>186820.45</v>
      </c>
      <c r="DA481" s="163">
        <v>262370.84999999998</v>
      </c>
      <c r="DB481" s="163">
        <v>276467.11</v>
      </c>
      <c r="DC481" s="163">
        <v>233608.14</v>
      </c>
      <c r="DD481" s="163">
        <v>275010.98</v>
      </c>
      <c r="DE481" s="163">
        <f>VLOOKUP($A481,'[2]Analysis 1'!$A$5:$DG$1025,109,FALSE)</f>
        <v>280409.5</v>
      </c>
      <c r="DF481" s="163">
        <f>VLOOKUP($A481,'[2]Analysis 1'!$A$5:$DG$1025,110,FALSE)</f>
        <v>286793.64</v>
      </c>
      <c r="DG481" s="163">
        <f>VLOOKUP($A481,'[2]Analysis 1'!$A$5:$DG$1025,111,FALSE)</f>
        <v>352116.78</v>
      </c>
      <c r="DH481" s="369">
        <f t="shared" si="20"/>
        <v>3135605.0300000003</v>
      </c>
    </row>
    <row r="482" spans="1:112">
      <c r="A482" s="335" t="s">
        <v>1322</v>
      </c>
      <c r="D482" s="369">
        <v>138102.10999999999</v>
      </c>
      <c r="E482" s="369">
        <v>130764.12</v>
      </c>
      <c r="F482" s="369">
        <v>160990.28</v>
      </c>
      <c r="G482" s="369">
        <v>141005.9</v>
      </c>
      <c r="H482" s="369">
        <v>182656.18</v>
      </c>
      <c r="I482" s="369">
        <v>150618.42000000001</v>
      </c>
      <c r="J482" s="369">
        <v>180149.83</v>
      </c>
      <c r="K482" s="369">
        <v>204045.49</v>
      </c>
      <c r="L482" s="369">
        <v>162810.79999999999</v>
      </c>
      <c r="M482" s="369">
        <v>194629.08</v>
      </c>
      <c r="N482" s="369">
        <v>68891.41</v>
      </c>
      <c r="O482" s="369">
        <v>111661.09</v>
      </c>
      <c r="P482" s="48">
        <v>104265.83</v>
      </c>
      <c r="Q482" s="48">
        <v>104127.75</v>
      </c>
      <c r="R482" s="48">
        <v>182172.37</v>
      </c>
      <c r="S482" s="48">
        <v>152194.26</v>
      </c>
      <c r="T482" s="48">
        <v>139281.71</v>
      </c>
      <c r="U482" s="48">
        <v>125000.47</v>
      </c>
      <c r="V482" s="48">
        <v>113829.74</v>
      </c>
      <c r="W482" s="48">
        <v>90734.92</v>
      </c>
      <c r="X482" s="48">
        <v>156744.37</v>
      </c>
      <c r="Y482" s="48">
        <v>119261.08</v>
      </c>
      <c r="Z482" s="48">
        <v>91181.29</v>
      </c>
      <c r="AA482" s="48">
        <v>137119.75</v>
      </c>
      <c r="AB482" s="48">
        <v>96500.14</v>
      </c>
      <c r="AC482" s="48">
        <v>133539.43</v>
      </c>
      <c r="AD482" s="48">
        <v>156162.07999999999</v>
      </c>
      <c r="AE482" s="163">
        <v>158075.59</v>
      </c>
      <c r="AF482" s="163">
        <v>145571.88</v>
      </c>
      <c r="AG482" s="163">
        <v>156886.82999999999</v>
      </c>
      <c r="AH482" s="163">
        <v>115245.15</v>
      </c>
      <c r="AI482" s="163">
        <v>162947.91</v>
      </c>
      <c r="AJ482" s="163">
        <v>128581.54</v>
      </c>
      <c r="AK482" s="163">
        <v>132893.51999999999</v>
      </c>
      <c r="AL482" s="163">
        <v>162809.78</v>
      </c>
      <c r="AM482" s="163">
        <v>209473.99</v>
      </c>
      <c r="AN482" s="163">
        <v>20252.71</v>
      </c>
      <c r="AO482" s="163">
        <v>149558.39000000001</v>
      </c>
      <c r="AP482" s="163">
        <v>153456.54</v>
      </c>
      <c r="AQ482" s="163">
        <v>86345.22</v>
      </c>
      <c r="AR482" s="163">
        <v>140157.57</v>
      </c>
      <c r="AS482" s="163">
        <v>223973.86</v>
      </c>
      <c r="AT482" s="163">
        <v>16732.78</v>
      </c>
      <c r="AU482" s="163">
        <v>93720.86</v>
      </c>
      <c r="AV482" s="163">
        <v>87423.09</v>
      </c>
      <c r="AW482" s="163">
        <v>131302.25</v>
      </c>
      <c r="AX482" s="163">
        <v>200272.76</v>
      </c>
      <c r="AY482" s="163">
        <v>203768.71</v>
      </c>
      <c r="AZ482" s="163">
        <v>167577.20000000001</v>
      </c>
      <c r="BA482" s="163">
        <v>173062.44</v>
      </c>
      <c r="BB482" s="163">
        <v>218121.47</v>
      </c>
      <c r="BC482" s="163">
        <v>129812.28</v>
      </c>
      <c r="BD482" s="163">
        <v>201077.29</v>
      </c>
      <c r="BE482" s="163">
        <v>167642.96</v>
      </c>
      <c r="BF482" s="163">
        <v>111076.48</v>
      </c>
      <c r="BG482" s="163">
        <v>179484.61</v>
      </c>
      <c r="BH482" s="163">
        <v>131531.24</v>
      </c>
      <c r="BI482" s="163">
        <v>379295.54</v>
      </c>
      <c r="BJ482" s="163">
        <v>296842.96000000002</v>
      </c>
      <c r="BK482" s="163">
        <v>106933.63</v>
      </c>
      <c r="BL482" s="163">
        <v>130455.48</v>
      </c>
      <c r="BM482" s="163">
        <v>294638.64</v>
      </c>
      <c r="BN482" s="163">
        <v>277439.27</v>
      </c>
      <c r="BO482" s="163">
        <v>223612.69</v>
      </c>
      <c r="BP482" s="163">
        <v>237833.53</v>
      </c>
      <c r="BQ482" s="163">
        <v>251734.46</v>
      </c>
      <c r="BR482" s="163">
        <v>252800.21</v>
      </c>
      <c r="BS482" s="163">
        <v>339681.12</v>
      </c>
      <c r="BT482" s="163">
        <v>386432.62</v>
      </c>
      <c r="BU482" s="163">
        <v>324221.86</v>
      </c>
      <c r="BV482" s="163">
        <v>290373.40000000002</v>
      </c>
      <c r="BW482" s="163">
        <v>346289.27</v>
      </c>
      <c r="BX482" s="163">
        <v>241393.15</v>
      </c>
      <c r="BY482" s="163">
        <v>310155.62</v>
      </c>
      <c r="BZ482" s="163">
        <v>429419.84</v>
      </c>
      <c r="CA482" s="163">
        <v>337072.46</v>
      </c>
      <c r="CB482" s="163">
        <v>290593.13</v>
      </c>
      <c r="CC482" s="163">
        <v>287989.33</v>
      </c>
      <c r="CD482" s="163">
        <v>359881.93</v>
      </c>
      <c r="CE482" s="163">
        <v>442308.97</v>
      </c>
      <c r="CF482" s="163">
        <v>305089.7</v>
      </c>
      <c r="CG482" s="163">
        <v>285235.44</v>
      </c>
      <c r="CH482" s="163">
        <v>260562.63</v>
      </c>
      <c r="CI482" s="163">
        <v>377252.9</v>
      </c>
      <c r="CJ482" s="163">
        <v>403720.8</v>
      </c>
      <c r="CK482" s="163">
        <v>350869.07</v>
      </c>
      <c r="CL482" s="163">
        <v>347896.9</v>
      </c>
      <c r="CM482" s="163">
        <v>386666.71</v>
      </c>
      <c r="CN482" s="163">
        <v>311070.28000000003</v>
      </c>
      <c r="CO482" s="163">
        <v>283482.59000000003</v>
      </c>
      <c r="CP482" s="163">
        <v>309484.44</v>
      </c>
      <c r="CQ482" s="163">
        <v>292052.90000000002</v>
      </c>
      <c r="CR482" s="163">
        <v>320416.7</v>
      </c>
      <c r="CS482" s="163">
        <v>293054.36</v>
      </c>
      <c r="CT482" s="163">
        <v>326283.01</v>
      </c>
      <c r="CU482" s="163">
        <v>354957.14</v>
      </c>
      <c r="CV482" s="163">
        <v>397424.09</v>
      </c>
      <c r="CW482" s="163">
        <v>342852.86</v>
      </c>
      <c r="CX482" s="163">
        <v>408584.83</v>
      </c>
      <c r="CY482" s="163">
        <v>420511.5</v>
      </c>
      <c r="CZ482" s="163">
        <v>406416.85</v>
      </c>
      <c r="DA482" s="163">
        <v>479737.12</v>
      </c>
      <c r="DB482" s="163">
        <v>427883.71</v>
      </c>
      <c r="DC482" s="163">
        <v>601085.93999999994</v>
      </c>
      <c r="DD482" s="163">
        <v>418495.91</v>
      </c>
      <c r="DE482" s="163">
        <f>VLOOKUP($A482,'[2]Analysis 1'!$A$5:$DG$1025,109,FALSE)</f>
        <v>286202.09999999998</v>
      </c>
      <c r="DF482" s="163">
        <f>VLOOKUP($A482,'[2]Analysis 1'!$A$5:$DG$1025,110,FALSE)</f>
        <v>593623.35</v>
      </c>
      <c r="DG482" s="163">
        <f>VLOOKUP($A482,'[2]Analysis 1'!$A$5:$DG$1025,111,FALSE)</f>
        <v>573397.16</v>
      </c>
      <c r="DH482" s="369">
        <f t="shared" si="20"/>
        <v>5356215.42</v>
      </c>
    </row>
    <row r="483" spans="1:112">
      <c r="A483" s="335" t="s">
        <v>1323</v>
      </c>
      <c r="D483" s="369">
        <v>7580</v>
      </c>
      <c r="E483" s="369">
        <v>11044.45</v>
      </c>
      <c r="F483" s="369">
        <v>4910.21</v>
      </c>
      <c r="G483" s="369">
        <v>929.5</v>
      </c>
      <c r="H483" s="369">
        <v>100</v>
      </c>
      <c r="I483" s="369">
        <v>16893.11</v>
      </c>
      <c r="J483" s="369">
        <v>4022.8</v>
      </c>
      <c r="K483" s="369">
        <v>2574.77</v>
      </c>
      <c r="L483" s="369">
        <v>1428.21</v>
      </c>
      <c r="M483" s="369">
        <v>395.7</v>
      </c>
      <c r="N483" s="369">
        <v>118527.59</v>
      </c>
      <c r="O483" s="369">
        <v>-808.06</v>
      </c>
      <c r="P483" s="48">
        <v>13622.6</v>
      </c>
      <c r="Q483" s="48">
        <v>8088.92</v>
      </c>
      <c r="R483" s="48">
        <v>24169.15</v>
      </c>
      <c r="S483" s="48">
        <v>2415.75</v>
      </c>
      <c r="T483" s="48">
        <v>15603.19</v>
      </c>
      <c r="U483" s="48">
        <v>6040.29</v>
      </c>
      <c r="V483" s="48">
        <v>484.04</v>
      </c>
      <c r="W483" s="48">
        <v>1004.31</v>
      </c>
      <c r="X483" s="48">
        <v>7420.09</v>
      </c>
      <c r="Y483" s="48">
        <v>11539.78</v>
      </c>
      <c r="Z483" s="48">
        <v>108933.56</v>
      </c>
      <c r="AA483" s="48">
        <v>6409.14</v>
      </c>
      <c r="AB483" s="48">
        <v>36138.720000000001</v>
      </c>
      <c r="AC483" s="48">
        <v>10959.3</v>
      </c>
      <c r="AD483" s="48">
        <v>8290.43</v>
      </c>
      <c r="AE483" s="163">
        <v>3306.91</v>
      </c>
      <c r="AF483" s="163">
        <v>894.5</v>
      </c>
      <c r="AG483" s="163">
        <v>6283.14</v>
      </c>
      <c r="AH483" s="163">
        <v>1054.7</v>
      </c>
      <c r="AI483" s="163">
        <v>3223.64</v>
      </c>
      <c r="AJ483" s="163">
        <v>2259.21</v>
      </c>
      <c r="AK483" s="163">
        <v>113061.98</v>
      </c>
      <c r="AL483" s="163">
        <v>14575.26</v>
      </c>
      <c r="AM483" s="163">
        <v>50252.09</v>
      </c>
      <c r="AN483" s="163">
        <v>5752.23</v>
      </c>
      <c r="AO483" s="163">
        <v>15698.14</v>
      </c>
      <c r="AP483" s="163">
        <v>5451.85</v>
      </c>
      <c r="AQ483" s="163">
        <v>2168.66</v>
      </c>
      <c r="AR483" s="163">
        <v>3579.5</v>
      </c>
      <c r="AS483" s="163">
        <v>1355.1</v>
      </c>
      <c r="AT483" s="163">
        <v>3532.98</v>
      </c>
      <c r="AU483" s="163">
        <v>16387.669999999998</v>
      </c>
      <c r="AV483" s="163">
        <v>2583.09</v>
      </c>
      <c r="AW483" s="163">
        <v>0</v>
      </c>
      <c r="AX483" s="163">
        <v>125962.09</v>
      </c>
      <c r="AY483" s="163">
        <v>31782.959999999999</v>
      </c>
      <c r="AZ483" s="163">
        <v>9287.42</v>
      </c>
      <c r="BA483" s="163">
        <v>15798.77</v>
      </c>
      <c r="BB483" s="163">
        <v>3501.37</v>
      </c>
      <c r="BC483" s="163">
        <v>1880.7</v>
      </c>
      <c r="BD483" s="163">
        <v>732.15</v>
      </c>
      <c r="BE483" s="163">
        <v>2422.88</v>
      </c>
      <c r="BF483" s="163">
        <v>2664.09</v>
      </c>
      <c r="BG483" s="163">
        <v>12934.93</v>
      </c>
      <c r="BH483" s="163">
        <v>12824.21</v>
      </c>
      <c r="BI483" s="163">
        <v>3102.29</v>
      </c>
      <c r="BJ483" s="163">
        <v>118185.82</v>
      </c>
      <c r="BK483" s="163">
        <v>43906.67</v>
      </c>
      <c r="BL483" s="163">
        <v>14066.43</v>
      </c>
      <c r="BM483" s="163">
        <v>9658.74</v>
      </c>
      <c r="BN483" s="163">
        <v>3567.95</v>
      </c>
      <c r="BO483" s="163">
        <v>1401.66</v>
      </c>
      <c r="BP483" s="163">
        <v>1718.09</v>
      </c>
      <c r="BQ483" s="163">
        <v>1264.77</v>
      </c>
      <c r="BR483" s="163">
        <v>5384.9</v>
      </c>
      <c r="BS483" s="163">
        <v>4090.68</v>
      </c>
      <c r="BT483" s="163">
        <v>1401.56</v>
      </c>
      <c r="BU483" s="163">
        <v>6388.15</v>
      </c>
      <c r="BV483" s="163">
        <v>129982.97</v>
      </c>
      <c r="BW483" s="163">
        <v>50338.29</v>
      </c>
      <c r="BX483" s="163">
        <v>5841.48</v>
      </c>
      <c r="BY483" s="163">
        <v>5048.76</v>
      </c>
      <c r="BZ483" s="163">
        <v>19298.21</v>
      </c>
      <c r="CA483" s="163">
        <v>970.6</v>
      </c>
      <c r="CB483" s="163">
        <v>5335.44</v>
      </c>
      <c r="CC483" s="163">
        <v>6573.98</v>
      </c>
      <c r="CD483" s="163">
        <v>4686.46</v>
      </c>
      <c r="CE483" s="163">
        <v>3745.05</v>
      </c>
      <c r="CF483" s="163">
        <v>1366.37</v>
      </c>
      <c r="CG483" s="163">
        <v>14831.75</v>
      </c>
      <c r="CH483" s="163">
        <v>11663.96</v>
      </c>
      <c r="CI483" s="163">
        <v>155209.03</v>
      </c>
      <c r="CJ483" s="163">
        <v>1273.82</v>
      </c>
      <c r="CK483" s="163">
        <v>10681.66</v>
      </c>
      <c r="CL483" s="163">
        <v>12647.54</v>
      </c>
      <c r="CM483" s="163">
        <v>1494.26</v>
      </c>
      <c r="CN483" s="163">
        <v>7521.15</v>
      </c>
      <c r="CO483" s="163">
        <v>8674.61</v>
      </c>
      <c r="CP483" s="163">
        <v>4628.22</v>
      </c>
      <c r="CQ483" s="163">
        <v>2025.21</v>
      </c>
      <c r="CR483" s="163">
        <v>565.4</v>
      </c>
      <c r="CS483" s="163">
        <v>10223.620000000001</v>
      </c>
      <c r="CT483" s="163">
        <v>142803.14000000001</v>
      </c>
      <c r="CU483" s="163">
        <v>35401.31</v>
      </c>
      <c r="CV483" s="163">
        <v>2494.3000000000002</v>
      </c>
      <c r="CW483" s="163">
        <v>660.88</v>
      </c>
      <c r="CX483" s="163">
        <v>10156.26</v>
      </c>
      <c r="CY483" s="163">
        <v>213</v>
      </c>
      <c r="CZ483" s="163">
        <v>20414.009999999998</v>
      </c>
      <c r="DA483" s="163">
        <v>2065.29</v>
      </c>
      <c r="DB483" s="163">
        <v>6712.26</v>
      </c>
      <c r="DC483" s="163">
        <v>11839.62</v>
      </c>
      <c r="DD483" s="163">
        <v>17767.330000000002</v>
      </c>
      <c r="DE483" s="163">
        <f>VLOOKUP($A483,'[2]Analysis 1'!$A$5:$DG$1025,109,FALSE)</f>
        <v>1826.94</v>
      </c>
      <c r="DF483" s="163">
        <f>VLOOKUP($A483,'[2]Analysis 1'!$A$5:$DG$1025,110,FALSE)</f>
        <v>14142.87</v>
      </c>
      <c r="DG483" s="163">
        <f>VLOOKUP($A483,'[2]Analysis 1'!$A$5:$DG$1025,111,FALSE)</f>
        <v>144373.85</v>
      </c>
      <c r="DH483" s="369">
        <f t="shared" si="20"/>
        <v>232666.61000000002</v>
      </c>
    </row>
    <row r="484" spans="1:112" ht="17.25" customHeight="1">
      <c r="A484" s="335" t="s">
        <v>1324</v>
      </c>
      <c r="D484" s="369">
        <v>0</v>
      </c>
      <c r="E484" s="369">
        <v>0</v>
      </c>
      <c r="F484" s="369">
        <v>0</v>
      </c>
      <c r="G484" s="369">
        <v>0</v>
      </c>
      <c r="H484" s="369">
        <v>781.16</v>
      </c>
      <c r="I484" s="369">
        <v>0</v>
      </c>
      <c r="J484" s="369">
        <v>0</v>
      </c>
      <c r="K484" s="369">
        <v>0</v>
      </c>
      <c r="L484" s="369">
        <v>0</v>
      </c>
      <c r="M484" s="369">
        <v>131.29</v>
      </c>
      <c r="N484" s="369">
        <v>0</v>
      </c>
      <c r="O484" s="369">
        <v>0</v>
      </c>
      <c r="P484" s="48">
        <v>0</v>
      </c>
      <c r="Q484" s="48">
        <v>0</v>
      </c>
      <c r="R484" s="48">
        <v>0</v>
      </c>
      <c r="S484" s="48">
        <v>0</v>
      </c>
      <c r="T484" s="48">
        <v>1726.88</v>
      </c>
      <c r="U484" s="48">
        <v>966.19</v>
      </c>
      <c r="V484" s="48">
        <v>0</v>
      </c>
      <c r="W484" s="48">
        <v>62.88</v>
      </c>
      <c r="X484" s="48">
        <v>0</v>
      </c>
      <c r="Y484" s="48">
        <v>31.29</v>
      </c>
      <c r="Z484" s="48">
        <v>350.24</v>
      </c>
      <c r="AA484" s="48">
        <v>0</v>
      </c>
      <c r="AB484" s="48">
        <v>241.13</v>
      </c>
      <c r="AC484" s="48">
        <v>-0.01</v>
      </c>
      <c r="AD484" s="48">
        <v>0</v>
      </c>
      <c r="AE484" s="163">
        <v>469</v>
      </c>
      <c r="AF484" s="163">
        <v>4256</v>
      </c>
      <c r="AG484" s="163">
        <v>4158</v>
      </c>
      <c r="AH484" s="163">
        <v>718.38</v>
      </c>
      <c r="AI484" s="163">
        <v>13388.06</v>
      </c>
      <c r="AJ484" s="163">
        <v>-4254.1000000000004</v>
      </c>
      <c r="AK484" s="163">
        <v>5416.65</v>
      </c>
      <c r="AL484" s="163">
        <v>9786.42</v>
      </c>
      <c r="AM484" s="163">
        <v>1836.96</v>
      </c>
      <c r="AN484" s="163">
        <v>1102.75</v>
      </c>
      <c r="AO484" s="163">
        <v>2620.0500000000002</v>
      </c>
      <c r="AP484" s="163">
        <v>574.89</v>
      </c>
      <c r="AQ484" s="163">
        <v>996.15</v>
      </c>
      <c r="AR484" s="163">
        <v>11951.54</v>
      </c>
      <c r="AS484" s="163">
        <v>4921.12</v>
      </c>
      <c r="AT484" s="163">
        <v>78.08</v>
      </c>
      <c r="AU484" s="163">
        <v>6221.63</v>
      </c>
      <c r="AV484" s="163">
        <v>599.82000000000005</v>
      </c>
      <c r="AW484" s="163">
        <v>508.25</v>
      </c>
      <c r="AX484" s="163">
        <v>1290.32</v>
      </c>
      <c r="AY484" s="163">
        <v>0</v>
      </c>
      <c r="AZ484" s="163">
        <v>185.03</v>
      </c>
      <c r="BA484" s="163">
        <v>16144.23</v>
      </c>
      <c r="BB484" s="163">
        <v>3314.88</v>
      </c>
      <c r="BC484" s="163">
        <v>5138.5600000000004</v>
      </c>
      <c r="BD484" s="163">
        <v>3642.07</v>
      </c>
      <c r="BE484" s="163">
        <v>6737.99</v>
      </c>
      <c r="BF484" s="163">
        <v>231.62</v>
      </c>
      <c r="BG484" s="163">
        <v>272.61</v>
      </c>
      <c r="BH484" s="163">
        <v>9916.76</v>
      </c>
      <c r="BI484" s="163">
        <v>3507.06</v>
      </c>
      <c r="BJ484" s="163">
        <v>7308.29</v>
      </c>
      <c r="BK484" s="163">
        <v>12896.06</v>
      </c>
      <c r="BL484" s="163">
        <v>8657.4500000000007</v>
      </c>
      <c r="BM484" s="163">
        <v>15306.06</v>
      </c>
      <c r="BN484" s="163">
        <v>-14191.01</v>
      </c>
      <c r="BO484" s="163">
        <v>476.96</v>
      </c>
      <c r="BP484" s="163">
        <v>610.38</v>
      </c>
      <c r="BQ484" s="163">
        <v>11223.12</v>
      </c>
      <c r="BR484" s="163">
        <v>0</v>
      </c>
      <c r="BS484" s="163">
        <v>847</v>
      </c>
      <c r="BT484" s="163">
        <v>0</v>
      </c>
      <c r="BU484" s="163">
        <v>1027.92</v>
      </c>
      <c r="BV484" s="163">
        <v>9327.0499999999993</v>
      </c>
      <c r="BW484" s="163">
        <v>13</v>
      </c>
      <c r="BX484" s="163">
        <v>0</v>
      </c>
      <c r="BY484" s="163">
        <v>476.33</v>
      </c>
      <c r="BZ484" s="163">
        <v>0</v>
      </c>
      <c r="CA484" s="163">
        <v>5425</v>
      </c>
      <c r="CB484" s="163">
        <v>565.22</v>
      </c>
      <c r="CC484" s="163">
        <v>769.01</v>
      </c>
      <c r="CD484" s="163">
        <v>5711.16</v>
      </c>
      <c r="CE484" s="163">
        <v>508.81</v>
      </c>
      <c r="CF484" s="163">
        <v>13575.79</v>
      </c>
      <c r="CG484" s="163">
        <v>10777.19</v>
      </c>
      <c r="CH484" s="163">
        <v>4521.3100000000004</v>
      </c>
      <c r="CI484" s="163">
        <v>9332.44</v>
      </c>
      <c r="CJ484" s="163">
        <v>1812.99</v>
      </c>
      <c r="CK484" s="163">
        <v>1829.81</v>
      </c>
      <c r="CL484" s="163">
        <v>505.91</v>
      </c>
      <c r="CM484" s="163">
        <v>2723.98</v>
      </c>
      <c r="CN484" s="163">
        <v>1598.93</v>
      </c>
      <c r="CO484" s="163">
        <v>4847.1000000000004</v>
      </c>
      <c r="CP484" s="163">
        <v>2490.38</v>
      </c>
      <c r="CQ484" s="163">
        <v>573.95000000000005</v>
      </c>
      <c r="CR484" s="163">
        <v>12878.69</v>
      </c>
      <c r="CS484" s="163">
        <v>1161.2</v>
      </c>
      <c r="CT484" s="163">
        <v>4384.7</v>
      </c>
      <c r="CU484" s="163">
        <v>2878.47</v>
      </c>
      <c r="CV484" s="163">
        <v>1935.25</v>
      </c>
      <c r="CW484" s="163">
        <v>2688.6</v>
      </c>
      <c r="CX484" s="163">
        <v>562.54</v>
      </c>
      <c r="CY484" s="163">
        <v>13954.92</v>
      </c>
      <c r="CZ484" s="163">
        <v>4003.95</v>
      </c>
      <c r="DA484" s="163">
        <v>5823.37</v>
      </c>
      <c r="DB484" s="163">
        <v>706.42</v>
      </c>
      <c r="DC484" s="163">
        <v>933.54</v>
      </c>
      <c r="DD484" s="163">
        <v>2335.1999999999998</v>
      </c>
      <c r="DE484" s="163">
        <f>VLOOKUP($A484,'[2]Analysis 1'!$A$5:$DG$1025,109,FALSE)</f>
        <v>741.85</v>
      </c>
      <c r="DF484" s="163">
        <f>VLOOKUP($A484,'[2]Analysis 1'!$A$5:$DG$1025,110,FALSE)</f>
        <v>903.76</v>
      </c>
      <c r="DG484" s="163">
        <f>VLOOKUP($A484,'[2]Analysis 1'!$A$5:$DG$1025,111,FALSE)</f>
        <v>6170.83</v>
      </c>
      <c r="DH484" s="369">
        <f t="shared" si="20"/>
        <v>40760.230000000003</v>
      </c>
    </row>
    <row r="485" spans="1:112">
      <c r="A485" s="335" t="s">
        <v>1325</v>
      </c>
      <c r="D485" s="369">
        <v>12271.29</v>
      </c>
      <c r="E485" s="369">
        <v>11655.78</v>
      </c>
      <c r="F485" s="369">
        <v>5142.54</v>
      </c>
      <c r="G485" s="369">
        <v>8103.9</v>
      </c>
      <c r="H485" s="369">
        <v>11513.9</v>
      </c>
      <c r="I485" s="369">
        <v>11074.63</v>
      </c>
      <c r="J485" s="369">
        <v>7513.88</v>
      </c>
      <c r="K485" s="369">
        <v>9137.6299999999992</v>
      </c>
      <c r="L485" s="369">
        <v>11778.7</v>
      </c>
      <c r="M485" s="369">
        <v>11632.16</v>
      </c>
      <c r="N485" s="369">
        <v>7093.73</v>
      </c>
      <c r="O485" s="369">
        <v>13839.2</v>
      </c>
      <c r="P485" s="48">
        <v>7863.3</v>
      </c>
      <c r="Q485" s="48">
        <v>10942.38</v>
      </c>
      <c r="R485" s="48">
        <v>20240.09</v>
      </c>
      <c r="S485" s="48">
        <v>10584.36</v>
      </c>
      <c r="T485" s="48">
        <v>13763.68</v>
      </c>
      <c r="U485" s="48">
        <v>8820.11</v>
      </c>
      <c r="V485" s="48">
        <v>10826.25</v>
      </c>
      <c r="W485" s="48">
        <v>8077.84</v>
      </c>
      <c r="X485" s="48">
        <v>10378.73</v>
      </c>
      <c r="Y485" s="48">
        <v>14930.98</v>
      </c>
      <c r="Z485" s="48">
        <v>12805.66</v>
      </c>
      <c r="AA485" s="48">
        <v>13625.19</v>
      </c>
      <c r="AB485" s="48">
        <v>12114.55</v>
      </c>
      <c r="AC485" s="48">
        <v>20470.59</v>
      </c>
      <c r="AD485" s="48">
        <v>5659.79</v>
      </c>
      <c r="AE485" s="163">
        <v>7578.63</v>
      </c>
      <c r="AF485" s="163">
        <v>6325.72</v>
      </c>
      <c r="AG485" s="163">
        <v>21841.01</v>
      </c>
      <c r="AH485" s="163">
        <v>21797.94</v>
      </c>
      <c r="AI485" s="163">
        <v>9107.01</v>
      </c>
      <c r="AJ485" s="163">
        <v>8915.68</v>
      </c>
      <c r="AK485" s="163">
        <v>11623.95</v>
      </c>
      <c r="AL485" s="163">
        <v>19499.509999999998</v>
      </c>
      <c r="AM485" s="163">
        <v>16273.77</v>
      </c>
      <c r="AN485" s="163">
        <v>8158.34</v>
      </c>
      <c r="AO485" s="163">
        <v>19158.650000000001</v>
      </c>
      <c r="AP485" s="163">
        <v>37075.160000000003</v>
      </c>
      <c r="AQ485" s="163">
        <v>9857.6</v>
      </c>
      <c r="AR485" s="163">
        <v>8717.59</v>
      </c>
      <c r="AS485" s="163">
        <v>-18469.34</v>
      </c>
      <c r="AT485" s="163">
        <v>11196.81</v>
      </c>
      <c r="AU485" s="163">
        <v>13713.12</v>
      </c>
      <c r="AV485" s="163">
        <v>17942.52</v>
      </c>
      <c r="AW485" s="163">
        <v>11842.23</v>
      </c>
      <c r="AX485" s="163">
        <v>13163.77</v>
      </c>
      <c r="AY485" s="163">
        <v>44602.69</v>
      </c>
      <c r="AZ485" s="163">
        <v>10994.37</v>
      </c>
      <c r="BA485" s="163">
        <v>20284.87</v>
      </c>
      <c r="BB485" s="163">
        <v>8850.84</v>
      </c>
      <c r="BC485" s="163">
        <v>11312.13</v>
      </c>
      <c r="BD485" s="163">
        <v>16253.83</v>
      </c>
      <c r="BE485" s="163">
        <v>6331.45</v>
      </c>
      <c r="BF485" s="163">
        <v>10609.09</v>
      </c>
      <c r="BG485" s="163">
        <v>21739.3</v>
      </c>
      <c r="BH485" s="163">
        <v>16557</v>
      </c>
      <c r="BI485" s="163">
        <v>25342.76</v>
      </c>
      <c r="BJ485" s="163">
        <v>12067.24</v>
      </c>
      <c r="BK485" s="163">
        <v>21927.3</v>
      </c>
      <c r="BL485" s="163">
        <v>9052.69</v>
      </c>
      <c r="BM485" s="163">
        <v>21183.54</v>
      </c>
      <c r="BN485" s="163">
        <v>11180.08</v>
      </c>
      <c r="BO485" s="163">
        <v>13790.55</v>
      </c>
      <c r="BP485" s="163">
        <v>12464.75</v>
      </c>
      <c r="BQ485" s="163">
        <v>11156.08</v>
      </c>
      <c r="BR485" s="163">
        <v>12138.87</v>
      </c>
      <c r="BS485" s="163">
        <v>14685.41</v>
      </c>
      <c r="BT485" s="163">
        <v>18072.36</v>
      </c>
      <c r="BU485" s="163">
        <v>19222.39</v>
      </c>
      <c r="BV485" s="163">
        <v>20330.59</v>
      </c>
      <c r="BW485" s="163">
        <v>45162.45</v>
      </c>
      <c r="BX485" s="163">
        <v>12992.1</v>
      </c>
      <c r="BY485" s="163">
        <v>17254.810000000001</v>
      </c>
      <c r="BZ485" s="163">
        <v>15418.78</v>
      </c>
      <c r="CA485" s="163">
        <v>7180.16</v>
      </c>
      <c r="CB485" s="163">
        <v>8855.36</v>
      </c>
      <c r="CC485" s="163">
        <v>10393.41</v>
      </c>
      <c r="CD485" s="163">
        <v>16993.349999999999</v>
      </c>
      <c r="CE485" s="163">
        <v>15601.84</v>
      </c>
      <c r="CF485" s="163">
        <v>8181.59</v>
      </c>
      <c r="CG485" s="163">
        <v>14464.81</v>
      </c>
      <c r="CH485" s="163">
        <v>11553.69</v>
      </c>
      <c r="CI485" s="163">
        <v>19563.86</v>
      </c>
      <c r="CJ485" s="163">
        <v>12307.03</v>
      </c>
      <c r="CK485" s="163">
        <v>24138.69</v>
      </c>
      <c r="CL485" s="163">
        <v>15904.53</v>
      </c>
      <c r="CM485" s="163">
        <v>11296.54</v>
      </c>
      <c r="CN485" s="163">
        <v>11551.61</v>
      </c>
      <c r="CO485" s="163">
        <v>15272.51</v>
      </c>
      <c r="CP485" s="163">
        <v>14936.58</v>
      </c>
      <c r="CQ485" s="163">
        <v>8015.89</v>
      </c>
      <c r="CR485" s="163">
        <v>26149.81</v>
      </c>
      <c r="CS485" s="163">
        <v>16579</v>
      </c>
      <c r="CT485" s="163">
        <v>17135.54</v>
      </c>
      <c r="CU485" s="163">
        <v>18001.59</v>
      </c>
      <c r="CV485" s="163">
        <v>19211.939999999999</v>
      </c>
      <c r="CW485" s="163">
        <v>24529.26</v>
      </c>
      <c r="CX485" s="163">
        <v>21041.34</v>
      </c>
      <c r="CY485" s="163">
        <v>16078.91</v>
      </c>
      <c r="CZ485" s="163">
        <v>17664.28</v>
      </c>
      <c r="DA485" s="163">
        <v>29529.68</v>
      </c>
      <c r="DB485" s="163">
        <v>20508.14</v>
      </c>
      <c r="DC485" s="163">
        <v>24597.91</v>
      </c>
      <c r="DD485" s="163">
        <v>12260.66</v>
      </c>
      <c r="DE485" s="163">
        <f>VLOOKUP($A485,'[2]Analysis 1'!$A$5:$DG$1025,109,FALSE)</f>
        <v>20296.5</v>
      </c>
      <c r="DF485" s="163">
        <f>VLOOKUP($A485,'[2]Analysis 1'!$A$5:$DG$1025,110,FALSE)</f>
        <v>26478.52</v>
      </c>
      <c r="DG485" s="163">
        <f>VLOOKUP($A485,'[2]Analysis 1'!$A$5:$DG$1025,111,FALSE)</f>
        <v>14959.03</v>
      </c>
      <c r="DH485" s="369">
        <f t="shared" si="20"/>
        <v>247156.16999999998</v>
      </c>
    </row>
    <row r="486" spans="1:112">
      <c r="A486" s="335" t="s">
        <v>1326</v>
      </c>
      <c r="D486" s="369">
        <v>374549.5</v>
      </c>
      <c r="E486" s="369">
        <v>526412.38</v>
      </c>
      <c r="F486" s="369">
        <v>384068.37</v>
      </c>
      <c r="G486" s="369">
        <v>711498.39</v>
      </c>
      <c r="H486" s="369">
        <v>302680.2</v>
      </c>
      <c r="I486" s="369">
        <v>332323.17</v>
      </c>
      <c r="J486" s="369">
        <v>563179.92000000004</v>
      </c>
      <c r="K486" s="369">
        <v>576366.16</v>
      </c>
      <c r="L486" s="369">
        <v>472555.37</v>
      </c>
      <c r="M486" s="369">
        <v>232772.09</v>
      </c>
      <c r="N486" s="369">
        <v>217689.33</v>
      </c>
      <c r="O486" s="369">
        <v>279587.07</v>
      </c>
      <c r="P486" s="48">
        <v>225102.6</v>
      </c>
      <c r="Q486" s="48">
        <v>428574.85</v>
      </c>
      <c r="R486" s="48">
        <v>406850.3</v>
      </c>
      <c r="S486" s="48">
        <v>604652.06999999995</v>
      </c>
      <c r="T486" s="48">
        <v>40054.49</v>
      </c>
      <c r="U486" s="48">
        <v>301579.75</v>
      </c>
      <c r="V486" s="48">
        <v>390118.92</v>
      </c>
      <c r="W486" s="48">
        <v>288130.89</v>
      </c>
      <c r="X486" s="48">
        <v>408847.03</v>
      </c>
      <c r="Y486" s="48">
        <v>257749.87</v>
      </c>
      <c r="Z486" s="48">
        <v>534171.49</v>
      </c>
      <c r="AA486" s="48">
        <v>591013.43999999994</v>
      </c>
      <c r="AB486" s="48">
        <v>456062.67</v>
      </c>
      <c r="AC486" s="48">
        <v>375644.04</v>
      </c>
      <c r="AD486" s="48">
        <v>393843.86</v>
      </c>
      <c r="AE486" s="163">
        <v>397257.91</v>
      </c>
      <c r="AF486" s="163">
        <v>-197161.19</v>
      </c>
      <c r="AG486" s="163">
        <v>540905.79</v>
      </c>
      <c r="AH486" s="163">
        <v>291428.90999999997</v>
      </c>
      <c r="AI486" s="163">
        <v>290315.07</v>
      </c>
      <c r="AJ486" s="163">
        <v>247986.43</v>
      </c>
      <c r="AK486" s="163">
        <v>590683.11</v>
      </c>
      <c r="AL486" s="163">
        <v>609634.64</v>
      </c>
      <c r="AM486" s="163">
        <v>609111.26</v>
      </c>
      <c r="AN486" s="163">
        <v>226599.29</v>
      </c>
      <c r="AO486" s="163">
        <v>311016.27</v>
      </c>
      <c r="AP486" s="163">
        <v>-4507.62</v>
      </c>
      <c r="AQ486" s="163">
        <v>352295.77</v>
      </c>
      <c r="AR486" s="163">
        <v>275481.95</v>
      </c>
      <c r="AS486" s="163">
        <v>279594.52</v>
      </c>
      <c r="AT486" s="163">
        <v>268892.21000000002</v>
      </c>
      <c r="AU486" s="163">
        <v>255551.99</v>
      </c>
      <c r="AV486" s="163">
        <v>215273.97</v>
      </c>
      <c r="AW486" s="163">
        <v>250581.65</v>
      </c>
      <c r="AX486" s="163">
        <v>259855.48</v>
      </c>
      <c r="AY486" s="163">
        <v>273567.59000000003</v>
      </c>
      <c r="AZ486" s="163">
        <v>215181.65</v>
      </c>
      <c r="BA486" s="163">
        <v>206475.93</v>
      </c>
      <c r="BB486" s="163">
        <v>296206.52</v>
      </c>
      <c r="BC486" s="163">
        <v>245378.54</v>
      </c>
      <c r="BD486" s="163">
        <v>341996.06</v>
      </c>
      <c r="BE486" s="163">
        <v>316356.76</v>
      </c>
      <c r="BF486" s="163">
        <v>255980.18</v>
      </c>
      <c r="BG486" s="163">
        <v>522541.83</v>
      </c>
      <c r="BH486" s="163">
        <v>526050.84</v>
      </c>
      <c r="BI486" s="163">
        <v>330617.57</v>
      </c>
      <c r="BJ486" s="163">
        <v>1154502</v>
      </c>
      <c r="BK486" s="163">
        <v>506129.68</v>
      </c>
      <c r="BL486" s="163">
        <v>310438.38</v>
      </c>
      <c r="BM486" s="163">
        <v>199600.03</v>
      </c>
      <c r="BN486" s="163">
        <v>242903.64</v>
      </c>
      <c r="BO486" s="163">
        <v>309224.15000000002</v>
      </c>
      <c r="BP486" s="163">
        <v>254179</v>
      </c>
      <c r="BQ486" s="163">
        <v>212341.69</v>
      </c>
      <c r="BR486" s="163">
        <v>261141.38</v>
      </c>
      <c r="BS486" s="163">
        <v>234468.2</v>
      </c>
      <c r="BT486" s="163">
        <v>294702.53000000003</v>
      </c>
      <c r="BU486" s="163">
        <v>359431.2</v>
      </c>
      <c r="BV486" s="163">
        <v>276239.75</v>
      </c>
      <c r="BW486" s="163">
        <v>386937.79</v>
      </c>
      <c r="BX486" s="163">
        <v>157736.14000000001</v>
      </c>
      <c r="BY486" s="163">
        <v>465110.35</v>
      </c>
      <c r="BZ486" s="163">
        <v>360770.47</v>
      </c>
      <c r="CA486" s="163">
        <v>151194.26999999999</v>
      </c>
      <c r="CB486" s="163">
        <v>197152.47</v>
      </c>
      <c r="CC486" s="163">
        <v>256663.26</v>
      </c>
      <c r="CD486" s="163">
        <v>233184.68</v>
      </c>
      <c r="CE486" s="163">
        <v>326665.94</v>
      </c>
      <c r="CF486" s="163">
        <v>237260.74</v>
      </c>
      <c r="CG486" s="163">
        <v>292006.65000000002</v>
      </c>
      <c r="CH486" s="163">
        <v>227812.63</v>
      </c>
      <c r="CI486" s="163">
        <v>245348.36</v>
      </c>
      <c r="CJ486" s="163">
        <v>503819.2</v>
      </c>
      <c r="CK486" s="163">
        <v>452532.97</v>
      </c>
      <c r="CL486" s="163">
        <v>243150.47</v>
      </c>
      <c r="CM486" s="163">
        <v>424141.89</v>
      </c>
      <c r="CN486" s="163">
        <v>374723.94</v>
      </c>
      <c r="CO486" s="163">
        <v>457100.81</v>
      </c>
      <c r="CP486" s="163">
        <v>519317.66</v>
      </c>
      <c r="CQ486" s="163">
        <v>171619.87</v>
      </c>
      <c r="CR486" s="163">
        <v>378082.1</v>
      </c>
      <c r="CS486" s="163">
        <v>345517.04</v>
      </c>
      <c r="CT486" s="163">
        <v>408044.83</v>
      </c>
      <c r="CU486" s="163">
        <v>435465.45</v>
      </c>
      <c r="CV486" s="163">
        <v>442724.94</v>
      </c>
      <c r="CW486" s="163">
        <v>321573.81</v>
      </c>
      <c r="CX486" s="163">
        <v>1050648.5900000001</v>
      </c>
      <c r="CY486" s="163">
        <v>-60179.95</v>
      </c>
      <c r="CZ486" s="163">
        <v>504416.13</v>
      </c>
      <c r="DA486" s="163">
        <v>486559.72</v>
      </c>
      <c r="DB486" s="163">
        <v>133960.85</v>
      </c>
      <c r="DC486" s="163">
        <v>509789.81</v>
      </c>
      <c r="DD486" s="163">
        <v>373041.99</v>
      </c>
      <c r="DE486" s="163">
        <f>VLOOKUP($A486,'[2]Analysis 1'!$A$5:$DG$1025,109,FALSE)</f>
        <v>342329.99</v>
      </c>
      <c r="DF486" s="163">
        <f>VLOOKUP($A486,'[2]Analysis 1'!$A$5:$DG$1025,110,FALSE)</f>
        <v>732702.17</v>
      </c>
      <c r="DG486" s="163">
        <f>VLOOKUP($A486,'[2]Analysis 1'!$A$5:$DG$1025,111,FALSE)</f>
        <v>120032.21</v>
      </c>
      <c r="DH486" s="369">
        <f t="shared" si="20"/>
        <v>4957600.2600000007</v>
      </c>
    </row>
    <row r="487" spans="1:112">
      <c r="A487" s="335" t="s">
        <v>1327</v>
      </c>
      <c r="D487" s="369">
        <v>0</v>
      </c>
      <c r="E487" s="369">
        <v>0</v>
      </c>
      <c r="F487" s="369">
        <v>137.56</v>
      </c>
      <c r="G487" s="369">
        <v>0</v>
      </c>
      <c r="H487" s="369">
        <v>144.47999999999999</v>
      </c>
      <c r="I487" s="369">
        <v>0</v>
      </c>
      <c r="J487" s="369">
        <v>0</v>
      </c>
      <c r="K487" s="369">
        <v>1874.62</v>
      </c>
      <c r="L487" s="369">
        <v>0.16</v>
      </c>
      <c r="M487" s="369">
        <v>0</v>
      </c>
      <c r="N487" s="369">
        <v>0</v>
      </c>
      <c r="O487" s="369">
        <v>1057</v>
      </c>
      <c r="P487" s="48">
        <v>0</v>
      </c>
      <c r="Q487" s="48">
        <v>0</v>
      </c>
      <c r="R487" s="48">
        <v>0</v>
      </c>
      <c r="S487" s="48">
        <v>740.95</v>
      </c>
      <c r="T487" s="48">
        <v>0</v>
      </c>
      <c r="U487" s="48">
        <v>0</v>
      </c>
      <c r="V487" s="48">
        <v>0</v>
      </c>
      <c r="W487" s="48">
        <v>0</v>
      </c>
      <c r="X487" s="48">
        <v>0</v>
      </c>
      <c r="Y487" s="48">
        <v>30794.400000000001</v>
      </c>
      <c r="Z487" s="48">
        <v>61448.29</v>
      </c>
      <c r="AA487" s="48">
        <v>16938</v>
      </c>
      <c r="AB487" s="48">
        <v>17423.14</v>
      </c>
      <c r="AC487" s="48">
        <v>25006.68</v>
      </c>
      <c r="AD487" s="48">
        <v>15389.12</v>
      </c>
      <c r="AE487" s="163">
        <v>11116.96</v>
      </c>
      <c r="AF487" s="163">
        <v>8701.35</v>
      </c>
      <c r="AG487" s="163">
        <v>9003.07</v>
      </c>
      <c r="AH487" s="163">
        <v>9870.82</v>
      </c>
      <c r="AI487" s="163">
        <v>10179.82</v>
      </c>
      <c r="AJ487" s="163">
        <v>9549.5499999999993</v>
      </c>
      <c r="AK487" s="163">
        <v>9017.11</v>
      </c>
      <c r="AL487" s="163">
        <v>9806.02</v>
      </c>
      <c r="AM487" s="163">
        <v>10370.620000000001</v>
      </c>
      <c r="AN487" s="163">
        <v>8531.11</v>
      </c>
      <c r="AO487" s="163">
        <v>8027.23</v>
      </c>
      <c r="AP487" s="163">
        <v>9099.66</v>
      </c>
      <c r="AQ487" s="163">
        <v>9715.44</v>
      </c>
      <c r="AR487" s="163">
        <v>9710.69</v>
      </c>
      <c r="AS487" s="163">
        <v>8660.68</v>
      </c>
      <c r="AT487" s="163">
        <v>8614.89</v>
      </c>
      <c r="AU487" s="163">
        <v>10731.26</v>
      </c>
      <c r="AV487" s="163">
        <v>11287.17</v>
      </c>
      <c r="AW487" s="163">
        <v>10341.459999999999</v>
      </c>
      <c r="AX487" s="163">
        <v>9645.0499999999993</v>
      </c>
      <c r="AY487" s="163">
        <v>8063</v>
      </c>
      <c r="AZ487" s="163">
        <v>7607.55</v>
      </c>
      <c r="BA487" s="163">
        <v>9021.51</v>
      </c>
      <c r="BB487" s="163">
        <v>9777.0400000000009</v>
      </c>
      <c r="BC487" s="163">
        <v>8210.7999999999993</v>
      </c>
      <c r="BD487" s="163">
        <v>12799.85</v>
      </c>
      <c r="BE487" s="163">
        <v>8121.86</v>
      </c>
      <c r="BF487" s="163">
        <v>8748.6</v>
      </c>
      <c r="BG487" s="163">
        <v>12180.49</v>
      </c>
      <c r="BH487" s="163">
        <v>8274.27</v>
      </c>
      <c r="BI487" s="163">
        <v>10258.719999999999</v>
      </c>
      <c r="BJ487" s="163">
        <v>5791.37</v>
      </c>
      <c r="BK487" s="163">
        <v>7265.18</v>
      </c>
      <c r="BL487" s="163">
        <v>6440.45</v>
      </c>
      <c r="BM487" s="163">
        <v>9543.0499999999993</v>
      </c>
      <c r="BN487" s="163">
        <v>6374.24</v>
      </c>
      <c r="BO487" s="163">
        <v>5801.51</v>
      </c>
      <c r="BP487" s="163">
        <v>6824.47</v>
      </c>
      <c r="BQ487" s="163">
        <v>7816.95</v>
      </c>
      <c r="BR487" s="163">
        <v>8446.2999999999993</v>
      </c>
      <c r="BS487" s="163">
        <v>9146.82</v>
      </c>
      <c r="BT487" s="163">
        <v>8525.77</v>
      </c>
      <c r="BU487" s="163">
        <v>8064.06</v>
      </c>
      <c r="BV487" s="163">
        <v>9188.74</v>
      </c>
      <c r="BW487" s="163">
        <v>5549.38</v>
      </c>
      <c r="BX487" s="163">
        <v>9073.9599999999991</v>
      </c>
      <c r="BY487" s="163">
        <v>4760.13</v>
      </c>
      <c r="BZ487" s="163">
        <v>0</v>
      </c>
      <c r="CA487" s="163">
        <v>0</v>
      </c>
      <c r="CB487" s="163">
        <v>0</v>
      </c>
      <c r="CC487" s="163">
        <v>0</v>
      </c>
      <c r="CD487" s="163">
        <v>0</v>
      </c>
      <c r="CE487" s="163">
        <v>0</v>
      </c>
      <c r="CF487" s="163">
        <v>0</v>
      </c>
      <c r="CG487" s="163">
        <v>0</v>
      </c>
      <c r="CH487" s="163">
        <v>0</v>
      </c>
      <c r="CI487" s="163">
        <v>0</v>
      </c>
      <c r="CJ487" s="163">
        <v>0</v>
      </c>
      <c r="CK487" s="163">
        <v>61.41</v>
      </c>
      <c r="CL487" s="163">
        <v>0</v>
      </c>
      <c r="CM487" s="163">
        <v>0</v>
      </c>
      <c r="CN487" s="163">
        <v>0</v>
      </c>
      <c r="CO487" s="163">
        <v>0</v>
      </c>
      <c r="CP487" s="163">
        <v>1593.63</v>
      </c>
      <c r="CQ487" s="163">
        <v>6539.85</v>
      </c>
      <c r="CR487" s="163">
        <v>98.44</v>
      </c>
      <c r="CS487" s="163">
        <v>2437.16</v>
      </c>
      <c r="CT487" s="163">
        <v>0</v>
      </c>
      <c r="CU487" s="163">
        <v>1107.25</v>
      </c>
      <c r="CV487" s="163">
        <v>0</v>
      </c>
      <c r="CW487" s="163">
        <v>0</v>
      </c>
      <c r="CX487" s="163">
        <v>0</v>
      </c>
      <c r="CY487" s="163">
        <v>0</v>
      </c>
      <c r="CZ487" s="163">
        <v>0</v>
      </c>
      <c r="DA487" s="163">
        <v>1071.99</v>
      </c>
      <c r="DB487" s="163">
        <v>20.190000000000001</v>
      </c>
      <c r="DC487" s="163">
        <v>40</v>
      </c>
      <c r="DD487" s="163">
        <v>0</v>
      </c>
      <c r="DE487" s="163">
        <f>VLOOKUP($A487,'[2]Analysis 1'!$A$5:$DG$1025,109,FALSE)</f>
        <v>0</v>
      </c>
      <c r="DF487" s="163">
        <f>VLOOKUP($A487,'[2]Analysis 1'!$A$5:$DG$1025,110,FALSE)</f>
        <v>2407.36</v>
      </c>
      <c r="DG487" s="163">
        <f>VLOOKUP($A487,'[2]Analysis 1'!$A$5:$DG$1025,111,FALSE)</f>
        <v>1108</v>
      </c>
      <c r="DH487" s="369">
        <f t="shared" si="20"/>
        <v>4647.54</v>
      </c>
    </row>
    <row r="488" spans="1:112">
      <c r="A488" s="335" t="s">
        <v>1328</v>
      </c>
      <c r="D488" s="369">
        <v>64177.48</v>
      </c>
      <c r="E488" s="369">
        <v>58194.71</v>
      </c>
      <c r="F488" s="369">
        <v>68186.39</v>
      </c>
      <c r="G488" s="369">
        <v>52586.27</v>
      </c>
      <c r="H488" s="369">
        <v>59473.58</v>
      </c>
      <c r="I488" s="369">
        <v>75171.25</v>
      </c>
      <c r="J488" s="369">
        <v>83260.100000000006</v>
      </c>
      <c r="K488" s="369">
        <v>72055.539999999994</v>
      </c>
      <c r="L488" s="369">
        <v>53148.959999999999</v>
      </c>
      <c r="M488" s="369">
        <v>42028.29</v>
      </c>
      <c r="N488" s="369">
        <v>61133.01</v>
      </c>
      <c r="O488" s="369">
        <v>93703.55</v>
      </c>
      <c r="P488" s="48">
        <v>52732.07</v>
      </c>
      <c r="Q488" s="48">
        <v>73515.17</v>
      </c>
      <c r="R488" s="48">
        <v>82354.5</v>
      </c>
      <c r="S488" s="48">
        <v>63059.199999999997</v>
      </c>
      <c r="T488" s="48">
        <v>54402.71</v>
      </c>
      <c r="U488" s="48">
        <v>53000.35</v>
      </c>
      <c r="V488" s="48">
        <v>64771.08</v>
      </c>
      <c r="W488" s="48">
        <v>62072.33</v>
      </c>
      <c r="X488" s="48">
        <v>63613.79</v>
      </c>
      <c r="Y488" s="48">
        <v>60823.39</v>
      </c>
      <c r="Z488" s="48">
        <v>41793.26</v>
      </c>
      <c r="AA488" s="48">
        <v>56690.62</v>
      </c>
      <c r="AB488" s="48">
        <v>53867.5</v>
      </c>
      <c r="AC488" s="48">
        <v>49890.46</v>
      </c>
      <c r="AD488" s="48">
        <v>56578.06</v>
      </c>
      <c r="AE488" s="163">
        <v>56460.57</v>
      </c>
      <c r="AF488" s="163">
        <v>54141.89</v>
      </c>
      <c r="AG488" s="163">
        <v>68669.31</v>
      </c>
      <c r="AH488" s="163">
        <v>66329.929999999993</v>
      </c>
      <c r="AI488" s="163">
        <v>50343.43</v>
      </c>
      <c r="AJ488" s="163">
        <v>55643.25</v>
      </c>
      <c r="AK488" s="163">
        <v>46594.7</v>
      </c>
      <c r="AL488" s="163">
        <v>43331.9</v>
      </c>
      <c r="AM488" s="163">
        <v>42339.93</v>
      </c>
      <c r="AN488" s="163">
        <v>52279.6</v>
      </c>
      <c r="AO488" s="163">
        <v>55786.86</v>
      </c>
      <c r="AP488" s="163">
        <v>58588.5</v>
      </c>
      <c r="AQ488" s="163">
        <v>45150.92</v>
      </c>
      <c r="AR488" s="163">
        <v>64503.14</v>
      </c>
      <c r="AS488" s="163">
        <v>56062.06</v>
      </c>
      <c r="AT488" s="163">
        <v>44952.2</v>
      </c>
      <c r="AU488" s="163">
        <v>61094.06</v>
      </c>
      <c r="AV488" s="163">
        <v>54197.29</v>
      </c>
      <c r="AW488" s="163">
        <v>44848.85</v>
      </c>
      <c r="AX488" s="163">
        <v>47750.11</v>
      </c>
      <c r="AY488" s="163">
        <v>40885.54</v>
      </c>
      <c r="AZ488" s="163">
        <v>42203.4</v>
      </c>
      <c r="BA488" s="163">
        <v>51437.39</v>
      </c>
      <c r="BB488" s="163">
        <v>60677.79</v>
      </c>
      <c r="BC488" s="163">
        <v>60386.3</v>
      </c>
      <c r="BD488" s="163">
        <v>54712.37</v>
      </c>
      <c r="BE488" s="163">
        <v>40402.71</v>
      </c>
      <c r="BF488" s="163">
        <v>42178.7</v>
      </c>
      <c r="BG488" s="163">
        <v>42992.7</v>
      </c>
      <c r="BH488" s="163">
        <v>42723.05</v>
      </c>
      <c r="BI488" s="163">
        <v>38166.620000000003</v>
      </c>
      <c r="BJ488" s="163">
        <v>21543.919999999998</v>
      </c>
      <c r="BK488" s="163">
        <v>26215.37</v>
      </c>
      <c r="BL488" s="163">
        <v>37663.370000000003</v>
      </c>
      <c r="BM488" s="163">
        <v>42753.73</v>
      </c>
      <c r="BN488" s="163">
        <v>45098.92</v>
      </c>
      <c r="BO488" s="163">
        <v>63621.41</v>
      </c>
      <c r="BP488" s="163">
        <v>58925.599999999999</v>
      </c>
      <c r="BQ488" s="163">
        <v>40780.42</v>
      </c>
      <c r="BR488" s="163">
        <v>54319.17</v>
      </c>
      <c r="BS488" s="163">
        <v>59572.52</v>
      </c>
      <c r="BT488" s="163">
        <v>55822.13</v>
      </c>
      <c r="BU488" s="163">
        <v>63072.49</v>
      </c>
      <c r="BV488" s="163">
        <v>61022.54</v>
      </c>
      <c r="BW488" s="163">
        <v>88885.7</v>
      </c>
      <c r="BX488" s="163">
        <v>46603.28</v>
      </c>
      <c r="BY488" s="163">
        <v>53267.1</v>
      </c>
      <c r="BZ488" s="163">
        <v>53993.61</v>
      </c>
      <c r="CA488" s="163">
        <v>54561.760000000002</v>
      </c>
      <c r="CB488" s="163">
        <v>51720.08</v>
      </c>
      <c r="CC488" s="163">
        <v>49747.519999999997</v>
      </c>
      <c r="CD488" s="163">
        <v>47858.73</v>
      </c>
      <c r="CE488" s="163">
        <v>48124.85</v>
      </c>
      <c r="CF488" s="163">
        <v>92903.74</v>
      </c>
      <c r="CG488" s="163">
        <v>19593.36</v>
      </c>
      <c r="CH488" s="163">
        <v>59262.63</v>
      </c>
      <c r="CI488" s="163">
        <v>57892.72</v>
      </c>
      <c r="CJ488" s="163">
        <v>57970.46</v>
      </c>
      <c r="CK488" s="163">
        <v>53676.81</v>
      </c>
      <c r="CL488" s="163">
        <v>63250.07</v>
      </c>
      <c r="CM488" s="163">
        <v>79237.38</v>
      </c>
      <c r="CN488" s="163">
        <v>67178.259999999995</v>
      </c>
      <c r="CO488" s="163">
        <v>61456.4</v>
      </c>
      <c r="CP488" s="163">
        <v>59511.44</v>
      </c>
      <c r="CQ488" s="163">
        <v>65378.73</v>
      </c>
      <c r="CR488" s="163">
        <v>73708.31</v>
      </c>
      <c r="CS488" s="163">
        <v>81813.09</v>
      </c>
      <c r="CT488" s="163">
        <v>89625.59</v>
      </c>
      <c r="CU488" s="163">
        <v>98699.32</v>
      </c>
      <c r="CV488" s="163">
        <v>73066.22</v>
      </c>
      <c r="CW488" s="163">
        <v>85125.65</v>
      </c>
      <c r="CX488" s="163">
        <v>74400.210000000006</v>
      </c>
      <c r="CY488" s="163">
        <v>60640.72</v>
      </c>
      <c r="CZ488" s="163">
        <v>92635.81</v>
      </c>
      <c r="DA488" s="163">
        <v>92759.39</v>
      </c>
      <c r="DB488" s="163">
        <v>65928.61</v>
      </c>
      <c r="DC488" s="163">
        <v>72970.63</v>
      </c>
      <c r="DD488" s="163">
        <v>74673.27</v>
      </c>
      <c r="DE488" s="163">
        <f>VLOOKUP($A488,'[2]Analysis 1'!$A$5:$DG$1025,109,FALSE)</f>
        <v>61441.74</v>
      </c>
      <c r="DF488" s="163">
        <f>VLOOKUP($A488,'[2]Analysis 1'!$A$5:$DG$1025,110,FALSE)</f>
        <v>61236.14</v>
      </c>
      <c r="DG488" s="163">
        <f>VLOOKUP($A488,'[2]Analysis 1'!$A$5:$DG$1025,111,FALSE)</f>
        <v>41984.99</v>
      </c>
      <c r="DH488" s="369">
        <f t="shared" si="20"/>
        <v>856863.38000000012</v>
      </c>
    </row>
    <row r="489" spans="1:112">
      <c r="A489" s="335" t="s">
        <v>1329</v>
      </c>
      <c r="D489" s="369">
        <v>42205.07</v>
      </c>
      <c r="E489" s="369">
        <v>44195.06</v>
      </c>
      <c r="F489" s="369">
        <v>54296.13</v>
      </c>
      <c r="G489" s="369">
        <v>50398.89</v>
      </c>
      <c r="H489" s="369">
        <v>49811.01</v>
      </c>
      <c r="I489" s="369">
        <v>52959.45</v>
      </c>
      <c r="J489" s="369">
        <v>43651.21</v>
      </c>
      <c r="K489" s="369">
        <v>53858.52</v>
      </c>
      <c r="L489" s="369">
        <v>44194.16</v>
      </c>
      <c r="M489" s="369">
        <v>44268.94</v>
      </c>
      <c r="N489" s="369">
        <v>42992.46</v>
      </c>
      <c r="O489" s="369">
        <v>47873.03</v>
      </c>
      <c r="P489" s="48">
        <v>44429.98</v>
      </c>
      <c r="Q489" s="48">
        <v>40894.14</v>
      </c>
      <c r="R489" s="48">
        <v>41263.199999999997</v>
      </c>
      <c r="S489" s="48">
        <v>54654.9</v>
      </c>
      <c r="T489" s="48">
        <v>49094.77</v>
      </c>
      <c r="U489" s="48">
        <v>54414</v>
      </c>
      <c r="V489" s="48">
        <v>50190.239999999998</v>
      </c>
      <c r="W489" s="48">
        <v>45531.06</v>
      </c>
      <c r="X489" s="48">
        <v>51744.18</v>
      </c>
      <c r="Y489" s="48">
        <v>47139.5</v>
      </c>
      <c r="Z489" s="48">
        <v>56170.73</v>
      </c>
      <c r="AA489" s="48">
        <v>57623.93</v>
      </c>
      <c r="AB489" s="48">
        <v>47334.64</v>
      </c>
      <c r="AC489" s="48">
        <v>50242.33</v>
      </c>
      <c r="AD489" s="48">
        <v>51029.79</v>
      </c>
      <c r="AE489" s="163">
        <v>49359.61</v>
      </c>
      <c r="AF489" s="163">
        <v>62681.71</v>
      </c>
      <c r="AG489" s="163">
        <v>47787.85</v>
      </c>
      <c r="AH489" s="163">
        <v>52699.12</v>
      </c>
      <c r="AI489" s="163">
        <v>52717.83</v>
      </c>
      <c r="AJ489" s="163">
        <v>44925.37</v>
      </c>
      <c r="AK489" s="163">
        <v>46174.66</v>
      </c>
      <c r="AL489" s="163">
        <v>47695.83</v>
      </c>
      <c r="AM489" s="163">
        <v>46928.26</v>
      </c>
      <c r="AN489" s="163">
        <v>51115.27</v>
      </c>
      <c r="AO489" s="163">
        <v>32768.239999999998</v>
      </c>
      <c r="AP489" s="163">
        <v>45441.4</v>
      </c>
      <c r="AQ489" s="163">
        <v>45302.69</v>
      </c>
      <c r="AR489" s="163">
        <v>41794.720000000001</v>
      </c>
      <c r="AS489" s="163">
        <v>42112.67</v>
      </c>
      <c r="AT489" s="163">
        <v>42332.6</v>
      </c>
      <c r="AU489" s="163">
        <v>44070.35</v>
      </c>
      <c r="AV489" s="163">
        <v>37802.74</v>
      </c>
      <c r="AW489" s="163">
        <v>40100.980000000003</v>
      </c>
      <c r="AX489" s="163">
        <v>38014.61</v>
      </c>
      <c r="AY489" s="163">
        <v>43148.66</v>
      </c>
      <c r="AZ489" s="163">
        <v>43232.71</v>
      </c>
      <c r="BA489" s="163">
        <v>47890.91</v>
      </c>
      <c r="BB489" s="163">
        <v>43875.49</v>
      </c>
      <c r="BC489" s="163">
        <v>40819.71</v>
      </c>
      <c r="BD489" s="163">
        <v>47160.76</v>
      </c>
      <c r="BE489" s="163">
        <v>46634.22</v>
      </c>
      <c r="BF489" s="163">
        <v>43707.040000000001</v>
      </c>
      <c r="BG489" s="163">
        <v>46331.33</v>
      </c>
      <c r="BH489" s="163">
        <v>40317.230000000003</v>
      </c>
      <c r="BI489" s="163">
        <v>44121.34</v>
      </c>
      <c r="BJ489" s="163">
        <v>40578.379999999997</v>
      </c>
      <c r="BK489" s="163">
        <v>46663.18</v>
      </c>
      <c r="BL489" s="163">
        <v>44595.57</v>
      </c>
      <c r="BM489" s="163">
        <v>39885.89</v>
      </c>
      <c r="BN489" s="163">
        <v>43656.29</v>
      </c>
      <c r="BO489" s="163">
        <v>41987.75</v>
      </c>
      <c r="BP489" s="163">
        <v>57597.65</v>
      </c>
      <c r="BQ489" s="163">
        <v>52900.42</v>
      </c>
      <c r="BR489" s="163">
        <v>62016.37</v>
      </c>
      <c r="BS489" s="163">
        <v>71584.649999999994</v>
      </c>
      <c r="BT489" s="163">
        <v>46401.22</v>
      </c>
      <c r="BU489" s="163">
        <v>47405.33</v>
      </c>
      <c r="BV489" s="163">
        <v>55799.79</v>
      </c>
      <c r="BW489" s="163">
        <v>84109.04</v>
      </c>
      <c r="BX489" s="163">
        <v>46133.62</v>
      </c>
      <c r="BY489" s="163">
        <v>45198.44</v>
      </c>
      <c r="BZ489" s="163">
        <v>57049.34</v>
      </c>
      <c r="CA489" s="163">
        <v>49390.58</v>
      </c>
      <c r="CB489" s="163">
        <v>53706.879999999997</v>
      </c>
      <c r="CC489" s="163">
        <v>41152.85</v>
      </c>
      <c r="CD489" s="163">
        <v>58239.43</v>
      </c>
      <c r="CE489" s="163">
        <v>73910.16</v>
      </c>
      <c r="CF489" s="163">
        <v>46713.62</v>
      </c>
      <c r="CG489" s="163">
        <v>99877.07</v>
      </c>
      <c r="CH489" s="163">
        <v>22885.38</v>
      </c>
      <c r="CI489" s="163">
        <v>57903.42</v>
      </c>
      <c r="CJ489" s="163">
        <v>42206.25</v>
      </c>
      <c r="CK489" s="163">
        <v>53059.65</v>
      </c>
      <c r="CL489" s="163">
        <v>38659.85</v>
      </c>
      <c r="CM489" s="163">
        <v>100393.23</v>
      </c>
      <c r="CN489" s="163">
        <v>79044.91</v>
      </c>
      <c r="CO489" s="163">
        <v>36808.92</v>
      </c>
      <c r="CP489" s="163">
        <v>67657.990000000005</v>
      </c>
      <c r="CQ489" s="163">
        <v>57094.14</v>
      </c>
      <c r="CR489" s="163">
        <v>57924.6</v>
      </c>
      <c r="CS489" s="163">
        <v>73590.490000000005</v>
      </c>
      <c r="CT489" s="163">
        <v>56533.41</v>
      </c>
      <c r="CU489" s="163">
        <v>104370.29</v>
      </c>
      <c r="CV489" s="163">
        <v>59928.14</v>
      </c>
      <c r="CW489" s="163">
        <v>54837.41</v>
      </c>
      <c r="CX489" s="163">
        <v>65924.460000000006</v>
      </c>
      <c r="CY489" s="163">
        <v>90779.01</v>
      </c>
      <c r="CZ489" s="163">
        <v>68972.009999999995</v>
      </c>
      <c r="DA489" s="163">
        <v>68091.960000000006</v>
      </c>
      <c r="DB489" s="163">
        <v>67788</v>
      </c>
      <c r="DC489" s="163">
        <v>92518.07</v>
      </c>
      <c r="DD489" s="163">
        <v>68472.3</v>
      </c>
      <c r="DE489" s="163">
        <f>VLOOKUP($A489,'[2]Analysis 1'!$A$5:$DG$1025,109,FALSE)</f>
        <v>48385.26</v>
      </c>
      <c r="DF489" s="163">
        <f>VLOOKUP($A489,'[2]Analysis 1'!$A$5:$DG$1025,110,FALSE)</f>
        <v>80957.509999999995</v>
      </c>
      <c r="DG489" s="163">
        <f>VLOOKUP($A489,'[2]Analysis 1'!$A$5:$DG$1025,111,FALSE)</f>
        <v>57440.51</v>
      </c>
      <c r="DH489" s="369">
        <f t="shared" si="20"/>
        <v>824094.64000000013</v>
      </c>
    </row>
    <row r="490" spans="1:112">
      <c r="A490" s="335" t="s">
        <v>1330</v>
      </c>
      <c r="D490" s="369">
        <v>52720.9</v>
      </c>
      <c r="E490" s="369">
        <v>79550.399999999994</v>
      </c>
      <c r="F490" s="369">
        <v>62593.78</v>
      </c>
      <c r="G490" s="369">
        <v>76229.350000000006</v>
      </c>
      <c r="H490" s="369">
        <v>93067.6</v>
      </c>
      <c r="I490" s="369">
        <v>107431.63</v>
      </c>
      <c r="J490" s="369">
        <v>63843.86</v>
      </c>
      <c r="K490" s="369">
        <v>54876</v>
      </c>
      <c r="L490" s="369">
        <v>81207.61</v>
      </c>
      <c r="M490" s="369">
        <v>82979.62</v>
      </c>
      <c r="N490" s="369">
        <v>62300.800000000003</v>
      </c>
      <c r="O490" s="369">
        <v>67127.14</v>
      </c>
      <c r="P490" s="48">
        <v>64151.69</v>
      </c>
      <c r="Q490" s="48">
        <v>62848.7</v>
      </c>
      <c r="R490" s="48">
        <v>78567.83</v>
      </c>
      <c r="S490" s="48">
        <v>120906.44</v>
      </c>
      <c r="T490" s="48">
        <v>99490.39</v>
      </c>
      <c r="U490" s="48">
        <v>142763.53</v>
      </c>
      <c r="V490" s="48">
        <v>134187.46</v>
      </c>
      <c r="W490" s="48">
        <v>93824.24</v>
      </c>
      <c r="X490" s="48">
        <v>149016.20000000001</v>
      </c>
      <c r="Y490" s="48">
        <v>134366.70000000001</v>
      </c>
      <c r="Z490" s="48">
        <v>159786.22</v>
      </c>
      <c r="AA490" s="48">
        <v>248783.31</v>
      </c>
      <c r="AB490" s="48">
        <v>101467.34</v>
      </c>
      <c r="AC490" s="48">
        <v>142953.32</v>
      </c>
      <c r="AD490" s="48">
        <v>117053.83</v>
      </c>
      <c r="AE490" s="163">
        <v>92878.3</v>
      </c>
      <c r="AF490" s="163">
        <v>144596.07</v>
      </c>
      <c r="AG490" s="163">
        <v>149658.69</v>
      </c>
      <c r="AH490" s="163">
        <v>100488.1</v>
      </c>
      <c r="AI490" s="163">
        <v>154056.69</v>
      </c>
      <c r="AJ490" s="163">
        <v>111583.21</v>
      </c>
      <c r="AK490" s="163">
        <v>111892.62</v>
      </c>
      <c r="AL490" s="163">
        <v>146210.95000000001</v>
      </c>
      <c r="AM490" s="163">
        <v>212674.73</v>
      </c>
      <c r="AN490" s="163">
        <v>61047.29</v>
      </c>
      <c r="AO490" s="163">
        <v>155624.95000000001</v>
      </c>
      <c r="AP490" s="163">
        <v>169610.78</v>
      </c>
      <c r="AQ490" s="163">
        <v>68114.039999999994</v>
      </c>
      <c r="AR490" s="163">
        <v>100320.63</v>
      </c>
      <c r="AS490" s="163">
        <v>378692.99</v>
      </c>
      <c r="AT490" s="163">
        <v>-122199.35</v>
      </c>
      <c r="AU490" s="163">
        <v>120879.88</v>
      </c>
      <c r="AV490" s="163">
        <v>101028.57</v>
      </c>
      <c r="AW490" s="163">
        <v>115436.05</v>
      </c>
      <c r="AX490" s="163">
        <v>111077.86</v>
      </c>
      <c r="AY490" s="163">
        <v>127751.55</v>
      </c>
      <c r="AZ490" s="163">
        <v>97759.039999999994</v>
      </c>
      <c r="BA490" s="163">
        <v>100491.07</v>
      </c>
      <c r="BB490" s="163">
        <v>134554.99</v>
      </c>
      <c r="BC490" s="163">
        <v>181467.15</v>
      </c>
      <c r="BD490" s="163">
        <v>188163.15</v>
      </c>
      <c r="BE490" s="163">
        <v>152079.07999999999</v>
      </c>
      <c r="BF490" s="163">
        <v>166794.01999999999</v>
      </c>
      <c r="BG490" s="163">
        <v>7357.84</v>
      </c>
      <c r="BH490" s="163">
        <v>105825.79</v>
      </c>
      <c r="BI490" s="163">
        <v>95626.559999999998</v>
      </c>
      <c r="BJ490" s="163">
        <v>84010.81</v>
      </c>
      <c r="BK490" s="163">
        <v>99186.21</v>
      </c>
      <c r="BL490" s="163">
        <v>97798.27</v>
      </c>
      <c r="BM490" s="163">
        <v>96518.61</v>
      </c>
      <c r="BN490" s="163">
        <v>135375.22</v>
      </c>
      <c r="BO490" s="163">
        <v>120103.63</v>
      </c>
      <c r="BP490" s="163">
        <v>131408.76999999999</v>
      </c>
      <c r="BQ490" s="163">
        <v>146820.62</v>
      </c>
      <c r="BR490" s="163">
        <v>133840.75</v>
      </c>
      <c r="BS490" s="163">
        <v>153032.89000000001</v>
      </c>
      <c r="BT490" s="163">
        <v>182845.08</v>
      </c>
      <c r="BU490" s="163">
        <v>158350.85999999999</v>
      </c>
      <c r="BV490" s="163">
        <v>98433.1</v>
      </c>
      <c r="BW490" s="163">
        <v>226950.85</v>
      </c>
      <c r="BX490" s="163">
        <v>141829.95000000001</v>
      </c>
      <c r="BY490" s="163">
        <v>106522.45</v>
      </c>
      <c r="BZ490" s="163">
        <v>167256.06</v>
      </c>
      <c r="CA490" s="163">
        <v>126436.33</v>
      </c>
      <c r="CB490" s="163">
        <v>131276</v>
      </c>
      <c r="CC490" s="163">
        <v>142235.04</v>
      </c>
      <c r="CD490" s="163">
        <v>129342.81</v>
      </c>
      <c r="CE490" s="163">
        <v>203551</v>
      </c>
      <c r="CF490" s="163">
        <v>96448.48</v>
      </c>
      <c r="CG490" s="163">
        <v>153092.37</v>
      </c>
      <c r="CH490" s="163">
        <v>106483.58</v>
      </c>
      <c r="CI490" s="163">
        <v>123342.18</v>
      </c>
      <c r="CJ490" s="163">
        <v>101500.18</v>
      </c>
      <c r="CK490" s="163">
        <v>118743.99</v>
      </c>
      <c r="CL490" s="163">
        <v>111743.32</v>
      </c>
      <c r="CM490" s="163">
        <v>117971</v>
      </c>
      <c r="CN490" s="163">
        <v>143725.85999999999</v>
      </c>
      <c r="CO490" s="163">
        <v>188851.66</v>
      </c>
      <c r="CP490" s="163">
        <v>150783.67999999999</v>
      </c>
      <c r="CQ490" s="163">
        <v>121963.69</v>
      </c>
      <c r="CR490" s="163">
        <v>114394.44</v>
      </c>
      <c r="CS490" s="163">
        <v>121356.86</v>
      </c>
      <c r="CT490" s="163">
        <v>211928.54</v>
      </c>
      <c r="CU490" s="163">
        <v>191877.28</v>
      </c>
      <c r="CV490" s="163">
        <v>134940.84</v>
      </c>
      <c r="CW490" s="163">
        <v>125534.41</v>
      </c>
      <c r="CX490" s="163">
        <v>155331.99</v>
      </c>
      <c r="CY490" s="163">
        <v>153187.4</v>
      </c>
      <c r="CZ490" s="163">
        <v>184635.94</v>
      </c>
      <c r="DA490" s="163">
        <v>180419.97</v>
      </c>
      <c r="DB490" s="163">
        <v>178668.34</v>
      </c>
      <c r="DC490" s="163">
        <v>218749.17</v>
      </c>
      <c r="DD490" s="163">
        <v>188932.91</v>
      </c>
      <c r="DE490" s="163">
        <f>VLOOKUP($A490,'[2]Analysis 1'!$A$5:$DG$1025,109,FALSE)</f>
        <v>127189.2</v>
      </c>
      <c r="DF490" s="163">
        <f>VLOOKUP($A490,'[2]Analysis 1'!$A$5:$DG$1025,110,FALSE)</f>
        <v>177212.14</v>
      </c>
      <c r="DG490" s="163">
        <f>VLOOKUP($A490,'[2]Analysis 1'!$A$5:$DG$1025,111,FALSE)</f>
        <v>153436.54</v>
      </c>
      <c r="DH490" s="369">
        <f t="shared" si="20"/>
        <v>1978238.85</v>
      </c>
    </row>
    <row r="491" spans="1:112">
      <c r="A491" s="335" t="s">
        <v>1331</v>
      </c>
      <c r="D491" s="369">
        <v>167251.04999999999</v>
      </c>
      <c r="E491" s="369">
        <v>100491.68</v>
      </c>
      <c r="F491" s="369">
        <v>117509.24</v>
      </c>
      <c r="G491" s="369">
        <v>153657.64000000001</v>
      </c>
      <c r="H491" s="369">
        <v>114584.85</v>
      </c>
      <c r="I491" s="369">
        <v>112431.31</v>
      </c>
      <c r="J491" s="369">
        <v>109846.6</v>
      </c>
      <c r="K491" s="369">
        <v>139798.91</v>
      </c>
      <c r="L491" s="369">
        <v>114361.46</v>
      </c>
      <c r="M491" s="369">
        <v>109653.99</v>
      </c>
      <c r="N491" s="369">
        <v>108430.6</v>
      </c>
      <c r="O491" s="369">
        <v>154484.67000000001</v>
      </c>
      <c r="P491" s="48">
        <v>139524.32999999999</v>
      </c>
      <c r="Q491" s="48">
        <v>143120.37</v>
      </c>
      <c r="R491" s="48">
        <v>119919.27</v>
      </c>
      <c r="S491" s="48">
        <v>133532.35999999999</v>
      </c>
      <c r="T491" s="48">
        <v>138651.45000000001</v>
      </c>
      <c r="U491" s="48">
        <v>121842.18</v>
      </c>
      <c r="V491" s="48">
        <v>137329.26999999999</v>
      </c>
      <c r="W491" s="48">
        <v>146596.87</v>
      </c>
      <c r="X491" s="48">
        <v>158019.04999999999</v>
      </c>
      <c r="Y491" s="48">
        <v>159455.1</v>
      </c>
      <c r="Z491" s="48">
        <v>163884.13</v>
      </c>
      <c r="AA491" s="48">
        <v>178772.72</v>
      </c>
      <c r="AB491" s="48">
        <v>160993.31</v>
      </c>
      <c r="AC491" s="48">
        <v>162435.14000000001</v>
      </c>
      <c r="AD491" s="48">
        <v>130655.36</v>
      </c>
      <c r="AE491" s="163">
        <v>107409.73</v>
      </c>
      <c r="AF491" s="163">
        <v>132218.59</v>
      </c>
      <c r="AG491" s="163">
        <v>152418.60999999999</v>
      </c>
      <c r="AH491" s="163">
        <v>120611.71</v>
      </c>
      <c r="AI491" s="163">
        <v>134621.46</v>
      </c>
      <c r="AJ491" s="163">
        <v>125499.72</v>
      </c>
      <c r="AK491" s="163">
        <v>139772.34</v>
      </c>
      <c r="AL491" s="163">
        <v>151272.23000000001</v>
      </c>
      <c r="AM491" s="163">
        <v>172030.92</v>
      </c>
      <c r="AN491" s="163">
        <v>163986.76</v>
      </c>
      <c r="AO491" s="163">
        <v>149034.35</v>
      </c>
      <c r="AP491" s="163">
        <v>145597.68</v>
      </c>
      <c r="AQ491" s="163">
        <v>123975.96</v>
      </c>
      <c r="AR491" s="163">
        <v>125010.05</v>
      </c>
      <c r="AS491" s="163">
        <v>159211.18</v>
      </c>
      <c r="AT491" s="163">
        <v>134724.25</v>
      </c>
      <c r="AU491" s="163">
        <v>148102.81</v>
      </c>
      <c r="AV491" s="163">
        <v>134141.64000000001</v>
      </c>
      <c r="AW491" s="163">
        <v>158480.76999999999</v>
      </c>
      <c r="AX491" s="163">
        <v>146220.62</v>
      </c>
      <c r="AY491" s="163">
        <v>146281.46</v>
      </c>
      <c r="AZ491" s="163">
        <v>156515.98000000001</v>
      </c>
      <c r="BA491" s="163">
        <v>150454.25</v>
      </c>
      <c r="BB491" s="163">
        <v>148387.03</v>
      </c>
      <c r="BC491" s="163">
        <v>148605.99</v>
      </c>
      <c r="BD491" s="163">
        <v>181898.84</v>
      </c>
      <c r="BE491" s="163">
        <v>129804.19</v>
      </c>
      <c r="BF491" s="163">
        <v>160882.63</v>
      </c>
      <c r="BG491" s="163">
        <v>148004.38</v>
      </c>
      <c r="BH491" s="163">
        <v>106826.79</v>
      </c>
      <c r="BI491" s="163">
        <v>124895.55</v>
      </c>
      <c r="BJ491" s="163">
        <v>112403.84</v>
      </c>
      <c r="BK491" s="163">
        <v>175386.2</v>
      </c>
      <c r="BL491" s="163">
        <v>120671.99</v>
      </c>
      <c r="BM491" s="163">
        <v>121738.01</v>
      </c>
      <c r="BN491" s="163">
        <v>144446.81</v>
      </c>
      <c r="BO491" s="163">
        <v>126093.92</v>
      </c>
      <c r="BP491" s="163">
        <v>122792.59</v>
      </c>
      <c r="BQ491" s="163">
        <v>102849.22</v>
      </c>
      <c r="BR491" s="163">
        <v>136812.26</v>
      </c>
      <c r="BS491" s="163">
        <v>131698.47</v>
      </c>
      <c r="BT491" s="163">
        <v>126224.21</v>
      </c>
      <c r="BU491" s="163">
        <v>192821.93</v>
      </c>
      <c r="BV491" s="163">
        <v>135639.44</v>
      </c>
      <c r="BW491" s="163">
        <v>157023.37</v>
      </c>
      <c r="BX491" s="163">
        <v>140359.15</v>
      </c>
      <c r="BY491" s="163">
        <v>123502.17</v>
      </c>
      <c r="BZ491" s="163">
        <v>135557.1</v>
      </c>
      <c r="CA491" s="163">
        <v>115053.88</v>
      </c>
      <c r="CB491" s="163">
        <v>108532.66</v>
      </c>
      <c r="CC491" s="163">
        <v>121965.17</v>
      </c>
      <c r="CD491" s="163">
        <v>103233.79</v>
      </c>
      <c r="CE491" s="163">
        <v>126015.31</v>
      </c>
      <c r="CF491" s="163">
        <v>105367.87</v>
      </c>
      <c r="CG491" s="163">
        <v>107693.68</v>
      </c>
      <c r="CH491" s="163">
        <v>109589.4</v>
      </c>
      <c r="CI491" s="163">
        <v>168151.69</v>
      </c>
      <c r="CJ491" s="163">
        <v>86886.74</v>
      </c>
      <c r="CK491" s="163">
        <v>100147.53</v>
      </c>
      <c r="CL491" s="163">
        <v>102946.6</v>
      </c>
      <c r="CM491" s="163">
        <v>98212</v>
      </c>
      <c r="CN491" s="163">
        <v>99466.59</v>
      </c>
      <c r="CO491" s="163">
        <v>100915.05</v>
      </c>
      <c r="CP491" s="163">
        <v>104082.89</v>
      </c>
      <c r="CQ491" s="163">
        <v>132507.51</v>
      </c>
      <c r="CR491" s="163">
        <v>121938.49</v>
      </c>
      <c r="CS491" s="163">
        <v>85895.43</v>
      </c>
      <c r="CT491" s="163">
        <v>110243.98</v>
      </c>
      <c r="CU491" s="163">
        <v>128476.63</v>
      </c>
      <c r="CV491" s="163">
        <v>117571.05</v>
      </c>
      <c r="CW491" s="163">
        <v>83519.98</v>
      </c>
      <c r="CX491" s="163">
        <v>95316.11</v>
      </c>
      <c r="CY491" s="163">
        <v>143411.09</v>
      </c>
      <c r="CZ491" s="163">
        <v>85443.68</v>
      </c>
      <c r="DA491" s="163">
        <v>112424.32000000001</v>
      </c>
      <c r="DB491" s="163">
        <v>108470.91</v>
      </c>
      <c r="DC491" s="163">
        <v>130427.9</v>
      </c>
      <c r="DD491" s="163">
        <v>122251.09</v>
      </c>
      <c r="DE491" s="163">
        <f>VLOOKUP($A491,'[2]Analysis 1'!$A$5:$DG$1025,109,FALSE)</f>
        <v>77686.179999999993</v>
      </c>
      <c r="DF491" s="163">
        <f>VLOOKUP($A491,'[2]Analysis 1'!$A$5:$DG$1025,110,FALSE)</f>
        <v>151058.42000000001</v>
      </c>
      <c r="DG491" s="163">
        <f>VLOOKUP($A491,'[2]Analysis 1'!$A$5:$DG$1025,111,FALSE)</f>
        <v>245636.77</v>
      </c>
      <c r="DH491" s="369">
        <f t="shared" si="20"/>
        <v>1473217.5</v>
      </c>
    </row>
    <row r="492" spans="1:112">
      <c r="A492" s="335" t="s">
        <v>1332</v>
      </c>
      <c r="D492" s="369">
        <v>48908.87</v>
      </c>
      <c r="E492" s="369">
        <v>43986.65</v>
      </c>
      <c r="F492" s="369">
        <v>51000.5</v>
      </c>
      <c r="G492" s="369">
        <v>50793.2</v>
      </c>
      <c r="H492" s="369">
        <v>43759.17</v>
      </c>
      <c r="I492" s="369">
        <v>61855.32</v>
      </c>
      <c r="J492" s="369">
        <v>68678.990000000005</v>
      </c>
      <c r="K492" s="369">
        <v>53764.1</v>
      </c>
      <c r="L492" s="369">
        <v>103759.5</v>
      </c>
      <c r="M492" s="369">
        <v>30376.54</v>
      </c>
      <c r="N492" s="369">
        <v>79809.320000000007</v>
      </c>
      <c r="O492" s="369">
        <v>52173.62</v>
      </c>
      <c r="P492" s="48">
        <v>45504.4</v>
      </c>
      <c r="Q492" s="48">
        <v>49096.14</v>
      </c>
      <c r="R492" s="48">
        <v>38881.81</v>
      </c>
      <c r="S492" s="48">
        <v>44466.52</v>
      </c>
      <c r="T492" s="48">
        <v>60733.47</v>
      </c>
      <c r="U492" s="48">
        <v>60677.78</v>
      </c>
      <c r="V492" s="48">
        <v>44847.3</v>
      </c>
      <c r="W492" s="48">
        <v>51636.92</v>
      </c>
      <c r="X492" s="48">
        <v>37161.14</v>
      </c>
      <c r="Y492" s="48">
        <v>51562.59</v>
      </c>
      <c r="Z492" s="48">
        <v>60687.73</v>
      </c>
      <c r="AA492" s="48">
        <v>42319.19</v>
      </c>
      <c r="AB492" s="48">
        <v>35048.19</v>
      </c>
      <c r="AC492" s="48">
        <v>44446.16</v>
      </c>
      <c r="AD492" s="48">
        <v>53023.59</v>
      </c>
      <c r="AE492" s="163">
        <v>48799.78</v>
      </c>
      <c r="AF492" s="163">
        <v>42849.73</v>
      </c>
      <c r="AG492" s="163">
        <v>73341.7</v>
      </c>
      <c r="AH492" s="163">
        <v>34872.33</v>
      </c>
      <c r="AI492" s="163">
        <v>58028.4</v>
      </c>
      <c r="AJ492" s="163">
        <v>34821.08</v>
      </c>
      <c r="AK492" s="163">
        <v>89320.67</v>
      </c>
      <c r="AL492" s="163">
        <v>88712.38</v>
      </c>
      <c r="AM492" s="163">
        <v>76649.31</v>
      </c>
      <c r="AN492" s="163">
        <v>31529.58</v>
      </c>
      <c r="AO492" s="163">
        <v>81490.83</v>
      </c>
      <c r="AP492" s="163">
        <v>61276.61</v>
      </c>
      <c r="AQ492" s="163">
        <v>44186.04</v>
      </c>
      <c r="AR492" s="163">
        <v>44455.1</v>
      </c>
      <c r="AS492" s="163">
        <v>32733.360000000001</v>
      </c>
      <c r="AT492" s="163">
        <v>47802.53</v>
      </c>
      <c r="AU492" s="163">
        <v>54267.46</v>
      </c>
      <c r="AV492" s="163">
        <v>59469.04</v>
      </c>
      <c r="AW492" s="163">
        <v>74523.19</v>
      </c>
      <c r="AX492" s="163">
        <v>12005.55</v>
      </c>
      <c r="AY492" s="163">
        <v>98883.22</v>
      </c>
      <c r="AZ492" s="163">
        <v>42354.25</v>
      </c>
      <c r="BA492" s="163">
        <v>75046.81</v>
      </c>
      <c r="BB492" s="163">
        <v>32210.42</v>
      </c>
      <c r="BC492" s="163">
        <v>68795.94</v>
      </c>
      <c r="BD492" s="163">
        <v>79524.86</v>
      </c>
      <c r="BE492" s="163">
        <v>58415.25</v>
      </c>
      <c r="BF492" s="163">
        <v>83300.850000000006</v>
      </c>
      <c r="BG492" s="163">
        <v>68642.92</v>
      </c>
      <c r="BH492" s="163">
        <v>37128.58</v>
      </c>
      <c r="BI492" s="163">
        <v>62375.77</v>
      </c>
      <c r="BJ492" s="163">
        <v>49843.02</v>
      </c>
      <c r="BK492" s="163">
        <v>54892.74</v>
      </c>
      <c r="BL492" s="163">
        <v>53555.74</v>
      </c>
      <c r="BM492" s="163">
        <v>38129.519999999997</v>
      </c>
      <c r="BN492" s="163">
        <v>65235.06</v>
      </c>
      <c r="BO492" s="163">
        <v>69599.87</v>
      </c>
      <c r="BP492" s="163">
        <v>51991.64</v>
      </c>
      <c r="BQ492" s="163">
        <v>34720.61</v>
      </c>
      <c r="BR492" s="163">
        <v>81874.25</v>
      </c>
      <c r="BS492" s="163">
        <v>46697.13</v>
      </c>
      <c r="BT492" s="163">
        <v>59783.03</v>
      </c>
      <c r="BU492" s="163">
        <v>54807.48</v>
      </c>
      <c r="BV492" s="163">
        <v>73542.600000000006</v>
      </c>
      <c r="BW492" s="163">
        <v>73247.92</v>
      </c>
      <c r="BX492" s="163">
        <v>58212.59</v>
      </c>
      <c r="BY492" s="163">
        <v>113692.14</v>
      </c>
      <c r="BZ492" s="163">
        <v>79085.210000000006</v>
      </c>
      <c r="CA492" s="163">
        <v>42674.36</v>
      </c>
      <c r="CB492" s="163">
        <v>57430.7</v>
      </c>
      <c r="CC492" s="163">
        <v>56797.34</v>
      </c>
      <c r="CD492" s="163">
        <v>54630.3</v>
      </c>
      <c r="CE492" s="163">
        <v>54817.01</v>
      </c>
      <c r="CF492" s="163">
        <v>49886.32</v>
      </c>
      <c r="CG492" s="163">
        <v>75633.119999999995</v>
      </c>
      <c r="CH492" s="163">
        <v>72423.28</v>
      </c>
      <c r="CI492" s="163">
        <v>50426.93</v>
      </c>
      <c r="CJ492" s="163">
        <v>52156.29</v>
      </c>
      <c r="CK492" s="163">
        <v>78249.41</v>
      </c>
      <c r="CL492" s="163">
        <v>65300.33</v>
      </c>
      <c r="CM492" s="163">
        <v>48723.83</v>
      </c>
      <c r="CN492" s="163">
        <v>91996.55</v>
      </c>
      <c r="CO492" s="163">
        <v>46182.85</v>
      </c>
      <c r="CP492" s="163">
        <v>101578.48</v>
      </c>
      <c r="CQ492" s="163">
        <v>51537.97</v>
      </c>
      <c r="CR492" s="163">
        <v>41084.699999999997</v>
      </c>
      <c r="CS492" s="163">
        <v>63581</v>
      </c>
      <c r="CT492" s="163">
        <v>72924.02</v>
      </c>
      <c r="CU492" s="163">
        <v>77918.98</v>
      </c>
      <c r="CV492" s="163">
        <v>54815.11</v>
      </c>
      <c r="CW492" s="163">
        <v>60423.199999999997</v>
      </c>
      <c r="CX492" s="163">
        <v>54470.99</v>
      </c>
      <c r="CY492" s="163">
        <v>67526.570000000007</v>
      </c>
      <c r="CZ492" s="163">
        <v>79595.66</v>
      </c>
      <c r="DA492" s="163">
        <v>58963.12</v>
      </c>
      <c r="DB492" s="163">
        <v>58654.879999999997</v>
      </c>
      <c r="DC492" s="163">
        <v>96428.6</v>
      </c>
      <c r="DD492" s="163">
        <v>44956.29</v>
      </c>
      <c r="DE492" s="163">
        <f>VLOOKUP($A492,'[2]Analysis 1'!$A$5:$DG$1025,109,FALSE)</f>
        <v>141773.28</v>
      </c>
      <c r="DF492" s="163">
        <f>VLOOKUP($A492,'[2]Analysis 1'!$A$5:$DG$1025,110,FALSE)</f>
        <v>155681.03</v>
      </c>
      <c r="DG492" s="163">
        <f>VLOOKUP($A492,'[2]Analysis 1'!$A$5:$DG$1025,111,FALSE)</f>
        <v>159423.54</v>
      </c>
      <c r="DH492" s="369">
        <f t="shared" si="20"/>
        <v>1032712.2700000001</v>
      </c>
    </row>
    <row r="493" spans="1:112">
      <c r="A493" s="335" t="s">
        <v>1333</v>
      </c>
      <c r="D493" s="369">
        <v>15615.66</v>
      </c>
      <c r="E493" s="369">
        <v>4339.78</v>
      </c>
      <c r="F493" s="369">
        <v>2740.8</v>
      </c>
      <c r="G493" s="369">
        <v>610.55999999999995</v>
      </c>
      <c r="H493" s="369">
        <v>40287.629999999997</v>
      </c>
      <c r="I493" s="369">
        <v>13161.05</v>
      </c>
      <c r="J493" s="369">
        <v>29066.45</v>
      </c>
      <c r="K493" s="369">
        <v>-23618.85</v>
      </c>
      <c r="L493" s="369">
        <v>29332.37</v>
      </c>
      <c r="M493" s="369">
        <v>6759.42</v>
      </c>
      <c r="N493" s="369">
        <v>-13568.16</v>
      </c>
      <c r="O493" s="369">
        <v>8402.57</v>
      </c>
      <c r="P493" s="48">
        <v>7713.13</v>
      </c>
      <c r="Q493" s="48">
        <v>6838.86</v>
      </c>
      <c r="R493" s="48">
        <v>31346.080000000002</v>
      </c>
      <c r="S493" s="48">
        <v>6856.97</v>
      </c>
      <c r="T493" s="48">
        <v>6595.38</v>
      </c>
      <c r="U493" s="48">
        <v>6645.16</v>
      </c>
      <c r="V493" s="48">
        <v>4103.28</v>
      </c>
      <c r="W493" s="48">
        <v>6276.53</v>
      </c>
      <c r="X493" s="48">
        <v>5812.57</v>
      </c>
      <c r="Y493" s="48">
        <v>6167.13</v>
      </c>
      <c r="Z493" s="48">
        <v>3929.4</v>
      </c>
      <c r="AA493" s="48">
        <v>8444.23</v>
      </c>
      <c r="AB493" s="48">
        <v>2291.13</v>
      </c>
      <c r="AC493" s="48">
        <v>15837.82</v>
      </c>
      <c r="AD493" s="48">
        <v>8214.32</v>
      </c>
      <c r="AE493" s="163">
        <v>2495.11</v>
      </c>
      <c r="AF493" s="163">
        <v>-6527.7</v>
      </c>
      <c r="AG493" s="163">
        <v>1912.44</v>
      </c>
      <c r="AH493" s="163">
        <v>6022.04</v>
      </c>
      <c r="AI493" s="163">
        <v>30539.599999999999</v>
      </c>
      <c r="AJ493" s="163">
        <v>-23829.23</v>
      </c>
      <c r="AK493" s="163">
        <v>3188.58</v>
      </c>
      <c r="AL493" s="163">
        <v>6954.14</v>
      </c>
      <c r="AM493" s="163">
        <v>8278.7900000000009</v>
      </c>
      <c r="AN493" s="163">
        <v>4199.6899999999996</v>
      </c>
      <c r="AO493" s="163">
        <v>16231.03</v>
      </c>
      <c r="AP493" s="163">
        <v>8344.85</v>
      </c>
      <c r="AQ493" s="163">
        <v>3382.96</v>
      </c>
      <c r="AR493" s="163">
        <v>6377.11</v>
      </c>
      <c r="AS493" s="163">
        <v>8186.95</v>
      </c>
      <c r="AT493" s="163">
        <v>4885.72</v>
      </c>
      <c r="AU493" s="163">
        <v>8474.59</v>
      </c>
      <c r="AV493" s="163">
        <v>9893.58</v>
      </c>
      <c r="AW493" s="163">
        <v>5896.63</v>
      </c>
      <c r="AX493" s="163">
        <v>10950.38</v>
      </c>
      <c r="AY493" s="163">
        <v>4204.6499999999996</v>
      </c>
      <c r="AZ493" s="163">
        <v>1942.41</v>
      </c>
      <c r="BA493" s="163">
        <v>10470.35</v>
      </c>
      <c r="BB493" s="163">
        <v>7918.67</v>
      </c>
      <c r="BC493" s="163">
        <v>7075.78</v>
      </c>
      <c r="BD493" s="163">
        <v>10184.43</v>
      </c>
      <c r="BE493" s="163">
        <v>10872.81</v>
      </c>
      <c r="BF493" s="163">
        <v>5697.96</v>
      </c>
      <c r="BG493" s="163">
        <v>6314.39</v>
      </c>
      <c r="BH493" s="163">
        <v>2900.88</v>
      </c>
      <c r="BI493" s="163">
        <v>3215.47</v>
      </c>
      <c r="BJ493" s="163">
        <v>3047.18</v>
      </c>
      <c r="BK493" s="163">
        <v>7187.66</v>
      </c>
      <c r="BL493" s="163">
        <v>3219.2</v>
      </c>
      <c r="BM493" s="163">
        <v>2944.59</v>
      </c>
      <c r="BN493" s="163">
        <v>7907.42</v>
      </c>
      <c r="BO493" s="163">
        <v>10604.12</v>
      </c>
      <c r="BP493" s="163">
        <v>3555.37</v>
      </c>
      <c r="BQ493" s="163">
        <v>11523.88</v>
      </c>
      <c r="BR493" s="163">
        <v>-3438.29</v>
      </c>
      <c r="BS493" s="163">
        <v>9333.33</v>
      </c>
      <c r="BT493" s="163">
        <v>3167.97</v>
      </c>
      <c r="BU493" s="163">
        <v>2584.6999999999998</v>
      </c>
      <c r="BV493" s="163">
        <v>4495.13</v>
      </c>
      <c r="BW493" s="163">
        <v>19856.349999999999</v>
      </c>
      <c r="BX493" s="163">
        <v>10660.42</v>
      </c>
      <c r="BY493" s="163">
        <v>-3780.94</v>
      </c>
      <c r="BZ493" s="163">
        <v>5650.74</v>
      </c>
      <c r="CA493" s="163">
        <v>4960.62</v>
      </c>
      <c r="CB493" s="163">
        <v>2376.64</v>
      </c>
      <c r="CC493" s="163">
        <v>2260.4</v>
      </c>
      <c r="CD493" s="163">
        <v>2800.68</v>
      </c>
      <c r="CE493" s="163">
        <v>1499.05</v>
      </c>
      <c r="CF493" s="163">
        <v>762.1</v>
      </c>
      <c r="CG493" s="163">
        <v>7709.32</v>
      </c>
      <c r="CH493" s="163">
        <v>11592.63</v>
      </c>
      <c r="CI493" s="163">
        <v>2739.37</v>
      </c>
      <c r="CJ493" s="163">
        <v>7994.63</v>
      </c>
      <c r="CK493" s="163">
        <v>10335.85</v>
      </c>
      <c r="CL493" s="163">
        <v>8225.98</v>
      </c>
      <c r="CM493" s="163">
        <v>21592.63</v>
      </c>
      <c r="CN493" s="163">
        <v>-5847.4</v>
      </c>
      <c r="CO493" s="163">
        <v>4174.8599999999997</v>
      </c>
      <c r="CP493" s="163">
        <v>5127.4399999999996</v>
      </c>
      <c r="CQ493" s="163">
        <v>1144.6099999999999</v>
      </c>
      <c r="CR493" s="163">
        <v>3633.37</v>
      </c>
      <c r="CS493" s="163">
        <v>3718.68</v>
      </c>
      <c r="CT493" s="163">
        <v>2406.3000000000002</v>
      </c>
      <c r="CU493" s="163">
        <v>11981.19</v>
      </c>
      <c r="CV493" s="163">
        <v>11253.77</v>
      </c>
      <c r="CW493" s="163">
        <v>2654.36</v>
      </c>
      <c r="CX493" s="163">
        <v>745.44</v>
      </c>
      <c r="CY493" s="163">
        <v>10964.87</v>
      </c>
      <c r="CZ493" s="163">
        <v>8569.8700000000008</v>
      </c>
      <c r="DA493" s="163">
        <v>2495.61</v>
      </c>
      <c r="DB493" s="163">
        <v>9047.19</v>
      </c>
      <c r="DC493" s="163">
        <v>12656.51</v>
      </c>
      <c r="DD493" s="163">
        <v>6282.65</v>
      </c>
      <c r="DE493" s="163">
        <f>VLOOKUP($A493,'[2]Analysis 1'!$A$5:$DG$1025,109,FALSE)</f>
        <v>4975.0200000000004</v>
      </c>
      <c r="DF493" s="163">
        <f>VLOOKUP($A493,'[2]Analysis 1'!$A$5:$DG$1025,110,FALSE)</f>
        <v>11418.3</v>
      </c>
      <c r="DG493" s="163">
        <f>VLOOKUP($A493,'[2]Analysis 1'!$A$5:$DG$1025,111,FALSE)</f>
        <v>14657.45</v>
      </c>
      <c r="DH493" s="369">
        <f t="shared" si="20"/>
        <v>95721.040000000008</v>
      </c>
    </row>
    <row r="494" spans="1:112">
      <c r="A494" s="335" t="s">
        <v>1334</v>
      </c>
      <c r="D494" s="369">
        <v>87895.29</v>
      </c>
      <c r="E494" s="369">
        <v>106317.72</v>
      </c>
      <c r="F494" s="369">
        <v>113516.07</v>
      </c>
      <c r="G494" s="369">
        <v>84308.62</v>
      </c>
      <c r="H494" s="369">
        <v>117838.9</v>
      </c>
      <c r="I494" s="369">
        <v>93569.919999999998</v>
      </c>
      <c r="J494" s="369">
        <v>110031.88</v>
      </c>
      <c r="K494" s="369">
        <v>108083.93</v>
      </c>
      <c r="L494" s="369">
        <v>107259.18</v>
      </c>
      <c r="M494" s="369">
        <v>87976.42</v>
      </c>
      <c r="N494" s="369">
        <v>85814.080000000002</v>
      </c>
      <c r="O494" s="369">
        <v>101337.65</v>
      </c>
      <c r="P494" s="48">
        <v>94610.35</v>
      </c>
      <c r="Q494" s="48">
        <v>90051.27</v>
      </c>
      <c r="R494" s="48">
        <v>88766.77</v>
      </c>
      <c r="S494" s="48">
        <v>77446.960000000006</v>
      </c>
      <c r="T494" s="48">
        <v>97816.16</v>
      </c>
      <c r="U494" s="48">
        <v>89504.35</v>
      </c>
      <c r="V494" s="48">
        <v>106743.38</v>
      </c>
      <c r="W494" s="48">
        <v>82179.44</v>
      </c>
      <c r="X494" s="48">
        <v>98336.51</v>
      </c>
      <c r="Y494" s="48">
        <v>102100.61</v>
      </c>
      <c r="Z494" s="48">
        <v>86740.86</v>
      </c>
      <c r="AA494" s="48">
        <v>90980.63</v>
      </c>
      <c r="AB494" s="48">
        <v>97396.71</v>
      </c>
      <c r="AC494" s="48">
        <v>92335.34</v>
      </c>
      <c r="AD494" s="48">
        <v>95834.97</v>
      </c>
      <c r="AE494" s="163">
        <v>85137.42</v>
      </c>
      <c r="AF494" s="163">
        <v>76429.11</v>
      </c>
      <c r="AG494" s="163">
        <v>132820.20000000001</v>
      </c>
      <c r="AH494" s="163">
        <v>97079.75</v>
      </c>
      <c r="AI494" s="163">
        <v>110866.58</v>
      </c>
      <c r="AJ494" s="163">
        <v>105939.25</v>
      </c>
      <c r="AK494" s="163">
        <v>95987.47</v>
      </c>
      <c r="AL494" s="163">
        <v>109029.36</v>
      </c>
      <c r="AM494" s="163">
        <v>109775.35</v>
      </c>
      <c r="AN494" s="163">
        <v>101119.29</v>
      </c>
      <c r="AO494" s="163">
        <v>116471.45</v>
      </c>
      <c r="AP494" s="163">
        <v>118144.85</v>
      </c>
      <c r="AQ494" s="163">
        <v>92473.51</v>
      </c>
      <c r="AR494" s="163">
        <v>87638.43</v>
      </c>
      <c r="AS494" s="163">
        <v>117477.03</v>
      </c>
      <c r="AT494" s="163">
        <v>100359.83</v>
      </c>
      <c r="AU494" s="163">
        <v>127148.43</v>
      </c>
      <c r="AV494" s="163">
        <v>106242.86</v>
      </c>
      <c r="AW494" s="163">
        <v>108795.57</v>
      </c>
      <c r="AX494" s="163">
        <v>104994.05</v>
      </c>
      <c r="AY494" s="163">
        <v>95940.479999999996</v>
      </c>
      <c r="AZ494" s="163">
        <v>98149.03</v>
      </c>
      <c r="BA494" s="163">
        <v>98503.32</v>
      </c>
      <c r="BB494" s="163">
        <v>85238.26</v>
      </c>
      <c r="BC494" s="163">
        <v>96884.79</v>
      </c>
      <c r="BD494" s="163">
        <v>92122.76</v>
      </c>
      <c r="BE494" s="163">
        <v>69201.58</v>
      </c>
      <c r="BF494" s="163">
        <v>73210.95</v>
      </c>
      <c r="BG494" s="163">
        <v>121077.79</v>
      </c>
      <c r="BH494" s="163">
        <v>98809.38</v>
      </c>
      <c r="BI494" s="163">
        <v>90501.34</v>
      </c>
      <c r="BJ494" s="163">
        <v>83916.78</v>
      </c>
      <c r="BK494" s="163">
        <v>90102.71</v>
      </c>
      <c r="BL494" s="163">
        <v>81901.570000000007</v>
      </c>
      <c r="BM494" s="163">
        <v>93429.74</v>
      </c>
      <c r="BN494" s="163">
        <v>83864.850000000006</v>
      </c>
      <c r="BO494" s="163">
        <v>97481.63</v>
      </c>
      <c r="BP494" s="163">
        <v>85505.22</v>
      </c>
      <c r="BQ494" s="163">
        <v>103177.16</v>
      </c>
      <c r="BR494" s="163">
        <v>86471.87</v>
      </c>
      <c r="BS494" s="163">
        <v>92417.87</v>
      </c>
      <c r="BT494" s="163">
        <v>115851.95</v>
      </c>
      <c r="BU494" s="163">
        <v>118771.36</v>
      </c>
      <c r="BV494" s="163">
        <v>99036.06</v>
      </c>
      <c r="BW494" s="163">
        <v>135458.60999999999</v>
      </c>
      <c r="BX494" s="163">
        <v>132367.16</v>
      </c>
      <c r="BY494" s="163">
        <v>120012.5</v>
      </c>
      <c r="BZ494" s="163">
        <v>101124.44</v>
      </c>
      <c r="CA494" s="163">
        <v>132248.82</v>
      </c>
      <c r="CB494" s="163">
        <v>23187.7</v>
      </c>
      <c r="CC494" s="163">
        <v>116151.47</v>
      </c>
      <c r="CD494" s="163">
        <v>137012.43</v>
      </c>
      <c r="CE494" s="163">
        <v>90913.61</v>
      </c>
      <c r="CF494" s="163">
        <v>123981.43</v>
      </c>
      <c r="CG494" s="163">
        <v>131807.85999999999</v>
      </c>
      <c r="CH494" s="163">
        <v>74887.509999999995</v>
      </c>
      <c r="CI494" s="163">
        <v>10811.69</v>
      </c>
      <c r="CJ494" s="163">
        <v>94550.58</v>
      </c>
      <c r="CK494" s="163">
        <v>78540.55</v>
      </c>
      <c r="CL494" s="163">
        <v>91286.26</v>
      </c>
      <c r="CM494" s="163">
        <v>120439.41</v>
      </c>
      <c r="CN494" s="163">
        <v>104898.73</v>
      </c>
      <c r="CO494" s="163">
        <v>87518.89</v>
      </c>
      <c r="CP494" s="163">
        <v>94239.34</v>
      </c>
      <c r="CQ494" s="163">
        <v>144431.34</v>
      </c>
      <c r="CR494" s="163">
        <v>101694.44</v>
      </c>
      <c r="CS494" s="163">
        <v>105523.38</v>
      </c>
      <c r="CT494" s="163">
        <v>118172.21</v>
      </c>
      <c r="CU494" s="163">
        <v>91230.29</v>
      </c>
      <c r="CV494" s="163">
        <v>124150.56</v>
      </c>
      <c r="CW494" s="163">
        <v>96916.91</v>
      </c>
      <c r="CX494" s="163">
        <v>113770.82</v>
      </c>
      <c r="CY494" s="163">
        <v>139369.88</v>
      </c>
      <c r="CZ494" s="163">
        <v>142943.24</v>
      </c>
      <c r="DA494" s="163">
        <v>110607.85</v>
      </c>
      <c r="DB494" s="163">
        <v>116534.34</v>
      </c>
      <c r="DC494" s="163">
        <v>131713.25</v>
      </c>
      <c r="DD494" s="163">
        <v>97496.41</v>
      </c>
      <c r="DE494" s="163">
        <f>VLOOKUP($A494,'[2]Analysis 1'!$A$5:$DG$1025,109,FALSE)</f>
        <v>125913.41</v>
      </c>
      <c r="DF494" s="163">
        <f>VLOOKUP($A494,'[2]Analysis 1'!$A$5:$DG$1025,110,FALSE)</f>
        <v>99876.38</v>
      </c>
      <c r="DG494" s="163">
        <f>VLOOKUP($A494,'[2]Analysis 1'!$A$5:$DG$1025,111,FALSE)</f>
        <v>85060.34</v>
      </c>
      <c r="DH494" s="369">
        <f t="shared" si="20"/>
        <v>1384353.39</v>
      </c>
    </row>
    <row r="495" spans="1:112">
      <c r="A495" s="335" t="s">
        <v>1335</v>
      </c>
      <c r="D495" s="369">
        <v>564102.52</v>
      </c>
      <c r="E495" s="369">
        <v>495819.48</v>
      </c>
      <c r="F495" s="369">
        <v>544679.94999999995</v>
      </c>
      <c r="G495" s="369">
        <v>531836.18000000005</v>
      </c>
      <c r="H495" s="369">
        <v>548316.36</v>
      </c>
      <c r="I495" s="369">
        <v>489683.59</v>
      </c>
      <c r="J495" s="369">
        <v>592653.68999999994</v>
      </c>
      <c r="K495" s="369">
        <v>606590.66</v>
      </c>
      <c r="L495" s="369">
        <v>443609.99</v>
      </c>
      <c r="M495" s="369">
        <v>500348.45</v>
      </c>
      <c r="N495" s="369">
        <v>464232.39</v>
      </c>
      <c r="O495" s="369">
        <v>582793.32999999996</v>
      </c>
      <c r="P495" s="48">
        <v>411291.22</v>
      </c>
      <c r="Q495" s="48">
        <v>398955.11</v>
      </c>
      <c r="R495" s="48">
        <v>422449.06</v>
      </c>
      <c r="S495" s="48">
        <v>388151.03999999998</v>
      </c>
      <c r="T495" s="48">
        <v>342736.99</v>
      </c>
      <c r="U495" s="48">
        <v>475077.07</v>
      </c>
      <c r="V495" s="48">
        <v>422207.11</v>
      </c>
      <c r="W495" s="48">
        <v>369243.72</v>
      </c>
      <c r="X495" s="48">
        <v>401585.36</v>
      </c>
      <c r="Y495" s="48">
        <v>420753.38</v>
      </c>
      <c r="Z495" s="48">
        <v>455828.46</v>
      </c>
      <c r="AA495" s="48">
        <v>1777047.25</v>
      </c>
      <c r="AB495" s="48">
        <v>490761.56</v>
      </c>
      <c r="AC495" s="48">
        <v>507410.46</v>
      </c>
      <c r="AD495" s="48">
        <v>511550.24</v>
      </c>
      <c r="AE495" s="163">
        <v>590741.73</v>
      </c>
      <c r="AF495" s="163">
        <v>520688.91</v>
      </c>
      <c r="AG495" s="163">
        <v>482930.58</v>
      </c>
      <c r="AH495" s="163">
        <v>447838.78</v>
      </c>
      <c r="AI495" s="163">
        <v>644704.92000000004</v>
      </c>
      <c r="AJ495" s="163">
        <v>611801.38</v>
      </c>
      <c r="AK495" s="163">
        <v>504569.1</v>
      </c>
      <c r="AL495" s="163">
        <v>523146.89</v>
      </c>
      <c r="AM495" s="163">
        <v>1332151.51</v>
      </c>
      <c r="AN495" s="163">
        <v>882622.22</v>
      </c>
      <c r="AO495" s="163">
        <v>952412.83</v>
      </c>
      <c r="AP495" s="163">
        <v>770157.86</v>
      </c>
      <c r="AQ495" s="163">
        <v>1005588.32</v>
      </c>
      <c r="AR495" s="163">
        <v>935816.62</v>
      </c>
      <c r="AS495" s="163">
        <v>1051170.25</v>
      </c>
      <c r="AT495" s="163">
        <v>935673.23</v>
      </c>
      <c r="AU495" s="163">
        <v>979524.96</v>
      </c>
      <c r="AV495" s="163">
        <v>808888.38</v>
      </c>
      <c r="AW495" s="163">
        <v>1020002.39</v>
      </c>
      <c r="AX495" s="163">
        <v>990150.1</v>
      </c>
      <c r="AY495" s="163">
        <v>1025996.19</v>
      </c>
      <c r="AZ495" s="163">
        <v>988372.14</v>
      </c>
      <c r="BA495" s="163">
        <v>893929.76</v>
      </c>
      <c r="BB495" s="163">
        <v>968266.86</v>
      </c>
      <c r="BC495" s="163">
        <v>893322.41</v>
      </c>
      <c r="BD495" s="163">
        <v>1030658.65</v>
      </c>
      <c r="BE495" s="163">
        <v>1006257.68</v>
      </c>
      <c r="BF495" s="163">
        <v>1030459.41</v>
      </c>
      <c r="BG495" s="163">
        <v>776790.88</v>
      </c>
      <c r="BH495" s="163">
        <v>902888.95999999996</v>
      </c>
      <c r="BI495" s="163">
        <v>1124983.07</v>
      </c>
      <c r="BJ495" s="163">
        <v>857699.15</v>
      </c>
      <c r="BK495" s="163">
        <v>940794.03</v>
      </c>
      <c r="BL495" s="163">
        <v>987294.39</v>
      </c>
      <c r="BM495" s="163">
        <v>1045801.78</v>
      </c>
      <c r="BN495" s="163">
        <v>985859.72</v>
      </c>
      <c r="BO495" s="163">
        <v>944318.09</v>
      </c>
      <c r="BP495" s="163">
        <v>1207035.28</v>
      </c>
      <c r="BQ495" s="163">
        <v>945466.74</v>
      </c>
      <c r="BR495" s="163">
        <v>970605.12</v>
      </c>
      <c r="BS495" s="163">
        <v>1100377.1499999999</v>
      </c>
      <c r="BT495" s="163">
        <v>970700.99</v>
      </c>
      <c r="BU495" s="163">
        <v>1003060.34</v>
      </c>
      <c r="BV495" s="163">
        <v>970778.8</v>
      </c>
      <c r="BW495" s="163">
        <v>1069188.8400000001</v>
      </c>
      <c r="BX495" s="163">
        <v>842038.04</v>
      </c>
      <c r="BY495" s="163">
        <v>978980.36</v>
      </c>
      <c r="BZ495" s="163">
        <v>1025093.17</v>
      </c>
      <c r="CA495" s="163">
        <v>1000004.97</v>
      </c>
      <c r="CB495" s="163">
        <v>1070301.79</v>
      </c>
      <c r="CC495" s="163">
        <v>878785.97</v>
      </c>
      <c r="CD495" s="163">
        <v>1046274.75</v>
      </c>
      <c r="CE495" s="163">
        <v>906402.73</v>
      </c>
      <c r="CF495" s="163">
        <v>944993.37</v>
      </c>
      <c r="CG495" s="163">
        <v>999650.66</v>
      </c>
      <c r="CH495" s="163">
        <v>1017438.64</v>
      </c>
      <c r="CI495" s="163">
        <v>1019241.79</v>
      </c>
      <c r="CJ495" s="163">
        <v>1036375.83</v>
      </c>
      <c r="CK495" s="163">
        <v>1043327.3</v>
      </c>
      <c r="CL495" s="163">
        <v>1040088.55</v>
      </c>
      <c r="CM495" s="163">
        <v>1017148.63</v>
      </c>
      <c r="CN495" s="163">
        <v>1012265.39</v>
      </c>
      <c r="CO495" s="163">
        <v>1243630.8899999999</v>
      </c>
      <c r="CP495" s="163">
        <v>999711.12</v>
      </c>
      <c r="CQ495" s="163">
        <v>983626.12</v>
      </c>
      <c r="CR495" s="163">
        <v>940274.05</v>
      </c>
      <c r="CS495" s="163">
        <v>976548.38</v>
      </c>
      <c r="CT495" s="163">
        <v>1214697.6100000001</v>
      </c>
      <c r="CU495" s="163">
        <v>1182009.3899999999</v>
      </c>
      <c r="CV495" s="163">
        <v>1085007.32</v>
      </c>
      <c r="CW495" s="163">
        <v>1010256.2</v>
      </c>
      <c r="CX495" s="163">
        <v>1155492.28</v>
      </c>
      <c r="CY495" s="163">
        <v>1213928.19</v>
      </c>
      <c r="CZ495" s="163">
        <v>1141607.8</v>
      </c>
      <c r="DA495" s="163">
        <v>1091262.44</v>
      </c>
      <c r="DB495" s="163">
        <v>1068383.19</v>
      </c>
      <c r="DC495" s="163">
        <v>1197223.93</v>
      </c>
      <c r="DD495" s="163">
        <v>1105070.3400000001</v>
      </c>
      <c r="DE495" s="163">
        <f>VLOOKUP($A495,'[2]Analysis 1'!$A$5:$DG$1025,109,FALSE)</f>
        <v>1077169.23</v>
      </c>
      <c r="DF495" s="163">
        <f>VLOOKUP($A495,'[2]Analysis 1'!$A$5:$DG$1025,110,FALSE)</f>
        <v>1020831.11</v>
      </c>
      <c r="DG495" s="163">
        <f>VLOOKUP($A495,'[2]Analysis 1'!$A$5:$DG$1025,111,FALSE)</f>
        <v>1025691.37</v>
      </c>
      <c r="DH495" s="369">
        <f t="shared" si="20"/>
        <v>13191923.399999999</v>
      </c>
    </row>
    <row r="496" spans="1:112">
      <c r="A496" s="335" t="s">
        <v>1336</v>
      </c>
      <c r="D496" s="369">
        <v>97804.19</v>
      </c>
      <c r="E496" s="369">
        <v>82692.84</v>
      </c>
      <c r="F496" s="369">
        <v>70286.490000000005</v>
      </c>
      <c r="G496" s="369">
        <v>65725.16</v>
      </c>
      <c r="H496" s="369">
        <v>54158.16</v>
      </c>
      <c r="I496" s="369">
        <v>53695.25</v>
      </c>
      <c r="J496" s="369">
        <v>52342.2</v>
      </c>
      <c r="K496" s="369">
        <v>51660.88</v>
      </c>
      <c r="L496" s="369">
        <v>70514.58</v>
      </c>
      <c r="M496" s="369">
        <v>59189.55</v>
      </c>
      <c r="N496" s="369">
        <v>65188.66</v>
      </c>
      <c r="O496" s="369">
        <v>85258.13</v>
      </c>
      <c r="P496" s="48">
        <v>93028.45</v>
      </c>
      <c r="Q496" s="48">
        <v>107974.73</v>
      </c>
      <c r="R496" s="48">
        <v>83578.3</v>
      </c>
      <c r="S496" s="48">
        <v>68383.14</v>
      </c>
      <c r="T496" s="48">
        <v>60045.99</v>
      </c>
      <c r="U496" s="48">
        <v>62134.94</v>
      </c>
      <c r="V496" s="48">
        <v>58948.7</v>
      </c>
      <c r="W496" s="48">
        <v>56115.31</v>
      </c>
      <c r="X496" s="48">
        <v>51768.56</v>
      </c>
      <c r="Y496" s="48">
        <v>51341.64</v>
      </c>
      <c r="Z496" s="48">
        <v>53788.18</v>
      </c>
      <c r="AA496" s="48">
        <v>59504.91</v>
      </c>
      <c r="AB496" s="48">
        <v>74274.12</v>
      </c>
      <c r="AC496" s="48">
        <v>78933.679999999993</v>
      </c>
      <c r="AD496" s="48">
        <v>62765.72</v>
      </c>
      <c r="AE496" s="163">
        <v>54382.35</v>
      </c>
      <c r="AF496" s="163">
        <v>46770.37</v>
      </c>
      <c r="AG496" s="163">
        <v>45252.35</v>
      </c>
      <c r="AH496" s="163">
        <v>44995.9</v>
      </c>
      <c r="AI496" s="163">
        <v>45495.18</v>
      </c>
      <c r="AJ496" s="163">
        <v>49920.85</v>
      </c>
      <c r="AK496" s="163">
        <v>50283.05</v>
      </c>
      <c r="AL496" s="163">
        <v>57802.77</v>
      </c>
      <c r="AM496" s="163">
        <v>-682282.52</v>
      </c>
      <c r="AN496" s="163">
        <v>76995.02</v>
      </c>
      <c r="AO496" s="163">
        <v>54207.81</v>
      </c>
      <c r="AP496" s="163">
        <v>145179.68</v>
      </c>
      <c r="AQ496" s="163">
        <v>165397.71</v>
      </c>
      <c r="AR496" s="163">
        <v>46453.84</v>
      </c>
      <c r="AS496" s="163">
        <v>68074.42</v>
      </c>
      <c r="AT496" s="163">
        <v>154655.26</v>
      </c>
      <c r="AU496" s="163">
        <v>195006.49</v>
      </c>
      <c r="AV496" s="163">
        <v>289967.14</v>
      </c>
      <c r="AW496" s="163">
        <v>240698.39</v>
      </c>
      <c r="AX496" s="163">
        <v>112863.83</v>
      </c>
      <c r="AY496" s="163">
        <v>58467.89</v>
      </c>
      <c r="AZ496" s="163">
        <v>168961.33</v>
      </c>
      <c r="BA496" s="163">
        <v>-38525.449999999997</v>
      </c>
      <c r="BB496" s="163">
        <v>43301.16</v>
      </c>
      <c r="BC496" s="163">
        <v>143130.59</v>
      </c>
      <c r="BD496" s="163">
        <v>143320.99</v>
      </c>
      <c r="BE496" s="163">
        <v>90887.9</v>
      </c>
      <c r="BF496" s="163">
        <v>145585.75</v>
      </c>
      <c r="BG496" s="163">
        <v>126038.48</v>
      </c>
      <c r="BH496" s="163">
        <v>107666.72</v>
      </c>
      <c r="BI496" s="163">
        <v>116781.94</v>
      </c>
      <c r="BJ496" s="163">
        <v>134630.57</v>
      </c>
      <c r="BK496" s="163">
        <v>247068.93</v>
      </c>
      <c r="BL496" s="163">
        <v>138773.31</v>
      </c>
      <c r="BM496" s="163">
        <v>81454.31</v>
      </c>
      <c r="BN496" s="163">
        <v>159889.56</v>
      </c>
      <c r="BO496" s="163">
        <v>233621</v>
      </c>
      <c r="BP496" s="163">
        <v>86929.16</v>
      </c>
      <c r="BQ496" s="163">
        <v>63624.33</v>
      </c>
      <c r="BR496" s="163">
        <v>75912.66</v>
      </c>
      <c r="BS496" s="163">
        <v>75049.919999999998</v>
      </c>
      <c r="BT496" s="163">
        <v>110212.54</v>
      </c>
      <c r="BU496" s="163">
        <v>69666.13</v>
      </c>
      <c r="BV496" s="163">
        <v>82098.64</v>
      </c>
      <c r="BW496" s="163">
        <v>86964.55</v>
      </c>
      <c r="BX496" s="163">
        <v>123636.72</v>
      </c>
      <c r="BY496" s="163">
        <v>7329.83</v>
      </c>
      <c r="BZ496" s="163">
        <v>176173.92</v>
      </c>
      <c r="CA496" s="163">
        <v>224333.44</v>
      </c>
      <c r="CB496" s="163">
        <v>232939.77</v>
      </c>
      <c r="CC496" s="163">
        <v>265926.84999999998</v>
      </c>
      <c r="CD496" s="163">
        <v>203420.81</v>
      </c>
      <c r="CE496" s="163">
        <v>-322058.40000000002</v>
      </c>
      <c r="CF496" s="163">
        <v>169282.07</v>
      </c>
      <c r="CG496" s="163">
        <v>893944.83</v>
      </c>
      <c r="CH496" s="163">
        <v>204824.7</v>
      </c>
      <c r="CI496" s="163">
        <v>-313308.84000000003</v>
      </c>
      <c r="CJ496" s="163">
        <v>282197.19</v>
      </c>
      <c r="CK496" s="163">
        <v>218948.86</v>
      </c>
      <c r="CL496" s="163">
        <v>-291477.07</v>
      </c>
      <c r="CM496" s="163">
        <v>211401.44</v>
      </c>
      <c r="CN496" s="163">
        <v>178845.64</v>
      </c>
      <c r="CO496" s="163">
        <v>128740.2</v>
      </c>
      <c r="CP496" s="163">
        <v>172822.22</v>
      </c>
      <c r="CQ496" s="163">
        <v>163962.43</v>
      </c>
      <c r="CR496" s="163">
        <v>148518.26</v>
      </c>
      <c r="CS496" s="163">
        <v>191030.26</v>
      </c>
      <c r="CT496" s="163">
        <v>45370.22</v>
      </c>
      <c r="CU496" s="163">
        <v>122363.13</v>
      </c>
      <c r="CV496" s="163">
        <v>142723.4</v>
      </c>
      <c r="CW496" s="163">
        <v>32303.99</v>
      </c>
      <c r="CX496" s="163">
        <v>104964.45</v>
      </c>
      <c r="CY496" s="163">
        <v>2052.12</v>
      </c>
      <c r="CZ496" s="163">
        <v>124809.87</v>
      </c>
      <c r="DA496" s="163">
        <v>168268.32</v>
      </c>
      <c r="DB496" s="163">
        <v>115013.96</v>
      </c>
      <c r="DC496" s="163">
        <v>209525.8</v>
      </c>
      <c r="DD496" s="163">
        <v>110156.43</v>
      </c>
      <c r="DE496" s="163">
        <f>VLOOKUP($A496,'[2]Analysis 1'!$A$5:$DG$1025,109,FALSE)</f>
        <v>108616.66</v>
      </c>
      <c r="DF496" s="163">
        <f>VLOOKUP($A496,'[2]Analysis 1'!$A$5:$DG$1025,110,FALSE)</f>
        <v>36241.58</v>
      </c>
      <c r="DG496" s="163">
        <f>VLOOKUP($A496,'[2]Analysis 1'!$A$5:$DG$1025,111,FALSE)</f>
        <v>-163884.82999999999</v>
      </c>
      <c r="DH496" s="369">
        <f t="shared" si="20"/>
        <v>990791.74999999988</v>
      </c>
    </row>
    <row r="497" spans="1:112">
      <c r="A497" s="335" t="s">
        <v>1337</v>
      </c>
      <c r="D497" s="369">
        <v>979889.82</v>
      </c>
      <c r="E497" s="369">
        <v>689721.67</v>
      </c>
      <c r="F497" s="369">
        <v>685075.35</v>
      </c>
      <c r="G497" s="369">
        <v>786390.8</v>
      </c>
      <c r="H497" s="369">
        <v>719214.5</v>
      </c>
      <c r="I497" s="369">
        <v>774677.95</v>
      </c>
      <c r="J497" s="369">
        <v>1179321.8500000001</v>
      </c>
      <c r="K497" s="369">
        <v>758587.99</v>
      </c>
      <c r="L497" s="369">
        <v>948777.18</v>
      </c>
      <c r="M497" s="369">
        <v>902144.24</v>
      </c>
      <c r="N497" s="369">
        <v>857173.84</v>
      </c>
      <c r="O497" s="369">
        <v>698261.84</v>
      </c>
      <c r="P497" s="48">
        <v>1259913.53</v>
      </c>
      <c r="Q497" s="48">
        <v>824310.27</v>
      </c>
      <c r="R497" s="48">
        <v>1016935.54</v>
      </c>
      <c r="S497" s="48">
        <v>771359.12</v>
      </c>
      <c r="T497" s="48">
        <v>1023767.49</v>
      </c>
      <c r="U497" s="48">
        <v>888991.91</v>
      </c>
      <c r="V497" s="48">
        <v>888769.33</v>
      </c>
      <c r="W497" s="48">
        <v>910290.32</v>
      </c>
      <c r="X497" s="48">
        <v>886279.68000000005</v>
      </c>
      <c r="Y497" s="48">
        <v>1119872.03</v>
      </c>
      <c r="Z497" s="48">
        <v>847945.39</v>
      </c>
      <c r="AA497" s="48">
        <v>775580.44</v>
      </c>
      <c r="AB497" s="48">
        <v>987682.01</v>
      </c>
      <c r="AC497" s="48">
        <v>911257.27</v>
      </c>
      <c r="AD497" s="48">
        <v>954468.4</v>
      </c>
      <c r="AE497" s="163">
        <v>830054.02</v>
      </c>
      <c r="AF497" s="163">
        <v>1113469.03</v>
      </c>
      <c r="AG497" s="163">
        <v>1092779.42</v>
      </c>
      <c r="AH497" s="163">
        <v>970740.7</v>
      </c>
      <c r="AI497" s="163">
        <v>1119985.77</v>
      </c>
      <c r="AJ497" s="163">
        <v>821350.73</v>
      </c>
      <c r="AK497" s="163">
        <v>1137381.32</v>
      </c>
      <c r="AL497" s="163">
        <v>830814.05</v>
      </c>
      <c r="AM497" s="163">
        <v>1456647.51</v>
      </c>
      <c r="AN497" s="163">
        <v>346891.99</v>
      </c>
      <c r="AO497" s="163">
        <v>634285.49</v>
      </c>
      <c r="AP497" s="163">
        <v>874689.58</v>
      </c>
      <c r="AQ497" s="163">
        <v>851297.21</v>
      </c>
      <c r="AR497" s="163">
        <v>1353653.4</v>
      </c>
      <c r="AS497" s="163">
        <v>1431345.82</v>
      </c>
      <c r="AT497" s="163">
        <v>1403693.14</v>
      </c>
      <c r="AU497" s="163">
        <v>1592701.57</v>
      </c>
      <c r="AV497" s="163">
        <v>1267586.3999999999</v>
      </c>
      <c r="AW497" s="163">
        <v>1568137.8</v>
      </c>
      <c r="AX497" s="163">
        <v>1125735.6299999999</v>
      </c>
      <c r="AY497" s="163">
        <v>963681.4</v>
      </c>
      <c r="AZ497" s="163">
        <v>1279446.1000000001</v>
      </c>
      <c r="BA497" s="163">
        <v>1562693.04</v>
      </c>
      <c r="BB497" s="163">
        <v>1744607.14</v>
      </c>
      <c r="BC497" s="163">
        <v>2593722.4300000002</v>
      </c>
      <c r="BD497" s="163">
        <v>998823.23</v>
      </c>
      <c r="BE497" s="163">
        <v>1023143.05</v>
      </c>
      <c r="BF497" s="163">
        <v>1976514.55</v>
      </c>
      <c r="BG497" s="163">
        <v>1390967.56</v>
      </c>
      <c r="BH497" s="163">
        <v>891641.1</v>
      </c>
      <c r="BI497" s="163">
        <v>1686545.01</v>
      </c>
      <c r="BJ497" s="163">
        <v>985064.18</v>
      </c>
      <c r="BK497" s="163">
        <v>1298484.99</v>
      </c>
      <c r="BL497" s="163">
        <v>1640927.34</v>
      </c>
      <c r="BM497" s="163">
        <v>783425.63</v>
      </c>
      <c r="BN497" s="163">
        <v>1033853.11</v>
      </c>
      <c r="BO497" s="163">
        <v>1190321.1000000001</v>
      </c>
      <c r="BP497" s="163">
        <v>984202.04</v>
      </c>
      <c r="BQ497" s="163">
        <v>1763188.4</v>
      </c>
      <c r="BR497" s="163">
        <v>2027281.84</v>
      </c>
      <c r="BS497" s="163">
        <v>1353335.75</v>
      </c>
      <c r="BT497" s="163">
        <v>936932.08</v>
      </c>
      <c r="BU497" s="163">
        <v>1254654.1599999999</v>
      </c>
      <c r="BV497" s="163">
        <v>1270179.72</v>
      </c>
      <c r="BW497" s="163">
        <v>1429431.11</v>
      </c>
      <c r="BX497" s="163">
        <v>1489567.51</v>
      </c>
      <c r="BY497" s="163">
        <v>1127245.3600000001</v>
      </c>
      <c r="BZ497" s="163">
        <v>1068408.21</v>
      </c>
      <c r="CA497" s="163">
        <v>1503072.45</v>
      </c>
      <c r="CB497" s="163">
        <v>1225653.96</v>
      </c>
      <c r="CC497" s="163">
        <v>1375010.92</v>
      </c>
      <c r="CD497" s="163">
        <v>1194803.32</v>
      </c>
      <c r="CE497" s="163">
        <v>1245130.02</v>
      </c>
      <c r="CF497" s="163">
        <v>1624928.97</v>
      </c>
      <c r="CG497" s="163">
        <v>1485533.28</v>
      </c>
      <c r="CH497" s="163">
        <v>1243303.46</v>
      </c>
      <c r="CI497" s="163">
        <v>1355002.13</v>
      </c>
      <c r="CJ497" s="163">
        <v>1275601.9199999999</v>
      </c>
      <c r="CK497" s="163">
        <v>1650524.29</v>
      </c>
      <c r="CL497" s="163">
        <v>1567765.76</v>
      </c>
      <c r="CM497" s="163">
        <v>1358304.88</v>
      </c>
      <c r="CN497" s="163">
        <v>1195782.67</v>
      </c>
      <c r="CO497" s="163">
        <v>1184872.58</v>
      </c>
      <c r="CP497" s="163">
        <v>1341957.6599999999</v>
      </c>
      <c r="CQ497" s="163">
        <v>966870.3</v>
      </c>
      <c r="CR497" s="163">
        <v>1471370.63</v>
      </c>
      <c r="CS497" s="163">
        <v>1454114.59</v>
      </c>
      <c r="CT497" s="163">
        <v>1401498.8</v>
      </c>
      <c r="CU497" s="163">
        <v>1094936.1299999999</v>
      </c>
      <c r="CV497" s="163">
        <v>1720820.37</v>
      </c>
      <c r="CW497" s="163">
        <v>1388188.53</v>
      </c>
      <c r="CX497" s="163">
        <v>2714255.56</v>
      </c>
      <c r="CY497" s="163">
        <v>1397251.76</v>
      </c>
      <c r="CZ497" s="163">
        <v>1109099.25</v>
      </c>
      <c r="DA497" s="163">
        <v>782763.04</v>
      </c>
      <c r="DB497" s="163">
        <v>2923595.42</v>
      </c>
      <c r="DC497" s="163">
        <v>1690295.99</v>
      </c>
      <c r="DD497" s="163">
        <v>2176679.29</v>
      </c>
      <c r="DE497" s="163">
        <f>VLOOKUP($A497,'[2]Analysis 1'!$A$5:$DG$1025,109,FALSE)</f>
        <v>1824999.65</v>
      </c>
      <c r="DF497" s="163">
        <f>VLOOKUP($A497,'[2]Analysis 1'!$A$5:$DG$1025,110,FALSE)</f>
        <v>1947339.94</v>
      </c>
      <c r="DG497" s="163">
        <f>VLOOKUP($A497,'[2]Analysis 1'!$A$5:$DG$1025,111,FALSE)</f>
        <v>1943347.36</v>
      </c>
      <c r="DH497" s="369">
        <f t="shared" si="20"/>
        <v>21618636.16</v>
      </c>
    </row>
    <row r="498" spans="1:112">
      <c r="A498" s="335" t="s">
        <v>1338</v>
      </c>
      <c r="D498" s="369">
        <v>65209.59</v>
      </c>
      <c r="E498" s="369">
        <v>108689</v>
      </c>
      <c r="F498" s="369">
        <v>35666.65</v>
      </c>
      <c r="G498" s="369">
        <v>41942.410000000003</v>
      </c>
      <c r="H498" s="369">
        <v>120445.41</v>
      </c>
      <c r="I498" s="369">
        <v>55332.5</v>
      </c>
      <c r="J498" s="369">
        <v>180153</v>
      </c>
      <c r="K498" s="369">
        <v>219405.75</v>
      </c>
      <c r="L498" s="369">
        <v>174166.67</v>
      </c>
      <c r="M498" s="369">
        <v>75778.7</v>
      </c>
      <c r="N498" s="369">
        <v>108537.5</v>
      </c>
      <c r="O498" s="369">
        <v>64140</v>
      </c>
      <c r="P498" s="48">
        <v>54419.5</v>
      </c>
      <c r="Q498" s="48">
        <v>85237.5</v>
      </c>
      <c r="R498" s="48">
        <v>90521.01</v>
      </c>
      <c r="S498" s="48">
        <v>25207.01</v>
      </c>
      <c r="T498" s="48">
        <v>51436.01</v>
      </c>
      <c r="U498" s="48">
        <v>74665.759999999995</v>
      </c>
      <c r="V498" s="48">
        <v>69530.759999999995</v>
      </c>
      <c r="W498" s="48">
        <v>250839.66</v>
      </c>
      <c r="X498" s="48">
        <v>121261.01</v>
      </c>
      <c r="Y498" s="48">
        <v>213529.22</v>
      </c>
      <c r="Z498" s="48">
        <v>20438.48</v>
      </c>
      <c r="AA498" s="48">
        <v>62413.98</v>
      </c>
      <c r="AB498" s="48">
        <v>40212.01</v>
      </c>
      <c r="AC498" s="48">
        <v>25254.5</v>
      </c>
      <c r="AD498" s="48">
        <v>96540.53</v>
      </c>
      <c r="AE498" s="163">
        <v>71107.240000000005</v>
      </c>
      <c r="AF498" s="163">
        <v>67899.55</v>
      </c>
      <c r="AG498" s="163">
        <v>64468.59</v>
      </c>
      <c r="AH498" s="163">
        <v>51640.25</v>
      </c>
      <c r="AI498" s="163">
        <v>337702.45</v>
      </c>
      <c r="AJ498" s="163">
        <v>107672.75</v>
      </c>
      <c r="AK498" s="163">
        <v>179625</v>
      </c>
      <c r="AL498" s="163">
        <v>26674.79</v>
      </c>
      <c r="AM498" s="163">
        <v>50288.73</v>
      </c>
      <c r="AN498" s="163">
        <v>39555.839999999997</v>
      </c>
      <c r="AO498" s="163">
        <v>87136.84</v>
      </c>
      <c r="AP498" s="163">
        <v>13657.41</v>
      </c>
      <c r="AQ498" s="163">
        <v>16652.419999999998</v>
      </c>
      <c r="AR498" s="163">
        <v>90903.24</v>
      </c>
      <c r="AS498" s="163">
        <v>71264.899999999994</v>
      </c>
      <c r="AT498" s="163">
        <v>60968.45</v>
      </c>
      <c r="AU498" s="163">
        <v>15055.25</v>
      </c>
      <c r="AV498" s="163">
        <v>2315.25</v>
      </c>
      <c r="AW498" s="163">
        <v>413789.15</v>
      </c>
      <c r="AX498" s="163">
        <v>227309.27</v>
      </c>
      <c r="AY498" s="163">
        <v>86372.25</v>
      </c>
      <c r="AZ498" s="163">
        <v>38404.57</v>
      </c>
      <c r="BA498" s="163">
        <v>3539.34</v>
      </c>
      <c r="BB498" s="163">
        <v>89703.15</v>
      </c>
      <c r="BC498" s="163">
        <v>20708.599999999999</v>
      </c>
      <c r="BD498" s="163">
        <v>20620.98</v>
      </c>
      <c r="BE498" s="163">
        <v>112844</v>
      </c>
      <c r="BF498" s="163">
        <v>185113.37</v>
      </c>
      <c r="BG498" s="163">
        <v>166054.37</v>
      </c>
      <c r="BH498" s="163">
        <v>3100</v>
      </c>
      <c r="BI498" s="163">
        <v>387929.81</v>
      </c>
      <c r="BJ498" s="163">
        <v>41400</v>
      </c>
      <c r="BK498" s="163">
        <v>74256</v>
      </c>
      <c r="BL498" s="163">
        <v>41900</v>
      </c>
      <c r="BM498" s="163">
        <v>0</v>
      </c>
      <c r="BN498" s="163">
        <v>25745</v>
      </c>
      <c r="BO498" s="163">
        <v>172505</v>
      </c>
      <c r="BP498" s="163">
        <v>76822.37</v>
      </c>
      <c r="BQ498" s="163">
        <v>9160</v>
      </c>
      <c r="BR498" s="163">
        <v>97202.5</v>
      </c>
      <c r="BS498" s="163">
        <v>9222.5</v>
      </c>
      <c r="BT498" s="163">
        <v>18535</v>
      </c>
      <c r="BU498" s="163">
        <v>346285</v>
      </c>
      <c r="BV498" s="163">
        <v>130676.2</v>
      </c>
      <c r="BW498" s="163">
        <v>23550.6</v>
      </c>
      <c r="BX498" s="163">
        <v>144000</v>
      </c>
      <c r="BY498" s="163">
        <v>25089.51</v>
      </c>
      <c r="BZ498" s="163">
        <v>21738</v>
      </c>
      <c r="CA498" s="163">
        <v>0</v>
      </c>
      <c r="CB498" s="163">
        <v>118581.8</v>
      </c>
      <c r="CC498" s="163">
        <v>1340</v>
      </c>
      <c r="CD498" s="163">
        <v>0</v>
      </c>
      <c r="CE498" s="163">
        <v>161261</v>
      </c>
      <c r="CF498" s="163">
        <v>64375.25</v>
      </c>
      <c r="CG498" s="163">
        <v>395140</v>
      </c>
      <c r="CH498" s="163">
        <v>64000</v>
      </c>
      <c r="CI498" s="163">
        <v>99999</v>
      </c>
      <c r="CJ498" s="163">
        <v>0</v>
      </c>
      <c r="CK498" s="163">
        <v>147963</v>
      </c>
      <c r="CL498" s="163">
        <v>0</v>
      </c>
      <c r="CM498" s="163">
        <v>82237.5</v>
      </c>
      <c r="CN498" s="163">
        <v>87947.03</v>
      </c>
      <c r="CO498" s="163">
        <v>8887.5</v>
      </c>
      <c r="CP498" s="163">
        <v>82377.75</v>
      </c>
      <c r="CQ498" s="163">
        <v>225</v>
      </c>
      <c r="CR498" s="163">
        <v>119106.5</v>
      </c>
      <c r="CS498" s="163">
        <v>0</v>
      </c>
      <c r="CT498" s="163">
        <v>0</v>
      </c>
      <c r="CU498" s="163">
        <v>505527.98</v>
      </c>
      <c r="CV498" s="163">
        <v>-85000</v>
      </c>
      <c r="CW498" s="163">
        <v>33925</v>
      </c>
      <c r="CX498" s="163">
        <v>216240</v>
      </c>
      <c r="CY498" s="163">
        <v>80240</v>
      </c>
      <c r="CZ498" s="163">
        <v>200175</v>
      </c>
      <c r="DA498" s="163">
        <v>6672.28</v>
      </c>
      <c r="DB498" s="163">
        <v>26125</v>
      </c>
      <c r="DC498" s="163">
        <v>109032</v>
      </c>
      <c r="DD498" s="163">
        <v>46606.54</v>
      </c>
      <c r="DE498" s="163">
        <f>VLOOKUP($A498,'[2]Analysis 1'!$A$5:$DG$1025,109,FALSE)</f>
        <v>196800</v>
      </c>
      <c r="DF498" s="163">
        <f>VLOOKUP($A498,'[2]Analysis 1'!$A$5:$DG$1025,110,FALSE)</f>
        <v>164630.38</v>
      </c>
      <c r="DG498" s="163">
        <f>VLOOKUP($A498,'[2]Analysis 1'!$A$5:$DG$1025,111,FALSE)</f>
        <v>210568.72</v>
      </c>
      <c r="DH498" s="369">
        <f t="shared" si="20"/>
        <v>1206014.9200000002</v>
      </c>
    </row>
    <row r="499" spans="1:112">
      <c r="A499" s="335" t="s">
        <v>1339</v>
      </c>
      <c r="D499" s="369">
        <v>594331.44999999995</v>
      </c>
      <c r="E499" s="369">
        <v>739179.26</v>
      </c>
      <c r="F499" s="369">
        <v>639134.80000000005</v>
      </c>
      <c r="G499" s="369">
        <v>614238.48</v>
      </c>
      <c r="H499" s="369">
        <v>627353.81999999995</v>
      </c>
      <c r="I499" s="369">
        <v>577548.05000000005</v>
      </c>
      <c r="J499" s="369">
        <v>576009.07999999996</v>
      </c>
      <c r="K499" s="369">
        <v>590077.78</v>
      </c>
      <c r="L499" s="369">
        <v>598271.72</v>
      </c>
      <c r="M499" s="369">
        <v>576351.25</v>
      </c>
      <c r="N499" s="369">
        <v>576124.24</v>
      </c>
      <c r="O499" s="369">
        <v>828847.16</v>
      </c>
      <c r="P499" s="48">
        <v>608542</v>
      </c>
      <c r="Q499" s="48">
        <v>658167</v>
      </c>
      <c r="R499" s="48">
        <v>585543.88</v>
      </c>
      <c r="S499" s="48">
        <v>658162</v>
      </c>
      <c r="T499" s="48">
        <v>597727</v>
      </c>
      <c r="U499" s="48">
        <v>591017</v>
      </c>
      <c r="V499" s="48">
        <v>599717</v>
      </c>
      <c r="W499" s="48">
        <v>595818.88</v>
      </c>
      <c r="X499" s="48">
        <v>598542</v>
      </c>
      <c r="Y499" s="48">
        <v>588401.88</v>
      </c>
      <c r="Z499" s="48">
        <v>585137.12</v>
      </c>
      <c r="AA499" s="48">
        <v>862804</v>
      </c>
      <c r="AB499" s="48">
        <v>728546</v>
      </c>
      <c r="AC499" s="48">
        <v>607546</v>
      </c>
      <c r="AD499" s="48">
        <v>650613</v>
      </c>
      <c r="AE499" s="163">
        <v>596456</v>
      </c>
      <c r="AF499" s="163">
        <v>598221</v>
      </c>
      <c r="AG499" s="163">
        <v>602681</v>
      </c>
      <c r="AH499" s="163">
        <v>598396</v>
      </c>
      <c r="AI499" s="163">
        <v>599158.59</v>
      </c>
      <c r="AJ499" s="163">
        <v>601918.59</v>
      </c>
      <c r="AK499" s="163">
        <v>615486.07999999996</v>
      </c>
      <c r="AL499" s="163">
        <v>620121.12</v>
      </c>
      <c r="AM499" s="163">
        <v>1008190</v>
      </c>
      <c r="AN499" s="163">
        <v>614616.31999999995</v>
      </c>
      <c r="AO499" s="163">
        <v>599616.5</v>
      </c>
      <c r="AP499" s="163">
        <v>606680</v>
      </c>
      <c r="AQ499" s="163">
        <v>594930</v>
      </c>
      <c r="AR499" s="163">
        <v>597902.11</v>
      </c>
      <c r="AS499" s="163">
        <v>594436.9</v>
      </c>
      <c r="AT499" s="163">
        <v>611253.80000000005</v>
      </c>
      <c r="AU499" s="163">
        <v>599780</v>
      </c>
      <c r="AV499" s="163">
        <v>600157.32999999996</v>
      </c>
      <c r="AW499" s="163">
        <v>610919.98</v>
      </c>
      <c r="AX499" s="163">
        <v>600180</v>
      </c>
      <c r="AY499" s="163">
        <v>928475</v>
      </c>
      <c r="AZ499" s="163">
        <v>650444</v>
      </c>
      <c r="BA499" s="163">
        <v>617491</v>
      </c>
      <c r="BB499" s="163">
        <v>642042.61</v>
      </c>
      <c r="BC499" s="163">
        <v>605299</v>
      </c>
      <c r="BD499" s="163">
        <v>628151</v>
      </c>
      <c r="BE499" s="163">
        <v>670766</v>
      </c>
      <c r="BF499" s="163">
        <v>641579.19999999995</v>
      </c>
      <c r="BG499" s="163">
        <v>604712.43999999994</v>
      </c>
      <c r="BH499" s="163">
        <v>608344.25</v>
      </c>
      <c r="BI499" s="163">
        <v>621207.89</v>
      </c>
      <c r="BJ499" s="163">
        <v>616863.25</v>
      </c>
      <c r="BK499" s="163">
        <v>831952.8</v>
      </c>
      <c r="BL499" s="163">
        <v>670914</v>
      </c>
      <c r="BM499" s="163">
        <v>666709.06999999995</v>
      </c>
      <c r="BN499" s="163">
        <v>624495.54</v>
      </c>
      <c r="BO499" s="163">
        <v>669256.30000000005</v>
      </c>
      <c r="BP499" s="163">
        <v>642588.74</v>
      </c>
      <c r="BQ499" s="163">
        <v>680662.84</v>
      </c>
      <c r="BR499" s="163">
        <v>619447.06000000006</v>
      </c>
      <c r="BS499" s="163">
        <v>593526.98</v>
      </c>
      <c r="BT499" s="163">
        <v>622084.15</v>
      </c>
      <c r="BU499" s="163">
        <v>631293.67000000004</v>
      </c>
      <c r="BV499" s="163">
        <v>624973.9</v>
      </c>
      <c r="BW499" s="163">
        <v>909173.58</v>
      </c>
      <c r="BX499" s="163">
        <v>699024.81</v>
      </c>
      <c r="BY499" s="163">
        <v>696266.91</v>
      </c>
      <c r="BZ499" s="163">
        <v>632870.28</v>
      </c>
      <c r="CA499" s="163">
        <v>638078.12</v>
      </c>
      <c r="CB499" s="163">
        <v>671713.57</v>
      </c>
      <c r="CC499" s="163">
        <v>638748.32999999996</v>
      </c>
      <c r="CD499" s="163">
        <v>628385.73</v>
      </c>
      <c r="CE499" s="163">
        <v>653468</v>
      </c>
      <c r="CF499" s="163">
        <v>634423</v>
      </c>
      <c r="CG499" s="163">
        <v>634593</v>
      </c>
      <c r="CH499" s="163">
        <v>642968</v>
      </c>
      <c r="CI499" s="163">
        <v>914611.32</v>
      </c>
      <c r="CJ499" s="163">
        <v>610545</v>
      </c>
      <c r="CK499" s="163">
        <v>719735.5</v>
      </c>
      <c r="CL499" s="163">
        <v>654340</v>
      </c>
      <c r="CM499" s="163">
        <v>639220</v>
      </c>
      <c r="CN499" s="163">
        <v>612865.53</v>
      </c>
      <c r="CO499" s="163">
        <v>625602.28</v>
      </c>
      <c r="CP499" s="163">
        <v>613145</v>
      </c>
      <c r="CQ499" s="163">
        <v>635090.32999999996</v>
      </c>
      <c r="CR499" s="163">
        <v>622933.43999999994</v>
      </c>
      <c r="CS499" s="163">
        <v>648625.9</v>
      </c>
      <c r="CT499" s="163">
        <v>618784.1</v>
      </c>
      <c r="CU499" s="163">
        <v>834856</v>
      </c>
      <c r="CV499" s="163">
        <v>703966</v>
      </c>
      <c r="CW499" s="163">
        <v>622862.15</v>
      </c>
      <c r="CX499" s="163">
        <v>634961.92000000004</v>
      </c>
      <c r="CY499" s="163">
        <v>628851</v>
      </c>
      <c r="CZ499" s="163">
        <v>677628.96</v>
      </c>
      <c r="DA499" s="163">
        <v>628879.96</v>
      </c>
      <c r="DB499" s="163">
        <v>640714</v>
      </c>
      <c r="DC499" s="163">
        <v>652855.96</v>
      </c>
      <c r="DD499" s="163">
        <v>632221</v>
      </c>
      <c r="DE499" s="163">
        <f>VLOOKUP($A499,'[2]Analysis 1'!$A$5:$DG$1025,109,FALSE)</f>
        <v>624046</v>
      </c>
      <c r="DF499" s="163">
        <f>VLOOKUP($A499,'[2]Analysis 1'!$A$5:$DG$1025,110,FALSE)</f>
        <v>638021</v>
      </c>
      <c r="DG499" s="163">
        <f>VLOOKUP($A499,'[2]Analysis 1'!$A$5:$DG$1025,111,FALSE)</f>
        <v>822594</v>
      </c>
      <c r="DH499" s="369">
        <f t="shared" si="20"/>
        <v>7907601.9500000002</v>
      </c>
    </row>
    <row r="500" spans="1:112">
      <c r="A500" s="335" t="s">
        <v>1340</v>
      </c>
      <c r="D500" s="369">
        <v>12442.85</v>
      </c>
      <c r="E500" s="369">
        <v>174607.88</v>
      </c>
      <c r="F500" s="369">
        <v>81786.75</v>
      </c>
      <c r="G500" s="369">
        <v>8810.24</v>
      </c>
      <c r="H500" s="369">
        <v>-15077.94</v>
      </c>
      <c r="I500" s="369">
        <v>212639.98</v>
      </c>
      <c r="J500" s="369">
        <v>-100753.54</v>
      </c>
      <c r="K500" s="369">
        <v>16021.71</v>
      </c>
      <c r="L500" s="369">
        <v>128879.82</v>
      </c>
      <c r="M500" s="369">
        <v>27948.02</v>
      </c>
      <c r="N500" s="369">
        <v>-80519.05</v>
      </c>
      <c r="O500" s="369">
        <v>12906.13</v>
      </c>
      <c r="P500" s="48">
        <v>12065.53</v>
      </c>
      <c r="Q500" s="48">
        <v>49448.35</v>
      </c>
      <c r="R500" s="48">
        <v>9687.1200000000008</v>
      </c>
      <c r="S500" s="48">
        <v>10063.209999999999</v>
      </c>
      <c r="T500" s="48">
        <v>19702.2</v>
      </c>
      <c r="U500" s="48">
        <v>31988.28</v>
      </c>
      <c r="V500" s="48">
        <v>91955.01</v>
      </c>
      <c r="W500" s="48">
        <v>4174.67</v>
      </c>
      <c r="X500" s="48">
        <v>119643.55</v>
      </c>
      <c r="Y500" s="48">
        <v>81876.41</v>
      </c>
      <c r="Z500" s="48">
        <v>13142.64</v>
      </c>
      <c r="AA500" s="48">
        <v>7573.13</v>
      </c>
      <c r="AB500" s="48">
        <v>3893.49</v>
      </c>
      <c r="AC500" s="48">
        <v>7924.68</v>
      </c>
      <c r="AD500" s="48">
        <v>2728.16</v>
      </c>
      <c r="AE500" s="163">
        <v>53780.14</v>
      </c>
      <c r="AF500" s="163">
        <v>3441.98</v>
      </c>
      <c r="AG500" s="163">
        <v>11919.16</v>
      </c>
      <c r="AH500" s="163">
        <v>9907.2900000000009</v>
      </c>
      <c r="AI500" s="163">
        <v>122310.73</v>
      </c>
      <c r="AJ500" s="163">
        <v>9303.27</v>
      </c>
      <c r="AK500" s="163">
        <v>454.11</v>
      </c>
      <c r="AL500" s="163">
        <v>35838.97</v>
      </c>
      <c r="AM500" s="163">
        <v>7914.76</v>
      </c>
      <c r="AN500" s="163">
        <v>6933.95</v>
      </c>
      <c r="AO500" s="163">
        <v>2893.44</v>
      </c>
      <c r="AP500" s="163">
        <v>2824.17</v>
      </c>
      <c r="AQ500" s="163">
        <v>9628.8799999999992</v>
      </c>
      <c r="AR500" s="163">
        <v>34812.6</v>
      </c>
      <c r="AS500" s="163">
        <v>954.37</v>
      </c>
      <c r="AT500" s="163">
        <v>2236.3000000000002</v>
      </c>
      <c r="AU500" s="163">
        <v>853.4</v>
      </c>
      <c r="AV500" s="163">
        <v>3680.24</v>
      </c>
      <c r="AW500" s="163">
        <v>53333.919999999998</v>
      </c>
      <c r="AX500" s="163">
        <v>6732</v>
      </c>
      <c r="AY500" s="163">
        <v>11203.38</v>
      </c>
      <c r="AZ500" s="163">
        <v>6994.68</v>
      </c>
      <c r="BA500" s="163">
        <v>16441.86</v>
      </c>
      <c r="BB500" s="163">
        <v>12338.16</v>
      </c>
      <c r="BC500" s="163">
        <v>11802.19</v>
      </c>
      <c r="BD500" s="163">
        <v>5186.45</v>
      </c>
      <c r="BE500" s="163">
        <v>14033.8</v>
      </c>
      <c r="BF500" s="163">
        <v>34868.31</v>
      </c>
      <c r="BG500" s="163">
        <v>40153.870000000003</v>
      </c>
      <c r="BH500" s="163">
        <v>1544.85</v>
      </c>
      <c r="BI500" s="163">
        <v>85427.54</v>
      </c>
      <c r="BJ500" s="163">
        <v>4277.55</v>
      </c>
      <c r="BK500" s="163">
        <v>58225.35</v>
      </c>
      <c r="BL500" s="163">
        <v>106902.33</v>
      </c>
      <c r="BM500" s="163">
        <v>1269.7</v>
      </c>
      <c r="BN500" s="163">
        <v>98.45</v>
      </c>
      <c r="BO500" s="163">
        <v>43793.62</v>
      </c>
      <c r="BP500" s="163">
        <v>23496.26</v>
      </c>
      <c r="BQ500" s="163">
        <v>17213.84</v>
      </c>
      <c r="BR500" s="163">
        <v>18009.009999999998</v>
      </c>
      <c r="BS500" s="163">
        <v>4101.93</v>
      </c>
      <c r="BT500" s="163">
        <v>6361.54</v>
      </c>
      <c r="BU500" s="163">
        <v>35155.269999999997</v>
      </c>
      <c r="BV500" s="163">
        <v>23118.73</v>
      </c>
      <c r="BW500" s="163">
        <v>110584.9</v>
      </c>
      <c r="BX500" s="163">
        <v>9277.1299999999992</v>
      </c>
      <c r="BY500" s="163">
        <v>13165.02</v>
      </c>
      <c r="BZ500" s="163">
        <v>24370.38</v>
      </c>
      <c r="CA500" s="163">
        <v>9991.09</v>
      </c>
      <c r="CB500" s="163">
        <v>48436.26</v>
      </c>
      <c r="CC500" s="163">
        <v>3139.06</v>
      </c>
      <c r="CD500" s="163">
        <v>65942.929999999993</v>
      </c>
      <c r="CE500" s="163">
        <v>27408.5</v>
      </c>
      <c r="CF500" s="163">
        <v>90380.9</v>
      </c>
      <c r="CG500" s="163">
        <v>112477.75999999999</v>
      </c>
      <c r="CH500" s="163">
        <v>146955.43</v>
      </c>
      <c r="CI500" s="163">
        <v>83072.44</v>
      </c>
      <c r="CJ500" s="163">
        <v>3782.12</v>
      </c>
      <c r="CK500" s="163">
        <v>52020.12</v>
      </c>
      <c r="CL500" s="163">
        <v>125905.44</v>
      </c>
      <c r="CM500" s="163">
        <v>62491.06</v>
      </c>
      <c r="CN500" s="163">
        <v>68958.42</v>
      </c>
      <c r="CO500" s="163">
        <v>141528.73000000001</v>
      </c>
      <c r="CP500" s="163">
        <v>5260.29</v>
      </c>
      <c r="CQ500" s="163">
        <v>39060.76</v>
      </c>
      <c r="CR500" s="163">
        <v>46650.48</v>
      </c>
      <c r="CS500" s="163">
        <v>25227.43</v>
      </c>
      <c r="CT500" s="163">
        <v>142323.79</v>
      </c>
      <c r="CU500" s="163">
        <v>140501.51</v>
      </c>
      <c r="CV500" s="163">
        <v>80608.37</v>
      </c>
      <c r="CW500" s="163">
        <v>52031.13</v>
      </c>
      <c r="CX500" s="163">
        <v>104913.61</v>
      </c>
      <c r="CY500" s="163">
        <v>60448.84</v>
      </c>
      <c r="CZ500" s="163">
        <v>31967.759999999998</v>
      </c>
      <c r="DA500" s="163">
        <v>132321.10999999999</v>
      </c>
      <c r="DB500" s="163">
        <v>164079.03</v>
      </c>
      <c r="DC500" s="163">
        <v>107717.23</v>
      </c>
      <c r="DD500" s="163">
        <v>27355.67</v>
      </c>
      <c r="DE500" s="163">
        <f>VLOOKUP($A500,'[2]Analysis 1'!$A$5:$DG$1025,109,FALSE)</f>
        <v>83929.15</v>
      </c>
      <c r="DF500" s="163">
        <f>VLOOKUP($A500,'[2]Analysis 1'!$A$5:$DG$1025,110,FALSE)</f>
        <v>93002.22</v>
      </c>
      <c r="DG500" s="163">
        <f>VLOOKUP($A500,'[2]Analysis 1'!$A$5:$DG$1025,111,FALSE)</f>
        <v>110840.94</v>
      </c>
      <c r="DH500" s="369">
        <f t="shared" si="20"/>
        <v>1049215.06</v>
      </c>
    </row>
    <row r="501" spans="1:112">
      <c r="A501" s="335" t="s">
        <v>1341</v>
      </c>
      <c r="D501" s="369">
        <v>0</v>
      </c>
      <c r="E501" s="369">
        <v>500</v>
      </c>
      <c r="F501" s="369">
        <v>250</v>
      </c>
      <c r="G501" s="369">
        <v>0</v>
      </c>
      <c r="H501" s="369">
        <v>250</v>
      </c>
      <c r="I501" s="369">
        <v>250</v>
      </c>
      <c r="J501" s="369">
        <v>0</v>
      </c>
      <c r="K501" s="369">
        <v>11100</v>
      </c>
      <c r="L501" s="369">
        <v>0</v>
      </c>
      <c r="M501" s="369">
        <v>0</v>
      </c>
      <c r="N501" s="369">
        <v>36148</v>
      </c>
      <c r="O501" s="369">
        <v>28611.1</v>
      </c>
      <c r="P501" s="48">
        <v>17506.599999999999</v>
      </c>
      <c r="Q501" s="48">
        <v>9550</v>
      </c>
      <c r="R501" s="48">
        <v>15377.12</v>
      </c>
      <c r="S501" s="48">
        <v>0</v>
      </c>
      <c r="T501" s="48">
        <v>2443.85</v>
      </c>
      <c r="U501" s="48">
        <v>19126.5</v>
      </c>
      <c r="V501" s="48">
        <v>34095.980000000003</v>
      </c>
      <c r="W501" s="48">
        <v>11425.8</v>
      </c>
      <c r="X501" s="48">
        <v>19658.14</v>
      </c>
      <c r="Y501" s="48">
        <v>-8135.29</v>
      </c>
      <c r="Z501" s="48">
        <v>12650</v>
      </c>
      <c r="AA501" s="48">
        <v>0</v>
      </c>
      <c r="AB501" s="48">
        <v>0</v>
      </c>
      <c r="AC501" s="48">
        <v>22025</v>
      </c>
      <c r="AD501" s="48">
        <v>0</v>
      </c>
      <c r="AE501" s="163">
        <v>0</v>
      </c>
      <c r="AF501" s="163">
        <v>10575</v>
      </c>
      <c r="AG501" s="163">
        <v>0</v>
      </c>
      <c r="AH501" s="163">
        <v>14400</v>
      </c>
      <c r="AI501" s="163">
        <v>0</v>
      </c>
      <c r="AJ501" s="163">
        <v>0</v>
      </c>
      <c r="AK501" s="163">
        <v>16075</v>
      </c>
      <c r="AL501" s="163">
        <v>0</v>
      </c>
      <c r="AM501" s="163">
        <v>0</v>
      </c>
      <c r="AN501" s="163">
        <v>0</v>
      </c>
      <c r="AO501" s="163">
        <v>12675</v>
      </c>
      <c r="AP501" s="163">
        <v>0</v>
      </c>
      <c r="AQ501" s="163">
        <v>0</v>
      </c>
      <c r="AR501" s="163">
        <v>3525</v>
      </c>
      <c r="AS501" s="163">
        <v>0</v>
      </c>
      <c r="AT501" s="163">
        <v>0</v>
      </c>
      <c r="AU501" s="163">
        <v>16575</v>
      </c>
      <c r="AV501" s="163">
        <v>0</v>
      </c>
      <c r="AW501" s="163">
        <v>0</v>
      </c>
      <c r="AX501" s="163">
        <v>2175</v>
      </c>
      <c r="AY501" s="163">
        <v>0</v>
      </c>
      <c r="AZ501" s="163">
        <v>16975</v>
      </c>
      <c r="BA501" s="163">
        <v>0</v>
      </c>
      <c r="BB501" s="163">
        <v>0</v>
      </c>
      <c r="BC501" s="163">
        <v>0</v>
      </c>
      <c r="BD501" s="163">
        <v>2725</v>
      </c>
      <c r="BE501" s="163">
        <v>0</v>
      </c>
      <c r="BF501" s="163">
        <v>19875</v>
      </c>
      <c r="BG501" s="163">
        <v>0</v>
      </c>
      <c r="BH501" s="163">
        <v>0</v>
      </c>
      <c r="BI501" s="163">
        <v>0</v>
      </c>
      <c r="BJ501" s="163">
        <v>12450</v>
      </c>
      <c r="BK501" s="163">
        <v>0</v>
      </c>
      <c r="BL501" s="163">
        <v>0</v>
      </c>
      <c r="BM501" s="163">
        <v>17725</v>
      </c>
      <c r="BN501" s="163">
        <v>0</v>
      </c>
      <c r="BO501" s="163">
        <v>0</v>
      </c>
      <c r="BP501" s="163">
        <v>8500</v>
      </c>
      <c r="BQ501" s="163">
        <v>0</v>
      </c>
      <c r="BR501" s="163">
        <v>0</v>
      </c>
      <c r="BS501" s="163">
        <v>0</v>
      </c>
      <c r="BT501" s="163">
        <v>0</v>
      </c>
      <c r="BU501" s="163">
        <v>0</v>
      </c>
      <c r="BV501" s="163">
        <v>29200</v>
      </c>
      <c r="BW501" s="163">
        <v>0</v>
      </c>
      <c r="BX501" s="163">
        <v>0</v>
      </c>
      <c r="BY501" s="163">
        <v>0</v>
      </c>
      <c r="BZ501" s="163">
        <v>0</v>
      </c>
      <c r="CA501" s="163">
        <v>0</v>
      </c>
      <c r="CB501" s="163">
        <v>27600</v>
      </c>
      <c r="CC501" s="163">
        <v>0</v>
      </c>
      <c r="CD501" s="163">
        <v>0</v>
      </c>
      <c r="CE501" s="163">
        <v>0</v>
      </c>
      <c r="CF501" s="163">
        <v>0</v>
      </c>
      <c r="CG501" s="163">
        <v>11100</v>
      </c>
      <c r="CH501" s="163">
        <v>0</v>
      </c>
      <c r="CI501" s="163">
        <v>10300</v>
      </c>
      <c r="CJ501" s="163">
        <v>0</v>
      </c>
      <c r="CK501" s="163">
        <v>0</v>
      </c>
      <c r="CL501" s="163">
        <v>0</v>
      </c>
      <c r="CM501" s="163">
        <v>20600</v>
      </c>
      <c r="CN501" s="163">
        <v>-20600</v>
      </c>
      <c r="CO501" s="163">
        <v>22500</v>
      </c>
      <c r="CP501" s="163">
        <v>0</v>
      </c>
      <c r="CQ501" s="163">
        <v>0</v>
      </c>
      <c r="CR501" s="163">
        <v>0</v>
      </c>
      <c r="CS501" s="163">
        <v>0</v>
      </c>
      <c r="CT501" s="163">
        <v>28675</v>
      </c>
      <c r="CU501" s="163">
        <v>0</v>
      </c>
      <c r="CV501" s="163">
        <v>0</v>
      </c>
      <c r="CW501" s="163">
        <v>0</v>
      </c>
      <c r="CX501" s="163">
        <v>0</v>
      </c>
      <c r="CY501" s="163">
        <v>0</v>
      </c>
      <c r="CZ501" s="163">
        <v>0</v>
      </c>
      <c r="DA501" s="163">
        <v>0</v>
      </c>
      <c r="DB501" s="163">
        <v>0</v>
      </c>
      <c r="DC501" s="163">
        <v>43550</v>
      </c>
      <c r="DD501" s="163">
        <v>0</v>
      </c>
      <c r="DE501" s="163">
        <f>VLOOKUP($A501,'[2]Analysis 1'!$A$5:$DG$1025,109,FALSE)</f>
        <v>0</v>
      </c>
      <c r="DF501" s="163">
        <f>VLOOKUP($A501,'[2]Analysis 1'!$A$5:$DG$1025,110,FALSE)</f>
        <v>0</v>
      </c>
      <c r="DG501" s="163">
        <f>VLOOKUP($A501,'[2]Analysis 1'!$A$5:$DG$1025,111,FALSE)</f>
        <v>0</v>
      </c>
      <c r="DH501" s="369">
        <f t="shared" si="20"/>
        <v>43550</v>
      </c>
    </row>
    <row r="502" spans="1:112">
      <c r="A502" s="335" t="s">
        <v>1342</v>
      </c>
      <c r="D502" s="369">
        <v>709827.98</v>
      </c>
      <c r="E502" s="369">
        <v>587596.49</v>
      </c>
      <c r="F502" s="369">
        <v>676997.6</v>
      </c>
      <c r="G502" s="369">
        <v>623103.31000000006</v>
      </c>
      <c r="H502" s="369">
        <v>680378.18</v>
      </c>
      <c r="I502" s="369">
        <v>653372.32999999996</v>
      </c>
      <c r="J502" s="369">
        <v>498664.24</v>
      </c>
      <c r="K502" s="369">
        <v>649425.64</v>
      </c>
      <c r="L502" s="369">
        <v>1419319.4</v>
      </c>
      <c r="M502" s="369">
        <v>646800.56000000006</v>
      </c>
      <c r="N502" s="369">
        <v>611600.29</v>
      </c>
      <c r="O502" s="369">
        <v>901810.84</v>
      </c>
      <c r="P502" s="48">
        <v>587250.09</v>
      </c>
      <c r="Q502" s="48">
        <v>308662.74</v>
      </c>
      <c r="R502" s="48">
        <v>1341619.1499999999</v>
      </c>
      <c r="S502" s="48">
        <v>735230.97</v>
      </c>
      <c r="T502" s="48">
        <v>432954.83</v>
      </c>
      <c r="U502" s="48">
        <v>696952.61</v>
      </c>
      <c r="V502" s="48">
        <v>485290.46</v>
      </c>
      <c r="W502" s="48">
        <v>592515.18999999994</v>
      </c>
      <c r="X502" s="48">
        <v>399157.01</v>
      </c>
      <c r="Y502" s="48">
        <v>574030.91</v>
      </c>
      <c r="Z502" s="48">
        <v>976613.53</v>
      </c>
      <c r="AA502" s="48">
        <v>-297100.78999999998</v>
      </c>
      <c r="AB502" s="48">
        <v>631762.57999999996</v>
      </c>
      <c r="AC502" s="48">
        <v>656898.16</v>
      </c>
      <c r="AD502" s="48">
        <v>653428.94999999995</v>
      </c>
      <c r="AE502" s="163">
        <v>640525.73</v>
      </c>
      <c r="AF502" s="163">
        <v>676655.17</v>
      </c>
      <c r="AG502" s="163">
        <v>667428.43999999994</v>
      </c>
      <c r="AH502" s="163">
        <v>934298.38</v>
      </c>
      <c r="AI502" s="163">
        <v>1518779.04</v>
      </c>
      <c r="AJ502" s="163">
        <v>774625.04</v>
      </c>
      <c r="AK502" s="163">
        <v>688256.28</v>
      </c>
      <c r="AL502" s="163">
        <v>86996.88</v>
      </c>
      <c r="AM502" s="163">
        <v>749314.46</v>
      </c>
      <c r="AN502" s="163">
        <v>760895.8</v>
      </c>
      <c r="AO502" s="163">
        <v>857574.56</v>
      </c>
      <c r="AP502" s="163">
        <v>883229.59</v>
      </c>
      <c r="AQ502" s="163">
        <v>700022.15</v>
      </c>
      <c r="AR502" s="163">
        <v>697333.38</v>
      </c>
      <c r="AS502" s="163">
        <v>794815.34</v>
      </c>
      <c r="AT502" s="163">
        <v>750026.93</v>
      </c>
      <c r="AU502" s="163">
        <v>737068.59</v>
      </c>
      <c r="AV502" s="163">
        <v>808648.29</v>
      </c>
      <c r="AW502" s="163">
        <v>550594.72</v>
      </c>
      <c r="AX502" s="163">
        <v>747251.16</v>
      </c>
      <c r="AY502" s="163">
        <v>1025566.84</v>
      </c>
      <c r="AZ502" s="163">
        <v>908688.69</v>
      </c>
      <c r="BA502" s="163">
        <v>1490509.19</v>
      </c>
      <c r="BB502" s="163">
        <v>864089.22</v>
      </c>
      <c r="BC502" s="163">
        <v>844326.67</v>
      </c>
      <c r="BD502" s="163">
        <v>897234.63</v>
      </c>
      <c r="BE502" s="163">
        <v>830461.21</v>
      </c>
      <c r="BF502" s="163">
        <v>1013182.59</v>
      </c>
      <c r="BG502" s="163">
        <v>1283278.8500000001</v>
      </c>
      <c r="BH502" s="163">
        <v>952882.8</v>
      </c>
      <c r="BI502" s="163">
        <v>972327.84</v>
      </c>
      <c r="BJ502" s="163">
        <v>948368.73</v>
      </c>
      <c r="BK502" s="163">
        <v>970596.8</v>
      </c>
      <c r="BL502" s="163">
        <v>995053.96</v>
      </c>
      <c r="BM502" s="163">
        <v>910602.55</v>
      </c>
      <c r="BN502" s="163">
        <v>805516.37</v>
      </c>
      <c r="BO502" s="163">
        <v>807815.54</v>
      </c>
      <c r="BP502" s="163">
        <v>816530.53</v>
      </c>
      <c r="BQ502" s="163">
        <v>693289.06</v>
      </c>
      <c r="BR502" s="163">
        <v>874839.19</v>
      </c>
      <c r="BS502" s="163">
        <v>779159.06</v>
      </c>
      <c r="BT502" s="163">
        <v>954094.15</v>
      </c>
      <c r="BU502" s="163">
        <v>884054.91</v>
      </c>
      <c r="BV502" s="163">
        <v>1554637.35</v>
      </c>
      <c r="BW502" s="163">
        <v>894578.45</v>
      </c>
      <c r="BX502" s="163">
        <v>1058130.33</v>
      </c>
      <c r="BY502" s="163">
        <v>1072058.8400000001</v>
      </c>
      <c r="BZ502" s="163">
        <v>935010</v>
      </c>
      <c r="CA502" s="163">
        <v>1070392.73</v>
      </c>
      <c r="CB502" s="163">
        <v>995156.34</v>
      </c>
      <c r="CC502" s="163">
        <v>849296.17</v>
      </c>
      <c r="CD502" s="163">
        <v>1066255.27</v>
      </c>
      <c r="CE502" s="163">
        <v>986242.23</v>
      </c>
      <c r="CF502" s="163">
        <v>1328803.05</v>
      </c>
      <c r="CG502" s="163">
        <v>1039234.11</v>
      </c>
      <c r="CH502" s="163">
        <v>959681.67</v>
      </c>
      <c r="CI502" s="163">
        <v>1328159.71</v>
      </c>
      <c r="CJ502" s="163">
        <v>1004572.71</v>
      </c>
      <c r="CK502" s="163">
        <v>977357.03</v>
      </c>
      <c r="CL502" s="163">
        <v>1042807.17</v>
      </c>
      <c r="CM502" s="163">
        <v>915360.12</v>
      </c>
      <c r="CN502" s="163">
        <v>895661.58</v>
      </c>
      <c r="CO502" s="163">
        <v>979919.17</v>
      </c>
      <c r="CP502" s="163">
        <v>1017848.3199999999</v>
      </c>
      <c r="CQ502" s="163">
        <v>1023401.95</v>
      </c>
      <c r="CR502" s="163">
        <v>1066319.74</v>
      </c>
      <c r="CS502" s="163">
        <v>1640563.46</v>
      </c>
      <c r="CT502" s="163">
        <v>998250.5</v>
      </c>
      <c r="CU502" s="163">
        <v>2402127.38</v>
      </c>
      <c r="CV502" s="163">
        <v>1102180.1200000001</v>
      </c>
      <c r="CW502" s="163">
        <v>1221268.48</v>
      </c>
      <c r="CX502" s="163">
        <v>757799.25</v>
      </c>
      <c r="CY502" s="163">
        <v>1271543.53</v>
      </c>
      <c r="CZ502" s="163">
        <v>1359113.97</v>
      </c>
      <c r="DA502" s="163">
        <v>1359973.16</v>
      </c>
      <c r="DB502" s="163">
        <v>1331306.8</v>
      </c>
      <c r="DC502" s="163">
        <v>1449477.95</v>
      </c>
      <c r="DD502" s="163">
        <v>1541674.51</v>
      </c>
      <c r="DE502" s="163">
        <f>VLOOKUP($A502,'[2]Analysis 1'!$A$5:$DG$1025,109,FALSE)</f>
        <v>1564162.7</v>
      </c>
      <c r="DF502" s="163">
        <f>VLOOKUP($A502,'[2]Analysis 1'!$A$5:$DG$1025,110,FALSE)</f>
        <v>2116644.4700000002</v>
      </c>
      <c r="DG502" s="163">
        <f>VLOOKUP($A502,'[2]Analysis 1'!$A$5:$DG$1025,111,FALSE)</f>
        <v>1992376.63</v>
      </c>
      <c r="DH502" s="369">
        <f t="shared" si="20"/>
        <v>17067521.57</v>
      </c>
    </row>
    <row r="503" spans="1:112">
      <c r="A503" s="335" t="s">
        <v>1343</v>
      </c>
      <c r="D503" s="369">
        <v>363875.85</v>
      </c>
      <c r="E503" s="369">
        <v>603826.52</v>
      </c>
      <c r="F503" s="369">
        <v>427425.74</v>
      </c>
      <c r="G503" s="369">
        <v>418349.83</v>
      </c>
      <c r="H503" s="369">
        <v>517789.19</v>
      </c>
      <c r="I503" s="369">
        <v>395474.12</v>
      </c>
      <c r="J503" s="369">
        <v>468162.52</v>
      </c>
      <c r="K503" s="369">
        <v>385028.4</v>
      </c>
      <c r="L503" s="369">
        <v>418928.27</v>
      </c>
      <c r="M503" s="369">
        <v>438556.66</v>
      </c>
      <c r="N503" s="369">
        <v>684302.98</v>
      </c>
      <c r="O503" s="369">
        <v>217500.46</v>
      </c>
      <c r="P503" s="48">
        <v>203507.23</v>
      </c>
      <c r="Q503" s="48">
        <v>203762.69</v>
      </c>
      <c r="R503" s="48">
        <v>280010.93</v>
      </c>
      <c r="S503" s="48">
        <v>308111.83</v>
      </c>
      <c r="T503" s="48">
        <v>256234.02</v>
      </c>
      <c r="U503" s="48">
        <v>291099.84999999998</v>
      </c>
      <c r="V503" s="48">
        <v>298615.61</v>
      </c>
      <c r="W503" s="48">
        <v>229026.97</v>
      </c>
      <c r="X503" s="48">
        <v>302738.45</v>
      </c>
      <c r="Y503" s="48">
        <v>327872.05</v>
      </c>
      <c r="Z503" s="48">
        <v>250611.8</v>
      </c>
      <c r="AA503" s="48">
        <v>376473.65</v>
      </c>
      <c r="AB503" s="48">
        <v>220904.92</v>
      </c>
      <c r="AC503" s="48">
        <v>282608.25</v>
      </c>
      <c r="AD503" s="48">
        <v>286593.46999999997</v>
      </c>
      <c r="AE503" s="163">
        <v>306747.11</v>
      </c>
      <c r="AF503" s="163">
        <v>263956.84999999998</v>
      </c>
      <c r="AG503" s="163">
        <v>731422.23</v>
      </c>
      <c r="AH503" s="163">
        <v>153401.91</v>
      </c>
      <c r="AI503" s="163">
        <v>257145.29</v>
      </c>
      <c r="AJ503" s="163">
        <v>291669.49</v>
      </c>
      <c r="AK503" s="163">
        <v>255536.96</v>
      </c>
      <c r="AL503" s="163">
        <v>333344.98</v>
      </c>
      <c r="AM503" s="163">
        <v>250327.56</v>
      </c>
      <c r="AN503" s="163">
        <v>209057.28</v>
      </c>
      <c r="AO503" s="163">
        <v>268049.59000000003</v>
      </c>
      <c r="AP503" s="163">
        <v>262533.75</v>
      </c>
      <c r="AQ503" s="163">
        <v>237740.05</v>
      </c>
      <c r="AR503" s="163">
        <v>258066.99</v>
      </c>
      <c r="AS503" s="163">
        <v>271435.05</v>
      </c>
      <c r="AT503" s="163">
        <v>266938.18</v>
      </c>
      <c r="AU503" s="163">
        <v>227603.78</v>
      </c>
      <c r="AV503" s="163">
        <v>245699.71</v>
      </c>
      <c r="AW503" s="163">
        <v>194365.76</v>
      </c>
      <c r="AX503" s="163">
        <v>234204.99</v>
      </c>
      <c r="AY503" s="163">
        <v>272833.43</v>
      </c>
      <c r="AZ503" s="163">
        <v>224016.05</v>
      </c>
      <c r="BA503" s="163">
        <v>219951.77</v>
      </c>
      <c r="BB503" s="163">
        <v>530410.19999999995</v>
      </c>
      <c r="BC503" s="163">
        <v>360142.33</v>
      </c>
      <c r="BD503" s="163">
        <v>336121.87</v>
      </c>
      <c r="BE503" s="163">
        <v>317413.67</v>
      </c>
      <c r="BF503" s="163">
        <v>316757.96999999997</v>
      </c>
      <c r="BG503" s="163">
        <v>291881.81</v>
      </c>
      <c r="BH503" s="163">
        <v>351613.49</v>
      </c>
      <c r="BI503" s="163">
        <v>297442.55</v>
      </c>
      <c r="BJ503" s="163">
        <v>245504.16</v>
      </c>
      <c r="BK503" s="163">
        <v>345561.36</v>
      </c>
      <c r="BL503" s="163">
        <v>230705.48</v>
      </c>
      <c r="BM503" s="163">
        <v>246616.22</v>
      </c>
      <c r="BN503" s="163">
        <v>308916.02</v>
      </c>
      <c r="BO503" s="163">
        <v>264092.74</v>
      </c>
      <c r="BP503" s="163">
        <v>272126.78000000003</v>
      </c>
      <c r="BQ503" s="163">
        <v>293846.84000000003</v>
      </c>
      <c r="BR503" s="163">
        <v>306117.46000000002</v>
      </c>
      <c r="BS503" s="163">
        <v>116371.23</v>
      </c>
      <c r="BT503" s="163">
        <v>271880.71000000002</v>
      </c>
      <c r="BU503" s="163">
        <v>458934.79</v>
      </c>
      <c r="BV503" s="163">
        <v>260146.44</v>
      </c>
      <c r="BW503" s="163">
        <v>290903.67</v>
      </c>
      <c r="BX503" s="163">
        <v>216415.28</v>
      </c>
      <c r="BY503" s="163">
        <v>289037.84999999998</v>
      </c>
      <c r="BZ503" s="163">
        <v>284644.52</v>
      </c>
      <c r="CA503" s="163">
        <v>245920.34</v>
      </c>
      <c r="CB503" s="163">
        <v>205111.33</v>
      </c>
      <c r="CC503" s="163">
        <v>252122.44</v>
      </c>
      <c r="CD503" s="163">
        <v>232946.9</v>
      </c>
      <c r="CE503" s="163">
        <v>216202.83</v>
      </c>
      <c r="CF503" s="163">
        <v>264171.5</v>
      </c>
      <c r="CG503" s="163">
        <v>227711.32</v>
      </c>
      <c r="CH503" s="163">
        <v>190636.9</v>
      </c>
      <c r="CI503" s="163">
        <v>316571.55</v>
      </c>
      <c r="CJ503" s="163">
        <v>199224.66</v>
      </c>
      <c r="CK503" s="163">
        <v>259472.02</v>
      </c>
      <c r="CL503" s="163">
        <v>274165.56</v>
      </c>
      <c r="CM503" s="163">
        <v>267380.99</v>
      </c>
      <c r="CN503" s="163">
        <v>223369.9</v>
      </c>
      <c r="CO503" s="163">
        <v>258321.9</v>
      </c>
      <c r="CP503" s="163">
        <v>281977.74</v>
      </c>
      <c r="CQ503" s="163">
        <v>255550.72</v>
      </c>
      <c r="CR503" s="163">
        <v>297271.09999999998</v>
      </c>
      <c r="CS503" s="163">
        <v>270208.21999999997</v>
      </c>
      <c r="CT503" s="163">
        <v>292682.68</v>
      </c>
      <c r="CU503" s="163">
        <v>406871.32</v>
      </c>
      <c r="CV503" s="163">
        <v>237044.43</v>
      </c>
      <c r="CW503" s="163">
        <v>287604.81</v>
      </c>
      <c r="CX503" s="163">
        <v>284042.76</v>
      </c>
      <c r="CY503" s="163">
        <v>327735.83</v>
      </c>
      <c r="CZ503" s="163">
        <v>324241.02</v>
      </c>
      <c r="DA503" s="163">
        <v>220143.92</v>
      </c>
      <c r="DB503" s="163">
        <v>337867.4</v>
      </c>
      <c r="DC503" s="163">
        <v>339694.26</v>
      </c>
      <c r="DD503" s="163">
        <v>352211.65</v>
      </c>
      <c r="DE503" s="163">
        <f>VLOOKUP($A503,'[2]Analysis 1'!$A$5:$DG$1025,109,FALSE)</f>
        <v>306180.87</v>
      </c>
      <c r="DF503" s="163">
        <f>VLOOKUP($A503,'[2]Analysis 1'!$A$5:$DG$1025,110,FALSE)</f>
        <v>281672.39</v>
      </c>
      <c r="DG503" s="163">
        <f>VLOOKUP($A503,'[2]Analysis 1'!$A$5:$DG$1025,111,FALSE)</f>
        <v>362283.43</v>
      </c>
      <c r="DH503" s="369">
        <f t="shared" si="20"/>
        <v>3660722.77</v>
      </c>
    </row>
    <row r="504" spans="1:112">
      <c r="A504" s="335" t="s">
        <v>1344</v>
      </c>
      <c r="D504" s="369">
        <v>-321333</v>
      </c>
      <c r="E504" s="369">
        <v>-321333</v>
      </c>
      <c r="F504" s="369">
        <v>-321333</v>
      </c>
      <c r="G504" s="369">
        <v>-321333</v>
      </c>
      <c r="H504" s="369">
        <v>-321333</v>
      </c>
      <c r="I504" s="369">
        <v>-321333</v>
      </c>
      <c r="J504" s="369">
        <v>-321333</v>
      </c>
      <c r="K504" s="369">
        <v>-321333</v>
      </c>
      <c r="L504" s="369">
        <v>-321333</v>
      </c>
      <c r="M504" s="369">
        <v>-321333</v>
      </c>
      <c r="N504" s="369">
        <v>-321333</v>
      </c>
      <c r="O504" s="369">
        <v>-321333</v>
      </c>
      <c r="P504" s="48">
        <v>-283333</v>
      </c>
      <c r="Q504" s="48">
        <v>-283333</v>
      </c>
      <c r="R504" s="48">
        <v>-283333</v>
      </c>
      <c r="S504" s="48">
        <v>-283333</v>
      </c>
      <c r="T504" s="48">
        <v>-283333</v>
      </c>
      <c r="U504" s="48">
        <v>-283333</v>
      </c>
      <c r="V504" s="48">
        <v>-283333</v>
      </c>
      <c r="W504" s="48">
        <v>-283333</v>
      </c>
      <c r="X504" s="48">
        <v>-283333</v>
      </c>
      <c r="Y504" s="48">
        <v>-283333</v>
      </c>
      <c r="Z504" s="48">
        <v>-283333</v>
      </c>
      <c r="AA504" s="48">
        <v>-283333</v>
      </c>
      <c r="AB504" s="48">
        <v>-283333</v>
      </c>
      <c r="AC504" s="48">
        <v>-283333</v>
      </c>
      <c r="AD504" s="48">
        <v>-283333</v>
      </c>
      <c r="AE504" s="163">
        <v>-283333</v>
      </c>
      <c r="AF504" s="163">
        <v>-283333</v>
      </c>
      <c r="AG504" s="163">
        <v>-283333</v>
      </c>
      <c r="AH504" s="163">
        <v>-283333</v>
      </c>
      <c r="AI504" s="163">
        <v>-283333</v>
      </c>
      <c r="AJ504" s="163">
        <v>-283333</v>
      </c>
      <c r="AK504" s="163">
        <v>-283333</v>
      </c>
      <c r="AL504" s="163">
        <v>-283333</v>
      </c>
      <c r="AM504" s="163">
        <v>-283333</v>
      </c>
      <c r="AN504" s="163">
        <v>-283333</v>
      </c>
      <c r="AO504" s="163">
        <v>-283333</v>
      </c>
      <c r="AP504" s="163">
        <v>-283333</v>
      </c>
      <c r="AQ504" s="163">
        <v>-283333</v>
      </c>
      <c r="AR504" s="163">
        <v>-283333</v>
      </c>
      <c r="AS504" s="163">
        <v>-283333</v>
      </c>
      <c r="AT504" s="163">
        <v>-500000</v>
      </c>
      <c r="AU504" s="163">
        <v>-500000</v>
      </c>
      <c r="AV504" s="163">
        <v>-500000</v>
      </c>
      <c r="AW504" s="163">
        <v>-500000</v>
      </c>
      <c r="AX504" s="163">
        <v>-500000</v>
      </c>
      <c r="AY504" s="163">
        <v>-500000</v>
      </c>
      <c r="AZ504" s="163">
        <v>-500000</v>
      </c>
      <c r="BA504" s="163">
        <v>-500000</v>
      </c>
      <c r="BB504" s="163">
        <v>-500000</v>
      </c>
      <c r="BC504" s="163">
        <v>-500000</v>
      </c>
      <c r="BD504" s="163">
        <v>-500000</v>
      </c>
      <c r="BE504" s="163">
        <v>-500000</v>
      </c>
      <c r="BF504" s="163">
        <v>-500000</v>
      </c>
      <c r="BG504" s="163">
        <v>-500000</v>
      </c>
      <c r="BH504" s="163">
        <v>-500000</v>
      </c>
      <c r="BI504" s="163">
        <v>-500000</v>
      </c>
      <c r="BJ504" s="163">
        <v>-500000</v>
      </c>
      <c r="BK504" s="163">
        <v>-500000</v>
      </c>
      <c r="BL504" s="163">
        <v>-500000</v>
      </c>
      <c r="BM504" s="163">
        <v>-500000</v>
      </c>
      <c r="BN504" s="163">
        <v>-1000000</v>
      </c>
      <c r="BO504" s="163">
        <v>-666666.67000000004</v>
      </c>
      <c r="BP504" s="163">
        <v>-666666.67000000004</v>
      </c>
      <c r="BQ504" s="163">
        <v>-666666.67000000004</v>
      </c>
      <c r="BR504" s="163">
        <v>-666666.67000000004</v>
      </c>
      <c r="BS504" s="163">
        <v>-666666.67000000004</v>
      </c>
      <c r="BT504" s="163">
        <v>-666666.67000000004</v>
      </c>
      <c r="BU504" s="163">
        <v>-666666.67000000004</v>
      </c>
      <c r="BV504" s="163">
        <v>-666666.67000000004</v>
      </c>
      <c r="BW504" s="163">
        <v>-1047666.63</v>
      </c>
      <c r="BX504" s="163">
        <v>-715750</v>
      </c>
      <c r="BY504" s="163">
        <v>-715750</v>
      </c>
      <c r="BZ504" s="163">
        <v>-715750</v>
      </c>
      <c r="CA504" s="163">
        <v>-715750</v>
      </c>
      <c r="CB504" s="163">
        <v>-715750</v>
      </c>
      <c r="CC504" s="163">
        <v>-715750</v>
      </c>
      <c r="CD504" s="163">
        <v>-715750</v>
      </c>
      <c r="CE504" s="163">
        <v>-715750</v>
      </c>
      <c r="CF504" s="163">
        <v>-715750</v>
      </c>
      <c r="CG504" s="163">
        <v>-715750</v>
      </c>
      <c r="CH504" s="163">
        <v>-715750</v>
      </c>
      <c r="CI504" s="163">
        <v>-715749.96</v>
      </c>
      <c r="CJ504" s="163">
        <v>-716829.63</v>
      </c>
      <c r="CK504" s="163">
        <v>-716829.63</v>
      </c>
      <c r="CL504" s="163">
        <v>-716829.63</v>
      </c>
      <c r="CM504" s="163">
        <v>-716829.67</v>
      </c>
      <c r="CN504" s="163">
        <v>-716829.67</v>
      </c>
      <c r="CO504" s="163">
        <v>-988351.67</v>
      </c>
      <c r="CP504" s="163">
        <v>-762083.67</v>
      </c>
      <c r="CQ504" s="163">
        <v>-762083.67</v>
      </c>
      <c r="CR504" s="163">
        <v>-762083.67</v>
      </c>
      <c r="CS504" s="163">
        <v>-762083.67</v>
      </c>
      <c r="CT504" s="163">
        <v>-1678750.37</v>
      </c>
      <c r="CU504" s="163">
        <v>-845417</v>
      </c>
      <c r="CV504" s="163">
        <v>-928750.37</v>
      </c>
      <c r="CW504" s="163">
        <v>-928750.37</v>
      </c>
      <c r="CX504" s="163">
        <v>-928750.3</v>
      </c>
      <c r="CY504" s="163">
        <v>-928750.3</v>
      </c>
      <c r="CZ504" s="163">
        <v>-928750.33</v>
      </c>
      <c r="DA504" s="163">
        <v>-928750.33</v>
      </c>
      <c r="DB504" s="163">
        <v>-928750.33</v>
      </c>
      <c r="DC504" s="163">
        <v>-928750.33</v>
      </c>
      <c r="DD504" s="163">
        <v>-928750.33</v>
      </c>
      <c r="DE504" s="163">
        <f>VLOOKUP($A504,'[2]Analysis 1'!$A$5:$DG$1025,109,FALSE)</f>
        <v>-928750.33</v>
      </c>
      <c r="DF504" s="163">
        <f>VLOOKUP($A504,'[2]Analysis 1'!$A$5:$DG$1025,110,FALSE)</f>
        <v>-1512836.33</v>
      </c>
      <c r="DG504" s="163">
        <f>VLOOKUP($A504,'[2]Analysis 1'!$A$5:$DG$1025,111,FALSE)</f>
        <v>-1981848.36</v>
      </c>
      <c r="DH504" s="369">
        <f t="shared" si="20"/>
        <v>-12782188.01</v>
      </c>
    </row>
    <row r="505" spans="1:112">
      <c r="A505" s="335" t="s">
        <v>1345</v>
      </c>
      <c r="D505" s="369">
        <v>24014.77</v>
      </c>
      <c r="E505" s="369">
        <v>39565.94</v>
      </c>
      <c r="F505" s="369">
        <v>49725.87</v>
      </c>
      <c r="G505" s="369">
        <v>144699.66</v>
      </c>
      <c r="H505" s="369">
        <v>134897.62</v>
      </c>
      <c r="I505" s="369">
        <v>137187.57999999999</v>
      </c>
      <c r="J505" s="369">
        <v>109192.98</v>
      </c>
      <c r="K505" s="369">
        <v>-86175.97</v>
      </c>
      <c r="L505" s="369">
        <v>167710.26</v>
      </c>
      <c r="M505" s="369">
        <v>74692.95</v>
      </c>
      <c r="N505" s="369">
        <v>97003.03</v>
      </c>
      <c r="O505" s="369">
        <v>189445.91</v>
      </c>
      <c r="P505" s="48">
        <v>133751.65</v>
      </c>
      <c r="Q505" s="48">
        <v>120863.16</v>
      </c>
      <c r="R505" s="48">
        <v>170421.15</v>
      </c>
      <c r="S505" s="48">
        <v>194746.89</v>
      </c>
      <c r="T505" s="48">
        <v>139499.37</v>
      </c>
      <c r="U505" s="48">
        <v>165314.73000000001</v>
      </c>
      <c r="V505" s="48">
        <v>192337.66</v>
      </c>
      <c r="W505" s="48">
        <v>238131.78</v>
      </c>
      <c r="X505" s="48">
        <v>150941.44</v>
      </c>
      <c r="Y505" s="48">
        <v>183818.25</v>
      </c>
      <c r="Z505" s="48">
        <v>309360.78999999998</v>
      </c>
      <c r="AA505" s="48">
        <v>567804.03</v>
      </c>
      <c r="AB505" s="48">
        <v>88623.51</v>
      </c>
      <c r="AC505" s="48">
        <v>374307.21</v>
      </c>
      <c r="AD505" s="48">
        <v>237715.8</v>
      </c>
      <c r="AE505" s="163">
        <v>233130.37</v>
      </c>
      <c r="AF505" s="163">
        <v>187723.53</v>
      </c>
      <c r="AG505" s="163">
        <v>285838.36</v>
      </c>
      <c r="AH505" s="163">
        <v>228908.86</v>
      </c>
      <c r="AI505" s="163">
        <v>133021.95000000001</v>
      </c>
      <c r="AJ505" s="163">
        <v>117283.72</v>
      </c>
      <c r="AK505" s="163">
        <v>176993.06</v>
      </c>
      <c r="AL505" s="163">
        <v>501039.22</v>
      </c>
      <c r="AM505" s="163">
        <v>530667.21</v>
      </c>
      <c r="AN505" s="163">
        <v>29651.99</v>
      </c>
      <c r="AO505" s="163">
        <v>116264.99</v>
      </c>
      <c r="AP505" s="163">
        <v>147425.94</v>
      </c>
      <c r="AQ505" s="163">
        <v>276266.61</v>
      </c>
      <c r="AR505" s="163">
        <v>173152.4</v>
      </c>
      <c r="AS505" s="163">
        <v>56295.57</v>
      </c>
      <c r="AT505" s="163">
        <v>114709.43</v>
      </c>
      <c r="AU505" s="163">
        <v>275197.34999999998</v>
      </c>
      <c r="AV505" s="163">
        <v>13545.85</v>
      </c>
      <c r="AW505" s="163">
        <v>131872.09</v>
      </c>
      <c r="AX505" s="163">
        <v>114201.33</v>
      </c>
      <c r="AY505" s="163">
        <v>339902.34</v>
      </c>
      <c r="AZ505" s="163">
        <v>44949.32</v>
      </c>
      <c r="BA505" s="163">
        <v>38349.89</v>
      </c>
      <c r="BB505" s="163">
        <v>206445.71</v>
      </c>
      <c r="BC505" s="163">
        <v>271415.38</v>
      </c>
      <c r="BD505" s="163">
        <v>299022.55</v>
      </c>
      <c r="BE505" s="163">
        <v>185666.12</v>
      </c>
      <c r="BF505" s="163">
        <v>155535.28</v>
      </c>
      <c r="BG505" s="163">
        <v>173393.67</v>
      </c>
      <c r="BH505" s="163">
        <v>130529.78</v>
      </c>
      <c r="BI505" s="163">
        <v>282663.07</v>
      </c>
      <c r="BJ505" s="163">
        <v>143901.29999999999</v>
      </c>
      <c r="BK505" s="163">
        <v>284170.84999999998</v>
      </c>
      <c r="BL505" s="163">
        <v>522.70000000000005</v>
      </c>
      <c r="BM505" s="163">
        <v>175594.18</v>
      </c>
      <c r="BN505" s="163">
        <v>207500.34</v>
      </c>
      <c r="BO505" s="163">
        <v>140022.29</v>
      </c>
      <c r="BP505" s="163">
        <v>276403.43</v>
      </c>
      <c r="BQ505" s="163">
        <v>137380.39000000001</v>
      </c>
      <c r="BR505" s="163">
        <v>238260.53</v>
      </c>
      <c r="BS505" s="163">
        <v>136181.56</v>
      </c>
      <c r="BT505" s="163">
        <v>184541.45</v>
      </c>
      <c r="BU505" s="163">
        <v>286366.3</v>
      </c>
      <c r="BV505" s="163">
        <v>367110.88</v>
      </c>
      <c r="BW505" s="163">
        <v>343091.24</v>
      </c>
      <c r="BX505" s="163">
        <v>98865.03</v>
      </c>
      <c r="BY505" s="163">
        <v>43717.84</v>
      </c>
      <c r="BZ505" s="163">
        <v>821049.17</v>
      </c>
      <c r="CA505" s="163">
        <v>-69258.289999999994</v>
      </c>
      <c r="CB505" s="163">
        <v>184633.57</v>
      </c>
      <c r="CC505" s="163">
        <v>361386.11</v>
      </c>
      <c r="CD505" s="163">
        <v>145975.93</v>
      </c>
      <c r="CE505" s="163">
        <v>129602.64</v>
      </c>
      <c r="CF505" s="163">
        <v>155441.84</v>
      </c>
      <c r="CG505" s="163">
        <v>213753.31</v>
      </c>
      <c r="CH505" s="163">
        <v>142907.10999999999</v>
      </c>
      <c r="CI505" s="163">
        <v>99204.78</v>
      </c>
      <c r="CJ505" s="163">
        <v>126124.36</v>
      </c>
      <c r="CK505" s="163">
        <v>35010.19</v>
      </c>
      <c r="CL505" s="163">
        <v>239795.24</v>
      </c>
      <c r="CM505" s="163">
        <v>176391.86</v>
      </c>
      <c r="CN505" s="163">
        <v>169357.84</v>
      </c>
      <c r="CO505" s="163">
        <v>223633.18</v>
      </c>
      <c r="CP505" s="163">
        <v>200492.17</v>
      </c>
      <c r="CQ505" s="163">
        <v>120743.92</v>
      </c>
      <c r="CR505" s="163">
        <v>335522.96999999997</v>
      </c>
      <c r="CS505" s="163">
        <v>147099.53</v>
      </c>
      <c r="CT505" s="163">
        <v>120499.74</v>
      </c>
      <c r="CU505" s="163">
        <v>789810.57</v>
      </c>
      <c r="CV505" s="163">
        <v>28124.6</v>
      </c>
      <c r="CW505" s="163">
        <v>272287.74</v>
      </c>
      <c r="CX505" s="163">
        <v>366012.11</v>
      </c>
      <c r="CY505" s="163">
        <v>466589.77</v>
      </c>
      <c r="CZ505" s="163">
        <v>658167.25</v>
      </c>
      <c r="DA505" s="163">
        <v>396320.9</v>
      </c>
      <c r="DB505" s="163">
        <v>439896.05</v>
      </c>
      <c r="DC505" s="163">
        <v>374419.74</v>
      </c>
      <c r="DD505" s="163">
        <v>466198.69</v>
      </c>
      <c r="DE505" s="163">
        <f>VLOOKUP($A505,'[2]Analysis 1'!$A$5:$DG$1025,109,FALSE)</f>
        <v>409895.53</v>
      </c>
      <c r="DF505" s="163">
        <f>VLOOKUP($A505,'[2]Analysis 1'!$A$5:$DG$1025,110,FALSE)</f>
        <v>226388.35</v>
      </c>
      <c r="DG505" s="163">
        <f>VLOOKUP($A505,'[2]Analysis 1'!$A$5:$DG$1025,111,FALSE)</f>
        <v>794417.12</v>
      </c>
      <c r="DH505" s="369">
        <f t="shared" si="20"/>
        <v>4898717.8499999996</v>
      </c>
    </row>
    <row r="506" spans="1:112">
      <c r="A506" s="335" t="s">
        <v>1346</v>
      </c>
      <c r="D506" s="369">
        <v>12847.35</v>
      </c>
      <c r="E506" s="369">
        <v>12847.35</v>
      </c>
      <c r="F506" s="369">
        <v>12847.35</v>
      </c>
      <c r="G506" s="369">
        <v>13836.8</v>
      </c>
      <c r="H506" s="369">
        <v>12432.92</v>
      </c>
      <c r="I506" s="369">
        <v>12432.92</v>
      </c>
      <c r="J506" s="369">
        <v>12342.64</v>
      </c>
      <c r="K506" s="369">
        <v>12444.22</v>
      </c>
      <c r="L506" s="369">
        <v>12363.09</v>
      </c>
      <c r="M506" s="369">
        <v>12430.7</v>
      </c>
      <c r="N506" s="369">
        <v>12430.7</v>
      </c>
      <c r="O506" s="369">
        <v>12430.7</v>
      </c>
      <c r="P506" s="48">
        <v>12430.7</v>
      </c>
      <c r="Q506" s="48">
        <v>12430.7</v>
      </c>
      <c r="R506" s="48">
        <v>12394.7</v>
      </c>
      <c r="S506" s="48">
        <v>12430.7</v>
      </c>
      <c r="T506" s="48">
        <v>10111.280000000001</v>
      </c>
      <c r="U506" s="48">
        <v>10847.27</v>
      </c>
      <c r="V506" s="48">
        <v>10847.27</v>
      </c>
      <c r="W506" s="48">
        <v>10847.27</v>
      </c>
      <c r="X506" s="48">
        <v>10847.27</v>
      </c>
      <c r="Y506" s="48">
        <v>10847.27</v>
      </c>
      <c r="Z506" s="48">
        <v>10847.27</v>
      </c>
      <c r="AA506" s="48">
        <v>10847.27</v>
      </c>
      <c r="AB506" s="48">
        <v>10797.27</v>
      </c>
      <c r="AC506" s="48">
        <v>10824.57</v>
      </c>
      <c r="AD506" s="48">
        <v>10847.25</v>
      </c>
      <c r="AE506" s="163">
        <v>10153.23</v>
      </c>
      <c r="AF506" s="163">
        <v>10175.23</v>
      </c>
      <c r="AG506" s="163">
        <v>10175.23</v>
      </c>
      <c r="AH506" s="163">
        <v>10175.23</v>
      </c>
      <c r="AI506" s="163">
        <v>10175.23</v>
      </c>
      <c r="AJ506" s="163">
        <v>10175.23</v>
      </c>
      <c r="AK506" s="163">
        <v>10175.23</v>
      </c>
      <c r="AL506" s="163">
        <v>10175.23</v>
      </c>
      <c r="AM506" s="163">
        <v>10175.23</v>
      </c>
      <c r="AN506" s="163">
        <v>10175.23</v>
      </c>
      <c r="AO506" s="163">
        <v>10175.23</v>
      </c>
      <c r="AP506" s="163">
        <v>8660.81</v>
      </c>
      <c r="AQ506" s="163">
        <v>8020.49</v>
      </c>
      <c r="AR506" s="163">
        <v>8338.9599999999991</v>
      </c>
      <c r="AS506" s="163">
        <v>8286.43</v>
      </c>
      <c r="AT506" s="163">
        <v>8238.15</v>
      </c>
      <c r="AU506" s="163">
        <v>8286.43</v>
      </c>
      <c r="AV506" s="163">
        <v>8286.43</v>
      </c>
      <c r="AW506" s="163">
        <v>8286.43</v>
      </c>
      <c r="AX506" s="163">
        <v>8286.43</v>
      </c>
      <c r="AY506" s="163">
        <v>8215.5400000000009</v>
      </c>
      <c r="AZ506" s="163">
        <v>8109.33</v>
      </c>
      <c r="BA506" s="163">
        <v>8531.65</v>
      </c>
      <c r="BB506" s="163">
        <v>8888.06</v>
      </c>
      <c r="BC506" s="163">
        <v>8497.76</v>
      </c>
      <c r="BD506" s="163">
        <v>8497.76</v>
      </c>
      <c r="BE506" s="163">
        <v>8497.76</v>
      </c>
      <c r="BF506" s="163">
        <v>8497.76</v>
      </c>
      <c r="BG506" s="163">
        <v>8497.76</v>
      </c>
      <c r="BH506" s="163">
        <v>8497.76</v>
      </c>
      <c r="BI506" s="163">
        <v>8497.76</v>
      </c>
      <c r="BJ506" s="163">
        <v>8497.76</v>
      </c>
      <c r="BK506" s="163">
        <v>10499.62</v>
      </c>
      <c r="BL506" s="163">
        <v>10470.68</v>
      </c>
      <c r="BM506" s="163">
        <v>4290.24</v>
      </c>
      <c r="BN506" s="163">
        <v>8414.4699999999993</v>
      </c>
      <c r="BO506" s="163">
        <v>8414.4699999999993</v>
      </c>
      <c r="BP506" s="163">
        <v>8414.4699999999993</v>
      </c>
      <c r="BQ506" s="163">
        <v>8414.4699999999993</v>
      </c>
      <c r="BR506" s="163">
        <v>8414.4699999999993</v>
      </c>
      <c r="BS506" s="163">
        <v>583335.51</v>
      </c>
      <c r="BT506" s="163">
        <v>614382.68999999994</v>
      </c>
      <c r="BU506" s="163">
        <v>612467.52</v>
      </c>
      <c r="BV506" s="163">
        <v>692353.85</v>
      </c>
      <c r="BW506" s="163">
        <v>961813.33</v>
      </c>
      <c r="BX506" s="163">
        <v>8713.26</v>
      </c>
      <c r="BY506" s="163">
        <v>8969.11</v>
      </c>
      <c r="BZ506" s="163">
        <v>8789.67</v>
      </c>
      <c r="CA506" s="163">
        <v>8789.67</v>
      </c>
      <c r="CB506" s="163">
        <v>8789.67</v>
      </c>
      <c r="CC506" s="163">
        <v>6601.25</v>
      </c>
      <c r="CD506" s="163">
        <v>7823.41</v>
      </c>
      <c r="CE506" s="163">
        <v>8392.7099999999991</v>
      </c>
      <c r="CF506" s="163">
        <v>8280.1299999999992</v>
      </c>
      <c r="CG506" s="163">
        <v>52.43</v>
      </c>
      <c r="CH506" s="163">
        <v>3423.93</v>
      </c>
      <c r="CI506" s="163">
        <v>7740.55</v>
      </c>
      <c r="CJ506" s="163">
        <v>34742.83</v>
      </c>
      <c r="CK506" s="163">
        <v>34728.519999999997</v>
      </c>
      <c r="CL506" s="163">
        <v>35873.9</v>
      </c>
      <c r="CM506" s="163">
        <v>35873.9</v>
      </c>
      <c r="CN506" s="163">
        <v>36151.74</v>
      </c>
      <c r="CO506" s="163">
        <v>35966.53</v>
      </c>
      <c r="CP506" s="163">
        <v>35990.480000000003</v>
      </c>
      <c r="CQ506" s="163">
        <v>35966.53</v>
      </c>
      <c r="CR506" s="163">
        <v>35966.53</v>
      </c>
      <c r="CS506" s="163">
        <v>35966.53</v>
      </c>
      <c r="CT506" s="163">
        <v>35966.53</v>
      </c>
      <c r="CU506" s="163">
        <v>35966.53</v>
      </c>
      <c r="CV506" s="163">
        <v>36099.300000000003</v>
      </c>
      <c r="CW506" s="163">
        <v>36243.800000000003</v>
      </c>
      <c r="CX506" s="163">
        <v>37075.18</v>
      </c>
      <c r="CY506" s="163">
        <v>35550.22</v>
      </c>
      <c r="CZ506" s="163">
        <v>37175.22</v>
      </c>
      <c r="DA506" s="163">
        <v>37149.019999999997</v>
      </c>
      <c r="DB506" s="163">
        <v>42451.4</v>
      </c>
      <c r="DC506" s="163">
        <v>37407.67</v>
      </c>
      <c r="DD506" s="163">
        <v>38281.24</v>
      </c>
      <c r="DE506" s="163">
        <f>VLOOKUP($A506,'[2]Analysis 1'!$A$5:$DG$1025,109,FALSE)</f>
        <v>38196.68</v>
      </c>
      <c r="DF506" s="163">
        <f>VLOOKUP($A506,'[2]Analysis 1'!$A$5:$DG$1025,110,FALSE)</f>
        <v>38196.68</v>
      </c>
      <c r="DG506" s="163">
        <f>VLOOKUP($A506,'[2]Analysis 1'!$A$5:$DG$1025,111,FALSE)</f>
        <v>38196.68</v>
      </c>
      <c r="DH506" s="369">
        <f t="shared" si="20"/>
        <v>452023.08999999997</v>
      </c>
    </row>
    <row r="507" spans="1:112">
      <c r="A507" s="335" t="s">
        <v>1347</v>
      </c>
      <c r="D507" s="369">
        <v>705136.09</v>
      </c>
      <c r="E507" s="369">
        <v>252274.32</v>
      </c>
      <c r="F507" s="369">
        <v>-2589614.4</v>
      </c>
      <c r="G507" s="369">
        <v>300916.74</v>
      </c>
      <c r="H507" s="369">
        <v>331375.81</v>
      </c>
      <c r="I507" s="369">
        <v>6772.13</v>
      </c>
      <c r="J507" s="369">
        <v>282726.21000000002</v>
      </c>
      <c r="K507" s="369">
        <v>384208.91</v>
      </c>
      <c r="L507" s="369">
        <v>184696.09</v>
      </c>
      <c r="M507" s="369">
        <v>375768.24</v>
      </c>
      <c r="N507" s="369">
        <v>376374.42</v>
      </c>
      <c r="O507" s="369">
        <v>-83772.149999999994</v>
      </c>
      <c r="P507" s="48">
        <v>277767.5</v>
      </c>
      <c r="Q507" s="48">
        <v>196006.53</v>
      </c>
      <c r="R507" s="48">
        <v>-213425.66</v>
      </c>
      <c r="S507" s="48">
        <v>133253.94</v>
      </c>
      <c r="T507" s="48">
        <v>166822.54999999999</v>
      </c>
      <c r="U507" s="48">
        <v>-3151.44</v>
      </c>
      <c r="V507" s="48">
        <v>249987.86</v>
      </c>
      <c r="W507" s="48">
        <v>284194.89</v>
      </c>
      <c r="X507" s="48">
        <v>133478.69</v>
      </c>
      <c r="Y507" s="48">
        <v>223038.31</v>
      </c>
      <c r="Z507" s="48">
        <v>630512.07999999996</v>
      </c>
      <c r="AA507" s="48">
        <v>850119.82</v>
      </c>
      <c r="AB507" s="48">
        <v>193769.68</v>
      </c>
      <c r="AC507" s="48">
        <v>289334.92</v>
      </c>
      <c r="AD507" s="48">
        <v>-187556.28</v>
      </c>
      <c r="AE507" s="163">
        <v>18432.080000000002</v>
      </c>
      <c r="AF507" s="163">
        <v>337289.71</v>
      </c>
      <c r="AG507" s="163">
        <v>826118.79</v>
      </c>
      <c r="AH507" s="163">
        <v>966.14</v>
      </c>
      <c r="AI507" s="163">
        <v>290629.57</v>
      </c>
      <c r="AJ507" s="163">
        <v>-32399.24</v>
      </c>
      <c r="AK507" s="163">
        <v>244313.86</v>
      </c>
      <c r="AL507" s="163">
        <v>204113.21</v>
      </c>
      <c r="AM507" s="163">
        <v>1136756.44</v>
      </c>
      <c r="AN507" s="163">
        <v>16437.91</v>
      </c>
      <c r="AO507" s="163">
        <v>157763.84</v>
      </c>
      <c r="AP507" s="163">
        <v>106877.49</v>
      </c>
      <c r="AQ507" s="163">
        <v>363575.43</v>
      </c>
      <c r="AR507" s="163">
        <v>207100.89</v>
      </c>
      <c r="AS507" s="163">
        <v>100250.14</v>
      </c>
      <c r="AT507" s="163">
        <v>403564.2</v>
      </c>
      <c r="AU507" s="163">
        <v>119698.64</v>
      </c>
      <c r="AV507" s="163">
        <v>604641.86</v>
      </c>
      <c r="AW507" s="163">
        <v>293427.73</v>
      </c>
      <c r="AX507" s="163">
        <v>427936.73</v>
      </c>
      <c r="AY507" s="163">
        <v>-6760.9</v>
      </c>
      <c r="AZ507" s="163">
        <v>410675.99</v>
      </c>
      <c r="BA507" s="163">
        <v>282646.42</v>
      </c>
      <c r="BB507" s="163">
        <v>230646.55</v>
      </c>
      <c r="BC507" s="163">
        <v>267422.05</v>
      </c>
      <c r="BD507" s="163">
        <v>583405.31000000006</v>
      </c>
      <c r="BE507" s="163">
        <v>192503.27</v>
      </c>
      <c r="BF507" s="163">
        <v>183169.98</v>
      </c>
      <c r="BG507" s="163">
        <v>-12139.59</v>
      </c>
      <c r="BH507" s="163">
        <v>338979.68</v>
      </c>
      <c r="BI507" s="163">
        <v>401110.41</v>
      </c>
      <c r="BJ507" s="163">
        <v>443394.64</v>
      </c>
      <c r="BK507" s="163">
        <v>525834.46</v>
      </c>
      <c r="BL507" s="163">
        <v>299335.7</v>
      </c>
      <c r="BM507" s="163">
        <v>267596.98</v>
      </c>
      <c r="BN507" s="163">
        <v>1120990.98</v>
      </c>
      <c r="BO507" s="163">
        <v>332702.37</v>
      </c>
      <c r="BP507" s="163">
        <v>343980.54</v>
      </c>
      <c r="BQ507" s="163">
        <v>254336.55</v>
      </c>
      <c r="BR507" s="163">
        <v>1251410</v>
      </c>
      <c r="BS507" s="163">
        <v>498052.81</v>
      </c>
      <c r="BT507" s="163">
        <v>20824.93</v>
      </c>
      <c r="BU507" s="163">
        <v>671799.76</v>
      </c>
      <c r="BV507" s="163">
        <v>675872.35</v>
      </c>
      <c r="BW507" s="163">
        <v>1221614.3799999999</v>
      </c>
      <c r="BX507" s="163">
        <v>105195.34</v>
      </c>
      <c r="BY507" s="163">
        <v>667915.96</v>
      </c>
      <c r="BZ507" s="163">
        <v>-437170.51</v>
      </c>
      <c r="CA507" s="163">
        <v>348999.75</v>
      </c>
      <c r="CB507" s="163">
        <v>228308.03</v>
      </c>
      <c r="CC507" s="163">
        <v>593640.52</v>
      </c>
      <c r="CD507" s="163">
        <v>473007.27</v>
      </c>
      <c r="CE507" s="163">
        <v>892507.87</v>
      </c>
      <c r="CF507" s="163">
        <v>587756.43999999994</v>
      </c>
      <c r="CG507" s="163">
        <v>875648.5</v>
      </c>
      <c r="CH507" s="163">
        <v>440130.26</v>
      </c>
      <c r="CI507" s="163">
        <v>1314107.5900000001</v>
      </c>
      <c r="CJ507" s="163">
        <v>26944.3</v>
      </c>
      <c r="CK507" s="163">
        <v>553837.67000000004</v>
      </c>
      <c r="CL507" s="163">
        <v>721397.54</v>
      </c>
      <c r="CM507" s="163">
        <v>359935.43</v>
      </c>
      <c r="CN507" s="163">
        <v>1111661.42</v>
      </c>
      <c r="CO507" s="163">
        <v>211334.33</v>
      </c>
      <c r="CP507" s="163">
        <v>748912.23</v>
      </c>
      <c r="CQ507" s="163">
        <v>528536.56000000006</v>
      </c>
      <c r="CR507" s="163">
        <v>925155.19</v>
      </c>
      <c r="CS507" s="163">
        <v>582753.55000000005</v>
      </c>
      <c r="CT507" s="163">
        <v>844085.25</v>
      </c>
      <c r="CU507" s="163">
        <v>2557574.38</v>
      </c>
      <c r="CV507" s="163">
        <v>-57199.71</v>
      </c>
      <c r="CW507" s="163">
        <v>814007.88</v>
      </c>
      <c r="CX507" s="163">
        <v>359285.49</v>
      </c>
      <c r="CY507" s="163">
        <v>645681.81999999995</v>
      </c>
      <c r="CZ507" s="163">
        <v>762752.73</v>
      </c>
      <c r="DA507" s="163">
        <v>712722.48</v>
      </c>
      <c r="DB507" s="163">
        <v>1084880.76</v>
      </c>
      <c r="DC507" s="163">
        <v>450324.14</v>
      </c>
      <c r="DD507" s="163">
        <v>1708192.77</v>
      </c>
      <c r="DE507" s="163">
        <f>VLOOKUP($A507,'[2]Analysis 1'!$A$5:$DG$1025,109,FALSE)</f>
        <v>1693769.74</v>
      </c>
      <c r="DF507" s="163">
        <f>VLOOKUP($A507,'[2]Analysis 1'!$A$5:$DG$1025,110,FALSE)</f>
        <v>392607.02</v>
      </c>
      <c r="DG507" s="163">
        <f>VLOOKUP($A507,'[2]Analysis 1'!$A$5:$DG$1025,111,FALSE)</f>
        <v>321947.90000000002</v>
      </c>
      <c r="DH507" s="369">
        <f t="shared" si="20"/>
        <v>8888973.0199999996</v>
      </c>
    </row>
    <row r="508" spans="1:112">
      <c r="A508" s="335" t="s">
        <v>1348</v>
      </c>
      <c r="D508" s="369">
        <v>872469.75</v>
      </c>
      <c r="E508" s="369">
        <v>736308.28</v>
      </c>
      <c r="F508" s="369">
        <v>935269.93</v>
      </c>
      <c r="G508" s="369">
        <v>696702.4</v>
      </c>
      <c r="H508" s="369">
        <v>1021762.65</v>
      </c>
      <c r="I508" s="369">
        <v>871953.47</v>
      </c>
      <c r="J508" s="369">
        <v>801306.68</v>
      </c>
      <c r="K508" s="369">
        <v>1236817.96</v>
      </c>
      <c r="L508" s="369">
        <v>1026431.61</v>
      </c>
      <c r="M508" s="369">
        <v>763911.27</v>
      </c>
      <c r="N508" s="369">
        <v>929867.12</v>
      </c>
      <c r="O508" s="369">
        <v>1689443.21</v>
      </c>
      <c r="P508" s="48">
        <v>559341.97</v>
      </c>
      <c r="Q508" s="48">
        <v>821563.77</v>
      </c>
      <c r="R508" s="48">
        <v>734816.15</v>
      </c>
      <c r="S508" s="48">
        <v>545093.11</v>
      </c>
      <c r="T508" s="48">
        <v>959858.46</v>
      </c>
      <c r="U508" s="48">
        <v>758013.58</v>
      </c>
      <c r="V508" s="48">
        <v>562891.81000000006</v>
      </c>
      <c r="W508" s="48">
        <v>843225.26</v>
      </c>
      <c r="X508" s="48">
        <v>771682.18</v>
      </c>
      <c r="Y508" s="48">
        <v>715923.81</v>
      </c>
      <c r="Z508" s="48">
        <v>984253.78</v>
      </c>
      <c r="AA508" s="48">
        <v>381421.94</v>
      </c>
      <c r="AB508" s="48">
        <v>755578.03</v>
      </c>
      <c r="AC508" s="48">
        <v>964401.17</v>
      </c>
      <c r="AD508" s="48">
        <v>458802.76</v>
      </c>
      <c r="AE508" s="163">
        <v>673680.48</v>
      </c>
      <c r="AF508" s="163">
        <v>785302.57</v>
      </c>
      <c r="AG508" s="163">
        <v>512871.08</v>
      </c>
      <c r="AH508" s="163">
        <v>639768.68999999994</v>
      </c>
      <c r="AI508" s="163">
        <v>657967.31999999995</v>
      </c>
      <c r="AJ508" s="163">
        <v>1288117.55</v>
      </c>
      <c r="AK508" s="163">
        <v>803932.44</v>
      </c>
      <c r="AL508" s="163">
        <v>582732.98</v>
      </c>
      <c r="AM508" s="163">
        <v>910700.96</v>
      </c>
      <c r="AN508" s="163">
        <v>756196.46</v>
      </c>
      <c r="AO508" s="163">
        <v>697806.57</v>
      </c>
      <c r="AP508" s="163">
        <v>469150.32</v>
      </c>
      <c r="AQ508" s="163">
        <v>645921.31000000006</v>
      </c>
      <c r="AR508" s="163">
        <v>553475.18000000005</v>
      </c>
      <c r="AS508" s="163">
        <v>436312.54</v>
      </c>
      <c r="AT508" s="163">
        <v>670163.59</v>
      </c>
      <c r="AU508" s="163">
        <v>859419.68</v>
      </c>
      <c r="AV508" s="163">
        <v>678743.47</v>
      </c>
      <c r="AW508" s="163">
        <v>695528.71</v>
      </c>
      <c r="AX508" s="163">
        <v>879534.69</v>
      </c>
      <c r="AY508" s="163">
        <v>-232014.77</v>
      </c>
      <c r="AZ508" s="163">
        <v>850917.78</v>
      </c>
      <c r="BA508" s="163">
        <v>829499.45</v>
      </c>
      <c r="BB508" s="163">
        <v>685921.46</v>
      </c>
      <c r="BC508" s="163">
        <v>905787.98</v>
      </c>
      <c r="BD508" s="163">
        <v>805129.46</v>
      </c>
      <c r="BE508" s="163">
        <v>773924.65</v>
      </c>
      <c r="BF508" s="163">
        <v>914744.61</v>
      </c>
      <c r="BG508" s="163">
        <v>1004055.66</v>
      </c>
      <c r="BH508" s="163">
        <v>332940.57</v>
      </c>
      <c r="BI508" s="163">
        <v>980712.6</v>
      </c>
      <c r="BJ508" s="163">
        <v>1221743.1000000001</v>
      </c>
      <c r="BK508" s="163">
        <v>306146.74</v>
      </c>
      <c r="BL508" s="163">
        <v>1240740.81</v>
      </c>
      <c r="BM508" s="163">
        <v>918338.58</v>
      </c>
      <c r="BN508" s="163">
        <v>1002172.64</v>
      </c>
      <c r="BO508" s="163">
        <v>854033.79</v>
      </c>
      <c r="BP508" s="163">
        <v>901851.91</v>
      </c>
      <c r="BQ508" s="163">
        <v>975153.17</v>
      </c>
      <c r="BR508" s="163">
        <v>504608.99</v>
      </c>
      <c r="BS508" s="163">
        <v>855350.79</v>
      </c>
      <c r="BT508" s="163">
        <v>1173069.6399999999</v>
      </c>
      <c r="BU508" s="163">
        <v>672560.28</v>
      </c>
      <c r="BV508" s="163">
        <v>681548.80000000005</v>
      </c>
      <c r="BW508" s="163">
        <v>689712.06</v>
      </c>
      <c r="BX508" s="163">
        <v>721088.44</v>
      </c>
      <c r="BY508" s="163">
        <v>1422405.47</v>
      </c>
      <c r="BZ508" s="163">
        <v>879758.39</v>
      </c>
      <c r="CA508" s="163">
        <v>816445.43</v>
      </c>
      <c r="CB508" s="163">
        <v>655416.61</v>
      </c>
      <c r="CC508" s="163">
        <v>652955.94999999995</v>
      </c>
      <c r="CD508" s="163">
        <v>787920.93</v>
      </c>
      <c r="CE508" s="163">
        <v>708204.54</v>
      </c>
      <c r="CF508" s="163">
        <v>704825.03</v>
      </c>
      <c r="CG508" s="163">
        <v>928122.83</v>
      </c>
      <c r="CH508" s="163">
        <v>1270330.2</v>
      </c>
      <c r="CI508" s="163">
        <v>1734983.29</v>
      </c>
      <c r="CJ508" s="163">
        <v>1509564.55</v>
      </c>
      <c r="CK508" s="163">
        <v>854410.81</v>
      </c>
      <c r="CL508" s="163">
        <v>553894.30000000005</v>
      </c>
      <c r="CM508" s="163">
        <v>1122852.48</v>
      </c>
      <c r="CN508" s="163">
        <v>981225.57</v>
      </c>
      <c r="CO508" s="163">
        <v>757821.93</v>
      </c>
      <c r="CP508" s="163">
        <v>1515664.19</v>
      </c>
      <c r="CQ508" s="163">
        <v>1541319.32</v>
      </c>
      <c r="CR508" s="163">
        <v>884052.26</v>
      </c>
      <c r="CS508" s="163">
        <v>1545339.61</v>
      </c>
      <c r="CT508" s="163">
        <v>1321945.21</v>
      </c>
      <c r="CU508" s="163">
        <v>-1174907.57</v>
      </c>
      <c r="CV508" s="163">
        <v>1092564.27</v>
      </c>
      <c r="CW508" s="163">
        <v>570383.06000000006</v>
      </c>
      <c r="CX508" s="163">
        <v>583789.46</v>
      </c>
      <c r="CY508" s="163">
        <v>933261.48</v>
      </c>
      <c r="CZ508" s="163">
        <v>632218.02</v>
      </c>
      <c r="DA508" s="163">
        <v>2292062.94</v>
      </c>
      <c r="DB508" s="163">
        <v>661374.68999999994</v>
      </c>
      <c r="DC508" s="163">
        <v>219756.47</v>
      </c>
      <c r="DD508" s="163">
        <v>485008.35</v>
      </c>
      <c r="DE508" s="163">
        <f>VLOOKUP($A508,'[2]Analysis 1'!$A$5:$DG$1025,109,FALSE)</f>
        <v>994179.97</v>
      </c>
      <c r="DF508" s="163">
        <f>VLOOKUP($A508,'[2]Analysis 1'!$A$5:$DG$1025,110,FALSE)</f>
        <v>609532.67000000004</v>
      </c>
      <c r="DG508" s="163">
        <f>VLOOKUP($A508,'[2]Analysis 1'!$A$5:$DG$1025,111,FALSE)</f>
        <v>1109138.24</v>
      </c>
      <c r="DH508" s="369">
        <f t="shared" si="20"/>
        <v>10183269.619999999</v>
      </c>
    </row>
    <row r="509" spans="1:112">
      <c r="A509" s="357" t="s">
        <v>2507</v>
      </c>
      <c r="D509" s="369"/>
      <c r="E509" s="369"/>
      <c r="F509" s="369"/>
      <c r="G509" s="369"/>
      <c r="H509" s="369"/>
      <c r="I509" s="369"/>
      <c r="J509" s="369"/>
      <c r="K509" s="369"/>
      <c r="L509" s="369"/>
      <c r="M509" s="369"/>
      <c r="N509" s="369"/>
      <c r="O509" s="369"/>
      <c r="P509" s="48"/>
      <c r="Q509" s="48"/>
      <c r="R509" s="48"/>
      <c r="S509" s="48"/>
      <c r="T509" s="48"/>
      <c r="U509" s="48"/>
      <c r="V509" s="48"/>
      <c r="W509" s="48"/>
      <c r="X509" s="48"/>
      <c r="Y509" s="48"/>
      <c r="Z509" s="48"/>
      <c r="AA509" s="48"/>
      <c r="AB509" s="48"/>
      <c r="AC509" s="48"/>
      <c r="AD509" s="48"/>
      <c r="AE509" s="163"/>
      <c r="AF509" s="163"/>
      <c r="AG509" s="163"/>
      <c r="AH509" s="163"/>
      <c r="AI509" s="163"/>
      <c r="AJ509" s="163"/>
      <c r="AK509" s="163"/>
      <c r="AL509" s="163"/>
      <c r="AM509" s="163"/>
      <c r="AN509" s="163"/>
      <c r="AO509" s="163"/>
      <c r="AP509" s="163"/>
      <c r="AQ509" s="163"/>
      <c r="AR509" s="163"/>
      <c r="AS509" s="163"/>
      <c r="AT509" s="163"/>
      <c r="AU509" s="163"/>
      <c r="AV509" s="163"/>
      <c r="AW509" s="163"/>
      <c r="AX509" s="163"/>
      <c r="AY509" s="163"/>
      <c r="AZ509" s="163"/>
      <c r="BA509" s="163"/>
      <c r="BB509" s="163"/>
      <c r="BC509" s="163"/>
      <c r="BD509" s="163"/>
      <c r="BE509" s="163"/>
      <c r="BF509" s="163"/>
      <c r="BG509" s="163"/>
      <c r="BH509" s="163"/>
      <c r="BI509" s="163"/>
      <c r="BJ509" s="163"/>
      <c r="BK509" s="163"/>
      <c r="BL509" s="163"/>
      <c r="BM509" s="163"/>
      <c r="BN509" s="163"/>
      <c r="BO509" s="163"/>
      <c r="BP509" s="163"/>
      <c r="BQ509" s="163"/>
      <c r="BR509" s="163"/>
      <c r="BS509" s="163"/>
      <c r="BT509" s="163"/>
      <c r="BU509" s="163"/>
      <c r="BV509" s="163"/>
      <c r="BW509" s="163"/>
      <c r="BX509" s="163"/>
      <c r="BY509" s="163"/>
      <c r="BZ509" s="163"/>
      <c r="CA509" s="163"/>
      <c r="CB509" s="163"/>
      <c r="CC509" s="163">
        <v>526.23</v>
      </c>
      <c r="CD509" s="163">
        <v>-567.46</v>
      </c>
      <c r="CE509" s="163">
        <v>0</v>
      </c>
      <c r="CF509" s="163">
        <v>0</v>
      </c>
      <c r="CG509" s="163">
        <v>0</v>
      </c>
      <c r="CH509" s="163">
        <v>0</v>
      </c>
      <c r="CI509" s="163">
        <v>0</v>
      </c>
      <c r="CJ509" s="163">
        <v>34179.129999999997</v>
      </c>
      <c r="CK509" s="163">
        <v>35838.28</v>
      </c>
      <c r="CL509" s="163">
        <v>35012.35</v>
      </c>
      <c r="CM509" s="163">
        <v>35009.919999999998</v>
      </c>
      <c r="CN509" s="163">
        <v>36408.83</v>
      </c>
      <c r="CO509" s="163">
        <v>35289.699999999997</v>
      </c>
      <c r="CP509" s="163">
        <v>35289.699999999997</v>
      </c>
      <c r="CQ509" s="163">
        <v>35289.699999999997</v>
      </c>
      <c r="CR509" s="163">
        <v>35289.699999999997</v>
      </c>
      <c r="CS509" s="163">
        <v>35289.699999999997</v>
      </c>
      <c r="CT509" s="163">
        <v>35289.699999999997</v>
      </c>
      <c r="CU509" s="163">
        <v>35289.699999999997</v>
      </c>
      <c r="CV509" s="163">
        <v>35289.699999999997</v>
      </c>
      <c r="CW509" s="163">
        <v>35289.699999999997</v>
      </c>
      <c r="CX509" s="163">
        <v>35289.699999999997</v>
      </c>
      <c r="CY509" s="163">
        <v>35289.699999999997</v>
      </c>
      <c r="CZ509" s="163">
        <v>35289.699999999997</v>
      </c>
      <c r="DA509" s="163">
        <v>35289.699999999997</v>
      </c>
      <c r="DB509" s="163">
        <v>35289.699999999997</v>
      </c>
      <c r="DC509" s="163">
        <v>35289.699999999997</v>
      </c>
      <c r="DD509" s="163">
        <v>35289.699999999997</v>
      </c>
      <c r="DE509" s="163">
        <f>VLOOKUP($A509,'[2]Analysis 1'!$A$5:$DG$1025,109,FALSE)</f>
        <v>35289.699999999997</v>
      </c>
      <c r="DF509" s="163">
        <f>VLOOKUP($A509,'[2]Analysis 1'!$A$5:$DG$1025,110,FALSE)</f>
        <v>35289.699999999997</v>
      </c>
      <c r="DG509" s="163">
        <f>VLOOKUP($A509,'[2]Analysis 1'!$A$5:$DG$1025,111,FALSE)</f>
        <v>35289.72</v>
      </c>
      <c r="DH509" s="369">
        <f t="shared" si="20"/>
        <v>423476.42000000004</v>
      </c>
    </row>
    <row r="510" spans="1:112">
      <c r="A510" s="21" t="s">
        <v>1379</v>
      </c>
      <c r="D510" s="369"/>
      <c r="E510" s="369"/>
      <c r="F510" s="369"/>
      <c r="G510" s="369"/>
      <c r="H510" s="369"/>
      <c r="I510" s="369"/>
      <c r="J510" s="369"/>
      <c r="K510" s="369"/>
      <c r="L510" s="369"/>
      <c r="M510" s="369"/>
      <c r="N510" s="369"/>
      <c r="O510" s="369"/>
      <c r="P510" s="48"/>
      <c r="Q510" s="48">
        <v>800</v>
      </c>
      <c r="R510" s="48"/>
      <c r="S510" s="48"/>
      <c r="T510" s="48"/>
      <c r="U510" s="48">
        <v>10000</v>
      </c>
      <c r="V510" s="48">
        <v>1450.16</v>
      </c>
      <c r="W510" s="48">
        <v>0</v>
      </c>
      <c r="X510" s="48">
        <v>870.93</v>
      </c>
      <c r="Y510" s="48">
        <v>299</v>
      </c>
      <c r="Z510" s="48">
        <v>0</v>
      </c>
      <c r="AA510" s="48">
        <v>0</v>
      </c>
      <c r="AB510" s="48">
        <v>603.69000000000005</v>
      </c>
      <c r="AC510" s="48">
        <v>99.64</v>
      </c>
      <c r="AD510" s="48">
        <v>0</v>
      </c>
      <c r="AE510" s="163">
        <v>0</v>
      </c>
      <c r="AF510" s="163">
        <v>0</v>
      </c>
      <c r="AG510" s="163">
        <v>0</v>
      </c>
      <c r="AH510" s="163">
        <v>0</v>
      </c>
      <c r="AI510" s="163">
        <v>83.64</v>
      </c>
      <c r="AJ510" s="163">
        <v>0</v>
      </c>
      <c r="AK510" s="163">
        <v>5230</v>
      </c>
      <c r="AL510" s="163">
        <v>0</v>
      </c>
      <c r="AM510" s="163">
        <v>14000</v>
      </c>
      <c r="AN510" s="163">
        <v>0</v>
      </c>
      <c r="AO510" s="163">
        <v>7000</v>
      </c>
      <c r="AP510" s="163">
        <v>0</v>
      </c>
      <c r="AQ510" s="163">
        <v>7000</v>
      </c>
      <c r="AR510" s="163">
        <v>-593.92999999999995</v>
      </c>
      <c r="AS510" s="163">
        <v>0</v>
      </c>
      <c r="AT510" s="163">
        <v>0</v>
      </c>
      <c r="AU510" s="163">
        <v>0</v>
      </c>
      <c r="AV510" s="163">
        <v>0</v>
      </c>
      <c r="AW510" s="163">
        <v>0</v>
      </c>
      <c r="AX510" s="163">
        <v>0</v>
      </c>
      <c r="AY510" s="163">
        <v>0</v>
      </c>
      <c r="AZ510" s="163">
        <v>0</v>
      </c>
      <c r="BA510" s="163">
        <v>0</v>
      </c>
      <c r="BB510" s="163">
        <v>0</v>
      </c>
      <c r="BC510" s="163">
        <v>207.2</v>
      </c>
      <c r="BD510" s="163">
        <v>0</v>
      </c>
      <c r="BE510" s="163">
        <v>0</v>
      </c>
      <c r="BF510" s="163">
        <v>0</v>
      </c>
      <c r="BG510" s="163">
        <v>398.16</v>
      </c>
      <c r="BH510" s="163">
        <v>0</v>
      </c>
      <c r="BI510" s="163">
        <v>0</v>
      </c>
      <c r="BJ510" s="163">
        <v>0</v>
      </c>
      <c r="BK510" s="163">
        <v>0</v>
      </c>
      <c r="BL510" s="163">
        <v>0</v>
      </c>
      <c r="BM510" s="163">
        <v>0</v>
      </c>
      <c r="BN510" s="163">
        <v>342.57</v>
      </c>
      <c r="BO510" s="163">
        <v>0</v>
      </c>
      <c r="BP510" s="163">
        <v>0</v>
      </c>
      <c r="BQ510" s="163">
        <v>0</v>
      </c>
      <c r="BR510" s="163">
        <v>564</v>
      </c>
      <c r="BS510" s="163">
        <v>0</v>
      </c>
      <c r="BT510" s="163">
        <v>0</v>
      </c>
      <c r="BU510" s="163">
        <v>0</v>
      </c>
      <c r="BV510" s="163">
        <v>680</v>
      </c>
      <c r="BW510" s="163">
        <v>-680</v>
      </c>
      <c r="BX510" s="163">
        <v>0</v>
      </c>
      <c r="BY510" s="163">
        <v>0</v>
      </c>
      <c r="BZ510" s="163">
        <v>0</v>
      </c>
      <c r="CA510" s="163">
        <v>0</v>
      </c>
      <c r="CB510" s="163">
        <v>0</v>
      </c>
      <c r="CC510" s="163">
        <v>0</v>
      </c>
      <c r="CD510" s="163">
        <v>0</v>
      </c>
      <c r="CE510" s="163">
        <v>0</v>
      </c>
      <c r="CF510" s="163">
        <v>231.6</v>
      </c>
      <c r="CG510" s="163">
        <v>0</v>
      </c>
      <c r="CH510" s="163">
        <v>0</v>
      </c>
      <c r="CI510" s="163">
        <v>0</v>
      </c>
      <c r="CJ510" s="163">
        <v>0</v>
      </c>
      <c r="CK510" s="163">
        <v>0</v>
      </c>
      <c r="CL510" s="163">
        <v>0</v>
      </c>
      <c r="CM510" s="163">
        <v>0.85</v>
      </c>
      <c r="CN510" s="163">
        <v>0</v>
      </c>
      <c r="CO510" s="163">
        <v>0</v>
      </c>
      <c r="CP510" s="163">
        <v>0</v>
      </c>
      <c r="CQ510" s="163">
        <v>0</v>
      </c>
      <c r="CR510" s="163">
        <v>677</v>
      </c>
      <c r="CS510" s="163">
        <v>0</v>
      </c>
      <c r="CT510" s="163">
        <v>0</v>
      </c>
      <c r="CU510" s="163">
        <v>0</v>
      </c>
      <c r="CV510" s="163">
        <v>0</v>
      </c>
      <c r="CW510" s="163">
        <v>0</v>
      </c>
      <c r="CX510" s="163">
        <v>0</v>
      </c>
      <c r="CY510" s="163">
        <v>0</v>
      </c>
      <c r="CZ510" s="163">
        <v>993</v>
      </c>
      <c r="DA510" s="163">
        <v>670.2</v>
      </c>
      <c r="DB510" s="163">
        <v>0</v>
      </c>
      <c r="DC510" s="163">
        <v>3353.66</v>
      </c>
      <c r="DD510" s="163">
        <v>3260.17</v>
      </c>
      <c r="DE510" s="163">
        <f>VLOOKUP($A510,'[2]Analysis 1'!$A$5:$DG$1025,109,FALSE)</f>
        <v>565</v>
      </c>
      <c r="DF510" s="163">
        <f>VLOOKUP($A510,'[2]Analysis 1'!$A$5:$DG$1025,110,FALSE)</f>
        <v>0</v>
      </c>
      <c r="DG510" s="163">
        <f>VLOOKUP($A510,'[2]Analysis 1'!$A$5:$DG$1025,111,FALSE)</f>
        <v>0</v>
      </c>
      <c r="DH510" s="369">
        <f t="shared" si="20"/>
        <v>8842.0299999999988</v>
      </c>
    </row>
    <row r="511" spans="1:112">
      <c r="A511" s="335" t="s">
        <v>1349</v>
      </c>
      <c r="D511" s="369">
        <v>1018003.35</v>
      </c>
      <c r="E511" s="369">
        <v>1234232.42</v>
      </c>
      <c r="F511" s="369">
        <v>1483281.21</v>
      </c>
      <c r="G511" s="369">
        <v>1028758.18</v>
      </c>
      <c r="H511" s="369">
        <v>1042095.07</v>
      </c>
      <c r="I511" s="369">
        <v>1164251.02</v>
      </c>
      <c r="J511" s="369">
        <v>1244794.5900000001</v>
      </c>
      <c r="K511" s="369">
        <v>968673.42</v>
      </c>
      <c r="L511" s="369">
        <v>973876.75</v>
      </c>
      <c r="M511" s="369">
        <v>1168368.29</v>
      </c>
      <c r="N511" s="369">
        <v>1068337.3700000001</v>
      </c>
      <c r="O511" s="369">
        <v>594014.31999999995</v>
      </c>
      <c r="P511" s="48">
        <v>1641189.63</v>
      </c>
      <c r="Q511" s="48">
        <v>1470540.86</v>
      </c>
      <c r="R511" s="48">
        <v>1681998.47</v>
      </c>
      <c r="S511" s="48">
        <v>1827169.85</v>
      </c>
      <c r="T511" s="48">
        <v>1253610.3899999999</v>
      </c>
      <c r="U511" s="48">
        <v>1395351.06</v>
      </c>
      <c r="V511" s="48">
        <v>1568140.28</v>
      </c>
      <c r="W511" s="48">
        <v>1412330.69</v>
      </c>
      <c r="X511" s="48">
        <v>1706591.63</v>
      </c>
      <c r="Y511" s="48">
        <v>1495261.55</v>
      </c>
      <c r="Z511" s="48">
        <v>1486659.53</v>
      </c>
      <c r="AA511" s="406">
        <v>1587097.48</v>
      </c>
      <c r="AB511" s="416">
        <v>1409620.83</v>
      </c>
      <c r="AC511" s="416">
        <v>1312285.0900000001</v>
      </c>
      <c r="AD511" s="422">
        <v>2495321</v>
      </c>
      <c r="AE511" s="163">
        <v>1447218.17</v>
      </c>
      <c r="AF511" s="416">
        <v>1356702.93</v>
      </c>
      <c r="AG511" s="416">
        <v>1579553.41</v>
      </c>
      <c r="AH511" s="416">
        <v>1402366.87</v>
      </c>
      <c r="AI511" s="416">
        <v>1170302.04</v>
      </c>
      <c r="AJ511" s="416">
        <v>1411840.9</v>
      </c>
      <c r="AK511" s="416">
        <v>1520661.49</v>
      </c>
      <c r="AL511" s="416">
        <v>1257213.3600000001</v>
      </c>
      <c r="AM511" s="416">
        <v>1848314.18</v>
      </c>
      <c r="AN511" s="416">
        <v>1391183.83</v>
      </c>
      <c r="AO511" s="416">
        <v>1251185.8600000001</v>
      </c>
      <c r="AP511" s="416">
        <v>1852205.24</v>
      </c>
      <c r="AQ511" s="416">
        <v>1498213.51</v>
      </c>
      <c r="AR511" s="416">
        <v>1508106.75</v>
      </c>
      <c r="AS511" s="416">
        <v>2210831.79</v>
      </c>
      <c r="AT511" s="416">
        <v>1513414.37</v>
      </c>
      <c r="AU511" s="416">
        <v>1536611.47</v>
      </c>
      <c r="AV511" s="416">
        <v>2050812.96</v>
      </c>
      <c r="AW511" s="416">
        <v>1208329.03</v>
      </c>
      <c r="AX511" s="416">
        <v>1540305.41</v>
      </c>
      <c r="AY511" s="416">
        <v>2193738.85</v>
      </c>
      <c r="AZ511" s="416">
        <v>1574001.94</v>
      </c>
      <c r="BA511" s="416">
        <v>1680663.99</v>
      </c>
      <c r="BB511" s="416">
        <v>1879242.74</v>
      </c>
      <c r="BC511" s="416">
        <v>1434903.4</v>
      </c>
      <c r="BD511" s="416">
        <v>1522921.49</v>
      </c>
      <c r="BE511" s="416">
        <v>2237279.88</v>
      </c>
      <c r="BF511" s="416">
        <v>1648180.22</v>
      </c>
      <c r="BG511" s="416">
        <v>1461012.64</v>
      </c>
      <c r="BH511" s="416">
        <v>2050735.04</v>
      </c>
      <c r="BI511" s="416">
        <v>1449135.74</v>
      </c>
      <c r="BJ511" s="416">
        <v>1384530.22</v>
      </c>
      <c r="BK511" s="416">
        <v>2452279.2799999998</v>
      </c>
      <c r="BL511" s="416">
        <v>1564556.99</v>
      </c>
      <c r="BM511" s="416">
        <v>1386338.97</v>
      </c>
      <c r="BN511" s="416">
        <v>2165731.42</v>
      </c>
      <c r="BO511" s="416">
        <v>1488568.95</v>
      </c>
      <c r="BP511" s="416">
        <v>1614011.03</v>
      </c>
      <c r="BQ511" s="416">
        <v>2195858.7799999998</v>
      </c>
      <c r="BR511" s="416">
        <v>1597327.3</v>
      </c>
      <c r="BS511" s="416">
        <v>1616261.37</v>
      </c>
      <c r="BT511" s="416">
        <v>2328502.1</v>
      </c>
      <c r="BU511" s="416">
        <v>1486688.41</v>
      </c>
      <c r="BV511" s="416">
        <v>1465660.15</v>
      </c>
      <c r="BW511" s="416">
        <v>2566127.08</v>
      </c>
      <c r="BX511" s="416">
        <v>1789667.99</v>
      </c>
      <c r="BY511" s="416">
        <v>1567557.89</v>
      </c>
      <c r="BZ511" s="416">
        <v>2533541.7200000002</v>
      </c>
      <c r="CA511" s="416">
        <v>1831631.63</v>
      </c>
      <c r="CB511" s="416">
        <v>2043369.36</v>
      </c>
      <c r="CC511" s="416">
        <v>1945005.34</v>
      </c>
      <c r="CD511" s="416">
        <v>1764478.84</v>
      </c>
      <c r="CE511" s="416">
        <v>1635826.18</v>
      </c>
      <c r="CF511" s="416">
        <v>1732083.06</v>
      </c>
      <c r="CG511" s="416">
        <v>2284148.6800000002</v>
      </c>
      <c r="CH511" s="416">
        <v>1369419.75</v>
      </c>
      <c r="CI511" s="416">
        <v>3343585.61</v>
      </c>
      <c r="CJ511" s="416">
        <v>1650598.48</v>
      </c>
      <c r="CK511" s="416">
        <v>1451482.26</v>
      </c>
      <c r="CL511" s="416">
        <v>2131787.19</v>
      </c>
      <c r="CM511" s="416">
        <v>1379238.63</v>
      </c>
      <c r="CN511" s="416">
        <v>1141260.53</v>
      </c>
      <c r="CO511" s="416">
        <v>2779213.26</v>
      </c>
      <c r="CP511" s="416">
        <v>1650835.58</v>
      </c>
      <c r="CQ511" s="416">
        <v>1543568.19</v>
      </c>
      <c r="CR511" s="416">
        <v>2196938.48</v>
      </c>
      <c r="CS511" s="416">
        <v>1009886.58</v>
      </c>
      <c r="CT511" s="416">
        <v>1611723.65</v>
      </c>
      <c r="CU511" s="416">
        <v>2995614.73</v>
      </c>
      <c r="CV511" s="416">
        <v>1870468.38</v>
      </c>
      <c r="CW511" s="416">
        <v>1544628.61</v>
      </c>
      <c r="CX511" s="416">
        <v>2267178.2799999998</v>
      </c>
      <c r="CY511" s="416">
        <v>1740962.82</v>
      </c>
      <c r="CZ511" s="416">
        <v>1553263.22</v>
      </c>
      <c r="DA511" s="416">
        <v>2412675.9300000002</v>
      </c>
      <c r="DB511" s="416">
        <v>1686414.63</v>
      </c>
      <c r="DC511" s="416">
        <v>1785141.5</v>
      </c>
      <c r="DD511" s="416">
        <v>2369460.2999999998</v>
      </c>
      <c r="DE511" s="416">
        <f>VLOOKUP($A511,'[2]Analysis 1'!$A$5:$DG$1025,109,FALSE)</f>
        <v>1846421.18</v>
      </c>
      <c r="DF511" s="416">
        <f>VLOOKUP($A511,'[2]Analysis 1'!$A$5:$DG$1025,110,FALSE)</f>
        <v>1639738.08</v>
      </c>
      <c r="DG511" s="416">
        <f>VLOOKUP($A511,'[2]Analysis 1'!$A$5:$DG$1025,111,FALSE)</f>
        <v>2987897.08</v>
      </c>
      <c r="DH511" s="369">
        <f t="shared" si="20"/>
        <v>23704250.009999998</v>
      </c>
    </row>
    <row r="512" spans="1:112">
      <c r="A512" s="335" t="s">
        <v>1350</v>
      </c>
      <c r="B512" s="335"/>
      <c r="C512" s="335"/>
      <c r="D512" s="369">
        <v>42478.13</v>
      </c>
      <c r="E512" s="369">
        <v>38042.51</v>
      </c>
      <c r="F512" s="369">
        <v>32767.279999999999</v>
      </c>
      <c r="G512" s="369">
        <v>43747.64</v>
      </c>
      <c r="H512" s="369">
        <v>32937.410000000003</v>
      </c>
      <c r="I512" s="369">
        <v>37907.51</v>
      </c>
      <c r="J512" s="369">
        <v>44255.23</v>
      </c>
      <c r="K512" s="369">
        <v>37775.51</v>
      </c>
      <c r="L512" s="369">
        <v>32702.51</v>
      </c>
      <c r="M512" s="369">
        <v>36683.69</v>
      </c>
      <c r="N512" s="369">
        <v>36497.51</v>
      </c>
      <c r="O512" s="369">
        <v>43733.75</v>
      </c>
      <c r="P512" s="48">
        <v>35782.699999999997</v>
      </c>
      <c r="Q512" s="48">
        <v>73096.2</v>
      </c>
      <c r="R512" s="48">
        <v>56192.480000000003</v>
      </c>
      <c r="S512" s="48">
        <v>38994.36</v>
      </c>
      <c r="T512" s="48">
        <v>50333.74</v>
      </c>
      <c r="U512" s="48">
        <v>31915.87</v>
      </c>
      <c r="V512" s="48">
        <v>45481.17</v>
      </c>
      <c r="W512" s="48">
        <v>38877.910000000003</v>
      </c>
      <c r="X512" s="48">
        <v>53308.83</v>
      </c>
      <c r="Y512" s="48">
        <v>32536.9</v>
      </c>
      <c r="Z512" s="48">
        <v>46835.88</v>
      </c>
      <c r="AA512" s="48">
        <v>42215.47</v>
      </c>
      <c r="AB512" s="48">
        <v>39580.97</v>
      </c>
      <c r="AC512" s="48">
        <v>46190.080000000002</v>
      </c>
      <c r="AD512" s="48">
        <v>38059.93</v>
      </c>
      <c r="AE512" s="163">
        <v>29748.17</v>
      </c>
      <c r="AF512" s="163">
        <v>45384.36</v>
      </c>
      <c r="AG512" s="163">
        <v>46716.27</v>
      </c>
      <c r="AH512" s="163">
        <v>45985.41</v>
      </c>
      <c r="AI512" s="163">
        <v>36356.04</v>
      </c>
      <c r="AJ512" s="163">
        <v>37900.18</v>
      </c>
      <c r="AK512" s="163">
        <v>37639.120000000003</v>
      </c>
      <c r="AL512" s="163">
        <v>38522.6</v>
      </c>
      <c r="AM512" s="163">
        <v>31319.41</v>
      </c>
      <c r="AN512" s="163">
        <v>49574.73</v>
      </c>
      <c r="AO512" s="163">
        <v>40624.01</v>
      </c>
      <c r="AP512" s="163">
        <v>42195.6</v>
      </c>
      <c r="AQ512" s="163">
        <v>41978.74</v>
      </c>
      <c r="AR512" s="163">
        <v>39370.93</v>
      </c>
      <c r="AS512" s="163">
        <v>39324.699999999997</v>
      </c>
      <c r="AT512" s="163">
        <v>39653.46</v>
      </c>
      <c r="AU512" s="163">
        <v>39575.1</v>
      </c>
      <c r="AV512" s="163">
        <v>39302.07</v>
      </c>
      <c r="AW512" s="163">
        <v>36883.279999999999</v>
      </c>
      <c r="AX512" s="163">
        <v>42480.38</v>
      </c>
      <c r="AY512" s="163">
        <v>32429.55</v>
      </c>
      <c r="AZ512" s="163">
        <v>46276.07</v>
      </c>
      <c r="BA512" s="163">
        <v>61778.2</v>
      </c>
      <c r="BB512" s="163">
        <v>39667.33</v>
      </c>
      <c r="BC512" s="163">
        <v>39462.17</v>
      </c>
      <c r="BD512" s="163">
        <v>38180.99</v>
      </c>
      <c r="BE512" s="163">
        <v>39435.15</v>
      </c>
      <c r="BF512" s="163">
        <v>39556.44</v>
      </c>
      <c r="BG512" s="163">
        <v>41504.53</v>
      </c>
      <c r="BH512" s="163">
        <v>32970.35</v>
      </c>
      <c r="BI512" s="163">
        <v>46295.19</v>
      </c>
      <c r="BJ512" s="163">
        <v>39809.61</v>
      </c>
      <c r="BK512" s="163">
        <v>39239.32</v>
      </c>
      <c r="BL512" s="163">
        <v>37984.800000000003</v>
      </c>
      <c r="BM512" s="163">
        <v>32147</v>
      </c>
      <c r="BN512" s="163">
        <v>39081.25</v>
      </c>
      <c r="BO512" s="163">
        <v>46043.94</v>
      </c>
      <c r="BP512" s="163">
        <v>37510.660000000003</v>
      </c>
      <c r="BQ512" s="163">
        <v>37300.370000000003</v>
      </c>
      <c r="BR512" s="163">
        <v>38097.449999999997</v>
      </c>
      <c r="BS512" s="163">
        <v>38604.980000000003</v>
      </c>
      <c r="BT512" s="163">
        <v>36944.089999999997</v>
      </c>
      <c r="BU512" s="163">
        <v>37974.620000000003</v>
      </c>
      <c r="BV512" s="163">
        <v>30835.55</v>
      </c>
      <c r="BW512" s="163">
        <v>44673.64</v>
      </c>
      <c r="BX512" s="163">
        <v>52211.26</v>
      </c>
      <c r="BY512" s="163">
        <v>53448.27</v>
      </c>
      <c r="BZ512" s="163">
        <v>48673.32</v>
      </c>
      <c r="CA512" s="163">
        <v>46284.01</v>
      </c>
      <c r="CB512" s="163">
        <v>38996.51</v>
      </c>
      <c r="CC512" s="163">
        <v>53485.72</v>
      </c>
      <c r="CD512" s="163">
        <v>47873.35</v>
      </c>
      <c r="CE512" s="163">
        <v>18757.96</v>
      </c>
      <c r="CF512" s="163">
        <v>45508.480000000003</v>
      </c>
      <c r="CG512" s="163">
        <v>46274.78</v>
      </c>
      <c r="CH512" s="163">
        <v>46635.19</v>
      </c>
      <c r="CI512" s="163">
        <v>48127.09</v>
      </c>
      <c r="CJ512" s="163">
        <v>40049.33</v>
      </c>
      <c r="CK512" s="163">
        <v>32214.94</v>
      </c>
      <c r="CL512" s="163">
        <v>57648.44</v>
      </c>
      <c r="CM512" s="163">
        <v>41194.410000000003</v>
      </c>
      <c r="CN512" s="163">
        <v>41164.51</v>
      </c>
      <c r="CO512" s="163">
        <v>41546.76</v>
      </c>
      <c r="CP512" s="163">
        <v>40603.360000000001</v>
      </c>
      <c r="CQ512" s="163">
        <v>39968.410000000003</v>
      </c>
      <c r="CR512" s="163">
        <v>39328.51</v>
      </c>
      <c r="CS512" s="163">
        <v>39264.410000000003</v>
      </c>
      <c r="CT512" s="163">
        <v>38328.51</v>
      </c>
      <c r="CU512" s="163">
        <v>40505.26</v>
      </c>
      <c r="CV512" s="163">
        <v>39296.46</v>
      </c>
      <c r="CW512" s="163">
        <v>44137.19</v>
      </c>
      <c r="CX512" s="163">
        <v>41036.49</v>
      </c>
      <c r="CY512" s="163">
        <v>42366.879999999997</v>
      </c>
      <c r="CZ512" s="163">
        <v>42337.5</v>
      </c>
      <c r="DA512" s="163">
        <v>42352.65</v>
      </c>
      <c r="DB512" s="163">
        <v>42337.5</v>
      </c>
      <c r="DC512" s="163">
        <v>42337.5</v>
      </c>
      <c r="DD512" s="163">
        <v>42300.1</v>
      </c>
      <c r="DE512" s="163">
        <f>VLOOKUP($A512,'[2]Analysis 1'!$A$5:$DG$1025,109,FALSE)</f>
        <v>42564.5</v>
      </c>
      <c r="DF512" s="163">
        <f>VLOOKUP($A512,'[2]Analysis 1'!$A$5:$DG$1025,110,FALSE)</f>
        <v>42374.9</v>
      </c>
      <c r="DG512" s="163">
        <f>VLOOKUP($A512,'[2]Analysis 1'!$A$5:$DG$1025,111,FALSE)</f>
        <v>42337.5</v>
      </c>
      <c r="DH512" s="369">
        <f t="shared" si="20"/>
        <v>505779.17</v>
      </c>
    </row>
    <row r="513" spans="1:112">
      <c r="A513" t="s">
        <v>1351</v>
      </c>
      <c r="B513" s="335"/>
      <c r="C513" s="335"/>
      <c r="D513" s="369">
        <v>19592.38</v>
      </c>
      <c r="E513" s="369">
        <v>17018.55</v>
      </c>
      <c r="F513" s="369">
        <v>18733.330000000002</v>
      </c>
      <c r="G513" s="369">
        <v>14532.9</v>
      </c>
      <c r="H513" s="369">
        <v>25828.79</v>
      </c>
      <c r="I513" s="369">
        <v>20143.43</v>
      </c>
      <c r="J513" s="369">
        <v>28616.46</v>
      </c>
      <c r="K513" s="369">
        <v>19834.89</v>
      </c>
      <c r="L513" s="369">
        <v>26157.040000000001</v>
      </c>
      <c r="M513" s="369">
        <v>21787.95</v>
      </c>
      <c r="N513" s="369">
        <v>12791.11</v>
      </c>
      <c r="O513" s="369">
        <v>19261.990000000002</v>
      </c>
      <c r="P513" s="48">
        <v>18334.43</v>
      </c>
      <c r="Q513" s="48">
        <v>30566.58</v>
      </c>
      <c r="R513" s="48">
        <v>26969.49</v>
      </c>
      <c r="S513" s="48">
        <v>29009.66</v>
      </c>
      <c r="T513" s="48">
        <v>17096.330000000002</v>
      </c>
      <c r="U513" s="48">
        <v>26353.9</v>
      </c>
      <c r="V513" s="48">
        <v>19988.689999999999</v>
      </c>
      <c r="W513" s="48">
        <v>16690.77</v>
      </c>
      <c r="X513" s="48">
        <v>21687.33</v>
      </c>
      <c r="Y513" s="48">
        <v>20055.669999999998</v>
      </c>
      <c r="Z513" s="48">
        <v>25948.89</v>
      </c>
      <c r="AA513" s="48">
        <v>36020.160000000003</v>
      </c>
      <c r="AB513" s="48">
        <v>19974.14</v>
      </c>
      <c r="AC513" s="48">
        <v>22807.99</v>
      </c>
      <c r="AD513" s="48">
        <v>29071.26</v>
      </c>
      <c r="AE513" s="163">
        <v>19166.689999999999</v>
      </c>
      <c r="AF513" s="48">
        <v>33451.230000000003</v>
      </c>
      <c r="AG513" s="48">
        <v>31141.85</v>
      </c>
      <c r="AH513" s="48">
        <v>16543.009999999998</v>
      </c>
      <c r="AI513" s="48">
        <v>44969.31</v>
      </c>
      <c r="AJ513" s="48">
        <v>34505.9</v>
      </c>
      <c r="AK513" s="48">
        <v>24042.2</v>
      </c>
      <c r="AL513" s="48">
        <v>22590.75</v>
      </c>
      <c r="AM513" s="48">
        <v>102450.61</v>
      </c>
      <c r="AN513" s="48">
        <v>9114.01</v>
      </c>
      <c r="AO513" s="48">
        <v>19654.45</v>
      </c>
      <c r="AP513" s="48">
        <v>17041.849999999999</v>
      </c>
      <c r="AQ513" s="48">
        <v>15543</v>
      </c>
      <c r="AR513" s="48">
        <v>22024.91</v>
      </c>
      <c r="AS513" s="48">
        <v>21574.61</v>
      </c>
      <c r="AT513" s="48">
        <v>16927.71</v>
      </c>
      <c r="AU513" s="48">
        <v>21168.16</v>
      </c>
      <c r="AV513" s="48">
        <v>15869.04</v>
      </c>
      <c r="AW513" s="48">
        <v>34942.82</v>
      </c>
      <c r="AX513" s="48">
        <v>24897.91</v>
      </c>
      <c r="AY513" s="48">
        <v>38763.06</v>
      </c>
      <c r="AZ513" s="48">
        <v>13304.53</v>
      </c>
      <c r="BA513" s="48">
        <v>8643.64</v>
      </c>
      <c r="BB513" s="48">
        <v>19607.3</v>
      </c>
      <c r="BC513" s="48">
        <v>26500.16</v>
      </c>
      <c r="BD513" s="48">
        <v>33678.42</v>
      </c>
      <c r="BE513" s="48">
        <v>28056.43</v>
      </c>
      <c r="BF513" s="48">
        <v>22128.3</v>
      </c>
      <c r="BG513" s="48">
        <v>18469.169999999998</v>
      </c>
      <c r="BH513" s="48">
        <v>22052.32</v>
      </c>
      <c r="BI513" s="48">
        <v>30914.19</v>
      </c>
      <c r="BJ513" s="48">
        <v>17188.57</v>
      </c>
      <c r="BK513" s="48">
        <v>36010.93</v>
      </c>
      <c r="BL513" s="48">
        <v>17929.009999999998</v>
      </c>
      <c r="BM513" s="48">
        <v>71137.02</v>
      </c>
      <c r="BN513" s="48">
        <v>32496.05</v>
      </c>
      <c r="BO513" s="48">
        <v>31495.95</v>
      </c>
      <c r="BP513" s="48">
        <v>31101.34</v>
      </c>
      <c r="BQ513" s="48">
        <v>22979.43</v>
      </c>
      <c r="BR513" s="48">
        <v>26157.07</v>
      </c>
      <c r="BS513" s="48">
        <v>28349.97</v>
      </c>
      <c r="BT513" s="48">
        <v>23588.69</v>
      </c>
      <c r="BU513" s="48">
        <v>30503.23</v>
      </c>
      <c r="BV513" s="48">
        <v>25546.67</v>
      </c>
      <c r="BW513" s="48">
        <v>57633.54</v>
      </c>
      <c r="BX513" s="48">
        <v>115964.94</v>
      </c>
      <c r="BY513" s="48">
        <v>-75096.86</v>
      </c>
      <c r="BZ513" s="48">
        <v>-79480.11</v>
      </c>
      <c r="CA513" s="48">
        <v>119034.59</v>
      </c>
      <c r="CB513" s="48">
        <v>19682.37</v>
      </c>
      <c r="CC513" s="48">
        <v>16281.21</v>
      </c>
      <c r="CD513" s="48">
        <v>18553.990000000002</v>
      </c>
      <c r="CE513" s="48">
        <v>24012.31</v>
      </c>
      <c r="CF513" s="48">
        <v>19621.900000000001</v>
      </c>
      <c r="CG513" s="48">
        <v>21597.02</v>
      </c>
      <c r="CH513" s="48">
        <v>18895.580000000002</v>
      </c>
      <c r="CI513" s="48">
        <v>33613.22</v>
      </c>
      <c r="CJ513" s="48">
        <v>15207.32</v>
      </c>
      <c r="CK513" s="48">
        <v>9676.35</v>
      </c>
      <c r="CL513" s="48">
        <v>44974.8</v>
      </c>
      <c r="CM513" s="48">
        <v>15294.87</v>
      </c>
      <c r="CN513" s="48">
        <v>43224.49</v>
      </c>
      <c r="CO513" s="48">
        <v>26828.959999999999</v>
      </c>
      <c r="CP513" s="48">
        <v>24095.81</v>
      </c>
      <c r="CQ513" s="48">
        <v>29908.32</v>
      </c>
      <c r="CR513" s="48">
        <v>19365.62</v>
      </c>
      <c r="CS513" s="48">
        <v>16438.11</v>
      </c>
      <c r="CT513" s="48">
        <v>24229.91</v>
      </c>
      <c r="CU513" s="48">
        <v>20277.28</v>
      </c>
      <c r="CV513" s="48">
        <v>30312.05</v>
      </c>
      <c r="CW513" s="48">
        <v>31971.439999999999</v>
      </c>
      <c r="CX513" s="48">
        <v>20343.740000000002</v>
      </c>
      <c r="CY513" s="48">
        <v>25017.3</v>
      </c>
      <c r="CZ513" s="48">
        <v>45575.45</v>
      </c>
      <c r="DA513" s="48">
        <v>21846.98</v>
      </c>
      <c r="DB513" s="48">
        <v>52326.879999999997</v>
      </c>
      <c r="DC513" s="48">
        <v>54846.14</v>
      </c>
      <c r="DD513" s="48">
        <v>28064.67</v>
      </c>
      <c r="DE513" s="48">
        <f>VLOOKUP($A513,'[2]Analysis 1'!$A$5:$DG$1025,109,FALSE)</f>
        <v>35385.75</v>
      </c>
      <c r="DF513" s="48">
        <f>VLOOKUP($A513,'[2]Analysis 1'!$A$5:$DG$1025,110,FALSE)</f>
        <v>46815.58</v>
      </c>
      <c r="DG513" s="48">
        <f>VLOOKUP($A513,'[2]Analysis 1'!$A$5:$DG$1025,111,FALSE)</f>
        <v>49585.5</v>
      </c>
      <c r="DH513" s="369">
        <f t="shared" si="20"/>
        <v>442091.48</v>
      </c>
    </row>
    <row r="514" spans="1:112">
      <c r="A514" s="335" t="s">
        <v>1352</v>
      </c>
      <c r="B514" s="335"/>
      <c r="C514" s="335"/>
      <c r="D514" s="369">
        <v>0</v>
      </c>
      <c r="E514" s="369">
        <v>0</v>
      </c>
      <c r="F514" s="369">
        <v>0</v>
      </c>
      <c r="G514" s="369">
        <v>0</v>
      </c>
      <c r="H514" s="369">
        <v>0</v>
      </c>
      <c r="I514" s="369">
        <v>0</v>
      </c>
      <c r="J514" s="369">
        <v>0</v>
      </c>
      <c r="K514" s="369">
        <v>0</v>
      </c>
      <c r="L514" s="369">
        <v>0</v>
      </c>
      <c r="M514" s="369">
        <v>0</v>
      </c>
      <c r="N514" s="369">
        <v>0</v>
      </c>
      <c r="O514" s="369">
        <v>0</v>
      </c>
      <c r="P514" s="48">
        <v>0</v>
      </c>
      <c r="Q514" s="48">
        <v>0</v>
      </c>
      <c r="R514" s="48">
        <v>0</v>
      </c>
      <c r="S514" s="48">
        <v>0</v>
      </c>
      <c r="T514" s="48">
        <v>0</v>
      </c>
      <c r="U514" s="48">
        <v>0</v>
      </c>
      <c r="V514" s="48">
        <v>0</v>
      </c>
      <c r="W514" s="48">
        <v>0</v>
      </c>
      <c r="X514" s="48">
        <v>0</v>
      </c>
      <c r="Y514" s="48">
        <v>0</v>
      </c>
      <c r="Z514" s="48">
        <v>0</v>
      </c>
      <c r="AA514" s="48">
        <v>0</v>
      </c>
      <c r="AB514" s="48">
        <v>0</v>
      </c>
      <c r="AC514" s="48">
        <v>0</v>
      </c>
      <c r="AD514" s="48">
        <v>0</v>
      </c>
      <c r="AE514" s="48">
        <v>0</v>
      </c>
      <c r="AF514" s="48">
        <v>0</v>
      </c>
      <c r="AG514" s="48">
        <v>0</v>
      </c>
      <c r="AH514" s="48">
        <v>0</v>
      </c>
      <c r="AI514" s="48">
        <v>0</v>
      </c>
      <c r="AJ514" s="48">
        <v>0</v>
      </c>
      <c r="AK514" s="48">
        <v>0</v>
      </c>
      <c r="AL514" s="48">
        <v>0</v>
      </c>
      <c r="AM514" s="48">
        <v>0</v>
      </c>
      <c r="AN514" s="48">
        <v>0</v>
      </c>
      <c r="AO514" s="48">
        <v>0</v>
      </c>
      <c r="AP514" s="48">
        <v>0</v>
      </c>
      <c r="AQ514" s="48">
        <v>0</v>
      </c>
      <c r="AR514" s="48">
        <v>0</v>
      </c>
      <c r="AS514" s="48">
        <v>0</v>
      </c>
      <c r="AT514" s="48">
        <v>0</v>
      </c>
      <c r="AU514" s="48">
        <v>0</v>
      </c>
      <c r="AV514" s="48">
        <v>0</v>
      </c>
      <c r="AW514" s="48">
        <v>0</v>
      </c>
      <c r="AX514" s="48">
        <v>-1</v>
      </c>
      <c r="AY514" s="48">
        <v>1</v>
      </c>
      <c r="AZ514" s="48">
        <v>0</v>
      </c>
      <c r="BA514" s="48">
        <v>0</v>
      </c>
      <c r="BB514" s="48">
        <v>0</v>
      </c>
      <c r="BC514" s="48">
        <v>0</v>
      </c>
      <c r="BD514" s="48">
        <v>0</v>
      </c>
      <c r="BE514" s="48">
        <v>0</v>
      </c>
      <c r="BF514" s="48">
        <v>0</v>
      </c>
      <c r="BG514" s="48">
        <v>0</v>
      </c>
      <c r="BH514" s="48">
        <v>0</v>
      </c>
      <c r="BI514" s="48">
        <v>0</v>
      </c>
      <c r="BJ514" s="48">
        <v>0</v>
      </c>
      <c r="BK514" s="48">
        <v>0</v>
      </c>
      <c r="BL514" s="48">
        <v>0</v>
      </c>
      <c r="BM514" s="48">
        <v>0</v>
      </c>
      <c r="BN514" s="48">
        <v>0</v>
      </c>
      <c r="BO514" s="48">
        <v>0</v>
      </c>
      <c r="BP514" s="48">
        <v>0</v>
      </c>
      <c r="BQ514" s="48">
        <v>0</v>
      </c>
      <c r="BR514" s="48">
        <v>0</v>
      </c>
      <c r="BS514" s="48">
        <v>0</v>
      </c>
      <c r="BT514" s="48">
        <v>0</v>
      </c>
      <c r="BU514" s="48">
        <v>0</v>
      </c>
      <c r="BV514" s="48">
        <v>0</v>
      </c>
      <c r="BW514" s="48">
        <v>0</v>
      </c>
      <c r="BX514" s="48">
        <v>0</v>
      </c>
      <c r="BY514" s="48">
        <v>0</v>
      </c>
      <c r="BZ514" s="48">
        <v>0</v>
      </c>
      <c r="CA514" s="48">
        <v>0</v>
      </c>
      <c r="CB514" s="48">
        <v>0</v>
      </c>
      <c r="CC514" s="48">
        <v>0</v>
      </c>
      <c r="CD514" s="48">
        <v>0</v>
      </c>
      <c r="CE514" s="48">
        <v>0</v>
      </c>
      <c r="CF514" s="48">
        <v>0</v>
      </c>
      <c r="CG514" s="48">
        <v>0</v>
      </c>
      <c r="CH514" s="48">
        <v>0</v>
      </c>
      <c r="CI514" s="48">
        <v>0</v>
      </c>
      <c r="CJ514" s="48">
        <v>0</v>
      </c>
      <c r="CK514" s="48">
        <v>0</v>
      </c>
      <c r="CL514" s="48">
        <v>0</v>
      </c>
      <c r="CM514" s="48">
        <v>0</v>
      </c>
      <c r="CN514" s="48">
        <v>0</v>
      </c>
      <c r="CO514" s="48">
        <v>0</v>
      </c>
      <c r="CP514" s="48">
        <v>0</v>
      </c>
      <c r="CQ514" s="48">
        <v>0</v>
      </c>
      <c r="CR514" s="48">
        <v>0</v>
      </c>
      <c r="CS514" s="48">
        <v>0</v>
      </c>
      <c r="CT514" s="48">
        <v>0</v>
      </c>
      <c r="CU514" s="48">
        <v>0</v>
      </c>
      <c r="CV514" s="48">
        <v>0</v>
      </c>
      <c r="CW514" s="48">
        <v>0</v>
      </c>
      <c r="CX514" s="48">
        <v>0</v>
      </c>
      <c r="CY514" s="48">
        <v>0</v>
      </c>
      <c r="CZ514" s="48">
        <v>0</v>
      </c>
      <c r="DA514" s="48">
        <v>0</v>
      </c>
      <c r="DB514" s="48">
        <v>0</v>
      </c>
      <c r="DC514" s="48">
        <v>0</v>
      </c>
      <c r="DD514" s="48">
        <v>0</v>
      </c>
      <c r="DE514" s="48">
        <v>0</v>
      </c>
      <c r="DF514" s="48">
        <v>0</v>
      </c>
      <c r="DG514" s="48">
        <v>0</v>
      </c>
      <c r="DH514" s="369">
        <f t="shared" si="20"/>
        <v>0</v>
      </c>
    </row>
    <row r="515" spans="1:112" ht="15">
      <c r="A515" s="372" t="s">
        <v>1267</v>
      </c>
      <c r="B515" s="372"/>
      <c r="C515" s="372"/>
      <c r="D515" s="370">
        <v>-2.6884663384407759E-9</v>
      </c>
      <c r="E515" s="370">
        <v>-1.4515535440295935E-9</v>
      </c>
      <c r="F515" s="370">
        <v>3.8562575355172157E-9</v>
      </c>
      <c r="G515" s="370">
        <v>-1.0859366739168763E-9</v>
      </c>
      <c r="H515" s="370">
        <v>-2.3937900550663471E-9</v>
      </c>
      <c r="I515" s="370">
        <v>-2.9685907065868378E-9</v>
      </c>
      <c r="J515" s="370">
        <v>7.2759576141834259E-9</v>
      </c>
      <c r="K515" s="370">
        <v>2.5393092073500156E-9</v>
      </c>
      <c r="L515" s="370">
        <v>1.0004441719502211E-9</v>
      </c>
      <c r="M515" s="370">
        <v>6.15909812040627E-9</v>
      </c>
      <c r="N515" s="370">
        <v>2.6848283596336842E-9</v>
      </c>
      <c r="O515" s="370">
        <f>SUM(O426:O514)</f>
        <v>2.2228050511330366E-9</v>
      </c>
      <c r="P515" s="370">
        <f>SUM(P426:P514)</f>
        <v>1.2732925824820995E-9</v>
      </c>
      <c r="Q515" s="370">
        <f>SUM(Q426:Q514)</f>
        <v>-1.8917489796876907E-9</v>
      </c>
      <c r="R515" s="370">
        <f>SUM(R426:R514)</f>
        <v>3.2923708204180002E-9</v>
      </c>
      <c r="S515" s="370">
        <f>SUM(S426:S514)</f>
        <v>1.3787939678877592E-9</v>
      </c>
      <c r="T515" s="370">
        <v>4.1254679672420025E-9</v>
      </c>
      <c r="U515" s="370">
        <v>-9.4951246865093708E-10</v>
      </c>
      <c r="V515" s="370">
        <v>3.3869582694023848E-9</v>
      </c>
      <c r="W515" s="370">
        <v>-2.2591848392039537E-9</v>
      </c>
      <c r="X515" s="370">
        <v>-3.637978807091713E-9</v>
      </c>
      <c r="Y515" s="370">
        <v>8.6583895608782768E-10</v>
      </c>
      <c r="Z515" s="370">
        <v>-1.4188117347657681E-9</v>
      </c>
      <c r="AA515" s="370">
        <v>2.9103830456733704E-9</v>
      </c>
      <c r="AB515" s="370">
        <v>-3.827153705060482E-9</v>
      </c>
      <c r="AC515" s="370">
        <v>5.7589204516261816E-9</v>
      </c>
      <c r="AD515" s="370">
        <v>-4.1109160520136356E-10</v>
      </c>
      <c r="AE515" s="370">
        <f t="shared" ref="AE515:AJ515" si="21">SUM(AE426:AE514)</f>
        <v>-4.9949449021369219E-9</v>
      </c>
      <c r="AF515" s="370">
        <f t="shared" si="21"/>
        <v>8.5128704085946083E-10</v>
      </c>
      <c r="AG515" s="370">
        <f t="shared" si="21"/>
        <v>2.4447217583656311E-9</v>
      </c>
      <c r="AH515" s="370">
        <f t="shared" si="21"/>
        <v>1.0077201295644045E-9</v>
      </c>
      <c r="AI515" s="370">
        <f t="shared" si="21"/>
        <v>1.0695657692849636E-9</v>
      </c>
      <c r="AJ515" s="370">
        <f t="shared" si="21"/>
        <v>-3.0995579436421394E-9</v>
      </c>
      <c r="AK515" s="370">
        <v>-3.3214746508747339E-9</v>
      </c>
      <c r="AL515" s="370">
        <v>1.3824319466948509E-10</v>
      </c>
      <c r="AM515" s="370">
        <v>6.2718754634261131E-9</v>
      </c>
      <c r="AN515" s="370">
        <f t="shared" ref="AN515:AY515" si="22">SUM(AN426:AN514)</f>
        <v>1.1768861440941691E-9</v>
      </c>
      <c r="AO515" s="370">
        <f t="shared" si="22"/>
        <v>3.9981387089937925E-9</v>
      </c>
      <c r="AP515" s="370">
        <f t="shared" si="22"/>
        <v>-2.5174813345074654E-9</v>
      </c>
      <c r="AQ515" s="370">
        <f t="shared" si="22"/>
        <v>7.2759576141834259E-12</v>
      </c>
      <c r="AR515" s="370">
        <f t="shared" si="22"/>
        <v>2.2446329239755869E-9</v>
      </c>
      <c r="AS515" s="370">
        <f t="shared" si="22"/>
        <v>2.2700987756252289E-9</v>
      </c>
      <c r="AT515" s="370">
        <f t="shared" si="22"/>
        <v>-4.5838532969355583E-9</v>
      </c>
      <c r="AU515" s="370">
        <f t="shared" si="22"/>
        <v>-5.133188096806407E-9</v>
      </c>
      <c r="AV515" s="370">
        <f t="shared" si="22"/>
        <v>-3.1286617740988731E-9</v>
      </c>
      <c r="AW515" s="370">
        <f t="shared" si="22"/>
        <v>1.0695657692849636E-9</v>
      </c>
      <c r="AX515" s="370">
        <f>SUM(AX426:AX514)</f>
        <v>3.9181031752377748E-9</v>
      </c>
      <c r="AY515" s="370">
        <f t="shared" si="22"/>
        <v>5.9662852436304092E-10</v>
      </c>
      <c r="AZ515" s="370">
        <f t="shared" ref="AZ515:BE515" si="23">SUM(AZ426:AZ514)</f>
        <v>-6.8448571255430579E-9</v>
      </c>
      <c r="BA515" s="370">
        <f t="shared" si="23"/>
        <v>-3.5797711461782455E-9</v>
      </c>
      <c r="BB515" s="370">
        <f t="shared" si="23"/>
        <v>-5.8571458794176579E-10</v>
      </c>
      <c r="BC515" s="370">
        <f t="shared" si="23"/>
        <v>3.8817233871668577E-9</v>
      </c>
      <c r="BD515" s="370">
        <f t="shared" si="23"/>
        <v>-1.7826096154749393E-9</v>
      </c>
      <c r="BE515" s="370">
        <f t="shared" si="23"/>
        <v>-7.2759576141834259E-11</v>
      </c>
      <c r="BF515" s="370">
        <f t="shared" ref="BF515:BK515" si="24">SUM(BF426:BF514)</f>
        <v>4.765752237290144E-10</v>
      </c>
      <c r="BG515" s="370">
        <f t="shared" si="24"/>
        <v>-1.5861587598919868E-9</v>
      </c>
      <c r="BH515" s="370">
        <f t="shared" si="24"/>
        <v>-1.3242242857813835E-9</v>
      </c>
      <c r="BI515" s="370">
        <f t="shared" si="24"/>
        <v>-6.1736500356346369E-9</v>
      </c>
      <c r="BJ515" s="370">
        <f t="shared" si="24"/>
        <v>9.9680619314312935E-10</v>
      </c>
      <c r="BK515" s="370">
        <f t="shared" si="24"/>
        <v>-4.6566128730773926E-10</v>
      </c>
      <c r="BL515" s="370">
        <f t="shared" ref="BL515:BQ515" si="25">SUM(BL426:BL514)</f>
        <v>-5.8753357734531164E-9</v>
      </c>
      <c r="BM515" s="370">
        <f t="shared" si="25"/>
        <v>-3.5070115700364113E-9</v>
      </c>
      <c r="BN515" s="370">
        <f t="shared" si="25"/>
        <v>-8.6620275396853685E-9</v>
      </c>
      <c r="BO515" s="370">
        <f t="shared" si="25"/>
        <v>5.7116267271339893E-10</v>
      </c>
      <c r="BP515" s="370">
        <f t="shared" si="25"/>
        <v>4.4274202082306147E-9</v>
      </c>
      <c r="BQ515" s="370">
        <f t="shared" si="25"/>
        <v>2.9831426218152046E-9</v>
      </c>
      <c r="BR515" s="370">
        <f t="shared" ref="BR515:BW515" si="26">SUM(BR426:BR514)</f>
        <v>-4.6784407459199429E-9</v>
      </c>
      <c r="BS515" s="370">
        <f t="shared" si="26"/>
        <v>1.2150849215686321E-9</v>
      </c>
      <c r="BT515" s="370">
        <f t="shared" si="26"/>
        <v>1.1314114090055227E-9</v>
      </c>
      <c r="BU515" s="370">
        <f t="shared" si="26"/>
        <v>0.99999999804640538</v>
      </c>
      <c r="BV515" s="370">
        <f t="shared" si="26"/>
        <v>9.5678842626512051E-10</v>
      </c>
      <c r="BW515" s="370">
        <f t="shared" si="26"/>
        <v>-0.99999999830470188</v>
      </c>
      <c r="BX515" s="370">
        <f t="shared" ref="BX515:CC515" si="27">SUM(BX426:BX514)</f>
        <v>-4.1327439248561859E-9</v>
      </c>
      <c r="BY515" s="370">
        <f t="shared" si="27"/>
        <v>4.9622030928730965E-9</v>
      </c>
      <c r="BZ515" s="370">
        <f t="shared" si="27"/>
        <v>-3.6816345527768135E-9</v>
      </c>
      <c r="CA515" s="370">
        <f t="shared" si="27"/>
        <v>-1.4842953532934189E-9</v>
      </c>
      <c r="CB515" s="370">
        <f t="shared" si="27"/>
        <v>-3.8453435990959406E-9</v>
      </c>
      <c r="CC515" s="370">
        <f t="shared" si="27"/>
        <v>-2.9613147489726543E-9</v>
      </c>
      <c r="CD515" s="370">
        <f t="shared" ref="CD515:CI515" si="28">SUM(CD426:CD514)</f>
        <v>8.4764906205236912E-10</v>
      </c>
      <c r="CE515" s="370">
        <f t="shared" si="28"/>
        <v>-3.0449882615357637E-9</v>
      </c>
      <c r="CF515" s="370">
        <f t="shared" si="28"/>
        <v>-1.5133991837501526E-9</v>
      </c>
      <c r="CG515" s="370">
        <f t="shared" si="28"/>
        <v>2.5138433557003736E-9</v>
      </c>
      <c r="CH515" s="370">
        <f t="shared" si="28"/>
        <v>1.1496013030409813E-9</v>
      </c>
      <c r="CI515" s="370">
        <f t="shared" si="28"/>
        <v>2.7357600629329681E-9</v>
      </c>
      <c r="CJ515" s="370">
        <f t="shared" ref="CJ515:CO515" si="29">SUM(CJ426:CJ514)</f>
        <v>-4.7948560677468777E-9</v>
      </c>
      <c r="CK515" s="370">
        <f t="shared" si="29"/>
        <v>2.7557689463719726E-9</v>
      </c>
      <c r="CL515" s="370">
        <f t="shared" si="29"/>
        <v>-5.8062141761183739E-9</v>
      </c>
      <c r="CM515" s="370">
        <f t="shared" si="29"/>
        <v>-3.5161065170541406E-9</v>
      </c>
      <c r="CN515" s="370">
        <f t="shared" si="29"/>
        <v>4.4237822294235229E-9</v>
      </c>
      <c r="CO515" s="370">
        <f t="shared" si="29"/>
        <v>-5.3260009735822678E-9</v>
      </c>
      <c r="CP515" s="370">
        <f t="shared" ref="CP515:CU515" si="30">SUM(CP426:CP514)</f>
        <v>3.092281986027956E-10</v>
      </c>
      <c r="CQ515" s="370">
        <f t="shared" si="30"/>
        <v>-3.7034624256193638E-9</v>
      </c>
      <c r="CR515" s="370">
        <f t="shared" si="30"/>
        <v>-4.0781742427498102E-9</v>
      </c>
      <c r="CS515" s="370">
        <f t="shared" si="30"/>
        <v>8.0035533756017685E-10</v>
      </c>
      <c r="CT515" s="370">
        <f t="shared" si="30"/>
        <v>-7.6070136856287718E-9</v>
      </c>
      <c r="CU515" s="370">
        <f t="shared" si="30"/>
        <v>4.1545717976987362E-9</v>
      </c>
      <c r="CV515" s="370">
        <f t="shared" ref="CV515:CX515" si="31">SUM(CV426:CV514)</f>
        <v>8.8366505224257708E-9</v>
      </c>
      <c r="CW515" s="370">
        <f t="shared" si="31"/>
        <v>-7.337803253903985E-9</v>
      </c>
      <c r="CX515" s="370">
        <f t="shared" si="31"/>
        <v>9.4951246865093708E-10</v>
      </c>
      <c r="CY515" s="370">
        <f t="shared" ref="CY515:DA515" si="32">SUM(CY426:CY514)</f>
        <v>4.4856278691440821E-9</v>
      </c>
      <c r="CZ515" s="370">
        <f t="shared" si="32"/>
        <v>-3.9144651964306831E-9</v>
      </c>
      <c r="DA515" s="370">
        <f t="shared" si="32"/>
        <v>1.9754224922508001E-9</v>
      </c>
      <c r="DB515" s="370">
        <v>-2.4519977159798145E-9</v>
      </c>
      <c r="DC515" s="370">
        <v>-3.1577656045556068E-9</v>
      </c>
      <c r="DD515" s="370">
        <v>-1.4188117347657681E-9</v>
      </c>
      <c r="DE515" s="370">
        <f t="shared" ref="DE515:DG515" si="33">SUM(DE426:DE514)</f>
        <v>-4.4237822294235229E-9</v>
      </c>
      <c r="DF515" s="370">
        <f t="shared" si="33"/>
        <v>-4.4019543565809727E-9</v>
      </c>
      <c r="DG515" s="370">
        <f t="shared" si="33"/>
        <v>4.6566128730773926E-10</v>
      </c>
      <c r="DH515" s="370"/>
    </row>
    <row r="517" spans="1:112">
      <c r="A517" s="1028" t="s">
        <v>1388</v>
      </c>
      <c r="B517" s="983"/>
      <c r="C517" s="983"/>
      <c r="D517" s="1029">
        <f t="shared" ref="D517:S517" si="34">SUM(D472:D514)</f>
        <v>7965145.5799999982</v>
      </c>
      <c r="E517" s="1029">
        <f t="shared" si="34"/>
        <v>7760615.8400000008</v>
      </c>
      <c r="F517" s="1029">
        <f>SUM(F472:F514)</f>
        <v>5076662.6399999997</v>
      </c>
      <c r="G517" s="1029">
        <f t="shared" si="34"/>
        <v>7440343.8600000013</v>
      </c>
      <c r="H517" s="1029">
        <f t="shared" si="34"/>
        <v>7753705.2200000007</v>
      </c>
      <c r="I517" s="1029">
        <f t="shared" si="34"/>
        <v>7296135.8699999992</v>
      </c>
      <c r="J517" s="1029">
        <f t="shared" si="34"/>
        <v>8197773.9600000018</v>
      </c>
      <c r="K517" s="1029">
        <f t="shared" si="34"/>
        <v>7978026.6100000003</v>
      </c>
      <c r="L517" s="1029">
        <f t="shared" si="34"/>
        <v>8772183.209999999</v>
      </c>
      <c r="M517" s="1029">
        <f t="shared" si="34"/>
        <v>7332107.8500000006</v>
      </c>
      <c r="N517" s="1029">
        <f t="shared" si="34"/>
        <v>7394988.9700000016</v>
      </c>
      <c r="O517" s="1029">
        <f t="shared" si="34"/>
        <v>7597745.0599999996</v>
      </c>
      <c r="P517" s="1029">
        <f t="shared" si="34"/>
        <v>7495913.9900000012</v>
      </c>
      <c r="Q517" s="1029">
        <f t="shared" si="34"/>
        <v>7147152.4800000023</v>
      </c>
      <c r="R517" s="1029">
        <f t="shared" si="34"/>
        <v>8328186.8500000015</v>
      </c>
      <c r="S517" s="1029">
        <f t="shared" si="34"/>
        <v>7928957.9100000011</v>
      </c>
      <c r="T517" s="1029">
        <v>7063409.5199999986</v>
      </c>
      <c r="U517" s="1029">
        <v>7441709.9500000002</v>
      </c>
      <c r="V517" s="1029">
        <v>7598063.5099999998</v>
      </c>
      <c r="W517" s="1029">
        <v>7672096.3199999984</v>
      </c>
      <c r="X517" s="1029">
        <v>7845017.2400000002</v>
      </c>
      <c r="Y517" s="1029">
        <v>8018585.6399999997</v>
      </c>
      <c r="Z517" s="1029">
        <v>9013807.1400000006</v>
      </c>
      <c r="AA517" s="1029">
        <v>9628488.0100000016</v>
      </c>
      <c r="AB517" s="1029">
        <v>7793228.379999999</v>
      </c>
      <c r="AC517" s="1029">
        <v>8160132.25</v>
      </c>
      <c r="AD517" s="1029">
        <v>8435765.2999999989</v>
      </c>
      <c r="AE517" s="1029">
        <f t="shared" ref="AE517:AJ517" si="35">SUM(AE472:AE514)</f>
        <v>7510422.5600000015</v>
      </c>
      <c r="AF517" s="1029">
        <f t="shared" si="35"/>
        <v>7432168.2500000019</v>
      </c>
      <c r="AG517" s="1029">
        <f t="shared" si="35"/>
        <v>9501344.0800000001</v>
      </c>
      <c r="AH517" s="1029">
        <f t="shared" si="35"/>
        <v>7375994.6800000006</v>
      </c>
      <c r="AI517" s="1029">
        <f t="shared" si="35"/>
        <v>9122783.3200000022</v>
      </c>
      <c r="AJ517" s="1029">
        <f t="shared" si="35"/>
        <v>7969058.6699999999</v>
      </c>
      <c r="AK517" s="1029">
        <v>8751535.5999999996</v>
      </c>
      <c r="AL517" s="1029">
        <v>7825084.7300000014</v>
      </c>
      <c r="AM517" s="1029">
        <v>11781874.77</v>
      </c>
      <c r="AN517" s="1029">
        <f>SUM(AN472:AN514)</f>
        <v>6976294.9900000021</v>
      </c>
      <c r="AO517" s="1029">
        <f>SUM(AO472:AO514)</f>
        <v>7823262.120000001</v>
      </c>
      <c r="AP517" s="1029">
        <f>SUM(AP472:AP514)</f>
        <v>8009246.5899999999</v>
      </c>
      <c r="AQ517" s="1029">
        <f t="shared" ref="AQ517:AV517" si="36">SUM(AQ472:AQ514)</f>
        <v>8312605.9199999999</v>
      </c>
      <c r="AR517" s="1029">
        <f t="shared" si="36"/>
        <v>8551091.4900000002</v>
      </c>
      <c r="AS517" s="1029">
        <f t="shared" si="36"/>
        <v>9634814.1899999976</v>
      </c>
      <c r="AT517" s="1029">
        <f t="shared" si="36"/>
        <v>8405636.0600000005</v>
      </c>
      <c r="AU517" s="1029">
        <f t="shared" si="36"/>
        <v>9116411.3300000001</v>
      </c>
      <c r="AV517" s="1029">
        <f t="shared" si="36"/>
        <v>9015678.1699999999</v>
      </c>
      <c r="AW517" s="1029">
        <f t="shared" ref="AW517:BB517" si="37">SUM(AW472:AW514)</f>
        <v>8930140.9799999986</v>
      </c>
      <c r="AX517" s="1029">
        <f t="shared" si="37"/>
        <v>9117054.7400000002</v>
      </c>
      <c r="AY517" s="1029">
        <f t="shared" si="37"/>
        <v>8910796.4200000018</v>
      </c>
      <c r="AZ517" s="1029">
        <f>SUM(AZ472:AZ514)</f>
        <v>9007781.9900000002</v>
      </c>
      <c r="BA517" s="1029">
        <f t="shared" si="37"/>
        <v>9546954.4299999997</v>
      </c>
      <c r="BB517" s="1029">
        <f t="shared" si="37"/>
        <v>9954848.6799999997</v>
      </c>
      <c r="BC517" s="1029">
        <f t="shared" ref="BC517:BH517" si="38">SUM(BC472:BC514)</f>
        <v>10419984.199999999</v>
      </c>
      <c r="BD517" s="1029">
        <f t="shared" si="38"/>
        <v>9515646.5700000003</v>
      </c>
      <c r="BE517" s="1029">
        <f t="shared" si="38"/>
        <v>9447713.7999999989</v>
      </c>
      <c r="BF517" s="1029">
        <f t="shared" si="38"/>
        <v>10134838.150000002</v>
      </c>
      <c r="BG517" s="1029">
        <f t="shared" si="38"/>
        <v>9480940.8900000006</v>
      </c>
      <c r="BH517" s="1029">
        <f t="shared" si="38"/>
        <v>8640910.3100000005</v>
      </c>
      <c r="BI517" s="1029">
        <f t="shared" ref="BI517:BN517" si="39">SUM(BI472:BI514)</f>
        <v>10366730.889999999</v>
      </c>
      <c r="BJ517" s="1029">
        <f>SUM(BJ472:BJ514)</f>
        <v>9753435.459999999</v>
      </c>
      <c r="BK517" s="1029">
        <f t="shared" si="39"/>
        <v>10502258.51</v>
      </c>
      <c r="BL517" s="1029">
        <f t="shared" si="39"/>
        <v>9854972.6100000013</v>
      </c>
      <c r="BM517" s="1029">
        <f>SUM(BM472:BM514)</f>
        <v>8498813.8300000001</v>
      </c>
      <c r="BN517" s="1029">
        <f t="shared" si="39"/>
        <v>10081328.530000001</v>
      </c>
      <c r="BO517" s="1029">
        <f t="shared" ref="BO517:BT517" si="40">SUM(BO472:BO514)</f>
        <v>9125525.2699999996</v>
      </c>
      <c r="BP517" s="1029">
        <f t="shared" si="40"/>
        <v>9182000.8900000006</v>
      </c>
      <c r="BQ517" s="1029">
        <f t="shared" si="40"/>
        <v>9808307.129999999</v>
      </c>
      <c r="BR517" s="1029">
        <f t="shared" si="40"/>
        <v>10642625.01</v>
      </c>
      <c r="BS517" s="1029">
        <f>SUM(BS472:BS514)</f>
        <v>9914190.9500000011</v>
      </c>
      <c r="BT517" s="1029">
        <f t="shared" si="40"/>
        <v>10381521.33</v>
      </c>
      <c r="BU517" s="1029">
        <f t="shared" ref="BU517:BZ517" si="41">SUM(BU472:BU514)</f>
        <v>10774481.929999998</v>
      </c>
      <c r="BV517" s="1029">
        <f t="shared" si="41"/>
        <v>11193570.270000003</v>
      </c>
      <c r="BW517" s="1029">
        <f t="shared" si="41"/>
        <v>13383385.950000003</v>
      </c>
      <c r="BX517" s="1029">
        <f t="shared" si="41"/>
        <v>9523953.1300000008</v>
      </c>
      <c r="BY517" s="1029">
        <f t="shared" si="41"/>
        <v>10027202.67</v>
      </c>
      <c r="BZ517" s="1029">
        <f t="shared" si="41"/>
        <v>10719198.02</v>
      </c>
      <c r="CA517" s="1029">
        <f t="shared" ref="CA517:CF517" si="42">SUM(CA472:CA514)</f>
        <v>9648089.9699999988</v>
      </c>
      <c r="CB517" s="1029">
        <f t="shared" si="42"/>
        <v>9546763.1500000004</v>
      </c>
      <c r="CC517" s="1029">
        <f t="shared" si="42"/>
        <v>9910238.5200000033</v>
      </c>
      <c r="CD517" s="1029">
        <f t="shared" si="42"/>
        <v>9743539.9399999995</v>
      </c>
      <c r="CE517" s="1029">
        <f t="shared" si="42"/>
        <v>9627248.0200000014</v>
      </c>
      <c r="CF517" s="1029">
        <f t="shared" si="42"/>
        <v>10420610.370000001</v>
      </c>
      <c r="CG517" s="1029">
        <f t="shared" ref="CG517:CL517" si="43">SUM(CG472:CG514)</f>
        <v>12245982.43</v>
      </c>
      <c r="CH517" s="1029">
        <f t="shared" si="43"/>
        <v>9563023.7399999984</v>
      </c>
      <c r="CI517" s="1029">
        <f t="shared" si="43"/>
        <v>13858703.529999999</v>
      </c>
      <c r="CJ517" s="1029">
        <f t="shared" si="43"/>
        <v>10147347.380000003</v>
      </c>
      <c r="CK517" s="1029">
        <f t="shared" si="43"/>
        <v>10219103.069999998</v>
      </c>
      <c r="CL517" s="1029">
        <f t="shared" si="43"/>
        <v>10525971.59</v>
      </c>
      <c r="CM517" s="1029">
        <f t="shared" ref="CM517:CR517" si="44">SUM(CM472:CM514)</f>
        <v>10217877.380000001</v>
      </c>
      <c r="CN517" s="1029">
        <f t="shared" si="44"/>
        <v>10062812.060000001</v>
      </c>
      <c r="CO517" s="1029">
        <f t="shared" si="44"/>
        <v>10851732.200000001</v>
      </c>
      <c r="CP517" s="1029">
        <f t="shared" si="44"/>
        <v>11311924.550000001</v>
      </c>
      <c r="CQ517" s="1029">
        <f t="shared" si="44"/>
        <v>9941744.0100000016</v>
      </c>
      <c r="CR517" s="1029">
        <f t="shared" si="44"/>
        <v>11530718.059999999</v>
      </c>
      <c r="CS517" s="1029">
        <f t="shared" ref="CS517:CX517" si="45">SUM(CS472:CS514)</f>
        <v>10787169.169999998</v>
      </c>
      <c r="CT517" s="1029">
        <f t="shared" si="45"/>
        <v>10627473.25</v>
      </c>
      <c r="CU517" s="1029">
        <f t="shared" si="45"/>
        <v>14727162.889999997</v>
      </c>
      <c r="CV517" s="1029">
        <f t="shared" si="45"/>
        <v>10436872.98</v>
      </c>
      <c r="CW517" s="1029">
        <f t="shared" si="45"/>
        <v>10051358.279999997</v>
      </c>
      <c r="CX517" s="1029">
        <f t="shared" si="45"/>
        <v>12731450.529999996</v>
      </c>
      <c r="CY517" s="1029">
        <f t="shared" ref="CY517:DA517" si="46">SUM(CY472:CY514)</f>
        <v>11008263.220000001</v>
      </c>
      <c r="CZ517" s="1029">
        <f t="shared" si="46"/>
        <v>11456365.739999996</v>
      </c>
      <c r="DA517" s="1029">
        <f t="shared" si="46"/>
        <v>13022106.67</v>
      </c>
      <c r="DB517" s="1029">
        <v>12960135.790000001</v>
      </c>
      <c r="DC517" s="1029">
        <v>12259392.700000001</v>
      </c>
      <c r="DD517" s="1029">
        <v>13617865.569999997</v>
      </c>
      <c r="DE517" s="1029">
        <f t="shared" ref="DE517:DG517" si="47">SUM(DE472:DE514)</f>
        <v>13127945.689999998</v>
      </c>
      <c r="DF517" s="1029">
        <f t="shared" si="47"/>
        <v>12122238.85</v>
      </c>
      <c r="DG517" s="1029">
        <f t="shared" si="47"/>
        <v>13298740.180000002</v>
      </c>
      <c r="DH517" s="1029"/>
    </row>
    <row r="519" spans="1:112">
      <c r="A519" s="1028" t="s">
        <v>2657</v>
      </c>
      <c r="B519" s="983"/>
      <c r="C519" s="983"/>
      <c r="P519" s="369">
        <v>0</v>
      </c>
      <c r="Q519" s="369">
        <v>0</v>
      </c>
      <c r="R519" s="369">
        <v>0</v>
      </c>
      <c r="CC519" s="412">
        <f t="shared" ref="CC519:CL519" si="48">+CC21+CC22+CC326+CC342+CC349</f>
        <v>0</v>
      </c>
      <c r="CD519" s="412">
        <f t="shared" si="48"/>
        <v>1</v>
      </c>
      <c r="CE519" s="412">
        <f t="shared" si="48"/>
        <v>0</v>
      </c>
      <c r="CF519" s="412">
        <f t="shared" si="48"/>
        <v>0</v>
      </c>
      <c r="CG519" s="412">
        <f t="shared" si="48"/>
        <v>0</v>
      </c>
      <c r="CH519" s="412">
        <f t="shared" si="48"/>
        <v>0</v>
      </c>
      <c r="CI519" s="412">
        <f t="shared" si="48"/>
        <v>0</v>
      </c>
      <c r="CJ519" s="412">
        <f t="shared" si="48"/>
        <v>0</v>
      </c>
      <c r="CK519" s="412">
        <f t="shared" si="48"/>
        <v>0</v>
      </c>
      <c r="CL519" s="412">
        <f t="shared" si="48"/>
        <v>0</v>
      </c>
      <c r="CM519" s="412">
        <f t="shared" ref="CM519:CR519" si="49">+CM21+CM22+CM326+CM342+CM349</f>
        <v>0</v>
      </c>
      <c r="CN519" s="412">
        <f t="shared" si="49"/>
        <v>-1</v>
      </c>
      <c r="CO519" s="412">
        <f t="shared" si="49"/>
        <v>0</v>
      </c>
      <c r="CP519" s="412">
        <f t="shared" si="49"/>
        <v>0</v>
      </c>
      <c r="CQ519" s="412">
        <f t="shared" si="49"/>
        <v>0</v>
      </c>
      <c r="CR519" s="412">
        <f t="shared" si="49"/>
        <v>0</v>
      </c>
      <c r="CS519" s="412">
        <f>+CS21+CS22+CS326+CS342+CS349</f>
        <v>0</v>
      </c>
      <c r="CT519" s="412">
        <f>+CT21+CT22+CT326+CT342+CT349</f>
        <v>0</v>
      </c>
      <c r="CU519" s="412">
        <f>+CU21+CU22+CU326+CU342+CU349</f>
        <v>0</v>
      </c>
      <c r="CV519" s="412">
        <f t="shared" ref="CV519:CX519" si="50">+CV21+CV22+CV326+CV342+CV349</f>
        <v>0</v>
      </c>
      <c r="CW519" s="412">
        <f t="shared" si="50"/>
        <v>0</v>
      </c>
      <c r="CX519" s="412">
        <f t="shared" si="50"/>
        <v>0</v>
      </c>
      <c r="CY519" s="412">
        <f t="shared" ref="CY519:DD519" si="51">+CY21+CY22+CY326+CY342+CY349</f>
        <v>0</v>
      </c>
      <c r="CZ519" s="412">
        <f t="shared" si="51"/>
        <v>0</v>
      </c>
      <c r="DA519" s="412">
        <f t="shared" si="51"/>
        <v>0</v>
      </c>
      <c r="DB519" s="412">
        <f t="shared" si="51"/>
        <v>0</v>
      </c>
      <c r="DC519" s="412">
        <f t="shared" si="51"/>
        <v>0</v>
      </c>
      <c r="DD519" s="412">
        <f t="shared" si="51"/>
        <v>0</v>
      </c>
      <c r="DE519" s="412">
        <f t="shared" ref="DE519:DG519" si="52">+DE21+DE22+DE326+DE342+DE349</f>
        <v>0</v>
      </c>
      <c r="DF519" s="412">
        <f t="shared" si="52"/>
        <v>0</v>
      </c>
      <c r="DG519" s="412">
        <f t="shared" si="52"/>
        <v>0</v>
      </c>
      <c r="DH519" s="412"/>
    </row>
    <row r="522" spans="1:112">
      <c r="BS522" s="369">
        <f t="shared" ref="BS522:BZ522" si="53">+BS453+BS442-BS379-BS363</f>
        <v>178680.27000000002</v>
      </c>
      <c r="BT522" s="369">
        <f t="shared" si="53"/>
        <v>0</v>
      </c>
      <c r="BU522" s="369">
        <f t="shared" si="53"/>
        <v>-178680.27</v>
      </c>
      <c r="BV522" s="369">
        <f t="shared" si="53"/>
        <v>0</v>
      </c>
      <c r="BW522" s="369">
        <f t="shared" si="53"/>
        <v>0</v>
      </c>
      <c r="BX522" s="369">
        <f t="shared" si="53"/>
        <v>0</v>
      </c>
      <c r="BY522" s="369">
        <f t="shared" si="53"/>
        <v>0</v>
      </c>
      <c r="BZ522" s="369">
        <f t="shared" si="53"/>
        <v>0</v>
      </c>
      <c r="CA522" s="369">
        <f t="shared" ref="CA522:CF522" si="54">+CA453+CA442-CA379-CA363</f>
        <v>0</v>
      </c>
      <c r="CB522" s="369">
        <f t="shared" si="54"/>
        <v>0</v>
      </c>
      <c r="CC522" s="369">
        <f t="shared" si="54"/>
        <v>0</v>
      </c>
      <c r="CD522" s="369">
        <f t="shared" si="54"/>
        <v>0</v>
      </c>
      <c r="CE522" s="369">
        <f t="shared" si="54"/>
        <v>0</v>
      </c>
      <c r="CF522" s="369">
        <f t="shared" si="54"/>
        <v>0</v>
      </c>
      <c r="CG522" s="369">
        <f t="shared" ref="CG522:CL522" si="55">+CG453+CG442-CG379-CG363</f>
        <v>0</v>
      </c>
      <c r="CH522" s="369">
        <f t="shared" si="55"/>
        <v>0</v>
      </c>
      <c r="CI522" s="369">
        <f t="shared" si="55"/>
        <v>0</v>
      </c>
      <c r="CJ522" s="369">
        <f t="shared" si="55"/>
        <v>0</v>
      </c>
      <c r="CK522" s="369">
        <f t="shared" si="55"/>
        <v>0</v>
      </c>
      <c r="CL522" s="369">
        <f t="shared" si="55"/>
        <v>0</v>
      </c>
      <c r="CM522" s="369">
        <f t="shared" ref="CM522:CR522" si="56">+CM453+CM442-CM379-CM363</f>
        <v>0</v>
      </c>
      <c r="CN522" s="369">
        <f t="shared" si="56"/>
        <v>0</v>
      </c>
      <c r="CO522" s="369">
        <f t="shared" si="56"/>
        <v>0</v>
      </c>
      <c r="CP522" s="369">
        <f t="shared" si="56"/>
        <v>0</v>
      </c>
      <c r="CQ522" s="369">
        <f t="shared" si="56"/>
        <v>0</v>
      </c>
      <c r="CR522" s="369">
        <f t="shared" si="56"/>
        <v>0</v>
      </c>
    </row>
    <row r="530" ht="11.25" customHeight="1"/>
  </sheetData>
  <autoFilter ref="A4:CU4"/>
  <mergeCells count="1">
    <mergeCell ref="DH2:DH3"/>
  </mergeCells>
  <phoneticPr fontId="144" type="noConversion"/>
  <pageMargins left="0.7" right="0.7" top="0.75" bottom="0.75" header="0.3" footer="0.3"/>
  <pageSetup scale="42" fitToHeight="0" orientation="landscape" r:id="rId1"/>
  <customProperties>
    <customPr name="_pios_id" r:id="rId2"/>
    <customPr name="EpmWorksheetKeyString_GUID" r:id="rId3"/>
    <customPr name="FPMExcelClientCellBasedFunctionStatus" r:id="rId4"/>
  </customProperties>
  <legacy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2060"/>
  </sheetPr>
  <dimension ref="A1:DH404"/>
  <sheetViews>
    <sheetView zoomScale="85" zoomScaleNormal="85" workbookViewId="0">
      <pane xSplit="102" ySplit="4" topLeftCell="DC352" activePane="bottomRight" state="frozen"/>
      <selection pane="topRight" activeCell="CY1" sqref="CY1"/>
      <selection pane="bottomLeft" activeCell="A5" sqref="A5"/>
      <selection pane="bottomRight" activeCell="DF382" sqref="DF382"/>
    </sheetView>
  </sheetViews>
  <sheetFormatPr defaultColWidth="13.5703125" defaultRowHeight="12.75"/>
  <cols>
    <col min="1" max="1" width="15.5703125" customWidth="1"/>
    <col min="2" max="2" width="16.5703125" customWidth="1"/>
    <col min="3" max="3" width="35.140625" customWidth="1"/>
    <col min="4" max="16" width="34" hidden="1" customWidth="1"/>
    <col min="17" max="17" width="23.5703125" hidden="1" customWidth="1"/>
    <col min="18" max="18" width="27.85546875" hidden="1" customWidth="1"/>
    <col min="19" max="20" width="28.42578125" hidden="1" customWidth="1"/>
    <col min="21" max="21" width="30.140625" hidden="1" customWidth="1"/>
    <col min="22" max="97" width="29.85546875" hidden="1" customWidth="1"/>
    <col min="98" max="100" width="29" hidden="1" customWidth="1"/>
    <col min="101" max="101" width="26.140625" bestFit="1" customWidth="1"/>
    <col min="102" max="102" width="26.42578125" bestFit="1" customWidth="1"/>
    <col min="103" max="103" width="29" bestFit="1" customWidth="1"/>
    <col min="104" max="112" width="28.28515625" bestFit="1" customWidth="1"/>
  </cols>
  <sheetData>
    <row r="1" spans="1:112" ht="15">
      <c r="A1" s="334"/>
      <c r="B1" s="334"/>
      <c r="C1" s="334"/>
    </row>
    <row r="2" spans="1:112">
      <c r="CW2">
        <f>COLUMN()</f>
        <v>101</v>
      </c>
      <c r="CX2">
        <f>COLUMN()</f>
        <v>102</v>
      </c>
      <c r="CY2">
        <f>COLUMN()</f>
        <v>103</v>
      </c>
      <c r="CZ2">
        <f>COLUMN()</f>
        <v>104</v>
      </c>
      <c r="DA2">
        <f>COLUMN()</f>
        <v>105</v>
      </c>
      <c r="DB2">
        <f>COLUMN()</f>
        <v>106</v>
      </c>
      <c r="DC2">
        <f>COLUMN()</f>
        <v>107</v>
      </c>
      <c r="DD2">
        <f>COLUMN()</f>
        <v>108</v>
      </c>
      <c r="DE2">
        <f>COLUMN()</f>
        <v>109</v>
      </c>
      <c r="DF2">
        <f>COLUMN()</f>
        <v>110</v>
      </c>
      <c r="DG2">
        <f>COLUMN()</f>
        <v>111</v>
      </c>
      <c r="DH2">
        <f>COLUMN()</f>
        <v>112</v>
      </c>
    </row>
    <row r="3" spans="1:112">
      <c r="D3" s="31" t="s">
        <v>571</v>
      </c>
    </row>
    <row r="4" spans="1:112" ht="15">
      <c r="A4" s="1020" t="s">
        <v>572</v>
      </c>
      <c r="B4" s="1020" t="s">
        <v>573</v>
      </c>
      <c r="C4" s="1020" t="s">
        <v>574</v>
      </c>
      <c r="D4" s="338" t="s">
        <v>575</v>
      </c>
      <c r="E4" s="338" t="s">
        <v>576</v>
      </c>
      <c r="F4" s="338" t="s">
        <v>577</v>
      </c>
      <c r="G4" s="338" t="s">
        <v>578</v>
      </c>
      <c r="H4" s="338" t="s">
        <v>579</v>
      </c>
      <c r="I4" s="338" t="s">
        <v>581</v>
      </c>
      <c r="J4" s="338" t="s">
        <v>580</v>
      </c>
      <c r="K4" s="338" t="s">
        <v>582</v>
      </c>
      <c r="L4" s="338" t="s">
        <v>583</v>
      </c>
      <c r="M4" s="338" t="s">
        <v>584</v>
      </c>
      <c r="N4" s="338" t="s">
        <v>585</v>
      </c>
      <c r="O4" s="338" t="s">
        <v>586</v>
      </c>
      <c r="P4" s="339" t="s">
        <v>587</v>
      </c>
      <c r="Q4" s="338" t="s">
        <v>1373</v>
      </c>
      <c r="R4" s="338" t="s">
        <v>1374</v>
      </c>
      <c r="S4" s="339" t="s">
        <v>1375</v>
      </c>
      <c r="T4" s="339" t="s">
        <v>1382</v>
      </c>
      <c r="U4" s="339" t="s">
        <v>1383</v>
      </c>
      <c r="V4" s="398" t="s">
        <v>1387</v>
      </c>
      <c r="W4" s="398" t="s">
        <v>1402</v>
      </c>
      <c r="X4" s="398" t="s">
        <v>1403</v>
      </c>
      <c r="Y4" s="398" t="s">
        <v>1404</v>
      </c>
      <c r="Z4" s="398" t="s">
        <v>1411</v>
      </c>
      <c r="AA4" s="398" t="s">
        <v>1412</v>
      </c>
      <c r="AB4" s="398" t="s">
        <v>1413</v>
      </c>
      <c r="AC4" s="398" t="s">
        <v>1419</v>
      </c>
      <c r="AD4" s="398" t="s">
        <v>1420</v>
      </c>
      <c r="AE4" s="398" t="s">
        <v>1421</v>
      </c>
      <c r="AF4" s="398" t="s">
        <v>1453</v>
      </c>
      <c r="AG4" s="398" t="s">
        <v>1454</v>
      </c>
      <c r="AH4" s="398" t="s">
        <v>1455</v>
      </c>
      <c r="AI4" s="398" t="s">
        <v>1691</v>
      </c>
      <c r="AJ4" s="398" t="s">
        <v>1692</v>
      </c>
      <c r="AK4" s="398" t="s">
        <v>1693</v>
      </c>
      <c r="AL4" s="398" t="s">
        <v>1707</v>
      </c>
      <c r="AM4" s="398" t="s">
        <v>1708</v>
      </c>
      <c r="AN4" s="398" t="s">
        <v>1709</v>
      </c>
      <c r="AO4" s="398" t="s">
        <v>1759</v>
      </c>
      <c r="AP4" s="398" t="s">
        <v>1760</v>
      </c>
      <c r="AQ4" s="398" t="s">
        <v>1761</v>
      </c>
      <c r="AR4" s="398" t="s">
        <v>1811</v>
      </c>
      <c r="AS4" s="398" t="s">
        <v>1812</v>
      </c>
      <c r="AT4" s="398" t="s">
        <v>1813</v>
      </c>
      <c r="AU4" s="398" t="s">
        <v>1826</v>
      </c>
      <c r="AV4" s="398" t="s">
        <v>1827</v>
      </c>
      <c r="AW4" s="398" t="s">
        <v>1828</v>
      </c>
      <c r="AX4" s="398" t="s">
        <v>1835</v>
      </c>
      <c r="AY4" s="398" t="s">
        <v>1836</v>
      </c>
      <c r="AZ4" s="398" t="s">
        <v>1837</v>
      </c>
      <c r="BA4" s="398" t="s">
        <v>1862</v>
      </c>
      <c r="BB4" s="398" t="s">
        <v>1863</v>
      </c>
      <c r="BC4" s="398" t="s">
        <v>1864</v>
      </c>
      <c r="BD4" s="398" t="s">
        <v>2231</v>
      </c>
      <c r="BE4" s="398" t="s">
        <v>2232</v>
      </c>
      <c r="BF4" s="398" t="s">
        <v>2233</v>
      </c>
      <c r="BG4" s="398" t="s">
        <v>2239</v>
      </c>
      <c r="BH4" s="398" t="s">
        <v>2240</v>
      </c>
      <c r="BI4" s="398" t="s">
        <v>2241</v>
      </c>
      <c r="BJ4" s="398" t="s">
        <v>2249</v>
      </c>
      <c r="BK4" s="398" t="s">
        <v>2250</v>
      </c>
      <c r="BL4" s="398" t="s">
        <v>2251</v>
      </c>
      <c r="BM4" s="398" t="s">
        <v>2260</v>
      </c>
      <c r="BN4" s="398" t="s">
        <v>2261</v>
      </c>
      <c r="BO4" s="398" t="s">
        <v>2262</v>
      </c>
      <c r="BP4" s="398" t="s">
        <v>2272</v>
      </c>
      <c r="BQ4" s="398" t="s">
        <v>2273</v>
      </c>
      <c r="BR4" s="398" t="s">
        <v>2274</v>
      </c>
      <c r="BS4" s="398" t="s">
        <v>2287</v>
      </c>
      <c r="BT4" s="398" t="s">
        <v>2288</v>
      </c>
      <c r="BU4" s="398" t="s">
        <v>2289</v>
      </c>
      <c r="BV4" s="398" t="s">
        <v>2340</v>
      </c>
      <c r="BW4" s="398" t="s">
        <v>2341</v>
      </c>
      <c r="BX4" s="1027" t="s">
        <v>2342</v>
      </c>
      <c r="BY4" s="1027" t="s">
        <v>2438</v>
      </c>
      <c r="BZ4" s="1027" t="s">
        <v>2439</v>
      </c>
      <c r="CA4" s="1027" t="s">
        <v>2440</v>
      </c>
      <c r="CB4" s="1027" t="s">
        <v>2478</v>
      </c>
      <c r="CC4" s="1027" t="s">
        <v>2482</v>
      </c>
      <c r="CD4" s="1027" t="s">
        <v>2503</v>
      </c>
      <c r="CE4" s="1027" t="s">
        <v>2516</v>
      </c>
      <c r="CF4" s="1027" t="s">
        <v>2517</v>
      </c>
      <c r="CG4" s="1027" t="s">
        <v>2518</v>
      </c>
      <c r="CH4" s="1027" t="s">
        <v>2535</v>
      </c>
      <c r="CI4" s="1027" t="s">
        <v>2536</v>
      </c>
      <c r="CJ4" s="1027" t="s">
        <v>2537</v>
      </c>
      <c r="CK4" s="1027" t="s">
        <v>2562</v>
      </c>
      <c r="CL4" s="1027" t="s">
        <v>2563</v>
      </c>
      <c r="CM4" s="1027" t="s">
        <v>2564</v>
      </c>
      <c r="CN4" s="1027" t="s">
        <v>2669</v>
      </c>
      <c r="CO4" s="1027" t="s">
        <v>2670</v>
      </c>
      <c r="CP4" s="1027" t="s">
        <v>2671</v>
      </c>
      <c r="CQ4" s="1027" t="s">
        <v>2698</v>
      </c>
      <c r="CR4" s="1027" t="s">
        <v>2699</v>
      </c>
      <c r="CS4" s="1027" t="s">
        <v>2700</v>
      </c>
      <c r="CT4" s="1027" t="s">
        <v>2747</v>
      </c>
      <c r="CU4" s="1027" t="s">
        <v>2748</v>
      </c>
      <c r="CV4" s="1027" t="s">
        <v>2749</v>
      </c>
      <c r="CW4" s="1231" t="s">
        <v>2846</v>
      </c>
      <c r="CX4" s="1231" t="s">
        <v>2847</v>
      </c>
      <c r="CY4" s="1231" t="s">
        <v>2848</v>
      </c>
      <c r="CZ4" s="1231" t="s">
        <v>2868</v>
      </c>
      <c r="DA4" s="1231" t="s">
        <v>2869</v>
      </c>
      <c r="DB4" s="1231" t="s">
        <v>2870</v>
      </c>
      <c r="DC4" s="1231" t="s">
        <v>2888</v>
      </c>
      <c r="DD4" s="1231" t="s">
        <v>2889</v>
      </c>
      <c r="DE4" s="1231" t="s">
        <v>2890</v>
      </c>
      <c r="DF4" s="1231" t="s">
        <v>2906</v>
      </c>
      <c r="DG4" s="1231" t="s">
        <v>2907</v>
      </c>
      <c r="DH4" s="1231" t="s">
        <v>2908</v>
      </c>
    </row>
    <row r="5" spans="1:112">
      <c r="A5" s="350" t="str">
        <f>+B5</f>
        <v>1010000</v>
      </c>
      <c r="B5" s="350" t="s">
        <v>1540</v>
      </c>
      <c r="C5" s="335" t="s">
        <v>588</v>
      </c>
      <c r="D5" s="340">
        <v>1188438144.46</v>
      </c>
      <c r="E5" s="340">
        <v>1181375109.0899999</v>
      </c>
      <c r="F5" s="340">
        <v>1183669611.1700001</v>
      </c>
      <c r="G5" s="340">
        <v>1187818086.28</v>
      </c>
      <c r="H5" s="340">
        <v>1193444141.6099999</v>
      </c>
      <c r="I5" s="340">
        <v>1196718822.3299999</v>
      </c>
      <c r="J5" s="340">
        <v>1205461196.28</v>
      </c>
      <c r="K5" s="340">
        <v>1217215082.8699999</v>
      </c>
      <c r="L5" s="340">
        <v>1219768821.8399999</v>
      </c>
      <c r="M5" s="340">
        <v>1221185968.05</v>
      </c>
      <c r="N5" s="340">
        <v>1226654487.26</v>
      </c>
      <c r="O5" s="340">
        <v>1230602459.26</v>
      </c>
      <c r="P5" s="341">
        <v>1237774817.28</v>
      </c>
      <c r="Q5" s="163">
        <v>1243453386.9300001</v>
      </c>
      <c r="R5" s="163">
        <v>1239784853.5699999</v>
      </c>
      <c r="S5" s="163">
        <v>1247743088.6099999</v>
      </c>
      <c r="T5" s="163">
        <v>1255789698.6700001</v>
      </c>
      <c r="U5" s="163">
        <v>1263521357.9300001</v>
      </c>
      <c r="V5" s="163">
        <v>1273021195.1500001</v>
      </c>
      <c r="W5" s="163">
        <v>1278370429.4000001</v>
      </c>
      <c r="X5" s="163">
        <v>1280724126.74</v>
      </c>
      <c r="Y5" s="163">
        <v>1284361394.1199999</v>
      </c>
      <c r="Z5" s="163">
        <v>1285704724.3900001</v>
      </c>
      <c r="AA5" s="163">
        <v>1290505400.77</v>
      </c>
      <c r="AB5" s="163">
        <v>1306055752.6700001</v>
      </c>
      <c r="AC5" s="163">
        <v>1307925714.0699999</v>
      </c>
      <c r="AD5" s="163">
        <v>1312431109.54</v>
      </c>
      <c r="AE5" s="163">
        <v>1322755935.72</v>
      </c>
      <c r="AF5" s="163">
        <v>1329266317.1900001</v>
      </c>
      <c r="AG5" s="163">
        <v>1334332726.99</v>
      </c>
      <c r="AH5" s="163">
        <v>1337224990.6500001</v>
      </c>
      <c r="AI5" s="163">
        <v>1347244874.27</v>
      </c>
      <c r="AJ5" s="163">
        <v>1356728799.3099999</v>
      </c>
      <c r="AK5" s="163">
        <v>1360597866.1900001</v>
      </c>
      <c r="AL5" s="163">
        <v>1365895871.6199999</v>
      </c>
      <c r="AM5" s="163">
        <v>1376010821.8299999</v>
      </c>
      <c r="AN5" s="163">
        <v>1379384662.24</v>
      </c>
      <c r="AO5" s="163">
        <v>1380967784.3299999</v>
      </c>
      <c r="AP5" s="163">
        <v>1387344814.55</v>
      </c>
      <c r="AQ5" s="163">
        <v>1399295449.5</v>
      </c>
      <c r="AR5" s="163">
        <v>1399609417.1800001</v>
      </c>
      <c r="AS5" s="163">
        <v>1402003841.02</v>
      </c>
      <c r="AT5" s="163">
        <v>1414377121.22</v>
      </c>
      <c r="AU5" s="163">
        <v>1419403427.1700001</v>
      </c>
      <c r="AV5" s="163">
        <v>1419263811.6700001</v>
      </c>
      <c r="AW5" s="163">
        <v>1434909742.95</v>
      </c>
      <c r="AX5" s="163">
        <v>1443639091.9200001</v>
      </c>
      <c r="AY5" s="163">
        <v>1445030153.6500001</v>
      </c>
      <c r="AZ5" s="163">
        <v>1454809795</v>
      </c>
      <c r="BA5" s="163">
        <v>1456901142.1099999</v>
      </c>
      <c r="BB5" s="163">
        <v>1485655069.6199999</v>
      </c>
      <c r="BC5" s="163">
        <v>1498293140.1800001</v>
      </c>
      <c r="BD5" s="163">
        <v>1505702373.5699999</v>
      </c>
      <c r="BE5" s="163">
        <v>1508978962.3499999</v>
      </c>
      <c r="BF5" s="163">
        <v>1521219901.6900001</v>
      </c>
      <c r="BG5" s="163">
        <v>1523942752.9100001</v>
      </c>
      <c r="BH5" s="163">
        <v>1541525532.6400001</v>
      </c>
      <c r="BI5" s="163">
        <v>1550361331.8800001</v>
      </c>
      <c r="BJ5" s="163">
        <v>1553271404.5599999</v>
      </c>
      <c r="BK5" s="163">
        <v>1556639342.23</v>
      </c>
      <c r="BL5" s="163">
        <v>1571168666.03</v>
      </c>
      <c r="BM5" s="163">
        <v>1574185211.3099999</v>
      </c>
      <c r="BN5" s="163">
        <v>1578994550.5899999</v>
      </c>
      <c r="BO5" s="163">
        <v>1592070662.9200001</v>
      </c>
      <c r="BP5" s="163">
        <v>1601334072.53</v>
      </c>
      <c r="BQ5" s="163">
        <v>1612685331.8900001</v>
      </c>
      <c r="BR5" s="163">
        <v>1638034321.6099999</v>
      </c>
      <c r="BS5" s="163">
        <v>1641548263.23</v>
      </c>
      <c r="BT5" s="163">
        <v>1645419289.0699999</v>
      </c>
      <c r="BU5" s="163">
        <v>1659929375.55</v>
      </c>
      <c r="BV5" s="163">
        <v>1675381568.55</v>
      </c>
      <c r="BW5" s="163">
        <v>1685840446.9200001</v>
      </c>
      <c r="BX5" s="163">
        <v>1719277611.5699999</v>
      </c>
      <c r="BY5" s="163">
        <v>1722370602.3900001</v>
      </c>
      <c r="BZ5" s="163">
        <v>1717543335.01</v>
      </c>
      <c r="CA5" s="163">
        <v>1733113857.9100001</v>
      </c>
      <c r="CB5" s="163">
        <v>1737708178.29</v>
      </c>
      <c r="CC5" s="163">
        <v>1752095483.46</v>
      </c>
      <c r="CD5" s="163">
        <v>1770287739.9200001</v>
      </c>
      <c r="CE5" s="163">
        <v>1775799561.4200001</v>
      </c>
      <c r="CF5" s="163">
        <v>1777592586.3900001</v>
      </c>
      <c r="CG5" s="163">
        <v>1800710566.9400001</v>
      </c>
      <c r="CH5" s="163">
        <v>1803688689.6700001</v>
      </c>
      <c r="CI5" s="163">
        <v>1805576868.5799999</v>
      </c>
      <c r="CJ5" s="163">
        <v>1869700333.79</v>
      </c>
      <c r="CK5" s="163">
        <v>1870076642.52</v>
      </c>
      <c r="CL5" s="163">
        <v>1884351946.8599999</v>
      </c>
      <c r="CM5" s="163">
        <v>1890043797.6800001</v>
      </c>
      <c r="CN5" s="163">
        <v>1901225432.47</v>
      </c>
      <c r="CO5" s="163">
        <v>1942744871.3299999</v>
      </c>
      <c r="CP5" s="163">
        <v>1968537429.01</v>
      </c>
      <c r="CQ5" s="163">
        <v>2043575655.5799999</v>
      </c>
      <c r="CR5" s="163">
        <v>2044747650.0799999</v>
      </c>
      <c r="CS5" s="163">
        <v>2110173824.8399999</v>
      </c>
      <c r="CT5" s="163">
        <v>2124604509.2</v>
      </c>
      <c r="CU5" s="163">
        <v>2142216450.3199999</v>
      </c>
      <c r="CV5" s="163">
        <v>2168081826.3699999</v>
      </c>
      <c r="CW5" s="163">
        <v>2183864854.3600001</v>
      </c>
      <c r="CX5" s="163">
        <v>2202545716.8400002</v>
      </c>
      <c r="CY5" s="163">
        <v>2219080125.9499998</v>
      </c>
      <c r="CZ5" s="163">
        <v>2225116449.6100001</v>
      </c>
      <c r="DA5" s="163">
        <v>2264292966.6700001</v>
      </c>
      <c r="DB5" s="163">
        <v>2291322008.2399998</v>
      </c>
      <c r="DC5" s="163">
        <v>2295822991.9899998</v>
      </c>
      <c r="DD5" s="163">
        <v>2296939736.1199999</v>
      </c>
      <c r="DE5" s="163">
        <v>2297763600.9000001</v>
      </c>
      <c r="DF5" s="163">
        <f>VLOOKUP($C5,'[3]BS ACC'!$C$5:$DH$1006,108,FALSE)</f>
        <v>2298134153.9499998</v>
      </c>
      <c r="DG5" s="163">
        <f>VLOOKUP($C5,'[3]BS ACC'!$C$5:$DH$1006,109,FALSE)</f>
        <v>2299277638.8899999</v>
      </c>
      <c r="DH5" s="163">
        <f>VLOOKUP($C5,'[3]BS ACC'!$C$5:$DH$1006,110,FALSE)</f>
        <v>2346274645.8899999</v>
      </c>
    </row>
    <row r="6" spans="1:112">
      <c r="A6" s="350" t="str">
        <f t="shared" ref="A6:A71" si="0">+B6</f>
        <v>1040000</v>
      </c>
      <c r="B6" s="350" t="s">
        <v>1480</v>
      </c>
      <c r="C6" s="335" t="s">
        <v>1456</v>
      </c>
      <c r="D6" s="340"/>
      <c r="E6" s="340"/>
      <c r="F6" s="340"/>
      <c r="G6" s="340"/>
      <c r="H6" s="340"/>
      <c r="I6" s="340"/>
      <c r="J6" s="340"/>
      <c r="K6" s="340"/>
      <c r="L6" s="340"/>
      <c r="M6" s="340"/>
      <c r="N6" s="340"/>
      <c r="O6" s="340"/>
      <c r="P6" s="341"/>
      <c r="Q6" s="163"/>
      <c r="R6" s="163"/>
      <c r="S6" s="163"/>
      <c r="T6" s="163"/>
      <c r="U6" s="163"/>
      <c r="V6" s="163"/>
      <c r="W6" s="163"/>
      <c r="X6" s="163"/>
      <c r="Y6" s="163"/>
      <c r="Z6" s="163"/>
      <c r="AA6" s="163"/>
      <c r="AB6" s="163"/>
      <c r="AC6" s="163"/>
      <c r="AD6" s="163"/>
      <c r="AE6" s="163"/>
      <c r="AF6" s="163">
        <v>0</v>
      </c>
      <c r="AG6" s="163">
        <v>0</v>
      </c>
      <c r="AH6" s="163">
        <v>9286155.6300000008</v>
      </c>
      <c r="AI6" s="163">
        <v>11734138</v>
      </c>
      <c r="AJ6" s="163">
        <v>11832383.210000001</v>
      </c>
      <c r="AK6" s="163">
        <v>12032563.85</v>
      </c>
      <c r="AL6" s="163">
        <v>12032563.85</v>
      </c>
      <c r="AM6" s="163">
        <v>12032563.85</v>
      </c>
      <c r="AN6" s="163">
        <v>12033286.029999999</v>
      </c>
      <c r="AO6" s="163">
        <v>12033286.029999999</v>
      </c>
      <c r="AP6" s="163">
        <v>12033286.029999999</v>
      </c>
      <c r="AQ6" s="163">
        <v>12033286.029999999</v>
      </c>
      <c r="AR6" s="163">
        <v>12033286.029999999</v>
      </c>
      <c r="AS6" s="163">
        <v>12033286.029999999</v>
      </c>
      <c r="AT6" s="163">
        <v>12033286.029999999</v>
      </c>
      <c r="AU6" s="163">
        <v>12033286.029999999</v>
      </c>
      <c r="AV6" s="163">
        <v>12033286.029999999</v>
      </c>
      <c r="AW6" s="163">
        <v>12033286.029999999</v>
      </c>
      <c r="AX6" s="163">
        <v>12033286.029999999</v>
      </c>
      <c r="AY6" s="163">
        <v>12033286.029999999</v>
      </c>
      <c r="AZ6" s="163">
        <v>12033286.029999999</v>
      </c>
      <c r="BA6" s="163">
        <v>12033286.029999999</v>
      </c>
      <c r="BB6" s="163">
        <v>12033286.029999999</v>
      </c>
      <c r="BC6" s="163">
        <v>12033286.029999999</v>
      </c>
      <c r="BD6" s="163">
        <v>12033286.029999999</v>
      </c>
      <c r="BE6" s="163">
        <v>12033286.029999999</v>
      </c>
      <c r="BF6" s="163">
        <v>12033286.029999999</v>
      </c>
      <c r="BG6" s="163">
        <v>12033286.029999999</v>
      </c>
      <c r="BH6" s="163">
        <v>12033286.029999999</v>
      </c>
      <c r="BI6" s="163">
        <v>12033286.029999999</v>
      </c>
      <c r="BJ6" s="163">
        <v>12033286.029999999</v>
      </c>
      <c r="BK6" s="163">
        <v>12033286.029999999</v>
      </c>
      <c r="BL6" s="163">
        <v>12033286.029999999</v>
      </c>
      <c r="BM6" s="163">
        <v>12033286.029999999</v>
      </c>
      <c r="BN6" s="163">
        <v>12033286.029999999</v>
      </c>
      <c r="BO6" s="163">
        <v>12033286.029999999</v>
      </c>
      <c r="BP6" s="163">
        <v>13128442.310000001</v>
      </c>
      <c r="BQ6" s="163">
        <v>13128442.310000001</v>
      </c>
      <c r="BR6" s="163">
        <v>13128442.310000001</v>
      </c>
      <c r="BS6" s="163">
        <v>13128442.310000001</v>
      </c>
      <c r="BT6" s="163">
        <v>13128442.310000001</v>
      </c>
      <c r="BU6" s="163">
        <v>13128442.310000001</v>
      </c>
      <c r="BV6" s="163">
        <v>13128442.310000001</v>
      </c>
      <c r="BW6" s="163">
        <v>13128442.310000001</v>
      </c>
      <c r="BX6" s="163">
        <v>13128442.310000001</v>
      </c>
      <c r="BY6" s="163">
        <v>13128442.310000001</v>
      </c>
      <c r="BZ6" s="163">
        <v>13128442.310000001</v>
      </c>
      <c r="CA6" s="163">
        <v>13128442.310000001</v>
      </c>
      <c r="CB6" s="163">
        <v>13128442.310000001</v>
      </c>
      <c r="CC6" s="163">
        <v>13128442.310000001</v>
      </c>
      <c r="CD6" s="163">
        <v>13128442.310000001</v>
      </c>
      <c r="CE6" s="163">
        <v>13128442.310000001</v>
      </c>
      <c r="CF6" s="163">
        <v>13128442.310000001</v>
      </c>
      <c r="CG6" s="163">
        <v>13128442.310000001</v>
      </c>
      <c r="CH6" s="163">
        <v>13128442.310000001</v>
      </c>
      <c r="CI6" s="163">
        <v>13128442.310000001</v>
      </c>
      <c r="CJ6" s="163">
        <v>13128442.310000001</v>
      </c>
      <c r="CK6" s="163">
        <v>13128442.310000001</v>
      </c>
      <c r="CL6" s="163">
        <v>13128442.310000001</v>
      </c>
      <c r="CM6" s="163">
        <v>13128442.310000001</v>
      </c>
      <c r="CN6" s="163">
        <v>13128442.310000001</v>
      </c>
      <c r="CO6" s="163">
        <v>13128442.310000001</v>
      </c>
      <c r="CP6" s="163">
        <v>13128442.310000001</v>
      </c>
      <c r="CQ6" s="163">
        <v>13128442.310000001</v>
      </c>
      <c r="CR6" s="163">
        <v>13128442.310000001</v>
      </c>
      <c r="CS6" s="163">
        <v>13128442.310000001</v>
      </c>
      <c r="CT6" s="163">
        <v>13128442.310000001</v>
      </c>
      <c r="CU6" s="163">
        <v>13128442.310000001</v>
      </c>
      <c r="CV6" s="163">
        <v>13128442.310000001</v>
      </c>
      <c r="CW6" s="163">
        <v>13128442.310000001</v>
      </c>
      <c r="CX6" s="163">
        <v>13128442.310000001</v>
      </c>
      <c r="CY6" s="163">
        <v>10382214.34</v>
      </c>
      <c r="CZ6" s="163">
        <v>10382214.34</v>
      </c>
      <c r="DA6" s="163">
        <v>10382214.34</v>
      </c>
      <c r="DB6" s="163">
        <v>10382214.34</v>
      </c>
      <c r="DC6" s="163">
        <v>2527001.42</v>
      </c>
      <c r="DD6" s="163">
        <v>2527001.42</v>
      </c>
      <c r="DE6" s="163">
        <v>2527001.42</v>
      </c>
      <c r="DF6" s="163">
        <f>VLOOKUP($C6,'[3]BS ACC'!$C$5:$DH$1006,108,FALSE)</f>
        <v>2527001.42</v>
      </c>
      <c r="DG6" s="163">
        <f>VLOOKUP($C6,'[3]BS ACC'!$C$5:$DH$1006,109,FALSE)</f>
        <v>2527001.42</v>
      </c>
      <c r="DH6" s="163">
        <f>VLOOKUP($C6,'[3]BS ACC'!$C$5:$DH$1006,110,FALSE)</f>
        <v>2527001.42</v>
      </c>
    </row>
    <row r="7" spans="1:112" ht="13.5" thickBot="1">
      <c r="A7" s="350" t="str">
        <f t="shared" si="0"/>
        <v>1040001</v>
      </c>
      <c r="B7" s="350" t="s">
        <v>1541</v>
      </c>
      <c r="C7" s="442" t="s">
        <v>1457</v>
      </c>
      <c r="D7" s="340"/>
      <c r="E7" s="340"/>
      <c r="F7" s="340"/>
      <c r="G7" s="340"/>
      <c r="H7" s="340"/>
      <c r="I7" s="340"/>
      <c r="J7" s="340"/>
      <c r="K7" s="340"/>
      <c r="L7" s="340"/>
      <c r="M7" s="340"/>
      <c r="N7" s="340"/>
      <c r="O7" s="340"/>
      <c r="P7" s="341"/>
      <c r="Q7" s="163"/>
      <c r="R7" s="163"/>
      <c r="S7" s="163"/>
      <c r="T7" s="163"/>
      <c r="U7" s="163"/>
      <c r="V7" s="163"/>
      <c r="W7" s="163"/>
      <c r="X7" s="163"/>
      <c r="Y7" s="163"/>
      <c r="Z7" s="163"/>
      <c r="AA7" s="163"/>
      <c r="AB7" s="163"/>
      <c r="AC7" s="163"/>
      <c r="AD7" s="163"/>
      <c r="AE7" s="163"/>
      <c r="AF7" s="163">
        <v>0</v>
      </c>
      <c r="AG7" s="163">
        <v>0</v>
      </c>
      <c r="AH7" s="443">
        <v>-7851977</v>
      </c>
      <c r="AI7" s="443">
        <v>-7851977</v>
      </c>
      <c r="AJ7" s="443">
        <v>-7851977</v>
      </c>
      <c r="AK7" s="443">
        <v>-7851977</v>
      </c>
      <c r="AL7" s="443">
        <v>-7851977</v>
      </c>
      <c r="AM7" s="443">
        <v>-10596977</v>
      </c>
      <c r="AN7" s="443">
        <v>-10596977</v>
      </c>
      <c r="AO7" s="443">
        <v>-10596977</v>
      </c>
      <c r="AP7" s="443">
        <v>-10596977</v>
      </c>
      <c r="AQ7" s="443">
        <v>-10596977</v>
      </c>
      <c r="AR7" s="443">
        <v>-10596977</v>
      </c>
      <c r="AS7" s="443">
        <v>-10596977</v>
      </c>
      <c r="AT7" s="443">
        <v>-10596977</v>
      </c>
      <c r="AU7" s="443">
        <v>-10596977</v>
      </c>
      <c r="AV7" s="443">
        <v>-10596977</v>
      </c>
      <c r="AW7" s="443">
        <v>-10596977</v>
      </c>
      <c r="AX7" s="443">
        <v>-10596977</v>
      </c>
      <c r="AY7" s="443">
        <v>-10596977</v>
      </c>
      <c r="AZ7" s="443">
        <v>-10596977</v>
      </c>
      <c r="BA7" s="443">
        <v>-10596977</v>
      </c>
      <c r="BB7" s="443">
        <v>-10596977</v>
      </c>
      <c r="BC7" s="443">
        <v>-10596977</v>
      </c>
      <c r="BD7" s="443">
        <v>-10596977</v>
      </c>
      <c r="BE7" s="443">
        <v>-10596977</v>
      </c>
      <c r="BF7" s="443">
        <v>-10596977</v>
      </c>
      <c r="BG7" s="443">
        <v>-10596977</v>
      </c>
      <c r="BH7" s="443">
        <v>-10596977</v>
      </c>
      <c r="BI7" s="443">
        <v>-10596977</v>
      </c>
      <c r="BJ7" s="443">
        <v>-10596977</v>
      </c>
      <c r="BK7" s="443">
        <v>-10596977</v>
      </c>
      <c r="BL7" s="443">
        <v>-10596977</v>
      </c>
      <c r="BM7" s="443">
        <v>-10596977</v>
      </c>
      <c r="BN7" s="443">
        <v>-10596977</v>
      </c>
      <c r="BO7" s="443">
        <v>-10596977</v>
      </c>
      <c r="BP7" s="443">
        <v>-10596977</v>
      </c>
      <c r="BQ7" s="443">
        <v>-10596977</v>
      </c>
      <c r="BR7" s="443">
        <v>-10596977</v>
      </c>
      <c r="BS7" s="443">
        <v>-10596977</v>
      </c>
      <c r="BT7" s="443">
        <v>-10596977</v>
      </c>
      <c r="BU7" s="443">
        <v>-10596977</v>
      </c>
      <c r="BV7" s="443">
        <v>-10596977</v>
      </c>
      <c r="BW7" s="443">
        <v>-10596977</v>
      </c>
      <c r="BX7" s="443">
        <v>-10596977</v>
      </c>
      <c r="BY7" s="443">
        <v>-10596977</v>
      </c>
      <c r="BZ7" s="443">
        <v>-10596977</v>
      </c>
      <c r="CA7" s="443">
        <v>-10596977</v>
      </c>
      <c r="CB7" s="443">
        <v>-10596977</v>
      </c>
      <c r="CC7" s="443">
        <v>-10596977</v>
      </c>
      <c r="CD7" s="443">
        <v>-10596977</v>
      </c>
      <c r="CE7" s="443">
        <v>-10596977</v>
      </c>
      <c r="CF7" s="443">
        <v>-10596977</v>
      </c>
      <c r="CG7" s="443">
        <v>-10596977</v>
      </c>
      <c r="CH7" s="443">
        <v>-10596977</v>
      </c>
      <c r="CI7" s="443">
        <v>-10596977</v>
      </c>
      <c r="CJ7" s="443">
        <v>-10596977</v>
      </c>
      <c r="CK7" s="443">
        <v>-10596977</v>
      </c>
      <c r="CL7" s="443">
        <v>-10596977</v>
      </c>
      <c r="CM7" s="443">
        <v>-10596977</v>
      </c>
      <c r="CN7" s="443">
        <v>-10596977</v>
      </c>
      <c r="CO7" s="443">
        <v>-10596977</v>
      </c>
      <c r="CP7" s="443">
        <v>-10596977</v>
      </c>
      <c r="CQ7" s="443">
        <v>-10596977</v>
      </c>
      <c r="CR7" s="443">
        <v>-10596977</v>
      </c>
      <c r="CS7" s="443">
        <v>-10596977</v>
      </c>
      <c r="CT7" s="443">
        <v>-10596977</v>
      </c>
      <c r="CU7" s="443">
        <v>-10596977</v>
      </c>
      <c r="CV7" s="443">
        <v>-10596977</v>
      </c>
      <c r="CW7" s="443">
        <v>-10596977</v>
      </c>
      <c r="CX7" s="443">
        <v>-10596977</v>
      </c>
      <c r="CY7" s="443">
        <v>-7851977</v>
      </c>
      <c r="CZ7" s="443">
        <v>-7851977</v>
      </c>
      <c r="DA7" s="443">
        <v>-7851977</v>
      </c>
      <c r="DB7" s="443">
        <v>-7851977</v>
      </c>
      <c r="DC7" s="443">
        <v>0</v>
      </c>
      <c r="DD7" s="443">
        <v>0</v>
      </c>
      <c r="DE7" s="443">
        <v>0</v>
      </c>
      <c r="DF7" s="443">
        <f>VLOOKUP($C7,'[3]BS ACC'!$C$5:$DH$1006,108,FALSE)</f>
        <v>0</v>
      </c>
      <c r="DG7" s="443">
        <f>VLOOKUP($C7,'[3]BS ACC'!$C$5:$DH$1006,109,FALSE)</f>
        <v>0</v>
      </c>
      <c r="DH7" s="443">
        <f>VLOOKUP($C7,'[3]BS ACC'!$C$5:$DH$1006,110,FALSE)</f>
        <v>0</v>
      </c>
    </row>
    <row r="8" spans="1:112">
      <c r="A8" s="350" t="str">
        <f t="shared" si="0"/>
        <v>1050000</v>
      </c>
      <c r="B8" s="701" t="s">
        <v>1481</v>
      </c>
      <c r="C8" s="723" t="s">
        <v>589</v>
      </c>
      <c r="D8" s="342">
        <v>1937574.45</v>
      </c>
      <c r="E8" s="342">
        <v>1939551.55</v>
      </c>
      <c r="F8" s="342">
        <v>1939551.55</v>
      </c>
      <c r="G8" s="342">
        <v>2983016.36</v>
      </c>
      <c r="H8" s="342">
        <v>2983016.36</v>
      </c>
      <c r="I8" s="342">
        <v>2983016.36</v>
      </c>
      <c r="J8" s="342">
        <v>2983016.36</v>
      </c>
      <c r="K8" s="342">
        <v>2983016.36</v>
      </c>
      <c r="L8" s="342">
        <v>2983016.36</v>
      </c>
      <c r="M8" s="342">
        <v>2983016.36</v>
      </c>
      <c r="N8" s="342">
        <v>2983066.99</v>
      </c>
      <c r="O8" s="342">
        <v>2983066.99</v>
      </c>
      <c r="P8" s="343">
        <v>2984633.79</v>
      </c>
      <c r="Q8" s="163">
        <v>2984633.79</v>
      </c>
      <c r="R8" s="163">
        <v>2984633.79</v>
      </c>
      <c r="S8" s="163">
        <v>2984633.79</v>
      </c>
      <c r="T8" s="163">
        <v>2984633.79</v>
      </c>
      <c r="U8" s="163">
        <v>2984633.79</v>
      </c>
      <c r="V8" s="163">
        <v>1939551.55</v>
      </c>
      <c r="W8" s="163">
        <v>1939551.55</v>
      </c>
      <c r="X8" s="163">
        <v>1939551.55</v>
      </c>
      <c r="Y8" s="163">
        <v>1939551.55</v>
      </c>
      <c r="Z8" s="163">
        <v>1939551.55</v>
      </c>
      <c r="AA8" s="163">
        <v>1939551.55</v>
      </c>
      <c r="AB8" s="163">
        <v>1939551.55</v>
      </c>
      <c r="AC8" s="163">
        <v>1939551.55</v>
      </c>
      <c r="AD8" s="163">
        <v>1939551.55</v>
      </c>
      <c r="AE8" s="163">
        <v>1939551.55</v>
      </c>
      <c r="AF8" s="163">
        <v>1939551.55</v>
      </c>
      <c r="AG8" s="163">
        <v>1939551.55</v>
      </c>
      <c r="AH8" s="163">
        <v>1939551.55</v>
      </c>
      <c r="AI8" s="163">
        <v>1939551.55</v>
      </c>
      <c r="AJ8" s="163">
        <v>1939551.55</v>
      </c>
      <c r="AK8" s="163">
        <v>1939551.55</v>
      </c>
      <c r="AL8" s="163">
        <v>1939551.55</v>
      </c>
      <c r="AM8" s="163">
        <v>1939551.55</v>
      </c>
      <c r="AN8" s="163">
        <v>1939551.55</v>
      </c>
      <c r="AO8" s="163">
        <v>1939551.55</v>
      </c>
      <c r="AP8" s="163">
        <v>1939551.55</v>
      </c>
      <c r="AQ8" s="163">
        <v>1939551.55</v>
      </c>
      <c r="AR8" s="163">
        <v>1939551.55</v>
      </c>
      <c r="AS8" s="163">
        <v>1939551.55</v>
      </c>
      <c r="AT8" s="163">
        <v>1939551.55</v>
      </c>
      <c r="AU8" s="163">
        <v>1939551.55</v>
      </c>
      <c r="AV8" s="163">
        <v>1939551.55</v>
      </c>
      <c r="AW8" s="163">
        <v>1939551.55</v>
      </c>
      <c r="AX8" s="163">
        <v>1939551.55</v>
      </c>
      <c r="AY8" s="163">
        <v>1939551.55</v>
      </c>
      <c r="AZ8" s="163">
        <v>1939551.55</v>
      </c>
      <c r="BA8" s="163">
        <v>1939551.55</v>
      </c>
      <c r="BB8" s="163">
        <v>1939551.55</v>
      </c>
      <c r="BC8" s="163">
        <v>1939551.55</v>
      </c>
      <c r="BD8" s="163">
        <v>1939551.55</v>
      </c>
      <c r="BE8" s="163">
        <v>1939551.55</v>
      </c>
      <c r="BF8" s="163">
        <v>1939551.55</v>
      </c>
      <c r="BG8" s="163">
        <v>1939551.55</v>
      </c>
      <c r="BH8" s="163">
        <v>1939551.55</v>
      </c>
      <c r="BI8" s="163">
        <v>1939551.55</v>
      </c>
      <c r="BJ8" s="163">
        <v>1939551.55</v>
      </c>
      <c r="BK8" s="163">
        <v>1939551.55</v>
      </c>
      <c r="BL8" s="163">
        <v>1939551.55</v>
      </c>
      <c r="BM8" s="163">
        <v>1939551.55</v>
      </c>
      <c r="BN8" s="163">
        <v>1939551.55</v>
      </c>
      <c r="BO8" s="163">
        <v>1939551.55</v>
      </c>
      <c r="BP8" s="163">
        <v>1939551.55</v>
      </c>
      <c r="BQ8" s="163">
        <v>1939551.55</v>
      </c>
      <c r="BR8" s="163">
        <v>1939551.55</v>
      </c>
      <c r="BS8" s="163">
        <v>1939551.55</v>
      </c>
      <c r="BT8" s="163">
        <v>1939551.55</v>
      </c>
      <c r="BU8" s="163">
        <v>1939551.55</v>
      </c>
      <c r="BV8" s="163">
        <v>1939551.55</v>
      </c>
      <c r="BW8" s="163">
        <v>1939551.55</v>
      </c>
      <c r="BX8" s="163">
        <v>1939551.55</v>
      </c>
      <c r="BY8" s="163">
        <v>1939551.55</v>
      </c>
      <c r="BZ8" s="163">
        <v>1939551.55</v>
      </c>
      <c r="CA8" s="163">
        <v>1939551.55</v>
      </c>
      <c r="CB8" s="163">
        <v>1939551.55</v>
      </c>
      <c r="CC8" s="163">
        <v>1939551.55</v>
      </c>
      <c r="CD8" s="163">
        <v>1939551.55</v>
      </c>
      <c r="CE8" s="163">
        <v>1939551.55</v>
      </c>
      <c r="CF8" s="163">
        <v>1939551.55</v>
      </c>
      <c r="CG8" s="163">
        <v>1939551.55</v>
      </c>
      <c r="CH8" s="163">
        <v>1939551.55</v>
      </c>
      <c r="CI8" s="163">
        <v>1939551.55</v>
      </c>
      <c r="CJ8" s="163">
        <v>1939551.55</v>
      </c>
      <c r="CK8" s="163">
        <v>1939551.55</v>
      </c>
      <c r="CL8" s="163">
        <v>1939551.55</v>
      </c>
      <c r="CM8" s="163">
        <v>1939551.55</v>
      </c>
      <c r="CN8" s="163">
        <v>1939551.55</v>
      </c>
      <c r="CO8" s="163">
        <v>1939551.55</v>
      </c>
      <c r="CP8" s="163">
        <v>1939551.55</v>
      </c>
      <c r="CQ8" s="163">
        <v>1939551.55</v>
      </c>
      <c r="CR8" s="163">
        <v>1939551.55</v>
      </c>
      <c r="CS8" s="163">
        <v>1939551.55</v>
      </c>
      <c r="CT8" s="163">
        <v>1939551.55</v>
      </c>
      <c r="CU8" s="163">
        <v>1939551.55</v>
      </c>
      <c r="CV8" s="163">
        <v>1939551.55</v>
      </c>
      <c r="CW8" s="163">
        <v>1939551.55</v>
      </c>
      <c r="CX8" s="163">
        <v>1939551.55</v>
      </c>
      <c r="CY8" s="163">
        <v>1939551.55</v>
      </c>
      <c r="CZ8" s="163">
        <v>1939551.55</v>
      </c>
      <c r="DA8" s="163">
        <v>1939551.55</v>
      </c>
      <c r="DB8" s="163">
        <v>1939551.55</v>
      </c>
      <c r="DC8" s="163">
        <v>1939551.55</v>
      </c>
      <c r="DD8" s="163">
        <v>1939551.55</v>
      </c>
      <c r="DE8" s="163">
        <v>1939551.55</v>
      </c>
      <c r="DF8" s="163">
        <f>VLOOKUP($C8,'[3]BS ACC'!$C$5:$DH$1006,108,FALSE)</f>
        <v>1939551.55</v>
      </c>
      <c r="DG8" s="163">
        <f>VLOOKUP($C8,'[3]BS ACC'!$C$5:$DH$1006,109,FALSE)</f>
        <v>1939551.55</v>
      </c>
      <c r="DH8" s="163">
        <f>VLOOKUP($C8,'[3]BS ACC'!$C$5:$DH$1006,110,FALSE)</f>
        <v>1939551.55</v>
      </c>
    </row>
    <row r="9" spans="1:112">
      <c r="A9" s="350" t="str">
        <f t="shared" si="0"/>
        <v>1060000</v>
      </c>
      <c r="B9" s="350" t="s">
        <v>1482</v>
      </c>
      <c r="C9" s="335" t="s">
        <v>590</v>
      </c>
      <c r="D9" s="340">
        <v>55155772.07</v>
      </c>
      <c r="E9" s="340">
        <v>59777134.939999998</v>
      </c>
      <c r="F9" s="340">
        <v>59522741.600000001</v>
      </c>
      <c r="G9" s="340">
        <v>59811525.289999999</v>
      </c>
      <c r="H9" s="340">
        <v>60269073.789999999</v>
      </c>
      <c r="I9" s="340">
        <v>60378387.729999997</v>
      </c>
      <c r="J9" s="340">
        <v>54234691.420000002</v>
      </c>
      <c r="K9" s="340">
        <v>53319052.539999999</v>
      </c>
      <c r="L9" s="340">
        <v>55502445.530000001</v>
      </c>
      <c r="M9" s="340">
        <v>59575230</v>
      </c>
      <c r="N9" s="340">
        <v>63821406.780000001</v>
      </c>
      <c r="O9" s="340">
        <v>65705035.090000004</v>
      </c>
      <c r="P9" s="341">
        <v>65158239.32</v>
      </c>
      <c r="Q9" s="163">
        <v>64389407.079999998</v>
      </c>
      <c r="R9" s="163">
        <v>68828252.959999993</v>
      </c>
      <c r="S9" s="163">
        <v>64965719.759999998</v>
      </c>
      <c r="T9" s="163">
        <v>72489418</v>
      </c>
      <c r="U9" s="163">
        <v>72631177.180000007</v>
      </c>
      <c r="V9" s="163">
        <v>80039720.680000007</v>
      </c>
      <c r="W9" s="163">
        <v>78249525.939999998</v>
      </c>
      <c r="X9" s="163">
        <v>79646995.340000004</v>
      </c>
      <c r="Y9" s="163">
        <v>83186059.040000007</v>
      </c>
      <c r="Z9" s="163">
        <v>87491897.939999998</v>
      </c>
      <c r="AA9" s="163">
        <v>91246711.870000005</v>
      </c>
      <c r="AB9" s="163">
        <v>86192242.730000004</v>
      </c>
      <c r="AC9" s="163">
        <v>94491003.510000005</v>
      </c>
      <c r="AD9" s="163">
        <v>95210306.680000007</v>
      </c>
      <c r="AE9" s="163">
        <v>90134370.25</v>
      </c>
      <c r="AF9" s="163">
        <v>89673217.290000007</v>
      </c>
      <c r="AG9" s="163">
        <v>88170581.299999997</v>
      </c>
      <c r="AH9" s="163">
        <v>101902285.98</v>
      </c>
      <c r="AI9" s="163">
        <v>97464103.069999993</v>
      </c>
      <c r="AJ9" s="163">
        <v>94939397.230000004</v>
      </c>
      <c r="AK9" s="163">
        <v>94936476.810000002</v>
      </c>
      <c r="AL9" s="163">
        <v>106629096.68000001</v>
      </c>
      <c r="AM9" s="163">
        <v>103796910.95</v>
      </c>
      <c r="AN9" s="163">
        <v>116017760.18000001</v>
      </c>
      <c r="AO9" s="163">
        <v>123478325.7</v>
      </c>
      <c r="AP9" s="163">
        <v>123104497.54000001</v>
      </c>
      <c r="AQ9" s="163">
        <v>121594992.75</v>
      </c>
      <c r="AR9" s="163">
        <v>126843059.06</v>
      </c>
      <c r="AS9" s="163">
        <v>130438687.8</v>
      </c>
      <c r="AT9" s="163">
        <v>124575686.33</v>
      </c>
      <c r="AU9" s="163">
        <v>126774655.27</v>
      </c>
      <c r="AV9" s="163">
        <v>137418686.12</v>
      </c>
      <c r="AW9" s="163">
        <v>137030683.94</v>
      </c>
      <c r="AX9" s="163">
        <v>139217028.97</v>
      </c>
      <c r="AY9" s="163">
        <v>145683536.13999999</v>
      </c>
      <c r="AZ9" s="163">
        <v>146308565.94</v>
      </c>
      <c r="BA9" s="163">
        <v>157102252.53999999</v>
      </c>
      <c r="BB9" s="163">
        <v>135334145.16999999</v>
      </c>
      <c r="BC9" s="163">
        <v>134638092.81</v>
      </c>
      <c r="BD9" s="163">
        <v>134348672.25</v>
      </c>
      <c r="BE9" s="163">
        <v>147286293.41999999</v>
      </c>
      <c r="BF9" s="163">
        <v>142572224.63</v>
      </c>
      <c r="BG9" s="163">
        <v>148353060.91999999</v>
      </c>
      <c r="BH9" s="163">
        <v>140643217.83000001</v>
      </c>
      <c r="BI9" s="163">
        <v>138692376.77000001</v>
      </c>
      <c r="BJ9" s="163">
        <v>147018174.91</v>
      </c>
      <c r="BK9" s="163">
        <v>170081630.19999999</v>
      </c>
      <c r="BL9" s="163">
        <v>178863957</v>
      </c>
      <c r="BM9" s="163">
        <v>187836788.50999999</v>
      </c>
      <c r="BN9" s="163">
        <v>201744680.5</v>
      </c>
      <c r="BO9" s="163">
        <v>205080951.90000001</v>
      </c>
      <c r="BP9" s="163">
        <v>206811472.78999999</v>
      </c>
      <c r="BQ9" s="163">
        <v>208625228.19</v>
      </c>
      <c r="BR9" s="163">
        <v>198920933.38999999</v>
      </c>
      <c r="BS9" s="163">
        <v>207592067.80000001</v>
      </c>
      <c r="BT9" s="163">
        <v>212178321.44</v>
      </c>
      <c r="BU9" s="163">
        <v>216700510.66999999</v>
      </c>
      <c r="BV9" s="163">
        <v>212255031.72999999</v>
      </c>
      <c r="BW9" s="163">
        <v>225486245.28999999</v>
      </c>
      <c r="BX9" s="163">
        <v>208469489.09</v>
      </c>
      <c r="BY9" s="163">
        <v>214740525.37</v>
      </c>
      <c r="BZ9" s="163">
        <v>233879588.15000001</v>
      </c>
      <c r="CA9" s="163">
        <v>236630022.56</v>
      </c>
      <c r="CB9" s="163">
        <v>245175601.69999999</v>
      </c>
      <c r="CC9" s="163">
        <v>243003938.44</v>
      </c>
      <c r="CD9" s="163">
        <v>239387266.99000001</v>
      </c>
      <c r="CE9" s="163">
        <v>244937641.88</v>
      </c>
      <c r="CF9" s="163">
        <v>262835663.27000001</v>
      </c>
      <c r="CG9" s="163">
        <v>255783925.18000001</v>
      </c>
      <c r="CH9" s="163">
        <v>331089860.20999998</v>
      </c>
      <c r="CI9" s="163">
        <v>349864270.37</v>
      </c>
      <c r="CJ9" s="163">
        <v>307437320.20999998</v>
      </c>
      <c r="CK9" s="163">
        <v>327435776.81</v>
      </c>
      <c r="CL9" s="163">
        <v>320782810.11000001</v>
      </c>
      <c r="CM9" s="163">
        <v>334363018.18000001</v>
      </c>
      <c r="CN9" s="163">
        <v>398104794.31999999</v>
      </c>
      <c r="CO9" s="163">
        <v>370986194.32999998</v>
      </c>
      <c r="CP9" s="163">
        <v>357640735.67000002</v>
      </c>
      <c r="CQ9" s="163">
        <v>292578511.06</v>
      </c>
      <c r="CR9" s="163">
        <v>302547183.81999999</v>
      </c>
      <c r="CS9" s="163">
        <v>247163875.91999999</v>
      </c>
      <c r="CT9" s="163">
        <v>243388959.18000001</v>
      </c>
      <c r="CU9" s="163">
        <v>300047316.99000001</v>
      </c>
      <c r="CV9" s="163">
        <v>297505685.51999998</v>
      </c>
      <c r="CW9" s="163">
        <v>293670988.24000001</v>
      </c>
      <c r="CX9" s="163">
        <v>294694023.07999998</v>
      </c>
      <c r="CY9" s="163">
        <v>290733193.19999999</v>
      </c>
      <c r="CZ9" s="163">
        <v>302344491.98000002</v>
      </c>
      <c r="DA9" s="163">
        <v>283595429.08999997</v>
      </c>
      <c r="DB9" s="163">
        <v>272186852.60000002</v>
      </c>
      <c r="DC9" s="163">
        <v>279198375.10000002</v>
      </c>
      <c r="DD9" s="163">
        <v>293707332.66000003</v>
      </c>
      <c r="DE9" s="163">
        <v>304307169.75</v>
      </c>
      <c r="DF9" s="163">
        <f>VLOOKUP($C9,'[3]BS ACC'!$C$5:$DH$1006,108,FALSE)</f>
        <v>359987415.35000002</v>
      </c>
      <c r="DG9" s="163">
        <f>VLOOKUP($C9,'[3]BS ACC'!$C$5:$DH$1006,109,FALSE)</f>
        <v>371496189.58999997</v>
      </c>
      <c r="DH9" s="163">
        <f>VLOOKUP($C9,'[3]BS ACC'!$C$5:$DH$1006,110,FALSE)</f>
        <v>331968650.48000002</v>
      </c>
    </row>
    <row r="10" spans="1:112">
      <c r="A10" s="350" t="str">
        <f t="shared" si="0"/>
        <v>1070000</v>
      </c>
      <c r="B10" s="350" t="s">
        <v>1483</v>
      </c>
      <c r="C10" s="335" t="s">
        <v>4</v>
      </c>
      <c r="D10" s="340">
        <v>37999178.799999997</v>
      </c>
      <c r="E10" s="340">
        <v>35807420.920000002</v>
      </c>
      <c r="F10" s="340">
        <v>39501441.969999999</v>
      </c>
      <c r="G10" s="340">
        <v>40111903.259999998</v>
      </c>
      <c r="H10" s="340">
        <v>40338458.479999997</v>
      </c>
      <c r="I10" s="340">
        <v>42218897.460000001</v>
      </c>
      <c r="J10" s="340">
        <v>45750443.969999999</v>
      </c>
      <c r="K10" s="340">
        <v>40929057.259999998</v>
      </c>
      <c r="L10" s="340">
        <v>43483994.240000002</v>
      </c>
      <c r="M10" s="340">
        <v>44285914.039999999</v>
      </c>
      <c r="N10" s="340">
        <v>40392561.509999998</v>
      </c>
      <c r="O10" s="340">
        <v>40115222.409999996</v>
      </c>
      <c r="P10" s="341">
        <v>46635954.68</v>
      </c>
      <c r="Q10" s="163">
        <v>46972143.590000004</v>
      </c>
      <c r="R10" s="163">
        <v>42466526.619999997</v>
      </c>
      <c r="S10" s="163">
        <v>44747851.289999999</v>
      </c>
      <c r="T10" s="163">
        <v>34317936.780000001</v>
      </c>
      <c r="U10" s="163">
        <v>31350733.390000001</v>
      </c>
      <c r="V10" s="163">
        <v>23330873.239999998</v>
      </c>
      <c r="W10" s="163">
        <v>26918285.91</v>
      </c>
      <c r="X10" s="163">
        <v>28581241</v>
      </c>
      <c r="Y10" s="163">
        <v>27609368.649999999</v>
      </c>
      <c r="Z10" s="163">
        <v>30037295.84</v>
      </c>
      <c r="AA10" s="163">
        <v>31116400.140000001</v>
      </c>
      <c r="AB10" s="163">
        <v>32173444.620000001</v>
      </c>
      <c r="AC10" s="163">
        <v>26347085.84</v>
      </c>
      <c r="AD10" s="163">
        <v>34957213.460000001</v>
      </c>
      <c r="AE10" s="163">
        <v>38950809.469999999</v>
      </c>
      <c r="AF10" s="163">
        <v>40408048.75</v>
      </c>
      <c r="AG10" s="163">
        <v>47638018.75</v>
      </c>
      <c r="AH10" s="163">
        <v>31292455.239999998</v>
      </c>
      <c r="AI10" s="163">
        <v>31457023.140000001</v>
      </c>
      <c r="AJ10" s="163">
        <v>32878080.420000002</v>
      </c>
      <c r="AK10" s="163">
        <v>39114341.969999999</v>
      </c>
      <c r="AL10" s="163">
        <v>30953975.800000001</v>
      </c>
      <c r="AM10" s="163">
        <v>33838173.210000001</v>
      </c>
      <c r="AN10" s="163">
        <v>27484714.870000001</v>
      </c>
      <c r="AO10" s="163">
        <v>23589092.920000002</v>
      </c>
      <c r="AP10" s="163">
        <v>25860519.969999999</v>
      </c>
      <c r="AQ10" s="163">
        <v>22431305.52</v>
      </c>
      <c r="AR10" s="163">
        <v>19601495.550000001</v>
      </c>
      <c r="AS10" s="163">
        <v>22896680.879999999</v>
      </c>
      <c r="AT10" s="163">
        <v>23021023.920000002</v>
      </c>
      <c r="AU10" s="163">
        <v>24466916.82</v>
      </c>
      <c r="AV10" s="163">
        <v>26444168.329999998</v>
      </c>
      <c r="AW10" s="163">
        <v>19059484.760000002</v>
      </c>
      <c r="AX10" s="163">
        <v>18962145</v>
      </c>
      <c r="AY10" s="163">
        <v>20898478.719999999</v>
      </c>
      <c r="AZ10" s="163">
        <v>22182235.109999999</v>
      </c>
      <c r="BA10" s="163">
        <v>18556747.960000001</v>
      </c>
      <c r="BB10" s="163">
        <v>20715951.399999999</v>
      </c>
      <c r="BC10" s="163">
        <v>22686371.66</v>
      </c>
      <c r="BD10" s="163">
        <v>24764408.57</v>
      </c>
      <c r="BE10" s="163">
        <v>22852997.649999999</v>
      </c>
      <c r="BF10" s="163">
        <v>25749403.039999999</v>
      </c>
      <c r="BG10" s="163">
        <v>27787371.550000001</v>
      </c>
      <c r="BH10" s="163">
        <v>32937378.98</v>
      </c>
      <c r="BI10" s="163">
        <v>42024779.399999999</v>
      </c>
      <c r="BJ10" s="163">
        <v>49273450.009999998</v>
      </c>
      <c r="BK10" s="163">
        <v>40575117.020000003</v>
      </c>
      <c r="BL10" s="163">
        <v>32694180.890000001</v>
      </c>
      <c r="BM10" s="163">
        <v>37233262.219999999</v>
      </c>
      <c r="BN10" s="163">
        <v>30935389.949999999</v>
      </c>
      <c r="BO10" s="163">
        <v>31118917.460000001</v>
      </c>
      <c r="BP10" s="163">
        <v>32041115.710000001</v>
      </c>
      <c r="BQ10" s="163">
        <v>37503290.119999997</v>
      </c>
      <c r="BR10" s="163">
        <v>39013136.270000003</v>
      </c>
      <c r="BS10" s="163">
        <v>43393050.829999998</v>
      </c>
      <c r="BT10" s="163">
        <v>55128154.759999998</v>
      </c>
      <c r="BU10" s="163">
        <v>55798695.200000003</v>
      </c>
      <c r="BV10" s="163">
        <v>62985742.700000003</v>
      </c>
      <c r="BW10" s="163">
        <v>59495069.460000001</v>
      </c>
      <c r="BX10" s="163">
        <v>71222206.430000007</v>
      </c>
      <c r="BY10" s="163">
        <v>87383269.209999993</v>
      </c>
      <c r="BZ10" s="163">
        <v>89788572.590000004</v>
      </c>
      <c r="CA10" s="163">
        <v>92714028.870000005</v>
      </c>
      <c r="CB10" s="163">
        <v>105186283.93000001</v>
      </c>
      <c r="CC10" s="163">
        <v>119487898.45</v>
      </c>
      <c r="CD10" s="163">
        <v>129123895.42</v>
      </c>
      <c r="CE10" s="163">
        <v>142981953.91999999</v>
      </c>
      <c r="CF10" s="163">
        <v>160185910.00999999</v>
      </c>
      <c r="CG10" s="163">
        <v>169862754.34</v>
      </c>
      <c r="CH10" s="163">
        <v>123028338.83</v>
      </c>
      <c r="CI10" s="163">
        <v>131449528.66</v>
      </c>
      <c r="CJ10" s="163">
        <v>140807877.94999999</v>
      </c>
      <c r="CK10" s="163">
        <v>142689499.03</v>
      </c>
      <c r="CL10" s="163">
        <v>158270839.91</v>
      </c>
      <c r="CM10" s="163">
        <v>168655143.25</v>
      </c>
      <c r="CN10" s="163">
        <v>116700530.19</v>
      </c>
      <c r="CO10" s="163">
        <v>118593709.79000001</v>
      </c>
      <c r="CP10" s="163">
        <v>130442949.62</v>
      </c>
      <c r="CQ10" s="163">
        <v>145786057.19</v>
      </c>
      <c r="CR10" s="163">
        <v>159472172.24000001</v>
      </c>
      <c r="CS10" s="163">
        <v>174423907.46000001</v>
      </c>
      <c r="CT10" s="163">
        <v>191413442.62</v>
      </c>
      <c r="CU10" s="163">
        <v>142092425.80000001</v>
      </c>
      <c r="CV10" s="163">
        <v>147483849.61000001</v>
      </c>
      <c r="CW10" s="163">
        <v>158111229.03999999</v>
      </c>
      <c r="CX10" s="163">
        <v>162199578.15000001</v>
      </c>
      <c r="CY10" s="163">
        <v>174470939.97</v>
      </c>
      <c r="CZ10" s="163">
        <v>184225626.90000001</v>
      </c>
      <c r="DA10" s="163">
        <v>188333223.03999999</v>
      </c>
      <c r="DB10" s="163">
        <v>201983440.96000001</v>
      </c>
      <c r="DC10" s="163">
        <v>212538815.99000001</v>
      </c>
      <c r="DD10" s="163">
        <v>225280632.13</v>
      </c>
      <c r="DE10" s="163">
        <v>235379560.06999999</v>
      </c>
      <c r="DF10" s="163">
        <f>VLOOKUP($C10,'[3]BS ACC'!$C$5:$DH$1006,108,FALSE)</f>
        <v>200850235.99000001</v>
      </c>
      <c r="DG10" s="163">
        <f>VLOOKUP($C10,'[3]BS ACC'!$C$5:$DH$1006,109,FALSE)</f>
        <v>210666560.53999999</v>
      </c>
      <c r="DH10" s="163">
        <f>VLOOKUP($C10,'[3]BS ACC'!$C$5:$DH$1006,110,FALSE)</f>
        <v>246108951.69999999</v>
      </c>
    </row>
    <row r="11" spans="1:112">
      <c r="A11" s="350" t="str">
        <f t="shared" si="0"/>
        <v>1080000</v>
      </c>
      <c r="B11" s="350" t="s">
        <v>1484</v>
      </c>
      <c r="C11" s="335" t="s">
        <v>591</v>
      </c>
      <c r="D11" s="340">
        <v>-597208178.04999995</v>
      </c>
      <c r="E11" s="340">
        <v>-592509311.39999998</v>
      </c>
      <c r="F11" s="340">
        <v>-595908048.98000002</v>
      </c>
      <c r="G11" s="340">
        <v>-599418150.00999999</v>
      </c>
      <c r="H11" s="340">
        <v>-603256827.03999996</v>
      </c>
      <c r="I11" s="340">
        <v>-606600008.27999997</v>
      </c>
      <c r="J11" s="340">
        <v>-610070200.69000006</v>
      </c>
      <c r="K11" s="340">
        <v>-613707624.03999996</v>
      </c>
      <c r="L11" s="340">
        <v>-617772110.08000004</v>
      </c>
      <c r="M11" s="340">
        <v>-621209354.09000003</v>
      </c>
      <c r="N11" s="340">
        <v>-624961167.44000006</v>
      </c>
      <c r="O11" s="340">
        <v>-628795738.15999997</v>
      </c>
      <c r="P11" s="341">
        <v>-633220786.64999998</v>
      </c>
      <c r="Q11" s="163">
        <v>-636284836.04999995</v>
      </c>
      <c r="R11" s="163">
        <v>-632257740.25999999</v>
      </c>
      <c r="S11" s="163">
        <v>-635762272.91999996</v>
      </c>
      <c r="T11" s="163">
        <v>-639827062.34000003</v>
      </c>
      <c r="U11" s="163">
        <v>-643141549.57000005</v>
      </c>
      <c r="V11" s="163">
        <v>-647276388.01999998</v>
      </c>
      <c r="W11" s="163">
        <v>-651791048.07000005</v>
      </c>
      <c r="X11" s="163">
        <v>-656400200.85000002</v>
      </c>
      <c r="Y11" s="163">
        <v>-661025209.54999995</v>
      </c>
      <c r="Z11" s="163">
        <v>-665759307.74000001</v>
      </c>
      <c r="AA11" s="163">
        <v>-670459565.41999996</v>
      </c>
      <c r="AB11" s="163">
        <v>-672064704.14999998</v>
      </c>
      <c r="AC11" s="163">
        <v>-676480501.44000006</v>
      </c>
      <c r="AD11" s="163">
        <v>-681119110.76999998</v>
      </c>
      <c r="AE11" s="163">
        <v>-684493394.60000002</v>
      </c>
      <c r="AF11" s="163">
        <v>-688949454.35000002</v>
      </c>
      <c r="AG11" s="163">
        <v>-693510562.95000005</v>
      </c>
      <c r="AH11" s="163">
        <v>-693182497.40999997</v>
      </c>
      <c r="AI11" s="163">
        <v>-697440570.17999995</v>
      </c>
      <c r="AJ11" s="163">
        <v>-701354831.95000005</v>
      </c>
      <c r="AK11" s="163">
        <v>-705482736.32000005</v>
      </c>
      <c r="AL11" s="163">
        <v>-709669546.79999995</v>
      </c>
      <c r="AM11" s="163">
        <v>-714151822.33000004</v>
      </c>
      <c r="AN11" s="163">
        <v>-696231457.83000004</v>
      </c>
      <c r="AO11" s="163">
        <v>-699359972.00999999</v>
      </c>
      <c r="AP11" s="163">
        <v>-702639485.67999995</v>
      </c>
      <c r="AQ11" s="163">
        <v>-703734692.99000001</v>
      </c>
      <c r="AR11" s="163">
        <v>-702713626.04999995</v>
      </c>
      <c r="AS11" s="163">
        <v>-705623877.79999995</v>
      </c>
      <c r="AT11" s="163">
        <v>-707442762.88</v>
      </c>
      <c r="AU11" s="163">
        <v>-709944965.30999994</v>
      </c>
      <c r="AV11" s="163">
        <v>-712909788.75999999</v>
      </c>
      <c r="AW11" s="163">
        <v>-714501123.39999998</v>
      </c>
      <c r="AX11" s="163">
        <v>-717214015.63999999</v>
      </c>
      <c r="AY11" s="163">
        <v>-721040598.99000001</v>
      </c>
      <c r="AZ11" s="163">
        <v>-721926119.83000004</v>
      </c>
      <c r="BA11" s="163">
        <v>-725822855.33000004</v>
      </c>
      <c r="BB11" s="163">
        <v>-728967555.46000004</v>
      </c>
      <c r="BC11" s="163">
        <v>-731607057.05999994</v>
      </c>
      <c r="BD11" s="163">
        <v>-735299762.21000004</v>
      </c>
      <c r="BE11" s="163">
        <v>-739136592.61000001</v>
      </c>
      <c r="BF11" s="163">
        <v>-742049200.66999996</v>
      </c>
      <c r="BG11" s="163">
        <v>-746185618</v>
      </c>
      <c r="BH11" s="163">
        <v>-749684606.33000004</v>
      </c>
      <c r="BI11" s="163">
        <v>-753040832.35000002</v>
      </c>
      <c r="BJ11" s="163">
        <v>-756678463.49000001</v>
      </c>
      <c r="BK11" s="163">
        <v>-760912458.79999995</v>
      </c>
      <c r="BL11" s="163">
        <v>-763366539.32000005</v>
      </c>
      <c r="BM11" s="163">
        <v>-766550564.46000004</v>
      </c>
      <c r="BN11" s="163">
        <v>-769130556.19000006</v>
      </c>
      <c r="BO11" s="163">
        <v>-771764544.87</v>
      </c>
      <c r="BP11" s="163">
        <v>-774392034.46000004</v>
      </c>
      <c r="BQ11" s="163">
        <v>-776788459.66999996</v>
      </c>
      <c r="BR11" s="163">
        <v>-777273857.89999998</v>
      </c>
      <c r="BS11" s="163">
        <v>-779663833.38</v>
      </c>
      <c r="BT11" s="163">
        <v>-783042629.38</v>
      </c>
      <c r="BU11" s="163">
        <v>-786565650.84000003</v>
      </c>
      <c r="BV11" s="163">
        <v>-789234015.55999994</v>
      </c>
      <c r="BW11" s="163">
        <v>-792658305.40999997</v>
      </c>
      <c r="BX11" s="163">
        <v>-792260827.19000006</v>
      </c>
      <c r="BY11" s="163">
        <v>-794749524.52999997</v>
      </c>
      <c r="BZ11" s="163">
        <v>-798094187.41999996</v>
      </c>
      <c r="CA11" s="163">
        <v>-801441902.24000001</v>
      </c>
      <c r="CB11" s="163">
        <v>-804632969.15999997</v>
      </c>
      <c r="CC11" s="163">
        <v>-807458306.64999998</v>
      </c>
      <c r="CD11" s="163">
        <v>-809022082.59000003</v>
      </c>
      <c r="CE11" s="163">
        <v>-812000239.71000004</v>
      </c>
      <c r="CF11" s="163">
        <v>-815873730.60000002</v>
      </c>
      <c r="CG11" s="163">
        <v>-818684472.36000001</v>
      </c>
      <c r="CH11" s="163">
        <v>-822505628.75999999</v>
      </c>
      <c r="CI11" s="163">
        <v>-826628034.94000006</v>
      </c>
      <c r="CJ11" s="163">
        <v>-824194814.04999995</v>
      </c>
      <c r="CK11" s="163">
        <v>-828540635.38</v>
      </c>
      <c r="CL11" s="163">
        <v>-828942212.5</v>
      </c>
      <c r="CM11" s="163">
        <v>-833319226.66999996</v>
      </c>
      <c r="CN11" s="163">
        <v>-837034956.15999997</v>
      </c>
      <c r="CO11" s="163">
        <v>-841539104.87</v>
      </c>
      <c r="CP11" s="163">
        <v>-845169155.41999996</v>
      </c>
      <c r="CQ11" s="163">
        <v>-849611542.49000001</v>
      </c>
      <c r="CR11" s="163">
        <v>-854339992.46000004</v>
      </c>
      <c r="CS11" s="163">
        <v>-857331156.26999998</v>
      </c>
      <c r="CT11" s="163">
        <v>-859741766.84000003</v>
      </c>
      <c r="CU11" s="163">
        <v>-863181558.33000004</v>
      </c>
      <c r="CV11" s="163">
        <v>-863797207.22000003</v>
      </c>
      <c r="CW11" s="163">
        <v>-867875669.89999998</v>
      </c>
      <c r="CX11" s="163">
        <v>-871813326.76999998</v>
      </c>
      <c r="CY11" s="163">
        <v>-870653447.91999996</v>
      </c>
      <c r="CZ11" s="163">
        <v>-874631148.00999999</v>
      </c>
      <c r="DA11" s="163">
        <v>-879037750.84000003</v>
      </c>
      <c r="DB11" s="163">
        <v>-877464305.25999999</v>
      </c>
      <c r="DC11" s="163">
        <v>-879336329.61000001</v>
      </c>
      <c r="DD11" s="163">
        <v>-883968098.65999997</v>
      </c>
      <c r="DE11" s="163">
        <v>-884255300.07000005</v>
      </c>
      <c r="DF11" s="163">
        <f>VLOOKUP($C11,'[3]BS ACC'!$C$5:$DH$1006,108,FALSE)</f>
        <v>-889341407.23000002</v>
      </c>
      <c r="DG11" s="163">
        <f>VLOOKUP($C11,'[3]BS ACC'!$C$5:$DH$1006,109,FALSE)</f>
        <v>-894532932.25</v>
      </c>
      <c r="DH11" s="163">
        <f>VLOOKUP($C11,'[3]BS ACC'!$C$5:$DH$1006,110,FALSE)</f>
        <v>-897690611.58000004</v>
      </c>
    </row>
    <row r="12" spans="1:112">
      <c r="A12" s="350" t="str">
        <f t="shared" si="0"/>
        <v>1080001</v>
      </c>
      <c r="B12" s="350" t="s">
        <v>1542</v>
      </c>
      <c r="C12" s="335" t="s">
        <v>592</v>
      </c>
      <c r="D12" s="340">
        <v>5475309.6699999999</v>
      </c>
      <c r="E12" s="340">
        <v>6070492.6100000003</v>
      </c>
      <c r="F12" s="340">
        <v>6193781.8600000003</v>
      </c>
      <c r="G12" s="340">
        <v>6024426.1799999997</v>
      </c>
      <c r="H12" s="340">
        <v>6061317.4000000004</v>
      </c>
      <c r="I12" s="340">
        <v>5786439.4199999999</v>
      </c>
      <c r="J12" s="340">
        <v>5811333.1299999999</v>
      </c>
      <c r="K12" s="340">
        <v>5641621.3799999999</v>
      </c>
      <c r="L12" s="340">
        <v>6105530.6500000004</v>
      </c>
      <c r="M12" s="340">
        <v>6017209.04</v>
      </c>
      <c r="N12" s="340">
        <v>6264177.7000000002</v>
      </c>
      <c r="O12" s="340">
        <v>5996988.4100000001</v>
      </c>
      <c r="P12" s="341">
        <v>6806563.4299999997</v>
      </c>
      <c r="Q12" s="163">
        <v>5987515.5</v>
      </c>
      <c r="R12" s="163">
        <v>6231278.0700000003</v>
      </c>
      <c r="S12" s="163">
        <v>6280485.1399999997</v>
      </c>
      <c r="T12" s="163">
        <v>6419367.4699999997</v>
      </c>
      <c r="U12" s="163">
        <v>6028288.3200000003</v>
      </c>
      <c r="V12" s="163">
        <v>6278540.7199999997</v>
      </c>
      <c r="W12" s="163">
        <v>6759615</v>
      </c>
      <c r="X12" s="163">
        <v>7187888.21</v>
      </c>
      <c r="Y12" s="163">
        <v>8099451.4000000004</v>
      </c>
      <c r="Z12" s="163">
        <v>8822057.6999999993</v>
      </c>
      <c r="AA12" s="163">
        <v>9240386.6400000006</v>
      </c>
      <c r="AB12" s="163">
        <v>7728729.25</v>
      </c>
      <c r="AC12" s="163">
        <v>8491114.7799999993</v>
      </c>
      <c r="AD12" s="163">
        <v>8812995.7699999996</v>
      </c>
      <c r="AE12" s="163">
        <v>8216345.25</v>
      </c>
      <c r="AF12" s="163">
        <v>8443568.9199999999</v>
      </c>
      <c r="AG12" s="163">
        <v>8676052.1300000008</v>
      </c>
      <c r="AH12" s="163">
        <v>8506988.5700000003</v>
      </c>
      <c r="AI12" s="163">
        <v>8786687.4499999993</v>
      </c>
      <c r="AJ12" s="163">
        <v>9470438.9100000001</v>
      </c>
      <c r="AK12" s="163">
        <v>9107765.9800000004</v>
      </c>
      <c r="AL12" s="163">
        <v>9025114.9100000001</v>
      </c>
      <c r="AM12" s="163">
        <v>9223965.7400000002</v>
      </c>
      <c r="AN12" s="163">
        <v>9023289.1199999992</v>
      </c>
      <c r="AO12" s="163">
        <v>9190137.4199999999</v>
      </c>
      <c r="AP12" s="163">
        <v>9485911.8699999992</v>
      </c>
      <c r="AQ12" s="163">
        <v>9462697.8599999994</v>
      </c>
      <c r="AR12" s="163">
        <v>9529161.0199999996</v>
      </c>
      <c r="AS12" s="163">
        <v>9650496.0999999996</v>
      </c>
      <c r="AT12" s="163">
        <v>8907929.3100000005</v>
      </c>
      <c r="AU12" s="163">
        <v>8629778.5899999999</v>
      </c>
      <c r="AV12" s="163">
        <v>8994819.2200000007</v>
      </c>
      <c r="AW12" s="163">
        <v>7779688.1500000004</v>
      </c>
      <c r="AX12" s="163">
        <v>7770589.4900000002</v>
      </c>
      <c r="AY12" s="163">
        <v>8916807.4499999993</v>
      </c>
      <c r="AZ12" s="163">
        <v>7422224.1200000001</v>
      </c>
      <c r="BA12" s="163">
        <v>7870417.71</v>
      </c>
      <c r="BB12" s="163">
        <v>8310679.8600000003</v>
      </c>
      <c r="BC12" s="163">
        <v>7824554.8600000003</v>
      </c>
      <c r="BD12" s="163">
        <v>7933428.5</v>
      </c>
      <c r="BE12" s="163">
        <v>8348728.4900000002</v>
      </c>
      <c r="BF12" s="163">
        <v>8410915.3499999996</v>
      </c>
      <c r="BG12" s="163">
        <v>8712829.8000000007</v>
      </c>
      <c r="BH12" s="163">
        <v>8716305.2799999993</v>
      </c>
      <c r="BI12" s="163">
        <v>8829637.8599999994</v>
      </c>
      <c r="BJ12" s="163">
        <v>9677481.0600000005</v>
      </c>
      <c r="BK12" s="163">
        <v>10141968.789999999</v>
      </c>
      <c r="BL12" s="163">
        <v>9945627.3800000008</v>
      </c>
      <c r="BM12" s="163">
        <v>10843632.92</v>
      </c>
      <c r="BN12" s="163">
        <v>11222013.439999999</v>
      </c>
      <c r="BO12" s="163">
        <v>11155382.73</v>
      </c>
      <c r="BP12" s="163">
        <v>11397942.220000001</v>
      </c>
      <c r="BQ12" s="163">
        <v>11847087.07</v>
      </c>
      <c r="BR12" s="163">
        <v>11136746.699999999</v>
      </c>
      <c r="BS12" s="163">
        <v>11512539.560000001</v>
      </c>
      <c r="BT12" s="163">
        <v>12447563.75</v>
      </c>
      <c r="BU12" s="163">
        <v>13248918.85</v>
      </c>
      <c r="BV12" s="163">
        <v>13786077.689999999</v>
      </c>
      <c r="BW12" s="163">
        <v>14318397.5</v>
      </c>
      <c r="BX12" s="163">
        <v>12667895.710000001</v>
      </c>
      <c r="BY12" s="163">
        <v>7188034.0899999999</v>
      </c>
      <c r="BZ12" s="163">
        <v>14090648.800000001</v>
      </c>
      <c r="CA12" s="163">
        <v>14713671.66</v>
      </c>
      <c r="CB12" s="163">
        <v>15130730.42</v>
      </c>
      <c r="CC12" s="163">
        <v>14934721.41</v>
      </c>
      <c r="CD12" s="163">
        <v>13714162.5</v>
      </c>
      <c r="CE12" s="163">
        <v>14234181.17</v>
      </c>
      <c r="CF12" s="163">
        <v>15037734.359999999</v>
      </c>
      <c r="CG12" s="163">
        <v>15011710.01</v>
      </c>
      <c r="CH12" s="163">
        <v>15771328.560000001</v>
      </c>
      <c r="CI12" s="163">
        <v>16697713.640000001</v>
      </c>
      <c r="CJ12" s="163">
        <v>14310749.710000001</v>
      </c>
      <c r="CK12" s="163">
        <v>13733020.98</v>
      </c>
      <c r="CL12" s="163">
        <v>14220008.640000001</v>
      </c>
      <c r="CM12" s="163">
        <v>15066620.789999999</v>
      </c>
      <c r="CN12" s="163">
        <v>15447519.75</v>
      </c>
      <c r="CO12" s="163">
        <v>16530432.9</v>
      </c>
      <c r="CP12" s="163">
        <v>17286137.559999999</v>
      </c>
      <c r="CQ12" s="163">
        <v>18879440.620000001</v>
      </c>
      <c r="CR12" s="163">
        <v>19735206.359999999</v>
      </c>
      <c r="CS12" s="163">
        <v>19651989.199999999</v>
      </c>
      <c r="CT12" s="163">
        <v>20495704.84</v>
      </c>
      <c r="CU12" s="163">
        <v>22214041.800000001</v>
      </c>
      <c r="CV12" s="163">
        <v>14177814.32</v>
      </c>
      <c r="CW12" s="163">
        <v>14826337.83</v>
      </c>
      <c r="CX12" s="163">
        <v>14679341.5</v>
      </c>
      <c r="CY12" s="163">
        <v>15391800.630000001</v>
      </c>
      <c r="CZ12" s="163">
        <v>16386078.810000001</v>
      </c>
      <c r="DA12" s="163">
        <v>16775100.939999999</v>
      </c>
      <c r="DB12" s="163">
        <v>17428271.57</v>
      </c>
      <c r="DC12" s="163">
        <v>17458408.48</v>
      </c>
      <c r="DD12" s="163">
        <v>18327579.890000001</v>
      </c>
      <c r="DE12" s="163">
        <v>19038685.940000001</v>
      </c>
      <c r="DF12" s="163">
        <f>VLOOKUP($C12,'[3]BS ACC'!$C$5:$DH$1006,108,FALSE)</f>
        <v>19783273.870000001</v>
      </c>
      <c r="DG12" s="163">
        <f>VLOOKUP($C12,'[3]BS ACC'!$C$5:$DH$1006,109,FALSE)</f>
        <v>20748302.899999999</v>
      </c>
      <c r="DH12" s="163">
        <f>VLOOKUP($C12,'[3]BS ACC'!$C$5:$DH$1006,110,FALSE)</f>
        <v>21479304.420000002</v>
      </c>
    </row>
    <row r="13" spans="1:112">
      <c r="A13" s="350" t="str">
        <f t="shared" si="0"/>
        <v>1080100</v>
      </c>
      <c r="B13" s="350" t="s">
        <v>1543</v>
      </c>
      <c r="C13" s="335" t="s">
        <v>593</v>
      </c>
      <c r="D13" s="340">
        <v>8308846.6600000001</v>
      </c>
      <c r="E13" s="340">
        <v>8312150.3300000001</v>
      </c>
      <c r="F13" s="340">
        <v>8326714</v>
      </c>
      <c r="G13" s="340">
        <v>8330300.4800000004</v>
      </c>
      <c r="H13" s="340">
        <v>8330452.5199999996</v>
      </c>
      <c r="I13" s="340">
        <v>8340869.96</v>
      </c>
      <c r="J13" s="340">
        <v>8334727.5499999998</v>
      </c>
      <c r="K13" s="340">
        <v>8341337.8099999996</v>
      </c>
      <c r="L13" s="340">
        <v>8344438.29</v>
      </c>
      <c r="M13" s="340">
        <v>8368880.9100000001</v>
      </c>
      <c r="N13" s="340">
        <v>8370306.4900000002</v>
      </c>
      <c r="O13" s="340">
        <v>8385606.7300000004</v>
      </c>
      <c r="P13" s="341">
        <v>8393768.2300000004</v>
      </c>
      <c r="Q13" s="163">
        <v>8405555.4900000002</v>
      </c>
      <c r="R13" s="163">
        <v>8379189.3600000003</v>
      </c>
      <c r="S13" s="163">
        <v>8400720.9399999995</v>
      </c>
      <c r="T13" s="163">
        <v>8408807.4800000004</v>
      </c>
      <c r="U13" s="163">
        <v>8421469.5700000003</v>
      </c>
      <c r="V13" s="163">
        <v>8407904.5</v>
      </c>
      <c r="W13" s="163">
        <v>8422924.0399999991</v>
      </c>
      <c r="X13" s="163">
        <v>8449577.2200000007</v>
      </c>
      <c r="Y13" s="163">
        <v>8477393</v>
      </c>
      <c r="Z13" s="163">
        <v>8499513.2200000007</v>
      </c>
      <c r="AA13" s="163">
        <v>8523264.0099999998</v>
      </c>
      <c r="AB13" s="163">
        <v>8547003.4000000004</v>
      </c>
      <c r="AC13" s="163">
        <v>8463248.1400000006</v>
      </c>
      <c r="AD13" s="163">
        <v>8442232.9700000007</v>
      </c>
      <c r="AE13" s="163">
        <v>8422590.9600000009</v>
      </c>
      <c r="AF13" s="163">
        <v>8486220.7699999996</v>
      </c>
      <c r="AG13" s="163">
        <v>8502774.25</v>
      </c>
      <c r="AH13" s="163">
        <v>8519206.4900000002</v>
      </c>
      <c r="AI13" s="163">
        <v>8498914.6300000008</v>
      </c>
      <c r="AJ13" s="163">
        <v>8519190.1699999999</v>
      </c>
      <c r="AK13" s="163">
        <v>8528675.0800000001</v>
      </c>
      <c r="AL13" s="163">
        <v>8522908.7100000009</v>
      </c>
      <c r="AM13" s="163">
        <v>8526203.0700000003</v>
      </c>
      <c r="AN13" s="163">
        <v>8538626</v>
      </c>
      <c r="AO13" s="163">
        <v>8636826.3000000007</v>
      </c>
      <c r="AP13" s="163">
        <v>8665557.6400000006</v>
      </c>
      <c r="AQ13" s="163">
        <v>8698674.1500000004</v>
      </c>
      <c r="AR13" s="163">
        <v>8711577.8000000007</v>
      </c>
      <c r="AS13" s="163">
        <v>8747881.2200000007</v>
      </c>
      <c r="AT13" s="163">
        <v>8765684.7300000004</v>
      </c>
      <c r="AU13" s="163">
        <v>8743362.8800000008</v>
      </c>
      <c r="AV13" s="163">
        <v>8751670.3399999999</v>
      </c>
      <c r="AW13" s="163">
        <v>8780268.7400000002</v>
      </c>
      <c r="AX13" s="163">
        <v>8738544.6300000008</v>
      </c>
      <c r="AY13" s="163">
        <v>8745431.2200000007</v>
      </c>
      <c r="AZ13" s="163">
        <v>8780648.6400000006</v>
      </c>
      <c r="BA13" s="163">
        <v>8748023.5500000007</v>
      </c>
      <c r="BB13" s="163">
        <v>8784757.7599999998</v>
      </c>
      <c r="BC13" s="163">
        <v>8795335.8200000003</v>
      </c>
      <c r="BD13" s="163">
        <v>8779903.0899999999</v>
      </c>
      <c r="BE13" s="163">
        <v>8805685.5399999991</v>
      </c>
      <c r="BF13" s="163">
        <v>8842790.4800000004</v>
      </c>
      <c r="BG13" s="163">
        <v>8844384.5399999991</v>
      </c>
      <c r="BH13" s="163">
        <v>8884621.0500000007</v>
      </c>
      <c r="BI13" s="163">
        <v>8896387.4299999997</v>
      </c>
      <c r="BJ13" s="163">
        <v>8916734.9900000002</v>
      </c>
      <c r="BK13" s="163">
        <v>8953077.6300000008</v>
      </c>
      <c r="BL13" s="163">
        <v>8990526.6300000008</v>
      </c>
      <c r="BM13" s="163">
        <v>8977840.8800000008</v>
      </c>
      <c r="BN13" s="163">
        <v>9005200.3800000008</v>
      </c>
      <c r="BO13" s="163">
        <v>9015577.3100000005</v>
      </c>
      <c r="BP13" s="163">
        <v>9016765.7799999993</v>
      </c>
      <c r="BQ13" s="163">
        <v>9016551.7799999993</v>
      </c>
      <c r="BR13" s="163">
        <v>9032829.3900000006</v>
      </c>
      <c r="BS13" s="163">
        <v>8978749.2599999998</v>
      </c>
      <c r="BT13" s="163">
        <v>8993094.8499999996</v>
      </c>
      <c r="BU13" s="163">
        <v>9025187.5299999993</v>
      </c>
      <c r="BV13" s="163">
        <v>9058107.6600000001</v>
      </c>
      <c r="BW13" s="163">
        <v>9065696.2300000004</v>
      </c>
      <c r="BX13" s="163">
        <v>9090008.8699999992</v>
      </c>
      <c r="BY13" s="163">
        <v>8987353.3499999996</v>
      </c>
      <c r="BZ13" s="163">
        <v>9017983.25</v>
      </c>
      <c r="CA13" s="163">
        <v>9053478.0899999999</v>
      </c>
      <c r="CB13" s="163">
        <v>9084514.8200000003</v>
      </c>
      <c r="CC13" s="163">
        <v>9112597.4199999999</v>
      </c>
      <c r="CD13" s="163">
        <v>9110198.0099999998</v>
      </c>
      <c r="CE13" s="163">
        <v>9060385.1899999995</v>
      </c>
      <c r="CF13" s="163">
        <v>9090297.0500000007</v>
      </c>
      <c r="CG13" s="163">
        <v>9130078.4299999997</v>
      </c>
      <c r="CH13" s="163">
        <v>9136048.8900000006</v>
      </c>
      <c r="CI13" s="163">
        <v>9169826.8599999994</v>
      </c>
      <c r="CJ13" s="163">
        <v>9210423.75</v>
      </c>
      <c r="CK13" s="163">
        <v>9339355.8100000005</v>
      </c>
      <c r="CL13" s="163">
        <v>9136802.3000000007</v>
      </c>
      <c r="CM13" s="163">
        <v>9182469.4299999997</v>
      </c>
      <c r="CN13" s="163">
        <v>9238806.6199999992</v>
      </c>
      <c r="CO13" s="163">
        <v>9272837.8800000008</v>
      </c>
      <c r="CP13" s="163">
        <v>9330865.5500000007</v>
      </c>
      <c r="CQ13" s="163">
        <v>9348903.8000000007</v>
      </c>
      <c r="CR13" s="163">
        <v>9399071.8200000003</v>
      </c>
      <c r="CS13" s="163">
        <v>9458150.6400000006</v>
      </c>
      <c r="CT13" s="163">
        <v>9439204.1300000008</v>
      </c>
      <c r="CU13" s="163">
        <v>9421009.8200000003</v>
      </c>
      <c r="CV13" s="163">
        <v>9459235.6400000006</v>
      </c>
      <c r="CW13" s="163">
        <v>9344588.8000000007</v>
      </c>
      <c r="CX13" s="163">
        <v>9392312.7100000009</v>
      </c>
      <c r="CY13" s="163">
        <v>9408473.0199999996</v>
      </c>
      <c r="CZ13" s="163">
        <v>9455258.5500000007</v>
      </c>
      <c r="DA13" s="163">
        <v>9492458.1500000004</v>
      </c>
      <c r="DB13" s="163">
        <v>9540015.1199999992</v>
      </c>
      <c r="DC13" s="163">
        <v>9557121.4600000009</v>
      </c>
      <c r="DD13" s="163">
        <v>9591016.4499999993</v>
      </c>
      <c r="DE13" s="163">
        <v>9673517.6300000008</v>
      </c>
      <c r="DF13" s="163">
        <f>VLOOKUP($C13,'[3]BS ACC'!$C$5:$DH$1006,108,FALSE)</f>
        <v>9701718.7599999998</v>
      </c>
      <c r="DG13" s="163">
        <f>VLOOKUP($C13,'[3]BS ACC'!$C$5:$DH$1006,109,FALSE)</f>
        <v>9762094.9199999999</v>
      </c>
      <c r="DH13" s="163">
        <f>VLOOKUP($C13,'[3]BS ACC'!$C$5:$DH$1006,110,FALSE)</f>
        <v>9821981.3900000006</v>
      </c>
    </row>
    <row r="14" spans="1:112">
      <c r="A14" s="350" t="str">
        <f t="shared" si="0"/>
        <v>1080110</v>
      </c>
      <c r="B14" s="350" t="s">
        <v>1544</v>
      </c>
      <c r="C14" s="335" t="s">
        <v>594</v>
      </c>
      <c r="D14" s="340">
        <v>-8308846.6600000001</v>
      </c>
      <c r="E14" s="340">
        <v>-8312150.3300000001</v>
      </c>
      <c r="F14" s="340">
        <v>-8326714</v>
      </c>
      <c r="G14" s="340">
        <v>-8330300.4800000004</v>
      </c>
      <c r="H14" s="340">
        <v>-8330452.5199999996</v>
      </c>
      <c r="I14" s="340">
        <v>-8340869.96</v>
      </c>
      <c r="J14" s="340">
        <v>-8334727.5499999998</v>
      </c>
      <c r="K14" s="340">
        <v>-8341337.8099999996</v>
      </c>
      <c r="L14" s="340">
        <v>-8344438.29</v>
      </c>
      <c r="M14" s="340">
        <v>-8368880.9100000001</v>
      </c>
      <c r="N14" s="340">
        <v>-8370306.4900000002</v>
      </c>
      <c r="O14" s="340">
        <v>-8385606.7300000004</v>
      </c>
      <c r="P14" s="341">
        <v>-8393768.2300000004</v>
      </c>
      <c r="Q14" s="163">
        <v>-8405555.4900000002</v>
      </c>
      <c r="R14" s="163">
        <v>-8379189.3600000003</v>
      </c>
      <c r="S14" s="163">
        <v>-8400720.9399999995</v>
      </c>
      <c r="T14" s="163">
        <v>-8408807.4800000004</v>
      </c>
      <c r="U14" s="163">
        <v>-8421469.5700000003</v>
      </c>
      <c r="V14" s="163">
        <v>-8407904.5</v>
      </c>
      <c r="W14" s="163">
        <v>-8422924.0399999991</v>
      </c>
      <c r="X14" s="163">
        <v>-8449577.2200000007</v>
      </c>
      <c r="Y14" s="163">
        <v>-8477393</v>
      </c>
      <c r="Z14" s="163">
        <v>-8499513.2200000007</v>
      </c>
      <c r="AA14" s="163">
        <v>-8523264.0099999998</v>
      </c>
      <c r="AB14" s="163">
        <v>-8547003.4000000004</v>
      </c>
      <c r="AC14" s="163">
        <v>-8463248.1400000006</v>
      </c>
      <c r="AD14" s="163">
        <v>-8442232.9700000007</v>
      </c>
      <c r="AE14" s="163">
        <v>-8422590.9600000009</v>
      </c>
      <c r="AF14" s="163">
        <v>-8486220.7699999996</v>
      </c>
      <c r="AG14" s="163">
        <v>-8502774.25</v>
      </c>
      <c r="AH14" s="163">
        <v>-8519206.4900000002</v>
      </c>
      <c r="AI14" s="163">
        <v>-8498914.6300000008</v>
      </c>
      <c r="AJ14" s="163">
        <v>-8519190.1699999999</v>
      </c>
      <c r="AK14" s="163">
        <v>-8528675.0800000001</v>
      </c>
      <c r="AL14" s="163">
        <v>-8522908.7100000009</v>
      </c>
      <c r="AM14" s="163">
        <v>-8526203.0700000003</v>
      </c>
      <c r="AN14" s="163">
        <v>-8538626</v>
      </c>
      <c r="AO14" s="163">
        <v>-8636826.3000000007</v>
      </c>
      <c r="AP14" s="163">
        <v>-8665557.6400000006</v>
      </c>
      <c r="AQ14" s="163">
        <v>-8698674.1500000004</v>
      </c>
      <c r="AR14" s="163">
        <v>-8711577.8000000007</v>
      </c>
      <c r="AS14" s="163">
        <v>-8747881.2200000007</v>
      </c>
      <c r="AT14" s="163">
        <v>-8765684.7300000004</v>
      </c>
      <c r="AU14" s="163">
        <v>-8743362.8800000008</v>
      </c>
      <c r="AV14" s="163">
        <v>-8751670.3399999999</v>
      </c>
      <c r="AW14" s="163">
        <v>-8780268.7400000002</v>
      </c>
      <c r="AX14" s="163">
        <v>-8738544.6300000008</v>
      </c>
      <c r="AY14" s="163">
        <v>-8745431.2200000007</v>
      </c>
      <c r="AZ14" s="163">
        <v>-8780648.6400000006</v>
      </c>
      <c r="BA14" s="163">
        <v>-8748023.5500000007</v>
      </c>
      <c r="BB14" s="163">
        <v>-8784757.7599999998</v>
      </c>
      <c r="BC14" s="163">
        <v>-8795335.8200000003</v>
      </c>
      <c r="BD14" s="163">
        <v>-8779903.0899999999</v>
      </c>
      <c r="BE14" s="163">
        <v>-8805685.5399999991</v>
      </c>
      <c r="BF14" s="163">
        <v>-8842790.4800000004</v>
      </c>
      <c r="BG14" s="163">
        <v>-8844384.5399999991</v>
      </c>
      <c r="BH14" s="163">
        <v>-8884621.0500000007</v>
      </c>
      <c r="BI14" s="163">
        <v>-8896387.4299999997</v>
      </c>
      <c r="BJ14" s="163">
        <v>-8916734.9900000002</v>
      </c>
      <c r="BK14" s="163">
        <v>-8953077.6300000008</v>
      </c>
      <c r="BL14" s="163">
        <v>-8990526.6300000008</v>
      </c>
      <c r="BM14" s="163">
        <v>-8977840.8800000008</v>
      </c>
      <c r="BN14" s="163">
        <v>-9005200.3800000008</v>
      </c>
      <c r="BO14" s="163">
        <v>-9015577.3100000005</v>
      </c>
      <c r="BP14" s="163">
        <v>-9016765.7799999993</v>
      </c>
      <c r="BQ14" s="163">
        <v>-9016551.7799999993</v>
      </c>
      <c r="BR14" s="163">
        <v>-9032829.3900000006</v>
      </c>
      <c r="BS14" s="163">
        <v>-8978749.2599999998</v>
      </c>
      <c r="BT14" s="163">
        <v>-8993094.8499999996</v>
      </c>
      <c r="BU14" s="163">
        <v>-9025187.5299999993</v>
      </c>
      <c r="BV14" s="163">
        <v>-9058107.6600000001</v>
      </c>
      <c r="BW14" s="163">
        <v>-9065696.2300000004</v>
      </c>
      <c r="BX14" s="163">
        <v>-9090008.8699999992</v>
      </c>
      <c r="BY14" s="163">
        <v>-8987353.3499999996</v>
      </c>
      <c r="BZ14" s="163">
        <v>-9017983.25</v>
      </c>
      <c r="CA14" s="163">
        <v>-9053478.0899999999</v>
      </c>
      <c r="CB14" s="163">
        <v>-9084514.8200000003</v>
      </c>
      <c r="CC14" s="163">
        <v>-9112597.4199999999</v>
      </c>
      <c r="CD14" s="163">
        <v>-9110198.0099999998</v>
      </c>
      <c r="CE14" s="163">
        <v>-9060385.1899999995</v>
      </c>
      <c r="CF14" s="163">
        <v>-9090297.0500000007</v>
      </c>
      <c r="CG14" s="163">
        <v>-9130078.4299999997</v>
      </c>
      <c r="CH14" s="163">
        <v>-9136048.8900000006</v>
      </c>
      <c r="CI14" s="163">
        <v>-9169826.8599999994</v>
      </c>
      <c r="CJ14" s="163">
        <v>-9210423.75</v>
      </c>
      <c r="CK14" s="163">
        <v>-9339355.8100000005</v>
      </c>
      <c r="CL14" s="163">
        <v>-9136802.3000000007</v>
      </c>
      <c r="CM14" s="163">
        <v>-9182469.4299999997</v>
      </c>
      <c r="CN14" s="163">
        <v>-9238806.6199999992</v>
      </c>
      <c r="CO14" s="163">
        <v>-9272837.8800000008</v>
      </c>
      <c r="CP14" s="163">
        <v>-9330865.5500000007</v>
      </c>
      <c r="CQ14" s="163">
        <v>-9348903.8000000007</v>
      </c>
      <c r="CR14" s="163">
        <v>-9399071.8200000003</v>
      </c>
      <c r="CS14" s="163">
        <v>-9458150.6400000006</v>
      </c>
      <c r="CT14" s="163">
        <v>-9439204.1300000008</v>
      </c>
      <c r="CU14" s="163">
        <v>-9421009.8200000003</v>
      </c>
      <c r="CV14" s="163">
        <v>-9459235.6400000006</v>
      </c>
      <c r="CW14" s="163">
        <v>-9344588.8000000007</v>
      </c>
      <c r="CX14" s="163">
        <v>-9392312.7100000009</v>
      </c>
      <c r="CY14" s="163">
        <v>-9408473.0199999996</v>
      </c>
      <c r="CZ14" s="163">
        <v>-9455258.5500000007</v>
      </c>
      <c r="DA14" s="163">
        <v>-9492458.1500000004</v>
      </c>
      <c r="DB14" s="163">
        <v>-9540015.1199999992</v>
      </c>
      <c r="DC14" s="163">
        <v>-9557121.4600000009</v>
      </c>
      <c r="DD14" s="163">
        <v>-9591016.4499999993</v>
      </c>
      <c r="DE14" s="163">
        <v>-9673517.6300000008</v>
      </c>
      <c r="DF14" s="163">
        <f>VLOOKUP($C14,'[3]BS ACC'!$C$5:$DH$1006,108,FALSE)</f>
        <v>-9701718.7599999998</v>
      </c>
      <c r="DG14" s="163">
        <f>VLOOKUP($C14,'[3]BS ACC'!$C$5:$DH$1006,109,FALSE)</f>
        <v>-9762094.9199999999</v>
      </c>
      <c r="DH14" s="163">
        <f>VLOOKUP($C14,'[3]BS ACC'!$C$5:$DH$1006,110,FALSE)</f>
        <v>-9821981.3900000006</v>
      </c>
    </row>
    <row r="15" spans="1:112">
      <c r="A15" s="350" t="str">
        <f t="shared" si="0"/>
        <v>1080200</v>
      </c>
      <c r="B15" s="350" t="s">
        <v>1485</v>
      </c>
      <c r="C15" s="335" t="s">
        <v>595</v>
      </c>
      <c r="D15" s="340">
        <v>157868086.47999999</v>
      </c>
      <c r="E15" s="340">
        <v>157930856.16999999</v>
      </c>
      <c r="F15" s="340">
        <v>158207566.02000001</v>
      </c>
      <c r="G15" s="340">
        <v>158275709.06999999</v>
      </c>
      <c r="H15" s="340">
        <v>158278597.81</v>
      </c>
      <c r="I15" s="340">
        <v>158476529.13999999</v>
      </c>
      <c r="J15" s="340">
        <v>158359823.44</v>
      </c>
      <c r="K15" s="340">
        <v>158485418.47</v>
      </c>
      <c r="L15" s="340">
        <v>158544327.53999999</v>
      </c>
      <c r="M15" s="340">
        <v>159008737.30000001</v>
      </c>
      <c r="N15" s="340">
        <v>159035823.40000001</v>
      </c>
      <c r="O15" s="340">
        <v>159326527.94</v>
      </c>
      <c r="P15" s="341">
        <v>159481596.38999999</v>
      </c>
      <c r="Q15" s="163">
        <v>159705554.24000001</v>
      </c>
      <c r="R15" s="163">
        <v>159204597.91999999</v>
      </c>
      <c r="S15" s="163">
        <v>159613697.81999999</v>
      </c>
      <c r="T15" s="163">
        <v>159767342.11000001</v>
      </c>
      <c r="U15" s="163">
        <v>160007921.80000001</v>
      </c>
      <c r="V15" s="163">
        <v>159750185.44999999</v>
      </c>
      <c r="W15" s="163">
        <v>160035556.69</v>
      </c>
      <c r="X15" s="163">
        <v>160541967.15000001</v>
      </c>
      <c r="Y15" s="163">
        <v>161070466.96000001</v>
      </c>
      <c r="Z15" s="163">
        <v>161490751.22</v>
      </c>
      <c r="AA15" s="163">
        <v>161942016.22</v>
      </c>
      <c r="AB15" s="163">
        <v>162393064.65000001</v>
      </c>
      <c r="AC15" s="163">
        <v>160801714.69</v>
      </c>
      <c r="AD15" s="163">
        <v>160402426.53</v>
      </c>
      <c r="AE15" s="163">
        <v>160029228.36000001</v>
      </c>
      <c r="AF15" s="163">
        <v>161238194.55000001</v>
      </c>
      <c r="AG15" s="163">
        <v>161552710.74000001</v>
      </c>
      <c r="AH15" s="163">
        <v>161864923.40000001</v>
      </c>
      <c r="AI15" s="163">
        <v>161479377.88999999</v>
      </c>
      <c r="AJ15" s="163">
        <v>161864613.31999999</v>
      </c>
      <c r="AK15" s="163">
        <v>162044826.52000001</v>
      </c>
      <c r="AL15" s="163">
        <v>161935265.44999999</v>
      </c>
      <c r="AM15" s="163">
        <v>161997858.31999999</v>
      </c>
      <c r="AN15" s="163">
        <v>162233894.02000001</v>
      </c>
      <c r="AO15" s="163">
        <v>164099699.75999999</v>
      </c>
      <c r="AP15" s="163">
        <v>164645595.13</v>
      </c>
      <c r="AQ15" s="163">
        <v>165274808.75999999</v>
      </c>
      <c r="AR15" s="163">
        <v>165519978.13</v>
      </c>
      <c r="AS15" s="163">
        <v>166209743.21000001</v>
      </c>
      <c r="AT15" s="163">
        <v>166548009.91</v>
      </c>
      <c r="AU15" s="163">
        <v>166123894.66999999</v>
      </c>
      <c r="AV15" s="163">
        <v>166281736.52000001</v>
      </c>
      <c r="AW15" s="163">
        <v>166825106.06999999</v>
      </c>
      <c r="AX15" s="163">
        <v>166032347.90000001</v>
      </c>
      <c r="AY15" s="163">
        <v>166163193.16</v>
      </c>
      <c r="AZ15" s="163">
        <v>166832324.09</v>
      </c>
      <c r="BA15" s="163">
        <v>166212447.55000001</v>
      </c>
      <c r="BB15" s="163">
        <v>166910397.46000001</v>
      </c>
      <c r="BC15" s="163">
        <v>167111380.50999999</v>
      </c>
      <c r="BD15" s="163">
        <v>166818158.69</v>
      </c>
      <c r="BE15" s="163">
        <v>167308025.24000001</v>
      </c>
      <c r="BF15" s="163">
        <v>168013019.05000001</v>
      </c>
      <c r="BG15" s="163">
        <v>168043306.24000001</v>
      </c>
      <c r="BH15" s="163">
        <v>168807799.96000001</v>
      </c>
      <c r="BI15" s="163">
        <v>169031361.13999999</v>
      </c>
      <c r="BJ15" s="163">
        <v>169417964.81999999</v>
      </c>
      <c r="BK15" s="163">
        <v>170108474.88999999</v>
      </c>
      <c r="BL15" s="163">
        <v>170820005.96000001</v>
      </c>
      <c r="BM15" s="163">
        <v>170578976.66</v>
      </c>
      <c r="BN15" s="163">
        <v>171098807.28999999</v>
      </c>
      <c r="BO15" s="163">
        <v>171295968.96000001</v>
      </c>
      <c r="BP15" s="163">
        <v>171318549.91</v>
      </c>
      <c r="BQ15" s="163">
        <v>171314483.88</v>
      </c>
      <c r="BR15" s="163">
        <v>171623758.41999999</v>
      </c>
      <c r="BS15" s="163">
        <v>170596236.03</v>
      </c>
      <c r="BT15" s="163">
        <v>170868802.15000001</v>
      </c>
      <c r="BU15" s="163">
        <v>171478563.11000001</v>
      </c>
      <c r="BV15" s="163">
        <v>172104045.53</v>
      </c>
      <c r="BW15" s="163">
        <v>172248228.46000001</v>
      </c>
      <c r="BX15" s="163">
        <v>172710168.47999999</v>
      </c>
      <c r="BY15" s="163">
        <v>170759713.66</v>
      </c>
      <c r="BZ15" s="163">
        <v>171341681.81999999</v>
      </c>
      <c r="CA15" s="163">
        <v>172016083.63</v>
      </c>
      <c r="CB15" s="163">
        <v>172605781.63</v>
      </c>
      <c r="CC15" s="163">
        <v>173139350.93000001</v>
      </c>
      <c r="CD15" s="163">
        <v>173093762.09999999</v>
      </c>
      <c r="CE15" s="163">
        <v>172147318.59999999</v>
      </c>
      <c r="CF15" s="163">
        <v>172715644.03999999</v>
      </c>
      <c r="CG15" s="163">
        <v>173471490.18000001</v>
      </c>
      <c r="CH15" s="163">
        <v>173584928.91999999</v>
      </c>
      <c r="CI15" s="163">
        <v>174226710.41</v>
      </c>
      <c r="CJ15" s="163">
        <v>174998051.16</v>
      </c>
      <c r="CK15" s="163">
        <v>177447760.31</v>
      </c>
      <c r="CL15" s="163">
        <v>173599243.78</v>
      </c>
      <c r="CM15" s="163">
        <v>174466919.24000001</v>
      </c>
      <c r="CN15" s="163">
        <v>175537325.78</v>
      </c>
      <c r="CO15" s="163">
        <v>176183919.80000001</v>
      </c>
      <c r="CP15" s="163">
        <v>177286445.44</v>
      </c>
      <c r="CQ15" s="163">
        <v>177629172.22999999</v>
      </c>
      <c r="CR15" s="163">
        <v>178582364.50999999</v>
      </c>
      <c r="CS15" s="163">
        <v>179704862.22</v>
      </c>
      <c r="CT15" s="163">
        <v>179344878.47</v>
      </c>
      <c r="CU15" s="163">
        <v>178999186.68000001</v>
      </c>
      <c r="CV15" s="163">
        <v>179725477.24000001</v>
      </c>
      <c r="CW15" s="163">
        <v>177547187.30000001</v>
      </c>
      <c r="CX15" s="163">
        <v>178453941.47999999</v>
      </c>
      <c r="CY15" s="163">
        <v>178760987.41999999</v>
      </c>
      <c r="CZ15" s="163">
        <v>179649912.52000001</v>
      </c>
      <c r="DA15" s="163">
        <v>180356704.78999999</v>
      </c>
      <c r="DB15" s="163">
        <v>181260287.31999999</v>
      </c>
      <c r="DC15" s="163">
        <v>181585307.80000001</v>
      </c>
      <c r="DD15" s="163">
        <v>182229312.53999999</v>
      </c>
      <c r="DE15" s="163">
        <v>183796834.80000001</v>
      </c>
      <c r="DF15" s="163">
        <f>VLOOKUP($C15,'[3]BS ACC'!$C$5:$DH$1006,108,FALSE)</f>
        <v>184332656.41</v>
      </c>
      <c r="DG15" s="163">
        <f>VLOOKUP($C15,'[3]BS ACC'!$C$5:$DH$1006,109,FALSE)</f>
        <v>185479803.41</v>
      </c>
      <c r="DH15" s="163">
        <f>VLOOKUP($C15,'[3]BS ACC'!$C$5:$DH$1006,110,FALSE)</f>
        <v>186617646.5</v>
      </c>
    </row>
    <row r="16" spans="1:112">
      <c r="A16" s="350" t="str">
        <f t="shared" si="0"/>
        <v>1080210</v>
      </c>
      <c r="B16" s="350" t="s">
        <v>1545</v>
      </c>
      <c r="C16" s="335" t="s">
        <v>596</v>
      </c>
      <c r="D16" s="340">
        <v>-157868086.47999999</v>
      </c>
      <c r="E16" s="340">
        <v>-157930856.16999999</v>
      </c>
      <c r="F16" s="340">
        <v>-158207566.02000001</v>
      </c>
      <c r="G16" s="340">
        <v>-158275709.06999999</v>
      </c>
      <c r="H16" s="340">
        <v>-158278597.81</v>
      </c>
      <c r="I16" s="340">
        <v>-158476529.13999999</v>
      </c>
      <c r="J16" s="340">
        <v>-158359823.44</v>
      </c>
      <c r="K16" s="340">
        <v>-158485418.47</v>
      </c>
      <c r="L16" s="340">
        <v>-158544327.53999999</v>
      </c>
      <c r="M16" s="340">
        <v>-159008737.30000001</v>
      </c>
      <c r="N16" s="340">
        <v>-159035823.40000001</v>
      </c>
      <c r="O16" s="340">
        <v>-159326527.94</v>
      </c>
      <c r="P16" s="341">
        <v>-159481596.38999999</v>
      </c>
      <c r="Q16" s="163">
        <v>-159705554.24000001</v>
      </c>
      <c r="R16" s="163">
        <v>-159204597.91999999</v>
      </c>
      <c r="S16" s="163">
        <v>-159613697.81999999</v>
      </c>
      <c r="T16" s="163">
        <v>-159767342.11000001</v>
      </c>
      <c r="U16" s="163">
        <v>-160007921.80000001</v>
      </c>
      <c r="V16" s="163">
        <v>-159750185.44999999</v>
      </c>
      <c r="W16" s="163">
        <v>-160035556.69</v>
      </c>
      <c r="X16" s="163">
        <v>-160541967.15000001</v>
      </c>
      <c r="Y16" s="163">
        <v>-161070466.96000001</v>
      </c>
      <c r="Z16" s="163">
        <v>-161490751.22</v>
      </c>
      <c r="AA16" s="163">
        <v>-161942016.22</v>
      </c>
      <c r="AB16" s="163">
        <v>-162393064.65000001</v>
      </c>
      <c r="AC16" s="163">
        <v>-160801714.69</v>
      </c>
      <c r="AD16" s="163">
        <v>-160402426.53</v>
      </c>
      <c r="AE16" s="163">
        <v>-160029228.36000001</v>
      </c>
      <c r="AF16" s="163">
        <v>-161238194.55000001</v>
      </c>
      <c r="AG16" s="163">
        <v>-161552710.74000001</v>
      </c>
      <c r="AH16" s="163">
        <v>-161864923.40000001</v>
      </c>
      <c r="AI16" s="163">
        <v>-161479377.88999999</v>
      </c>
      <c r="AJ16" s="163">
        <v>-161864613.31999999</v>
      </c>
      <c r="AK16" s="163">
        <v>-162044826.52000001</v>
      </c>
      <c r="AL16" s="163">
        <v>-161935265.44999999</v>
      </c>
      <c r="AM16" s="163">
        <v>-161997858.31999999</v>
      </c>
      <c r="AN16" s="163">
        <v>-162233894.02000001</v>
      </c>
      <c r="AO16" s="163">
        <v>-164099699.75999999</v>
      </c>
      <c r="AP16" s="163">
        <v>-164645595.13</v>
      </c>
      <c r="AQ16" s="163">
        <v>-165274808.75999999</v>
      </c>
      <c r="AR16" s="163">
        <v>-165519978.13</v>
      </c>
      <c r="AS16" s="163">
        <v>-166209743.21000001</v>
      </c>
      <c r="AT16" s="163">
        <v>-166548009.91</v>
      </c>
      <c r="AU16" s="163">
        <v>-166123894.66999999</v>
      </c>
      <c r="AV16" s="163">
        <v>-166281736.52000001</v>
      </c>
      <c r="AW16" s="163">
        <v>-166825106.06999999</v>
      </c>
      <c r="AX16" s="163">
        <v>-166032347.90000001</v>
      </c>
      <c r="AY16" s="163">
        <v>-166163193.16</v>
      </c>
      <c r="AZ16" s="163">
        <v>-166832324.09</v>
      </c>
      <c r="BA16" s="163">
        <v>-166212447.55000001</v>
      </c>
      <c r="BB16" s="163">
        <v>-166910397.46000001</v>
      </c>
      <c r="BC16" s="163">
        <v>-167111380.50999999</v>
      </c>
      <c r="BD16" s="163">
        <v>-166818158.69</v>
      </c>
      <c r="BE16" s="163">
        <v>-167308025.24000001</v>
      </c>
      <c r="BF16" s="163">
        <v>-168013019.05000001</v>
      </c>
      <c r="BG16" s="163">
        <v>-168043306.24000001</v>
      </c>
      <c r="BH16" s="163">
        <v>-168807799.96000001</v>
      </c>
      <c r="BI16" s="163">
        <v>-169031361.13999999</v>
      </c>
      <c r="BJ16" s="163">
        <v>-169417964.81999999</v>
      </c>
      <c r="BK16" s="163">
        <v>-170108474.88999999</v>
      </c>
      <c r="BL16" s="163">
        <v>-170820005.96000001</v>
      </c>
      <c r="BM16" s="163">
        <v>-170578976.66</v>
      </c>
      <c r="BN16" s="163">
        <v>-171098807.28999999</v>
      </c>
      <c r="BO16" s="163">
        <v>-171295968.96000001</v>
      </c>
      <c r="BP16" s="163">
        <v>-171318549.91</v>
      </c>
      <c r="BQ16" s="163">
        <v>-171314483.88</v>
      </c>
      <c r="BR16" s="163">
        <v>-171623758.41999999</v>
      </c>
      <c r="BS16" s="163">
        <v>-170596236.03</v>
      </c>
      <c r="BT16" s="163">
        <v>-170868802.15000001</v>
      </c>
      <c r="BU16" s="163">
        <v>-171478563.11000001</v>
      </c>
      <c r="BV16" s="163">
        <v>-172104045.53</v>
      </c>
      <c r="BW16" s="163">
        <v>-172248228.46000001</v>
      </c>
      <c r="BX16" s="163">
        <v>-172710168.47999999</v>
      </c>
      <c r="BY16" s="163">
        <v>-170759713.66</v>
      </c>
      <c r="BZ16" s="163">
        <v>-171341681.81999999</v>
      </c>
      <c r="CA16" s="163">
        <v>-172016083.63</v>
      </c>
      <c r="CB16" s="163">
        <v>-172605781.63</v>
      </c>
      <c r="CC16" s="163">
        <v>-173139350.93000001</v>
      </c>
      <c r="CD16" s="163">
        <v>-173093762.09999999</v>
      </c>
      <c r="CE16" s="163">
        <v>-172147318.59999999</v>
      </c>
      <c r="CF16" s="163">
        <v>-172715644.03999999</v>
      </c>
      <c r="CG16" s="163">
        <v>-173471490.18000001</v>
      </c>
      <c r="CH16" s="163">
        <v>-173584928.91999999</v>
      </c>
      <c r="CI16" s="163">
        <v>-174226710.41</v>
      </c>
      <c r="CJ16" s="163">
        <v>-174998051.16</v>
      </c>
      <c r="CK16" s="163">
        <v>-177447760.31</v>
      </c>
      <c r="CL16" s="163">
        <v>-173599243.78</v>
      </c>
      <c r="CM16" s="163">
        <v>-174466919.24000001</v>
      </c>
      <c r="CN16" s="163">
        <v>-175537325.78</v>
      </c>
      <c r="CO16" s="163">
        <v>-176183919.80000001</v>
      </c>
      <c r="CP16" s="163">
        <v>-177286445.44</v>
      </c>
      <c r="CQ16" s="163">
        <v>-177629172.22999999</v>
      </c>
      <c r="CR16" s="163">
        <v>-178582364.50999999</v>
      </c>
      <c r="CS16" s="163">
        <v>-179704862.22</v>
      </c>
      <c r="CT16" s="163">
        <v>-179344878.47</v>
      </c>
      <c r="CU16" s="163">
        <v>-178999186.68000001</v>
      </c>
      <c r="CV16" s="163">
        <v>-179725477.24000001</v>
      </c>
      <c r="CW16" s="163">
        <v>-177547187.30000001</v>
      </c>
      <c r="CX16" s="163">
        <v>-178453941.47999999</v>
      </c>
      <c r="CY16" s="163">
        <v>-178760987.41999999</v>
      </c>
      <c r="CZ16" s="163">
        <v>-179649912.52000001</v>
      </c>
      <c r="DA16" s="163">
        <v>-180356704.78999999</v>
      </c>
      <c r="DB16" s="163">
        <v>-181260287.31999999</v>
      </c>
      <c r="DC16" s="163">
        <v>-181585307.80000001</v>
      </c>
      <c r="DD16" s="163">
        <v>-182229312.53999999</v>
      </c>
      <c r="DE16" s="163">
        <v>-183796834.80000001</v>
      </c>
      <c r="DF16" s="163">
        <f>VLOOKUP($C16,'[3]BS ACC'!$C$5:$DH$1006,108,FALSE)</f>
        <v>-184332656.41</v>
      </c>
      <c r="DG16" s="163">
        <f>VLOOKUP($C16,'[3]BS ACC'!$C$5:$DH$1006,109,FALSE)</f>
        <v>-185479803.41</v>
      </c>
      <c r="DH16" s="163">
        <f>VLOOKUP($C16,'[3]BS ACC'!$C$5:$DH$1006,110,FALSE)</f>
        <v>-186617646.5</v>
      </c>
    </row>
    <row r="17" spans="1:112">
      <c r="A17" s="350" t="str">
        <f t="shared" si="0"/>
        <v>1080901</v>
      </c>
      <c r="B17" s="350" t="s">
        <v>1546</v>
      </c>
      <c r="C17" s="442" t="s">
        <v>1458</v>
      </c>
      <c r="D17" s="340"/>
      <c r="E17" s="340"/>
      <c r="F17" s="340"/>
      <c r="G17" s="340"/>
      <c r="H17" s="340"/>
      <c r="I17" s="340"/>
      <c r="J17" s="340"/>
      <c r="K17" s="340"/>
      <c r="L17" s="340"/>
      <c r="M17" s="340"/>
      <c r="N17" s="340"/>
      <c r="O17" s="340"/>
      <c r="P17" s="341"/>
      <c r="Q17" s="163"/>
      <c r="R17" s="163"/>
      <c r="S17" s="163"/>
      <c r="T17" s="163"/>
      <c r="U17" s="163"/>
      <c r="V17" s="163"/>
      <c r="W17" s="163"/>
      <c r="X17" s="163"/>
      <c r="Y17" s="163"/>
      <c r="Z17" s="163"/>
      <c r="AA17" s="163"/>
      <c r="AB17" s="163"/>
      <c r="AC17" s="163"/>
      <c r="AD17" s="163"/>
      <c r="AE17" s="163"/>
      <c r="AF17" s="163">
        <v>0</v>
      </c>
      <c r="AG17" s="163">
        <v>0</v>
      </c>
      <c r="AH17" s="443">
        <v>98151</v>
      </c>
      <c r="AI17" s="443">
        <v>130868</v>
      </c>
      <c r="AJ17" s="443">
        <v>163585</v>
      </c>
      <c r="AK17" s="443">
        <v>196302</v>
      </c>
      <c r="AL17" s="443">
        <v>229019</v>
      </c>
      <c r="AM17" s="443">
        <v>284611</v>
      </c>
      <c r="AN17" s="443">
        <v>328766</v>
      </c>
      <c r="AO17" s="443">
        <v>372921</v>
      </c>
      <c r="AP17" s="443">
        <v>417076</v>
      </c>
      <c r="AQ17" s="443">
        <v>461231</v>
      </c>
      <c r="AR17" s="443">
        <v>505386</v>
      </c>
      <c r="AS17" s="443">
        <v>549541</v>
      </c>
      <c r="AT17" s="443">
        <v>593696</v>
      </c>
      <c r="AU17" s="443">
        <v>637851</v>
      </c>
      <c r="AV17" s="443">
        <v>682006</v>
      </c>
      <c r="AW17" s="443">
        <v>726161</v>
      </c>
      <c r="AX17" s="443">
        <v>770316</v>
      </c>
      <c r="AY17" s="443">
        <v>814471</v>
      </c>
      <c r="AZ17" s="443">
        <v>858626</v>
      </c>
      <c r="BA17" s="443">
        <v>902781</v>
      </c>
      <c r="BB17" s="443">
        <v>946936</v>
      </c>
      <c r="BC17" s="443">
        <v>991091</v>
      </c>
      <c r="BD17" s="443">
        <v>1035246</v>
      </c>
      <c r="BE17" s="443">
        <v>1079401</v>
      </c>
      <c r="BF17" s="443">
        <v>1123556</v>
      </c>
      <c r="BG17" s="443">
        <v>1167711</v>
      </c>
      <c r="BH17" s="443">
        <v>1211866</v>
      </c>
      <c r="BI17" s="443">
        <v>1256021</v>
      </c>
      <c r="BJ17" s="443">
        <v>1300176</v>
      </c>
      <c r="BK17" s="443">
        <v>1344331</v>
      </c>
      <c r="BL17" s="443">
        <v>1388486</v>
      </c>
      <c r="BM17" s="443">
        <v>1432641</v>
      </c>
      <c r="BN17" s="443">
        <v>1476796</v>
      </c>
      <c r="BO17" s="443">
        <v>1520951</v>
      </c>
      <c r="BP17" s="443">
        <v>1565106</v>
      </c>
      <c r="BQ17" s="443">
        <v>1609261</v>
      </c>
      <c r="BR17" s="443">
        <v>1653416</v>
      </c>
      <c r="BS17" s="443">
        <v>1697571</v>
      </c>
      <c r="BT17" s="443">
        <v>1741726</v>
      </c>
      <c r="BU17" s="443">
        <v>1785881</v>
      </c>
      <c r="BV17" s="443">
        <v>1830036</v>
      </c>
      <c r="BW17" s="443">
        <v>1874191</v>
      </c>
      <c r="BX17" s="443">
        <v>1918346</v>
      </c>
      <c r="BY17" s="443">
        <v>1962501</v>
      </c>
      <c r="BZ17" s="443">
        <v>2006656</v>
      </c>
      <c r="CA17" s="443">
        <v>2050811</v>
      </c>
      <c r="CB17" s="443">
        <v>2094966</v>
      </c>
      <c r="CC17" s="443">
        <v>2139121</v>
      </c>
      <c r="CD17" s="443">
        <v>2183276</v>
      </c>
      <c r="CE17" s="443">
        <v>2227431</v>
      </c>
      <c r="CF17" s="443">
        <v>2271586</v>
      </c>
      <c r="CG17" s="443">
        <v>2315741</v>
      </c>
      <c r="CH17" s="443">
        <v>2359896</v>
      </c>
      <c r="CI17" s="443">
        <v>2404051</v>
      </c>
      <c r="CJ17" s="443">
        <v>2448206</v>
      </c>
      <c r="CK17" s="443">
        <v>2492361</v>
      </c>
      <c r="CL17" s="443">
        <v>2536516</v>
      </c>
      <c r="CM17" s="443">
        <v>2580671</v>
      </c>
      <c r="CN17" s="443">
        <v>2624826</v>
      </c>
      <c r="CO17" s="443">
        <v>2668981</v>
      </c>
      <c r="CP17" s="443">
        <v>2713136</v>
      </c>
      <c r="CQ17" s="443">
        <v>2757291</v>
      </c>
      <c r="CR17" s="443">
        <v>2801446</v>
      </c>
      <c r="CS17" s="443">
        <v>2845601</v>
      </c>
      <c r="CT17" s="443">
        <v>2889756</v>
      </c>
      <c r="CU17" s="443">
        <v>2933911</v>
      </c>
      <c r="CV17" s="443">
        <v>2978066</v>
      </c>
      <c r="CW17" s="443">
        <v>3022221</v>
      </c>
      <c r="CX17" s="443">
        <v>3066376</v>
      </c>
      <c r="CY17" s="443">
        <v>2355624</v>
      </c>
      <c r="CZ17" s="443">
        <v>2388341</v>
      </c>
      <c r="DA17" s="443">
        <v>2421058</v>
      </c>
      <c r="DB17" s="443">
        <v>2453775</v>
      </c>
      <c r="DC17" s="443">
        <v>0</v>
      </c>
      <c r="DD17" s="443">
        <v>0</v>
      </c>
      <c r="DE17" s="443">
        <v>0</v>
      </c>
      <c r="DF17" s="443">
        <f>VLOOKUP($C17,'[3]BS ACC'!$C$5:$DH$1006,108,FALSE)</f>
        <v>0</v>
      </c>
      <c r="DG17" s="443">
        <f>VLOOKUP($C17,'[3]BS ACC'!$C$5:$DH$1006,109,FALSE)</f>
        <v>0</v>
      </c>
      <c r="DH17" s="443">
        <f>VLOOKUP($C17,'[3]BS ACC'!$C$5:$DH$1006,110,FALSE)</f>
        <v>0</v>
      </c>
    </row>
    <row r="18" spans="1:112">
      <c r="A18" s="350" t="str">
        <f t="shared" si="0"/>
        <v>1140000</v>
      </c>
      <c r="B18" s="350" t="s">
        <v>1547</v>
      </c>
      <c r="C18" s="335" t="s">
        <v>597</v>
      </c>
      <c r="D18" s="340">
        <v>5031897.24</v>
      </c>
      <c r="E18" s="340">
        <v>5031897.24</v>
      </c>
      <c r="F18" s="340">
        <v>5031897.24</v>
      </c>
      <c r="G18" s="340">
        <v>5031897.24</v>
      </c>
      <c r="H18" s="340">
        <v>5031897.24</v>
      </c>
      <c r="I18" s="340">
        <v>5031897.24</v>
      </c>
      <c r="J18" s="340">
        <v>5031897.24</v>
      </c>
      <c r="K18" s="340">
        <v>5031897.24</v>
      </c>
      <c r="L18" s="340">
        <v>5031897.24</v>
      </c>
      <c r="M18" s="340">
        <v>5031897.24</v>
      </c>
      <c r="N18" s="340">
        <v>5031897.24</v>
      </c>
      <c r="O18" s="340">
        <v>5031897.24</v>
      </c>
      <c r="P18" s="341">
        <v>5031897.24</v>
      </c>
      <c r="Q18" s="163">
        <v>5031897.24</v>
      </c>
      <c r="R18" s="163">
        <v>5031897.24</v>
      </c>
      <c r="S18" s="163">
        <v>5031897.24</v>
      </c>
      <c r="T18" s="163">
        <v>5031897.24</v>
      </c>
      <c r="U18" s="163">
        <v>5031897.24</v>
      </c>
      <c r="V18" s="163">
        <v>5031897.24</v>
      </c>
      <c r="W18" s="163">
        <v>5031897.24</v>
      </c>
      <c r="X18" s="163">
        <v>5031897.24</v>
      </c>
      <c r="Y18" s="163">
        <v>5031897.24</v>
      </c>
      <c r="Z18" s="163">
        <v>5031897.24</v>
      </c>
      <c r="AA18" s="163">
        <v>5031897.24</v>
      </c>
      <c r="AB18" s="163">
        <v>5031897.24</v>
      </c>
      <c r="AC18" s="163">
        <v>5031897.24</v>
      </c>
      <c r="AD18" s="163">
        <v>5031897.24</v>
      </c>
      <c r="AE18" s="163">
        <v>5031897.24</v>
      </c>
      <c r="AF18" s="163">
        <v>5031897.24</v>
      </c>
      <c r="AG18" s="163">
        <v>5031897.24</v>
      </c>
      <c r="AH18" s="163">
        <v>5031897.24</v>
      </c>
      <c r="AI18" s="163">
        <v>5031897.24</v>
      </c>
      <c r="AJ18" s="163">
        <v>5031897.24</v>
      </c>
      <c r="AK18" s="163">
        <v>5031897.24</v>
      </c>
      <c r="AL18" s="163">
        <v>5031897.24</v>
      </c>
      <c r="AM18" s="163">
        <v>5031897.24</v>
      </c>
      <c r="AN18" s="163">
        <v>5031897.24</v>
      </c>
      <c r="AO18" s="163">
        <v>5031897.24</v>
      </c>
      <c r="AP18" s="163">
        <v>5031897.24</v>
      </c>
      <c r="AQ18" s="163">
        <v>5031897.24</v>
      </c>
      <c r="AR18" s="163">
        <v>5031897.24</v>
      </c>
      <c r="AS18" s="163">
        <v>5031897.24</v>
      </c>
      <c r="AT18" s="163">
        <v>5031897.24</v>
      </c>
      <c r="AU18" s="163">
        <v>5031897.24</v>
      </c>
      <c r="AV18" s="163">
        <v>5031897.24</v>
      </c>
      <c r="AW18" s="163">
        <v>5031897.24</v>
      </c>
      <c r="AX18" s="163">
        <v>5031897.24</v>
      </c>
      <c r="AY18" s="163">
        <v>5031897.24</v>
      </c>
      <c r="AZ18" s="163">
        <v>5031897.24</v>
      </c>
      <c r="BA18" s="163">
        <v>5031897.24</v>
      </c>
      <c r="BB18" s="163">
        <v>5031897.24</v>
      </c>
      <c r="BC18" s="163">
        <v>5031897.24</v>
      </c>
      <c r="BD18" s="163">
        <v>5031897.24</v>
      </c>
      <c r="BE18" s="163">
        <v>5031897.24</v>
      </c>
      <c r="BF18" s="163">
        <v>5031897.24</v>
      </c>
      <c r="BG18" s="163">
        <v>5031897.24</v>
      </c>
      <c r="BH18" s="163">
        <v>5031897.24</v>
      </c>
      <c r="BI18" s="163">
        <v>5031897.24</v>
      </c>
      <c r="BJ18" s="163">
        <v>5031897.24</v>
      </c>
      <c r="BK18" s="163">
        <v>5031897.24</v>
      </c>
      <c r="BL18" s="163">
        <v>5031897.24</v>
      </c>
      <c r="BM18" s="163">
        <v>5031897.24</v>
      </c>
      <c r="BN18" s="163">
        <v>5031897.24</v>
      </c>
      <c r="BO18" s="163">
        <v>5031897.24</v>
      </c>
      <c r="BP18" s="163">
        <v>5031897.24</v>
      </c>
      <c r="BQ18" s="163">
        <v>5031897.24</v>
      </c>
      <c r="BR18" s="163">
        <v>5031897.24</v>
      </c>
      <c r="BS18" s="163">
        <v>5031897.24</v>
      </c>
      <c r="BT18" s="163">
        <v>5031897.24</v>
      </c>
      <c r="BU18" s="163">
        <v>5031897.24</v>
      </c>
      <c r="BV18" s="163">
        <v>5031897.24</v>
      </c>
      <c r="BW18" s="163">
        <v>5031897.24</v>
      </c>
      <c r="BX18" s="163">
        <v>5031897.24</v>
      </c>
      <c r="BY18" s="163">
        <v>5031897.24</v>
      </c>
      <c r="BZ18" s="163">
        <v>5031897.24</v>
      </c>
      <c r="CA18" s="163">
        <v>5031897.24</v>
      </c>
      <c r="CB18" s="163">
        <v>5031897.24</v>
      </c>
      <c r="CC18" s="163">
        <v>5031897.24</v>
      </c>
      <c r="CD18" s="163">
        <v>5031897.24</v>
      </c>
      <c r="CE18" s="163">
        <v>5031897.24</v>
      </c>
      <c r="CF18" s="163">
        <v>5031897.24</v>
      </c>
      <c r="CG18" s="163">
        <v>5031897.24</v>
      </c>
      <c r="CH18" s="163">
        <v>5031897.24</v>
      </c>
      <c r="CI18" s="163">
        <v>5031897.24</v>
      </c>
      <c r="CJ18" s="163">
        <v>5031897.24</v>
      </c>
      <c r="CK18" s="163">
        <v>5031897.24</v>
      </c>
      <c r="CL18" s="163">
        <v>5031897.24</v>
      </c>
      <c r="CM18" s="163">
        <v>5031897.24</v>
      </c>
      <c r="CN18" s="163">
        <v>5031897.24</v>
      </c>
      <c r="CO18" s="163">
        <v>5031897.24</v>
      </c>
      <c r="CP18" s="163">
        <v>5031897.24</v>
      </c>
      <c r="CQ18" s="163">
        <v>5031897.24</v>
      </c>
      <c r="CR18" s="163">
        <v>5031897.24</v>
      </c>
      <c r="CS18" s="163">
        <v>5031897.24</v>
      </c>
      <c r="CT18" s="163">
        <v>5031897.24</v>
      </c>
      <c r="CU18" s="163">
        <v>5031897.24</v>
      </c>
      <c r="CV18" s="163">
        <v>5031897.24</v>
      </c>
      <c r="CW18" s="163">
        <v>5031897.24</v>
      </c>
      <c r="CX18" s="163">
        <v>5031897.24</v>
      </c>
      <c r="CY18" s="163">
        <v>5031897.24</v>
      </c>
      <c r="CZ18" s="163">
        <v>5031897.24</v>
      </c>
      <c r="DA18" s="163">
        <v>5031897.24</v>
      </c>
      <c r="DB18" s="163">
        <v>5031897.24</v>
      </c>
      <c r="DC18" s="163">
        <v>5031897.24</v>
      </c>
      <c r="DD18" s="163">
        <v>5031897.24</v>
      </c>
      <c r="DE18" s="163">
        <v>5031897.24</v>
      </c>
      <c r="DF18" s="163">
        <f>VLOOKUP($C18,'[3]BS ACC'!$C$5:$DH$1006,108,FALSE)</f>
        <v>5031897.24</v>
      </c>
      <c r="DG18" s="163">
        <f>VLOOKUP($C18,'[3]BS ACC'!$C$5:$DH$1006,109,FALSE)</f>
        <v>5031897.24</v>
      </c>
      <c r="DH18" s="163">
        <f>VLOOKUP($C18,'[3]BS ACC'!$C$5:$DH$1006,110,FALSE)</f>
        <v>5031897.24</v>
      </c>
    </row>
    <row r="19" spans="1:112">
      <c r="A19" s="350" t="str">
        <f t="shared" si="0"/>
        <v>1150000</v>
      </c>
      <c r="B19" s="350" t="s">
        <v>1548</v>
      </c>
      <c r="C19" s="335" t="s">
        <v>598</v>
      </c>
      <c r="D19" s="340">
        <v>-3962608.63</v>
      </c>
      <c r="E19" s="340">
        <v>-3975037.45</v>
      </c>
      <c r="F19" s="340">
        <v>-3987466.27</v>
      </c>
      <c r="G19" s="340">
        <v>-3999895.09</v>
      </c>
      <c r="H19" s="340">
        <v>-4012323.91</v>
      </c>
      <c r="I19" s="340">
        <v>-4024752.73</v>
      </c>
      <c r="J19" s="340">
        <v>-4037181.55</v>
      </c>
      <c r="K19" s="340">
        <v>-4049610.37</v>
      </c>
      <c r="L19" s="340">
        <v>-4062039.19</v>
      </c>
      <c r="M19" s="340">
        <v>-4074468.01</v>
      </c>
      <c r="N19" s="340">
        <v>-4086896.83</v>
      </c>
      <c r="O19" s="340">
        <v>-4099325.65</v>
      </c>
      <c r="P19" s="341">
        <v>-4111754.47</v>
      </c>
      <c r="Q19" s="163">
        <v>-4124183.29</v>
      </c>
      <c r="R19" s="163">
        <v>-4136612.11</v>
      </c>
      <c r="S19" s="163">
        <v>-4149040.93</v>
      </c>
      <c r="T19" s="163">
        <v>-4161469.75</v>
      </c>
      <c r="U19" s="163">
        <v>-4173898.57</v>
      </c>
      <c r="V19" s="163">
        <v>-4186327.39</v>
      </c>
      <c r="W19" s="163">
        <v>-4198756.21</v>
      </c>
      <c r="X19" s="163">
        <v>-4211185.03</v>
      </c>
      <c r="Y19" s="163">
        <v>-4223613.8499999996</v>
      </c>
      <c r="Z19" s="163">
        <v>-4236042.67</v>
      </c>
      <c r="AA19" s="163">
        <v>-4248471.49</v>
      </c>
      <c r="AB19" s="163">
        <v>-4260900.3099999996</v>
      </c>
      <c r="AC19" s="163">
        <v>-4273329.13</v>
      </c>
      <c r="AD19" s="163">
        <v>-4285757.95</v>
      </c>
      <c r="AE19" s="163">
        <v>-4298186.7699999996</v>
      </c>
      <c r="AF19" s="163">
        <v>-4310615.59</v>
      </c>
      <c r="AG19" s="163">
        <v>-4323044.41</v>
      </c>
      <c r="AH19" s="163">
        <v>-4335473.2300000004</v>
      </c>
      <c r="AI19" s="163">
        <v>-4347902.05</v>
      </c>
      <c r="AJ19" s="163">
        <v>-4360330.87</v>
      </c>
      <c r="AK19" s="163">
        <v>-4372759.6900000004</v>
      </c>
      <c r="AL19" s="163">
        <v>-4385188.51</v>
      </c>
      <c r="AM19" s="163">
        <v>-4397617.33</v>
      </c>
      <c r="AN19" s="163">
        <v>-4410046.1500000004</v>
      </c>
      <c r="AO19" s="163">
        <v>-4422474.97</v>
      </c>
      <c r="AP19" s="163">
        <v>-4434903.79</v>
      </c>
      <c r="AQ19" s="163">
        <v>-4447332.6100000003</v>
      </c>
      <c r="AR19" s="163">
        <v>-4459761.43</v>
      </c>
      <c r="AS19" s="163">
        <v>-4472190.25</v>
      </c>
      <c r="AT19" s="163">
        <v>-4484619.07</v>
      </c>
      <c r="AU19" s="163">
        <v>-4497047.8899999997</v>
      </c>
      <c r="AV19" s="163">
        <v>-4509476.71</v>
      </c>
      <c r="AW19" s="163">
        <v>-4521905.53</v>
      </c>
      <c r="AX19" s="163">
        <v>-4534334.3499999996</v>
      </c>
      <c r="AY19" s="163">
        <v>-4546763.17</v>
      </c>
      <c r="AZ19" s="163">
        <v>-4559191.99</v>
      </c>
      <c r="BA19" s="163">
        <v>-4571620.8099999996</v>
      </c>
      <c r="BB19" s="163">
        <v>-4584049.63</v>
      </c>
      <c r="BC19" s="163">
        <v>-4596478.45</v>
      </c>
      <c r="BD19" s="163">
        <v>-4608907.2699999996</v>
      </c>
      <c r="BE19" s="163">
        <v>-4621336.09</v>
      </c>
      <c r="BF19" s="163">
        <v>-4633764.91</v>
      </c>
      <c r="BG19" s="163">
        <v>-4646193.7300000004</v>
      </c>
      <c r="BH19" s="163">
        <v>-4658622.55</v>
      </c>
      <c r="BI19" s="163">
        <v>-4671051.37</v>
      </c>
      <c r="BJ19" s="163">
        <v>-4683480.1900000004</v>
      </c>
      <c r="BK19" s="163">
        <v>-4695909.01</v>
      </c>
      <c r="BL19" s="163">
        <v>-4708337.83</v>
      </c>
      <c r="BM19" s="163">
        <v>-4720766.6500000004</v>
      </c>
      <c r="BN19" s="163">
        <v>-4733195.47</v>
      </c>
      <c r="BO19" s="163">
        <v>-4745624.29</v>
      </c>
      <c r="BP19" s="163">
        <v>-4758053.1100000003</v>
      </c>
      <c r="BQ19" s="163">
        <v>-4770481.93</v>
      </c>
      <c r="BR19" s="163">
        <v>-4782910.75</v>
      </c>
      <c r="BS19" s="163">
        <v>-4795339.57</v>
      </c>
      <c r="BT19" s="163">
        <v>-4807768.3899999997</v>
      </c>
      <c r="BU19" s="163">
        <v>-4820197.21</v>
      </c>
      <c r="BV19" s="163">
        <v>-4832626.03</v>
      </c>
      <c r="BW19" s="163">
        <v>-4845054.8499999996</v>
      </c>
      <c r="BX19" s="163">
        <v>-4857483.67</v>
      </c>
      <c r="BY19" s="163">
        <v>-4869912.49</v>
      </c>
      <c r="BZ19" s="163">
        <v>-4882341.3099999996</v>
      </c>
      <c r="CA19" s="163">
        <v>-4894770.13</v>
      </c>
      <c r="CB19" s="163">
        <v>-4907198.95</v>
      </c>
      <c r="CC19" s="163">
        <v>-4919627.7699999996</v>
      </c>
      <c r="CD19" s="163">
        <v>-4932056.59</v>
      </c>
      <c r="CE19" s="163">
        <v>-4944485.41</v>
      </c>
      <c r="CF19" s="163">
        <v>-4956914.2300000004</v>
      </c>
      <c r="CG19" s="163">
        <v>-4969343.05</v>
      </c>
      <c r="CH19" s="163">
        <v>-4975292.78</v>
      </c>
      <c r="CI19" s="163">
        <v>-4981242.51</v>
      </c>
      <c r="CJ19" s="163">
        <v>-4987192.24</v>
      </c>
      <c r="CK19" s="163">
        <v>-4993141.97</v>
      </c>
      <c r="CL19" s="163">
        <v>-4999091.7</v>
      </c>
      <c r="CM19" s="163">
        <v>-5005041.43</v>
      </c>
      <c r="CN19" s="163">
        <v>-5010991.16</v>
      </c>
      <c r="CO19" s="163">
        <v>-5016940.8899999997</v>
      </c>
      <c r="CP19" s="163">
        <v>-5022890.62</v>
      </c>
      <c r="CQ19" s="163">
        <v>-5028840.3499999996</v>
      </c>
      <c r="CR19" s="163">
        <v>-5028152.9800000004</v>
      </c>
      <c r="CS19" s="163">
        <v>-5028152.9800000004</v>
      </c>
      <c r="CT19" s="163">
        <v>-5028152.9800000004</v>
      </c>
      <c r="CU19" s="163">
        <v>-5028152.9800000004</v>
      </c>
      <c r="CV19" s="163">
        <v>-5028152.9800000004</v>
      </c>
      <c r="CW19" s="163">
        <v>-5028152.9800000004</v>
      </c>
      <c r="CX19" s="163">
        <v>-5028152.9800000004</v>
      </c>
      <c r="CY19" s="163">
        <v>-5028152.9800000004</v>
      </c>
      <c r="CZ19" s="163">
        <v>-5028152.9800000004</v>
      </c>
      <c r="DA19" s="163">
        <v>-5028152.9800000004</v>
      </c>
      <c r="DB19" s="163">
        <v>-5028152.9800000004</v>
      </c>
      <c r="DC19" s="163">
        <v>-5028152.9800000004</v>
      </c>
      <c r="DD19" s="163">
        <v>-5028152.9800000004</v>
      </c>
      <c r="DE19" s="163">
        <v>-5028152.9800000004</v>
      </c>
      <c r="DF19" s="163">
        <f>VLOOKUP($C19,'[3]BS ACC'!$C$5:$DH$1006,108,FALSE)</f>
        <v>-5028152.9800000004</v>
      </c>
      <c r="DG19" s="163">
        <f>VLOOKUP($C19,'[3]BS ACC'!$C$5:$DH$1006,109,FALSE)</f>
        <v>-5028152.9800000004</v>
      </c>
      <c r="DH19" s="163">
        <f>VLOOKUP($C19,'[3]BS ACC'!$C$5:$DH$1006,110,FALSE)</f>
        <v>-5028152.9800000004</v>
      </c>
    </row>
    <row r="20" spans="1:112">
      <c r="A20" s="350" t="str">
        <f t="shared" si="0"/>
        <v>1231000</v>
      </c>
      <c r="B20" s="350" t="s">
        <v>1549</v>
      </c>
      <c r="C20" s="335" t="s">
        <v>599</v>
      </c>
      <c r="D20" s="340">
        <v>1072286.1399999999</v>
      </c>
      <c r="E20" s="340">
        <v>690737.44</v>
      </c>
      <c r="F20" s="340">
        <v>1021328.38</v>
      </c>
      <c r="G20" s="340">
        <v>1227819.6399999999</v>
      </c>
      <c r="H20" s="340">
        <v>789786.66</v>
      </c>
      <c r="I20" s="340">
        <v>968313.89</v>
      </c>
      <c r="J20" s="340">
        <v>1230761.6100000001</v>
      </c>
      <c r="K20" s="340">
        <v>805462.03</v>
      </c>
      <c r="L20" s="340">
        <v>1003294.07</v>
      </c>
      <c r="M20" s="340">
        <v>1072047.3899999999</v>
      </c>
      <c r="N20" s="340">
        <v>665438.34</v>
      </c>
      <c r="O20" s="340">
        <v>833785.45</v>
      </c>
      <c r="P20" s="341">
        <v>1026666.02</v>
      </c>
      <c r="Q20" s="163">
        <v>1417441.09</v>
      </c>
      <c r="R20" s="163">
        <v>1096979.0900000001</v>
      </c>
      <c r="S20" s="163">
        <v>1247742.3799999999</v>
      </c>
      <c r="T20" s="163">
        <v>570274.97</v>
      </c>
      <c r="U20" s="163">
        <v>794634.67</v>
      </c>
      <c r="V20" s="163">
        <v>1010928.84</v>
      </c>
      <c r="W20" s="163">
        <v>671653.09</v>
      </c>
      <c r="X20" s="163">
        <v>842696.67</v>
      </c>
      <c r="Y20" s="163">
        <v>1066034.9099999999</v>
      </c>
      <c r="Z20" s="163">
        <v>1196268.3899999999</v>
      </c>
      <c r="AA20" s="163">
        <v>846357.32</v>
      </c>
      <c r="AB20" s="163">
        <v>1550191.33</v>
      </c>
      <c r="AC20" s="163">
        <v>1846471.79</v>
      </c>
      <c r="AD20" s="163">
        <v>1665481.94</v>
      </c>
      <c r="AE20" s="163">
        <v>1768137.91</v>
      </c>
      <c r="AF20" s="163">
        <v>1890203.72</v>
      </c>
      <c r="AG20" s="163">
        <v>817696.9</v>
      </c>
      <c r="AH20" s="163">
        <v>451270.74</v>
      </c>
      <c r="AI20" s="163">
        <v>666141.99</v>
      </c>
      <c r="AJ20" s="163">
        <v>943907.39</v>
      </c>
      <c r="AK20" s="163">
        <v>1124178.3799999999</v>
      </c>
      <c r="AL20" s="163">
        <v>1893574.75</v>
      </c>
      <c r="AM20" s="163">
        <v>1455090.61</v>
      </c>
      <c r="AN20" s="163">
        <v>1676407.65</v>
      </c>
      <c r="AO20" s="163">
        <v>2030340.05</v>
      </c>
      <c r="AP20" s="163">
        <v>1185824.46</v>
      </c>
      <c r="AQ20" s="163">
        <v>1472993.61</v>
      </c>
      <c r="AR20" s="163">
        <v>1619962.16</v>
      </c>
      <c r="AS20" s="163">
        <v>1068540.05</v>
      </c>
      <c r="AT20" s="163">
        <v>915178.88</v>
      </c>
      <c r="AU20" s="163">
        <v>1208435.27</v>
      </c>
      <c r="AV20" s="163">
        <v>564156.92000000004</v>
      </c>
      <c r="AW20" s="163">
        <v>862127.45</v>
      </c>
      <c r="AX20" s="163">
        <v>1107738.21</v>
      </c>
      <c r="AY20" s="163">
        <v>1166609.79</v>
      </c>
      <c r="AZ20" s="163">
        <v>1715678.71</v>
      </c>
      <c r="BA20" s="163">
        <v>2142944.46</v>
      </c>
      <c r="BB20" s="163">
        <v>1123292.52</v>
      </c>
      <c r="BC20" s="163">
        <v>1235895.02</v>
      </c>
      <c r="BD20" s="163">
        <v>1742173.74</v>
      </c>
      <c r="BE20" s="163">
        <v>1049799.92</v>
      </c>
      <c r="BF20" s="163">
        <v>1272460.1100000001</v>
      </c>
      <c r="BG20" s="163">
        <v>1562003.94</v>
      </c>
      <c r="BH20" s="163">
        <v>760636.27</v>
      </c>
      <c r="BI20" s="163">
        <v>935108.73</v>
      </c>
      <c r="BJ20" s="163">
        <v>1188785.76</v>
      </c>
      <c r="BK20" s="163">
        <v>777880.49</v>
      </c>
      <c r="BL20" s="163">
        <v>1195217.6599999999</v>
      </c>
      <c r="BM20" s="163">
        <v>1451866.25</v>
      </c>
      <c r="BN20" s="163">
        <v>823643.62</v>
      </c>
      <c r="BO20" s="163">
        <v>1284772.3600000001</v>
      </c>
      <c r="BP20" s="163">
        <v>1701879.38</v>
      </c>
      <c r="BQ20" s="163">
        <v>1022397.48</v>
      </c>
      <c r="BR20" s="163">
        <v>1256931.8</v>
      </c>
      <c r="BS20" s="163">
        <v>1595861.92</v>
      </c>
      <c r="BT20" s="163">
        <v>1079865.1299999999</v>
      </c>
      <c r="BU20" s="163">
        <v>1299029.46</v>
      </c>
      <c r="BV20" s="163">
        <v>1496620.32</v>
      </c>
      <c r="BW20" s="163">
        <v>673250.97</v>
      </c>
      <c r="BX20" s="163">
        <v>902043.41</v>
      </c>
      <c r="BY20" s="163">
        <v>1028316.05</v>
      </c>
      <c r="BZ20" s="163">
        <v>832643.11</v>
      </c>
      <c r="CA20" s="163">
        <v>926542.53</v>
      </c>
      <c r="CB20" s="163">
        <v>1260989.77</v>
      </c>
      <c r="CC20" s="163">
        <v>1026254.93</v>
      </c>
      <c r="CD20" s="163">
        <v>1250596.3700000001</v>
      </c>
      <c r="CE20" s="163">
        <v>1439036.29</v>
      </c>
      <c r="CF20" s="163">
        <v>781252.78</v>
      </c>
      <c r="CG20" s="163">
        <v>1020483.08</v>
      </c>
      <c r="CH20" s="163">
        <v>1371276.5</v>
      </c>
      <c r="CI20" s="163">
        <v>841297.66</v>
      </c>
      <c r="CJ20" s="163">
        <v>1208345.97</v>
      </c>
      <c r="CK20" s="163">
        <v>1542480.94</v>
      </c>
      <c r="CL20" s="163">
        <v>1003468.87</v>
      </c>
      <c r="CM20" s="163">
        <v>1278830.19</v>
      </c>
      <c r="CN20" s="163">
        <v>612943.16</v>
      </c>
      <c r="CO20" s="163">
        <v>1003456.24</v>
      </c>
      <c r="CP20" s="163">
        <v>1274946.82</v>
      </c>
      <c r="CQ20" s="163">
        <v>1549067.57</v>
      </c>
      <c r="CR20" s="163">
        <v>892660.69</v>
      </c>
      <c r="CS20" s="163">
        <v>1188488.3400000001</v>
      </c>
      <c r="CT20" s="163">
        <v>1502236.12</v>
      </c>
      <c r="CU20" s="163">
        <v>868331.8</v>
      </c>
      <c r="CV20" s="163">
        <v>1027776.72</v>
      </c>
      <c r="CW20" s="163">
        <v>1172773.1200000001</v>
      </c>
      <c r="CX20" s="163">
        <v>679786.76</v>
      </c>
      <c r="CY20" s="163">
        <v>1153410.45</v>
      </c>
      <c r="CZ20" s="163">
        <v>538847.81999999995</v>
      </c>
      <c r="DA20" s="163">
        <v>814853.23</v>
      </c>
      <c r="DB20" s="163">
        <v>1037827.6</v>
      </c>
      <c r="DC20" s="163">
        <v>1474440.33</v>
      </c>
      <c r="DD20" s="163">
        <v>1006071.92</v>
      </c>
      <c r="DE20" s="163">
        <v>1343627.69</v>
      </c>
      <c r="DF20" s="163">
        <f>VLOOKUP($C20,'[3]BS ACC'!$C$5:$DH$1006,108,FALSE)</f>
        <v>532971.34</v>
      </c>
      <c r="DG20" s="163">
        <f>VLOOKUP($C20,'[3]BS ACC'!$C$5:$DH$1006,109,FALSE)</f>
        <v>833075.57</v>
      </c>
      <c r="DH20" s="163">
        <f>VLOOKUP($C20,'[3]BS ACC'!$C$5:$DH$1006,110,FALSE)</f>
        <v>846204.52</v>
      </c>
    </row>
    <row r="21" spans="1:112">
      <c r="A21" s="350" t="str">
        <f t="shared" si="0"/>
        <v>1310180</v>
      </c>
      <c r="B21" s="350" t="s">
        <v>1550</v>
      </c>
      <c r="C21" s="335" t="s">
        <v>600</v>
      </c>
      <c r="D21" s="340">
        <v>854815.57</v>
      </c>
      <c r="E21" s="340">
        <v>661843.68000000005</v>
      </c>
      <c r="F21" s="340">
        <v>924904.98</v>
      </c>
      <c r="G21" s="340">
        <v>1024070.57</v>
      </c>
      <c r="H21" s="340">
        <v>1305784.8</v>
      </c>
      <c r="I21" s="340">
        <v>10340489.99</v>
      </c>
      <c r="J21" s="340">
        <v>7815621.4199999999</v>
      </c>
      <c r="K21" s="340">
        <v>9387597.6600000001</v>
      </c>
      <c r="L21" s="340">
        <v>850191.94</v>
      </c>
      <c r="M21" s="340">
        <v>743876.29</v>
      </c>
      <c r="N21" s="340">
        <v>3692806.89</v>
      </c>
      <c r="O21" s="340">
        <v>4648640.5199999996</v>
      </c>
      <c r="P21" s="341">
        <v>585926.86</v>
      </c>
      <c r="Q21" s="163">
        <v>579112.88</v>
      </c>
      <c r="R21" s="163">
        <v>556338.87</v>
      </c>
      <c r="S21" s="163">
        <v>473980.34</v>
      </c>
      <c r="T21" s="163">
        <v>547609.64</v>
      </c>
      <c r="U21" s="163">
        <v>26328236.010000002</v>
      </c>
      <c r="V21" s="163">
        <v>21575472.969999999</v>
      </c>
      <c r="W21" s="163">
        <v>25276954.329999998</v>
      </c>
      <c r="X21" s="163">
        <v>25642033.100000001</v>
      </c>
      <c r="Y21" s="163">
        <v>23546556.809999999</v>
      </c>
      <c r="Z21" s="163">
        <v>8806099.6099999994</v>
      </c>
      <c r="AA21" s="163">
        <v>8378742.0599999996</v>
      </c>
      <c r="AB21" s="163">
        <v>1927001.38</v>
      </c>
      <c r="AC21" s="163">
        <v>549407.79</v>
      </c>
      <c r="AD21" s="163">
        <v>671614.12</v>
      </c>
      <c r="AE21" s="163">
        <v>22075282.539999999</v>
      </c>
      <c r="AF21" s="163">
        <v>297651.90999999997</v>
      </c>
      <c r="AG21" s="163">
        <v>662687.07999999996</v>
      </c>
      <c r="AH21" s="163">
        <v>599825.23</v>
      </c>
      <c r="AI21" s="163">
        <v>619928.79</v>
      </c>
      <c r="AJ21" s="163">
        <v>557419.53</v>
      </c>
      <c r="AK21" s="163">
        <v>656809.67000000004</v>
      </c>
      <c r="AL21" s="163">
        <v>572076.66</v>
      </c>
      <c r="AM21" s="163">
        <v>601132.79</v>
      </c>
      <c r="AN21" s="163">
        <v>818171.77</v>
      </c>
      <c r="AO21" s="163">
        <v>637802.86</v>
      </c>
      <c r="AP21" s="163">
        <v>646762.9</v>
      </c>
      <c r="AQ21" s="163">
        <v>675305.84</v>
      </c>
      <c r="AR21" s="163">
        <v>646663.01</v>
      </c>
      <c r="AS21" s="163">
        <v>571795.04</v>
      </c>
      <c r="AT21" s="163">
        <v>709690.96</v>
      </c>
      <c r="AU21" s="163">
        <v>614747.28</v>
      </c>
      <c r="AV21" s="163">
        <v>614391.43999999994</v>
      </c>
      <c r="AW21" s="163">
        <v>1095273.49</v>
      </c>
      <c r="AX21" s="163">
        <v>687301.89</v>
      </c>
      <c r="AY21" s="163">
        <v>730359.73</v>
      </c>
      <c r="AZ21" s="163">
        <v>681072.76</v>
      </c>
      <c r="BA21" s="163">
        <v>719315.4</v>
      </c>
      <c r="BB21" s="163">
        <v>696914.39</v>
      </c>
      <c r="BC21" s="163">
        <v>2644856.91</v>
      </c>
      <c r="BD21" s="163">
        <v>745369.21</v>
      </c>
      <c r="BE21" s="163">
        <v>640773.44999999995</v>
      </c>
      <c r="BF21" s="163">
        <v>708236.77</v>
      </c>
      <c r="BG21" s="163">
        <v>557876.63</v>
      </c>
      <c r="BH21" s="163">
        <v>678369.39</v>
      </c>
      <c r="BI21" s="163">
        <v>729174.77</v>
      </c>
      <c r="BJ21" s="163">
        <v>660169.24</v>
      </c>
      <c r="BK21" s="163">
        <v>709709.23</v>
      </c>
      <c r="BL21" s="163">
        <v>1018274.8</v>
      </c>
      <c r="BM21" s="163">
        <v>620747.97</v>
      </c>
      <c r="BN21" s="163">
        <v>1202930.22</v>
      </c>
      <c r="BO21" s="163">
        <v>704923.74</v>
      </c>
      <c r="BP21" s="163">
        <v>1063591.54</v>
      </c>
      <c r="BQ21" s="163">
        <v>1046393.18</v>
      </c>
      <c r="BR21" s="163">
        <v>911536.45</v>
      </c>
      <c r="BS21" s="163">
        <v>647143.74</v>
      </c>
      <c r="BT21" s="163">
        <v>1009822.93</v>
      </c>
      <c r="BU21" s="163">
        <v>1059380.8899999999</v>
      </c>
      <c r="BV21" s="163">
        <v>1198188.1399999999</v>
      </c>
      <c r="BW21" s="163">
        <v>8018323.5199999996</v>
      </c>
      <c r="BX21" s="163">
        <v>994252.87</v>
      </c>
      <c r="BY21" s="163">
        <v>630038.43999999994</v>
      </c>
      <c r="BZ21" s="163">
        <v>1538150.9</v>
      </c>
      <c r="CA21" s="163">
        <v>1044381.48</v>
      </c>
      <c r="CB21" s="163">
        <v>1015364.45</v>
      </c>
      <c r="CC21" s="163">
        <v>1034529.03</v>
      </c>
      <c r="CD21" s="163">
        <v>1010362.23</v>
      </c>
      <c r="CE21" s="163">
        <v>954111.76</v>
      </c>
      <c r="CF21" s="163">
        <v>944421.79</v>
      </c>
      <c r="CG21" s="163">
        <v>723426.49</v>
      </c>
      <c r="CH21" s="163">
        <v>614929.98</v>
      </c>
      <c r="CI21" s="163">
        <v>3866819.45</v>
      </c>
      <c r="CJ21" s="163">
        <v>1057359.6100000001</v>
      </c>
      <c r="CK21" s="163">
        <v>579831.86</v>
      </c>
      <c r="CL21" s="163">
        <v>704088.34</v>
      </c>
      <c r="CM21" s="163">
        <v>609290.61</v>
      </c>
      <c r="CN21" s="163">
        <v>642186.61</v>
      </c>
      <c r="CO21" s="163">
        <v>912798.05</v>
      </c>
      <c r="CP21" s="163">
        <v>761599.99</v>
      </c>
      <c r="CQ21" s="163">
        <v>714396.9</v>
      </c>
      <c r="CR21" s="163">
        <v>986515.46</v>
      </c>
      <c r="CS21" s="163">
        <v>980118.27</v>
      </c>
      <c r="CT21" s="163">
        <v>678663.65</v>
      </c>
      <c r="CU21" s="163">
        <v>884462.77</v>
      </c>
      <c r="CV21" s="163">
        <v>3275417.08</v>
      </c>
      <c r="CW21" s="163">
        <v>648250.16</v>
      </c>
      <c r="CX21" s="163">
        <v>690347.1</v>
      </c>
      <c r="CY21" s="163">
        <v>663840.46</v>
      </c>
      <c r="CZ21" s="163">
        <v>758631.41</v>
      </c>
      <c r="DA21" s="163">
        <v>670883.91</v>
      </c>
      <c r="DB21" s="163">
        <v>1098691.8899999999</v>
      </c>
      <c r="DC21" s="163">
        <v>1807908.29</v>
      </c>
      <c r="DD21" s="163">
        <v>637265.87</v>
      </c>
      <c r="DE21" s="163">
        <v>1236452.8700000001</v>
      </c>
      <c r="DF21" s="163">
        <f>VLOOKUP($C21,'[3]BS ACC'!$C$5:$DH$1006,108,FALSE)</f>
        <v>608831.79</v>
      </c>
      <c r="DG21" s="163">
        <f>VLOOKUP($C21,'[3]BS ACC'!$C$5:$DH$1006,109,FALSE)</f>
        <v>632468.51</v>
      </c>
      <c r="DH21" s="163">
        <f>VLOOKUP($C21,'[3]BS ACC'!$C$5:$DH$1006,110,FALSE)</f>
        <v>165092.31</v>
      </c>
    </row>
    <row r="22" spans="1:112">
      <c r="A22" s="350" t="str">
        <f t="shared" si="0"/>
        <v>1310181</v>
      </c>
      <c r="B22" s="350" t="s">
        <v>1551</v>
      </c>
      <c r="C22" s="335" t="s">
        <v>1459</v>
      </c>
      <c r="D22" s="340"/>
      <c r="E22" s="340"/>
      <c r="F22" s="340"/>
      <c r="G22" s="340"/>
      <c r="H22" s="340"/>
      <c r="I22" s="340"/>
      <c r="J22" s="340"/>
      <c r="K22" s="340"/>
      <c r="L22" s="340"/>
      <c r="M22" s="340"/>
      <c r="N22" s="340"/>
      <c r="O22" s="340"/>
      <c r="P22" s="341"/>
      <c r="Q22" s="163"/>
      <c r="R22" s="163"/>
      <c r="S22" s="163"/>
      <c r="T22" s="163"/>
      <c r="U22" s="163"/>
      <c r="V22" s="163"/>
      <c r="W22" s="163"/>
      <c r="X22" s="163"/>
      <c r="Y22" s="163"/>
      <c r="Z22" s="163"/>
      <c r="AA22" s="163"/>
      <c r="AB22" s="163"/>
      <c r="AC22" s="163"/>
      <c r="AD22" s="163"/>
      <c r="AE22" s="163"/>
      <c r="AF22" s="163">
        <v>0</v>
      </c>
      <c r="AG22" s="163">
        <v>0</v>
      </c>
      <c r="AH22" s="163">
        <v>0</v>
      </c>
      <c r="AI22" s="163">
        <v>0</v>
      </c>
      <c r="AJ22" s="163">
        <v>0</v>
      </c>
      <c r="AK22" s="163">
        <v>0</v>
      </c>
      <c r="AL22" s="163">
        <v>0</v>
      </c>
      <c r="AM22" s="163">
        <v>0</v>
      </c>
      <c r="AN22" s="163">
        <v>0</v>
      </c>
      <c r="AO22" s="163">
        <v>0</v>
      </c>
      <c r="AP22" s="163">
        <v>0</v>
      </c>
      <c r="AQ22" s="163">
        <v>0</v>
      </c>
      <c r="AR22" s="163">
        <v>0</v>
      </c>
      <c r="AS22" s="163">
        <v>0</v>
      </c>
      <c r="AT22" s="163">
        <v>0</v>
      </c>
      <c r="AU22" s="163">
        <v>0</v>
      </c>
      <c r="AV22" s="163">
        <v>0</v>
      </c>
      <c r="AW22" s="163">
        <v>0</v>
      </c>
      <c r="AX22" s="163">
        <v>0</v>
      </c>
      <c r="AY22" s="163">
        <v>0</v>
      </c>
      <c r="AZ22" s="163">
        <v>0</v>
      </c>
      <c r="BA22" s="163">
        <v>0</v>
      </c>
      <c r="BB22" s="163">
        <v>0</v>
      </c>
      <c r="BC22" s="163">
        <v>0</v>
      </c>
      <c r="BD22" s="163">
        <v>0</v>
      </c>
      <c r="BE22" s="163">
        <v>0</v>
      </c>
      <c r="BF22" s="163">
        <v>0</v>
      </c>
      <c r="BG22" s="163">
        <v>0</v>
      </c>
      <c r="BH22" s="163">
        <v>0</v>
      </c>
      <c r="BI22" s="163">
        <v>0</v>
      </c>
      <c r="BJ22" s="163">
        <v>0</v>
      </c>
      <c r="BK22" s="163">
        <v>0</v>
      </c>
      <c r="BL22" s="163">
        <v>0</v>
      </c>
      <c r="BM22" s="163">
        <v>0</v>
      </c>
      <c r="BN22" s="163">
        <v>0</v>
      </c>
      <c r="BO22" s="163">
        <v>0</v>
      </c>
      <c r="BP22" s="163">
        <v>0</v>
      </c>
      <c r="BQ22" s="163">
        <v>0</v>
      </c>
      <c r="BR22" s="163">
        <v>0</v>
      </c>
      <c r="BS22" s="163">
        <v>0</v>
      </c>
      <c r="BT22" s="163">
        <v>0</v>
      </c>
      <c r="BU22" s="163">
        <v>0</v>
      </c>
      <c r="BV22" s="163">
        <v>0</v>
      </c>
      <c r="BW22" s="163">
        <v>0</v>
      </c>
      <c r="BX22" s="163">
        <v>0</v>
      </c>
      <c r="BY22" s="163">
        <v>0</v>
      </c>
      <c r="BZ22" s="163">
        <v>0</v>
      </c>
      <c r="CA22" s="163">
        <v>0</v>
      </c>
      <c r="CB22" s="163">
        <v>0</v>
      </c>
      <c r="CC22" s="163">
        <v>0</v>
      </c>
      <c r="CD22" s="163">
        <v>0</v>
      </c>
      <c r="CE22" s="163">
        <v>0</v>
      </c>
      <c r="CF22" s="163">
        <v>0</v>
      </c>
      <c r="CG22" s="163">
        <v>0</v>
      </c>
      <c r="CH22" s="163">
        <v>0</v>
      </c>
      <c r="CI22" s="163">
        <v>0</v>
      </c>
      <c r="CJ22" s="163">
        <v>0</v>
      </c>
      <c r="CK22" s="163">
        <v>0</v>
      </c>
      <c r="CL22" s="163">
        <v>0</v>
      </c>
      <c r="CM22" s="163">
        <v>0</v>
      </c>
      <c r="CN22" s="163">
        <v>0</v>
      </c>
      <c r="CO22" s="163">
        <v>0</v>
      </c>
      <c r="CP22" s="163">
        <v>0</v>
      </c>
      <c r="CQ22" s="163">
        <v>0</v>
      </c>
      <c r="CR22" s="163">
        <v>0</v>
      </c>
      <c r="CS22" s="163">
        <v>0</v>
      </c>
      <c r="CT22" s="163">
        <v>0</v>
      </c>
      <c r="CU22" s="163">
        <v>0</v>
      </c>
      <c r="CV22" s="163">
        <v>0</v>
      </c>
      <c r="CW22" s="163">
        <v>0</v>
      </c>
      <c r="CX22" s="163">
        <v>0</v>
      </c>
      <c r="CY22" s="163">
        <v>0</v>
      </c>
      <c r="CZ22" s="163">
        <v>0</v>
      </c>
      <c r="DA22" s="163">
        <v>0</v>
      </c>
      <c r="DB22" s="163">
        <v>0</v>
      </c>
      <c r="DC22" s="163">
        <v>0</v>
      </c>
      <c r="DD22" s="163">
        <v>0</v>
      </c>
      <c r="DE22" s="163">
        <v>0</v>
      </c>
      <c r="DF22" s="163">
        <f>VLOOKUP($C22,'[3]BS ACC'!$C$5:$DH$1006,108,FALSE)</f>
        <v>0</v>
      </c>
      <c r="DG22" s="163">
        <f>VLOOKUP($C22,'[3]BS ACC'!$C$5:$DH$1006,109,FALSE)</f>
        <v>0</v>
      </c>
      <c r="DH22" s="163">
        <f>VLOOKUP($C22,'[3]BS ACC'!$C$5:$DH$1006,110,FALSE)</f>
        <v>0</v>
      </c>
    </row>
    <row r="23" spans="1:112">
      <c r="A23" s="350" t="str">
        <f t="shared" si="0"/>
        <v>1310187</v>
      </c>
      <c r="B23" s="350" t="s">
        <v>1552</v>
      </c>
      <c r="C23" s="335" t="s">
        <v>601</v>
      </c>
      <c r="D23" s="340">
        <v>1000476.12</v>
      </c>
      <c r="E23" s="340">
        <v>514412.59</v>
      </c>
      <c r="F23" s="340">
        <v>826890.32</v>
      </c>
      <c r="G23" s="340">
        <v>319907.7</v>
      </c>
      <c r="H23" s="340">
        <v>414602.05</v>
      </c>
      <c r="I23" s="340">
        <v>692083.33</v>
      </c>
      <c r="J23" s="340">
        <v>617357.43000000005</v>
      </c>
      <c r="K23" s="340">
        <v>285129.64</v>
      </c>
      <c r="L23" s="340">
        <v>629758.16</v>
      </c>
      <c r="M23" s="340">
        <v>1041821.69</v>
      </c>
      <c r="N23" s="340">
        <v>822923.54</v>
      </c>
      <c r="O23" s="340">
        <v>1268260.1399999999</v>
      </c>
      <c r="P23" s="341">
        <v>1258474.46</v>
      </c>
      <c r="Q23" s="163">
        <v>570846.76</v>
      </c>
      <c r="R23" s="163">
        <v>249456</v>
      </c>
      <c r="S23" s="163">
        <v>688255.03</v>
      </c>
      <c r="T23" s="163">
        <v>669083.65</v>
      </c>
      <c r="U23" s="163">
        <v>1074762.75</v>
      </c>
      <c r="V23" s="163">
        <v>1292010.8799999999</v>
      </c>
      <c r="W23" s="163">
        <v>959054.16</v>
      </c>
      <c r="X23" s="163">
        <v>1142006.72</v>
      </c>
      <c r="Y23" s="163">
        <v>1649423.17</v>
      </c>
      <c r="Z23" s="163">
        <v>1180035.79</v>
      </c>
      <c r="AA23" s="163">
        <v>1194367.04</v>
      </c>
      <c r="AB23" s="163">
        <v>1450809.67</v>
      </c>
      <c r="AC23" s="163">
        <v>35947.31</v>
      </c>
      <c r="AD23" s="163">
        <v>237712.28</v>
      </c>
      <c r="AE23" s="163">
        <v>-21447.94</v>
      </c>
      <c r="AF23" s="163">
        <v>325285.39</v>
      </c>
      <c r="AG23" s="163">
        <v>1271006.3600000001</v>
      </c>
      <c r="AH23" s="163">
        <v>1794283.64</v>
      </c>
      <c r="AI23" s="163">
        <v>1303920.98</v>
      </c>
      <c r="AJ23" s="163">
        <v>1002082.64</v>
      </c>
      <c r="AK23" s="163">
        <v>741266.25</v>
      </c>
      <c r="AL23" s="163">
        <v>426507.98</v>
      </c>
      <c r="AM23" s="163">
        <v>-366003.82</v>
      </c>
      <c r="AN23" s="163">
        <v>477724.18</v>
      </c>
      <c r="AO23" s="163">
        <v>373031.27</v>
      </c>
      <c r="AP23" s="163">
        <v>1896689.58</v>
      </c>
      <c r="AQ23" s="163">
        <v>1980837.44</v>
      </c>
      <c r="AR23" s="163">
        <v>2625657.86</v>
      </c>
      <c r="AS23" s="163">
        <v>3260593.25</v>
      </c>
      <c r="AT23" s="163">
        <v>3438603.64</v>
      </c>
      <c r="AU23" s="163">
        <v>3286863.11</v>
      </c>
      <c r="AV23" s="163">
        <v>3754296.47</v>
      </c>
      <c r="AW23" s="163">
        <v>4247608.74</v>
      </c>
      <c r="AX23" s="163">
        <v>4182584.75</v>
      </c>
      <c r="AY23" s="163">
        <v>3880070.35</v>
      </c>
      <c r="AZ23" s="163">
        <v>4086700.25</v>
      </c>
      <c r="BA23" s="163">
        <v>2911185.93</v>
      </c>
      <c r="BB23" s="163">
        <v>4778478.55</v>
      </c>
      <c r="BC23" s="163">
        <v>4764918.57</v>
      </c>
      <c r="BD23" s="163">
        <v>4705005.87</v>
      </c>
      <c r="BE23" s="163">
        <v>5621894.6100000003</v>
      </c>
      <c r="BF23" s="163">
        <v>5295981.92</v>
      </c>
      <c r="BG23" s="163">
        <v>5045305.79</v>
      </c>
      <c r="BH23" s="163">
        <v>5840427.7199999997</v>
      </c>
      <c r="BI23" s="163">
        <v>5806311.6299999999</v>
      </c>
      <c r="BJ23" s="163">
        <v>5738346.0800000001</v>
      </c>
      <c r="BK23" s="163">
        <v>6056047.2300000004</v>
      </c>
      <c r="BL23" s="163">
        <v>6039023.0700000003</v>
      </c>
      <c r="BM23" s="163">
        <v>6880849.8099999996</v>
      </c>
      <c r="BN23" s="163">
        <v>7098255.2800000003</v>
      </c>
      <c r="BO23" s="163">
        <v>7117504.8799999999</v>
      </c>
      <c r="BP23" s="163">
        <v>7013590.6799999997</v>
      </c>
      <c r="BQ23" s="163">
        <v>7612102.7800000003</v>
      </c>
      <c r="BR23" s="163">
        <v>7697795.9299999997</v>
      </c>
      <c r="BS23" s="163">
        <v>7648262.1299999999</v>
      </c>
      <c r="BT23" s="163">
        <v>8492932.2699999996</v>
      </c>
      <c r="BU23" s="163">
        <v>8819620.75</v>
      </c>
      <c r="BV23" s="163">
        <v>8197965.4299999997</v>
      </c>
      <c r="BW23" s="163">
        <v>9022419.7400000002</v>
      </c>
      <c r="BX23" s="163">
        <v>9358422.9499999993</v>
      </c>
      <c r="BY23" s="163">
        <v>8782897.5999999996</v>
      </c>
      <c r="BZ23" s="163">
        <v>9922360.0099999998</v>
      </c>
      <c r="CA23" s="163">
        <v>9604001.5899999999</v>
      </c>
      <c r="CB23" s="163">
        <v>10116400.779999999</v>
      </c>
      <c r="CC23" s="163">
        <v>10104312.289999999</v>
      </c>
      <c r="CD23" s="163">
        <v>9855581.2599999998</v>
      </c>
      <c r="CE23" s="163">
        <v>9665812.9100000001</v>
      </c>
      <c r="CF23" s="163">
        <v>10417693.32</v>
      </c>
      <c r="CG23" s="163">
        <v>10371590.91</v>
      </c>
      <c r="CH23" s="163">
        <v>9788294.5</v>
      </c>
      <c r="CI23" s="163">
        <v>0</v>
      </c>
      <c r="CJ23" s="163">
        <v>0</v>
      </c>
      <c r="CK23" s="163">
        <v>0</v>
      </c>
      <c r="CL23" s="163">
        <v>0</v>
      </c>
      <c r="CM23" s="163">
        <v>0</v>
      </c>
      <c r="CN23" s="163">
        <v>0</v>
      </c>
      <c r="CO23" s="163">
        <v>0</v>
      </c>
      <c r="CP23" s="163">
        <v>0</v>
      </c>
      <c r="CQ23" s="163">
        <v>0</v>
      </c>
      <c r="CR23" s="163">
        <v>0</v>
      </c>
      <c r="CS23" s="163">
        <v>0</v>
      </c>
      <c r="CT23" s="163">
        <v>0</v>
      </c>
      <c r="CU23" s="163">
        <v>0</v>
      </c>
      <c r="CV23" s="163">
        <v>0</v>
      </c>
      <c r="CW23" s="163">
        <v>0</v>
      </c>
      <c r="CX23" s="163">
        <v>0</v>
      </c>
      <c r="CY23" s="163">
        <v>0</v>
      </c>
      <c r="CZ23" s="163">
        <v>0</v>
      </c>
      <c r="DA23" s="163">
        <v>0</v>
      </c>
      <c r="DB23" s="163">
        <v>0</v>
      </c>
      <c r="DC23" s="163">
        <v>0</v>
      </c>
      <c r="DD23" s="163">
        <v>0</v>
      </c>
      <c r="DE23" s="163">
        <v>0</v>
      </c>
      <c r="DF23" s="163">
        <f>VLOOKUP($C23,'[3]BS ACC'!$C$5:$DH$1006,108,FALSE)</f>
        <v>0</v>
      </c>
      <c r="DG23" s="163">
        <f>VLOOKUP($C23,'[3]BS ACC'!$C$5:$DH$1006,109,FALSE)</f>
        <v>0</v>
      </c>
      <c r="DH23" s="163">
        <f>VLOOKUP($C23,'[3]BS ACC'!$C$5:$DH$1006,110,FALSE)</f>
        <v>0</v>
      </c>
    </row>
    <row r="24" spans="1:112">
      <c r="A24" s="350" t="str">
        <f t="shared" si="0"/>
        <v>1310190</v>
      </c>
      <c r="B24" s="350" t="s">
        <v>1553</v>
      </c>
      <c r="C24" s="335" t="s">
        <v>602</v>
      </c>
      <c r="D24" s="340">
        <v>0</v>
      </c>
      <c r="E24" s="340">
        <v>0</v>
      </c>
      <c r="F24" s="340">
        <v>0</v>
      </c>
      <c r="G24" s="340">
        <v>0</v>
      </c>
      <c r="H24" s="340">
        <v>0</v>
      </c>
      <c r="I24" s="340">
        <v>0</v>
      </c>
      <c r="J24" s="340">
        <v>0</v>
      </c>
      <c r="K24" s="340">
        <v>0</v>
      </c>
      <c r="L24" s="340">
        <v>0</v>
      </c>
      <c r="M24" s="340">
        <v>0</v>
      </c>
      <c r="N24" s="340">
        <v>0</v>
      </c>
      <c r="O24" s="340">
        <v>0</v>
      </c>
      <c r="P24" s="341">
        <v>0</v>
      </c>
      <c r="Q24" s="163">
        <v>0</v>
      </c>
      <c r="R24" s="163">
        <v>0</v>
      </c>
      <c r="S24" s="163">
        <v>0</v>
      </c>
      <c r="T24" s="163">
        <v>0</v>
      </c>
      <c r="U24" s="163">
        <v>0</v>
      </c>
      <c r="V24" s="163">
        <v>0</v>
      </c>
      <c r="W24" s="163">
        <v>0</v>
      </c>
      <c r="X24" s="163">
        <v>0</v>
      </c>
      <c r="Y24" s="163">
        <v>0</v>
      </c>
      <c r="Z24" s="163">
        <v>0</v>
      </c>
      <c r="AA24" s="163">
        <v>0</v>
      </c>
      <c r="AB24" s="163">
        <v>0</v>
      </c>
      <c r="AC24" s="163">
        <v>0</v>
      </c>
      <c r="AD24" s="163">
        <v>0</v>
      </c>
      <c r="AE24" s="163">
        <v>0</v>
      </c>
      <c r="AF24" s="163">
        <v>0</v>
      </c>
      <c r="AG24" s="163">
        <v>0</v>
      </c>
      <c r="AH24" s="163">
        <v>0</v>
      </c>
      <c r="AI24" s="163">
        <v>0</v>
      </c>
      <c r="AJ24" s="163">
        <v>0</v>
      </c>
      <c r="AK24" s="163">
        <v>0</v>
      </c>
      <c r="AL24" s="163">
        <v>0</v>
      </c>
      <c r="AM24" s="163">
        <v>0</v>
      </c>
      <c r="AN24" s="163">
        <v>0</v>
      </c>
      <c r="AO24" s="163">
        <v>0</v>
      </c>
      <c r="AP24" s="163">
        <v>0</v>
      </c>
      <c r="AQ24" s="163">
        <v>0</v>
      </c>
      <c r="AR24" s="163">
        <v>0</v>
      </c>
      <c r="AS24" s="163">
        <v>0</v>
      </c>
      <c r="AT24" s="163">
        <v>0</v>
      </c>
      <c r="AU24" s="163">
        <v>0</v>
      </c>
      <c r="AV24" s="163">
        <v>0</v>
      </c>
      <c r="AW24" s="163">
        <v>0</v>
      </c>
      <c r="AX24" s="163">
        <v>0</v>
      </c>
      <c r="AY24" s="163">
        <v>0</v>
      </c>
      <c r="AZ24" s="163">
        <v>0</v>
      </c>
      <c r="BA24" s="163">
        <v>0</v>
      </c>
      <c r="BB24" s="163">
        <v>0</v>
      </c>
      <c r="BC24" s="163">
        <v>0</v>
      </c>
      <c r="BD24" s="163">
        <v>0</v>
      </c>
      <c r="BE24" s="163">
        <v>0</v>
      </c>
      <c r="BF24" s="163">
        <v>0</v>
      </c>
      <c r="BG24" s="163">
        <v>0</v>
      </c>
      <c r="BH24" s="163">
        <v>0</v>
      </c>
      <c r="BI24" s="163">
        <v>0</v>
      </c>
      <c r="BJ24" s="163">
        <v>0</v>
      </c>
      <c r="BK24" s="163">
        <v>0</v>
      </c>
      <c r="BL24" s="163">
        <v>0</v>
      </c>
      <c r="BM24" s="163">
        <v>0</v>
      </c>
      <c r="BN24" s="163">
        <v>0</v>
      </c>
      <c r="BO24" s="163">
        <v>0</v>
      </c>
      <c r="BP24" s="163">
        <v>0</v>
      </c>
      <c r="BQ24" s="163">
        <v>0</v>
      </c>
      <c r="BR24" s="163">
        <v>0</v>
      </c>
      <c r="BS24" s="163">
        <v>0</v>
      </c>
      <c r="BT24" s="163">
        <v>0</v>
      </c>
      <c r="BU24" s="163">
        <v>0</v>
      </c>
      <c r="BV24" s="163">
        <v>0</v>
      </c>
      <c r="BW24" s="163">
        <v>0</v>
      </c>
      <c r="BX24" s="163">
        <v>0</v>
      </c>
      <c r="BY24" s="163">
        <v>0</v>
      </c>
      <c r="BZ24" s="163">
        <v>0</v>
      </c>
      <c r="CA24" s="163">
        <v>0</v>
      </c>
      <c r="CB24" s="163">
        <v>0</v>
      </c>
      <c r="CC24" s="163">
        <v>0</v>
      </c>
      <c r="CD24" s="163">
        <v>0</v>
      </c>
      <c r="CE24" s="163">
        <v>0</v>
      </c>
      <c r="CF24" s="163">
        <v>0</v>
      </c>
      <c r="CG24" s="163">
        <v>0</v>
      </c>
      <c r="CH24" s="163">
        <v>0</v>
      </c>
      <c r="CI24" s="163">
        <v>0</v>
      </c>
      <c r="CJ24" s="163">
        <v>0</v>
      </c>
      <c r="CK24" s="163">
        <v>0</v>
      </c>
      <c r="CL24" s="163">
        <v>0</v>
      </c>
      <c r="CM24" s="163">
        <v>0</v>
      </c>
      <c r="CN24" s="163">
        <v>0</v>
      </c>
      <c r="CO24" s="163">
        <v>0</v>
      </c>
      <c r="CP24" s="163">
        <v>0</v>
      </c>
      <c r="CQ24" s="163">
        <v>0</v>
      </c>
      <c r="CR24" s="163">
        <v>0</v>
      </c>
      <c r="CS24" s="163">
        <v>0</v>
      </c>
      <c r="CT24" s="163">
        <v>0</v>
      </c>
      <c r="CU24" s="163">
        <v>0</v>
      </c>
      <c r="CV24" s="163">
        <v>0</v>
      </c>
      <c r="CW24" s="163">
        <v>0</v>
      </c>
      <c r="CX24" s="163">
        <v>0</v>
      </c>
      <c r="CY24" s="163">
        <v>0</v>
      </c>
      <c r="CZ24" s="163">
        <v>0</v>
      </c>
      <c r="DA24" s="163">
        <v>0</v>
      </c>
      <c r="DB24" s="163">
        <v>0</v>
      </c>
      <c r="DC24" s="163">
        <v>0</v>
      </c>
      <c r="DD24" s="163">
        <v>0</v>
      </c>
      <c r="DE24" s="163">
        <v>0</v>
      </c>
      <c r="DF24" s="163">
        <f>VLOOKUP($C24,'[3]BS ACC'!$C$5:$DH$1006,108,FALSE)</f>
        <v>0</v>
      </c>
      <c r="DG24" s="163">
        <f>VLOOKUP($C24,'[3]BS ACC'!$C$5:$DH$1006,109,FALSE)</f>
        <v>0</v>
      </c>
      <c r="DH24" s="163">
        <f>VLOOKUP($C24,'[3]BS ACC'!$C$5:$DH$1006,110,FALSE)</f>
        <v>0</v>
      </c>
    </row>
    <row r="25" spans="1:112">
      <c r="A25" s="350" t="str">
        <f t="shared" si="0"/>
        <v>1310191</v>
      </c>
      <c r="B25" s="350" t="s">
        <v>1554</v>
      </c>
      <c r="C25" s="335" t="s">
        <v>603</v>
      </c>
      <c r="D25" s="340">
        <v>0</v>
      </c>
      <c r="E25" s="340">
        <v>0</v>
      </c>
      <c r="F25" s="340">
        <v>0</v>
      </c>
      <c r="G25" s="340">
        <v>-9646.65</v>
      </c>
      <c r="H25" s="340">
        <v>0</v>
      </c>
      <c r="I25" s="340">
        <v>0</v>
      </c>
      <c r="J25" s="340">
        <v>-5152.2700000000004</v>
      </c>
      <c r="K25" s="340">
        <v>-447.44</v>
      </c>
      <c r="L25" s="340">
        <v>0</v>
      </c>
      <c r="M25" s="340">
        <v>0</v>
      </c>
      <c r="N25" s="340">
        <v>-4263.3999999999996</v>
      </c>
      <c r="O25" s="340">
        <v>0</v>
      </c>
      <c r="P25" s="341">
        <v>-1608.51</v>
      </c>
      <c r="Q25" s="163">
        <v>-9972.57</v>
      </c>
      <c r="R25" s="163">
        <v>0</v>
      </c>
      <c r="S25" s="163">
        <v>0</v>
      </c>
      <c r="T25" s="163">
        <v>-11369.06</v>
      </c>
      <c r="U25" s="163">
        <v>0</v>
      </c>
      <c r="V25" s="163">
        <v>-9993.23</v>
      </c>
      <c r="W25" s="163">
        <v>-11608.8</v>
      </c>
      <c r="X25" s="163">
        <v>-9744.02</v>
      </c>
      <c r="Y25" s="163">
        <v>0</v>
      </c>
      <c r="Z25" s="163">
        <v>0</v>
      </c>
      <c r="AA25" s="163">
        <v>-5708</v>
      </c>
      <c r="AB25" s="163">
        <v>-3657.68</v>
      </c>
      <c r="AC25" s="163">
        <v>-440</v>
      </c>
      <c r="AD25" s="163">
        <v>-1171.8699999999999</v>
      </c>
      <c r="AE25" s="163">
        <v>-1751</v>
      </c>
      <c r="AF25" s="163">
        <v>-16114.68</v>
      </c>
      <c r="AG25" s="163">
        <v>-6903.79</v>
      </c>
      <c r="AH25" s="163">
        <v>0</v>
      </c>
      <c r="AI25" s="163">
        <v>0</v>
      </c>
      <c r="AJ25" s="163">
        <v>0</v>
      </c>
      <c r="AK25" s="163">
        <v>0</v>
      </c>
      <c r="AL25" s="163">
        <v>0</v>
      </c>
      <c r="AM25" s="163">
        <v>0</v>
      </c>
      <c r="AN25" s="163">
        <v>0</v>
      </c>
      <c r="AO25" s="163">
        <v>0</v>
      </c>
      <c r="AP25" s="163">
        <v>0</v>
      </c>
      <c r="AQ25" s="163">
        <v>0</v>
      </c>
      <c r="AR25" s="163">
        <v>0</v>
      </c>
      <c r="AS25" s="163">
        <v>0</v>
      </c>
      <c r="AT25" s="163">
        <v>0</v>
      </c>
      <c r="AU25" s="163">
        <v>0</v>
      </c>
      <c r="AV25" s="163">
        <v>0</v>
      </c>
      <c r="AW25" s="163">
        <v>0</v>
      </c>
      <c r="AX25" s="163">
        <v>0</v>
      </c>
      <c r="AY25" s="163">
        <v>0</v>
      </c>
      <c r="AZ25" s="163">
        <v>0</v>
      </c>
      <c r="BA25" s="163">
        <v>0</v>
      </c>
      <c r="BB25" s="163">
        <v>0</v>
      </c>
      <c r="BC25" s="163">
        <v>0</v>
      </c>
      <c r="BD25" s="163">
        <v>0</v>
      </c>
      <c r="BE25" s="163">
        <v>0</v>
      </c>
      <c r="BF25" s="163">
        <v>0</v>
      </c>
      <c r="BG25" s="163">
        <v>0</v>
      </c>
      <c r="BH25" s="163">
        <v>0</v>
      </c>
      <c r="BI25" s="163">
        <v>0</v>
      </c>
      <c r="BJ25" s="163">
        <v>0</v>
      </c>
      <c r="BK25" s="163">
        <v>0</v>
      </c>
      <c r="BL25" s="163">
        <v>0</v>
      </c>
      <c r="BM25" s="163">
        <v>0</v>
      </c>
      <c r="BN25" s="163">
        <v>0</v>
      </c>
      <c r="BO25" s="163">
        <v>0</v>
      </c>
      <c r="BP25" s="163">
        <v>0</v>
      </c>
      <c r="BQ25" s="163">
        <v>0</v>
      </c>
      <c r="BR25" s="163">
        <v>0</v>
      </c>
      <c r="BS25" s="163">
        <v>0</v>
      </c>
      <c r="BT25" s="163">
        <v>0</v>
      </c>
      <c r="BU25" s="163">
        <v>0</v>
      </c>
      <c r="BV25" s="163">
        <v>0</v>
      </c>
      <c r="BW25" s="163">
        <v>0</v>
      </c>
      <c r="BX25" s="163">
        <v>0</v>
      </c>
      <c r="BY25" s="163">
        <v>0</v>
      </c>
      <c r="BZ25" s="163">
        <v>0</v>
      </c>
      <c r="CA25" s="163">
        <v>0</v>
      </c>
      <c r="CB25" s="163">
        <v>0</v>
      </c>
      <c r="CC25" s="163">
        <v>0</v>
      </c>
      <c r="CD25" s="163">
        <v>0</v>
      </c>
      <c r="CE25" s="163">
        <v>0</v>
      </c>
      <c r="CF25" s="163">
        <v>0</v>
      </c>
      <c r="CG25" s="163">
        <v>0</v>
      </c>
      <c r="CH25" s="163">
        <v>0</v>
      </c>
      <c r="CI25" s="163">
        <v>0</v>
      </c>
      <c r="CJ25" s="163">
        <v>0</v>
      </c>
      <c r="CK25" s="163">
        <v>0</v>
      </c>
      <c r="CL25" s="163">
        <v>0</v>
      </c>
      <c r="CM25" s="163">
        <v>0</v>
      </c>
      <c r="CN25" s="163">
        <v>0</v>
      </c>
      <c r="CO25" s="163">
        <v>0</v>
      </c>
      <c r="CP25" s="163">
        <v>0</v>
      </c>
      <c r="CQ25" s="163">
        <v>0</v>
      </c>
      <c r="CR25" s="163">
        <v>0</v>
      </c>
      <c r="CS25" s="163">
        <v>0</v>
      </c>
      <c r="CT25" s="163">
        <v>0</v>
      </c>
      <c r="CU25" s="163">
        <v>0</v>
      </c>
      <c r="CV25" s="163">
        <v>0</v>
      </c>
      <c r="CW25" s="163">
        <v>0</v>
      </c>
      <c r="CX25" s="163">
        <v>0</v>
      </c>
      <c r="CY25" s="163">
        <v>0</v>
      </c>
      <c r="CZ25" s="163">
        <v>0</v>
      </c>
      <c r="DA25" s="163">
        <v>0</v>
      </c>
      <c r="DB25" s="163">
        <v>0</v>
      </c>
      <c r="DC25" s="163">
        <v>0</v>
      </c>
      <c r="DD25" s="163">
        <v>0</v>
      </c>
      <c r="DE25" s="163">
        <v>0</v>
      </c>
      <c r="DF25" s="163">
        <f>VLOOKUP($C25,'[3]BS ACC'!$C$5:$DH$1006,108,FALSE)</f>
        <v>0</v>
      </c>
      <c r="DG25" s="163">
        <f>VLOOKUP($C25,'[3]BS ACC'!$C$5:$DH$1006,109,FALSE)</f>
        <v>0</v>
      </c>
      <c r="DH25" s="163">
        <f>VLOOKUP($C25,'[3]BS ACC'!$C$5:$DH$1006,110,FALSE)</f>
        <v>-6253.62</v>
      </c>
    </row>
    <row r="26" spans="1:112">
      <c r="A26" s="350" t="str">
        <f t="shared" si="0"/>
        <v>1310192</v>
      </c>
      <c r="B26" s="350" t="s">
        <v>1555</v>
      </c>
      <c r="C26" s="335" t="s">
        <v>604</v>
      </c>
      <c r="D26" s="340">
        <v>0</v>
      </c>
      <c r="E26" s="340">
        <v>0</v>
      </c>
      <c r="F26" s="340">
        <v>0</v>
      </c>
      <c r="G26" s="340">
        <v>0</v>
      </c>
      <c r="H26" s="340">
        <v>0</v>
      </c>
      <c r="I26" s="340">
        <v>0</v>
      </c>
      <c r="J26" s="340">
        <v>0</v>
      </c>
      <c r="K26" s="340">
        <v>0</v>
      </c>
      <c r="L26" s="340">
        <v>0</v>
      </c>
      <c r="M26" s="340">
        <v>0</v>
      </c>
      <c r="N26" s="340">
        <v>0</v>
      </c>
      <c r="O26" s="340">
        <v>0</v>
      </c>
      <c r="P26" s="341">
        <v>0</v>
      </c>
      <c r="Q26" s="163">
        <v>0</v>
      </c>
      <c r="R26" s="163">
        <v>0</v>
      </c>
      <c r="S26" s="163">
        <v>0</v>
      </c>
      <c r="T26" s="163">
        <v>0</v>
      </c>
      <c r="U26" s="163">
        <v>0</v>
      </c>
      <c r="V26" s="163">
        <v>0</v>
      </c>
      <c r="W26" s="163">
        <v>0</v>
      </c>
      <c r="X26" s="163">
        <v>0</v>
      </c>
      <c r="Y26" s="163">
        <v>0</v>
      </c>
      <c r="Z26" s="163">
        <v>0</v>
      </c>
      <c r="AA26" s="163">
        <v>0</v>
      </c>
      <c r="AB26" s="163">
        <v>0</v>
      </c>
      <c r="AC26" s="163">
        <v>0</v>
      </c>
      <c r="AD26" s="163">
        <v>0</v>
      </c>
      <c r="AE26" s="163">
        <v>0</v>
      </c>
      <c r="AF26" s="163">
        <v>0</v>
      </c>
      <c r="AG26" s="163">
        <v>0</v>
      </c>
      <c r="AH26" s="163">
        <v>0</v>
      </c>
      <c r="AI26" s="163">
        <v>0</v>
      </c>
      <c r="AJ26" s="163">
        <v>0</v>
      </c>
      <c r="AK26" s="163">
        <v>0</v>
      </c>
      <c r="AL26" s="163">
        <v>0</v>
      </c>
      <c r="AM26" s="163">
        <v>0</v>
      </c>
      <c r="AN26" s="163">
        <v>0</v>
      </c>
      <c r="AO26" s="163">
        <v>0</v>
      </c>
      <c r="AP26" s="163">
        <v>0</v>
      </c>
      <c r="AQ26" s="163">
        <v>0</v>
      </c>
      <c r="AR26" s="163">
        <v>0</v>
      </c>
      <c r="AS26" s="163">
        <v>0</v>
      </c>
      <c r="AT26" s="163">
        <v>0</v>
      </c>
      <c r="AU26" s="163">
        <v>0</v>
      </c>
      <c r="AV26" s="163">
        <v>0</v>
      </c>
      <c r="AW26" s="163">
        <v>0</v>
      </c>
      <c r="AX26" s="163">
        <v>0</v>
      </c>
      <c r="AY26" s="163">
        <v>0</v>
      </c>
      <c r="AZ26" s="163">
        <v>0</v>
      </c>
      <c r="BA26" s="163">
        <v>0</v>
      </c>
      <c r="BB26" s="163">
        <v>0</v>
      </c>
      <c r="BC26" s="163">
        <v>0</v>
      </c>
      <c r="BD26" s="163">
        <v>0</v>
      </c>
      <c r="BE26" s="163">
        <v>0</v>
      </c>
      <c r="BF26" s="163">
        <v>0</v>
      </c>
      <c r="BG26" s="163">
        <v>0</v>
      </c>
      <c r="BH26" s="163">
        <v>0</v>
      </c>
      <c r="BI26" s="163">
        <v>0</v>
      </c>
      <c r="BJ26" s="163">
        <v>0</v>
      </c>
      <c r="BK26" s="163">
        <v>0</v>
      </c>
      <c r="BL26" s="163">
        <v>0</v>
      </c>
      <c r="BM26" s="163">
        <v>0</v>
      </c>
      <c r="BN26" s="163">
        <v>0</v>
      </c>
      <c r="BO26" s="163">
        <v>0</v>
      </c>
      <c r="BP26" s="163">
        <v>0</v>
      </c>
      <c r="BQ26" s="163">
        <v>0</v>
      </c>
      <c r="BR26" s="163">
        <v>0</v>
      </c>
      <c r="BS26" s="163">
        <v>0</v>
      </c>
      <c r="BT26" s="163">
        <v>0</v>
      </c>
      <c r="BU26" s="163">
        <v>0</v>
      </c>
      <c r="BV26" s="163">
        <v>0</v>
      </c>
      <c r="BW26" s="163">
        <v>0</v>
      </c>
      <c r="BX26" s="163">
        <v>0</v>
      </c>
      <c r="BY26" s="163">
        <v>0</v>
      </c>
      <c r="BZ26" s="163">
        <v>0</v>
      </c>
      <c r="CA26" s="163">
        <v>0</v>
      </c>
      <c r="CB26" s="163">
        <v>0</v>
      </c>
      <c r="CC26" s="163">
        <v>0</v>
      </c>
      <c r="CD26" s="163">
        <v>0</v>
      </c>
      <c r="CE26" s="163">
        <v>0</v>
      </c>
      <c r="CF26" s="163">
        <v>0</v>
      </c>
      <c r="CG26" s="163">
        <v>0</v>
      </c>
      <c r="CH26" s="163">
        <v>0</v>
      </c>
      <c r="CI26" s="163">
        <v>0</v>
      </c>
      <c r="CJ26" s="163">
        <v>0</v>
      </c>
      <c r="CK26" s="163">
        <v>0</v>
      </c>
      <c r="CL26" s="163">
        <v>0</v>
      </c>
      <c r="CM26" s="163">
        <v>0</v>
      </c>
      <c r="CN26" s="163">
        <v>0</v>
      </c>
      <c r="CO26" s="163">
        <v>0</v>
      </c>
      <c r="CP26" s="163">
        <v>0</v>
      </c>
      <c r="CQ26" s="163">
        <v>0</v>
      </c>
      <c r="CR26" s="163">
        <v>0</v>
      </c>
      <c r="CS26" s="163">
        <v>0</v>
      </c>
      <c r="CT26" s="163">
        <v>0</v>
      </c>
      <c r="CU26" s="163">
        <v>0</v>
      </c>
      <c r="CV26" s="163">
        <v>0</v>
      </c>
      <c r="CW26" s="163">
        <v>0</v>
      </c>
      <c r="CX26" s="163">
        <v>0</v>
      </c>
      <c r="CY26" s="163">
        <v>0</v>
      </c>
      <c r="CZ26" s="163">
        <v>0</v>
      </c>
      <c r="DA26" s="163">
        <v>0</v>
      </c>
      <c r="DB26" s="163">
        <v>0</v>
      </c>
      <c r="DC26" s="163">
        <v>0</v>
      </c>
      <c r="DD26" s="163">
        <v>0</v>
      </c>
      <c r="DE26" s="163">
        <v>0</v>
      </c>
      <c r="DF26" s="163">
        <f>VLOOKUP($C26,'[3]BS ACC'!$C$5:$DH$1006,108,FALSE)</f>
        <v>0</v>
      </c>
      <c r="DG26" s="163">
        <f>VLOOKUP($C26,'[3]BS ACC'!$C$5:$DH$1006,109,FALSE)</f>
        <v>0</v>
      </c>
      <c r="DH26" s="163">
        <f>VLOOKUP($C26,'[3]BS ACC'!$C$5:$DH$1006,110,FALSE)</f>
        <v>0</v>
      </c>
    </row>
    <row r="27" spans="1:112">
      <c r="A27" s="350" t="str">
        <f t="shared" si="0"/>
        <v>1310193</v>
      </c>
      <c r="B27" s="350" t="s">
        <v>1556</v>
      </c>
      <c r="C27" s="335" t="s">
        <v>605</v>
      </c>
      <c r="D27" s="340">
        <v>0</v>
      </c>
      <c r="E27" s="340">
        <v>0</v>
      </c>
      <c r="F27" s="340">
        <v>0</v>
      </c>
      <c r="G27" s="340">
        <v>0</v>
      </c>
      <c r="H27" s="340">
        <v>0</v>
      </c>
      <c r="I27" s="340">
        <v>0</v>
      </c>
      <c r="J27" s="340">
        <v>0</v>
      </c>
      <c r="K27" s="340">
        <v>0</v>
      </c>
      <c r="L27" s="340">
        <v>0</v>
      </c>
      <c r="M27" s="340">
        <v>0</v>
      </c>
      <c r="N27" s="340">
        <v>0</v>
      </c>
      <c r="O27" s="340">
        <v>0</v>
      </c>
      <c r="P27" s="341">
        <v>0</v>
      </c>
      <c r="Q27" s="163">
        <v>0</v>
      </c>
      <c r="R27" s="163">
        <v>0</v>
      </c>
      <c r="S27" s="163">
        <v>0</v>
      </c>
      <c r="T27" s="163">
        <v>0</v>
      </c>
      <c r="U27" s="163">
        <v>0</v>
      </c>
      <c r="V27" s="163">
        <v>0</v>
      </c>
      <c r="W27" s="163">
        <v>0</v>
      </c>
      <c r="X27" s="163">
        <v>0</v>
      </c>
      <c r="Y27" s="163">
        <v>0</v>
      </c>
      <c r="Z27" s="163">
        <v>0</v>
      </c>
      <c r="AA27" s="163">
        <v>0</v>
      </c>
      <c r="AB27" s="163">
        <v>0</v>
      </c>
      <c r="AC27" s="163">
        <v>0</v>
      </c>
      <c r="AD27" s="163">
        <v>0</v>
      </c>
      <c r="AE27" s="163">
        <v>0</v>
      </c>
      <c r="AF27" s="163">
        <v>0</v>
      </c>
      <c r="AG27" s="163">
        <v>0</v>
      </c>
      <c r="AH27" s="163">
        <v>0</v>
      </c>
      <c r="AI27" s="163">
        <v>0</v>
      </c>
      <c r="AJ27" s="163">
        <v>0</v>
      </c>
      <c r="AK27" s="163">
        <v>0</v>
      </c>
      <c r="AL27" s="163">
        <v>0</v>
      </c>
      <c r="AM27" s="163">
        <v>0</v>
      </c>
      <c r="AN27" s="163">
        <v>0</v>
      </c>
      <c r="AO27" s="163">
        <v>0</v>
      </c>
      <c r="AP27" s="163">
        <v>0</v>
      </c>
      <c r="AQ27" s="163">
        <v>0</v>
      </c>
      <c r="AR27" s="163">
        <v>0</v>
      </c>
      <c r="AS27" s="163">
        <v>0</v>
      </c>
      <c r="AT27" s="163">
        <v>0</v>
      </c>
      <c r="AU27" s="163">
        <v>0</v>
      </c>
      <c r="AV27" s="163">
        <v>0</v>
      </c>
      <c r="AW27" s="163">
        <v>0</v>
      </c>
      <c r="AX27" s="163">
        <v>0</v>
      </c>
      <c r="AY27" s="163">
        <v>0</v>
      </c>
      <c r="AZ27" s="163">
        <v>0</v>
      </c>
      <c r="BA27" s="163">
        <v>0</v>
      </c>
      <c r="BB27" s="163">
        <v>0</v>
      </c>
      <c r="BC27" s="163">
        <v>0</v>
      </c>
      <c r="BD27" s="163">
        <v>0</v>
      </c>
      <c r="BE27" s="163">
        <v>0</v>
      </c>
      <c r="BF27" s="163">
        <v>0</v>
      </c>
      <c r="BG27" s="163">
        <v>0</v>
      </c>
      <c r="BH27" s="163">
        <v>0</v>
      </c>
      <c r="BI27" s="163">
        <v>0</v>
      </c>
      <c r="BJ27" s="163">
        <v>0</v>
      </c>
      <c r="BK27" s="163">
        <v>0</v>
      </c>
      <c r="BL27" s="163">
        <v>0</v>
      </c>
      <c r="BM27" s="163">
        <v>0</v>
      </c>
      <c r="BN27" s="163">
        <v>0</v>
      </c>
      <c r="BO27" s="163">
        <v>0</v>
      </c>
      <c r="BP27" s="163">
        <v>0</v>
      </c>
      <c r="BQ27" s="163">
        <v>0</v>
      </c>
      <c r="BR27" s="163">
        <v>0</v>
      </c>
      <c r="BS27" s="163">
        <v>0</v>
      </c>
      <c r="BT27" s="163">
        <v>0</v>
      </c>
      <c r="BU27" s="163">
        <v>0</v>
      </c>
      <c r="BV27" s="163">
        <v>0</v>
      </c>
      <c r="BW27" s="163">
        <v>0</v>
      </c>
      <c r="BX27" s="163">
        <v>0</v>
      </c>
      <c r="BY27" s="163">
        <v>0</v>
      </c>
      <c r="BZ27" s="163">
        <v>0</v>
      </c>
      <c r="CA27" s="163">
        <v>0</v>
      </c>
      <c r="CB27" s="163">
        <v>0</v>
      </c>
      <c r="CC27" s="163">
        <v>0</v>
      </c>
      <c r="CD27" s="163">
        <v>0</v>
      </c>
      <c r="CE27" s="163">
        <v>0</v>
      </c>
      <c r="CF27" s="163">
        <v>0</v>
      </c>
      <c r="CG27" s="163">
        <v>0</v>
      </c>
      <c r="CH27" s="163">
        <v>0</v>
      </c>
      <c r="CI27" s="163">
        <v>0</v>
      </c>
      <c r="CJ27" s="163">
        <v>0</v>
      </c>
      <c r="CK27" s="163">
        <v>0</v>
      </c>
      <c r="CL27" s="163">
        <v>0</v>
      </c>
      <c r="CM27" s="163">
        <v>0</v>
      </c>
      <c r="CN27" s="163">
        <v>0</v>
      </c>
      <c r="CO27" s="163">
        <v>0</v>
      </c>
      <c r="CP27" s="163">
        <v>0</v>
      </c>
      <c r="CQ27" s="163">
        <v>0</v>
      </c>
      <c r="CR27" s="163">
        <v>0</v>
      </c>
      <c r="CS27" s="163">
        <v>0</v>
      </c>
      <c r="CT27" s="163">
        <v>0</v>
      </c>
      <c r="CU27" s="163">
        <v>0</v>
      </c>
      <c r="CV27" s="163">
        <v>0</v>
      </c>
      <c r="CW27" s="163">
        <v>0</v>
      </c>
      <c r="CX27" s="163">
        <v>0</v>
      </c>
      <c r="CY27" s="163">
        <v>0</v>
      </c>
      <c r="CZ27" s="163">
        <v>0</v>
      </c>
      <c r="DA27" s="163">
        <v>0</v>
      </c>
      <c r="DB27" s="163">
        <v>0</v>
      </c>
      <c r="DC27" s="163">
        <v>0</v>
      </c>
      <c r="DD27" s="163">
        <v>0</v>
      </c>
      <c r="DE27" s="163">
        <v>0</v>
      </c>
      <c r="DF27" s="163">
        <f>VLOOKUP($C27,'[3]BS ACC'!$C$5:$DH$1006,108,FALSE)</f>
        <v>0</v>
      </c>
      <c r="DG27" s="163">
        <f>VLOOKUP($C27,'[3]BS ACC'!$C$5:$DH$1006,109,FALSE)</f>
        <v>0</v>
      </c>
      <c r="DH27" s="163">
        <f>VLOOKUP($C27,'[3]BS ACC'!$C$5:$DH$1006,110,FALSE)</f>
        <v>0</v>
      </c>
    </row>
    <row r="28" spans="1:112">
      <c r="A28" s="350" t="str">
        <f t="shared" si="0"/>
        <v>1310194</v>
      </c>
      <c r="B28" s="350" t="s">
        <v>1557</v>
      </c>
      <c r="C28" s="335" t="s">
        <v>1460</v>
      </c>
      <c r="D28" s="340"/>
      <c r="E28" s="340"/>
      <c r="F28" s="340"/>
      <c r="G28" s="340"/>
      <c r="H28" s="340"/>
      <c r="I28" s="340"/>
      <c r="J28" s="340"/>
      <c r="K28" s="340"/>
      <c r="L28" s="340"/>
      <c r="M28" s="340"/>
      <c r="N28" s="340"/>
      <c r="O28" s="340"/>
      <c r="P28" s="341"/>
      <c r="Q28" s="163"/>
      <c r="R28" s="163"/>
      <c r="S28" s="163"/>
      <c r="T28" s="163"/>
      <c r="U28" s="163"/>
      <c r="V28" s="163"/>
      <c r="W28" s="163"/>
      <c r="X28" s="163"/>
      <c r="Y28" s="163"/>
      <c r="Z28" s="163"/>
      <c r="AA28" s="163"/>
      <c r="AB28" s="163"/>
      <c r="AC28" s="163"/>
      <c r="AD28" s="163"/>
      <c r="AE28" s="163"/>
      <c r="AF28" s="163">
        <v>0</v>
      </c>
      <c r="AG28" s="163">
        <v>0</v>
      </c>
      <c r="AH28" s="163">
        <v>0</v>
      </c>
      <c r="AI28" s="163">
        <v>0</v>
      </c>
      <c r="AJ28" s="163">
        <v>0</v>
      </c>
      <c r="AK28" s="163">
        <v>0</v>
      </c>
      <c r="AL28" s="163">
        <v>0</v>
      </c>
      <c r="AM28" s="163">
        <v>0</v>
      </c>
      <c r="AN28" s="163">
        <v>0</v>
      </c>
      <c r="AO28" s="163">
        <v>0</v>
      </c>
      <c r="AP28" s="163">
        <v>0</v>
      </c>
      <c r="AQ28" s="163">
        <v>0</v>
      </c>
      <c r="AR28" s="163">
        <v>0</v>
      </c>
      <c r="AS28" s="163">
        <v>0</v>
      </c>
      <c r="AT28" s="163">
        <v>0</v>
      </c>
      <c r="AU28" s="163">
        <v>0</v>
      </c>
      <c r="AV28" s="163">
        <v>0</v>
      </c>
      <c r="AW28" s="163">
        <v>0</v>
      </c>
      <c r="AX28" s="163">
        <v>0</v>
      </c>
      <c r="AY28" s="163">
        <v>0</v>
      </c>
      <c r="AZ28" s="163">
        <v>0</v>
      </c>
      <c r="BA28" s="163">
        <v>0</v>
      </c>
      <c r="BB28" s="163">
        <v>0</v>
      </c>
      <c r="BC28" s="163">
        <v>0</v>
      </c>
      <c r="BD28" s="163">
        <v>0</v>
      </c>
      <c r="BE28" s="163">
        <v>0</v>
      </c>
      <c r="BF28" s="163">
        <v>0</v>
      </c>
      <c r="BG28" s="163">
        <v>0</v>
      </c>
      <c r="BH28" s="163">
        <v>0</v>
      </c>
      <c r="BI28" s="163">
        <v>0</v>
      </c>
      <c r="BJ28" s="163">
        <v>0</v>
      </c>
      <c r="BK28" s="163">
        <v>0</v>
      </c>
      <c r="BL28" s="163">
        <v>0</v>
      </c>
      <c r="BM28" s="163">
        <v>0</v>
      </c>
      <c r="BN28" s="163">
        <v>0</v>
      </c>
      <c r="BO28" s="163">
        <v>0</v>
      </c>
      <c r="BP28" s="163">
        <v>0</v>
      </c>
      <c r="BQ28" s="163">
        <v>0</v>
      </c>
      <c r="BR28" s="163">
        <v>0</v>
      </c>
      <c r="BS28" s="163">
        <v>0</v>
      </c>
      <c r="BT28" s="163">
        <v>0</v>
      </c>
      <c r="BU28" s="163">
        <v>0</v>
      </c>
      <c r="BV28" s="163">
        <v>0</v>
      </c>
      <c r="BW28" s="163">
        <v>0</v>
      </c>
      <c r="BX28" s="163">
        <v>0</v>
      </c>
      <c r="BY28" s="163">
        <v>0</v>
      </c>
      <c r="BZ28" s="163">
        <v>0</v>
      </c>
      <c r="CA28" s="163">
        <v>0</v>
      </c>
      <c r="CB28" s="163">
        <v>0</v>
      </c>
      <c r="CC28" s="163">
        <v>0</v>
      </c>
      <c r="CD28" s="163">
        <v>0</v>
      </c>
      <c r="CE28" s="163">
        <v>0</v>
      </c>
      <c r="CF28" s="163">
        <v>0</v>
      </c>
      <c r="CG28" s="163">
        <v>0</v>
      </c>
      <c r="CH28" s="163">
        <v>0</v>
      </c>
      <c r="CI28" s="163">
        <v>0</v>
      </c>
      <c r="CJ28" s="163">
        <v>0</v>
      </c>
      <c r="CK28" s="163">
        <v>0</v>
      </c>
      <c r="CL28" s="163">
        <v>0</v>
      </c>
      <c r="CM28" s="163">
        <v>0</v>
      </c>
      <c r="CN28" s="163">
        <v>0</v>
      </c>
      <c r="CO28" s="163">
        <v>0</v>
      </c>
      <c r="CP28" s="163">
        <v>0</v>
      </c>
      <c r="CQ28" s="163">
        <v>0</v>
      </c>
      <c r="CR28" s="163">
        <v>0</v>
      </c>
      <c r="CS28" s="163">
        <v>0</v>
      </c>
      <c r="CT28" s="163">
        <v>0</v>
      </c>
      <c r="CU28" s="163">
        <v>0</v>
      </c>
      <c r="CV28" s="163">
        <v>0</v>
      </c>
      <c r="CW28" s="163">
        <v>0</v>
      </c>
      <c r="CX28" s="163">
        <v>0</v>
      </c>
      <c r="CY28" s="163">
        <v>0</v>
      </c>
      <c r="CZ28" s="163">
        <v>0</v>
      </c>
      <c r="DA28" s="163">
        <v>0</v>
      </c>
      <c r="DB28" s="163">
        <v>0</v>
      </c>
      <c r="DC28" s="163">
        <v>0</v>
      </c>
      <c r="DD28" s="163">
        <v>0</v>
      </c>
      <c r="DE28" s="163">
        <v>0</v>
      </c>
      <c r="DF28" s="163">
        <f>VLOOKUP($C28,'[3]BS ACC'!$C$5:$DH$1006,108,FALSE)</f>
        <v>0</v>
      </c>
      <c r="DG28" s="163">
        <f>VLOOKUP($C28,'[3]BS ACC'!$C$5:$DH$1006,109,FALSE)</f>
        <v>0</v>
      </c>
      <c r="DH28" s="163">
        <f>VLOOKUP($C28,'[3]BS ACC'!$C$5:$DH$1006,110,FALSE)</f>
        <v>0</v>
      </c>
    </row>
    <row r="29" spans="1:112">
      <c r="A29" s="350" t="str">
        <f t="shared" si="0"/>
        <v>1310200</v>
      </c>
      <c r="B29" s="350" t="s">
        <v>1558</v>
      </c>
      <c r="C29" s="335" t="s">
        <v>606</v>
      </c>
      <c r="D29" s="340">
        <v>0</v>
      </c>
      <c r="E29" s="340">
        <v>0</v>
      </c>
      <c r="F29" s="340">
        <v>0</v>
      </c>
      <c r="G29" s="340">
        <v>0</v>
      </c>
      <c r="H29" s="340">
        <v>0</v>
      </c>
      <c r="I29" s="340">
        <v>0</v>
      </c>
      <c r="J29" s="340">
        <v>0</v>
      </c>
      <c r="K29" s="340">
        <v>0</v>
      </c>
      <c r="L29" s="340">
        <v>0</v>
      </c>
      <c r="M29" s="340">
        <v>0</v>
      </c>
      <c r="N29" s="340">
        <v>0</v>
      </c>
      <c r="O29" s="340">
        <v>0</v>
      </c>
      <c r="P29" s="341">
        <v>0</v>
      </c>
      <c r="Q29" s="163">
        <v>0</v>
      </c>
      <c r="R29" s="163">
        <v>0</v>
      </c>
      <c r="S29" s="163">
        <v>0</v>
      </c>
      <c r="T29" s="163">
        <v>0</v>
      </c>
      <c r="U29" s="163">
        <v>0</v>
      </c>
      <c r="V29" s="163">
        <v>0</v>
      </c>
      <c r="W29" s="163">
        <v>0</v>
      </c>
      <c r="X29" s="163">
        <v>0</v>
      </c>
      <c r="Y29" s="163">
        <v>0</v>
      </c>
      <c r="Z29" s="163">
        <v>0</v>
      </c>
      <c r="AA29" s="163">
        <v>0</v>
      </c>
      <c r="AB29" s="163">
        <v>0</v>
      </c>
      <c r="AC29" s="163">
        <v>0</v>
      </c>
      <c r="AD29" s="163">
        <v>0</v>
      </c>
      <c r="AE29" s="163">
        <v>0</v>
      </c>
      <c r="AF29" s="163">
        <v>0</v>
      </c>
      <c r="AG29" s="163">
        <v>0</v>
      </c>
      <c r="AH29" s="163">
        <v>0</v>
      </c>
      <c r="AI29" s="163">
        <v>0</v>
      </c>
      <c r="AJ29" s="163">
        <v>0</v>
      </c>
      <c r="AK29" s="163">
        <v>0</v>
      </c>
      <c r="AL29" s="163">
        <v>0</v>
      </c>
      <c r="AM29" s="163">
        <v>0</v>
      </c>
      <c r="AN29" s="163">
        <v>0</v>
      </c>
      <c r="AO29" s="163">
        <v>0</v>
      </c>
      <c r="AP29" s="163">
        <v>0</v>
      </c>
      <c r="AQ29" s="163">
        <v>0</v>
      </c>
      <c r="AR29" s="163">
        <v>0</v>
      </c>
      <c r="AS29" s="163">
        <v>0</v>
      </c>
      <c r="AT29" s="163">
        <v>0</v>
      </c>
      <c r="AU29" s="163">
        <v>0</v>
      </c>
      <c r="AV29" s="163">
        <v>0</v>
      </c>
      <c r="AW29" s="163">
        <v>0</v>
      </c>
      <c r="AX29" s="163">
        <v>0</v>
      </c>
      <c r="AY29" s="163">
        <v>0</v>
      </c>
      <c r="AZ29" s="163">
        <v>0</v>
      </c>
      <c r="BA29" s="163">
        <v>0</v>
      </c>
      <c r="BB29" s="163">
        <v>0</v>
      </c>
      <c r="BC29" s="163">
        <v>0</v>
      </c>
      <c r="BD29" s="163">
        <v>0</v>
      </c>
      <c r="BE29" s="163">
        <v>0</v>
      </c>
      <c r="BF29" s="163">
        <v>0</v>
      </c>
      <c r="BG29" s="163">
        <v>0</v>
      </c>
      <c r="BH29" s="163">
        <v>0</v>
      </c>
      <c r="BI29" s="163">
        <v>0</v>
      </c>
      <c r="BJ29" s="163">
        <v>0</v>
      </c>
      <c r="BK29" s="163">
        <v>0</v>
      </c>
      <c r="BL29" s="163">
        <v>0</v>
      </c>
      <c r="BM29" s="163">
        <v>0</v>
      </c>
      <c r="BN29" s="163">
        <v>0</v>
      </c>
      <c r="BO29" s="163">
        <v>0</v>
      </c>
      <c r="BP29" s="163">
        <v>0</v>
      </c>
      <c r="BQ29" s="163">
        <v>0</v>
      </c>
      <c r="BR29" s="163">
        <v>0</v>
      </c>
      <c r="BS29" s="163">
        <v>0</v>
      </c>
      <c r="BT29" s="163">
        <v>0</v>
      </c>
      <c r="BU29" s="163">
        <v>0</v>
      </c>
      <c r="BV29" s="163">
        <v>0</v>
      </c>
      <c r="BW29" s="163">
        <v>0</v>
      </c>
      <c r="BX29" s="163">
        <v>0</v>
      </c>
      <c r="BY29" s="163">
        <v>0</v>
      </c>
      <c r="BZ29" s="163">
        <v>0</v>
      </c>
      <c r="CA29" s="163">
        <v>0</v>
      </c>
      <c r="CB29" s="163">
        <v>0</v>
      </c>
      <c r="CC29" s="163">
        <v>0</v>
      </c>
      <c r="CD29" s="163">
        <v>0</v>
      </c>
      <c r="CE29" s="163">
        <v>0</v>
      </c>
      <c r="CF29" s="163">
        <v>0</v>
      </c>
      <c r="CG29" s="163">
        <v>0</v>
      </c>
      <c r="CH29" s="163">
        <v>0</v>
      </c>
      <c r="CI29" s="163">
        <v>0</v>
      </c>
      <c r="CJ29" s="163">
        <v>0</v>
      </c>
      <c r="CK29" s="163">
        <v>0</v>
      </c>
      <c r="CL29" s="163">
        <v>0</v>
      </c>
      <c r="CM29" s="163">
        <v>0</v>
      </c>
      <c r="CN29" s="163">
        <v>0</v>
      </c>
      <c r="CO29" s="163">
        <v>0</v>
      </c>
      <c r="CP29" s="163">
        <v>0</v>
      </c>
      <c r="CQ29" s="163">
        <v>0</v>
      </c>
      <c r="CR29" s="163">
        <v>0</v>
      </c>
      <c r="CS29" s="163">
        <v>0</v>
      </c>
      <c r="CT29" s="163">
        <v>0</v>
      </c>
      <c r="CU29" s="163">
        <v>0</v>
      </c>
      <c r="CV29" s="163">
        <v>0</v>
      </c>
      <c r="CW29" s="163">
        <v>0</v>
      </c>
      <c r="CX29" s="163">
        <v>0</v>
      </c>
      <c r="CY29" s="163">
        <v>0</v>
      </c>
      <c r="CZ29" s="163">
        <v>0</v>
      </c>
      <c r="DA29" s="163">
        <v>0</v>
      </c>
      <c r="DB29" s="163">
        <v>0</v>
      </c>
      <c r="DC29" s="163">
        <v>0</v>
      </c>
      <c r="DD29" s="163">
        <v>0</v>
      </c>
      <c r="DE29" s="163">
        <v>0</v>
      </c>
      <c r="DF29" s="163">
        <f>VLOOKUP($C29,'[3]BS ACC'!$C$5:$DH$1006,108,FALSE)</f>
        <v>0</v>
      </c>
      <c r="DG29" s="163">
        <f>VLOOKUP($C29,'[3]BS ACC'!$C$5:$DH$1006,109,FALSE)</f>
        <v>0</v>
      </c>
      <c r="DH29" s="163">
        <f>VLOOKUP($C29,'[3]BS ACC'!$C$5:$DH$1006,110,FALSE)</f>
        <v>0</v>
      </c>
    </row>
    <row r="30" spans="1:112">
      <c r="A30" s="350" t="str">
        <f t="shared" si="0"/>
        <v>1310201</v>
      </c>
      <c r="B30" s="350" t="s">
        <v>1559</v>
      </c>
      <c r="C30" s="335" t="s">
        <v>607</v>
      </c>
      <c r="D30" s="340">
        <v>0</v>
      </c>
      <c r="E30" s="340">
        <v>0</v>
      </c>
      <c r="F30" s="340">
        <v>0</v>
      </c>
      <c r="G30" s="340">
        <v>0</v>
      </c>
      <c r="H30" s="340">
        <v>0</v>
      </c>
      <c r="I30" s="340">
        <v>0</v>
      </c>
      <c r="J30" s="340">
        <v>0</v>
      </c>
      <c r="K30" s="340">
        <v>0</v>
      </c>
      <c r="L30" s="340">
        <v>0</v>
      </c>
      <c r="M30" s="340">
        <v>0</v>
      </c>
      <c r="N30" s="340">
        <v>0</v>
      </c>
      <c r="O30" s="340">
        <v>0</v>
      </c>
      <c r="P30" s="341">
        <v>0</v>
      </c>
      <c r="Q30" s="163">
        <v>0</v>
      </c>
      <c r="R30" s="163">
        <v>0</v>
      </c>
      <c r="S30" s="163">
        <v>0</v>
      </c>
      <c r="T30" s="163">
        <v>0</v>
      </c>
      <c r="U30" s="163">
        <v>1591.87</v>
      </c>
      <c r="V30" s="163">
        <v>0</v>
      </c>
      <c r="W30" s="163">
        <v>0</v>
      </c>
      <c r="X30" s="163">
        <v>0</v>
      </c>
      <c r="Y30" s="163">
        <v>0</v>
      </c>
      <c r="Z30" s="163">
        <v>0</v>
      </c>
      <c r="AA30" s="163">
        <v>0</v>
      </c>
      <c r="AB30" s="163">
        <v>0</v>
      </c>
      <c r="AC30" s="163">
        <v>0</v>
      </c>
      <c r="AD30" s="163">
        <v>0</v>
      </c>
      <c r="AE30" s="163">
        <v>0</v>
      </c>
      <c r="AF30" s="163">
        <v>0</v>
      </c>
      <c r="AG30" s="163">
        <v>0</v>
      </c>
      <c r="AH30" s="163">
        <v>0</v>
      </c>
      <c r="AI30" s="163">
        <v>0</v>
      </c>
      <c r="AJ30" s="163">
        <v>0</v>
      </c>
      <c r="AK30" s="163">
        <v>0</v>
      </c>
      <c r="AL30" s="163">
        <v>0</v>
      </c>
      <c r="AM30" s="163">
        <v>0</v>
      </c>
      <c r="AN30" s="163">
        <v>0</v>
      </c>
      <c r="AO30" s="163">
        <v>0</v>
      </c>
      <c r="AP30" s="163">
        <v>0</v>
      </c>
      <c r="AQ30" s="163">
        <v>0</v>
      </c>
      <c r="AR30" s="163">
        <v>0</v>
      </c>
      <c r="AS30" s="163">
        <v>0</v>
      </c>
      <c r="AT30" s="163">
        <v>0</v>
      </c>
      <c r="AU30" s="163">
        <v>608.38</v>
      </c>
      <c r="AV30" s="163">
        <v>0</v>
      </c>
      <c r="AW30" s="163">
        <v>0</v>
      </c>
      <c r="AX30" s="163">
        <v>0</v>
      </c>
      <c r="AY30" s="163">
        <v>0</v>
      </c>
      <c r="AZ30" s="163">
        <v>0</v>
      </c>
      <c r="BA30" s="163">
        <v>0</v>
      </c>
      <c r="BB30" s="163">
        <v>0</v>
      </c>
      <c r="BC30" s="163">
        <v>0</v>
      </c>
      <c r="BD30" s="163">
        <v>0</v>
      </c>
      <c r="BE30" s="163">
        <v>0</v>
      </c>
      <c r="BF30" s="163">
        <v>0</v>
      </c>
      <c r="BG30" s="163">
        <v>0</v>
      </c>
      <c r="BH30" s="163">
        <v>0</v>
      </c>
      <c r="BI30" s="163">
        <v>0</v>
      </c>
      <c r="BJ30" s="163">
        <v>0</v>
      </c>
      <c r="BK30" s="163">
        <v>750.01</v>
      </c>
      <c r="BL30" s="163">
        <v>260</v>
      </c>
      <c r="BM30" s="163">
        <v>260</v>
      </c>
      <c r="BN30" s="163">
        <v>0</v>
      </c>
      <c r="BO30" s="163">
        <v>0</v>
      </c>
      <c r="BP30" s="163">
        <v>0</v>
      </c>
      <c r="BQ30" s="163">
        <v>0</v>
      </c>
      <c r="BR30" s="163">
        <v>0</v>
      </c>
      <c r="BS30" s="163">
        <v>0</v>
      </c>
      <c r="BT30" s="163">
        <v>0</v>
      </c>
      <c r="BU30" s="163">
        <v>0</v>
      </c>
      <c r="BV30" s="163">
        <v>539.24</v>
      </c>
      <c r="BW30" s="163">
        <v>0</v>
      </c>
      <c r="BX30" s="163">
        <v>0</v>
      </c>
      <c r="BY30" s="163">
        <v>0</v>
      </c>
      <c r="BZ30" s="163">
        <v>0</v>
      </c>
      <c r="CA30" s="163">
        <v>0</v>
      </c>
      <c r="CB30" s="163">
        <v>0</v>
      </c>
      <c r="CC30" s="163">
        <v>0</v>
      </c>
      <c r="CD30" s="163">
        <v>0</v>
      </c>
      <c r="CE30" s="163">
        <v>0</v>
      </c>
      <c r="CF30" s="163">
        <v>0</v>
      </c>
      <c r="CG30" s="163">
        <v>0</v>
      </c>
      <c r="CH30" s="163">
        <v>0</v>
      </c>
      <c r="CI30" s="163">
        <v>0</v>
      </c>
      <c r="CJ30" s="163">
        <v>0</v>
      </c>
      <c r="CK30" s="163">
        <v>0</v>
      </c>
      <c r="CL30" s="163">
        <v>0</v>
      </c>
      <c r="CM30" s="163">
        <v>0</v>
      </c>
      <c r="CN30" s="163">
        <v>0</v>
      </c>
      <c r="CO30" s="163">
        <v>0</v>
      </c>
      <c r="CP30" s="163">
        <v>0</v>
      </c>
      <c r="CQ30" s="163">
        <v>0</v>
      </c>
      <c r="CR30" s="163">
        <v>0</v>
      </c>
      <c r="CS30" s="163">
        <v>0</v>
      </c>
      <c r="CT30" s="163">
        <v>0</v>
      </c>
      <c r="CU30" s="163">
        <v>0</v>
      </c>
      <c r="CV30" s="163">
        <v>0</v>
      </c>
      <c r="CW30" s="163">
        <v>0</v>
      </c>
      <c r="CX30" s="163">
        <v>0</v>
      </c>
      <c r="CY30" s="163">
        <v>0</v>
      </c>
      <c r="CZ30" s="163">
        <v>0</v>
      </c>
      <c r="DA30" s="163">
        <v>0</v>
      </c>
      <c r="DB30" s="163">
        <v>0</v>
      </c>
      <c r="DC30" s="163">
        <v>-983.37</v>
      </c>
      <c r="DD30" s="163">
        <v>-5426.85</v>
      </c>
      <c r="DE30" s="163">
        <v>-6410.22</v>
      </c>
      <c r="DF30" s="163">
        <f>VLOOKUP($C30,'[3]BS ACC'!$C$5:$DH$1006,108,FALSE)</f>
        <v>-3460.11</v>
      </c>
      <c r="DG30" s="163">
        <f>VLOOKUP($C30,'[3]BS ACC'!$C$5:$DH$1006,109,FALSE)</f>
        <v>-3460.11</v>
      </c>
      <c r="DH30" s="163">
        <f>VLOOKUP($C30,'[3]BS ACC'!$C$5:$DH$1006,110,FALSE)</f>
        <v>0</v>
      </c>
    </row>
    <row r="31" spans="1:112">
      <c r="A31" s="350" t="str">
        <f t="shared" si="0"/>
        <v>1310202</v>
      </c>
      <c r="B31" s="350" t="s">
        <v>1560</v>
      </c>
      <c r="C31" s="335" t="s">
        <v>608</v>
      </c>
      <c r="D31" s="340">
        <v>0</v>
      </c>
      <c r="E31" s="340">
        <v>0</v>
      </c>
      <c r="F31" s="340">
        <v>0</v>
      </c>
      <c r="G31" s="340">
        <v>0</v>
      </c>
      <c r="H31" s="340">
        <v>0</v>
      </c>
      <c r="I31" s="340">
        <v>0</v>
      </c>
      <c r="J31" s="340">
        <v>0</v>
      </c>
      <c r="K31" s="340">
        <v>0</v>
      </c>
      <c r="L31" s="340">
        <v>0</v>
      </c>
      <c r="M31" s="340">
        <v>0</v>
      </c>
      <c r="N31" s="340">
        <v>0</v>
      </c>
      <c r="O31" s="340">
        <v>0</v>
      </c>
      <c r="P31" s="341">
        <v>0</v>
      </c>
      <c r="Q31" s="163">
        <v>0</v>
      </c>
      <c r="R31" s="163">
        <v>0</v>
      </c>
      <c r="S31" s="163">
        <v>0</v>
      </c>
      <c r="T31" s="163">
        <v>0</v>
      </c>
      <c r="U31" s="163">
        <v>0</v>
      </c>
      <c r="V31" s="163">
        <v>0</v>
      </c>
      <c r="W31" s="163">
        <v>0</v>
      </c>
      <c r="X31" s="163">
        <v>0</v>
      </c>
      <c r="Y31" s="163">
        <v>0</v>
      </c>
      <c r="Z31" s="163">
        <v>0</v>
      </c>
      <c r="AA31" s="163">
        <v>0</v>
      </c>
      <c r="AB31" s="163">
        <v>0</v>
      </c>
      <c r="AC31" s="163">
        <v>0</v>
      </c>
      <c r="AD31" s="163">
        <v>0</v>
      </c>
      <c r="AE31" s="163">
        <v>0</v>
      </c>
      <c r="AF31" s="163">
        <v>0</v>
      </c>
      <c r="AG31" s="163">
        <v>0</v>
      </c>
      <c r="AH31" s="163">
        <v>0</v>
      </c>
      <c r="AI31" s="163">
        <v>0</v>
      </c>
      <c r="AJ31" s="163">
        <v>0</v>
      </c>
      <c r="AK31" s="163">
        <v>0</v>
      </c>
      <c r="AL31" s="163">
        <v>0</v>
      </c>
      <c r="AM31" s="163">
        <v>0</v>
      </c>
      <c r="AN31" s="163">
        <v>0</v>
      </c>
      <c r="AO31" s="163">
        <v>0</v>
      </c>
      <c r="AP31" s="163">
        <v>0</v>
      </c>
      <c r="AQ31" s="163">
        <v>0</v>
      </c>
      <c r="AR31" s="163">
        <v>0</v>
      </c>
      <c r="AS31" s="163">
        <v>0</v>
      </c>
      <c r="AT31" s="163">
        <v>0</v>
      </c>
      <c r="AU31" s="163">
        <v>0</v>
      </c>
      <c r="AV31" s="163">
        <v>0</v>
      </c>
      <c r="AW31" s="163">
        <v>0</v>
      </c>
      <c r="AX31" s="163">
        <v>0</v>
      </c>
      <c r="AY31" s="163">
        <v>0</v>
      </c>
      <c r="AZ31" s="163">
        <v>0</v>
      </c>
      <c r="BA31" s="163">
        <v>0</v>
      </c>
      <c r="BB31" s="163">
        <v>0</v>
      </c>
      <c r="BC31" s="163">
        <v>0</v>
      </c>
      <c r="BD31" s="163">
        <v>0</v>
      </c>
      <c r="BE31" s="163">
        <v>0</v>
      </c>
      <c r="BF31" s="163">
        <v>0</v>
      </c>
      <c r="BG31" s="163">
        <v>0</v>
      </c>
      <c r="BH31" s="163">
        <v>0</v>
      </c>
      <c r="BI31" s="163">
        <v>-500.01</v>
      </c>
      <c r="BJ31" s="163">
        <v>-500.01</v>
      </c>
      <c r="BK31" s="163">
        <v>-500.01</v>
      </c>
      <c r="BL31" s="163">
        <v>0</v>
      </c>
      <c r="BM31" s="163">
        <v>0</v>
      </c>
      <c r="BN31" s="163">
        <v>0</v>
      </c>
      <c r="BO31" s="163">
        <v>0</v>
      </c>
      <c r="BP31" s="163">
        <v>0</v>
      </c>
      <c r="BQ31" s="163">
        <v>0</v>
      </c>
      <c r="BR31" s="163">
        <v>0</v>
      </c>
      <c r="BS31" s="163">
        <v>0</v>
      </c>
      <c r="BT31" s="163">
        <v>0</v>
      </c>
      <c r="BU31" s="163">
        <v>0</v>
      </c>
      <c r="BV31" s="163">
        <v>0</v>
      </c>
      <c r="BW31" s="163">
        <v>0</v>
      </c>
      <c r="BX31" s="163">
        <v>0</v>
      </c>
      <c r="BY31" s="163">
        <v>0</v>
      </c>
      <c r="BZ31" s="163">
        <v>0</v>
      </c>
      <c r="CA31" s="163">
        <v>0</v>
      </c>
      <c r="CB31" s="163">
        <v>0</v>
      </c>
      <c r="CC31" s="163">
        <v>0</v>
      </c>
      <c r="CD31" s="163">
        <v>0</v>
      </c>
      <c r="CE31" s="163">
        <v>0</v>
      </c>
      <c r="CF31" s="163">
        <v>0</v>
      </c>
      <c r="CG31" s="163">
        <v>0</v>
      </c>
      <c r="CH31" s="163">
        <v>0</v>
      </c>
      <c r="CI31" s="163">
        <v>0</v>
      </c>
      <c r="CJ31" s="163">
        <v>0</v>
      </c>
      <c r="CK31" s="163">
        <v>0</v>
      </c>
      <c r="CL31" s="163">
        <v>0</v>
      </c>
      <c r="CM31" s="163">
        <v>0</v>
      </c>
      <c r="CN31" s="163">
        <v>0</v>
      </c>
      <c r="CO31" s="163">
        <v>0</v>
      </c>
      <c r="CP31" s="163">
        <v>0</v>
      </c>
      <c r="CQ31" s="163">
        <v>0</v>
      </c>
      <c r="CR31" s="163">
        <v>0</v>
      </c>
      <c r="CS31" s="163">
        <v>0</v>
      </c>
      <c r="CT31" s="163">
        <v>0</v>
      </c>
      <c r="CU31" s="163">
        <v>0</v>
      </c>
      <c r="CV31" s="163">
        <v>0</v>
      </c>
      <c r="CW31" s="163">
        <v>0</v>
      </c>
      <c r="CX31" s="163">
        <v>0</v>
      </c>
      <c r="CY31" s="163">
        <v>0</v>
      </c>
      <c r="CZ31" s="163">
        <v>0</v>
      </c>
      <c r="DA31" s="163">
        <v>0</v>
      </c>
      <c r="DB31" s="163">
        <v>0</v>
      </c>
      <c r="DC31" s="163">
        <v>0</v>
      </c>
      <c r="DD31" s="163">
        <v>0</v>
      </c>
      <c r="DE31" s="163">
        <v>0</v>
      </c>
      <c r="DF31" s="163">
        <f>VLOOKUP($C31,'[3]BS ACC'!$C$5:$DH$1006,108,FALSE)</f>
        <v>0</v>
      </c>
      <c r="DG31" s="163">
        <f>VLOOKUP($C31,'[3]BS ACC'!$C$5:$DH$1006,109,FALSE)</f>
        <v>0</v>
      </c>
      <c r="DH31" s="163">
        <f>VLOOKUP($C31,'[3]BS ACC'!$C$5:$DH$1006,110,FALSE)</f>
        <v>0</v>
      </c>
    </row>
    <row r="32" spans="1:112">
      <c r="A32" s="350" t="str">
        <f t="shared" si="0"/>
        <v>1310205</v>
      </c>
      <c r="B32" s="350" t="s">
        <v>1561</v>
      </c>
      <c r="C32" s="335" t="s">
        <v>609</v>
      </c>
      <c r="D32" s="340">
        <v>-13257.76</v>
      </c>
      <c r="E32" s="340">
        <v>-301304.73</v>
      </c>
      <c r="F32" s="340">
        <v>-21503.85</v>
      </c>
      <c r="G32" s="340">
        <v>-100</v>
      </c>
      <c r="H32" s="340">
        <v>-550</v>
      </c>
      <c r="I32" s="340">
        <v>-21010.68</v>
      </c>
      <c r="J32" s="340">
        <v>-5455.42</v>
      </c>
      <c r="K32" s="340">
        <v>-3607.4</v>
      </c>
      <c r="L32" s="340">
        <v>-271.73</v>
      </c>
      <c r="M32" s="340">
        <v>-100</v>
      </c>
      <c r="N32" s="340">
        <v>-9714.24</v>
      </c>
      <c r="O32" s="340">
        <v>-8559.6</v>
      </c>
      <c r="P32" s="341">
        <v>-6879.98</v>
      </c>
      <c r="Q32" s="163">
        <v>-2919.89</v>
      </c>
      <c r="R32" s="163">
        <v>-35288.730000000003</v>
      </c>
      <c r="S32" s="163">
        <v>-11292.99</v>
      </c>
      <c r="T32" s="163">
        <v>-27956.58</v>
      </c>
      <c r="U32" s="163">
        <v>-27248.080000000002</v>
      </c>
      <c r="V32" s="163">
        <v>-4982.0600000000004</v>
      </c>
      <c r="W32" s="163">
        <v>-5315.16</v>
      </c>
      <c r="X32" s="163">
        <v>-1721.25</v>
      </c>
      <c r="Y32" s="163">
        <v>-150</v>
      </c>
      <c r="Z32" s="163">
        <v>-13828.77</v>
      </c>
      <c r="AA32" s="163">
        <v>-3567.17</v>
      </c>
      <c r="AB32" s="163">
        <v>-3663.21</v>
      </c>
      <c r="AC32" s="163">
        <v>-1490.67</v>
      </c>
      <c r="AD32" s="163">
        <v>-17112.330000000002</v>
      </c>
      <c r="AE32" s="163">
        <v>-28371.25</v>
      </c>
      <c r="AF32" s="163">
        <v>-10459.879999999999</v>
      </c>
      <c r="AG32" s="163">
        <v>-8331.75</v>
      </c>
      <c r="AH32" s="163">
        <v>-1324.29</v>
      </c>
      <c r="AI32" s="163">
        <v>-3832.29</v>
      </c>
      <c r="AJ32" s="163">
        <v>-7023.53</v>
      </c>
      <c r="AK32" s="163">
        <v>-14996.98</v>
      </c>
      <c r="AL32" s="163">
        <v>-8728.73</v>
      </c>
      <c r="AM32" s="163">
        <v>-4498.34</v>
      </c>
      <c r="AN32" s="163">
        <v>-14942.15</v>
      </c>
      <c r="AO32" s="163">
        <v>-5963.33</v>
      </c>
      <c r="AP32" s="163">
        <v>-18833.71</v>
      </c>
      <c r="AQ32" s="163">
        <v>-7716.83</v>
      </c>
      <c r="AR32" s="163">
        <v>-8180.13</v>
      </c>
      <c r="AS32" s="163">
        <v>-598.87</v>
      </c>
      <c r="AT32" s="163">
        <v>-100</v>
      </c>
      <c r="AU32" s="163">
        <v>-1008.38</v>
      </c>
      <c r="AV32" s="163">
        <v>-14572.69</v>
      </c>
      <c r="AW32" s="163">
        <v>-7555.14</v>
      </c>
      <c r="AX32" s="163">
        <v>-350</v>
      </c>
      <c r="AY32" s="163">
        <v>-1371.96</v>
      </c>
      <c r="AZ32" s="163">
        <v>0</v>
      </c>
      <c r="BA32" s="163">
        <v>0</v>
      </c>
      <c r="BB32" s="163">
        <v>-23774.11</v>
      </c>
      <c r="BC32" s="163">
        <v>-11726.02</v>
      </c>
      <c r="BD32" s="163">
        <v>-11753.33</v>
      </c>
      <c r="BE32" s="163">
        <v>-1549.55</v>
      </c>
      <c r="BF32" s="163">
        <v>-968.3</v>
      </c>
      <c r="BG32" s="163">
        <v>-600</v>
      </c>
      <c r="BH32" s="163">
        <v>-5538.9</v>
      </c>
      <c r="BI32" s="163">
        <v>-1789.64</v>
      </c>
      <c r="BJ32" s="163">
        <v>-1478.18</v>
      </c>
      <c r="BK32" s="163">
        <v>-1352.58</v>
      </c>
      <c r="BL32" s="163">
        <v>-460</v>
      </c>
      <c r="BM32" s="163">
        <v>-12426.09</v>
      </c>
      <c r="BN32" s="163">
        <v>-50373.03</v>
      </c>
      <c r="BO32" s="163">
        <v>-25402.09</v>
      </c>
      <c r="BP32" s="163">
        <v>-3065.88</v>
      </c>
      <c r="BQ32" s="163">
        <v>-3195.88</v>
      </c>
      <c r="BR32" s="163">
        <v>-2562.56</v>
      </c>
      <c r="BS32" s="163">
        <v>-3063.36</v>
      </c>
      <c r="BT32" s="163">
        <v>-6748.27</v>
      </c>
      <c r="BU32" s="163">
        <v>-5624.05</v>
      </c>
      <c r="BV32" s="163">
        <v>-1446.63</v>
      </c>
      <c r="BW32" s="163">
        <v>-612.39</v>
      </c>
      <c r="BX32" s="163">
        <v>-407.39</v>
      </c>
      <c r="BY32" s="163">
        <v>-5934.37</v>
      </c>
      <c r="BZ32" s="163">
        <v>-133267.64000000001</v>
      </c>
      <c r="CA32" s="163">
        <v>-9887.8799999999992</v>
      </c>
      <c r="CB32" s="163">
        <v>-7649.72</v>
      </c>
      <c r="CC32" s="163">
        <v>-7474.4</v>
      </c>
      <c r="CD32" s="163">
        <v>-7431.1</v>
      </c>
      <c r="CE32" s="163">
        <v>-4934.46</v>
      </c>
      <c r="CF32" s="163">
        <v>-4718.4399999999996</v>
      </c>
      <c r="CG32" s="163">
        <v>-2800.24</v>
      </c>
      <c r="CH32" s="163">
        <v>-362.39</v>
      </c>
      <c r="CI32" s="163">
        <v>-412.39</v>
      </c>
      <c r="CJ32" s="163">
        <v>-2630.73</v>
      </c>
      <c r="CK32" s="163">
        <v>-2460.25</v>
      </c>
      <c r="CL32" s="163">
        <v>-4205.13</v>
      </c>
      <c r="CM32" s="163">
        <v>-8637.61</v>
      </c>
      <c r="CN32" s="163">
        <v>-2095.3200000000002</v>
      </c>
      <c r="CO32" s="163">
        <v>-6089.56</v>
      </c>
      <c r="CP32" s="163">
        <v>-730.69</v>
      </c>
      <c r="CQ32" s="163">
        <v>-3941.39</v>
      </c>
      <c r="CR32" s="163">
        <v>-3331.67</v>
      </c>
      <c r="CS32" s="163">
        <v>-1902.4</v>
      </c>
      <c r="CT32" s="163">
        <v>-2583.36</v>
      </c>
      <c r="CU32" s="163">
        <v>-2574.37</v>
      </c>
      <c r="CV32" s="163">
        <v>-9339.5</v>
      </c>
      <c r="CW32" s="163">
        <v>-10419.77</v>
      </c>
      <c r="CX32" s="163">
        <v>-6533.99</v>
      </c>
      <c r="CY32" s="163">
        <v>-3662.7</v>
      </c>
      <c r="CZ32" s="163">
        <v>-37054.050000000003</v>
      </c>
      <c r="DA32" s="163">
        <v>-3799.88</v>
      </c>
      <c r="DB32" s="163">
        <v>-6366.19</v>
      </c>
      <c r="DC32" s="163">
        <v>-7786.77</v>
      </c>
      <c r="DD32" s="163">
        <v>-3856.52</v>
      </c>
      <c r="DE32" s="163">
        <v>-61297.52</v>
      </c>
      <c r="DF32" s="163">
        <f>VLOOKUP($C32,'[3]BS ACC'!$C$5:$DH$1006,108,FALSE)</f>
        <v>-3541.83</v>
      </c>
      <c r="DG32" s="163">
        <f>VLOOKUP($C32,'[3]BS ACC'!$C$5:$DH$1006,109,FALSE)</f>
        <v>-5145.8900000000003</v>
      </c>
      <c r="DH32" s="163">
        <f>VLOOKUP($C32,'[3]BS ACC'!$C$5:$DH$1006,110,FALSE)</f>
        <v>-7783.15</v>
      </c>
    </row>
    <row r="33" spans="1:112">
      <c r="A33" s="350" t="str">
        <f t="shared" si="0"/>
        <v>1310210</v>
      </c>
      <c r="B33" s="350" t="s">
        <v>1562</v>
      </c>
      <c r="C33" s="335" t="s">
        <v>610</v>
      </c>
      <c r="D33" s="340">
        <v>331516.73</v>
      </c>
      <c r="E33" s="340">
        <v>359162.04</v>
      </c>
      <c r="F33" s="340">
        <v>423137.69</v>
      </c>
      <c r="G33" s="340">
        <v>773711.35</v>
      </c>
      <c r="H33" s="340">
        <v>309413.56</v>
      </c>
      <c r="I33" s="340">
        <v>325689.78000000003</v>
      </c>
      <c r="J33" s="340">
        <v>544866.37</v>
      </c>
      <c r="K33" s="340">
        <v>259699.26</v>
      </c>
      <c r="L33" s="340">
        <v>301394.03000000003</v>
      </c>
      <c r="M33" s="340">
        <v>360264.69</v>
      </c>
      <c r="N33" s="340">
        <v>433255.08</v>
      </c>
      <c r="O33" s="340">
        <v>-130796.44</v>
      </c>
      <c r="P33" s="341">
        <v>519844.98</v>
      </c>
      <c r="Q33" s="163">
        <v>560518.25</v>
      </c>
      <c r="R33" s="163">
        <v>499837.21</v>
      </c>
      <c r="S33" s="163">
        <v>675487.96</v>
      </c>
      <c r="T33" s="163">
        <v>428689.11</v>
      </c>
      <c r="U33" s="163">
        <v>329444.87</v>
      </c>
      <c r="V33" s="163">
        <v>741175.49</v>
      </c>
      <c r="W33" s="163">
        <v>368123.21</v>
      </c>
      <c r="X33" s="163">
        <v>696842.45</v>
      </c>
      <c r="Y33" s="163">
        <v>410674.09</v>
      </c>
      <c r="Z33" s="163">
        <v>341710.23</v>
      </c>
      <c r="AA33" s="163">
        <v>537902.91</v>
      </c>
      <c r="AB33" s="163">
        <v>417095.05</v>
      </c>
      <c r="AC33" s="163">
        <v>402000.85</v>
      </c>
      <c r="AD33" s="163">
        <v>1188155.99</v>
      </c>
      <c r="AE33" s="163">
        <v>362769.37</v>
      </c>
      <c r="AF33" s="163">
        <v>434510.4</v>
      </c>
      <c r="AG33" s="163">
        <v>925107.95</v>
      </c>
      <c r="AH33" s="163">
        <v>297086.21000000002</v>
      </c>
      <c r="AI33" s="163">
        <v>346666.34</v>
      </c>
      <c r="AJ33" s="163">
        <v>306152.3</v>
      </c>
      <c r="AK33" s="163">
        <v>361351.54</v>
      </c>
      <c r="AL33" s="163">
        <v>588213.24</v>
      </c>
      <c r="AM33" s="163">
        <v>356927.72</v>
      </c>
      <c r="AN33" s="163">
        <v>329481.73</v>
      </c>
      <c r="AO33" s="163">
        <v>-11322</v>
      </c>
      <c r="AP33" s="163">
        <v>0</v>
      </c>
      <c r="AQ33" s="163">
        <v>0</v>
      </c>
      <c r="AR33" s="163">
        <v>0</v>
      </c>
      <c r="AS33" s="163">
        <v>0</v>
      </c>
      <c r="AT33" s="163">
        <v>0</v>
      </c>
      <c r="AU33" s="163">
        <v>0</v>
      </c>
      <c r="AV33" s="163">
        <v>0</v>
      </c>
      <c r="AW33" s="163">
        <v>411238.87</v>
      </c>
      <c r="AX33" s="163">
        <v>309290.62</v>
      </c>
      <c r="AY33" s="163">
        <v>310760</v>
      </c>
      <c r="AZ33" s="163">
        <v>471487.29</v>
      </c>
      <c r="BA33" s="163">
        <v>318668.86</v>
      </c>
      <c r="BB33" s="163">
        <v>323691.55</v>
      </c>
      <c r="BC33" s="163">
        <v>343377.04</v>
      </c>
      <c r="BD33" s="163">
        <v>308499.93</v>
      </c>
      <c r="BE33" s="163">
        <v>599300.32999999996</v>
      </c>
      <c r="BF33" s="163">
        <v>320219.67</v>
      </c>
      <c r="BG33" s="163">
        <v>300732.37</v>
      </c>
      <c r="BH33" s="163">
        <v>331434.61</v>
      </c>
      <c r="BI33" s="163">
        <v>292031.21999999997</v>
      </c>
      <c r="BJ33" s="163">
        <v>313236.09000000003</v>
      </c>
      <c r="BK33" s="163">
        <v>316105.76</v>
      </c>
      <c r="BL33" s="163">
        <v>337051.8</v>
      </c>
      <c r="BM33" s="163">
        <v>330015.09000000003</v>
      </c>
      <c r="BN33" s="163">
        <v>320490.51</v>
      </c>
      <c r="BO33" s="163">
        <v>298183.77</v>
      </c>
      <c r="BP33" s="163">
        <v>302068.11</v>
      </c>
      <c r="BQ33" s="163">
        <v>304740.34000000003</v>
      </c>
      <c r="BR33" s="163">
        <v>305652.53000000003</v>
      </c>
      <c r="BS33" s="163">
        <v>292641.87</v>
      </c>
      <c r="BT33" s="163">
        <v>304532.93</v>
      </c>
      <c r="BU33" s="163">
        <v>331380.88</v>
      </c>
      <c r="BV33" s="163">
        <v>306659.65000000002</v>
      </c>
      <c r="BW33" s="163">
        <v>353765.99</v>
      </c>
      <c r="BX33" s="163">
        <v>297929.49</v>
      </c>
      <c r="BY33" s="163">
        <v>334104.07</v>
      </c>
      <c r="BZ33" s="163">
        <v>302487.90999999997</v>
      </c>
      <c r="CA33" s="163">
        <v>280574.49</v>
      </c>
      <c r="CB33" s="163">
        <v>304854.78000000003</v>
      </c>
      <c r="CC33" s="163">
        <v>303331.44</v>
      </c>
      <c r="CD33" s="163">
        <v>289934.71000000002</v>
      </c>
      <c r="CE33" s="163">
        <v>299163.99</v>
      </c>
      <c r="CF33" s="163">
        <v>288106.71999999997</v>
      </c>
      <c r="CG33" s="163">
        <v>282336.65000000002</v>
      </c>
      <c r="CH33" s="163">
        <v>241442.18</v>
      </c>
      <c r="CI33" s="163">
        <v>286211.15000000002</v>
      </c>
      <c r="CJ33" s="163">
        <v>246961.59</v>
      </c>
      <c r="CK33" s="163">
        <v>230630.47</v>
      </c>
      <c r="CL33" s="163">
        <v>250057.51</v>
      </c>
      <c r="CM33" s="163">
        <v>182155.12</v>
      </c>
      <c r="CN33" s="163">
        <v>100255.54</v>
      </c>
      <c r="CO33" s="163">
        <v>50047.85</v>
      </c>
      <c r="CP33" s="163">
        <v>10569.87</v>
      </c>
      <c r="CQ33" s="163">
        <v>0</v>
      </c>
      <c r="CR33" s="163">
        <v>0</v>
      </c>
      <c r="CS33" s="163">
        <v>0</v>
      </c>
      <c r="CT33" s="163">
        <v>0</v>
      </c>
      <c r="CU33" s="163">
        <v>0</v>
      </c>
      <c r="CV33" s="163">
        <v>0</v>
      </c>
      <c r="CW33" s="163">
        <v>0</v>
      </c>
      <c r="CX33" s="163">
        <v>0</v>
      </c>
      <c r="CY33" s="163">
        <v>0</v>
      </c>
      <c r="CZ33" s="163">
        <v>0</v>
      </c>
      <c r="DA33" s="163">
        <v>0</v>
      </c>
      <c r="DB33" s="163">
        <v>0</v>
      </c>
      <c r="DC33" s="163">
        <v>0</v>
      </c>
      <c r="DD33" s="163">
        <v>0</v>
      </c>
      <c r="DE33" s="163">
        <v>0</v>
      </c>
      <c r="DF33" s="163">
        <f>VLOOKUP($C33,'[3]BS ACC'!$C$5:$DH$1006,108,FALSE)</f>
        <v>0</v>
      </c>
      <c r="DG33" s="163">
        <f>VLOOKUP($C33,'[3]BS ACC'!$C$5:$DH$1006,109,FALSE)</f>
        <v>0</v>
      </c>
      <c r="DH33" s="163">
        <f>VLOOKUP($C33,'[3]BS ACC'!$C$5:$DH$1006,110,FALSE)</f>
        <v>0</v>
      </c>
    </row>
    <row r="34" spans="1:112">
      <c r="A34" s="350" t="str">
        <f t="shared" si="0"/>
        <v>1310220</v>
      </c>
      <c r="B34" s="350" t="s">
        <v>1563</v>
      </c>
      <c r="C34" s="335" t="s">
        <v>611</v>
      </c>
      <c r="D34" s="340">
        <v>0</v>
      </c>
      <c r="E34" s="340">
        <v>0</v>
      </c>
      <c r="F34" s="340">
        <v>0</v>
      </c>
      <c r="G34" s="340">
        <v>0</v>
      </c>
      <c r="H34" s="340">
        <v>0</v>
      </c>
      <c r="I34" s="340">
        <v>0</v>
      </c>
      <c r="J34" s="340">
        <v>0</v>
      </c>
      <c r="K34" s="340">
        <v>0</v>
      </c>
      <c r="L34" s="340">
        <v>0</v>
      </c>
      <c r="M34" s="340">
        <v>0</v>
      </c>
      <c r="N34" s="340">
        <v>0</v>
      </c>
      <c r="O34" s="340">
        <v>0</v>
      </c>
      <c r="P34" s="341">
        <v>0</v>
      </c>
      <c r="Q34" s="163">
        <v>0</v>
      </c>
      <c r="R34" s="163">
        <v>0</v>
      </c>
      <c r="S34" s="163">
        <v>0</v>
      </c>
      <c r="T34" s="163">
        <v>0</v>
      </c>
      <c r="U34" s="163">
        <v>0</v>
      </c>
      <c r="V34" s="163">
        <v>0</v>
      </c>
      <c r="W34" s="163">
        <v>0</v>
      </c>
      <c r="X34" s="163">
        <v>0</v>
      </c>
      <c r="Y34" s="163">
        <v>0</v>
      </c>
      <c r="Z34" s="163">
        <v>0</v>
      </c>
      <c r="AA34" s="163">
        <v>0</v>
      </c>
      <c r="AB34" s="163">
        <v>0</v>
      </c>
      <c r="AC34" s="163">
        <v>0</v>
      </c>
      <c r="AD34" s="163">
        <v>0</v>
      </c>
      <c r="AE34" s="163">
        <v>0</v>
      </c>
      <c r="AF34" s="163">
        <v>0</v>
      </c>
      <c r="AG34" s="163">
        <v>0</v>
      </c>
      <c r="AH34" s="163">
        <v>0</v>
      </c>
      <c r="AI34" s="163">
        <v>0</v>
      </c>
      <c r="AJ34" s="163">
        <v>0</v>
      </c>
      <c r="AK34" s="163">
        <v>0</v>
      </c>
      <c r="AL34" s="163">
        <v>0</v>
      </c>
      <c r="AM34" s="163">
        <v>0</v>
      </c>
      <c r="AN34" s="163">
        <v>0</v>
      </c>
      <c r="AO34" s="163">
        <v>0</v>
      </c>
      <c r="AP34" s="163">
        <v>0</v>
      </c>
      <c r="AQ34" s="163">
        <v>0</v>
      </c>
      <c r="AR34" s="163">
        <v>0</v>
      </c>
      <c r="AS34" s="163">
        <v>0</v>
      </c>
      <c r="AT34" s="163">
        <v>0</v>
      </c>
      <c r="AU34" s="163">
        <v>0</v>
      </c>
      <c r="AV34" s="163">
        <v>0</v>
      </c>
      <c r="AW34" s="163">
        <v>0</v>
      </c>
      <c r="AX34" s="163">
        <v>0</v>
      </c>
      <c r="AY34" s="163">
        <v>0</v>
      </c>
      <c r="AZ34" s="163">
        <v>0</v>
      </c>
      <c r="BA34" s="163">
        <v>0</v>
      </c>
      <c r="BB34" s="163">
        <v>0</v>
      </c>
      <c r="BC34" s="163">
        <v>0</v>
      </c>
      <c r="BD34" s="163">
        <v>0</v>
      </c>
      <c r="BE34" s="163">
        <v>0</v>
      </c>
      <c r="BF34" s="163">
        <v>0</v>
      </c>
      <c r="BG34" s="163">
        <v>0</v>
      </c>
      <c r="BH34" s="163">
        <v>0</v>
      </c>
      <c r="BI34" s="163">
        <v>0</v>
      </c>
      <c r="BJ34" s="163">
        <v>0</v>
      </c>
      <c r="BK34" s="163">
        <v>0</v>
      </c>
      <c r="BL34" s="163">
        <v>0</v>
      </c>
      <c r="BM34" s="163">
        <v>0</v>
      </c>
      <c r="BN34" s="163">
        <v>0</v>
      </c>
      <c r="BO34" s="163">
        <v>0</v>
      </c>
      <c r="BP34" s="163">
        <v>0</v>
      </c>
      <c r="BQ34" s="163">
        <v>0</v>
      </c>
      <c r="BR34" s="163">
        <v>0</v>
      </c>
      <c r="BS34" s="163">
        <v>0</v>
      </c>
      <c r="BT34" s="163">
        <v>0</v>
      </c>
      <c r="BU34" s="163">
        <v>0</v>
      </c>
      <c r="BV34" s="163">
        <v>0</v>
      </c>
      <c r="BW34" s="163">
        <v>0</v>
      </c>
      <c r="BX34" s="163">
        <v>0</v>
      </c>
      <c r="BY34" s="163">
        <v>0</v>
      </c>
      <c r="BZ34" s="163">
        <v>0</v>
      </c>
      <c r="CA34" s="163">
        <v>0</v>
      </c>
      <c r="CB34" s="163">
        <v>0</v>
      </c>
      <c r="CC34" s="163">
        <v>0</v>
      </c>
      <c r="CD34" s="163">
        <v>0</v>
      </c>
      <c r="CE34" s="163">
        <v>0</v>
      </c>
      <c r="CF34" s="163">
        <v>0</v>
      </c>
      <c r="CG34" s="163">
        <v>0</v>
      </c>
      <c r="CH34" s="163">
        <v>0</v>
      </c>
      <c r="CI34" s="163">
        <v>0</v>
      </c>
      <c r="CJ34" s="163">
        <v>0</v>
      </c>
      <c r="CK34" s="163">
        <v>0</v>
      </c>
      <c r="CL34" s="163">
        <v>0</v>
      </c>
      <c r="CM34" s="163">
        <v>0</v>
      </c>
      <c r="CN34" s="163">
        <v>0</v>
      </c>
      <c r="CO34" s="163">
        <v>0</v>
      </c>
      <c r="CP34" s="163">
        <v>0</v>
      </c>
      <c r="CQ34" s="163">
        <v>0</v>
      </c>
      <c r="CR34" s="163">
        <v>0</v>
      </c>
      <c r="CS34" s="163">
        <v>0</v>
      </c>
      <c r="CT34" s="163">
        <v>0</v>
      </c>
      <c r="CU34" s="163">
        <v>0</v>
      </c>
      <c r="CV34" s="163">
        <v>0</v>
      </c>
      <c r="CW34" s="163">
        <v>0</v>
      </c>
      <c r="CX34" s="163">
        <v>0</v>
      </c>
      <c r="CY34" s="163">
        <v>0</v>
      </c>
      <c r="CZ34" s="163">
        <v>0</v>
      </c>
      <c r="DA34" s="163">
        <v>0</v>
      </c>
      <c r="DB34" s="163">
        <v>0</v>
      </c>
      <c r="DC34" s="163">
        <v>0</v>
      </c>
      <c r="DD34" s="163">
        <v>0</v>
      </c>
      <c r="DE34" s="163">
        <v>0</v>
      </c>
      <c r="DF34" s="163">
        <f>VLOOKUP($C34,'[3]BS ACC'!$C$5:$DH$1006,108,FALSE)</f>
        <v>0</v>
      </c>
      <c r="DG34" s="163">
        <f>VLOOKUP($C34,'[3]BS ACC'!$C$5:$DH$1006,109,FALSE)</f>
        <v>0</v>
      </c>
      <c r="DH34" s="163">
        <f>VLOOKUP($C34,'[3]BS ACC'!$C$5:$DH$1006,110,FALSE)</f>
        <v>0</v>
      </c>
    </row>
    <row r="35" spans="1:112">
      <c r="A35" s="350" t="str">
        <f t="shared" si="0"/>
        <v>1310222</v>
      </c>
      <c r="B35" s="350" t="s">
        <v>1564</v>
      </c>
      <c r="C35" s="335" t="s">
        <v>1461</v>
      </c>
      <c r="D35" s="340"/>
      <c r="E35" s="340"/>
      <c r="F35" s="340"/>
      <c r="G35" s="340"/>
      <c r="H35" s="340"/>
      <c r="I35" s="340"/>
      <c r="J35" s="340"/>
      <c r="K35" s="340"/>
      <c r="L35" s="340"/>
      <c r="M35" s="340"/>
      <c r="N35" s="340"/>
      <c r="O35" s="340"/>
      <c r="P35" s="341"/>
      <c r="Q35" s="163"/>
      <c r="R35" s="163"/>
      <c r="S35" s="163"/>
      <c r="T35" s="163"/>
      <c r="U35" s="163"/>
      <c r="V35" s="163"/>
      <c r="W35" s="163"/>
      <c r="X35" s="163"/>
      <c r="Y35" s="163"/>
      <c r="Z35" s="163"/>
      <c r="AA35" s="163"/>
      <c r="AB35" s="163"/>
      <c r="AC35" s="163"/>
      <c r="AD35" s="163"/>
      <c r="AE35" s="163"/>
      <c r="AF35" s="163">
        <v>0</v>
      </c>
      <c r="AG35" s="163">
        <v>0</v>
      </c>
      <c r="AH35" s="163">
        <v>0</v>
      </c>
      <c r="AI35" s="163">
        <v>0</v>
      </c>
      <c r="AJ35" s="163">
        <v>0</v>
      </c>
      <c r="AK35" s="163">
        <v>0</v>
      </c>
      <c r="AL35" s="163">
        <v>0</v>
      </c>
      <c r="AM35" s="163">
        <v>0</v>
      </c>
      <c r="AN35" s="163">
        <v>0</v>
      </c>
      <c r="AO35" s="163">
        <v>0</v>
      </c>
      <c r="AP35" s="163">
        <v>0</v>
      </c>
      <c r="AQ35" s="163">
        <v>0</v>
      </c>
      <c r="AR35" s="163">
        <v>0</v>
      </c>
      <c r="AS35" s="163">
        <v>0</v>
      </c>
      <c r="AT35" s="163">
        <v>0</v>
      </c>
      <c r="AU35" s="163">
        <v>0</v>
      </c>
      <c r="AV35" s="163">
        <v>0</v>
      </c>
      <c r="AW35" s="163">
        <v>0</v>
      </c>
      <c r="AX35" s="163">
        <v>0</v>
      </c>
      <c r="AY35" s="163">
        <v>0</v>
      </c>
      <c r="AZ35" s="163">
        <v>0</v>
      </c>
      <c r="BA35" s="163">
        <v>0</v>
      </c>
      <c r="BB35" s="163">
        <v>0</v>
      </c>
      <c r="BC35" s="163">
        <v>0</v>
      </c>
      <c r="BD35" s="163">
        <v>0</v>
      </c>
      <c r="BE35" s="163">
        <v>0</v>
      </c>
      <c r="BF35" s="163">
        <v>0</v>
      </c>
      <c r="BG35" s="163">
        <v>0</v>
      </c>
      <c r="BH35" s="163">
        <v>0</v>
      </c>
      <c r="BI35" s="163">
        <v>0</v>
      </c>
      <c r="BJ35" s="163">
        <v>0</v>
      </c>
      <c r="BK35" s="163">
        <v>0</v>
      </c>
      <c r="BL35" s="163">
        <v>0</v>
      </c>
      <c r="BM35" s="163">
        <v>0</v>
      </c>
      <c r="BN35" s="163">
        <v>0</v>
      </c>
      <c r="BO35" s="163">
        <v>0</v>
      </c>
      <c r="BP35" s="163">
        <v>0</v>
      </c>
      <c r="BQ35" s="163">
        <v>0</v>
      </c>
      <c r="BR35" s="163">
        <v>0</v>
      </c>
      <c r="BS35" s="163">
        <v>0</v>
      </c>
      <c r="BT35" s="163">
        <v>0</v>
      </c>
      <c r="BU35" s="163">
        <v>0</v>
      </c>
      <c r="BV35" s="163">
        <v>0</v>
      </c>
      <c r="BW35" s="163">
        <v>0</v>
      </c>
      <c r="BX35" s="163">
        <v>0</v>
      </c>
      <c r="BY35" s="163">
        <v>0</v>
      </c>
      <c r="BZ35" s="163">
        <v>0</v>
      </c>
      <c r="CA35" s="163">
        <v>0</v>
      </c>
      <c r="CB35" s="163">
        <v>0</v>
      </c>
      <c r="CC35" s="163">
        <v>0</v>
      </c>
      <c r="CD35" s="163">
        <v>0</v>
      </c>
      <c r="CE35" s="163">
        <v>0</v>
      </c>
      <c r="CF35" s="163">
        <v>0</v>
      </c>
      <c r="CG35" s="163">
        <v>0</v>
      </c>
      <c r="CH35" s="163">
        <v>0</v>
      </c>
      <c r="CI35" s="163">
        <v>0</v>
      </c>
      <c r="CJ35" s="163">
        <v>0</v>
      </c>
      <c r="CK35" s="163">
        <v>0</v>
      </c>
      <c r="CL35" s="163">
        <v>0</v>
      </c>
      <c r="CM35" s="163">
        <v>0</v>
      </c>
      <c r="CN35" s="163">
        <v>0</v>
      </c>
      <c r="CO35" s="163">
        <v>0</v>
      </c>
      <c r="CP35" s="163">
        <v>0</v>
      </c>
      <c r="CQ35" s="163">
        <v>0</v>
      </c>
      <c r="CR35" s="163">
        <v>0</v>
      </c>
      <c r="CS35" s="163">
        <v>0</v>
      </c>
      <c r="CT35" s="163">
        <v>0</v>
      </c>
      <c r="CU35" s="163">
        <v>0</v>
      </c>
      <c r="CV35" s="163">
        <v>0</v>
      </c>
      <c r="CW35" s="163">
        <v>0</v>
      </c>
      <c r="CX35" s="163">
        <v>0</v>
      </c>
      <c r="CY35" s="163">
        <v>0</v>
      </c>
      <c r="CZ35" s="163">
        <v>0</v>
      </c>
      <c r="DA35" s="163">
        <v>0</v>
      </c>
      <c r="DB35" s="163">
        <v>0</v>
      </c>
      <c r="DC35" s="163">
        <v>0</v>
      </c>
      <c r="DD35" s="163">
        <v>0</v>
      </c>
      <c r="DE35" s="163">
        <v>0</v>
      </c>
      <c r="DF35" s="163">
        <f>VLOOKUP($C35,'[3]BS ACC'!$C$5:$DH$1006,108,FALSE)</f>
        <v>0</v>
      </c>
      <c r="DG35" s="163">
        <f>VLOOKUP($C35,'[3]BS ACC'!$C$5:$DH$1006,109,FALSE)</f>
        <v>0</v>
      </c>
      <c r="DH35" s="163">
        <f>VLOOKUP($C35,'[3]BS ACC'!$C$5:$DH$1006,110,FALSE)</f>
        <v>0</v>
      </c>
    </row>
    <row r="36" spans="1:112">
      <c r="A36" s="350" t="str">
        <f t="shared" si="0"/>
        <v>1310225</v>
      </c>
      <c r="B36" s="350" t="s">
        <v>1565</v>
      </c>
      <c r="C36" s="335" t="s">
        <v>612</v>
      </c>
      <c r="D36" s="340">
        <v>-2370541.0699999998</v>
      </c>
      <c r="E36" s="340">
        <v>-2044057.99</v>
      </c>
      <c r="F36" s="340">
        <v>-2674540.5699999998</v>
      </c>
      <c r="G36" s="340">
        <v>-3052885.51</v>
      </c>
      <c r="H36" s="340">
        <v>-1813071.55</v>
      </c>
      <c r="I36" s="340">
        <v>-3951649.9</v>
      </c>
      <c r="J36" s="340">
        <v>-1563913.01</v>
      </c>
      <c r="K36" s="340">
        <v>-4752099.24</v>
      </c>
      <c r="L36" s="340">
        <v>-4384239.3600000003</v>
      </c>
      <c r="M36" s="340">
        <v>-1538841.52</v>
      </c>
      <c r="N36" s="340">
        <v>-3367764.12</v>
      </c>
      <c r="O36" s="340">
        <v>-9623367.5700000003</v>
      </c>
      <c r="P36" s="341">
        <v>-4131703.24</v>
      </c>
      <c r="Q36" s="163">
        <v>-3347661.83</v>
      </c>
      <c r="R36" s="163">
        <v>-2828654.47</v>
      </c>
      <c r="S36" s="163">
        <v>-2779070.5</v>
      </c>
      <c r="T36" s="163">
        <v>-2554148.63</v>
      </c>
      <c r="U36" s="163">
        <v>-2724584.12</v>
      </c>
      <c r="V36" s="163">
        <v>-2383334.81</v>
      </c>
      <c r="W36" s="163">
        <v>-3574636.32</v>
      </c>
      <c r="X36" s="163">
        <v>-1956018.17</v>
      </c>
      <c r="Y36" s="163">
        <v>-1909404.19</v>
      </c>
      <c r="Z36" s="163">
        <v>-3762827.1</v>
      </c>
      <c r="AA36" s="163">
        <v>-11587292.57</v>
      </c>
      <c r="AB36" s="163">
        <v>-5199026.66</v>
      </c>
      <c r="AC36" s="163">
        <v>-3463796.64</v>
      </c>
      <c r="AD36" s="163">
        <v>-2184041.4900000002</v>
      </c>
      <c r="AE36" s="163">
        <v>-2697977.18</v>
      </c>
      <c r="AF36" s="163">
        <v>-3421366.7</v>
      </c>
      <c r="AG36" s="163">
        <v>-2811076.32</v>
      </c>
      <c r="AH36" s="163">
        <v>-4782727.0999999996</v>
      </c>
      <c r="AI36" s="163">
        <v>-5113250.17</v>
      </c>
      <c r="AJ36" s="163">
        <v>-2554941.6</v>
      </c>
      <c r="AK36" s="163">
        <v>-3040279</v>
      </c>
      <c r="AL36" s="163">
        <v>-2743304.77</v>
      </c>
      <c r="AM36" s="163">
        <v>-11928813.5</v>
      </c>
      <c r="AN36" s="163">
        <v>-4724928.26</v>
      </c>
      <c r="AO36" s="163">
        <v>-3405068.69</v>
      </c>
      <c r="AP36" s="163">
        <v>-4361477.6500000004</v>
      </c>
      <c r="AQ36" s="163">
        <v>-3022413.99</v>
      </c>
      <c r="AR36" s="163">
        <v>-4115127.65</v>
      </c>
      <c r="AS36" s="163">
        <v>-1929115.33</v>
      </c>
      <c r="AT36" s="163">
        <v>-2878917.53</v>
      </c>
      <c r="AU36" s="163">
        <v>-3908483.49</v>
      </c>
      <c r="AV36" s="163">
        <v>-4192152.78</v>
      </c>
      <c r="AW36" s="163">
        <v>-3241713.72</v>
      </c>
      <c r="AX36" s="163">
        <v>-3135936.63</v>
      </c>
      <c r="AY36" s="163">
        <v>-11486450.210000001</v>
      </c>
      <c r="AZ36" s="163">
        <v>-3789351.71</v>
      </c>
      <c r="BA36" s="163">
        <v>-4217556.17</v>
      </c>
      <c r="BB36" s="163">
        <v>-5339645.58</v>
      </c>
      <c r="BC36" s="163">
        <v>-3315187.89</v>
      </c>
      <c r="BD36" s="163">
        <v>-4664021.45</v>
      </c>
      <c r="BE36" s="163">
        <v>-2902368.64</v>
      </c>
      <c r="BF36" s="163">
        <v>-2873925.17</v>
      </c>
      <c r="BG36" s="163">
        <v>-3857807.3599999999</v>
      </c>
      <c r="BH36" s="163">
        <v>-4843347.79</v>
      </c>
      <c r="BI36" s="163">
        <v>-4575029.45</v>
      </c>
      <c r="BJ36" s="163">
        <v>-4711247.55</v>
      </c>
      <c r="BK36" s="163">
        <v>-16069622.77</v>
      </c>
      <c r="BL36" s="163">
        <v>-2779740.87</v>
      </c>
      <c r="BM36" s="163">
        <v>-5528011.9299999997</v>
      </c>
      <c r="BN36" s="163">
        <v>-3617192.48</v>
      </c>
      <c r="BO36" s="163">
        <v>-6810435.7699999996</v>
      </c>
      <c r="BP36" s="163">
        <v>-4379667.3099999996</v>
      </c>
      <c r="BQ36" s="163">
        <v>-6145212.8700000001</v>
      </c>
      <c r="BR36" s="163">
        <v>-5321949.3</v>
      </c>
      <c r="BS36" s="163">
        <v>-4752946.21</v>
      </c>
      <c r="BT36" s="163">
        <v>-7470187.6100000003</v>
      </c>
      <c r="BU36" s="163">
        <v>-3986960.41</v>
      </c>
      <c r="BV36" s="163">
        <v>-5637158.0199999996</v>
      </c>
      <c r="BW36" s="163">
        <v>-15457815.689999999</v>
      </c>
      <c r="BX36" s="163">
        <v>-5558714.2300000004</v>
      </c>
      <c r="BY36" s="163">
        <v>-8815252.5700000003</v>
      </c>
      <c r="BZ36" s="163">
        <v>-11664648.67</v>
      </c>
      <c r="CA36" s="163">
        <v>-5098236.76</v>
      </c>
      <c r="CB36" s="163">
        <v>-12022634.84</v>
      </c>
      <c r="CC36" s="163">
        <v>-12235991.26</v>
      </c>
      <c r="CD36" s="163">
        <v>-6255599.9100000001</v>
      </c>
      <c r="CE36" s="163">
        <v>-6597190.1600000001</v>
      </c>
      <c r="CF36" s="163">
        <v>-7959815.0899999999</v>
      </c>
      <c r="CG36" s="163">
        <v>-8952373.5399999991</v>
      </c>
      <c r="CH36" s="163">
        <v>-13272435.5</v>
      </c>
      <c r="CI36" s="163">
        <v>-18610627.030000001</v>
      </c>
      <c r="CJ36" s="163">
        <v>-6483106.7699999996</v>
      </c>
      <c r="CK36" s="163">
        <v>-10064488.9</v>
      </c>
      <c r="CL36" s="163">
        <v>-8998838.2300000004</v>
      </c>
      <c r="CM36" s="163">
        <v>-10144623.07</v>
      </c>
      <c r="CN36" s="163">
        <v>-6984037.4900000002</v>
      </c>
      <c r="CO36" s="163">
        <v>-5003484.3499999996</v>
      </c>
      <c r="CP36" s="163">
        <v>-5664906.1200000001</v>
      </c>
      <c r="CQ36" s="163">
        <v>-5947057.4199999999</v>
      </c>
      <c r="CR36" s="163">
        <v>-6030549.9000000004</v>
      </c>
      <c r="CS36" s="163">
        <v>-6149570.7599999998</v>
      </c>
      <c r="CT36" s="163">
        <v>-5255895.1100000003</v>
      </c>
      <c r="CU36" s="163">
        <v>-17982022.609999999</v>
      </c>
      <c r="CV36" s="163">
        <v>-3781353.35</v>
      </c>
      <c r="CW36" s="163">
        <v>-8618060.7300000004</v>
      </c>
      <c r="CX36" s="163">
        <v>-6327461.8099999996</v>
      </c>
      <c r="CY36" s="163">
        <v>-5715669.2800000003</v>
      </c>
      <c r="CZ36" s="163">
        <v>-5293155.76</v>
      </c>
      <c r="DA36" s="163">
        <v>-6298991.7599999998</v>
      </c>
      <c r="DB36" s="163">
        <v>-6395872.4299999997</v>
      </c>
      <c r="DC36" s="163">
        <v>-6712417.1500000004</v>
      </c>
      <c r="DD36" s="163">
        <v>-3507049.93</v>
      </c>
      <c r="DE36" s="163">
        <v>-5892705.8799999999</v>
      </c>
      <c r="DF36" s="163">
        <f>VLOOKUP($C36,'[3]BS ACC'!$C$5:$DH$1006,108,FALSE)</f>
        <v>-3703582.65</v>
      </c>
      <c r="DG36" s="163">
        <f>VLOOKUP($C36,'[3]BS ACC'!$C$5:$DH$1006,109,FALSE)</f>
        <v>-19843052.420000002</v>
      </c>
      <c r="DH36" s="163">
        <f>VLOOKUP($C36,'[3]BS ACC'!$C$5:$DH$1006,110,FALSE)</f>
        <v>-4958663.5599999996</v>
      </c>
    </row>
    <row r="37" spans="1:112">
      <c r="A37" s="350" t="str">
        <f t="shared" si="0"/>
        <v>1310227</v>
      </c>
      <c r="B37" s="350" t="s">
        <v>1566</v>
      </c>
      <c r="C37" s="335" t="s">
        <v>613</v>
      </c>
      <c r="D37" s="340">
        <v>0</v>
      </c>
      <c r="E37" s="340">
        <v>0</v>
      </c>
      <c r="F37" s="340">
        <v>0</v>
      </c>
      <c r="G37" s="340">
        <v>0</v>
      </c>
      <c r="H37" s="340">
        <v>0</v>
      </c>
      <c r="I37" s="340">
        <v>0</v>
      </c>
      <c r="J37" s="340">
        <v>0</v>
      </c>
      <c r="K37" s="340">
        <v>0</v>
      </c>
      <c r="L37" s="340">
        <v>0</v>
      </c>
      <c r="M37" s="340">
        <v>0</v>
      </c>
      <c r="N37" s="340">
        <v>0</v>
      </c>
      <c r="O37" s="340">
        <v>0</v>
      </c>
      <c r="P37" s="341">
        <v>0</v>
      </c>
      <c r="Q37" s="163">
        <v>0</v>
      </c>
      <c r="R37" s="163">
        <v>0</v>
      </c>
      <c r="S37" s="163">
        <v>0</v>
      </c>
      <c r="T37" s="163">
        <v>0</v>
      </c>
      <c r="U37" s="163">
        <v>0</v>
      </c>
      <c r="V37" s="163">
        <v>0</v>
      </c>
      <c r="W37" s="163">
        <v>0</v>
      </c>
      <c r="X37" s="163">
        <v>0</v>
      </c>
      <c r="Y37" s="163">
        <v>0</v>
      </c>
      <c r="Z37" s="163">
        <v>0</v>
      </c>
      <c r="AA37" s="163">
        <v>0</v>
      </c>
      <c r="AB37" s="163">
        <v>0</v>
      </c>
      <c r="AC37" s="163">
        <v>0</v>
      </c>
      <c r="AD37" s="163">
        <v>0</v>
      </c>
      <c r="AE37" s="163">
        <v>0</v>
      </c>
      <c r="AF37" s="163">
        <v>0</v>
      </c>
      <c r="AG37" s="163">
        <v>0</v>
      </c>
      <c r="AH37" s="163">
        <v>0</v>
      </c>
      <c r="AI37" s="163">
        <v>0</v>
      </c>
      <c r="AJ37" s="163">
        <v>0</v>
      </c>
      <c r="AK37" s="163">
        <v>0</v>
      </c>
      <c r="AL37" s="163">
        <v>0</v>
      </c>
      <c r="AM37" s="163">
        <v>0</v>
      </c>
      <c r="AN37" s="163">
        <v>0</v>
      </c>
      <c r="AO37" s="163">
        <v>0</v>
      </c>
      <c r="AP37" s="163">
        <v>0</v>
      </c>
      <c r="AQ37" s="163">
        <v>0</v>
      </c>
      <c r="AR37" s="163">
        <v>0</v>
      </c>
      <c r="AS37" s="163">
        <v>0</v>
      </c>
      <c r="AT37" s="163">
        <v>0</v>
      </c>
      <c r="AU37" s="163">
        <v>0</v>
      </c>
      <c r="AV37" s="163">
        <v>0</v>
      </c>
      <c r="AW37" s="163">
        <v>0</v>
      </c>
      <c r="AX37" s="163">
        <v>0</v>
      </c>
      <c r="AY37" s="163">
        <v>0</v>
      </c>
      <c r="AZ37" s="163">
        <v>0</v>
      </c>
      <c r="BA37" s="163">
        <v>0</v>
      </c>
      <c r="BB37" s="163">
        <v>0</v>
      </c>
      <c r="BC37" s="163">
        <v>0</v>
      </c>
      <c r="BD37" s="163">
        <v>0</v>
      </c>
      <c r="BE37" s="163">
        <v>0</v>
      </c>
      <c r="BF37" s="163">
        <v>0</v>
      </c>
      <c r="BG37" s="163">
        <v>0</v>
      </c>
      <c r="BH37" s="163">
        <v>0</v>
      </c>
      <c r="BI37" s="163">
        <v>0</v>
      </c>
      <c r="BJ37" s="163">
        <v>0</v>
      </c>
      <c r="BK37" s="163">
        <v>0</v>
      </c>
      <c r="BL37" s="163">
        <v>0</v>
      </c>
      <c r="BM37" s="163">
        <v>0</v>
      </c>
      <c r="BN37" s="163">
        <v>0</v>
      </c>
      <c r="BO37" s="163">
        <v>0</v>
      </c>
      <c r="BP37" s="163">
        <v>0</v>
      </c>
      <c r="BQ37" s="163">
        <v>0</v>
      </c>
      <c r="BR37" s="163">
        <v>0</v>
      </c>
      <c r="BS37" s="163">
        <v>0</v>
      </c>
      <c r="BT37" s="163">
        <v>0</v>
      </c>
      <c r="BU37" s="163">
        <v>0</v>
      </c>
      <c r="BV37" s="163">
        <v>0</v>
      </c>
      <c r="BW37" s="163">
        <v>0</v>
      </c>
      <c r="BX37" s="163">
        <v>0</v>
      </c>
      <c r="BY37" s="163">
        <v>0</v>
      </c>
      <c r="BZ37" s="163">
        <v>0</v>
      </c>
      <c r="CA37" s="163">
        <v>0</v>
      </c>
      <c r="CB37" s="163">
        <v>0</v>
      </c>
      <c r="CC37" s="163">
        <v>0</v>
      </c>
      <c r="CD37" s="163">
        <v>0</v>
      </c>
      <c r="CE37" s="163">
        <v>0</v>
      </c>
      <c r="CF37" s="163">
        <v>0</v>
      </c>
      <c r="CG37" s="163">
        <v>0</v>
      </c>
      <c r="CH37" s="163">
        <v>0</v>
      </c>
      <c r="CI37" s="163">
        <v>0</v>
      </c>
      <c r="CJ37" s="163">
        <v>0</v>
      </c>
      <c r="CK37" s="163">
        <v>0</v>
      </c>
      <c r="CL37" s="163">
        <v>0</v>
      </c>
      <c r="CM37" s="163">
        <v>0</v>
      </c>
      <c r="CN37" s="163">
        <v>0</v>
      </c>
      <c r="CO37" s="163">
        <v>0</v>
      </c>
      <c r="CP37" s="163">
        <v>0</v>
      </c>
      <c r="CQ37" s="163">
        <v>0</v>
      </c>
      <c r="CR37" s="163">
        <v>0</v>
      </c>
      <c r="CS37" s="163">
        <v>0</v>
      </c>
      <c r="CT37" s="163">
        <v>0</v>
      </c>
      <c r="CU37" s="163">
        <v>0</v>
      </c>
      <c r="CV37" s="163">
        <v>0</v>
      </c>
      <c r="CW37" s="163">
        <v>0</v>
      </c>
      <c r="CX37" s="163">
        <v>0</v>
      </c>
      <c r="CY37" s="163">
        <v>0</v>
      </c>
      <c r="CZ37" s="163">
        <v>0</v>
      </c>
      <c r="DA37" s="163">
        <v>0</v>
      </c>
      <c r="DB37" s="163">
        <v>0</v>
      </c>
      <c r="DC37" s="163">
        <v>0</v>
      </c>
      <c r="DD37" s="163">
        <v>0</v>
      </c>
      <c r="DE37" s="163">
        <v>0</v>
      </c>
      <c r="DF37" s="163">
        <f>VLOOKUP($C37,'[3]BS ACC'!$C$5:$DH$1006,108,FALSE)</f>
        <v>0</v>
      </c>
      <c r="DG37" s="163">
        <f>VLOOKUP($C37,'[3]BS ACC'!$C$5:$DH$1006,109,FALSE)</f>
        <v>0</v>
      </c>
      <c r="DH37" s="163">
        <f>VLOOKUP($C37,'[3]BS ACC'!$C$5:$DH$1006,110,FALSE)</f>
        <v>0</v>
      </c>
    </row>
    <row r="38" spans="1:112">
      <c r="A38" s="350" t="str">
        <f t="shared" si="0"/>
        <v>1310230</v>
      </c>
      <c r="B38" s="350" t="s">
        <v>1567</v>
      </c>
      <c r="C38" s="335" t="s">
        <v>614</v>
      </c>
      <c r="D38" s="340">
        <v>-322038.68</v>
      </c>
      <c r="E38" s="340">
        <v>-455865.56</v>
      </c>
      <c r="F38" s="340">
        <v>-403675.91</v>
      </c>
      <c r="G38" s="340">
        <v>-294865.08</v>
      </c>
      <c r="H38" s="340">
        <v>-327946.67</v>
      </c>
      <c r="I38" s="340">
        <v>-409966.66</v>
      </c>
      <c r="J38" s="340">
        <v>-325633.15000000002</v>
      </c>
      <c r="K38" s="340">
        <v>-476118.4</v>
      </c>
      <c r="L38" s="340">
        <v>-392171.98</v>
      </c>
      <c r="M38" s="340">
        <v>-437777.5</v>
      </c>
      <c r="N38" s="340">
        <v>-362181.07</v>
      </c>
      <c r="O38" s="340">
        <v>-276568.8</v>
      </c>
      <c r="P38" s="341">
        <v>-247085.77</v>
      </c>
      <c r="Q38" s="163">
        <v>-532304.59</v>
      </c>
      <c r="R38" s="163">
        <v>-402145.3</v>
      </c>
      <c r="S38" s="163">
        <v>-343452.95</v>
      </c>
      <c r="T38" s="163">
        <v>-357601.66</v>
      </c>
      <c r="U38" s="163">
        <v>-374770.26</v>
      </c>
      <c r="V38" s="163">
        <v>-342617.15</v>
      </c>
      <c r="W38" s="163">
        <v>-460744.51</v>
      </c>
      <c r="X38" s="163">
        <v>-317950.59000000003</v>
      </c>
      <c r="Y38" s="163">
        <v>-383937.26</v>
      </c>
      <c r="Z38" s="163">
        <v>-523546.67</v>
      </c>
      <c r="AA38" s="163">
        <v>-332156.76</v>
      </c>
      <c r="AB38" s="163">
        <v>-316509.26</v>
      </c>
      <c r="AC38" s="163">
        <v>-349245.15</v>
      </c>
      <c r="AD38" s="163">
        <v>-432412.31</v>
      </c>
      <c r="AE38" s="163">
        <v>-494138.25</v>
      </c>
      <c r="AF38" s="163">
        <v>-545407.54</v>
      </c>
      <c r="AG38" s="163">
        <v>-341872.69</v>
      </c>
      <c r="AH38" s="163">
        <v>-418234.89</v>
      </c>
      <c r="AI38" s="163">
        <v>-476125</v>
      </c>
      <c r="AJ38" s="163">
        <v>-430403</v>
      </c>
      <c r="AK38" s="163">
        <v>-462621</v>
      </c>
      <c r="AL38" s="163">
        <v>-540400</v>
      </c>
      <c r="AM38" s="163">
        <v>-437805</v>
      </c>
      <c r="AN38" s="163">
        <v>-784228.43</v>
      </c>
      <c r="AO38" s="163">
        <v>-118500</v>
      </c>
      <c r="AP38" s="163">
        <v>-107050</v>
      </c>
      <c r="AQ38" s="163">
        <v>-96300</v>
      </c>
      <c r="AR38" s="163">
        <v>-94700</v>
      </c>
      <c r="AS38" s="163">
        <v>-93000</v>
      </c>
      <c r="AT38" s="163">
        <v>-89600</v>
      </c>
      <c r="AU38" s="163">
        <v>-87850</v>
      </c>
      <c r="AV38" s="163">
        <v>0</v>
      </c>
      <c r="AW38" s="163">
        <v>0</v>
      </c>
      <c r="AX38" s="163">
        <v>0</v>
      </c>
      <c r="AY38" s="163">
        <v>0</v>
      </c>
      <c r="AZ38" s="163">
        <v>0</v>
      </c>
      <c r="BA38" s="163">
        <v>0</v>
      </c>
      <c r="BB38" s="163">
        <v>0</v>
      </c>
      <c r="BC38" s="163">
        <v>0</v>
      </c>
      <c r="BD38" s="163">
        <v>0</v>
      </c>
      <c r="BE38" s="163">
        <v>0</v>
      </c>
      <c r="BF38" s="163">
        <v>0</v>
      </c>
      <c r="BG38" s="163">
        <v>0</v>
      </c>
      <c r="BH38" s="163">
        <v>0</v>
      </c>
      <c r="BI38" s="163">
        <v>0</v>
      </c>
      <c r="BJ38" s="163">
        <v>0</v>
      </c>
      <c r="BK38" s="163">
        <v>0</v>
      </c>
      <c r="BL38" s="163">
        <v>0</v>
      </c>
      <c r="BM38" s="163">
        <v>0</v>
      </c>
      <c r="BN38" s="163">
        <v>0</v>
      </c>
      <c r="BO38" s="163">
        <v>0</v>
      </c>
      <c r="BP38" s="163">
        <v>0</v>
      </c>
      <c r="BQ38" s="163">
        <v>0</v>
      </c>
      <c r="BR38" s="163">
        <v>0</v>
      </c>
      <c r="BS38" s="163">
        <v>0</v>
      </c>
      <c r="BT38" s="163">
        <v>0</v>
      </c>
      <c r="BU38" s="163">
        <v>0</v>
      </c>
      <c r="BV38" s="163">
        <v>0</v>
      </c>
      <c r="BW38" s="163">
        <v>0</v>
      </c>
      <c r="BX38" s="163">
        <v>0</v>
      </c>
      <c r="BY38" s="163">
        <v>0</v>
      </c>
      <c r="BZ38" s="163">
        <v>0</v>
      </c>
      <c r="CA38" s="163">
        <v>0</v>
      </c>
      <c r="CB38" s="163">
        <v>0</v>
      </c>
      <c r="CC38" s="163">
        <v>0</v>
      </c>
      <c r="CD38" s="163">
        <v>0</v>
      </c>
      <c r="CE38" s="163">
        <v>0</v>
      </c>
      <c r="CF38" s="163">
        <v>0</v>
      </c>
      <c r="CG38" s="163">
        <v>0</v>
      </c>
      <c r="CH38" s="163">
        <v>0</v>
      </c>
      <c r="CI38" s="163">
        <v>0</v>
      </c>
      <c r="CJ38" s="163">
        <v>0</v>
      </c>
      <c r="CK38" s="163">
        <v>0</v>
      </c>
      <c r="CL38" s="163">
        <v>0</v>
      </c>
      <c r="CM38" s="163">
        <v>0</v>
      </c>
      <c r="CN38" s="163">
        <v>0</v>
      </c>
      <c r="CO38" s="163">
        <v>0</v>
      </c>
      <c r="CP38" s="163">
        <v>0</v>
      </c>
      <c r="CQ38" s="163">
        <v>0</v>
      </c>
      <c r="CR38" s="163">
        <v>0</v>
      </c>
      <c r="CS38" s="163">
        <v>0</v>
      </c>
      <c r="CT38" s="163">
        <v>0</v>
      </c>
      <c r="CU38" s="163">
        <v>0</v>
      </c>
      <c r="CV38" s="163">
        <v>0</v>
      </c>
      <c r="CW38" s="163">
        <v>0</v>
      </c>
      <c r="CX38" s="163">
        <v>0</v>
      </c>
      <c r="CY38" s="163">
        <v>0</v>
      </c>
      <c r="CZ38" s="163">
        <v>0</v>
      </c>
      <c r="DA38" s="163">
        <v>0</v>
      </c>
      <c r="DB38" s="163">
        <v>0</v>
      </c>
      <c r="DC38" s="163">
        <v>0</v>
      </c>
      <c r="DD38" s="163">
        <v>0</v>
      </c>
      <c r="DE38" s="163">
        <v>0</v>
      </c>
      <c r="DF38" s="163">
        <f>VLOOKUP($C38,'[3]BS ACC'!$C$5:$DH$1006,108,FALSE)</f>
        <v>0</v>
      </c>
      <c r="DG38" s="163">
        <f>VLOOKUP($C38,'[3]BS ACC'!$C$5:$DH$1006,109,FALSE)</f>
        <v>0</v>
      </c>
      <c r="DH38" s="163">
        <f>VLOOKUP($C38,'[3]BS ACC'!$C$5:$DH$1006,110,FALSE)</f>
        <v>0</v>
      </c>
    </row>
    <row r="39" spans="1:112">
      <c r="A39" s="350" t="str">
        <f t="shared" si="0"/>
        <v>1310240</v>
      </c>
      <c r="B39" s="350" t="s">
        <v>1568</v>
      </c>
      <c r="C39" s="335" t="s">
        <v>615</v>
      </c>
      <c r="D39" s="340">
        <v>504520.2</v>
      </c>
      <c r="E39" s="340">
        <v>553582.18000000005</v>
      </c>
      <c r="F39" s="340">
        <v>564847.35</v>
      </c>
      <c r="G39" s="340">
        <v>1951793.59</v>
      </c>
      <c r="H39" s="340">
        <v>515886.66</v>
      </c>
      <c r="I39" s="340">
        <v>7611670.46</v>
      </c>
      <c r="J39" s="340">
        <v>4997939.5199999996</v>
      </c>
      <c r="K39" s="340">
        <v>478861.22</v>
      </c>
      <c r="L39" s="340">
        <v>599142.36</v>
      </c>
      <c r="M39" s="340">
        <v>507131.77</v>
      </c>
      <c r="N39" s="340">
        <v>514773.31</v>
      </c>
      <c r="O39" s="340">
        <v>587544.47</v>
      </c>
      <c r="P39" s="341">
        <v>447096.37</v>
      </c>
      <c r="Q39" s="163">
        <v>338984.74</v>
      </c>
      <c r="R39" s="163">
        <v>249254.28</v>
      </c>
      <c r="S39" s="163">
        <v>3540006.9</v>
      </c>
      <c r="T39" s="163">
        <v>240227.84</v>
      </c>
      <c r="U39" s="163">
        <v>6139924.0499999998</v>
      </c>
      <c r="V39" s="163">
        <v>408616.18</v>
      </c>
      <c r="W39" s="163">
        <v>571609.93999999994</v>
      </c>
      <c r="X39" s="163">
        <v>553867.56999999995</v>
      </c>
      <c r="Y39" s="163">
        <v>771043.21</v>
      </c>
      <c r="Z39" s="163">
        <v>15540894.460000001</v>
      </c>
      <c r="AA39" s="163">
        <v>353534.41</v>
      </c>
      <c r="AB39" s="163">
        <v>1038483.82</v>
      </c>
      <c r="AC39" s="163">
        <v>1920970.31</v>
      </c>
      <c r="AD39" s="163">
        <v>815180.99</v>
      </c>
      <c r="AE39" s="163">
        <v>708480.02</v>
      </c>
      <c r="AF39" s="163">
        <v>213536.73</v>
      </c>
      <c r="AG39" s="163">
        <v>662781.6</v>
      </c>
      <c r="AH39" s="163">
        <v>250458.45</v>
      </c>
      <c r="AI39" s="163">
        <v>356261.25</v>
      </c>
      <c r="AJ39" s="163">
        <v>678540.4</v>
      </c>
      <c r="AK39" s="163">
        <v>382178.71</v>
      </c>
      <c r="AL39" s="163">
        <v>1455836.03</v>
      </c>
      <c r="AM39" s="163">
        <v>369276.74</v>
      </c>
      <c r="AN39" s="163">
        <v>573045.17000000004</v>
      </c>
      <c r="AO39" s="163">
        <v>443761.23</v>
      </c>
      <c r="AP39" s="163">
        <v>522167.86</v>
      </c>
      <c r="AQ39" s="163">
        <v>634944.36</v>
      </c>
      <c r="AR39" s="163">
        <v>556017.22</v>
      </c>
      <c r="AS39" s="163">
        <v>554884.29</v>
      </c>
      <c r="AT39" s="163">
        <v>547441.44999999995</v>
      </c>
      <c r="AU39" s="163">
        <v>512643.88</v>
      </c>
      <c r="AV39" s="163">
        <v>496777.64</v>
      </c>
      <c r="AW39" s="163">
        <v>0</v>
      </c>
      <c r="AX39" s="163">
        <v>0</v>
      </c>
      <c r="AY39" s="163">
        <v>0</v>
      </c>
      <c r="AZ39" s="163">
        <v>0</v>
      </c>
      <c r="BA39" s="163">
        <v>0</v>
      </c>
      <c r="BB39" s="163">
        <v>0</v>
      </c>
      <c r="BC39" s="163">
        <v>0</v>
      </c>
      <c r="BD39" s="163">
        <v>0</v>
      </c>
      <c r="BE39" s="163">
        <v>0</v>
      </c>
      <c r="BF39" s="163">
        <v>0</v>
      </c>
      <c r="BG39" s="163">
        <v>0</v>
      </c>
      <c r="BH39" s="163">
        <v>0</v>
      </c>
      <c r="BI39" s="163">
        <v>0</v>
      </c>
      <c r="BJ39" s="163">
        <v>0</v>
      </c>
      <c r="BK39" s="163">
        <v>0</v>
      </c>
      <c r="BL39" s="163">
        <v>0</v>
      </c>
      <c r="BM39" s="163">
        <v>0</v>
      </c>
      <c r="BN39" s="163">
        <v>0</v>
      </c>
      <c r="BO39" s="163">
        <v>0</v>
      </c>
      <c r="BP39" s="163">
        <v>0</v>
      </c>
      <c r="BQ39" s="163">
        <v>0</v>
      </c>
      <c r="BR39" s="163">
        <v>0</v>
      </c>
      <c r="BS39" s="163">
        <v>0</v>
      </c>
      <c r="BT39" s="163">
        <v>0</v>
      </c>
      <c r="BU39" s="163">
        <v>0</v>
      </c>
      <c r="BV39" s="163">
        <v>0</v>
      </c>
      <c r="BW39" s="163">
        <v>0</v>
      </c>
      <c r="BX39" s="163">
        <v>0</v>
      </c>
      <c r="BY39" s="163">
        <v>0</v>
      </c>
      <c r="BZ39" s="163">
        <v>0</v>
      </c>
      <c r="CA39" s="163">
        <v>0</v>
      </c>
      <c r="CB39" s="163">
        <v>0</v>
      </c>
      <c r="CC39" s="163">
        <v>0</v>
      </c>
      <c r="CD39" s="163">
        <v>0</v>
      </c>
      <c r="CE39" s="163">
        <v>0</v>
      </c>
      <c r="CF39" s="163">
        <v>0</v>
      </c>
      <c r="CG39" s="163">
        <v>0</v>
      </c>
      <c r="CH39" s="163">
        <v>0</v>
      </c>
      <c r="CI39" s="163">
        <v>0</v>
      </c>
      <c r="CJ39" s="163">
        <v>0</v>
      </c>
      <c r="CK39" s="163">
        <v>0</v>
      </c>
      <c r="CL39" s="163">
        <v>0</v>
      </c>
      <c r="CM39" s="163">
        <v>0</v>
      </c>
      <c r="CN39" s="163">
        <v>0</v>
      </c>
      <c r="CO39" s="163">
        <v>0</v>
      </c>
      <c r="CP39" s="163">
        <v>0</v>
      </c>
      <c r="CQ39" s="163">
        <v>0</v>
      </c>
      <c r="CR39" s="163">
        <v>0</v>
      </c>
      <c r="CS39" s="163">
        <v>0</v>
      </c>
      <c r="CT39" s="163">
        <v>0</v>
      </c>
      <c r="CU39" s="163">
        <v>0</v>
      </c>
      <c r="CV39" s="163">
        <v>0</v>
      </c>
      <c r="CW39" s="163">
        <v>0</v>
      </c>
      <c r="CX39" s="163">
        <v>0</v>
      </c>
      <c r="CY39" s="163">
        <v>0</v>
      </c>
      <c r="CZ39" s="163">
        <v>0</v>
      </c>
      <c r="DA39" s="163">
        <v>0</v>
      </c>
      <c r="DB39" s="163">
        <v>0</v>
      </c>
      <c r="DC39" s="163">
        <v>0</v>
      </c>
      <c r="DD39" s="163">
        <v>0</v>
      </c>
      <c r="DE39" s="163">
        <v>0</v>
      </c>
      <c r="DF39" s="163">
        <f>VLOOKUP($C39,'[3]BS ACC'!$C$5:$DH$1006,108,FALSE)</f>
        <v>0</v>
      </c>
      <c r="DG39" s="163">
        <f>VLOOKUP($C39,'[3]BS ACC'!$C$5:$DH$1006,109,FALSE)</f>
        <v>0</v>
      </c>
      <c r="DH39" s="163">
        <f>VLOOKUP($C39,'[3]BS ACC'!$C$5:$DH$1006,110,FALSE)</f>
        <v>0</v>
      </c>
    </row>
    <row r="40" spans="1:112">
      <c r="A40" s="350" t="str">
        <f t="shared" si="0"/>
        <v>1310241</v>
      </c>
      <c r="B40" s="350" t="s">
        <v>1569</v>
      </c>
      <c r="C40" s="335" t="s">
        <v>616</v>
      </c>
      <c r="D40" s="340">
        <v>0</v>
      </c>
      <c r="E40" s="340">
        <v>0</v>
      </c>
      <c r="F40" s="340">
        <v>0</v>
      </c>
      <c r="G40" s="340">
        <v>0</v>
      </c>
      <c r="H40" s="340">
        <v>0</v>
      </c>
      <c r="I40" s="340">
        <v>0</v>
      </c>
      <c r="J40" s="340">
        <v>0</v>
      </c>
      <c r="K40" s="340">
        <v>0</v>
      </c>
      <c r="L40" s="340">
        <v>0</v>
      </c>
      <c r="M40" s="340">
        <v>0</v>
      </c>
      <c r="N40" s="340">
        <v>0</v>
      </c>
      <c r="O40" s="340">
        <v>0</v>
      </c>
      <c r="P40" s="341">
        <v>0</v>
      </c>
      <c r="Q40" s="163">
        <v>0</v>
      </c>
      <c r="R40" s="163">
        <v>0</v>
      </c>
      <c r="S40" s="163">
        <v>0</v>
      </c>
      <c r="T40" s="163">
        <v>0</v>
      </c>
      <c r="U40" s="163">
        <v>0</v>
      </c>
      <c r="V40" s="163">
        <v>0</v>
      </c>
      <c r="W40" s="163">
        <v>0</v>
      </c>
      <c r="X40" s="163">
        <v>0</v>
      </c>
      <c r="Y40" s="163">
        <v>0</v>
      </c>
      <c r="Z40" s="163">
        <v>0</v>
      </c>
      <c r="AA40" s="163">
        <v>0</v>
      </c>
      <c r="AB40" s="163">
        <v>0</v>
      </c>
      <c r="AC40" s="163">
        <v>0</v>
      </c>
      <c r="AD40" s="163">
        <v>0</v>
      </c>
      <c r="AE40" s="163">
        <v>0</v>
      </c>
      <c r="AF40" s="163">
        <v>0</v>
      </c>
      <c r="AG40" s="163">
        <v>0</v>
      </c>
      <c r="AH40" s="163">
        <v>0</v>
      </c>
      <c r="AI40" s="163">
        <v>0</v>
      </c>
      <c r="AJ40" s="163">
        <v>0</v>
      </c>
      <c r="AK40" s="163">
        <v>0</v>
      </c>
      <c r="AL40" s="163">
        <v>0</v>
      </c>
      <c r="AM40" s="163">
        <v>0</v>
      </c>
      <c r="AN40" s="163">
        <v>0</v>
      </c>
      <c r="AO40" s="163">
        <v>0</v>
      </c>
      <c r="AP40" s="163">
        <v>0</v>
      </c>
      <c r="AQ40" s="163">
        <v>0</v>
      </c>
      <c r="AR40" s="163">
        <v>0</v>
      </c>
      <c r="AS40" s="163">
        <v>0</v>
      </c>
      <c r="AT40" s="163">
        <v>0</v>
      </c>
      <c r="AU40" s="163">
        <v>0</v>
      </c>
      <c r="AV40" s="163">
        <v>0</v>
      </c>
      <c r="AW40" s="163">
        <v>0</v>
      </c>
      <c r="AX40" s="163">
        <v>0</v>
      </c>
      <c r="AY40" s="163">
        <v>0</v>
      </c>
      <c r="AZ40" s="163">
        <v>0</v>
      </c>
      <c r="BA40" s="163">
        <v>0</v>
      </c>
      <c r="BB40" s="163">
        <v>0</v>
      </c>
      <c r="BC40" s="163">
        <v>0</v>
      </c>
      <c r="BD40" s="163">
        <v>0</v>
      </c>
      <c r="BE40" s="163">
        <v>0</v>
      </c>
      <c r="BF40" s="163">
        <v>0</v>
      </c>
      <c r="BG40" s="163">
        <v>0</v>
      </c>
      <c r="BH40" s="163">
        <v>0</v>
      </c>
      <c r="BI40" s="163">
        <v>0</v>
      </c>
      <c r="BJ40" s="163">
        <v>0</v>
      </c>
      <c r="BK40" s="163">
        <v>0</v>
      </c>
      <c r="BL40" s="163">
        <v>0</v>
      </c>
      <c r="BM40" s="163">
        <v>0</v>
      </c>
      <c r="BN40" s="163">
        <v>0</v>
      </c>
      <c r="BO40" s="163">
        <v>0</v>
      </c>
      <c r="BP40" s="163">
        <v>0</v>
      </c>
      <c r="BQ40" s="163">
        <v>0</v>
      </c>
      <c r="BR40" s="163">
        <v>0</v>
      </c>
      <c r="BS40" s="163">
        <v>0</v>
      </c>
      <c r="BT40" s="163">
        <v>0</v>
      </c>
      <c r="BU40" s="163">
        <v>0</v>
      </c>
      <c r="BV40" s="163">
        <v>0</v>
      </c>
      <c r="BW40" s="163">
        <v>0</v>
      </c>
      <c r="BX40" s="163">
        <v>0</v>
      </c>
      <c r="BY40" s="163">
        <v>0</v>
      </c>
      <c r="BZ40" s="163">
        <v>0</v>
      </c>
      <c r="CA40" s="163">
        <v>0</v>
      </c>
      <c r="CB40" s="163">
        <v>0</v>
      </c>
      <c r="CC40" s="163">
        <v>0</v>
      </c>
      <c r="CD40" s="163">
        <v>0</v>
      </c>
      <c r="CE40" s="163">
        <v>0</v>
      </c>
      <c r="CF40" s="163">
        <v>0</v>
      </c>
      <c r="CG40" s="163">
        <v>0</v>
      </c>
      <c r="CH40" s="163">
        <v>0</v>
      </c>
      <c r="CI40" s="163">
        <v>0</v>
      </c>
      <c r="CJ40" s="163">
        <v>0</v>
      </c>
      <c r="CK40" s="163">
        <v>0</v>
      </c>
      <c r="CL40" s="163">
        <v>0</v>
      </c>
      <c r="CM40" s="163">
        <v>0</v>
      </c>
      <c r="CN40" s="163">
        <v>0</v>
      </c>
      <c r="CO40" s="163">
        <v>0</v>
      </c>
      <c r="CP40" s="163">
        <v>0</v>
      </c>
      <c r="CQ40" s="163">
        <v>0</v>
      </c>
      <c r="CR40" s="163">
        <v>0</v>
      </c>
      <c r="CS40" s="163">
        <v>0</v>
      </c>
      <c r="CT40" s="163">
        <v>0</v>
      </c>
      <c r="CU40" s="163">
        <v>0</v>
      </c>
      <c r="CV40" s="163">
        <v>0</v>
      </c>
      <c r="CW40" s="163">
        <v>0</v>
      </c>
      <c r="CX40" s="163">
        <v>0</v>
      </c>
      <c r="CY40" s="163">
        <v>0</v>
      </c>
      <c r="CZ40" s="163">
        <v>0</v>
      </c>
      <c r="DA40" s="163">
        <v>0</v>
      </c>
      <c r="DB40" s="163">
        <v>0</v>
      </c>
      <c r="DC40" s="163">
        <v>0</v>
      </c>
      <c r="DD40" s="163">
        <v>0</v>
      </c>
      <c r="DE40" s="163">
        <v>0</v>
      </c>
      <c r="DF40" s="163">
        <f>VLOOKUP($C40,'[3]BS ACC'!$C$5:$DH$1006,108,FALSE)</f>
        <v>0</v>
      </c>
      <c r="DG40" s="163">
        <f>VLOOKUP($C40,'[3]BS ACC'!$C$5:$DH$1006,109,FALSE)</f>
        <v>0</v>
      </c>
      <c r="DH40" s="163">
        <f>VLOOKUP($C40,'[3]BS ACC'!$C$5:$DH$1006,110,FALSE)</f>
        <v>0</v>
      </c>
    </row>
    <row r="41" spans="1:112">
      <c r="A41" s="350" t="str">
        <f t="shared" si="0"/>
        <v>1310242</v>
      </c>
      <c r="B41" s="350" t="s">
        <v>1570</v>
      </c>
      <c r="C41" s="335" t="s">
        <v>617</v>
      </c>
      <c r="D41" s="340">
        <v>0</v>
      </c>
      <c r="E41" s="340">
        <v>0</v>
      </c>
      <c r="F41" s="340">
        <v>0</v>
      </c>
      <c r="G41" s="340">
        <v>0</v>
      </c>
      <c r="H41" s="340">
        <v>0</v>
      </c>
      <c r="I41" s="340">
        <v>0</v>
      </c>
      <c r="J41" s="340">
        <v>0</v>
      </c>
      <c r="K41" s="340">
        <v>0</v>
      </c>
      <c r="L41" s="340">
        <v>0</v>
      </c>
      <c r="M41" s="340">
        <v>0</v>
      </c>
      <c r="N41" s="340">
        <v>0</v>
      </c>
      <c r="O41" s="340">
        <v>0</v>
      </c>
      <c r="P41" s="341">
        <v>0</v>
      </c>
      <c r="Q41" s="163">
        <v>0</v>
      </c>
      <c r="R41" s="163">
        <v>0</v>
      </c>
      <c r="S41" s="163">
        <v>0</v>
      </c>
      <c r="T41" s="163">
        <v>0</v>
      </c>
      <c r="U41" s="163">
        <v>0</v>
      </c>
      <c r="V41" s="163">
        <v>0</v>
      </c>
      <c r="W41" s="163">
        <v>0</v>
      </c>
      <c r="X41" s="163">
        <v>0</v>
      </c>
      <c r="Y41" s="163">
        <v>0</v>
      </c>
      <c r="Z41" s="163">
        <v>0</v>
      </c>
      <c r="AA41" s="163">
        <v>0</v>
      </c>
      <c r="AB41" s="163">
        <v>0</v>
      </c>
      <c r="AC41" s="163">
        <v>0</v>
      </c>
      <c r="AD41" s="163">
        <v>0</v>
      </c>
      <c r="AE41" s="163">
        <v>0</v>
      </c>
      <c r="AF41" s="163">
        <v>0</v>
      </c>
      <c r="AG41" s="163">
        <v>0</v>
      </c>
      <c r="AH41" s="163">
        <v>0</v>
      </c>
      <c r="AI41" s="163">
        <v>0</v>
      </c>
      <c r="AJ41" s="163">
        <v>0</v>
      </c>
      <c r="AK41" s="163">
        <v>0</v>
      </c>
      <c r="AL41" s="163">
        <v>0</v>
      </c>
      <c r="AM41" s="163">
        <v>0</v>
      </c>
      <c r="AN41" s="163">
        <v>0</v>
      </c>
      <c r="AO41" s="163">
        <v>0</v>
      </c>
      <c r="AP41" s="163">
        <v>0</v>
      </c>
      <c r="AQ41" s="163">
        <v>0</v>
      </c>
      <c r="AR41" s="163">
        <v>0</v>
      </c>
      <c r="AS41" s="163">
        <v>0</v>
      </c>
      <c r="AT41" s="163">
        <v>0</v>
      </c>
      <c r="AU41" s="163">
        <v>0</v>
      </c>
      <c r="AV41" s="163">
        <v>0</v>
      </c>
      <c r="AW41" s="163">
        <v>0</v>
      </c>
      <c r="AX41" s="163">
        <v>0</v>
      </c>
      <c r="AY41" s="163">
        <v>0</v>
      </c>
      <c r="AZ41" s="163">
        <v>0</v>
      </c>
      <c r="BA41" s="163">
        <v>0</v>
      </c>
      <c r="BB41" s="163">
        <v>0</v>
      </c>
      <c r="BC41" s="163">
        <v>0</v>
      </c>
      <c r="BD41" s="163">
        <v>0</v>
      </c>
      <c r="BE41" s="163">
        <v>0</v>
      </c>
      <c r="BF41" s="163">
        <v>0</v>
      </c>
      <c r="BG41" s="163">
        <v>0</v>
      </c>
      <c r="BH41" s="163">
        <v>0</v>
      </c>
      <c r="BI41" s="163">
        <v>0</v>
      </c>
      <c r="BJ41" s="163">
        <v>0</v>
      </c>
      <c r="BK41" s="163">
        <v>0</v>
      </c>
      <c r="BL41" s="163">
        <v>0</v>
      </c>
      <c r="BM41" s="163">
        <v>0</v>
      </c>
      <c r="BN41" s="163">
        <v>0</v>
      </c>
      <c r="BO41" s="163">
        <v>0</v>
      </c>
      <c r="BP41" s="163">
        <v>0</v>
      </c>
      <c r="BQ41" s="163">
        <v>0</v>
      </c>
      <c r="BR41" s="163">
        <v>0</v>
      </c>
      <c r="BS41" s="163">
        <v>0</v>
      </c>
      <c r="BT41" s="163">
        <v>0</v>
      </c>
      <c r="BU41" s="163">
        <v>0</v>
      </c>
      <c r="BV41" s="163">
        <v>0</v>
      </c>
      <c r="BW41" s="163">
        <v>0</v>
      </c>
      <c r="BX41" s="163">
        <v>0</v>
      </c>
      <c r="BY41" s="163">
        <v>0</v>
      </c>
      <c r="BZ41" s="163">
        <v>0</v>
      </c>
      <c r="CA41" s="163">
        <v>0</v>
      </c>
      <c r="CB41" s="163">
        <v>0</v>
      </c>
      <c r="CC41" s="163">
        <v>0</v>
      </c>
      <c r="CD41" s="163">
        <v>0</v>
      </c>
      <c r="CE41" s="163">
        <v>0</v>
      </c>
      <c r="CF41" s="163">
        <v>0</v>
      </c>
      <c r="CG41" s="163">
        <v>0</v>
      </c>
      <c r="CH41" s="163">
        <v>0</v>
      </c>
      <c r="CI41" s="163">
        <v>0</v>
      </c>
      <c r="CJ41" s="163">
        <v>0</v>
      </c>
      <c r="CK41" s="163">
        <v>0</v>
      </c>
      <c r="CL41" s="163">
        <v>0</v>
      </c>
      <c r="CM41" s="163">
        <v>0</v>
      </c>
      <c r="CN41" s="163">
        <v>0</v>
      </c>
      <c r="CO41" s="163">
        <v>0</v>
      </c>
      <c r="CP41" s="163">
        <v>0</v>
      </c>
      <c r="CQ41" s="163">
        <v>0</v>
      </c>
      <c r="CR41" s="163">
        <v>0</v>
      </c>
      <c r="CS41" s="163">
        <v>0</v>
      </c>
      <c r="CT41" s="163">
        <v>0</v>
      </c>
      <c r="CU41" s="163">
        <v>0</v>
      </c>
      <c r="CV41" s="163">
        <v>0</v>
      </c>
      <c r="CW41" s="163">
        <v>0</v>
      </c>
      <c r="CX41" s="163">
        <v>0</v>
      </c>
      <c r="CY41" s="163">
        <v>0</v>
      </c>
      <c r="CZ41" s="163">
        <v>0</v>
      </c>
      <c r="DA41" s="163">
        <v>0</v>
      </c>
      <c r="DB41" s="163">
        <v>0</v>
      </c>
      <c r="DC41" s="163">
        <v>0</v>
      </c>
      <c r="DD41" s="163">
        <v>0</v>
      </c>
      <c r="DE41" s="163">
        <v>0</v>
      </c>
      <c r="DF41" s="163">
        <f>VLOOKUP($C41,'[3]BS ACC'!$C$5:$DH$1006,108,FALSE)</f>
        <v>0</v>
      </c>
      <c r="DG41" s="163">
        <f>VLOOKUP($C41,'[3]BS ACC'!$C$5:$DH$1006,109,FALSE)</f>
        <v>0</v>
      </c>
      <c r="DH41" s="163">
        <f>VLOOKUP($C41,'[3]BS ACC'!$C$5:$DH$1006,110,FALSE)</f>
        <v>0</v>
      </c>
    </row>
    <row r="42" spans="1:112">
      <c r="A42" s="350" t="str">
        <f t="shared" si="0"/>
        <v>1310243</v>
      </c>
      <c r="B42" s="350" t="s">
        <v>1571</v>
      </c>
      <c r="C42" s="335" t="s">
        <v>1462</v>
      </c>
      <c r="D42" s="340"/>
      <c r="E42" s="340"/>
      <c r="F42" s="340"/>
      <c r="G42" s="340"/>
      <c r="H42" s="340"/>
      <c r="I42" s="340"/>
      <c r="J42" s="340"/>
      <c r="K42" s="340"/>
      <c r="L42" s="340"/>
      <c r="M42" s="340"/>
      <c r="N42" s="340"/>
      <c r="O42" s="340"/>
      <c r="P42" s="341"/>
      <c r="Q42" s="163"/>
      <c r="R42" s="163"/>
      <c r="S42" s="163"/>
      <c r="T42" s="163"/>
      <c r="U42" s="163"/>
      <c r="V42" s="163"/>
      <c r="W42" s="163"/>
      <c r="X42" s="163"/>
      <c r="Y42" s="163"/>
      <c r="Z42" s="163"/>
      <c r="AA42" s="163"/>
      <c r="AB42" s="163"/>
      <c r="AC42" s="163"/>
      <c r="AD42" s="163"/>
      <c r="AE42" s="163"/>
      <c r="AF42" s="163">
        <v>0</v>
      </c>
      <c r="AG42" s="163">
        <v>0</v>
      </c>
      <c r="AH42" s="163">
        <v>0</v>
      </c>
      <c r="AI42" s="163">
        <v>0</v>
      </c>
      <c r="AJ42" s="163">
        <v>0</v>
      </c>
      <c r="AK42" s="163">
        <v>0</v>
      </c>
      <c r="AL42" s="163">
        <v>0</v>
      </c>
      <c r="AM42" s="163">
        <v>0</v>
      </c>
      <c r="AN42" s="163">
        <v>0</v>
      </c>
      <c r="AO42" s="163">
        <v>0</v>
      </c>
      <c r="AP42" s="163">
        <v>0</v>
      </c>
      <c r="AQ42" s="163">
        <v>0</v>
      </c>
      <c r="AR42" s="163">
        <v>0</v>
      </c>
      <c r="AS42" s="163">
        <v>0</v>
      </c>
      <c r="AT42" s="163">
        <v>0</v>
      </c>
      <c r="AU42" s="163">
        <v>0</v>
      </c>
      <c r="AV42" s="163">
        <v>0</v>
      </c>
      <c r="AW42" s="163">
        <v>0</v>
      </c>
      <c r="AX42" s="163">
        <v>0</v>
      </c>
      <c r="AY42" s="163">
        <v>0</v>
      </c>
      <c r="AZ42" s="163">
        <v>0</v>
      </c>
      <c r="BA42" s="163">
        <v>0</v>
      </c>
      <c r="BB42" s="163">
        <v>0</v>
      </c>
      <c r="BC42" s="163">
        <v>0</v>
      </c>
      <c r="BD42" s="163">
        <v>0</v>
      </c>
      <c r="BE42" s="163">
        <v>0</v>
      </c>
      <c r="BF42" s="163">
        <v>0</v>
      </c>
      <c r="BG42" s="163">
        <v>0</v>
      </c>
      <c r="BH42" s="163">
        <v>0</v>
      </c>
      <c r="BI42" s="163">
        <v>0</v>
      </c>
      <c r="BJ42" s="163">
        <v>0</v>
      </c>
      <c r="BK42" s="163">
        <v>0</v>
      </c>
      <c r="BL42" s="163">
        <v>0</v>
      </c>
      <c r="BM42" s="163">
        <v>0</v>
      </c>
      <c r="BN42" s="163">
        <v>0</v>
      </c>
      <c r="BO42" s="163">
        <v>0</v>
      </c>
      <c r="BP42" s="163">
        <v>0</v>
      </c>
      <c r="BQ42" s="163">
        <v>0</v>
      </c>
      <c r="BR42" s="163">
        <v>0</v>
      </c>
      <c r="BS42" s="163">
        <v>0</v>
      </c>
      <c r="BT42" s="163">
        <v>0</v>
      </c>
      <c r="BU42" s="163">
        <v>0</v>
      </c>
      <c r="BV42" s="163">
        <v>0</v>
      </c>
      <c r="BW42" s="163">
        <v>0</v>
      </c>
      <c r="BX42" s="163">
        <v>0</v>
      </c>
      <c r="BY42" s="163">
        <v>0</v>
      </c>
      <c r="BZ42" s="163">
        <v>0</v>
      </c>
      <c r="CA42" s="163">
        <v>0</v>
      </c>
      <c r="CB42" s="163">
        <v>0</v>
      </c>
      <c r="CC42" s="163">
        <v>0</v>
      </c>
      <c r="CD42" s="163">
        <v>0</v>
      </c>
      <c r="CE42" s="163">
        <v>0</v>
      </c>
      <c r="CF42" s="163">
        <v>0</v>
      </c>
      <c r="CG42" s="163">
        <v>0</v>
      </c>
      <c r="CH42" s="163">
        <v>0</v>
      </c>
      <c r="CI42" s="163">
        <v>0</v>
      </c>
      <c r="CJ42" s="163">
        <v>0</v>
      </c>
      <c r="CK42" s="163">
        <v>0</v>
      </c>
      <c r="CL42" s="163">
        <v>0</v>
      </c>
      <c r="CM42" s="163">
        <v>0</v>
      </c>
      <c r="CN42" s="163">
        <v>0</v>
      </c>
      <c r="CO42" s="163">
        <v>0</v>
      </c>
      <c r="CP42" s="163">
        <v>0</v>
      </c>
      <c r="CQ42" s="163">
        <v>0</v>
      </c>
      <c r="CR42" s="163">
        <v>0</v>
      </c>
      <c r="CS42" s="163">
        <v>0</v>
      </c>
      <c r="CT42" s="163">
        <v>0</v>
      </c>
      <c r="CU42" s="163">
        <v>0</v>
      </c>
      <c r="CV42" s="163">
        <v>0</v>
      </c>
      <c r="CW42" s="163">
        <v>0</v>
      </c>
      <c r="CX42" s="163">
        <v>0</v>
      </c>
      <c r="CY42" s="163">
        <v>0</v>
      </c>
      <c r="CZ42" s="163">
        <v>0</v>
      </c>
      <c r="DA42" s="163">
        <v>0</v>
      </c>
      <c r="DB42" s="163">
        <v>0</v>
      </c>
      <c r="DC42" s="163">
        <v>0</v>
      </c>
      <c r="DD42" s="163">
        <v>0</v>
      </c>
      <c r="DE42" s="163">
        <v>0</v>
      </c>
      <c r="DF42" s="163">
        <f>VLOOKUP($C42,'[3]BS ACC'!$C$5:$DH$1006,108,FALSE)</f>
        <v>0</v>
      </c>
      <c r="DG42" s="163">
        <f>VLOOKUP($C42,'[3]BS ACC'!$C$5:$DH$1006,109,FALSE)</f>
        <v>0</v>
      </c>
      <c r="DH42" s="163">
        <f>VLOOKUP($C42,'[3]BS ACC'!$C$5:$DH$1006,110,FALSE)</f>
        <v>0</v>
      </c>
    </row>
    <row r="43" spans="1:112">
      <c r="A43" s="350" t="str">
        <f t="shared" si="0"/>
        <v>1310244</v>
      </c>
      <c r="B43" s="350" t="s">
        <v>1573</v>
      </c>
      <c r="C43" s="335" t="s">
        <v>618</v>
      </c>
      <c r="D43" s="340">
        <v>0</v>
      </c>
      <c r="E43" s="340">
        <v>0</v>
      </c>
      <c r="F43" s="340">
        <v>0</v>
      </c>
      <c r="G43" s="340">
        <v>0</v>
      </c>
      <c r="H43" s="340">
        <v>0</v>
      </c>
      <c r="I43" s="340">
        <v>0</v>
      </c>
      <c r="J43" s="340">
        <v>0</v>
      </c>
      <c r="K43" s="340">
        <v>0</v>
      </c>
      <c r="L43" s="340">
        <v>0</v>
      </c>
      <c r="M43" s="340">
        <v>0</v>
      </c>
      <c r="N43" s="340">
        <v>0</v>
      </c>
      <c r="O43" s="340">
        <v>0</v>
      </c>
      <c r="P43" s="341">
        <v>0</v>
      </c>
      <c r="Q43" s="163">
        <v>0</v>
      </c>
      <c r="R43" s="163">
        <v>0</v>
      </c>
      <c r="S43" s="163">
        <v>0</v>
      </c>
      <c r="T43" s="163">
        <v>0</v>
      </c>
      <c r="U43" s="163">
        <v>0</v>
      </c>
      <c r="V43" s="163">
        <v>0</v>
      </c>
      <c r="W43" s="163">
        <v>0</v>
      </c>
      <c r="X43" s="163">
        <v>0</v>
      </c>
      <c r="Y43" s="163">
        <v>0</v>
      </c>
      <c r="Z43" s="163">
        <v>0</v>
      </c>
      <c r="AA43" s="163">
        <v>0</v>
      </c>
      <c r="AB43" s="163">
        <v>0</v>
      </c>
      <c r="AC43" s="163">
        <v>0</v>
      </c>
      <c r="AD43" s="163">
        <v>0</v>
      </c>
      <c r="AE43" s="163">
        <v>0</v>
      </c>
      <c r="AF43" s="163">
        <v>0</v>
      </c>
      <c r="AG43" s="163">
        <v>0</v>
      </c>
      <c r="AH43" s="163">
        <v>0</v>
      </c>
      <c r="AI43" s="163">
        <v>0</v>
      </c>
      <c r="AJ43" s="163">
        <v>0</v>
      </c>
      <c r="AK43" s="163">
        <v>0</v>
      </c>
      <c r="AL43" s="163">
        <v>0</v>
      </c>
      <c r="AM43" s="163">
        <v>0</v>
      </c>
      <c r="AN43" s="163">
        <v>0</v>
      </c>
      <c r="AO43" s="163">
        <v>0</v>
      </c>
      <c r="AP43" s="163">
        <v>0</v>
      </c>
      <c r="AQ43" s="163">
        <v>0</v>
      </c>
      <c r="AR43" s="163">
        <v>0</v>
      </c>
      <c r="AS43" s="163">
        <v>0</v>
      </c>
      <c r="AT43" s="163">
        <v>0</v>
      </c>
      <c r="AU43" s="163">
        <v>0</v>
      </c>
      <c r="AV43" s="163">
        <v>0</v>
      </c>
      <c r="AW43" s="163">
        <v>0</v>
      </c>
      <c r="AX43" s="163">
        <v>0</v>
      </c>
      <c r="AY43" s="163">
        <v>0</v>
      </c>
      <c r="AZ43" s="163">
        <v>0</v>
      </c>
      <c r="BA43" s="163">
        <v>0</v>
      </c>
      <c r="BB43" s="163">
        <v>0</v>
      </c>
      <c r="BC43" s="163">
        <v>0</v>
      </c>
      <c r="BD43" s="163">
        <v>0</v>
      </c>
      <c r="BE43" s="163">
        <v>0</v>
      </c>
      <c r="BF43" s="163">
        <v>0</v>
      </c>
      <c r="BG43" s="163">
        <v>0</v>
      </c>
      <c r="BH43" s="163">
        <v>0</v>
      </c>
      <c r="BI43" s="163">
        <v>0</v>
      </c>
      <c r="BJ43" s="163">
        <v>0</v>
      </c>
      <c r="BK43" s="163">
        <v>0</v>
      </c>
      <c r="BL43" s="163">
        <v>0</v>
      </c>
      <c r="BM43" s="163">
        <v>0</v>
      </c>
      <c r="BN43" s="163">
        <v>0</v>
      </c>
      <c r="BO43" s="163">
        <v>0</v>
      </c>
      <c r="BP43" s="163">
        <v>0</v>
      </c>
      <c r="BQ43" s="163">
        <v>0</v>
      </c>
      <c r="BR43" s="163">
        <v>0</v>
      </c>
      <c r="BS43" s="163">
        <v>0</v>
      </c>
      <c r="BT43" s="163">
        <v>0</v>
      </c>
      <c r="BU43" s="163">
        <v>0</v>
      </c>
      <c r="BV43" s="163">
        <v>0</v>
      </c>
      <c r="BW43" s="163">
        <v>0</v>
      </c>
      <c r="BX43" s="163">
        <v>0</v>
      </c>
      <c r="BY43" s="163">
        <v>0</v>
      </c>
      <c r="BZ43" s="163">
        <v>0</v>
      </c>
      <c r="CA43" s="163">
        <v>0</v>
      </c>
      <c r="CB43" s="163">
        <v>0</v>
      </c>
      <c r="CC43" s="163">
        <v>0</v>
      </c>
      <c r="CD43" s="163">
        <v>0</v>
      </c>
      <c r="CE43" s="163">
        <v>0</v>
      </c>
      <c r="CF43" s="163">
        <v>0</v>
      </c>
      <c r="CG43" s="163">
        <v>0</v>
      </c>
      <c r="CH43" s="163">
        <v>0</v>
      </c>
      <c r="CI43" s="163">
        <v>0</v>
      </c>
      <c r="CJ43" s="163">
        <v>0</v>
      </c>
      <c r="CK43" s="163">
        <v>0</v>
      </c>
      <c r="CL43" s="163">
        <v>0</v>
      </c>
      <c r="CM43" s="163">
        <v>0</v>
      </c>
      <c r="CN43" s="163">
        <v>0</v>
      </c>
      <c r="CO43" s="163">
        <v>0</v>
      </c>
      <c r="CP43" s="163">
        <v>0</v>
      </c>
      <c r="CQ43" s="163">
        <v>0</v>
      </c>
      <c r="CR43" s="163">
        <v>0</v>
      </c>
      <c r="CS43" s="163">
        <v>0</v>
      </c>
      <c r="CT43" s="163">
        <v>0</v>
      </c>
      <c r="CU43" s="163">
        <v>0</v>
      </c>
      <c r="CV43" s="163">
        <v>0</v>
      </c>
      <c r="CW43" s="163">
        <v>0</v>
      </c>
      <c r="CX43" s="163">
        <v>0</v>
      </c>
      <c r="CY43" s="163">
        <v>0</v>
      </c>
      <c r="CZ43" s="163">
        <v>0</v>
      </c>
      <c r="DA43" s="163">
        <v>0</v>
      </c>
      <c r="DB43" s="163">
        <v>0</v>
      </c>
      <c r="DC43" s="163">
        <v>0</v>
      </c>
      <c r="DD43" s="163">
        <v>0</v>
      </c>
      <c r="DE43" s="163">
        <v>0</v>
      </c>
      <c r="DF43" s="163">
        <f>VLOOKUP($C43,'[3]BS ACC'!$C$5:$DH$1006,108,FALSE)</f>
        <v>0</v>
      </c>
      <c r="DG43" s="163">
        <f>VLOOKUP($C43,'[3]BS ACC'!$C$5:$DH$1006,109,FALSE)</f>
        <v>0</v>
      </c>
      <c r="DH43" s="163">
        <f>VLOOKUP($C43,'[3]BS ACC'!$C$5:$DH$1006,110,FALSE)</f>
        <v>0</v>
      </c>
    </row>
    <row r="44" spans="1:112">
      <c r="A44" s="350" t="str">
        <f t="shared" si="0"/>
        <v>1310247</v>
      </c>
      <c r="B44" s="350" t="s">
        <v>1572</v>
      </c>
      <c r="C44" s="335" t="s">
        <v>619</v>
      </c>
      <c r="D44" s="340">
        <v>0</v>
      </c>
      <c r="E44" s="340">
        <v>0</v>
      </c>
      <c r="F44" s="340">
        <v>0</v>
      </c>
      <c r="G44" s="340">
        <v>0</v>
      </c>
      <c r="H44" s="340">
        <v>0</v>
      </c>
      <c r="I44" s="340">
        <v>0</v>
      </c>
      <c r="J44" s="340">
        <v>0</v>
      </c>
      <c r="K44" s="340">
        <v>0</v>
      </c>
      <c r="L44" s="340">
        <v>0</v>
      </c>
      <c r="M44" s="340">
        <v>0</v>
      </c>
      <c r="N44" s="340">
        <v>0</v>
      </c>
      <c r="O44" s="340">
        <v>0</v>
      </c>
      <c r="P44" s="341">
        <v>0</v>
      </c>
      <c r="Q44" s="163">
        <v>0</v>
      </c>
      <c r="R44" s="163">
        <v>0</v>
      </c>
      <c r="S44" s="163">
        <v>0</v>
      </c>
      <c r="T44" s="163">
        <v>0</v>
      </c>
      <c r="U44" s="163">
        <v>0</v>
      </c>
      <c r="V44" s="163">
        <v>0</v>
      </c>
      <c r="W44" s="163">
        <v>0</v>
      </c>
      <c r="X44" s="163">
        <v>0</v>
      </c>
      <c r="Y44" s="163">
        <v>0</v>
      </c>
      <c r="Z44" s="163">
        <v>0</v>
      </c>
      <c r="AA44" s="163">
        <v>0</v>
      </c>
      <c r="AB44" s="163">
        <v>0</v>
      </c>
      <c r="AC44" s="163">
        <v>0</v>
      </c>
      <c r="AD44" s="163">
        <v>0</v>
      </c>
      <c r="AE44" s="163">
        <v>0</v>
      </c>
      <c r="AF44" s="163">
        <v>0</v>
      </c>
      <c r="AG44" s="163">
        <v>0</v>
      </c>
      <c r="AH44" s="163">
        <v>0</v>
      </c>
      <c r="AI44" s="163">
        <v>0</v>
      </c>
      <c r="AJ44" s="163">
        <v>0</v>
      </c>
      <c r="AK44" s="163">
        <v>0</v>
      </c>
      <c r="AL44" s="163">
        <v>0</v>
      </c>
      <c r="AM44" s="163">
        <v>0</v>
      </c>
      <c r="AN44" s="163">
        <v>0</v>
      </c>
      <c r="AO44" s="163">
        <v>0</v>
      </c>
      <c r="AP44" s="163">
        <v>0</v>
      </c>
      <c r="AQ44" s="163">
        <v>0</v>
      </c>
      <c r="AR44" s="163">
        <v>0</v>
      </c>
      <c r="AS44" s="163">
        <v>0</v>
      </c>
      <c r="AT44" s="163">
        <v>0</v>
      </c>
      <c r="AU44" s="163">
        <v>0</v>
      </c>
      <c r="AV44" s="163">
        <v>0</v>
      </c>
      <c r="AW44" s="163">
        <v>0</v>
      </c>
      <c r="AX44" s="163">
        <v>0</v>
      </c>
      <c r="AY44" s="163">
        <v>0</v>
      </c>
      <c r="AZ44" s="163">
        <v>0</v>
      </c>
      <c r="BA44" s="163">
        <v>0</v>
      </c>
      <c r="BB44" s="163">
        <v>0</v>
      </c>
      <c r="BC44" s="163">
        <v>0</v>
      </c>
      <c r="BD44" s="163">
        <v>0</v>
      </c>
      <c r="BE44" s="163">
        <v>0</v>
      </c>
      <c r="BF44" s="163">
        <v>0</v>
      </c>
      <c r="BG44" s="163">
        <v>0</v>
      </c>
      <c r="BH44" s="163">
        <v>0</v>
      </c>
      <c r="BI44" s="163">
        <v>0</v>
      </c>
      <c r="BJ44" s="163">
        <v>0</v>
      </c>
      <c r="BK44" s="163">
        <v>0</v>
      </c>
      <c r="BL44" s="163">
        <v>0</v>
      </c>
      <c r="BM44" s="163">
        <v>0</v>
      </c>
      <c r="BN44" s="163">
        <v>0</v>
      </c>
      <c r="BO44" s="163">
        <v>0</v>
      </c>
      <c r="BP44" s="163">
        <v>0</v>
      </c>
      <c r="BQ44" s="163">
        <v>0</v>
      </c>
      <c r="BR44" s="163">
        <v>0</v>
      </c>
      <c r="BS44" s="163">
        <v>0</v>
      </c>
      <c r="BT44" s="163">
        <v>0</v>
      </c>
      <c r="BU44" s="163">
        <v>0</v>
      </c>
      <c r="BV44" s="163">
        <v>0</v>
      </c>
      <c r="BW44" s="163">
        <v>0</v>
      </c>
      <c r="BX44" s="163">
        <v>0</v>
      </c>
      <c r="BY44" s="163">
        <v>0</v>
      </c>
      <c r="BZ44" s="163">
        <v>0</v>
      </c>
      <c r="CA44" s="163">
        <v>0</v>
      </c>
      <c r="CB44" s="163">
        <v>0</v>
      </c>
      <c r="CC44" s="163">
        <v>0</v>
      </c>
      <c r="CD44" s="163">
        <v>0</v>
      </c>
      <c r="CE44" s="163">
        <v>0</v>
      </c>
      <c r="CF44" s="163">
        <v>0</v>
      </c>
      <c r="CG44" s="163">
        <v>0</v>
      </c>
      <c r="CH44" s="163">
        <v>0</v>
      </c>
      <c r="CI44" s="163">
        <v>0</v>
      </c>
      <c r="CJ44" s="163">
        <v>0</v>
      </c>
      <c r="CK44" s="163">
        <v>0</v>
      </c>
      <c r="CL44" s="163">
        <v>0</v>
      </c>
      <c r="CM44" s="163">
        <v>0</v>
      </c>
      <c r="CN44" s="163">
        <v>0</v>
      </c>
      <c r="CO44" s="163">
        <v>0</v>
      </c>
      <c r="CP44" s="163">
        <v>0</v>
      </c>
      <c r="CQ44" s="163">
        <v>0</v>
      </c>
      <c r="CR44" s="163">
        <v>0</v>
      </c>
      <c r="CS44" s="163">
        <v>0</v>
      </c>
      <c r="CT44" s="163">
        <v>0</v>
      </c>
      <c r="CU44" s="163">
        <v>0</v>
      </c>
      <c r="CV44" s="163">
        <v>0</v>
      </c>
      <c r="CW44" s="163">
        <v>0</v>
      </c>
      <c r="CX44" s="163">
        <v>0</v>
      </c>
      <c r="CY44" s="163">
        <v>0</v>
      </c>
      <c r="CZ44" s="163">
        <v>0</v>
      </c>
      <c r="DA44" s="163">
        <v>0</v>
      </c>
      <c r="DB44" s="163">
        <v>0</v>
      </c>
      <c r="DC44" s="163">
        <v>0</v>
      </c>
      <c r="DD44" s="163">
        <v>0</v>
      </c>
      <c r="DE44" s="163">
        <v>0</v>
      </c>
      <c r="DF44" s="163">
        <f>VLOOKUP($C44,'[3]BS ACC'!$C$5:$DH$1006,108,FALSE)</f>
        <v>0</v>
      </c>
      <c r="DG44" s="163">
        <f>VLOOKUP($C44,'[3]BS ACC'!$C$5:$DH$1006,109,FALSE)</f>
        <v>0</v>
      </c>
      <c r="DH44" s="163">
        <f>VLOOKUP($C44,'[3]BS ACC'!$C$5:$DH$1006,110,FALSE)</f>
        <v>0</v>
      </c>
    </row>
    <row r="45" spans="1:112">
      <c r="A45" s="350" t="str">
        <f t="shared" si="0"/>
        <v>1310250</v>
      </c>
      <c r="B45" s="350" t="s">
        <v>1574</v>
      </c>
      <c r="C45" s="335" t="s">
        <v>620</v>
      </c>
      <c r="D45" s="340">
        <v>-356803.24</v>
      </c>
      <c r="E45" s="340">
        <v>-417463.6</v>
      </c>
      <c r="F45" s="340">
        <v>-380435.3</v>
      </c>
      <c r="G45" s="340">
        <v>-460815.83</v>
      </c>
      <c r="H45" s="340">
        <v>-349953.66</v>
      </c>
      <c r="I45" s="340">
        <v>-326217.86</v>
      </c>
      <c r="J45" s="340">
        <v>-369621.2</v>
      </c>
      <c r="K45" s="340">
        <v>-372966.15</v>
      </c>
      <c r="L45" s="340">
        <v>-402892.79999999999</v>
      </c>
      <c r="M45" s="340">
        <v>-340277.47</v>
      </c>
      <c r="N45" s="340">
        <v>-418507.59</v>
      </c>
      <c r="O45" s="340">
        <v>-542687.42000000004</v>
      </c>
      <c r="P45" s="341">
        <v>-276683</v>
      </c>
      <c r="Q45" s="163">
        <v>-460783.61</v>
      </c>
      <c r="R45" s="163">
        <v>-393263.08</v>
      </c>
      <c r="S45" s="163">
        <v>-409361.95</v>
      </c>
      <c r="T45" s="163">
        <v>-447910.36</v>
      </c>
      <c r="U45" s="163">
        <v>-432316.01</v>
      </c>
      <c r="V45" s="163">
        <v>-390083.87</v>
      </c>
      <c r="W45" s="163">
        <v>-400888.99</v>
      </c>
      <c r="X45" s="163">
        <v>-383254.5</v>
      </c>
      <c r="Y45" s="163">
        <v>-372637.4</v>
      </c>
      <c r="Z45" s="163">
        <v>-382827.51</v>
      </c>
      <c r="AA45" s="163">
        <v>-396305.4</v>
      </c>
      <c r="AB45" s="163">
        <v>-334906.07</v>
      </c>
      <c r="AC45" s="163">
        <v>-397485.49</v>
      </c>
      <c r="AD45" s="163">
        <v>-713422.99</v>
      </c>
      <c r="AE45" s="163">
        <v>-375115.14</v>
      </c>
      <c r="AF45" s="163">
        <v>-468384.95</v>
      </c>
      <c r="AG45" s="163">
        <v>-453761.13</v>
      </c>
      <c r="AH45" s="163">
        <v>-457769.58</v>
      </c>
      <c r="AI45" s="163">
        <v>-652898.51</v>
      </c>
      <c r="AJ45" s="163">
        <v>-485868.28</v>
      </c>
      <c r="AK45" s="163">
        <v>-607450.02</v>
      </c>
      <c r="AL45" s="163">
        <v>-471575.98</v>
      </c>
      <c r="AM45" s="163">
        <v>-432099.42</v>
      </c>
      <c r="AN45" s="163">
        <v>-721228.27</v>
      </c>
      <c r="AO45" s="163">
        <v>-281703.28999999998</v>
      </c>
      <c r="AP45" s="163">
        <v>-209866.08</v>
      </c>
      <c r="AQ45" s="163">
        <v>-143926.03</v>
      </c>
      <c r="AR45" s="163">
        <v>-106715.1</v>
      </c>
      <c r="AS45" s="163">
        <v>-79006.38</v>
      </c>
      <c r="AT45" s="163">
        <v>-41469.46</v>
      </c>
      <c r="AU45" s="163">
        <v>-19663.14</v>
      </c>
      <c r="AV45" s="163">
        <v>0</v>
      </c>
      <c r="AW45" s="163">
        <v>0</v>
      </c>
      <c r="AX45" s="163">
        <v>0</v>
      </c>
      <c r="AY45" s="163">
        <v>0</v>
      </c>
      <c r="AZ45" s="163">
        <v>0</v>
      </c>
      <c r="BA45" s="163">
        <v>0</v>
      </c>
      <c r="BB45" s="163">
        <v>0</v>
      </c>
      <c r="BC45" s="163">
        <v>0</v>
      </c>
      <c r="BD45" s="163">
        <v>0</v>
      </c>
      <c r="BE45" s="163">
        <v>0</v>
      </c>
      <c r="BF45" s="163">
        <v>0</v>
      </c>
      <c r="BG45" s="163">
        <v>0</v>
      </c>
      <c r="BH45" s="163">
        <v>0</v>
      </c>
      <c r="BI45" s="163">
        <v>0</v>
      </c>
      <c r="BJ45" s="163">
        <v>0</v>
      </c>
      <c r="BK45" s="163">
        <v>0</v>
      </c>
      <c r="BL45" s="163">
        <v>0</v>
      </c>
      <c r="BM45" s="163">
        <v>0</v>
      </c>
      <c r="BN45" s="163">
        <v>0</v>
      </c>
      <c r="BO45" s="163">
        <v>0</v>
      </c>
      <c r="BP45" s="163">
        <v>0</v>
      </c>
      <c r="BQ45" s="163">
        <v>0</v>
      </c>
      <c r="BR45" s="163">
        <v>0</v>
      </c>
      <c r="BS45" s="163">
        <v>0</v>
      </c>
      <c r="BT45" s="163">
        <v>0</v>
      </c>
      <c r="BU45" s="163">
        <v>0</v>
      </c>
      <c r="BV45" s="163">
        <v>0</v>
      </c>
      <c r="BW45" s="163">
        <v>0</v>
      </c>
      <c r="BX45" s="163">
        <v>0</v>
      </c>
      <c r="BY45" s="163">
        <v>0</v>
      </c>
      <c r="BZ45" s="163">
        <v>0</v>
      </c>
      <c r="CA45" s="163">
        <v>0</v>
      </c>
      <c r="CB45" s="163">
        <v>0</v>
      </c>
      <c r="CC45" s="163">
        <v>0</v>
      </c>
      <c r="CD45" s="163">
        <v>0</v>
      </c>
      <c r="CE45" s="163">
        <v>0</v>
      </c>
      <c r="CF45" s="163">
        <v>0</v>
      </c>
      <c r="CG45" s="163">
        <v>0</v>
      </c>
      <c r="CH45" s="163">
        <v>0</v>
      </c>
      <c r="CI45" s="163">
        <v>0</v>
      </c>
      <c r="CJ45" s="163">
        <v>0</v>
      </c>
      <c r="CK45" s="163">
        <v>0</v>
      </c>
      <c r="CL45" s="163">
        <v>0</v>
      </c>
      <c r="CM45" s="163">
        <v>0</v>
      </c>
      <c r="CN45" s="163">
        <v>0</v>
      </c>
      <c r="CO45" s="163">
        <v>0</v>
      </c>
      <c r="CP45" s="163">
        <v>0</v>
      </c>
      <c r="CQ45" s="163">
        <v>0</v>
      </c>
      <c r="CR45" s="163">
        <v>0</v>
      </c>
      <c r="CS45" s="163">
        <v>0</v>
      </c>
      <c r="CT45" s="163">
        <v>0</v>
      </c>
      <c r="CU45" s="163">
        <v>0</v>
      </c>
      <c r="CV45" s="163">
        <v>0</v>
      </c>
      <c r="CW45" s="163">
        <v>0</v>
      </c>
      <c r="CX45" s="163">
        <v>0</v>
      </c>
      <c r="CY45" s="163">
        <v>0</v>
      </c>
      <c r="CZ45" s="163">
        <v>0</v>
      </c>
      <c r="DA45" s="163">
        <v>0</v>
      </c>
      <c r="DB45" s="163">
        <v>0</v>
      </c>
      <c r="DC45" s="163">
        <v>0</v>
      </c>
      <c r="DD45" s="163">
        <v>0</v>
      </c>
      <c r="DE45" s="163">
        <v>0</v>
      </c>
      <c r="DF45" s="163">
        <f>VLOOKUP($C45,'[3]BS ACC'!$C$5:$DH$1006,108,FALSE)</f>
        <v>0</v>
      </c>
      <c r="DG45" s="163">
        <f>VLOOKUP($C45,'[3]BS ACC'!$C$5:$DH$1006,109,FALSE)</f>
        <v>0</v>
      </c>
      <c r="DH45" s="163">
        <f>VLOOKUP($C45,'[3]BS ACC'!$C$5:$DH$1006,110,FALSE)</f>
        <v>0</v>
      </c>
    </row>
    <row r="46" spans="1:112">
      <c r="A46" s="350" t="str">
        <f t="shared" si="0"/>
        <v>1310260</v>
      </c>
      <c r="B46" s="350" t="s">
        <v>1575</v>
      </c>
      <c r="C46" s="335" t="s">
        <v>621</v>
      </c>
      <c r="D46" s="340">
        <v>1253758.56</v>
      </c>
      <c r="E46" s="340">
        <v>1208633.3899999999</v>
      </c>
      <c r="F46" s="340">
        <v>1370390.39</v>
      </c>
      <c r="G46" s="340">
        <v>1298478.0900000001</v>
      </c>
      <c r="H46" s="340">
        <v>977517.92</v>
      </c>
      <c r="I46" s="340">
        <v>1315182.0800000001</v>
      </c>
      <c r="J46" s="340">
        <v>1062625</v>
      </c>
      <c r="K46" s="340">
        <v>1175544.54</v>
      </c>
      <c r="L46" s="340">
        <v>900315.79</v>
      </c>
      <c r="M46" s="340">
        <v>919544.19</v>
      </c>
      <c r="N46" s="340">
        <v>796260.2</v>
      </c>
      <c r="O46" s="340">
        <v>312750.59000000003</v>
      </c>
      <c r="P46" s="341">
        <v>1595655.14</v>
      </c>
      <c r="Q46" s="163">
        <v>1096771.6000000001</v>
      </c>
      <c r="R46" s="163">
        <v>1314102.25</v>
      </c>
      <c r="S46" s="163">
        <v>1741844.72</v>
      </c>
      <c r="T46" s="163">
        <v>1017457.64</v>
      </c>
      <c r="U46" s="163">
        <v>927737.13</v>
      </c>
      <c r="V46" s="163">
        <v>1351838.23</v>
      </c>
      <c r="W46" s="163">
        <v>870913.26</v>
      </c>
      <c r="X46" s="163">
        <v>858623.45</v>
      </c>
      <c r="Y46" s="163">
        <v>1070461.26</v>
      </c>
      <c r="Z46" s="163">
        <v>794315.85</v>
      </c>
      <c r="AA46" s="163">
        <v>1261527.5900000001</v>
      </c>
      <c r="AB46" s="163">
        <v>1211935.99</v>
      </c>
      <c r="AC46" s="163">
        <v>1152146.48</v>
      </c>
      <c r="AD46" s="163">
        <v>1175384.51</v>
      </c>
      <c r="AE46" s="163">
        <v>1049060.23</v>
      </c>
      <c r="AF46" s="163">
        <v>953963.55</v>
      </c>
      <c r="AG46" s="163">
        <v>836624.24</v>
      </c>
      <c r="AH46" s="163">
        <v>920757.31</v>
      </c>
      <c r="AI46" s="163">
        <v>1167407.1399999999</v>
      </c>
      <c r="AJ46" s="163">
        <v>910043.2</v>
      </c>
      <c r="AK46" s="163">
        <v>749417.82</v>
      </c>
      <c r="AL46" s="163">
        <v>860510.84</v>
      </c>
      <c r="AM46" s="163">
        <v>1661382.56</v>
      </c>
      <c r="AN46" s="163">
        <v>1462190.73</v>
      </c>
      <c r="AO46" s="163">
        <v>293542.01</v>
      </c>
      <c r="AP46" s="163">
        <v>301609.02</v>
      </c>
      <c r="AQ46" s="163">
        <v>301261.84000000003</v>
      </c>
      <c r="AR46" s="163">
        <v>299824.65999999997</v>
      </c>
      <c r="AS46" s="163">
        <v>298770.2</v>
      </c>
      <c r="AT46" s="163">
        <v>298746.92</v>
      </c>
      <c r="AU46" s="163">
        <v>298617.02</v>
      </c>
      <c r="AV46" s="163">
        <v>298617.02</v>
      </c>
      <c r="AW46" s="163">
        <v>0</v>
      </c>
      <c r="AX46" s="163">
        <v>0</v>
      </c>
      <c r="AY46" s="163">
        <v>0</v>
      </c>
      <c r="AZ46" s="163">
        <v>0</v>
      </c>
      <c r="BA46" s="163">
        <v>0</v>
      </c>
      <c r="BB46" s="163">
        <v>0</v>
      </c>
      <c r="BC46" s="163">
        <v>0</v>
      </c>
      <c r="BD46" s="163">
        <v>0</v>
      </c>
      <c r="BE46" s="163">
        <v>0</v>
      </c>
      <c r="BF46" s="163">
        <v>0</v>
      </c>
      <c r="BG46" s="163">
        <v>0</v>
      </c>
      <c r="BH46" s="163">
        <v>0</v>
      </c>
      <c r="BI46" s="163">
        <v>0</v>
      </c>
      <c r="BJ46" s="163">
        <v>0</v>
      </c>
      <c r="BK46" s="163">
        <v>0</v>
      </c>
      <c r="BL46" s="163">
        <v>0</v>
      </c>
      <c r="BM46" s="163">
        <v>0</v>
      </c>
      <c r="BN46" s="163">
        <v>0</v>
      </c>
      <c r="BO46" s="163">
        <v>0</v>
      </c>
      <c r="BP46" s="163">
        <v>0</v>
      </c>
      <c r="BQ46" s="163">
        <v>0</v>
      </c>
      <c r="BR46" s="163">
        <v>0</v>
      </c>
      <c r="BS46" s="163">
        <v>0</v>
      </c>
      <c r="BT46" s="163">
        <v>0</v>
      </c>
      <c r="BU46" s="163">
        <v>0</v>
      </c>
      <c r="BV46" s="163">
        <v>0</v>
      </c>
      <c r="BW46" s="163">
        <v>0</v>
      </c>
      <c r="BX46" s="163">
        <v>0</v>
      </c>
      <c r="BY46" s="163">
        <v>0</v>
      </c>
      <c r="BZ46" s="163">
        <v>0</v>
      </c>
      <c r="CA46" s="163">
        <v>0</v>
      </c>
      <c r="CB46" s="163">
        <v>0</v>
      </c>
      <c r="CC46" s="163">
        <v>0</v>
      </c>
      <c r="CD46" s="163">
        <v>0</v>
      </c>
      <c r="CE46" s="163">
        <v>0</v>
      </c>
      <c r="CF46" s="163">
        <v>0</v>
      </c>
      <c r="CG46" s="163">
        <v>0</v>
      </c>
      <c r="CH46" s="163">
        <v>0</v>
      </c>
      <c r="CI46" s="163">
        <v>0</v>
      </c>
      <c r="CJ46" s="163">
        <v>0</v>
      </c>
      <c r="CK46" s="163">
        <v>0</v>
      </c>
      <c r="CL46" s="163">
        <v>0</v>
      </c>
      <c r="CM46" s="163">
        <v>0</v>
      </c>
      <c r="CN46" s="163">
        <v>0</v>
      </c>
      <c r="CO46" s="163">
        <v>0</v>
      </c>
      <c r="CP46" s="163">
        <v>0</v>
      </c>
      <c r="CQ46" s="163">
        <v>0</v>
      </c>
      <c r="CR46" s="163">
        <v>0</v>
      </c>
      <c r="CS46" s="163">
        <v>0</v>
      </c>
      <c r="CT46" s="163">
        <v>0</v>
      </c>
      <c r="CU46" s="163">
        <v>0</v>
      </c>
      <c r="CV46" s="163">
        <v>0</v>
      </c>
      <c r="CW46" s="163">
        <v>0</v>
      </c>
      <c r="CX46" s="163">
        <v>0</v>
      </c>
      <c r="CY46" s="163">
        <v>0</v>
      </c>
      <c r="CZ46" s="163">
        <v>0</v>
      </c>
      <c r="DA46" s="163">
        <v>0</v>
      </c>
      <c r="DB46" s="163">
        <v>0</v>
      </c>
      <c r="DC46" s="163">
        <v>0</v>
      </c>
      <c r="DD46" s="163">
        <v>0</v>
      </c>
      <c r="DE46" s="163">
        <v>0</v>
      </c>
      <c r="DF46" s="163">
        <f>VLOOKUP($C46,'[3]BS ACC'!$C$5:$DH$1006,108,FALSE)</f>
        <v>0</v>
      </c>
      <c r="DG46" s="163">
        <f>VLOOKUP($C46,'[3]BS ACC'!$C$5:$DH$1006,109,FALSE)</f>
        <v>0</v>
      </c>
      <c r="DH46" s="163">
        <f>VLOOKUP($C46,'[3]BS ACC'!$C$5:$DH$1006,110,FALSE)</f>
        <v>0</v>
      </c>
    </row>
    <row r="47" spans="1:112">
      <c r="A47" s="350" t="str">
        <f t="shared" si="0"/>
        <v>1310630</v>
      </c>
      <c r="B47" s="350" t="s">
        <v>1576</v>
      </c>
      <c r="C47" s="335" t="s">
        <v>622</v>
      </c>
      <c r="D47" s="340">
        <v>170751</v>
      </c>
      <c r="E47" s="340">
        <v>170761.15</v>
      </c>
      <c r="F47" s="340">
        <v>170771.31</v>
      </c>
      <c r="G47" s="340">
        <v>170779.59</v>
      </c>
      <c r="H47" s="340">
        <v>170788.29</v>
      </c>
      <c r="I47" s="340">
        <v>170796.71</v>
      </c>
      <c r="J47" s="340">
        <v>0</v>
      </c>
      <c r="K47" s="340">
        <v>0</v>
      </c>
      <c r="L47" s="340">
        <v>0</v>
      </c>
      <c r="M47" s="340">
        <v>0</v>
      </c>
      <c r="N47" s="340">
        <v>0</v>
      </c>
      <c r="O47" s="340">
        <v>0</v>
      </c>
      <c r="P47" s="341">
        <v>0</v>
      </c>
      <c r="Q47" s="163">
        <v>0</v>
      </c>
      <c r="R47" s="163">
        <v>0</v>
      </c>
      <c r="S47" s="163">
        <v>0</v>
      </c>
      <c r="T47" s="163">
        <v>0</v>
      </c>
      <c r="U47" s="163">
        <v>0</v>
      </c>
      <c r="V47" s="163">
        <v>0</v>
      </c>
      <c r="W47" s="163">
        <v>0</v>
      </c>
      <c r="X47" s="163">
        <v>0</v>
      </c>
      <c r="Y47" s="163">
        <v>0</v>
      </c>
      <c r="Z47" s="163">
        <v>0</v>
      </c>
      <c r="AA47" s="163">
        <v>0</v>
      </c>
      <c r="AB47" s="163">
        <v>0</v>
      </c>
      <c r="AC47" s="163">
        <v>0</v>
      </c>
      <c r="AD47" s="163">
        <v>0</v>
      </c>
      <c r="AE47" s="163">
        <v>0</v>
      </c>
      <c r="AF47" s="163">
        <v>0</v>
      </c>
      <c r="AG47" s="163">
        <v>0</v>
      </c>
      <c r="AH47" s="163">
        <v>0</v>
      </c>
      <c r="AI47" s="163">
        <v>0</v>
      </c>
      <c r="AJ47" s="163">
        <v>0</v>
      </c>
      <c r="AK47" s="163">
        <v>0</v>
      </c>
      <c r="AL47" s="163">
        <v>0</v>
      </c>
      <c r="AM47" s="163">
        <v>0</v>
      </c>
      <c r="AN47" s="163">
        <v>0</v>
      </c>
      <c r="AO47" s="163">
        <v>0</v>
      </c>
      <c r="AP47" s="163">
        <v>0</v>
      </c>
      <c r="AQ47" s="163">
        <v>0</v>
      </c>
      <c r="AR47" s="163">
        <v>0</v>
      </c>
      <c r="AS47" s="163">
        <v>0</v>
      </c>
      <c r="AT47" s="163">
        <v>0</v>
      </c>
      <c r="AU47" s="163">
        <v>0</v>
      </c>
      <c r="AV47" s="163">
        <v>0</v>
      </c>
      <c r="AW47" s="163">
        <v>0</v>
      </c>
      <c r="AX47" s="163">
        <v>0</v>
      </c>
      <c r="AY47" s="163">
        <v>0</v>
      </c>
      <c r="AZ47" s="163">
        <v>0</v>
      </c>
      <c r="BA47" s="163">
        <v>0</v>
      </c>
      <c r="BB47" s="163">
        <v>0</v>
      </c>
      <c r="BC47" s="163">
        <v>0</v>
      </c>
      <c r="BD47" s="163">
        <v>0</v>
      </c>
      <c r="BE47" s="163">
        <v>0</v>
      </c>
      <c r="BF47" s="163">
        <v>0</v>
      </c>
      <c r="BG47" s="163">
        <v>0</v>
      </c>
      <c r="BH47" s="163">
        <v>0</v>
      </c>
      <c r="BI47" s="163">
        <v>0</v>
      </c>
      <c r="BJ47" s="163">
        <v>0</v>
      </c>
      <c r="BK47" s="163">
        <v>0</v>
      </c>
      <c r="BL47" s="163">
        <v>0</v>
      </c>
      <c r="BM47" s="163">
        <v>0</v>
      </c>
      <c r="BN47" s="163">
        <v>0</v>
      </c>
      <c r="BO47" s="163">
        <v>0</v>
      </c>
      <c r="BP47" s="163">
        <v>0</v>
      </c>
      <c r="BQ47" s="163">
        <v>0</v>
      </c>
      <c r="BR47" s="163">
        <v>0</v>
      </c>
      <c r="BS47" s="163">
        <v>0</v>
      </c>
      <c r="BT47" s="163">
        <v>0</v>
      </c>
      <c r="BU47" s="163">
        <v>0</v>
      </c>
      <c r="BV47" s="163">
        <v>0</v>
      </c>
      <c r="BW47" s="163">
        <v>0</v>
      </c>
      <c r="BX47" s="163">
        <v>0</v>
      </c>
      <c r="BY47" s="163">
        <v>0</v>
      </c>
      <c r="BZ47" s="163">
        <v>0</v>
      </c>
      <c r="CA47" s="163">
        <v>0</v>
      </c>
      <c r="CB47" s="163">
        <v>0</v>
      </c>
      <c r="CC47" s="163">
        <v>0</v>
      </c>
      <c r="CD47" s="163">
        <v>0</v>
      </c>
      <c r="CE47" s="163">
        <v>0</v>
      </c>
      <c r="CF47" s="163">
        <v>0</v>
      </c>
      <c r="CG47" s="163">
        <v>0</v>
      </c>
      <c r="CH47" s="163">
        <v>0</v>
      </c>
      <c r="CI47" s="163">
        <v>0</v>
      </c>
      <c r="CJ47" s="163">
        <v>0</v>
      </c>
      <c r="CK47" s="163">
        <v>0</v>
      </c>
      <c r="CL47" s="163">
        <v>0</v>
      </c>
      <c r="CM47" s="163">
        <v>0</v>
      </c>
      <c r="CN47" s="163">
        <v>0</v>
      </c>
      <c r="CO47" s="163">
        <v>0</v>
      </c>
      <c r="CP47" s="163">
        <v>0</v>
      </c>
      <c r="CQ47" s="163">
        <v>0</v>
      </c>
      <c r="CR47" s="163">
        <v>0</v>
      </c>
      <c r="CS47" s="163">
        <v>0</v>
      </c>
      <c r="CT47" s="163">
        <v>0</v>
      </c>
      <c r="CU47" s="163">
        <v>0</v>
      </c>
      <c r="CV47" s="163">
        <v>0</v>
      </c>
      <c r="CW47" s="163">
        <v>0</v>
      </c>
      <c r="CX47" s="163">
        <v>0</v>
      </c>
      <c r="CY47" s="163">
        <v>0</v>
      </c>
      <c r="CZ47" s="163">
        <v>0</v>
      </c>
      <c r="DA47" s="163">
        <v>0</v>
      </c>
      <c r="DB47" s="163">
        <v>0</v>
      </c>
      <c r="DC47" s="163">
        <v>0</v>
      </c>
      <c r="DD47" s="163">
        <v>0</v>
      </c>
      <c r="DE47" s="163">
        <v>0</v>
      </c>
      <c r="DF47" s="163">
        <f>VLOOKUP($C47,'[3]BS ACC'!$C$5:$DH$1006,108,FALSE)</f>
        <v>0</v>
      </c>
      <c r="DG47" s="163">
        <f>VLOOKUP($C47,'[3]BS ACC'!$C$5:$DH$1006,109,FALSE)</f>
        <v>0</v>
      </c>
      <c r="DH47" s="163">
        <f>VLOOKUP($C47,'[3]BS ACC'!$C$5:$DH$1006,110,FALSE)</f>
        <v>0</v>
      </c>
    </row>
    <row r="48" spans="1:112">
      <c r="A48" s="350" t="str">
        <f t="shared" si="0"/>
        <v>1310690</v>
      </c>
      <c r="B48" s="350" t="s">
        <v>1739</v>
      </c>
      <c r="C48" s="335" t="s">
        <v>1740</v>
      </c>
      <c r="D48" s="340"/>
      <c r="E48" s="340"/>
      <c r="F48" s="340"/>
      <c r="G48" s="340"/>
      <c r="H48" s="340"/>
      <c r="I48" s="340"/>
      <c r="J48" s="340"/>
      <c r="K48" s="340"/>
      <c r="L48" s="340"/>
      <c r="M48" s="340"/>
      <c r="N48" s="340"/>
      <c r="O48" s="340"/>
      <c r="P48" s="341"/>
      <c r="Q48" s="163"/>
      <c r="R48" s="163"/>
      <c r="S48" s="163"/>
      <c r="T48" s="163"/>
      <c r="U48" s="163"/>
      <c r="V48" s="163"/>
      <c r="W48" s="163"/>
      <c r="X48" s="163"/>
      <c r="Y48" s="163"/>
      <c r="Z48" s="163"/>
      <c r="AA48" s="163"/>
      <c r="AB48" s="163"/>
      <c r="AC48" s="163"/>
      <c r="AD48" s="163"/>
      <c r="AE48" s="163"/>
      <c r="AF48" s="163"/>
      <c r="AG48" s="163"/>
      <c r="AH48" s="163"/>
      <c r="AI48" s="163"/>
      <c r="AJ48" s="163"/>
      <c r="AK48" s="163"/>
      <c r="AL48" s="163">
        <v>0</v>
      </c>
      <c r="AM48" s="163">
        <v>0</v>
      </c>
      <c r="AN48" s="163">
        <v>43.24</v>
      </c>
      <c r="AO48" s="163">
        <v>150621.59</v>
      </c>
      <c r="AP48" s="163">
        <v>122740.56</v>
      </c>
      <c r="AQ48" s="163">
        <v>172100.26</v>
      </c>
      <c r="AR48" s="163">
        <v>100000</v>
      </c>
      <c r="AS48" s="163">
        <v>154945.56</v>
      </c>
      <c r="AT48" s="163">
        <v>113341.6</v>
      </c>
      <c r="AU48" s="163">
        <v>107607.95</v>
      </c>
      <c r="AV48" s="163">
        <v>7307093.8600000003</v>
      </c>
      <c r="AW48" s="163">
        <v>133232</v>
      </c>
      <c r="AX48" s="163">
        <v>171919.03</v>
      </c>
      <c r="AY48" s="163">
        <v>100000</v>
      </c>
      <c r="AZ48" s="163">
        <v>209687.65</v>
      </c>
      <c r="BA48" s="163">
        <v>130776.02</v>
      </c>
      <c r="BB48" s="163">
        <v>108119</v>
      </c>
      <c r="BC48" s="163">
        <v>108249</v>
      </c>
      <c r="BD48" s="163">
        <v>132510.87</v>
      </c>
      <c r="BE48" s="163">
        <v>187942.09</v>
      </c>
      <c r="BF48" s="163">
        <v>129253</v>
      </c>
      <c r="BG48" s="163">
        <v>177675</v>
      </c>
      <c r="BH48" s="163">
        <v>118549</v>
      </c>
      <c r="BI48" s="163">
        <v>129104.23</v>
      </c>
      <c r="BJ48" s="163">
        <v>107054.99</v>
      </c>
      <c r="BK48" s="163">
        <v>282556.82</v>
      </c>
      <c r="BL48" s="163">
        <v>108185</v>
      </c>
      <c r="BM48" s="163">
        <v>144716.17000000001</v>
      </c>
      <c r="BN48" s="163">
        <v>151436</v>
      </c>
      <c r="BO48" s="163">
        <v>131623.15</v>
      </c>
      <c r="BP48" s="163">
        <v>231156.13</v>
      </c>
      <c r="BQ48" s="163">
        <v>203186</v>
      </c>
      <c r="BR48" s="163">
        <v>177164</v>
      </c>
      <c r="BS48" s="163">
        <v>199575</v>
      </c>
      <c r="BT48" s="163">
        <v>195807.26</v>
      </c>
      <c r="BU48" s="163">
        <v>139391</v>
      </c>
      <c r="BV48" s="163">
        <v>244831.52</v>
      </c>
      <c r="BW48" s="163">
        <v>117510</v>
      </c>
      <c r="BX48" s="163">
        <v>152460</v>
      </c>
      <c r="BY48" s="163">
        <v>156051.66</v>
      </c>
      <c r="BZ48" s="163">
        <v>293510.21000000002</v>
      </c>
      <c r="CA48" s="163">
        <v>141126.46</v>
      </c>
      <c r="CB48" s="163">
        <v>134525</v>
      </c>
      <c r="CC48" s="163">
        <v>142383.70000000001</v>
      </c>
      <c r="CD48" s="163">
        <v>178839.71</v>
      </c>
      <c r="CE48" s="163">
        <v>250489</v>
      </c>
      <c r="CF48" s="163">
        <v>117011</v>
      </c>
      <c r="CG48" s="163">
        <v>116132.78</v>
      </c>
      <c r="CH48" s="163">
        <v>258135.39</v>
      </c>
      <c r="CI48" s="163">
        <v>100360</v>
      </c>
      <c r="CJ48" s="163">
        <v>219961.26</v>
      </c>
      <c r="CK48" s="163">
        <v>185639.67999999999</v>
      </c>
      <c r="CL48" s="163">
        <v>155650.71</v>
      </c>
      <c r="CM48" s="163">
        <v>200254.38</v>
      </c>
      <c r="CN48" s="163">
        <v>427903.01</v>
      </c>
      <c r="CO48" s="163">
        <v>141417.48000000001</v>
      </c>
      <c r="CP48" s="163">
        <v>187367.08</v>
      </c>
      <c r="CQ48" s="163">
        <v>217337</v>
      </c>
      <c r="CR48" s="163">
        <v>120254</v>
      </c>
      <c r="CS48" s="163">
        <v>424748.46</v>
      </c>
      <c r="CT48" s="163">
        <v>458112.84</v>
      </c>
      <c r="CU48" s="163">
        <v>116068</v>
      </c>
      <c r="CV48" s="163">
        <v>100300</v>
      </c>
      <c r="CW48" s="163">
        <v>131316.29</v>
      </c>
      <c r="CX48" s="163">
        <v>206645</v>
      </c>
      <c r="CY48" s="163">
        <v>100000</v>
      </c>
      <c r="CZ48" s="163">
        <v>98518</v>
      </c>
      <c r="DA48" s="163">
        <v>119715</v>
      </c>
      <c r="DB48" s="163">
        <v>279008.15999999997</v>
      </c>
      <c r="DC48" s="163">
        <v>226588.26</v>
      </c>
      <c r="DD48" s="163">
        <v>100000</v>
      </c>
      <c r="DE48" s="163">
        <v>100000</v>
      </c>
      <c r="DF48" s="163">
        <f>VLOOKUP($C48,'[3]BS ACC'!$C$5:$DH$1006,108,FALSE)</f>
        <v>100059</v>
      </c>
      <c r="DG48" s="163">
        <f>VLOOKUP($C48,'[3]BS ACC'!$C$5:$DH$1006,109,FALSE)</f>
        <v>100750</v>
      </c>
      <c r="DH48" s="163">
        <f>VLOOKUP($C48,'[3]BS ACC'!$C$5:$DH$1006,110,FALSE)</f>
        <v>145670</v>
      </c>
    </row>
    <row r="49" spans="1:112">
      <c r="A49" s="350" t="str">
        <f t="shared" si="0"/>
        <v>1310990</v>
      </c>
      <c r="B49" s="350" t="s">
        <v>1577</v>
      </c>
      <c r="C49" s="335" t="s">
        <v>623</v>
      </c>
      <c r="D49" s="340">
        <v>2207825.1800000002</v>
      </c>
      <c r="E49" s="340">
        <v>2556848.2000000002</v>
      </c>
      <c r="F49" s="340">
        <v>2555250.65</v>
      </c>
      <c r="G49" s="340">
        <v>2794242.5</v>
      </c>
      <c r="H49" s="340">
        <v>1185737.08</v>
      </c>
      <c r="I49" s="340">
        <v>326217.86</v>
      </c>
      <c r="J49" s="340">
        <v>369621.2</v>
      </c>
      <c r="K49" s="340">
        <v>372966.15</v>
      </c>
      <c r="L49" s="340">
        <v>4329383.93</v>
      </c>
      <c r="M49" s="340">
        <v>1573120.2</v>
      </c>
      <c r="N49" s="340">
        <v>-469623.53</v>
      </c>
      <c r="O49" s="340">
        <v>4863295.8099999996</v>
      </c>
      <c r="P49" s="341">
        <v>4078033.64</v>
      </c>
      <c r="Q49" s="163">
        <v>3774529.61</v>
      </c>
      <c r="R49" s="163">
        <v>3103012.71</v>
      </c>
      <c r="S49" s="163">
        <v>3069198.05</v>
      </c>
      <c r="T49" s="163">
        <v>2851376.65</v>
      </c>
      <c r="U49" s="163">
        <v>432316.01</v>
      </c>
      <c r="V49" s="163">
        <v>390083.87</v>
      </c>
      <c r="W49" s="163">
        <v>400888.99</v>
      </c>
      <c r="X49" s="163">
        <v>383254.5</v>
      </c>
      <c r="Y49" s="163">
        <v>372637.4</v>
      </c>
      <c r="Z49" s="163">
        <v>382827.51</v>
      </c>
      <c r="AA49" s="163">
        <v>3946287.84</v>
      </c>
      <c r="AB49" s="163">
        <v>3930761.5</v>
      </c>
      <c r="AC49" s="163">
        <v>3663050.16</v>
      </c>
      <c r="AD49" s="163">
        <v>2676546.87</v>
      </c>
      <c r="AE49" s="163">
        <v>375115.14</v>
      </c>
      <c r="AF49" s="163">
        <v>4164081.84</v>
      </c>
      <c r="AG49" s="163">
        <v>2959258.6</v>
      </c>
      <c r="AH49" s="163">
        <v>5060230.62</v>
      </c>
      <c r="AI49" s="163">
        <v>5626177.1799999997</v>
      </c>
      <c r="AJ49" s="163">
        <v>2920816.88</v>
      </c>
      <c r="AK49" s="163">
        <v>3468537.33</v>
      </c>
      <c r="AL49" s="163">
        <v>3191932.82</v>
      </c>
      <c r="AM49" s="163">
        <v>12202083.470000001</v>
      </c>
      <c r="AN49" s="163">
        <v>5427155.3399999999</v>
      </c>
      <c r="AO49" s="163">
        <v>611972.86</v>
      </c>
      <c r="AP49" s="163">
        <v>8890266.5899999999</v>
      </c>
      <c r="AQ49" s="163">
        <v>5033891.47</v>
      </c>
      <c r="AR49" s="163">
        <v>10828878.630000001</v>
      </c>
      <c r="AS49" s="163">
        <v>10369734.470000001</v>
      </c>
      <c r="AT49" s="163">
        <v>5137481.8</v>
      </c>
      <c r="AU49" s="163">
        <v>8650716.8000000007</v>
      </c>
      <c r="AV49" s="163">
        <v>-4281506.63</v>
      </c>
      <c r="AW49" s="163">
        <v>6657507.8300000001</v>
      </c>
      <c r="AX49" s="163">
        <v>7341958.0099999998</v>
      </c>
      <c r="AY49" s="163">
        <v>15752138.189999999</v>
      </c>
      <c r="AZ49" s="163">
        <v>8017752.7699999996</v>
      </c>
      <c r="BA49" s="163">
        <v>7826133.7199999997</v>
      </c>
      <c r="BB49" s="163">
        <v>10366444.890000001</v>
      </c>
      <c r="BC49" s="163">
        <v>4144097.38</v>
      </c>
      <c r="BD49" s="163">
        <v>5989570.2400000002</v>
      </c>
      <c r="BE49" s="163">
        <v>5378519.8300000001</v>
      </c>
      <c r="BF49" s="163">
        <v>5402843.1100000003</v>
      </c>
      <c r="BG49" s="163">
        <v>6414039.2000000002</v>
      </c>
      <c r="BH49" s="163">
        <v>7025110.0700000003</v>
      </c>
      <c r="BI49" s="163">
        <v>7039902.4500000002</v>
      </c>
      <c r="BJ49" s="163">
        <v>6855747.6799999997</v>
      </c>
      <c r="BK49" s="163">
        <v>17691226.23</v>
      </c>
      <c r="BL49" s="163">
        <v>3759221.39</v>
      </c>
      <c r="BM49" s="163">
        <v>6747072.9299999997</v>
      </c>
      <c r="BN49" s="163">
        <v>3644616.55</v>
      </c>
      <c r="BO49" s="163">
        <v>7055143.9500000002</v>
      </c>
      <c r="BP49" s="163">
        <v>3804055.28</v>
      </c>
      <c r="BQ49" s="163">
        <v>5420424.9299999997</v>
      </c>
      <c r="BR49" s="163">
        <v>4353729.2</v>
      </c>
      <c r="BS49" s="163">
        <v>3877103.13</v>
      </c>
      <c r="BT49" s="163">
        <v>5982709.7699999996</v>
      </c>
      <c r="BU49" s="163">
        <v>2177468.23</v>
      </c>
      <c r="BV49" s="163">
        <v>3471258.92</v>
      </c>
      <c r="BW49" s="163">
        <v>6032045.4800000004</v>
      </c>
      <c r="BX49" s="163">
        <v>3059925.6</v>
      </c>
      <c r="BY49" s="163">
        <v>6220611.0199999996</v>
      </c>
      <c r="BZ49" s="163">
        <v>8029323.21</v>
      </c>
      <c r="CA49" s="163">
        <v>1363862.25</v>
      </c>
      <c r="CB49" s="163">
        <v>9038231.4700000007</v>
      </c>
      <c r="CC49" s="163">
        <v>8598774.1500000004</v>
      </c>
      <c r="CD49" s="163">
        <v>4145603.57</v>
      </c>
      <c r="CE49" s="163">
        <v>4181538.25</v>
      </c>
      <c r="CF49" s="163">
        <v>5288490.38</v>
      </c>
      <c r="CG49" s="163">
        <v>6155639.7199999997</v>
      </c>
      <c r="CH49" s="163">
        <v>10279420.67</v>
      </c>
      <c r="CI49" s="163">
        <v>12028358.17</v>
      </c>
      <c r="CJ49" s="163">
        <v>2444274.5299999998</v>
      </c>
      <c r="CK49" s="163">
        <v>6381098.21</v>
      </c>
      <c r="CL49" s="163">
        <v>4731190.66</v>
      </c>
      <c r="CM49" s="163">
        <v>-2239962.9</v>
      </c>
      <c r="CN49" s="163">
        <v>306434.31</v>
      </c>
      <c r="CO49" s="163">
        <v>-2555683.4500000002</v>
      </c>
      <c r="CP49" s="163">
        <v>-2242925.3199999998</v>
      </c>
      <c r="CQ49" s="163">
        <v>-2379188.7200000002</v>
      </c>
      <c r="CR49" s="163">
        <v>-3300505.6000000001</v>
      </c>
      <c r="CS49" s="163">
        <v>-3019248.11</v>
      </c>
      <c r="CT49" s="163">
        <v>-3348659.75</v>
      </c>
      <c r="CU49" s="163">
        <v>9248676.8599999994</v>
      </c>
      <c r="CV49" s="163">
        <v>2519272.86</v>
      </c>
      <c r="CW49" s="163">
        <v>10270282.460000001</v>
      </c>
      <c r="CX49" s="163">
        <v>8351087.1200000001</v>
      </c>
      <c r="CY49" s="163">
        <v>7872477.3099999996</v>
      </c>
      <c r="CZ49" s="163">
        <v>7559311.7000000002</v>
      </c>
      <c r="DA49" s="163">
        <v>8606453.0700000003</v>
      </c>
      <c r="DB49" s="163">
        <v>8202982.6399999997</v>
      </c>
      <c r="DC49" s="163">
        <v>8213276.8700000001</v>
      </c>
      <c r="DD49" s="163">
        <v>6370715.2699999996</v>
      </c>
      <c r="DE49" s="163">
        <v>8307806.1900000004</v>
      </c>
      <c r="DF49" s="163">
        <f>VLOOKUP($C49,'[3]BS ACC'!$C$5:$DH$1006,108,FALSE)</f>
        <v>7121024</v>
      </c>
      <c r="DG49" s="163">
        <f>VLOOKUP($C49,'[3]BS ACC'!$C$5:$DH$1006,109,FALSE)</f>
        <v>22811587.600000001</v>
      </c>
      <c r="DH49" s="163">
        <f>VLOOKUP($C49,'[3]BS ACC'!$C$5:$DH$1006,110,FALSE)</f>
        <v>8060769.2400000002</v>
      </c>
    </row>
    <row r="50" spans="1:112">
      <c r="A50" s="350" t="str">
        <f t="shared" si="0"/>
        <v>1340200</v>
      </c>
      <c r="B50" s="350" t="s">
        <v>1486</v>
      </c>
      <c r="C50" s="335" t="s">
        <v>624</v>
      </c>
      <c r="D50" s="340">
        <v>25000</v>
      </c>
      <c r="E50" s="340">
        <v>25000</v>
      </c>
      <c r="F50" s="340">
        <v>25000</v>
      </c>
      <c r="G50" s="340">
        <v>25000</v>
      </c>
      <c r="H50" s="340">
        <v>25000</v>
      </c>
      <c r="I50" s="340">
        <v>25000</v>
      </c>
      <c r="J50" s="340">
        <v>25000</v>
      </c>
      <c r="K50" s="340">
        <v>25000</v>
      </c>
      <c r="L50" s="340">
        <v>25000</v>
      </c>
      <c r="M50" s="340">
        <v>25000</v>
      </c>
      <c r="N50" s="340">
        <v>25000</v>
      </c>
      <c r="O50" s="340">
        <v>25000</v>
      </c>
      <c r="P50" s="341">
        <v>25000</v>
      </c>
      <c r="Q50" s="163">
        <v>25000</v>
      </c>
      <c r="R50" s="163">
        <v>25000</v>
      </c>
      <c r="S50" s="163">
        <v>25000</v>
      </c>
      <c r="T50" s="163">
        <v>25000</v>
      </c>
      <c r="U50" s="163">
        <v>25000</v>
      </c>
      <c r="V50" s="163">
        <v>25000</v>
      </c>
      <c r="W50" s="163">
        <v>25000</v>
      </c>
      <c r="X50" s="163">
        <v>25000</v>
      </c>
      <c r="Y50" s="163">
        <v>25000</v>
      </c>
      <c r="Z50" s="163">
        <v>25000</v>
      </c>
      <c r="AA50" s="163">
        <v>25000</v>
      </c>
      <c r="AB50" s="163">
        <v>25000</v>
      </c>
      <c r="AC50" s="163">
        <v>25000</v>
      </c>
      <c r="AD50" s="163">
        <v>25000</v>
      </c>
      <c r="AE50" s="163">
        <v>25000</v>
      </c>
      <c r="AF50" s="163">
        <v>25000</v>
      </c>
      <c r="AG50" s="163">
        <v>25000</v>
      </c>
      <c r="AH50" s="163">
        <v>25000</v>
      </c>
      <c r="AI50" s="163">
        <v>25000</v>
      </c>
      <c r="AJ50" s="163">
        <v>25000</v>
      </c>
      <c r="AK50" s="163">
        <v>25000</v>
      </c>
      <c r="AL50" s="163">
        <v>25000</v>
      </c>
      <c r="AM50" s="163">
        <v>25000</v>
      </c>
      <c r="AN50" s="163">
        <v>25000</v>
      </c>
      <c r="AO50" s="163">
        <v>25000</v>
      </c>
      <c r="AP50" s="163">
        <v>25000</v>
      </c>
      <c r="AQ50" s="163">
        <v>25000</v>
      </c>
      <c r="AR50" s="163">
        <v>25000</v>
      </c>
      <c r="AS50" s="163">
        <v>25000</v>
      </c>
      <c r="AT50" s="163">
        <v>25000</v>
      </c>
      <c r="AU50" s="163">
        <v>25000</v>
      </c>
      <c r="AV50" s="163">
        <v>25000</v>
      </c>
      <c r="AW50" s="163">
        <v>25000</v>
      </c>
      <c r="AX50" s="163">
        <v>25000</v>
      </c>
      <c r="AY50" s="163">
        <v>25000</v>
      </c>
      <c r="AZ50" s="163">
        <v>25000</v>
      </c>
      <c r="BA50" s="163">
        <v>25000</v>
      </c>
      <c r="BB50" s="163">
        <v>25000</v>
      </c>
      <c r="BC50" s="163">
        <v>25000</v>
      </c>
      <c r="BD50" s="163">
        <v>25000</v>
      </c>
      <c r="BE50" s="163">
        <v>25000</v>
      </c>
      <c r="BF50" s="163">
        <v>25000</v>
      </c>
      <c r="BG50" s="163">
        <v>25000</v>
      </c>
      <c r="BH50" s="163">
        <v>25000</v>
      </c>
      <c r="BI50" s="163">
        <v>25000</v>
      </c>
      <c r="BJ50" s="163">
        <v>25000</v>
      </c>
      <c r="BK50" s="163">
        <v>25000</v>
      </c>
      <c r="BL50" s="163">
        <v>25000</v>
      </c>
      <c r="BM50" s="163">
        <v>25000</v>
      </c>
      <c r="BN50" s="163">
        <v>25000</v>
      </c>
      <c r="BO50" s="163">
        <v>25000</v>
      </c>
      <c r="BP50" s="163">
        <v>25000</v>
      </c>
      <c r="BQ50" s="163">
        <v>25000</v>
      </c>
      <c r="BR50" s="163">
        <v>25000</v>
      </c>
      <c r="BS50" s="163">
        <v>25000</v>
      </c>
      <c r="BT50" s="163">
        <v>25000</v>
      </c>
      <c r="BU50" s="163">
        <v>25000</v>
      </c>
      <c r="BV50" s="163">
        <v>25000</v>
      </c>
      <c r="BW50" s="163">
        <v>25000</v>
      </c>
      <c r="BX50" s="163">
        <v>25000</v>
      </c>
      <c r="BY50" s="163">
        <v>25000</v>
      </c>
      <c r="BZ50" s="163">
        <v>25000</v>
      </c>
      <c r="CA50" s="163">
        <v>25000</v>
      </c>
      <c r="CB50" s="163">
        <v>25000</v>
      </c>
      <c r="CC50" s="163">
        <v>25000</v>
      </c>
      <c r="CD50" s="163">
        <v>25000</v>
      </c>
      <c r="CE50" s="163">
        <v>25000</v>
      </c>
      <c r="CF50" s="163">
        <v>25000</v>
      </c>
      <c r="CG50" s="163">
        <v>25000</v>
      </c>
      <c r="CH50" s="163">
        <v>25000</v>
      </c>
      <c r="CI50" s="163">
        <v>25000</v>
      </c>
      <c r="CJ50" s="163">
        <v>25000</v>
      </c>
      <c r="CK50" s="163">
        <v>25000</v>
      </c>
      <c r="CL50" s="163">
        <v>25000</v>
      </c>
      <c r="CM50" s="163">
        <v>25000</v>
      </c>
      <c r="CN50" s="163">
        <v>25000</v>
      </c>
      <c r="CO50" s="163">
        <v>25000</v>
      </c>
      <c r="CP50" s="163">
        <v>25000</v>
      </c>
      <c r="CQ50" s="163">
        <v>25000</v>
      </c>
      <c r="CR50" s="163">
        <v>25000</v>
      </c>
      <c r="CS50" s="163">
        <v>25000</v>
      </c>
      <c r="CT50" s="163">
        <v>25000</v>
      </c>
      <c r="CU50" s="163">
        <v>25000</v>
      </c>
      <c r="CV50" s="163">
        <v>25000</v>
      </c>
      <c r="CW50" s="163">
        <v>25000</v>
      </c>
      <c r="CX50" s="163">
        <v>25000</v>
      </c>
      <c r="CY50" s="163">
        <v>25000</v>
      </c>
      <c r="CZ50" s="163">
        <v>25000</v>
      </c>
      <c r="DA50" s="163">
        <v>25000</v>
      </c>
      <c r="DB50" s="163">
        <v>25000</v>
      </c>
      <c r="DC50" s="163">
        <v>25000</v>
      </c>
      <c r="DD50" s="163">
        <v>25000</v>
      </c>
      <c r="DE50" s="163">
        <v>25000</v>
      </c>
      <c r="DF50" s="163">
        <f>VLOOKUP($C50,'[3]BS ACC'!$C$5:$DH$1006,108,FALSE)</f>
        <v>25000</v>
      </c>
      <c r="DG50" s="163">
        <f>VLOOKUP($C50,'[3]BS ACC'!$C$5:$DH$1006,109,FALSE)</f>
        <v>25000</v>
      </c>
      <c r="DH50" s="163">
        <f>VLOOKUP($C50,'[3]BS ACC'!$C$5:$DH$1006,110,FALSE)</f>
        <v>25000</v>
      </c>
    </row>
    <row r="51" spans="1:112">
      <c r="A51" s="350" t="str">
        <f t="shared" si="0"/>
        <v>1350000</v>
      </c>
      <c r="B51" s="350" t="s">
        <v>1487</v>
      </c>
      <c r="C51" s="335" t="s">
        <v>625</v>
      </c>
      <c r="D51" s="340">
        <v>3500</v>
      </c>
      <c r="E51" s="340">
        <v>3500</v>
      </c>
      <c r="F51" s="340">
        <v>3500</v>
      </c>
      <c r="G51" s="340">
        <v>3500</v>
      </c>
      <c r="H51" s="340">
        <v>3500</v>
      </c>
      <c r="I51" s="340">
        <v>3500</v>
      </c>
      <c r="J51" s="340">
        <v>3500</v>
      </c>
      <c r="K51" s="340">
        <v>3450</v>
      </c>
      <c r="L51" s="340">
        <v>3450</v>
      </c>
      <c r="M51" s="340">
        <v>3450</v>
      </c>
      <c r="N51" s="340">
        <v>3450</v>
      </c>
      <c r="O51" s="340">
        <v>3450</v>
      </c>
      <c r="P51" s="341">
        <v>3450</v>
      </c>
      <c r="Q51" s="163">
        <v>3450</v>
      </c>
      <c r="R51" s="163">
        <v>3450</v>
      </c>
      <c r="S51" s="163">
        <v>3450</v>
      </c>
      <c r="T51" s="163">
        <v>3450</v>
      </c>
      <c r="U51" s="163">
        <v>2950</v>
      </c>
      <c r="V51" s="163">
        <v>2950</v>
      </c>
      <c r="W51" s="163">
        <v>2950</v>
      </c>
      <c r="X51" s="163">
        <v>2950</v>
      </c>
      <c r="Y51" s="163">
        <v>2950</v>
      </c>
      <c r="Z51" s="163">
        <v>2950</v>
      </c>
      <c r="AA51" s="163">
        <v>2950</v>
      </c>
      <c r="AB51" s="163">
        <v>2950</v>
      </c>
      <c r="AC51" s="163">
        <v>2950</v>
      </c>
      <c r="AD51" s="163">
        <v>2950</v>
      </c>
      <c r="AE51" s="163">
        <v>2950</v>
      </c>
      <c r="AF51" s="163">
        <v>2950</v>
      </c>
      <c r="AG51" s="163">
        <v>2950</v>
      </c>
      <c r="AH51" s="163">
        <v>2950</v>
      </c>
      <c r="AI51" s="163">
        <v>2950</v>
      </c>
      <c r="AJ51" s="163">
        <v>2950</v>
      </c>
      <c r="AK51" s="163">
        <v>3450</v>
      </c>
      <c r="AL51" s="163">
        <v>3450</v>
      </c>
      <c r="AM51" s="163">
        <v>2950</v>
      </c>
      <c r="AN51" s="163">
        <v>2950</v>
      </c>
      <c r="AO51" s="163">
        <v>2950</v>
      </c>
      <c r="AP51" s="163">
        <v>2950</v>
      </c>
      <c r="AQ51" s="163">
        <v>2950</v>
      </c>
      <c r="AR51" s="163">
        <v>2950</v>
      </c>
      <c r="AS51" s="163">
        <v>2950</v>
      </c>
      <c r="AT51" s="163">
        <v>2950</v>
      </c>
      <c r="AU51" s="163">
        <v>2950</v>
      </c>
      <c r="AV51" s="163">
        <v>2950</v>
      </c>
      <c r="AW51" s="163">
        <v>2950</v>
      </c>
      <c r="AX51" s="163">
        <v>2950</v>
      </c>
      <c r="AY51" s="163">
        <v>2950</v>
      </c>
      <c r="AZ51" s="163">
        <v>2950</v>
      </c>
      <c r="BA51" s="163">
        <v>2950</v>
      </c>
      <c r="BB51" s="163">
        <v>2950</v>
      </c>
      <c r="BC51" s="163">
        <v>2950</v>
      </c>
      <c r="BD51" s="163">
        <v>2950</v>
      </c>
      <c r="BE51" s="163">
        <v>2950</v>
      </c>
      <c r="BF51" s="163">
        <v>2950</v>
      </c>
      <c r="BG51" s="163">
        <v>2950</v>
      </c>
      <c r="BH51" s="163">
        <v>2950</v>
      </c>
      <c r="BI51" s="163">
        <v>2950</v>
      </c>
      <c r="BJ51" s="163">
        <v>2950</v>
      </c>
      <c r="BK51" s="163">
        <v>2950</v>
      </c>
      <c r="BL51" s="163">
        <v>2950</v>
      </c>
      <c r="BM51" s="163">
        <v>2950</v>
      </c>
      <c r="BN51" s="163">
        <v>2950</v>
      </c>
      <c r="BO51" s="163">
        <v>2950</v>
      </c>
      <c r="BP51" s="163">
        <v>2950</v>
      </c>
      <c r="BQ51" s="163">
        <v>2950</v>
      </c>
      <c r="BR51" s="163">
        <v>2950</v>
      </c>
      <c r="BS51" s="163">
        <v>2950</v>
      </c>
      <c r="BT51" s="163">
        <v>2950</v>
      </c>
      <c r="BU51" s="163">
        <v>2950</v>
      </c>
      <c r="BV51" s="163">
        <v>2950</v>
      </c>
      <c r="BW51" s="163">
        <v>2950</v>
      </c>
      <c r="BX51" s="163">
        <v>2950</v>
      </c>
      <c r="BY51" s="163">
        <v>2950</v>
      </c>
      <c r="BZ51" s="163">
        <v>2950</v>
      </c>
      <c r="CA51" s="163">
        <v>2950</v>
      </c>
      <c r="CB51" s="163">
        <v>2950</v>
      </c>
      <c r="CC51" s="163">
        <v>2950</v>
      </c>
      <c r="CD51" s="163">
        <v>2950</v>
      </c>
      <c r="CE51" s="163">
        <v>2950</v>
      </c>
      <c r="CF51" s="163">
        <v>2950</v>
      </c>
      <c r="CG51" s="163">
        <v>2950</v>
      </c>
      <c r="CH51" s="163">
        <v>2950</v>
      </c>
      <c r="CI51" s="163">
        <v>2950</v>
      </c>
      <c r="CJ51" s="163">
        <v>2950</v>
      </c>
      <c r="CK51" s="163">
        <v>2950</v>
      </c>
      <c r="CL51" s="163">
        <v>2950</v>
      </c>
      <c r="CM51" s="163">
        <v>2950</v>
      </c>
      <c r="CN51" s="163">
        <v>2950</v>
      </c>
      <c r="CO51" s="163">
        <v>2950</v>
      </c>
      <c r="CP51" s="163">
        <v>2950</v>
      </c>
      <c r="CQ51" s="163">
        <v>2950</v>
      </c>
      <c r="CR51" s="163">
        <v>2950</v>
      </c>
      <c r="CS51" s="163">
        <v>2950</v>
      </c>
      <c r="CT51" s="163">
        <v>2950</v>
      </c>
      <c r="CU51" s="163">
        <v>2950</v>
      </c>
      <c r="CV51" s="163">
        <v>2950</v>
      </c>
      <c r="CW51" s="163">
        <v>2950</v>
      </c>
      <c r="CX51" s="163">
        <v>2950</v>
      </c>
      <c r="CY51" s="163">
        <v>2950</v>
      </c>
      <c r="CZ51" s="163">
        <v>2950</v>
      </c>
      <c r="DA51" s="163">
        <v>2950</v>
      </c>
      <c r="DB51" s="163">
        <v>2950</v>
      </c>
      <c r="DC51" s="163">
        <v>2950</v>
      </c>
      <c r="DD51" s="163">
        <v>2950</v>
      </c>
      <c r="DE51" s="163">
        <v>2950</v>
      </c>
      <c r="DF51" s="163">
        <f>VLOOKUP($C51,'[3]BS ACC'!$C$5:$DH$1006,108,FALSE)</f>
        <v>2950</v>
      </c>
      <c r="DG51" s="163">
        <f>VLOOKUP($C51,'[3]BS ACC'!$C$5:$DH$1006,109,FALSE)</f>
        <v>2950</v>
      </c>
      <c r="DH51" s="163">
        <f>VLOOKUP($C51,'[3]BS ACC'!$C$5:$DH$1006,110,FALSE)</f>
        <v>2950</v>
      </c>
    </row>
    <row r="52" spans="1:112">
      <c r="A52" s="350" t="str">
        <f t="shared" si="0"/>
        <v>1420400</v>
      </c>
      <c r="B52" s="350" t="s">
        <v>1774</v>
      </c>
      <c r="C52" s="335" t="s">
        <v>1772</v>
      </c>
      <c r="D52" s="340"/>
      <c r="E52" s="340"/>
      <c r="F52" s="340"/>
      <c r="G52" s="340"/>
      <c r="H52" s="340"/>
      <c r="I52" s="340"/>
      <c r="J52" s="340"/>
      <c r="K52" s="340"/>
      <c r="L52" s="340"/>
      <c r="M52" s="340"/>
      <c r="N52" s="340"/>
      <c r="O52" s="340"/>
      <c r="P52" s="341"/>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v>25568247.780000001</v>
      </c>
      <c r="AP52" s="163">
        <v>26752718.670000002</v>
      </c>
      <c r="AQ52" s="163">
        <v>22643359.32</v>
      </c>
      <c r="AR52" s="163">
        <v>24049024.02</v>
      </c>
      <c r="AS52" s="163">
        <v>20824640.829999998</v>
      </c>
      <c r="AT52" s="163">
        <v>19134322.170000002</v>
      </c>
      <c r="AU52" s="163">
        <v>18573233.079999998</v>
      </c>
      <c r="AV52" s="163">
        <v>14873248.439999999</v>
      </c>
      <c r="AW52" s="163">
        <v>19546545.170000002</v>
      </c>
      <c r="AX52" s="163">
        <v>17574397.530000001</v>
      </c>
      <c r="AY52" s="163">
        <v>21378201.82</v>
      </c>
      <c r="AZ52" s="163">
        <v>25220364.420000002</v>
      </c>
      <c r="BA52" s="163">
        <v>33998061.049999997</v>
      </c>
      <c r="BB52" s="163">
        <v>31050787.07</v>
      </c>
      <c r="BC52" s="163">
        <v>26543834.23</v>
      </c>
      <c r="BD52" s="163">
        <v>27168187.940000001</v>
      </c>
      <c r="BE52" s="163">
        <v>22659335.059999999</v>
      </c>
      <c r="BF52" s="163">
        <v>21542336.32</v>
      </c>
      <c r="BG52" s="163">
        <v>20060723.140000001</v>
      </c>
      <c r="BH52" s="163">
        <v>16932231.059999999</v>
      </c>
      <c r="BI52" s="163">
        <v>22029116.82</v>
      </c>
      <c r="BJ52" s="163">
        <v>19584560.550000001</v>
      </c>
      <c r="BK52" s="163">
        <v>21530275.149999999</v>
      </c>
      <c r="BL52" s="163">
        <v>25510306.289999999</v>
      </c>
      <c r="BM52" s="163">
        <v>28138943.129999999</v>
      </c>
      <c r="BN52" s="163">
        <v>29865132.850000001</v>
      </c>
      <c r="BO52" s="163">
        <v>27188493.48</v>
      </c>
      <c r="BP52" s="163">
        <v>24115802.109999999</v>
      </c>
      <c r="BQ52" s="163">
        <v>21043844.59</v>
      </c>
      <c r="BR52" s="163">
        <v>20508936.23</v>
      </c>
      <c r="BS52" s="163">
        <v>18497831.829999998</v>
      </c>
      <c r="BT52" s="163">
        <v>17018307.600000001</v>
      </c>
      <c r="BU52" s="163">
        <v>19383604.25</v>
      </c>
      <c r="BV52" s="163">
        <v>17383938.379999999</v>
      </c>
      <c r="BW52" s="163">
        <v>21813502.469999999</v>
      </c>
      <c r="BX52" s="163">
        <v>26207841.449999999</v>
      </c>
      <c r="BY52" s="163">
        <v>28814229.329999998</v>
      </c>
      <c r="BZ52" s="163">
        <v>29457788.809999999</v>
      </c>
      <c r="CA52" s="163">
        <v>26732166.68</v>
      </c>
      <c r="CB52" s="163">
        <v>24042297.670000002</v>
      </c>
      <c r="CC52" s="163">
        <v>23768990.760000002</v>
      </c>
      <c r="CD52" s="163">
        <v>21895029.829999998</v>
      </c>
      <c r="CE52" s="163">
        <v>20012870.460000001</v>
      </c>
      <c r="CF52" s="163">
        <v>20937102.98</v>
      </c>
      <c r="CG52" s="163">
        <v>20879257.16</v>
      </c>
      <c r="CH52" s="163">
        <v>20212337.640000001</v>
      </c>
      <c r="CI52" s="163">
        <v>24110219.210000001</v>
      </c>
      <c r="CJ52" s="163">
        <v>27398149.84</v>
      </c>
      <c r="CK52" s="163">
        <v>39748767.259999998</v>
      </c>
      <c r="CL52" s="163">
        <v>40559043.670000002</v>
      </c>
      <c r="CM52" s="163">
        <v>34244077.100000001</v>
      </c>
      <c r="CN52" s="163">
        <v>33226670.600000001</v>
      </c>
      <c r="CO52" s="163">
        <v>29943858.16</v>
      </c>
      <c r="CP52" s="163">
        <v>27209510.16</v>
      </c>
      <c r="CQ52" s="163">
        <v>27514498.629999999</v>
      </c>
      <c r="CR52" s="163">
        <v>24352948.850000001</v>
      </c>
      <c r="CS52" s="163">
        <v>26152595.670000002</v>
      </c>
      <c r="CT52" s="163">
        <v>26343935.699999999</v>
      </c>
      <c r="CU52" s="163">
        <v>29144009.329999998</v>
      </c>
      <c r="CV52" s="163">
        <v>35036564.810000002</v>
      </c>
      <c r="CW52" s="163">
        <v>42793359.859999999</v>
      </c>
      <c r="CX52" s="163">
        <v>48311239.240000002</v>
      </c>
      <c r="CY52" s="163">
        <v>37908924.539999999</v>
      </c>
      <c r="CZ52" s="163">
        <v>37018604.509999998</v>
      </c>
      <c r="DA52" s="163">
        <v>34638748.670000002</v>
      </c>
      <c r="DB52" s="163">
        <v>30864482.449999999</v>
      </c>
      <c r="DC52" s="163">
        <v>30029452.710000001</v>
      </c>
      <c r="DD52" s="163">
        <v>27710853.149999999</v>
      </c>
      <c r="DE52" s="163">
        <v>31263216.210000001</v>
      </c>
      <c r="DF52" s="163">
        <f>VLOOKUP($C52,'[3]BS ACC'!$C$5:$DH$1006,108,FALSE)</f>
        <v>31958005.16</v>
      </c>
      <c r="DG52" s="163">
        <f>VLOOKUP($C52,'[3]BS ACC'!$C$5:$DH$1006,109,FALSE)</f>
        <v>30152953.25</v>
      </c>
      <c r="DH52" s="163">
        <f>VLOOKUP($C52,'[3]BS ACC'!$C$5:$DH$1006,110,FALSE)</f>
        <v>34474977.5</v>
      </c>
    </row>
    <row r="53" spans="1:112">
      <c r="A53" s="350" t="str">
        <f t="shared" si="0"/>
        <v>1420401</v>
      </c>
      <c r="B53" s="350" t="s">
        <v>1775</v>
      </c>
      <c r="C53" s="335" t="s">
        <v>1773</v>
      </c>
      <c r="D53" s="340"/>
      <c r="E53" s="340"/>
      <c r="F53" s="340"/>
      <c r="G53" s="340"/>
      <c r="H53" s="340"/>
      <c r="I53" s="340"/>
      <c r="J53" s="340"/>
      <c r="K53" s="340"/>
      <c r="L53" s="340"/>
      <c r="M53" s="340"/>
      <c r="N53" s="340"/>
      <c r="O53" s="340"/>
      <c r="P53" s="341"/>
      <c r="Q53" s="163"/>
      <c r="R53" s="163"/>
      <c r="S53" s="163"/>
      <c r="T53" s="163"/>
      <c r="U53" s="163"/>
      <c r="V53" s="163"/>
      <c r="W53" s="163"/>
      <c r="X53" s="163"/>
      <c r="Y53" s="163"/>
      <c r="Z53" s="163"/>
      <c r="AA53" s="163"/>
      <c r="AB53" s="163"/>
      <c r="AC53" s="163"/>
      <c r="AD53" s="163"/>
      <c r="AE53" s="163"/>
      <c r="AF53" s="163"/>
      <c r="AG53" s="163"/>
      <c r="AH53" s="163"/>
      <c r="AI53" s="163"/>
      <c r="AJ53" s="163"/>
      <c r="AK53" s="163"/>
      <c r="AL53" s="163"/>
      <c r="AM53" s="163"/>
      <c r="AN53" s="163"/>
      <c r="AO53" s="163">
        <v>11185.56</v>
      </c>
      <c r="AP53" s="163">
        <v>30777.66</v>
      </c>
      <c r="AQ53" s="163">
        <v>36501.519999999997</v>
      </c>
      <c r="AR53" s="163">
        <v>-80484.22</v>
      </c>
      <c r="AS53" s="163">
        <v>-16606.82</v>
      </c>
      <c r="AT53" s="163">
        <v>4028.45</v>
      </c>
      <c r="AU53" s="163">
        <v>6724.84</v>
      </c>
      <c r="AV53" s="163">
        <v>263.73</v>
      </c>
      <c r="AW53" s="163">
        <v>-1191.98</v>
      </c>
      <c r="AX53" s="163">
        <v>-108914.4</v>
      </c>
      <c r="AY53" s="163">
        <v>-10940.85</v>
      </c>
      <c r="AZ53" s="163">
        <v>-13449.28</v>
      </c>
      <c r="BA53" s="163">
        <v>-25965.27</v>
      </c>
      <c r="BB53" s="163">
        <v>-40801.53</v>
      </c>
      <c r="BC53" s="163">
        <v>-48348.22</v>
      </c>
      <c r="BD53" s="163">
        <v>-47002.96</v>
      </c>
      <c r="BE53" s="163">
        <v>-53685.38</v>
      </c>
      <c r="BF53" s="163">
        <v>-51878.73</v>
      </c>
      <c r="BG53" s="163">
        <v>-51179.11</v>
      </c>
      <c r="BH53" s="163">
        <v>-50901.94</v>
      </c>
      <c r="BI53" s="163">
        <v>-42058.879999999997</v>
      </c>
      <c r="BJ53" s="163">
        <v>-49684.160000000003</v>
      </c>
      <c r="BK53" s="163">
        <v>-53384.21</v>
      </c>
      <c r="BL53" s="163">
        <v>-71966.92</v>
      </c>
      <c r="BM53" s="163">
        <v>-68560.490000000005</v>
      </c>
      <c r="BN53" s="163">
        <v>-63792.56</v>
      </c>
      <c r="BO53" s="163">
        <v>-72149.61</v>
      </c>
      <c r="BP53" s="163">
        <v>-69111.31</v>
      </c>
      <c r="BQ53" s="163">
        <v>-78826.31</v>
      </c>
      <c r="BR53" s="163">
        <v>-78177.960000000006</v>
      </c>
      <c r="BS53" s="163">
        <v>-68677.62</v>
      </c>
      <c r="BT53" s="163">
        <v>-75885.05</v>
      </c>
      <c r="BU53" s="163">
        <v>-68324.73</v>
      </c>
      <c r="BV53" s="163">
        <v>-112332.35</v>
      </c>
      <c r="BW53" s="163">
        <v>-81968.179999999993</v>
      </c>
      <c r="BX53" s="163">
        <v>-97196.91</v>
      </c>
      <c r="BY53" s="163">
        <v>-93024.48</v>
      </c>
      <c r="BZ53" s="163">
        <v>-95902.14</v>
      </c>
      <c r="CA53" s="163">
        <v>-105822.94</v>
      </c>
      <c r="CB53" s="163">
        <v>-109230.5</v>
      </c>
      <c r="CC53" s="163">
        <v>-112703.52</v>
      </c>
      <c r="CD53" s="163">
        <v>-120985.16</v>
      </c>
      <c r="CE53" s="163">
        <v>-122686.29</v>
      </c>
      <c r="CF53" s="163">
        <v>-130415.29</v>
      </c>
      <c r="CG53" s="163">
        <v>-135428.31</v>
      </c>
      <c r="CH53" s="163">
        <v>-139068.22</v>
      </c>
      <c r="CI53" s="163">
        <v>-140837.76999999999</v>
      </c>
      <c r="CJ53" s="163">
        <v>-159921.63</v>
      </c>
      <c r="CK53" s="163">
        <v>-145598.48000000001</v>
      </c>
      <c r="CL53" s="163">
        <v>-140101.26</v>
      </c>
      <c r="CM53" s="163">
        <v>-183278.41</v>
      </c>
      <c r="CN53" s="163">
        <v>-182658.71</v>
      </c>
      <c r="CO53" s="163">
        <v>-176968.09</v>
      </c>
      <c r="CP53" s="163">
        <v>-166008.39000000001</v>
      </c>
      <c r="CQ53" s="163">
        <v>-170118.2</v>
      </c>
      <c r="CR53" s="163">
        <v>-171818.75</v>
      </c>
      <c r="CS53" s="163">
        <v>-150318.01</v>
      </c>
      <c r="CT53" s="163">
        <v>-156516.12</v>
      </c>
      <c r="CU53" s="163">
        <v>-169089.47</v>
      </c>
      <c r="CV53" s="163">
        <v>-194939.71</v>
      </c>
      <c r="CW53" s="163">
        <v>-192325.27</v>
      </c>
      <c r="CX53" s="163">
        <v>-208980.74</v>
      </c>
      <c r="CY53" s="163">
        <v>-224819.82</v>
      </c>
      <c r="CZ53" s="163">
        <v>-214304.32</v>
      </c>
      <c r="DA53" s="163">
        <v>-204014.92</v>
      </c>
      <c r="DB53" s="163">
        <v>-225629.83</v>
      </c>
      <c r="DC53" s="163">
        <v>-206219.92</v>
      </c>
      <c r="DD53" s="163">
        <v>-205239.39</v>
      </c>
      <c r="DE53" s="163">
        <v>-180798.59</v>
      </c>
      <c r="DF53" s="163">
        <f>VLOOKUP($C53,'[3]BS ACC'!$C$5:$DH$1006,108,FALSE)</f>
        <v>-237188.13</v>
      </c>
      <c r="DG53" s="163">
        <f>VLOOKUP($C53,'[3]BS ACC'!$C$5:$DH$1006,109,FALSE)</f>
        <v>-188911.96</v>
      </c>
      <c r="DH53" s="163">
        <f>VLOOKUP($C53,'[3]BS ACC'!$C$5:$DH$1006,110,FALSE)</f>
        <v>-203735.36</v>
      </c>
    </row>
    <row r="54" spans="1:112">
      <c r="A54" s="350" t="str">
        <f t="shared" si="0"/>
        <v>1420500</v>
      </c>
      <c r="B54" s="350" t="s">
        <v>1488</v>
      </c>
      <c r="C54" s="335" t="s">
        <v>626</v>
      </c>
      <c r="D54" s="340">
        <v>20129818.18</v>
      </c>
      <c r="E54" s="340">
        <v>27584524.829999998</v>
      </c>
      <c r="F54" s="340">
        <v>27329632.710000001</v>
      </c>
      <c r="G54" s="340">
        <v>24242990.359999999</v>
      </c>
      <c r="H54" s="340">
        <v>21283098.43</v>
      </c>
      <c r="I54" s="340">
        <v>18624678.899999999</v>
      </c>
      <c r="J54" s="340">
        <v>17741900.280000001</v>
      </c>
      <c r="K54" s="340">
        <v>17780622.300000001</v>
      </c>
      <c r="L54" s="340">
        <v>15694632.060000001</v>
      </c>
      <c r="M54" s="340">
        <v>16187363.539999999</v>
      </c>
      <c r="N54" s="340">
        <v>17331657.289999999</v>
      </c>
      <c r="O54" s="340">
        <v>18519179.260000002</v>
      </c>
      <c r="P54" s="341">
        <v>22554790.969999999</v>
      </c>
      <c r="Q54" s="163">
        <v>26841211.82</v>
      </c>
      <c r="R54" s="163">
        <v>25861303.079999998</v>
      </c>
      <c r="S54" s="163">
        <v>24515305.02</v>
      </c>
      <c r="T54" s="163">
        <v>20821888.870000001</v>
      </c>
      <c r="U54" s="163">
        <v>17359076.68</v>
      </c>
      <c r="V54" s="163">
        <v>17899073.399999999</v>
      </c>
      <c r="W54" s="163">
        <v>19745102.52</v>
      </c>
      <c r="X54" s="163">
        <v>16469940.49</v>
      </c>
      <c r="Y54" s="163">
        <v>17441519.629999999</v>
      </c>
      <c r="Z54" s="163">
        <v>17980077.600000001</v>
      </c>
      <c r="AA54" s="163">
        <v>17055092.949999999</v>
      </c>
      <c r="AB54" s="163">
        <v>19380147.300000001</v>
      </c>
      <c r="AC54" s="163">
        <v>24902354.800000001</v>
      </c>
      <c r="AD54" s="163">
        <v>26165765.68</v>
      </c>
      <c r="AE54" s="163">
        <v>22452608.18</v>
      </c>
      <c r="AF54" s="163">
        <v>20112518.43</v>
      </c>
      <c r="AG54" s="163">
        <v>17311711.41</v>
      </c>
      <c r="AH54" s="163">
        <v>17600430.510000002</v>
      </c>
      <c r="AI54" s="163">
        <v>13948883.41</v>
      </c>
      <c r="AJ54" s="163">
        <v>12810488.74</v>
      </c>
      <c r="AK54" s="163">
        <v>13124306.140000001</v>
      </c>
      <c r="AL54" s="163">
        <v>13062235.960000001</v>
      </c>
      <c r="AM54" s="163">
        <v>14169123.369999999</v>
      </c>
      <c r="AN54" s="163">
        <v>17217019.07</v>
      </c>
      <c r="AO54" s="163">
        <v>0</v>
      </c>
      <c r="AP54" s="163">
        <v>0</v>
      </c>
      <c r="AQ54" s="163">
        <v>0</v>
      </c>
      <c r="AR54" s="163">
        <v>0</v>
      </c>
      <c r="AS54" s="163">
        <v>0</v>
      </c>
      <c r="AT54" s="163">
        <v>0</v>
      </c>
      <c r="AU54" s="163">
        <v>0</v>
      </c>
      <c r="AV54" s="163">
        <v>0</v>
      </c>
      <c r="AW54" s="163">
        <v>0</v>
      </c>
      <c r="AX54" s="163">
        <v>0</v>
      </c>
      <c r="AY54" s="163">
        <v>0</v>
      </c>
      <c r="AZ54" s="163">
        <v>0</v>
      </c>
      <c r="BA54" s="163">
        <v>0</v>
      </c>
      <c r="BB54" s="163">
        <v>0</v>
      </c>
      <c r="BC54" s="163">
        <v>0</v>
      </c>
      <c r="BD54" s="163">
        <v>0</v>
      </c>
      <c r="BE54" s="163">
        <v>0</v>
      </c>
      <c r="BF54" s="163">
        <v>0</v>
      </c>
      <c r="BG54" s="163">
        <v>0</v>
      </c>
      <c r="BH54" s="163">
        <v>0</v>
      </c>
      <c r="BI54" s="163">
        <v>0</v>
      </c>
      <c r="BJ54" s="163">
        <v>0</v>
      </c>
      <c r="BK54" s="163">
        <v>0</v>
      </c>
      <c r="BL54" s="163">
        <v>0</v>
      </c>
      <c r="BM54" s="163">
        <v>0</v>
      </c>
      <c r="BN54" s="163">
        <v>0</v>
      </c>
      <c r="BO54" s="163">
        <v>0</v>
      </c>
      <c r="BP54" s="163">
        <v>0</v>
      </c>
      <c r="BQ54" s="163">
        <v>0</v>
      </c>
      <c r="BR54" s="163">
        <v>0</v>
      </c>
      <c r="BS54" s="163">
        <v>0</v>
      </c>
      <c r="BT54" s="163">
        <v>0</v>
      </c>
      <c r="BU54" s="163">
        <v>0</v>
      </c>
      <c r="BV54" s="163">
        <v>0</v>
      </c>
      <c r="BW54" s="163">
        <v>0</v>
      </c>
      <c r="BX54" s="163">
        <v>0</v>
      </c>
      <c r="BY54" s="163">
        <v>0</v>
      </c>
      <c r="BZ54" s="163">
        <v>0</v>
      </c>
      <c r="CA54" s="163">
        <v>0</v>
      </c>
      <c r="CB54" s="163">
        <v>0</v>
      </c>
      <c r="CC54" s="163">
        <v>0</v>
      </c>
      <c r="CD54" s="163">
        <v>0</v>
      </c>
      <c r="CE54" s="163">
        <v>0</v>
      </c>
      <c r="CF54" s="163">
        <v>0</v>
      </c>
      <c r="CG54" s="163">
        <v>0</v>
      </c>
      <c r="CH54" s="163">
        <v>0</v>
      </c>
      <c r="CI54" s="163">
        <v>0</v>
      </c>
      <c r="CJ54" s="163">
        <v>0</v>
      </c>
      <c r="CK54" s="163">
        <v>0</v>
      </c>
      <c r="CL54" s="163">
        <v>0</v>
      </c>
      <c r="CM54" s="163">
        <v>0</v>
      </c>
      <c r="CN54" s="163">
        <v>0</v>
      </c>
      <c r="CO54" s="163">
        <v>0</v>
      </c>
      <c r="CP54" s="163">
        <v>0</v>
      </c>
      <c r="CQ54" s="163">
        <v>0</v>
      </c>
      <c r="CR54" s="163">
        <v>0</v>
      </c>
      <c r="CS54" s="163">
        <v>0</v>
      </c>
      <c r="CT54" s="163">
        <v>0</v>
      </c>
      <c r="CU54" s="163">
        <v>0</v>
      </c>
      <c r="CV54" s="163">
        <v>0</v>
      </c>
      <c r="CW54" s="163">
        <v>0</v>
      </c>
      <c r="CX54" s="163">
        <v>0</v>
      </c>
      <c r="CY54" s="163">
        <v>0</v>
      </c>
      <c r="CZ54" s="163">
        <v>0</v>
      </c>
      <c r="DA54" s="163">
        <v>0</v>
      </c>
      <c r="DB54" s="163">
        <v>0</v>
      </c>
      <c r="DC54" s="163">
        <v>0</v>
      </c>
      <c r="DD54" s="163">
        <v>0</v>
      </c>
      <c r="DE54" s="163">
        <v>0</v>
      </c>
      <c r="DF54" s="163">
        <f>VLOOKUP($C54,'[3]BS ACC'!$C$5:$DH$1006,108,FALSE)</f>
        <v>0</v>
      </c>
      <c r="DG54" s="163">
        <f>VLOOKUP($C54,'[3]BS ACC'!$C$5:$DH$1006,109,FALSE)</f>
        <v>0</v>
      </c>
      <c r="DH54" s="163">
        <f>VLOOKUP($C54,'[3]BS ACC'!$C$5:$DH$1006,110,FALSE)</f>
        <v>0</v>
      </c>
    </row>
    <row r="55" spans="1:112">
      <c r="A55" s="350" t="str">
        <f t="shared" si="0"/>
        <v>1420510</v>
      </c>
      <c r="B55" s="350" t="s">
        <v>1578</v>
      </c>
      <c r="C55" s="335" t="s">
        <v>627</v>
      </c>
      <c r="D55" s="340">
        <v>70754.850000000006</v>
      </c>
      <c r="E55" s="340">
        <v>64414.31</v>
      </c>
      <c r="F55" s="340">
        <v>56935.39</v>
      </c>
      <c r="G55" s="340">
        <v>47934.86</v>
      </c>
      <c r="H55" s="340">
        <v>38911.870000000003</v>
      </c>
      <c r="I55" s="340">
        <v>34064.43</v>
      </c>
      <c r="J55" s="340">
        <v>33648.629999999997</v>
      </c>
      <c r="K55" s="340">
        <v>37341.449999999997</v>
      </c>
      <c r="L55" s="340">
        <v>110549.43</v>
      </c>
      <c r="M55" s="340">
        <v>102103.26</v>
      </c>
      <c r="N55" s="340">
        <v>93326.68</v>
      </c>
      <c r="O55" s="340">
        <v>83176.320000000007</v>
      </c>
      <c r="P55" s="341">
        <v>79871.990000000005</v>
      </c>
      <c r="Q55" s="163">
        <v>73946.179999999993</v>
      </c>
      <c r="R55" s="163">
        <v>71365.38</v>
      </c>
      <c r="S55" s="163">
        <v>66523.58</v>
      </c>
      <c r="T55" s="163">
        <v>61791.71</v>
      </c>
      <c r="U55" s="163">
        <v>57416.47</v>
      </c>
      <c r="V55" s="163">
        <v>53400.95</v>
      </c>
      <c r="W55" s="163">
        <v>147881.82999999999</v>
      </c>
      <c r="X55" s="163">
        <v>142368.29</v>
      </c>
      <c r="Y55" s="163">
        <v>121855.74</v>
      </c>
      <c r="Z55" s="163">
        <v>137988.62</v>
      </c>
      <c r="AA55" s="163">
        <v>132441.56</v>
      </c>
      <c r="AB55" s="163">
        <v>126894.5</v>
      </c>
      <c r="AC55" s="163">
        <v>123164.26</v>
      </c>
      <c r="AD55" s="163">
        <v>139340</v>
      </c>
      <c r="AE55" s="163">
        <v>111689.03</v>
      </c>
      <c r="AF55" s="163">
        <v>105960.87</v>
      </c>
      <c r="AG55" s="163">
        <v>100232.67</v>
      </c>
      <c r="AH55" s="163">
        <v>14538.78</v>
      </c>
      <c r="AI55" s="163">
        <v>11680.56</v>
      </c>
      <c r="AJ55" s="163">
        <v>5973.62</v>
      </c>
      <c r="AK55" s="163">
        <v>3594.75</v>
      </c>
      <c r="AL55" s="163">
        <v>4690.54</v>
      </c>
      <c r="AM55" s="163">
        <v>3903.08</v>
      </c>
      <c r="AN55" s="163">
        <v>3115.62</v>
      </c>
      <c r="AO55" s="163">
        <v>0</v>
      </c>
      <c r="AP55" s="163">
        <v>0</v>
      </c>
      <c r="AQ55" s="163">
        <v>0</v>
      </c>
      <c r="AR55" s="163">
        <v>0</v>
      </c>
      <c r="AS55" s="163">
        <v>0</v>
      </c>
      <c r="AT55" s="163">
        <v>0</v>
      </c>
      <c r="AU55" s="163">
        <v>0</v>
      </c>
      <c r="AV55" s="163">
        <v>0</v>
      </c>
      <c r="AW55" s="163">
        <v>0</v>
      </c>
      <c r="AX55" s="163">
        <v>0</v>
      </c>
      <c r="AY55" s="163">
        <v>0</v>
      </c>
      <c r="AZ55" s="163">
        <v>0</v>
      </c>
      <c r="BA55" s="163">
        <v>0</v>
      </c>
      <c r="BB55" s="163">
        <v>0</v>
      </c>
      <c r="BC55" s="163">
        <v>0</v>
      </c>
      <c r="BD55" s="163">
        <v>0</v>
      </c>
      <c r="BE55" s="163">
        <v>0</v>
      </c>
      <c r="BF55" s="163">
        <v>0</v>
      </c>
      <c r="BG55" s="163">
        <v>0</v>
      </c>
      <c r="BH55" s="163">
        <v>0</v>
      </c>
      <c r="BI55" s="163">
        <v>0</v>
      </c>
      <c r="BJ55" s="163">
        <v>0</v>
      </c>
      <c r="BK55" s="163">
        <v>0</v>
      </c>
      <c r="BL55" s="163">
        <v>0</v>
      </c>
      <c r="BM55" s="163">
        <v>0</v>
      </c>
      <c r="BN55" s="163">
        <v>0</v>
      </c>
      <c r="BO55" s="163">
        <v>0</v>
      </c>
      <c r="BP55" s="163">
        <v>0</v>
      </c>
      <c r="BQ55" s="163">
        <v>0</v>
      </c>
      <c r="BR55" s="163">
        <v>0</v>
      </c>
      <c r="BS55" s="163">
        <v>0</v>
      </c>
      <c r="BT55" s="163">
        <v>0</v>
      </c>
      <c r="BU55" s="163">
        <v>0</v>
      </c>
      <c r="BV55" s="163">
        <v>0</v>
      </c>
      <c r="BW55" s="163">
        <v>0</v>
      </c>
      <c r="BX55" s="163">
        <v>0</v>
      </c>
      <c r="BY55" s="163">
        <v>0</v>
      </c>
      <c r="BZ55" s="163">
        <v>0</v>
      </c>
      <c r="CA55" s="163">
        <v>0</v>
      </c>
      <c r="CB55" s="163">
        <v>0</v>
      </c>
      <c r="CC55" s="163">
        <v>0</v>
      </c>
      <c r="CD55" s="163">
        <v>0</v>
      </c>
      <c r="CE55" s="163">
        <v>0</v>
      </c>
      <c r="CF55" s="163">
        <v>0</v>
      </c>
      <c r="CG55" s="163">
        <v>0</v>
      </c>
      <c r="CH55" s="163">
        <v>0</v>
      </c>
      <c r="CI55" s="163">
        <v>0</v>
      </c>
      <c r="CJ55" s="163">
        <v>0</v>
      </c>
      <c r="CK55" s="163">
        <v>0</v>
      </c>
      <c r="CL55" s="163">
        <v>0</v>
      </c>
      <c r="CM55" s="163">
        <v>0</v>
      </c>
      <c r="CN55" s="163">
        <v>0</v>
      </c>
      <c r="CO55" s="163">
        <v>0</v>
      </c>
      <c r="CP55" s="163">
        <v>0</v>
      </c>
      <c r="CQ55" s="163">
        <v>0</v>
      </c>
      <c r="CR55" s="163">
        <v>0</v>
      </c>
      <c r="CS55" s="163">
        <v>0</v>
      </c>
      <c r="CT55" s="163">
        <v>0</v>
      </c>
      <c r="CU55" s="163">
        <v>0</v>
      </c>
      <c r="CV55" s="163">
        <v>0</v>
      </c>
      <c r="CW55" s="163">
        <v>0</v>
      </c>
      <c r="CX55" s="163">
        <v>0</v>
      </c>
      <c r="CY55" s="163">
        <v>0</v>
      </c>
      <c r="CZ55" s="163">
        <v>0</v>
      </c>
      <c r="DA55" s="163">
        <v>0</v>
      </c>
      <c r="DB55" s="163">
        <v>0</v>
      </c>
      <c r="DC55" s="163">
        <v>0</v>
      </c>
      <c r="DD55" s="163">
        <v>0</v>
      </c>
      <c r="DE55" s="163">
        <v>0</v>
      </c>
      <c r="DF55" s="163">
        <f>VLOOKUP($C55,'[3]BS ACC'!$C$5:$DH$1006,108,FALSE)</f>
        <v>0</v>
      </c>
      <c r="DG55" s="163">
        <f>VLOOKUP($C55,'[3]BS ACC'!$C$5:$DH$1006,109,FALSE)</f>
        <v>0</v>
      </c>
      <c r="DH55" s="163">
        <f>VLOOKUP($C55,'[3]BS ACC'!$C$5:$DH$1006,110,FALSE)</f>
        <v>0</v>
      </c>
    </row>
    <row r="56" spans="1:112">
      <c r="A56" s="350" t="str">
        <f t="shared" si="0"/>
        <v>1420520</v>
      </c>
      <c r="B56" s="350" t="s">
        <v>1489</v>
      </c>
      <c r="C56" s="335" t="s">
        <v>628</v>
      </c>
      <c r="D56" s="340">
        <v>1327072.03</v>
      </c>
      <c r="E56" s="340">
        <v>1908100.53</v>
      </c>
      <c r="F56" s="340">
        <v>4463299.4000000004</v>
      </c>
      <c r="G56" s="340">
        <v>3440441.12</v>
      </c>
      <c r="H56" s="340">
        <v>2273487.92</v>
      </c>
      <c r="I56" s="340">
        <v>1330001.8899999999</v>
      </c>
      <c r="J56" s="340">
        <v>2845900.51</v>
      </c>
      <c r="K56" s="340">
        <v>990899.55</v>
      </c>
      <c r="L56" s="340">
        <v>1353672.99</v>
      </c>
      <c r="M56" s="340">
        <v>2181265.06</v>
      </c>
      <c r="N56" s="340">
        <v>1362877.2</v>
      </c>
      <c r="O56" s="340">
        <v>4302890.16</v>
      </c>
      <c r="P56" s="341">
        <v>1314846.26</v>
      </c>
      <c r="Q56" s="163">
        <v>1860125.01</v>
      </c>
      <c r="R56" s="163">
        <v>4666893.54</v>
      </c>
      <c r="S56" s="163">
        <v>2956490.68</v>
      </c>
      <c r="T56" s="163">
        <v>1099732.3799999999</v>
      </c>
      <c r="U56" s="163">
        <v>2768620.87</v>
      </c>
      <c r="V56" s="163">
        <v>1853795.3</v>
      </c>
      <c r="W56" s="163">
        <v>1396030.7</v>
      </c>
      <c r="X56" s="163">
        <v>2523857.06</v>
      </c>
      <c r="Y56" s="163">
        <v>2064367.11</v>
      </c>
      <c r="Z56" s="163">
        <v>1324333.74</v>
      </c>
      <c r="AA56" s="163">
        <v>2950424.98</v>
      </c>
      <c r="AB56" s="163">
        <v>1704245.09</v>
      </c>
      <c r="AC56" s="163">
        <v>3812336.37</v>
      </c>
      <c r="AD56" s="163">
        <v>4467347.3899999997</v>
      </c>
      <c r="AE56" s="163">
        <v>1217972.8600000001</v>
      </c>
      <c r="AF56" s="163">
        <v>1711305.73</v>
      </c>
      <c r="AG56" s="163">
        <v>3165735.05</v>
      </c>
      <c r="AH56" s="163">
        <v>921447.94</v>
      </c>
      <c r="AI56" s="163">
        <v>2744242.89</v>
      </c>
      <c r="AJ56" s="163">
        <v>1335160.45</v>
      </c>
      <c r="AK56" s="163">
        <v>1206590.51</v>
      </c>
      <c r="AL56" s="163">
        <v>1594943.04</v>
      </c>
      <c r="AM56" s="163">
        <v>952464.56</v>
      </c>
      <c r="AN56" s="163">
        <v>0</v>
      </c>
      <c r="AO56" s="163">
        <v>0</v>
      </c>
      <c r="AP56" s="163">
        <v>0</v>
      </c>
      <c r="AQ56" s="163">
        <v>0</v>
      </c>
      <c r="AR56" s="163">
        <v>0</v>
      </c>
      <c r="AS56" s="163">
        <v>0</v>
      </c>
      <c r="AT56" s="163">
        <v>0</v>
      </c>
      <c r="AU56" s="163">
        <v>0</v>
      </c>
      <c r="AV56" s="163">
        <v>0</v>
      </c>
      <c r="AW56" s="163">
        <v>0</v>
      </c>
      <c r="AX56" s="163">
        <v>0</v>
      </c>
      <c r="AY56" s="163">
        <v>0</v>
      </c>
      <c r="AZ56" s="163">
        <v>0</v>
      </c>
      <c r="BA56" s="163">
        <v>0</v>
      </c>
      <c r="BB56" s="163">
        <v>0</v>
      </c>
      <c r="BC56" s="163">
        <v>0</v>
      </c>
      <c r="BD56" s="163">
        <v>0</v>
      </c>
      <c r="BE56" s="163">
        <v>0</v>
      </c>
      <c r="BF56" s="163">
        <v>0</v>
      </c>
      <c r="BG56" s="163">
        <v>0</v>
      </c>
      <c r="BH56" s="163">
        <v>0</v>
      </c>
      <c r="BI56" s="163">
        <v>0</v>
      </c>
      <c r="BJ56" s="163">
        <v>0</v>
      </c>
      <c r="BK56" s="163">
        <v>0</v>
      </c>
      <c r="BL56" s="163">
        <v>0</v>
      </c>
      <c r="BM56" s="163">
        <v>0</v>
      </c>
      <c r="BN56" s="163">
        <v>0</v>
      </c>
      <c r="BO56" s="163">
        <v>0</v>
      </c>
      <c r="BP56" s="163">
        <v>0</v>
      </c>
      <c r="BQ56" s="163">
        <v>0</v>
      </c>
      <c r="BR56" s="163">
        <v>0</v>
      </c>
      <c r="BS56" s="163">
        <v>0</v>
      </c>
      <c r="BT56" s="163">
        <v>0</v>
      </c>
      <c r="BU56" s="163">
        <v>0</v>
      </c>
      <c r="BV56" s="163">
        <v>0</v>
      </c>
      <c r="BW56" s="163">
        <v>0</v>
      </c>
      <c r="BX56" s="163">
        <v>0</v>
      </c>
      <c r="BY56" s="163">
        <v>0</v>
      </c>
      <c r="BZ56" s="163">
        <v>0</v>
      </c>
      <c r="CA56" s="163">
        <v>0</v>
      </c>
      <c r="CB56" s="163">
        <v>0</v>
      </c>
      <c r="CC56" s="163">
        <v>0</v>
      </c>
      <c r="CD56" s="163">
        <v>0</v>
      </c>
      <c r="CE56" s="163">
        <v>0</v>
      </c>
      <c r="CF56" s="163">
        <v>0</v>
      </c>
      <c r="CG56" s="163">
        <v>0</v>
      </c>
      <c r="CH56" s="163">
        <v>0</v>
      </c>
      <c r="CI56" s="163">
        <v>0</v>
      </c>
      <c r="CJ56" s="163">
        <v>0</v>
      </c>
      <c r="CK56" s="163">
        <v>0</v>
      </c>
      <c r="CL56" s="163">
        <v>0</v>
      </c>
      <c r="CM56" s="163">
        <v>0</v>
      </c>
      <c r="CN56" s="163">
        <v>0</v>
      </c>
      <c r="CO56" s="163">
        <v>0</v>
      </c>
      <c r="CP56" s="163">
        <v>0</v>
      </c>
      <c r="CQ56" s="163">
        <v>0</v>
      </c>
      <c r="CR56" s="163">
        <v>0</v>
      </c>
      <c r="CS56" s="163">
        <v>0</v>
      </c>
      <c r="CT56" s="163">
        <v>0</v>
      </c>
      <c r="CU56" s="163">
        <v>0</v>
      </c>
      <c r="CV56" s="163">
        <v>0</v>
      </c>
      <c r="CW56" s="163">
        <v>0</v>
      </c>
      <c r="CX56" s="163">
        <v>0</v>
      </c>
      <c r="CY56" s="163">
        <v>0</v>
      </c>
      <c r="CZ56" s="163">
        <v>0</v>
      </c>
      <c r="DA56" s="163">
        <v>0</v>
      </c>
      <c r="DB56" s="163">
        <v>0</v>
      </c>
      <c r="DC56" s="163">
        <v>0</v>
      </c>
      <c r="DD56" s="163">
        <v>0</v>
      </c>
      <c r="DE56" s="163">
        <v>0</v>
      </c>
      <c r="DF56" s="163">
        <f>VLOOKUP($C56,'[3]BS ACC'!$C$5:$DH$1006,108,FALSE)</f>
        <v>0</v>
      </c>
      <c r="DG56" s="163">
        <f>VLOOKUP($C56,'[3]BS ACC'!$C$5:$DH$1006,109,FALSE)</f>
        <v>0</v>
      </c>
      <c r="DH56" s="163">
        <f>VLOOKUP($C56,'[3]BS ACC'!$C$5:$DH$1006,110,FALSE)</f>
        <v>0</v>
      </c>
    </row>
    <row r="57" spans="1:112">
      <c r="A57" s="350" t="str">
        <f t="shared" si="0"/>
        <v>1420530</v>
      </c>
      <c r="B57" s="350" t="s">
        <v>1490</v>
      </c>
      <c r="C57" s="335" t="s">
        <v>629</v>
      </c>
      <c r="D57" s="340">
        <v>-6363.95</v>
      </c>
      <c r="E57" s="340">
        <v>-6251.5</v>
      </c>
      <c r="F57" s="340">
        <v>-36118.18</v>
      </c>
      <c r="G57" s="340">
        <v>-16776.57</v>
      </c>
      <c r="H57" s="340">
        <v>-3698.28</v>
      </c>
      <c r="I57" s="340">
        <v>-6412.59</v>
      </c>
      <c r="J57" s="340">
        <v>-79432.350000000006</v>
      </c>
      <c r="K57" s="340">
        <v>-42417.58</v>
      </c>
      <c r="L57" s="340">
        <v>-10055.700000000001</v>
      </c>
      <c r="M57" s="340">
        <v>-13019.47</v>
      </c>
      <c r="N57" s="340">
        <v>4156.46</v>
      </c>
      <c r="O57" s="340">
        <v>-19411.650000000001</v>
      </c>
      <c r="P57" s="341">
        <v>15557.33</v>
      </c>
      <c r="Q57" s="163">
        <v>360</v>
      </c>
      <c r="R57" s="163">
        <v>6143.82</v>
      </c>
      <c r="S57" s="163">
        <v>-26200.67</v>
      </c>
      <c r="T57" s="163">
        <v>-15776.46</v>
      </c>
      <c r="U57" s="163">
        <v>-16857.54</v>
      </c>
      <c r="V57" s="163">
        <v>-51908.37</v>
      </c>
      <c r="W57" s="163">
        <v>1202.04</v>
      </c>
      <c r="X57" s="163">
        <v>-2230.4499999999998</v>
      </c>
      <c r="Y57" s="163">
        <v>-13613.6</v>
      </c>
      <c r="Z57" s="163">
        <v>11393.56</v>
      </c>
      <c r="AA57" s="163">
        <v>-49576.98</v>
      </c>
      <c r="AB57" s="163">
        <v>-938.9</v>
      </c>
      <c r="AC57" s="163">
        <v>15526.97</v>
      </c>
      <c r="AD57" s="163">
        <v>7139.49</v>
      </c>
      <c r="AE57" s="163">
        <v>-66138.720000000001</v>
      </c>
      <c r="AF57" s="163">
        <v>-18045.240000000002</v>
      </c>
      <c r="AG57" s="163">
        <v>-59676.1</v>
      </c>
      <c r="AH57" s="163">
        <v>-3977.46</v>
      </c>
      <c r="AI57" s="163">
        <v>-26629.69</v>
      </c>
      <c r="AJ57" s="163">
        <v>-1280.29</v>
      </c>
      <c r="AK57" s="163">
        <v>-33628.36</v>
      </c>
      <c r="AL57" s="163">
        <v>-7452.89</v>
      </c>
      <c r="AM57" s="163">
        <v>16191.22</v>
      </c>
      <c r="AN57" s="163">
        <v>70767.570000000007</v>
      </c>
      <c r="AO57" s="163">
        <v>70767.570000000007</v>
      </c>
      <c r="AP57" s="163">
        <v>70767.570000000007</v>
      </c>
      <c r="AQ57" s="163">
        <v>70767.570000000007</v>
      </c>
      <c r="AR57" s="163">
        <v>70767.570000000007</v>
      </c>
      <c r="AS57" s="163">
        <v>70767.570000000007</v>
      </c>
      <c r="AT57" s="163">
        <v>70767.570000000007</v>
      </c>
      <c r="AU57" s="163">
        <v>70767.570000000007</v>
      </c>
      <c r="AV57" s="163">
        <v>70767.570000000007</v>
      </c>
      <c r="AW57" s="163">
        <v>70767.570000000007</v>
      </c>
      <c r="AX57" s="163">
        <v>70767.570000000007</v>
      </c>
      <c r="AY57" s="163">
        <v>70767.570000000007</v>
      </c>
      <c r="AZ57" s="163">
        <v>70767.570000000007</v>
      </c>
      <c r="BA57" s="163">
        <v>70767.570000000007</v>
      </c>
      <c r="BB57" s="163">
        <v>70767.570000000007</v>
      </c>
      <c r="BC57" s="163">
        <v>70767.570000000007</v>
      </c>
      <c r="BD57" s="163">
        <v>70767.570000000007</v>
      </c>
      <c r="BE57" s="163">
        <v>70767.570000000007</v>
      </c>
      <c r="BF57" s="163">
        <v>70767.570000000007</v>
      </c>
      <c r="BG57" s="163">
        <v>70767.570000000007</v>
      </c>
      <c r="BH57" s="163">
        <v>70767.570000000007</v>
      </c>
      <c r="BI57" s="163">
        <v>70767.570000000007</v>
      </c>
      <c r="BJ57" s="163">
        <v>70767.570000000007</v>
      </c>
      <c r="BK57" s="163">
        <v>70767.570000000007</v>
      </c>
      <c r="BL57" s="163">
        <v>70767.570000000007</v>
      </c>
      <c r="BM57" s="163">
        <v>70767.570000000007</v>
      </c>
      <c r="BN57" s="163">
        <v>70767.570000000007</v>
      </c>
      <c r="BO57" s="163">
        <v>70767.570000000007</v>
      </c>
      <c r="BP57" s="163">
        <v>70767.570000000007</v>
      </c>
      <c r="BQ57" s="163">
        <v>70767.570000000007</v>
      </c>
      <c r="BR57" s="163">
        <v>70767.570000000007</v>
      </c>
      <c r="BS57" s="163">
        <v>70767.570000000007</v>
      </c>
      <c r="BT57" s="163">
        <v>70767.570000000007</v>
      </c>
      <c r="BU57" s="163">
        <v>70767.570000000007</v>
      </c>
      <c r="BV57" s="163">
        <v>70767.570000000007</v>
      </c>
      <c r="BW57" s="163">
        <v>70767.570000000007</v>
      </c>
      <c r="BX57" s="163">
        <v>70767.570000000007</v>
      </c>
      <c r="BY57" s="163">
        <v>70767.570000000007</v>
      </c>
      <c r="BZ57" s="163">
        <v>70767.570000000007</v>
      </c>
      <c r="CA57" s="163">
        <v>70767.570000000007</v>
      </c>
      <c r="CB57" s="163">
        <v>70767.570000000007</v>
      </c>
      <c r="CC57" s="163">
        <v>70767.570000000007</v>
      </c>
      <c r="CD57" s="163">
        <v>70767.570000000007</v>
      </c>
      <c r="CE57" s="163">
        <v>70767.570000000007</v>
      </c>
      <c r="CF57" s="163">
        <v>70767.570000000007</v>
      </c>
      <c r="CG57" s="163">
        <v>70767.570000000007</v>
      </c>
      <c r="CH57" s="163">
        <v>70767.570000000007</v>
      </c>
      <c r="CI57" s="163">
        <v>70767.570000000007</v>
      </c>
      <c r="CJ57" s="163">
        <v>70767.570000000007</v>
      </c>
      <c r="CK57" s="163">
        <v>70767.570000000007</v>
      </c>
      <c r="CL57" s="163">
        <v>70767.570000000007</v>
      </c>
      <c r="CM57" s="163">
        <v>70767.570000000007</v>
      </c>
      <c r="CN57" s="163">
        <v>70767.570000000007</v>
      </c>
      <c r="CO57" s="163">
        <v>70767.570000000007</v>
      </c>
      <c r="CP57" s="163">
        <v>70767.570000000007</v>
      </c>
      <c r="CQ57" s="163">
        <v>70767.570000000007</v>
      </c>
      <c r="CR57" s="163">
        <v>70767.570000000007</v>
      </c>
      <c r="CS57" s="163">
        <v>70767.570000000007</v>
      </c>
      <c r="CT57" s="163">
        <v>70767.570000000007</v>
      </c>
      <c r="CU57" s="163">
        <v>70767.570000000007</v>
      </c>
      <c r="CV57" s="163">
        <v>70767.570000000007</v>
      </c>
      <c r="CW57" s="163">
        <v>70767.570000000007</v>
      </c>
      <c r="CX57" s="163">
        <v>70767.570000000007</v>
      </c>
      <c r="CY57" s="163">
        <v>70767.570000000007</v>
      </c>
      <c r="CZ57" s="163">
        <v>70767.570000000007</v>
      </c>
      <c r="DA57" s="163">
        <v>70767.570000000007</v>
      </c>
      <c r="DB57" s="163">
        <v>70767.570000000007</v>
      </c>
      <c r="DC57" s="163">
        <v>70767.570000000007</v>
      </c>
      <c r="DD57" s="163">
        <v>70767.570000000007</v>
      </c>
      <c r="DE57" s="163">
        <v>70767.570000000007</v>
      </c>
      <c r="DF57" s="163">
        <f>VLOOKUP($C57,'[3]BS ACC'!$C$5:$DH$1006,108,FALSE)</f>
        <v>70767.570000000007</v>
      </c>
      <c r="DG57" s="163">
        <f>VLOOKUP($C57,'[3]BS ACC'!$C$5:$DH$1006,109,FALSE)</f>
        <v>70767.570000000007</v>
      </c>
      <c r="DH57" s="163">
        <f>VLOOKUP($C57,'[3]BS ACC'!$C$5:$DH$1006,110,FALSE)</f>
        <v>70767.570000000007</v>
      </c>
    </row>
    <row r="58" spans="1:112">
      <c r="A58" s="350" t="str">
        <f t="shared" si="0"/>
        <v>1420540</v>
      </c>
      <c r="B58" s="350" t="s">
        <v>1491</v>
      </c>
      <c r="C58" s="335" t="s">
        <v>630</v>
      </c>
      <c r="D58" s="340">
        <v>-23117.73</v>
      </c>
      <c r="E58" s="340">
        <v>29928.59</v>
      </c>
      <c r="F58" s="340">
        <v>91079.83</v>
      </c>
      <c r="G58" s="340">
        <v>109965.01</v>
      </c>
      <c r="H58" s="340">
        <v>112363.27</v>
      </c>
      <c r="I58" s="340">
        <v>96677.2</v>
      </c>
      <c r="J58" s="340">
        <v>78251.09</v>
      </c>
      <c r="K58" s="340">
        <v>56532.74</v>
      </c>
      <c r="L58" s="340">
        <v>32965.660000000003</v>
      </c>
      <c r="M58" s="340">
        <v>10532.9</v>
      </c>
      <c r="N58" s="340">
        <v>-10885.25</v>
      </c>
      <c r="O58" s="340">
        <v>-19932.900000000001</v>
      </c>
      <c r="P58" s="341">
        <v>2021.01</v>
      </c>
      <c r="Q58" s="163">
        <v>38223.129999999997</v>
      </c>
      <c r="R58" s="163">
        <v>80063.199999999997</v>
      </c>
      <c r="S58" s="163">
        <v>108079.05</v>
      </c>
      <c r="T58" s="163">
        <v>91099.77</v>
      </c>
      <c r="U58" s="163">
        <v>65397.68</v>
      </c>
      <c r="V58" s="163">
        <v>41150.94</v>
      </c>
      <c r="W58" s="163">
        <v>13704.1</v>
      </c>
      <c r="X58" s="163">
        <v>-12349.01</v>
      </c>
      <c r="Y58" s="163">
        <v>-38996.639999999999</v>
      </c>
      <c r="Z58" s="163">
        <v>-62015.61</v>
      </c>
      <c r="AA58" s="163">
        <v>-84519.34</v>
      </c>
      <c r="AB58" s="163">
        <v>-95784.65</v>
      </c>
      <c r="AC58" s="163">
        <v>-74276.789999999994</v>
      </c>
      <c r="AD58" s="163">
        <v>-26768.38</v>
      </c>
      <c r="AE58" s="163">
        <v>-5592.68</v>
      </c>
      <c r="AF58" s="163">
        <v>-7674.08</v>
      </c>
      <c r="AG58" s="163">
        <v>-15191.9</v>
      </c>
      <c r="AH58" s="163">
        <v>-27083.91</v>
      </c>
      <c r="AI58" s="163">
        <v>-42907.11</v>
      </c>
      <c r="AJ58" s="163">
        <v>-57591.67</v>
      </c>
      <c r="AK58" s="163">
        <v>-70843.039999999994</v>
      </c>
      <c r="AL58" s="163">
        <v>-82154</v>
      </c>
      <c r="AM58" s="163">
        <v>-87895.61</v>
      </c>
      <c r="AN58" s="163">
        <v>-82215.710000000006</v>
      </c>
      <c r="AO58" s="163">
        <v>0</v>
      </c>
      <c r="AP58" s="163">
        <v>0</v>
      </c>
      <c r="AQ58" s="163">
        <v>0</v>
      </c>
      <c r="AR58" s="163">
        <v>0</v>
      </c>
      <c r="AS58" s="163">
        <v>0</v>
      </c>
      <c r="AT58" s="163">
        <v>0</v>
      </c>
      <c r="AU58" s="163">
        <v>0</v>
      </c>
      <c r="AV58" s="163">
        <v>0</v>
      </c>
      <c r="AW58" s="163">
        <v>0</v>
      </c>
      <c r="AX58" s="163">
        <v>0</v>
      </c>
      <c r="AY58" s="163">
        <v>0</v>
      </c>
      <c r="AZ58" s="163">
        <v>0</v>
      </c>
      <c r="BA58" s="163">
        <v>0</v>
      </c>
      <c r="BB58" s="163">
        <v>0</v>
      </c>
      <c r="BC58" s="163">
        <v>0</v>
      </c>
      <c r="BD58" s="163">
        <v>0</v>
      </c>
      <c r="BE58" s="163">
        <v>0</v>
      </c>
      <c r="BF58" s="163">
        <v>0</v>
      </c>
      <c r="BG58" s="163">
        <v>0</v>
      </c>
      <c r="BH58" s="163">
        <v>0</v>
      </c>
      <c r="BI58" s="163">
        <v>0</v>
      </c>
      <c r="BJ58" s="163">
        <v>0</v>
      </c>
      <c r="BK58" s="163">
        <v>0</v>
      </c>
      <c r="BL58" s="163">
        <v>0</v>
      </c>
      <c r="BM58" s="163">
        <v>0</v>
      </c>
      <c r="BN58" s="163">
        <v>0</v>
      </c>
      <c r="BO58" s="163">
        <v>0</v>
      </c>
      <c r="BP58" s="163">
        <v>0</v>
      </c>
      <c r="BQ58" s="163">
        <v>0</v>
      </c>
      <c r="BR58" s="163">
        <v>0</v>
      </c>
      <c r="BS58" s="163">
        <v>0</v>
      </c>
      <c r="BT58" s="163">
        <v>0</v>
      </c>
      <c r="BU58" s="163">
        <v>0</v>
      </c>
      <c r="BV58" s="163">
        <v>0</v>
      </c>
      <c r="BW58" s="163">
        <v>0</v>
      </c>
      <c r="BX58" s="163">
        <v>0</v>
      </c>
      <c r="BY58" s="163">
        <v>0</v>
      </c>
      <c r="BZ58" s="163">
        <v>0</v>
      </c>
      <c r="CA58" s="163">
        <v>0</v>
      </c>
      <c r="CB58" s="163">
        <v>0</v>
      </c>
      <c r="CC58" s="163">
        <v>0</v>
      </c>
      <c r="CD58" s="163">
        <v>0</v>
      </c>
      <c r="CE58" s="163">
        <v>0</v>
      </c>
      <c r="CF58" s="163">
        <v>0</v>
      </c>
      <c r="CG58" s="163">
        <v>0</v>
      </c>
      <c r="CH58" s="163">
        <v>0</v>
      </c>
      <c r="CI58" s="163">
        <v>0</v>
      </c>
      <c r="CJ58" s="163">
        <v>0</v>
      </c>
      <c r="CK58" s="163">
        <v>0</v>
      </c>
      <c r="CL58" s="163">
        <v>0</v>
      </c>
      <c r="CM58" s="163">
        <v>0</v>
      </c>
      <c r="CN58" s="163">
        <v>0</v>
      </c>
      <c r="CO58" s="163">
        <v>0</v>
      </c>
      <c r="CP58" s="163">
        <v>0</v>
      </c>
      <c r="CQ58" s="163">
        <v>0</v>
      </c>
      <c r="CR58" s="163">
        <v>0</v>
      </c>
      <c r="CS58" s="163">
        <v>0</v>
      </c>
      <c r="CT58" s="163">
        <v>0</v>
      </c>
      <c r="CU58" s="163">
        <v>0</v>
      </c>
      <c r="CV58" s="163">
        <v>0</v>
      </c>
      <c r="CW58" s="163">
        <v>0</v>
      </c>
      <c r="CX58" s="163">
        <v>0</v>
      </c>
      <c r="CY58" s="163">
        <v>0</v>
      </c>
      <c r="CZ58" s="163">
        <v>0</v>
      </c>
      <c r="DA58" s="163">
        <v>0</v>
      </c>
      <c r="DB58" s="163">
        <v>0</v>
      </c>
      <c r="DC58" s="163">
        <v>0</v>
      </c>
      <c r="DD58" s="163">
        <v>0</v>
      </c>
      <c r="DE58" s="163">
        <v>0</v>
      </c>
      <c r="DF58" s="163">
        <f>VLOOKUP($C58,'[3]BS ACC'!$C$5:$DH$1006,108,FALSE)</f>
        <v>0</v>
      </c>
      <c r="DG58" s="163">
        <f>VLOOKUP($C58,'[3]BS ACC'!$C$5:$DH$1006,109,FALSE)</f>
        <v>0</v>
      </c>
      <c r="DH58" s="163">
        <f>VLOOKUP($C58,'[3]BS ACC'!$C$5:$DH$1006,110,FALSE)</f>
        <v>0</v>
      </c>
    </row>
    <row r="59" spans="1:112">
      <c r="A59" s="350" t="str">
        <f t="shared" si="0"/>
        <v>1420600</v>
      </c>
      <c r="B59" s="350" t="s">
        <v>1492</v>
      </c>
      <c r="C59" s="335" t="s">
        <v>631</v>
      </c>
      <c r="D59" s="340">
        <v>-3.53</v>
      </c>
      <c r="E59" s="340">
        <v>0</v>
      </c>
      <c r="F59" s="340">
        <v>4755.1400000000003</v>
      </c>
      <c r="G59" s="340">
        <v>0</v>
      </c>
      <c r="H59" s="340">
        <v>72520</v>
      </c>
      <c r="I59" s="340">
        <v>0</v>
      </c>
      <c r="J59" s="340">
        <v>0</v>
      </c>
      <c r="K59" s="340">
        <v>0</v>
      </c>
      <c r="L59" s="340">
        <v>0</v>
      </c>
      <c r="M59" s="340">
        <v>562941.38</v>
      </c>
      <c r="N59" s="340">
        <v>290</v>
      </c>
      <c r="O59" s="340">
        <v>26161.74</v>
      </c>
      <c r="P59" s="341">
        <v>0</v>
      </c>
      <c r="Q59" s="163">
        <v>65790</v>
      </c>
      <c r="R59" s="163">
        <v>184000.01</v>
      </c>
      <c r="S59" s="163">
        <v>9987.8700000000008</v>
      </c>
      <c r="T59" s="163">
        <v>90486.1</v>
      </c>
      <c r="U59" s="163">
        <v>0.12</v>
      </c>
      <c r="V59" s="163">
        <v>138.78</v>
      </c>
      <c r="W59" s="163">
        <v>17898.38</v>
      </c>
      <c r="X59" s="163">
        <v>15471.5</v>
      </c>
      <c r="Y59" s="163">
        <v>49548.35</v>
      </c>
      <c r="Z59" s="163">
        <v>1920.12</v>
      </c>
      <c r="AA59" s="163">
        <v>1920.14</v>
      </c>
      <c r="AB59" s="163">
        <v>1943.17</v>
      </c>
      <c r="AC59" s="163">
        <v>1920.27</v>
      </c>
      <c r="AD59" s="163">
        <v>2505.77</v>
      </c>
      <c r="AE59" s="163">
        <v>4793.37</v>
      </c>
      <c r="AF59" s="163">
        <v>0.27</v>
      </c>
      <c r="AG59" s="163">
        <v>0.27</v>
      </c>
      <c r="AH59" s="163">
        <v>0.27</v>
      </c>
      <c r="AI59" s="163">
        <v>0.27</v>
      </c>
      <c r="AJ59" s="163">
        <v>41452.58</v>
      </c>
      <c r="AK59" s="163">
        <v>274.64999999999998</v>
      </c>
      <c r="AL59" s="163">
        <v>65322.09</v>
      </c>
      <c r="AM59" s="163">
        <v>0.3</v>
      </c>
      <c r="AN59" s="163">
        <v>0.3</v>
      </c>
      <c r="AO59" s="163">
        <v>328590.34999999998</v>
      </c>
      <c r="AP59" s="163">
        <v>27523.74</v>
      </c>
      <c r="AQ59" s="163">
        <v>0.3</v>
      </c>
      <c r="AR59" s="163">
        <v>0.3</v>
      </c>
      <c r="AS59" s="163">
        <v>1190968.8</v>
      </c>
      <c r="AT59" s="163">
        <v>0.16</v>
      </c>
      <c r="AU59" s="163">
        <v>211796.64</v>
      </c>
      <c r="AV59" s="163">
        <v>0.17</v>
      </c>
      <c r="AW59" s="163">
        <v>1032616.92</v>
      </c>
      <c r="AX59" s="163">
        <v>139745.32</v>
      </c>
      <c r="AY59" s="163">
        <v>783295.53</v>
      </c>
      <c r="AZ59" s="163">
        <v>62085.45</v>
      </c>
      <c r="BA59" s="163">
        <v>0.14000000000000001</v>
      </c>
      <c r="BB59" s="163">
        <v>1213.0899999999999</v>
      </c>
      <c r="BC59" s="163">
        <v>0</v>
      </c>
      <c r="BD59" s="163">
        <v>1183.5999999999999</v>
      </c>
      <c r="BE59" s="163">
        <v>0</v>
      </c>
      <c r="BF59" s="163">
        <v>0</v>
      </c>
      <c r="BG59" s="163">
        <v>0</v>
      </c>
      <c r="BH59" s="163">
        <v>114017.46</v>
      </c>
      <c r="BI59" s="163">
        <v>0</v>
      </c>
      <c r="BJ59" s="163">
        <v>0</v>
      </c>
      <c r="BK59" s="163">
        <v>102450</v>
      </c>
      <c r="BL59" s="163">
        <v>23750</v>
      </c>
      <c r="BM59" s="163">
        <v>440000</v>
      </c>
      <c r="BN59" s="163">
        <v>0</v>
      </c>
      <c r="BO59" s="163">
        <v>0</v>
      </c>
      <c r="BP59" s="163">
        <v>0</v>
      </c>
      <c r="BQ59" s="163">
        <v>0</v>
      </c>
      <c r="BR59" s="163">
        <v>0</v>
      </c>
      <c r="BS59" s="163">
        <v>0</v>
      </c>
      <c r="BT59" s="163">
        <v>89590</v>
      </c>
      <c r="BU59" s="163">
        <v>0</v>
      </c>
      <c r="BV59" s="163">
        <v>64575</v>
      </c>
      <c r="BW59" s="163">
        <v>0.01</v>
      </c>
      <c r="BX59" s="163">
        <v>0</v>
      </c>
      <c r="BY59" s="163">
        <v>2264304.36</v>
      </c>
      <c r="BZ59" s="163">
        <v>0.01</v>
      </c>
      <c r="CA59" s="163">
        <v>0</v>
      </c>
      <c r="CB59" s="163">
        <v>0</v>
      </c>
      <c r="CC59" s="163">
        <v>0</v>
      </c>
      <c r="CD59" s="163">
        <v>0</v>
      </c>
      <c r="CE59" s="163">
        <v>0</v>
      </c>
      <c r="CF59" s="163">
        <v>0.02</v>
      </c>
      <c r="CG59" s="163">
        <v>0</v>
      </c>
      <c r="CH59" s="163">
        <v>0</v>
      </c>
      <c r="CI59" s="163">
        <v>0</v>
      </c>
      <c r="CJ59" s="163">
        <v>0</v>
      </c>
      <c r="CK59" s="163">
        <v>0</v>
      </c>
      <c r="CL59" s="163">
        <v>0</v>
      </c>
      <c r="CM59" s="163">
        <v>32237.040000000001</v>
      </c>
      <c r="CN59" s="163">
        <v>0</v>
      </c>
      <c r="CO59" s="163">
        <v>684.06</v>
      </c>
      <c r="CP59" s="163">
        <v>0</v>
      </c>
      <c r="CQ59" s="163">
        <v>0</v>
      </c>
      <c r="CR59" s="163">
        <v>0</v>
      </c>
      <c r="CS59" s="163">
        <v>204155.14</v>
      </c>
      <c r="CT59" s="163">
        <v>204155.14</v>
      </c>
      <c r="CU59" s="163">
        <v>253907.98</v>
      </c>
      <c r="CV59" s="163">
        <v>0</v>
      </c>
      <c r="CW59" s="163">
        <v>0</v>
      </c>
      <c r="CX59" s="163">
        <v>0</v>
      </c>
      <c r="CY59" s="163">
        <v>0.02</v>
      </c>
      <c r="CZ59" s="163">
        <v>0.02</v>
      </c>
      <c r="DA59" s="163">
        <v>0.02</v>
      </c>
      <c r="DB59" s="163">
        <v>23026.92</v>
      </c>
      <c r="DC59" s="163">
        <v>0</v>
      </c>
      <c r="DD59" s="163">
        <v>6238.44</v>
      </c>
      <c r="DE59" s="163">
        <v>138738.04</v>
      </c>
      <c r="DF59" s="163">
        <f>VLOOKUP($C59,'[3]BS ACC'!$C$5:$DH$1006,108,FALSE)</f>
        <v>9244.0499999999993</v>
      </c>
      <c r="DG59" s="163">
        <f>VLOOKUP($C59,'[3]BS ACC'!$C$5:$DH$1006,109,FALSE)</f>
        <v>7739.17</v>
      </c>
      <c r="DH59" s="163">
        <f>VLOOKUP($C59,'[3]BS ACC'!$C$5:$DH$1006,110,FALSE)</f>
        <v>7739.17</v>
      </c>
    </row>
    <row r="60" spans="1:112">
      <c r="A60" s="350" t="str">
        <f t="shared" si="0"/>
        <v>1420601</v>
      </c>
      <c r="B60" s="350" t="s">
        <v>1579</v>
      </c>
      <c r="C60" s="335" t="s">
        <v>632</v>
      </c>
      <c r="D60" s="340">
        <v>1151097.06</v>
      </c>
      <c r="E60" s="340">
        <v>3191986.66</v>
      </c>
      <c r="F60" s="340">
        <v>2178407.2999999998</v>
      </c>
      <c r="G60" s="340">
        <v>2270435</v>
      </c>
      <c r="H60" s="340">
        <v>5253425.95</v>
      </c>
      <c r="I60" s="340">
        <v>1883610.21</v>
      </c>
      <c r="J60" s="340">
        <v>1176115.3600000001</v>
      </c>
      <c r="K60" s="340">
        <v>3709294.66</v>
      </c>
      <c r="L60" s="340">
        <v>5924963.1600000001</v>
      </c>
      <c r="M60" s="340">
        <v>1170890.25</v>
      </c>
      <c r="N60" s="340">
        <v>3017292.35</v>
      </c>
      <c r="O60" s="340">
        <v>3080973.08</v>
      </c>
      <c r="P60" s="341">
        <v>2067738.76</v>
      </c>
      <c r="Q60" s="163">
        <v>3053747.31</v>
      </c>
      <c r="R60" s="163">
        <v>2975653.25</v>
      </c>
      <c r="S60" s="163">
        <v>1869718.57</v>
      </c>
      <c r="T60" s="163">
        <v>6082661.0499999998</v>
      </c>
      <c r="U60" s="163">
        <v>3525655.2</v>
      </c>
      <c r="V60" s="163">
        <v>4279807.0199999996</v>
      </c>
      <c r="W60" s="163">
        <v>2402261.14</v>
      </c>
      <c r="X60" s="163">
        <v>5125792.0599999996</v>
      </c>
      <c r="Y60" s="163">
        <v>4191578.34</v>
      </c>
      <c r="Z60" s="163">
        <v>4335537.4000000004</v>
      </c>
      <c r="AA60" s="163">
        <v>6512951.0800000001</v>
      </c>
      <c r="AB60" s="163">
        <v>2253798.31</v>
      </c>
      <c r="AC60" s="163">
        <v>3069509.29</v>
      </c>
      <c r="AD60" s="163">
        <v>2904974.37</v>
      </c>
      <c r="AE60" s="163">
        <v>3803744</v>
      </c>
      <c r="AF60" s="163">
        <v>5018376.1100000003</v>
      </c>
      <c r="AG60" s="163">
        <v>5177661.0999999996</v>
      </c>
      <c r="AH60" s="163">
        <v>6653040.3200000003</v>
      </c>
      <c r="AI60" s="163">
        <v>10779824.75</v>
      </c>
      <c r="AJ60" s="163">
        <v>9260621.1999999993</v>
      </c>
      <c r="AK60" s="163">
        <v>6999268.0300000003</v>
      </c>
      <c r="AL60" s="163">
        <v>8029251.1799999997</v>
      </c>
      <c r="AM60" s="163">
        <v>2717893.6</v>
      </c>
      <c r="AN60" s="163">
        <v>3363227.31</v>
      </c>
      <c r="AO60" s="163">
        <v>3796641.09</v>
      </c>
      <c r="AP60" s="163">
        <v>3614441.34</v>
      </c>
      <c r="AQ60" s="163">
        <v>2568021.61</v>
      </c>
      <c r="AR60" s="163">
        <v>5098656.41</v>
      </c>
      <c r="AS60" s="163">
        <v>4819269.18</v>
      </c>
      <c r="AT60" s="163">
        <v>4569270.62</v>
      </c>
      <c r="AU60" s="163">
        <v>6004250.2800000003</v>
      </c>
      <c r="AV60" s="163">
        <v>4221796.59</v>
      </c>
      <c r="AW60" s="163">
        <v>4422087.12</v>
      </c>
      <c r="AX60" s="163">
        <v>3687066.8</v>
      </c>
      <c r="AY60" s="163">
        <v>2594799</v>
      </c>
      <c r="AZ60" s="163">
        <v>4082935.15</v>
      </c>
      <c r="BA60" s="163">
        <v>5099773.99</v>
      </c>
      <c r="BB60" s="163">
        <v>2400995.42</v>
      </c>
      <c r="BC60" s="163">
        <v>1803712.03</v>
      </c>
      <c r="BD60" s="163">
        <v>3154301.15</v>
      </c>
      <c r="BE60" s="163">
        <v>3785072.36</v>
      </c>
      <c r="BF60" s="163">
        <v>4761823.41</v>
      </c>
      <c r="BG60" s="163">
        <v>7597477.7599999998</v>
      </c>
      <c r="BH60" s="163">
        <v>5356690.22</v>
      </c>
      <c r="BI60" s="163">
        <v>4923337.6900000004</v>
      </c>
      <c r="BJ60" s="163">
        <v>5710084.0499999998</v>
      </c>
      <c r="BK60" s="163">
        <v>2508493.1</v>
      </c>
      <c r="BL60" s="163">
        <v>3443743.14</v>
      </c>
      <c r="BM60" s="163">
        <v>3847388.49</v>
      </c>
      <c r="BN60" s="163">
        <v>2323705.79</v>
      </c>
      <c r="BO60" s="163">
        <v>1599108.11</v>
      </c>
      <c r="BP60" s="163">
        <v>3040663.06</v>
      </c>
      <c r="BQ60" s="163">
        <v>4606565.49</v>
      </c>
      <c r="BR60" s="163">
        <v>3379699.51</v>
      </c>
      <c r="BS60" s="163">
        <v>2900805.94</v>
      </c>
      <c r="BT60" s="163">
        <v>2902458.8</v>
      </c>
      <c r="BU60" s="163">
        <v>4184109.81</v>
      </c>
      <c r="BV60" s="163">
        <v>3514813.75</v>
      </c>
      <c r="BW60" s="163">
        <v>3159589.52</v>
      </c>
      <c r="BX60" s="163">
        <v>2264304.35</v>
      </c>
      <c r="BY60" s="163">
        <v>2611828.88</v>
      </c>
      <c r="BZ60" s="163">
        <v>2002312.12</v>
      </c>
      <c r="CA60" s="163">
        <v>2072057.08</v>
      </c>
      <c r="CB60" s="163">
        <v>2059955.3</v>
      </c>
      <c r="CC60" s="163">
        <v>1911048.47</v>
      </c>
      <c r="CD60" s="163">
        <v>2786815.94</v>
      </c>
      <c r="CE60" s="163">
        <v>2718366.71</v>
      </c>
      <c r="CF60" s="163">
        <v>1214795.58</v>
      </c>
      <c r="CG60" s="163">
        <v>1991150.76</v>
      </c>
      <c r="CH60" s="163">
        <v>1323104.93</v>
      </c>
      <c r="CI60" s="163">
        <v>1522218.8</v>
      </c>
      <c r="CJ60" s="163">
        <v>1877371.15</v>
      </c>
      <c r="CK60" s="163">
        <v>1686392.92</v>
      </c>
      <c r="CL60" s="163">
        <v>2827228.75</v>
      </c>
      <c r="CM60" s="163">
        <v>3401606.62</v>
      </c>
      <c r="CN60" s="163">
        <v>403721.09</v>
      </c>
      <c r="CO60" s="163">
        <v>1632845.09</v>
      </c>
      <c r="CP60" s="163">
        <v>1449632.95</v>
      </c>
      <c r="CQ60" s="163">
        <v>1372016.33</v>
      </c>
      <c r="CR60" s="163">
        <v>3080461.57</v>
      </c>
      <c r="CS60" s="163">
        <v>2487669.91</v>
      </c>
      <c r="CT60" s="163">
        <v>4343419.47</v>
      </c>
      <c r="CU60" s="163">
        <v>266766.17</v>
      </c>
      <c r="CV60" s="163">
        <v>63075</v>
      </c>
      <c r="CW60" s="163">
        <v>4376455.6399999997</v>
      </c>
      <c r="CX60" s="163">
        <v>3857570.56</v>
      </c>
      <c r="CY60" s="163">
        <v>4476962.04</v>
      </c>
      <c r="CZ60" s="163">
        <v>4003020.98</v>
      </c>
      <c r="DA60" s="163">
        <v>7434336.75</v>
      </c>
      <c r="DB60" s="163">
        <v>7346304.7699999996</v>
      </c>
      <c r="DC60" s="163">
        <v>11065216.449999999</v>
      </c>
      <c r="DD60" s="163">
        <v>9587066.2899999991</v>
      </c>
      <c r="DE60" s="163">
        <v>5609113.3499999996</v>
      </c>
      <c r="DF60" s="163">
        <f>VLOOKUP($C60,'[3]BS ACC'!$C$5:$DH$1006,108,FALSE)</f>
        <v>3526303.71</v>
      </c>
      <c r="DG60" s="163">
        <f>VLOOKUP($C60,'[3]BS ACC'!$C$5:$DH$1006,109,FALSE)</f>
        <v>3451887.59</v>
      </c>
      <c r="DH60" s="163">
        <f>VLOOKUP($C60,'[3]BS ACC'!$C$5:$DH$1006,110,FALSE)</f>
        <v>4168444.97</v>
      </c>
    </row>
    <row r="61" spans="1:112">
      <c r="A61" s="350" t="str">
        <f t="shared" si="0"/>
        <v>1420800</v>
      </c>
      <c r="B61" s="350" t="s">
        <v>1493</v>
      </c>
      <c r="C61" s="335" t="s">
        <v>633</v>
      </c>
      <c r="D61" s="340">
        <v>0</v>
      </c>
      <c r="E61" s="340">
        <v>0</v>
      </c>
      <c r="F61" s="340">
        <v>0</v>
      </c>
      <c r="G61" s="340">
        <v>0</v>
      </c>
      <c r="H61" s="340">
        <v>0</v>
      </c>
      <c r="I61" s="340">
        <v>0</v>
      </c>
      <c r="J61" s="340">
        <v>0</v>
      </c>
      <c r="K61" s="340">
        <v>0</v>
      </c>
      <c r="L61" s="340">
        <v>14106</v>
      </c>
      <c r="M61" s="340">
        <v>0</v>
      </c>
      <c r="N61" s="340">
        <v>0</v>
      </c>
      <c r="O61" s="340">
        <v>0</v>
      </c>
      <c r="P61" s="341">
        <v>0</v>
      </c>
      <c r="Q61" s="163">
        <v>0</v>
      </c>
      <c r="R61" s="163">
        <v>0</v>
      </c>
      <c r="S61" s="163">
        <v>0</v>
      </c>
      <c r="T61" s="163">
        <v>0</v>
      </c>
      <c r="U61" s="163">
        <v>0</v>
      </c>
      <c r="V61" s="163">
        <v>0</v>
      </c>
      <c r="W61" s="163">
        <v>0</v>
      </c>
      <c r="X61" s="163">
        <v>0</v>
      </c>
      <c r="Y61" s="163">
        <v>0</v>
      </c>
      <c r="Z61" s="163">
        <v>0</v>
      </c>
      <c r="AA61" s="163">
        <v>0</v>
      </c>
      <c r="AB61" s="163">
        <v>0</v>
      </c>
      <c r="AC61" s="163">
        <v>0</v>
      </c>
      <c r="AD61" s="163">
        <v>0</v>
      </c>
      <c r="AE61" s="163">
        <v>0</v>
      </c>
      <c r="AF61" s="163">
        <v>0</v>
      </c>
      <c r="AG61" s="163">
        <v>0</v>
      </c>
      <c r="AH61" s="163">
        <v>0</v>
      </c>
      <c r="AI61" s="163">
        <v>0</v>
      </c>
      <c r="AJ61" s="163">
        <v>0</v>
      </c>
      <c r="AK61" s="163">
        <v>0</v>
      </c>
      <c r="AL61" s="163">
        <v>0</v>
      </c>
      <c r="AM61" s="163">
        <v>0</v>
      </c>
      <c r="AN61" s="163">
        <v>0</v>
      </c>
      <c r="AO61" s="163">
        <v>0</v>
      </c>
      <c r="AP61" s="163">
        <v>0</v>
      </c>
      <c r="AQ61" s="163">
        <v>0</v>
      </c>
      <c r="AR61" s="163">
        <v>0</v>
      </c>
      <c r="AS61" s="163">
        <v>0</v>
      </c>
      <c r="AT61" s="163">
        <v>0</v>
      </c>
      <c r="AU61" s="163">
        <v>0</v>
      </c>
      <c r="AV61" s="163">
        <v>0</v>
      </c>
      <c r="AW61" s="163">
        <v>0</v>
      </c>
      <c r="AX61" s="163">
        <v>0</v>
      </c>
      <c r="AY61" s="163">
        <v>0</v>
      </c>
      <c r="AZ61" s="163">
        <v>0</v>
      </c>
      <c r="BA61" s="163">
        <v>0</v>
      </c>
      <c r="BB61" s="163">
        <v>0</v>
      </c>
      <c r="BC61" s="163">
        <v>0</v>
      </c>
      <c r="BD61" s="163">
        <v>0</v>
      </c>
      <c r="BE61" s="163">
        <v>0</v>
      </c>
      <c r="BF61" s="163">
        <v>0</v>
      </c>
      <c r="BG61" s="163">
        <v>0</v>
      </c>
      <c r="BH61" s="163">
        <v>0</v>
      </c>
      <c r="BI61" s="163">
        <v>0</v>
      </c>
      <c r="BJ61" s="163">
        <v>0</v>
      </c>
      <c r="BK61" s="163">
        <v>0</v>
      </c>
      <c r="BL61" s="163">
        <v>0</v>
      </c>
      <c r="BM61" s="163">
        <v>0</v>
      </c>
      <c r="BN61" s="163">
        <v>0</v>
      </c>
      <c r="BO61" s="163">
        <v>0</v>
      </c>
      <c r="BP61" s="163">
        <v>0</v>
      </c>
      <c r="BQ61" s="163">
        <v>0</v>
      </c>
      <c r="BR61" s="163">
        <v>0</v>
      </c>
      <c r="BS61" s="163">
        <v>0</v>
      </c>
      <c r="BT61" s="163">
        <v>0</v>
      </c>
      <c r="BU61" s="163">
        <v>0</v>
      </c>
      <c r="BV61" s="163">
        <v>0</v>
      </c>
      <c r="BW61" s="163">
        <v>0</v>
      </c>
      <c r="BX61" s="163">
        <v>0</v>
      </c>
      <c r="BY61" s="163">
        <v>0</v>
      </c>
      <c r="BZ61" s="163">
        <v>0</v>
      </c>
      <c r="CA61" s="163">
        <v>0</v>
      </c>
      <c r="CB61" s="163">
        <v>0</v>
      </c>
      <c r="CC61" s="163">
        <v>0</v>
      </c>
      <c r="CD61" s="163">
        <v>0</v>
      </c>
      <c r="CE61" s="163">
        <v>0</v>
      </c>
      <c r="CF61" s="163">
        <v>0</v>
      </c>
      <c r="CG61" s="163">
        <v>0</v>
      </c>
      <c r="CH61" s="163">
        <v>0</v>
      </c>
      <c r="CI61" s="163">
        <v>0</v>
      </c>
      <c r="CJ61" s="163">
        <v>0</v>
      </c>
      <c r="CK61" s="163">
        <v>0</v>
      </c>
      <c r="CL61" s="163">
        <v>0</v>
      </c>
      <c r="CM61" s="163">
        <v>0</v>
      </c>
      <c r="CN61" s="163">
        <v>0</v>
      </c>
      <c r="CO61" s="163">
        <v>0</v>
      </c>
      <c r="CP61" s="163">
        <v>0</v>
      </c>
      <c r="CQ61" s="163">
        <v>0</v>
      </c>
      <c r="CR61" s="163">
        <v>0</v>
      </c>
      <c r="CS61" s="163">
        <v>0</v>
      </c>
      <c r="CT61" s="163">
        <v>0</v>
      </c>
      <c r="CU61" s="163">
        <v>0</v>
      </c>
      <c r="CV61" s="163">
        <v>0</v>
      </c>
      <c r="CW61" s="163">
        <v>0</v>
      </c>
      <c r="CX61" s="163">
        <v>0</v>
      </c>
      <c r="CY61" s="163">
        <v>0</v>
      </c>
      <c r="CZ61" s="163">
        <v>0</v>
      </c>
      <c r="DA61" s="163">
        <v>0</v>
      </c>
      <c r="DB61" s="163">
        <v>0</v>
      </c>
      <c r="DC61" s="163">
        <v>0</v>
      </c>
      <c r="DD61" s="163">
        <v>0</v>
      </c>
      <c r="DE61" s="163">
        <v>0</v>
      </c>
      <c r="DF61" s="163">
        <f>VLOOKUP($C61,'[3]BS ACC'!$C$5:$DH$1006,108,FALSE)</f>
        <v>0</v>
      </c>
      <c r="DG61" s="163">
        <f>VLOOKUP($C61,'[3]BS ACC'!$C$5:$DH$1006,109,FALSE)</f>
        <v>0</v>
      </c>
      <c r="DH61" s="163">
        <f>VLOOKUP($C61,'[3]BS ACC'!$C$5:$DH$1006,110,FALSE)</f>
        <v>0</v>
      </c>
    </row>
    <row r="62" spans="1:112">
      <c r="A62" s="350" t="str">
        <f t="shared" si="0"/>
        <v>1420801</v>
      </c>
      <c r="B62" s="350" t="s">
        <v>1580</v>
      </c>
      <c r="C62" s="335" t="s">
        <v>634</v>
      </c>
      <c r="D62" s="340">
        <v>267747.86</v>
      </c>
      <c r="E62" s="340">
        <v>1115536.05</v>
      </c>
      <c r="F62" s="340">
        <v>476186.06</v>
      </c>
      <c r="G62" s="340">
        <v>689063.82</v>
      </c>
      <c r="H62" s="340">
        <v>633818.68000000005</v>
      </c>
      <c r="I62" s="340">
        <v>517006.79</v>
      </c>
      <c r="J62" s="340">
        <v>707749.75</v>
      </c>
      <c r="K62" s="340">
        <v>708963.97</v>
      </c>
      <c r="L62" s="340">
        <v>757630.27</v>
      </c>
      <c r="M62" s="340">
        <v>2119021.86</v>
      </c>
      <c r="N62" s="340">
        <v>301078.55</v>
      </c>
      <c r="O62" s="340">
        <v>350311.59</v>
      </c>
      <c r="P62" s="341">
        <v>0</v>
      </c>
      <c r="Q62" s="163">
        <v>254123.47</v>
      </c>
      <c r="R62" s="163">
        <v>194412.79999999999</v>
      </c>
      <c r="S62" s="163">
        <v>41450</v>
      </c>
      <c r="T62" s="163">
        <v>8472.1</v>
      </c>
      <c r="U62" s="163">
        <v>-193902</v>
      </c>
      <c r="V62" s="163">
        <v>0</v>
      </c>
      <c r="W62" s="163">
        <v>-2306671.56</v>
      </c>
      <c r="X62" s="163">
        <v>36000</v>
      </c>
      <c r="Y62" s="163">
        <v>0</v>
      </c>
      <c r="Z62" s="163">
        <v>42823.61</v>
      </c>
      <c r="AA62" s="163">
        <v>0</v>
      </c>
      <c r="AB62" s="163">
        <v>0</v>
      </c>
      <c r="AC62" s="163">
        <v>0</v>
      </c>
      <c r="AD62" s="163">
        <v>0</v>
      </c>
      <c r="AE62" s="163">
        <v>-122295.97</v>
      </c>
      <c r="AF62" s="163">
        <v>68976.89</v>
      </c>
      <c r="AG62" s="163">
        <v>0</v>
      </c>
      <c r="AH62" s="163">
        <v>56035.06</v>
      </c>
      <c r="AI62" s="163">
        <v>0</v>
      </c>
      <c r="AJ62" s="163">
        <v>0</v>
      </c>
      <c r="AK62" s="163">
        <v>0</v>
      </c>
      <c r="AL62" s="163">
        <v>0</v>
      </c>
      <c r="AM62" s="163">
        <v>97762.38</v>
      </c>
      <c r="AN62" s="163">
        <v>-164770.76</v>
      </c>
      <c r="AO62" s="163">
        <v>213450.99</v>
      </c>
      <c r="AP62" s="163">
        <v>0</v>
      </c>
      <c r="AQ62" s="163">
        <v>106698.62</v>
      </c>
      <c r="AR62" s="163">
        <v>128160.17</v>
      </c>
      <c r="AS62" s="163">
        <v>-125051.69</v>
      </c>
      <c r="AT62" s="163">
        <v>0</v>
      </c>
      <c r="AU62" s="163">
        <v>0</v>
      </c>
      <c r="AV62" s="163">
        <v>216654.49</v>
      </c>
      <c r="AW62" s="163">
        <v>1151309.26</v>
      </c>
      <c r="AX62" s="163">
        <v>0</v>
      </c>
      <c r="AY62" s="163">
        <v>-1289520</v>
      </c>
      <c r="AZ62" s="163">
        <v>166886</v>
      </c>
      <c r="BA62" s="163">
        <v>0</v>
      </c>
      <c r="BB62" s="163">
        <v>37165</v>
      </c>
      <c r="BC62" s="163">
        <v>0</v>
      </c>
      <c r="BD62" s="163">
        <v>0</v>
      </c>
      <c r="BE62" s="163">
        <v>0</v>
      </c>
      <c r="BF62" s="163">
        <v>0</v>
      </c>
      <c r="BG62" s="163">
        <v>0</v>
      </c>
      <c r="BH62" s="163">
        <v>0</v>
      </c>
      <c r="BI62" s="163">
        <v>0</v>
      </c>
      <c r="BJ62" s="163">
        <v>0</v>
      </c>
      <c r="BK62" s="163">
        <v>0</v>
      </c>
      <c r="BL62" s="163">
        <v>565989.18000000005</v>
      </c>
      <c r="BM62" s="163">
        <v>153620.01999999999</v>
      </c>
      <c r="BN62" s="163">
        <v>0</v>
      </c>
      <c r="BO62" s="163">
        <v>288214.15999999997</v>
      </c>
      <c r="BP62" s="163">
        <v>27342.41</v>
      </c>
      <c r="BQ62" s="163">
        <v>0</v>
      </c>
      <c r="BR62" s="163">
        <v>0</v>
      </c>
      <c r="BS62" s="163">
        <v>6642.94</v>
      </c>
      <c r="BT62" s="163">
        <v>157937.66</v>
      </c>
      <c r="BU62" s="163">
        <v>0</v>
      </c>
      <c r="BV62" s="163">
        <v>0</v>
      </c>
      <c r="BW62" s="163">
        <v>89156.4</v>
      </c>
      <c r="BX62" s="163">
        <v>0</v>
      </c>
      <c r="BY62" s="163">
        <v>22859.61</v>
      </c>
      <c r="BZ62" s="163">
        <v>0</v>
      </c>
      <c r="CA62" s="163">
        <v>191078.48</v>
      </c>
      <c r="CB62" s="163">
        <v>-621358.56999999995</v>
      </c>
      <c r="CC62" s="163">
        <v>-778496.31</v>
      </c>
      <c r="CD62" s="163">
        <v>-303015.43</v>
      </c>
      <c r="CE62" s="163">
        <v>-125092.8</v>
      </c>
      <c r="CF62" s="163">
        <v>239392.77</v>
      </c>
      <c r="CG62" s="163">
        <v>270825.21999999997</v>
      </c>
      <c r="CH62" s="163">
        <v>160798.62</v>
      </c>
      <c r="CI62" s="163">
        <v>-125092.8</v>
      </c>
      <c r="CJ62" s="163">
        <v>-125092.8</v>
      </c>
      <c r="CK62" s="163">
        <v>74375.070000000007</v>
      </c>
      <c r="CL62" s="163">
        <v>-125092.8</v>
      </c>
      <c r="CM62" s="163">
        <v>-254297.89</v>
      </c>
      <c r="CN62" s="163">
        <v>-468460.06</v>
      </c>
      <c r="CO62" s="163">
        <v>-87293.65</v>
      </c>
      <c r="CP62" s="163">
        <v>143819.51</v>
      </c>
      <c r="CQ62" s="163">
        <v>55165.29</v>
      </c>
      <c r="CR62" s="163">
        <v>-125092.8</v>
      </c>
      <c r="CS62" s="163">
        <v>71812.240000000005</v>
      </c>
      <c r="CT62" s="163">
        <v>-125092.8</v>
      </c>
      <c r="CU62" s="163">
        <v>-207474.65</v>
      </c>
      <c r="CV62" s="163">
        <v>-86064.18</v>
      </c>
      <c r="CW62" s="163">
        <v>-245273.8</v>
      </c>
      <c r="CX62" s="163">
        <v>-168421.95</v>
      </c>
      <c r="CY62" s="163">
        <v>37110.44</v>
      </c>
      <c r="CZ62" s="163">
        <v>-245273.8</v>
      </c>
      <c r="DA62" s="163">
        <v>-289788.79999999999</v>
      </c>
      <c r="DB62" s="163">
        <v>-149148.88</v>
      </c>
      <c r="DC62" s="163">
        <v>-289788.79999999999</v>
      </c>
      <c r="DD62" s="163">
        <v>-282153.90999999997</v>
      </c>
      <c r="DE62" s="163">
        <v>-289788.79999999999</v>
      </c>
      <c r="DF62" s="163">
        <f>VLOOKUP($C62,'[3]BS ACC'!$C$5:$DH$1006,108,FALSE)</f>
        <v>-650874.78</v>
      </c>
      <c r="DG62" s="163">
        <f>VLOOKUP($C62,'[3]BS ACC'!$C$5:$DH$1006,109,FALSE)</f>
        <v>-655812.69999999995</v>
      </c>
      <c r="DH62" s="163">
        <f>VLOOKUP($C62,'[3]BS ACC'!$C$5:$DH$1006,110,FALSE)</f>
        <v>-839896.8</v>
      </c>
    </row>
    <row r="63" spans="1:112">
      <c r="A63" s="350" t="str">
        <f t="shared" si="0"/>
        <v>1430000</v>
      </c>
      <c r="B63" s="350" t="s">
        <v>1494</v>
      </c>
      <c r="C63" s="335" t="s">
        <v>635</v>
      </c>
      <c r="D63" s="340">
        <v>7939.23</v>
      </c>
      <c r="E63" s="340">
        <v>8150</v>
      </c>
      <c r="F63" s="340">
        <v>16080.47</v>
      </c>
      <c r="G63" s="340">
        <v>10930.47</v>
      </c>
      <c r="H63" s="340">
        <v>81915.509999999995</v>
      </c>
      <c r="I63" s="340">
        <v>61459.69</v>
      </c>
      <c r="J63" s="340">
        <v>111736.51</v>
      </c>
      <c r="K63" s="340">
        <v>206000</v>
      </c>
      <c r="L63" s="340">
        <v>0</v>
      </c>
      <c r="M63" s="340">
        <v>0</v>
      </c>
      <c r="N63" s="340">
        <v>0</v>
      </c>
      <c r="O63" s="340">
        <v>-0.01</v>
      </c>
      <c r="P63" s="341">
        <v>225947.49</v>
      </c>
      <c r="Q63" s="163">
        <v>283.83</v>
      </c>
      <c r="R63" s="163">
        <v>82373.25</v>
      </c>
      <c r="S63" s="163">
        <v>82373.25</v>
      </c>
      <c r="T63" s="163">
        <v>106777.34</v>
      </c>
      <c r="U63" s="163">
        <v>523342.05</v>
      </c>
      <c r="V63" s="163">
        <v>289677.90000000002</v>
      </c>
      <c r="W63" s="163">
        <v>1034648.51</v>
      </c>
      <c r="X63" s="163">
        <v>57030.9</v>
      </c>
      <c r="Y63" s="163">
        <v>57007.62</v>
      </c>
      <c r="Z63" s="163">
        <v>3.06</v>
      </c>
      <c r="AA63" s="163">
        <v>26288.29</v>
      </c>
      <c r="AB63" s="163">
        <v>207480.51</v>
      </c>
      <c r="AC63" s="163">
        <v>3003.06</v>
      </c>
      <c r="AD63" s="163">
        <v>377367.41</v>
      </c>
      <c r="AE63" s="163">
        <v>9481.98</v>
      </c>
      <c r="AF63" s="163">
        <v>25300.58</v>
      </c>
      <c r="AG63" s="163">
        <v>25869.599999999999</v>
      </c>
      <c r="AH63" s="163">
        <v>25540.28</v>
      </c>
      <c r="AI63" s="163">
        <v>25727.18</v>
      </c>
      <c r="AJ63" s="163">
        <v>50014.080000000002</v>
      </c>
      <c r="AK63" s="163">
        <v>812757.77</v>
      </c>
      <c r="AL63" s="163">
        <v>3.05</v>
      </c>
      <c r="AM63" s="163">
        <v>3436.01</v>
      </c>
      <c r="AN63" s="163">
        <v>551269.44999999995</v>
      </c>
      <c r="AO63" s="163">
        <v>374406.1</v>
      </c>
      <c r="AP63" s="163">
        <v>389188.18</v>
      </c>
      <c r="AQ63" s="163">
        <v>593794.15</v>
      </c>
      <c r="AR63" s="163">
        <v>393509.58</v>
      </c>
      <c r="AS63" s="163">
        <v>843081.78</v>
      </c>
      <c r="AT63" s="163">
        <v>710676.47</v>
      </c>
      <c r="AU63" s="163">
        <v>375071.52</v>
      </c>
      <c r="AV63" s="163">
        <v>209135.1</v>
      </c>
      <c r="AW63" s="163">
        <v>272974.03000000003</v>
      </c>
      <c r="AX63" s="163">
        <v>292860.24</v>
      </c>
      <c r="AY63" s="163">
        <v>271676.59999999998</v>
      </c>
      <c r="AZ63" s="163">
        <v>477030.26</v>
      </c>
      <c r="BA63" s="163">
        <v>516880.91</v>
      </c>
      <c r="BB63" s="163">
        <v>504318.3</v>
      </c>
      <c r="BC63" s="163">
        <v>501189.36</v>
      </c>
      <c r="BD63" s="163">
        <v>463753.56</v>
      </c>
      <c r="BE63" s="163">
        <v>904101.81</v>
      </c>
      <c r="BF63" s="163">
        <v>714695.42</v>
      </c>
      <c r="BG63" s="163">
        <v>494385.15</v>
      </c>
      <c r="BH63" s="163">
        <v>675375.86</v>
      </c>
      <c r="BI63" s="163">
        <v>558758.55000000005</v>
      </c>
      <c r="BJ63" s="163">
        <v>527470.03</v>
      </c>
      <c r="BK63" s="163">
        <v>320514</v>
      </c>
      <c r="BL63" s="163">
        <v>491952.51</v>
      </c>
      <c r="BM63" s="163">
        <v>425527.64</v>
      </c>
      <c r="BN63" s="163">
        <v>433281.63</v>
      </c>
      <c r="BO63" s="163">
        <v>290075.3</v>
      </c>
      <c r="BP63" s="163">
        <v>203374.92</v>
      </c>
      <c r="BQ63" s="163">
        <v>248074.43</v>
      </c>
      <c r="BR63" s="163">
        <v>256256.13</v>
      </c>
      <c r="BS63" s="163">
        <v>369516.63</v>
      </c>
      <c r="BT63" s="163">
        <v>427656.21</v>
      </c>
      <c r="BU63" s="163">
        <v>418163.8</v>
      </c>
      <c r="BV63" s="163">
        <v>315644.86</v>
      </c>
      <c r="BW63" s="163">
        <v>336136.26</v>
      </c>
      <c r="BX63" s="163">
        <v>443107.56</v>
      </c>
      <c r="BY63" s="163">
        <v>357136.08</v>
      </c>
      <c r="BZ63" s="163">
        <v>452092.83</v>
      </c>
      <c r="CA63" s="163">
        <v>540410.53</v>
      </c>
      <c r="CB63" s="163">
        <v>900022.81</v>
      </c>
      <c r="CC63" s="163">
        <v>1112734.3999999999</v>
      </c>
      <c r="CD63" s="163">
        <v>1321395.8700000001</v>
      </c>
      <c r="CE63" s="163">
        <v>1390257.3</v>
      </c>
      <c r="CF63" s="163">
        <v>1091451.3999999999</v>
      </c>
      <c r="CG63" s="163">
        <v>960964.18</v>
      </c>
      <c r="CH63" s="163">
        <v>404926.51</v>
      </c>
      <c r="CI63" s="163">
        <v>1294587.23</v>
      </c>
      <c r="CJ63" s="163">
        <v>554946.28</v>
      </c>
      <c r="CK63" s="163">
        <v>248299.51999999999</v>
      </c>
      <c r="CL63" s="163">
        <v>361288.86</v>
      </c>
      <c r="CM63" s="163">
        <v>301708.06</v>
      </c>
      <c r="CN63" s="163">
        <v>458931.16</v>
      </c>
      <c r="CO63" s="163">
        <v>467302.42</v>
      </c>
      <c r="CP63" s="163">
        <v>433028.72</v>
      </c>
      <c r="CQ63" s="163">
        <v>555540.31999999995</v>
      </c>
      <c r="CR63" s="163">
        <v>648716.28</v>
      </c>
      <c r="CS63" s="163">
        <v>791257.27</v>
      </c>
      <c r="CT63" s="163">
        <v>581431.06999999995</v>
      </c>
      <c r="CU63" s="163">
        <v>602500.39</v>
      </c>
      <c r="CV63" s="163">
        <v>699436.52</v>
      </c>
      <c r="CW63" s="163">
        <v>518987.18</v>
      </c>
      <c r="CX63" s="163">
        <v>828719.17</v>
      </c>
      <c r="CY63" s="163">
        <v>636530.1</v>
      </c>
      <c r="CZ63" s="163">
        <v>657934.09</v>
      </c>
      <c r="DA63" s="163">
        <v>738189.17</v>
      </c>
      <c r="DB63" s="163">
        <v>819046</v>
      </c>
      <c r="DC63" s="163">
        <v>3209518.53</v>
      </c>
      <c r="DD63" s="163">
        <v>895340.83</v>
      </c>
      <c r="DE63" s="163">
        <v>1025464.89</v>
      </c>
      <c r="DF63" s="163">
        <f>VLOOKUP($C63,'[3]BS ACC'!$C$5:$DH$1006,108,FALSE)</f>
        <v>1653987.94</v>
      </c>
      <c r="DG63" s="163">
        <f>VLOOKUP($C63,'[3]BS ACC'!$C$5:$DH$1006,109,FALSE)</f>
        <v>1593962.63</v>
      </c>
      <c r="DH63" s="163">
        <f>VLOOKUP($C63,'[3]BS ACC'!$C$5:$DH$1006,110,FALSE)</f>
        <v>839094.76</v>
      </c>
    </row>
    <row r="64" spans="1:112">
      <c r="A64" s="350" t="str">
        <f t="shared" si="0"/>
        <v>1430001</v>
      </c>
      <c r="B64" s="350" t="s">
        <v>1581</v>
      </c>
      <c r="C64" s="335" t="s">
        <v>636</v>
      </c>
      <c r="D64" s="340">
        <v>0</v>
      </c>
      <c r="E64" s="340">
        <v>0</v>
      </c>
      <c r="F64" s="340">
        <v>0</v>
      </c>
      <c r="G64" s="340">
        <v>19423.330000000002</v>
      </c>
      <c r="H64" s="340">
        <v>0</v>
      </c>
      <c r="I64" s="340">
        <v>0</v>
      </c>
      <c r="J64" s="340">
        <v>-95477.23</v>
      </c>
      <c r="K64" s="340">
        <v>0</v>
      </c>
      <c r="L64" s="340">
        <v>0</v>
      </c>
      <c r="M64" s="340">
        <v>30921.88</v>
      </c>
      <c r="N64" s="340">
        <v>0</v>
      </c>
      <c r="O64" s="340">
        <v>0</v>
      </c>
      <c r="P64" s="341">
        <v>0</v>
      </c>
      <c r="Q64" s="163">
        <v>0</v>
      </c>
      <c r="R64" s="163">
        <v>0</v>
      </c>
      <c r="S64" s="163">
        <v>-34052.35</v>
      </c>
      <c r="T64" s="163">
        <v>0</v>
      </c>
      <c r="U64" s="163">
        <v>0</v>
      </c>
      <c r="V64" s="163">
        <v>0</v>
      </c>
      <c r="W64" s="163">
        <v>0</v>
      </c>
      <c r="X64" s="163">
        <v>0</v>
      </c>
      <c r="Y64" s="163">
        <v>0</v>
      </c>
      <c r="Z64" s="163">
        <v>0</v>
      </c>
      <c r="AA64" s="163">
        <v>0</v>
      </c>
      <c r="AB64" s="163">
        <v>0</v>
      </c>
      <c r="AC64" s="163">
        <v>0</v>
      </c>
      <c r="AD64" s="163">
        <v>0</v>
      </c>
      <c r="AE64" s="163">
        <v>0</v>
      </c>
      <c r="AF64" s="163">
        <v>0</v>
      </c>
      <c r="AG64" s="163">
        <v>0</v>
      </c>
      <c r="AH64" s="163">
        <v>60000</v>
      </c>
      <c r="AI64" s="163">
        <v>60000</v>
      </c>
      <c r="AJ64" s="163">
        <v>60000</v>
      </c>
      <c r="AK64" s="163">
        <v>60000</v>
      </c>
      <c r="AL64" s="163">
        <v>60000</v>
      </c>
      <c r="AM64" s="163">
        <v>60000</v>
      </c>
      <c r="AN64" s="163">
        <v>60000</v>
      </c>
      <c r="AO64" s="163">
        <v>-268590.05</v>
      </c>
      <c r="AP64" s="163">
        <v>-1823.74</v>
      </c>
      <c r="AQ64" s="163">
        <v>60000</v>
      </c>
      <c r="AR64" s="163">
        <v>60000</v>
      </c>
      <c r="AS64" s="163">
        <v>60000</v>
      </c>
      <c r="AT64" s="163">
        <v>60000</v>
      </c>
      <c r="AU64" s="163">
        <v>60000</v>
      </c>
      <c r="AV64" s="163">
        <v>60000</v>
      </c>
      <c r="AW64" s="163">
        <v>52881.599999999999</v>
      </c>
      <c r="AX64" s="163">
        <v>52922</v>
      </c>
      <c r="AY64" s="163">
        <v>32922</v>
      </c>
      <c r="AZ64" s="163">
        <v>122097.04</v>
      </c>
      <c r="BA64" s="163">
        <v>32922</v>
      </c>
      <c r="BB64" s="163">
        <v>19502.88</v>
      </c>
      <c r="BC64" s="163">
        <v>12922</v>
      </c>
      <c r="BD64" s="163">
        <v>12922</v>
      </c>
      <c r="BE64" s="163">
        <v>12922</v>
      </c>
      <c r="BF64" s="163">
        <v>12922</v>
      </c>
      <c r="BG64" s="163">
        <v>12922</v>
      </c>
      <c r="BH64" s="163">
        <v>12922</v>
      </c>
      <c r="BI64" s="163">
        <v>12922</v>
      </c>
      <c r="BJ64" s="163">
        <v>12922</v>
      </c>
      <c r="BK64" s="163">
        <v>-7078</v>
      </c>
      <c r="BL64" s="163">
        <v>-130017.43</v>
      </c>
      <c r="BM64" s="163">
        <v>14844.81</v>
      </c>
      <c r="BN64" s="163">
        <v>14844.81</v>
      </c>
      <c r="BO64" s="163">
        <v>-7078</v>
      </c>
      <c r="BP64" s="163">
        <v>-7078</v>
      </c>
      <c r="BQ64" s="163">
        <v>30721.15</v>
      </c>
      <c r="BR64" s="163">
        <v>129979.45</v>
      </c>
      <c r="BS64" s="163">
        <v>92180.3</v>
      </c>
      <c r="BT64" s="163">
        <v>-7078</v>
      </c>
      <c r="BU64" s="163">
        <v>-7078</v>
      </c>
      <c r="BV64" s="163">
        <v>-7078</v>
      </c>
      <c r="BW64" s="163">
        <v>30721.15</v>
      </c>
      <c r="BX64" s="163">
        <v>25733.15</v>
      </c>
      <c r="BY64" s="163">
        <v>-11053</v>
      </c>
      <c r="BZ64" s="163">
        <v>-42006.17</v>
      </c>
      <c r="CA64" s="163">
        <v>197095.09</v>
      </c>
      <c r="CB64" s="163">
        <v>24308.97</v>
      </c>
      <c r="CC64" s="163">
        <v>-11353</v>
      </c>
      <c r="CD64" s="163">
        <v>-11353</v>
      </c>
      <c r="CE64" s="163">
        <v>-11353</v>
      </c>
      <c r="CF64" s="163">
        <v>-11353</v>
      </c>
      <c r="CG64" s="163">
        <v>-11353</v>
      </c>
      <c r="CH64" s="163">
        <v>-24162</v>
      </c>
      <c r="CI64" s="163">
        <v>13637.15</v>
      </c>
      <c r="CJ64" s="163">
        <v>13637.15</v>
      </c>
      <c r="CK64" s="163">
        <v>-7501.93</v>
      </c>
      <c r="CL64" s="163">
        <v>-7078</v>
      </c>
      <c r="CM64" s="163">
        <v>-7078</v>
      </c>
      <c r="CN64" s="163">
        <v>-7078</v>
      </c>
      <c r="CO64" s="163">
        <v>-7078</v>
      </c>
      <c r="CP64" s="163">
        <v>-7078</v>
      </c>
      <c r="CQ64" s="163">
        <v>-7078</v>
      </c>
      <c r="CR64" s="163">
        <v>-7078</v>
      </c>
      <c r="CS64" s="163">
        <v>-7078</v>
      </c>
      <c r="CT64" s="163">
        <v>-7078</v>
      </c>
      <c r="CU64" s="163">
        <v>0</v>
      </c>
      <c r="CV64" s="163">
        <v>0</v>
      </c>
      <c r="CW64" s="163">
        <v>0</v>
      </c>
      <c r="CX64" s="163">
        <v>0</v>
      </c>
      <c r="CY64" s="163">
        <v>0</v>
      </c>
      <c r="CZ64" s="163">
        <v>0</v>
      </c>
      <c r="DA64" s="163">
        <v>0</v>
      </c>
      <c r="DB64" s="163">
        <v>973057.51</v>
      </c>
      <c r="DC64" s="163">
        <v>580764.18000000005</v>
      </c>
      <c r="DD64" s="163">
        <v>-150</v>
      </c>
      <c r="DE64" s="163">
        <v>1295461.94</v>
      </c>
      <c r="DF64" s="163">
        <f>VLOOKUP($C64,'[3]BS ACC'!$C$5:$DH$1006,108,FALSE)</f>
        <v>-3583</v>
      </c>
      <c r="DG64" s="163">
        <f>VLOOKUP($C64,'[3]BS ACC'!$C$5:$DH$1006,109,FALSE)</f>
        <v>1021679.87</v>
      </c>
      <c r="DH64" s="163">
        <f>VLOOKUP($C64,'[3]BS ACC'!$C$5:$DH$1006,110,FALSE)</f>
        <v>551964.82999999996</v>
      </c>
    </row>
    <row r="65" spans="1:112">
      <c r="A65" s="350">
        <f t="shared" si="0"/>
        <v>1430005</v>
      </c>
      <c r="B65" s="1260">
        <v>1430005</v>
      </c>
      <c r="C65" s="1260" t="s">
        <v>2909</v>
      </c>
      <c r="D65" s="340"/>
      <c r="E65" s="340"/>
      <c r="F65" s="340"/>
      <c r="G65" s="340"/>
      <c r="H65" s="340"/>
      <c r="I65" s="340"/>
      <c r="J65" s="340"/>
      <c r="K65" s="340"/>
      <c r="L65" s="340"/>
      <c r="M65" s="340"/>
      <c r="N65" s="340"/>
      <c r="O65" s="340"/>
      <c r="P65" s="341"/>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c r="BI65" s="163"/>
      <c r="BJ65" s="163"/>
      <c r="BK65" s="163"/>
      <c r="BL65" s="163"/>
      <c r="BM65" s="163"/>
      <c r="BN65" s="163"/>
      <c r="BO65" s="163"/>
      <c r="BP65" s="163"/>
      <c r="BQ65" s="163"/>
      <c r="BR65" s="163"/>
      <c r="BS65" s="163"/>
      <c r="BT65" s="163"/>
      <c r="BU65" s="163"/>
      <c r="BV65" s="163"/>
      <c r="BW65" s="163"/>
      <c r="BX65" s="163"/>
      <c r="BY65" s="163"/>
      <c r="BZ65" s="163"/>
      <c r="CA65" s="163"/>
      <c r="CB65" s="163"/>
      <c r="CC65" s="163"/>
      <c r="CD65" s="163"/>
      <c r="CE65" s="163"/>
      <c r="CF65" s="163"/>
      <c r="CG65" s="163"/>
      <c r="CH65" s="163"/>
      <c r="CI65" s="163"/>
      <c r="CJ65" s="163"/>
      <c r="CK65" s="163"/>
      <c r="CL65" s="163"/>
      <c r="CM65" s="163"/>
      <c r="CN65" s="163"/>
      <c r="CO65" s="163"/>
      <c r="CP65" s="163"/>
      <c r="CQ65" s="163"/>
      <c r="CR65" s="163"/>
      <c r="CS65" s="163"/>
      <c r="CT65" s="163"/>
      <c r="CU65" s="163"/>
      <c r="CV65" s="163"/>
      <c r="CW65" s="163"/>
      <c r="CX65" s="163"/>
      <c r="CY65" s="163">
        <v>0</v>
      </c>
      <c r="CZ65" s="163">
        <v>0</v>
      </c>
      <c r="DA65" s="163">
        <v>0</v>
      </c>
      <c r="DB65" s="163">
        <v>0</v>
      </c>
      <c r="DC65" s="163">
        <v>0</v>
      </c>
      <c r="DD65" s="163">
        <v>0</v>
      </c>
      <c r="DE65" s="163">
        <v>0</v>
      </c>
      <c r="DF65" s="163">
        <f>VLOOKUP($C65,'[3]BS ACC'!$C$5:$DH$1006,108,FALSE)</f>
        <v>0</v>
      </c>
      <c r="DG65" s="163">
        <f>VLOOKUP($C65,'[3]BS ACC'!$C$5:$DH$1006,109,FALSE)</f>
        <v>122926.35</v>
      </c>
      <c r="DH65" s="163">
        <f>VLOOKUP($C65,'[3]BS ACC'!$C$5:$DH$1006,110,FALSE)</f>
        <v>122926.35</v>
      </c>
    </row>
    <row r="66" spans="1:112">
      <c r="A66" s="350" t="str">
        <f t="shared" si="0"/>
        <v>1430030</v>
      </c>
      <c r="B66" s="350" t="s">
        <v>1495</v>
      </c>
      <c r="C66" s="335" t="s">
        <v>637</v>
      </c>
      <c r="D66" s="340">
        <v>0</v>
      </c>
      <c r="E66" s="340">
        <v>0</v>
      </c>
      <c r="F66" s="340">
        <v>0</v>
      </c>
      <c r="G66" s="340">
        <v>300</v>
      </c>
      <c r="H66" s="340">
        <v>300</v>
      </c>
      <c r="I66" s="340">
        <v>300</v>
      </c>
      <c r="J66" s="340">
        <v>300</v>
      </c>
      <c r="K66" s="340">
        <v>300</v>
      </c>
      <c r="L66" s="340">
        <v>300</v>
      </c>
      <c r="M66" s="340">
        <v>300</v>
      </c>
      <c r="N66" s="340">
        <v>300</v>
      </c>
      <c r="O66" s="340">
        <v>300</v>
      </c>
      <c r="P66" s="341">
        <v>300</v>
      </c>
      <c r="Q66" s="163">
        <v>300</v>
      </c>
      <c r="R66" s="163">
        <v>300</v>
      </c>
      <c r="S66" s="163">
        <v>300</v>
      </c>
      <c r="T66" s="163">
        <v>300</v>
      </c>
      <c r="U66" s="163">
        <v>300</v>
      </c>
      <c r="V66" s="163">
        <v>300</v>
      </c>
      <c r="W66" s="163">
        <v>300</v>
      </c>
      <c r="X66" s="163">
        <v>300</v>
      </c>
      <c r="Y66" s="163">
        <v>300</v>
      </c>
      <c r="Z66" s="163">
        <v>300</v>
      </c>
      <c r="AA66" s="163">
        <v>300</v>
      </c>
      <c r="AB66" s="163">
        <v>300</v>
      </c>
      <c r="AC66" s="163">
        <v>300</v>
      </c>
      <c r="AD66" s="163">
        <v>300</v>
      </c>
      <c r="AE66" s="163">
        <v>300</v>
      </c>
      <c r="AF66" s="163">
        <v>300</v>
      </c>
      <c r="AG66" s="163">
        <v>300</v>
      </c>
      <c r="AH66" s="163">
        <v>300</v>
      </c>
      <c r="AI66" s="163">
        <v>300</v>
      </c>
      <c r="AJ66" s="163">
        <v>300</v>
      </c>
      <c r="AK66" s="163">
        <v>300</v>
      </c>
      <c r="AL66" s="163">
        <v>300</v>
      </c>
      <c r="AM66" s="163">
        <v>300</v>
      </c>
      <c r="AN66" s="163">
        <v>300</v>
      </c>
      <c r="AO66" s="163">
        <v>300</v>
      </c>
      <c r="AP66" s="163">
        <v>300</v>
      </c>
      <c r="AQ66" s="163">
        <v>300</v>
      </c>
      <c r="AR66" s="163">
        <v>300</v>
      </c>
      <c r="AS66" s="163">
        <v>300</v>
      </c>
      <c r="AT66" s="163">
        <v>550</v>
      </c>
      <c r="AU66" s="163">
        <v>300</v>
      </c>
      <c r="AV66" s="163">
        <v>300</v>
      </c>
      <c r="AW66" s="163">
        <v>300</v>
      </c>
      <c r="AX66" s="163">
        <v>300</v>
      </c>
      <c r="AY66" s="163">
        <v>-17.78</v>
      </c>
      <c r="AZ66" s="163">
        <v>1709.44</v>
      </c>
      <c r="BA66" s="163">
        <v>1391.66</v>
      </c>
      <c r="BB66" s="163">
        <v>1073.8900000000001</v>
      </c>
      <c r="BC66" s="163">
        <v>597.25</v>
      </c>
      <c r="BD66" s="163">
        <v>279.49</v>
      </c>
      <c r="BE66" s="163">
        <v>279.49</v>
      </c>
      <c r="BF66" s="163">
        <v>279.49</v>
      </c>
      <c r="BG66" s="163">
        <v>279.49</v>
      </c>
      <c r="BH66" s="163">
        <v>279.49</v>
      </c>
      <c r="BI66" s="163">
        <v>279.49</v>
      </c>
      <c r="BJ66" s="163">
        <v>279.49</v>
      </c>
      <c r="BK66" s="163">
        <v>279.49</v>
      </c>
      <c r="BL66" s="163">
        <v>279.49</v>
      </c>
      <c r="BM66" s="163">
        <v>279.49</v>
      </c>
      <c r="BN66" s="163">
        <v>279.49</v>
      </c>
      <c r="BO66" s="163">
        <v>279.49</v>
      </c>
      <c r="BP66" s="163">
        <v>279.49</v>
      </c>
      <c r="BQ66" s="163">
        <v>279.49</v>
      </c>
      <c r="BR66" s="163">
        <v>734.57</v>
      </c>
      <c r="BS66" s="163">
        <v>734.57</v>
      </c>
      <c r="BT66" s="163">
        <v>734.57</v>
      </c>
      <c r="BU66" s="163">
        <v>734.57</v>
      </c>
      <c r="BV66" s="163">
        <v>734.57</v>
      </c>
      <c r="BW66" s="163">
        <v>734.57</v>
      </c>
      <c r="BX66" s="163">
        <v>734.57</v>
      </c>
      <c r="BY66" s="163">
        <v>734.57</v>
      </c>
      <c r="BZ66" s="163">
        <v>734.57</v>
      </c>
      <c r="CA66" s="163">
        <v>734.57</v>
      </c>
      <c r="CB66" s="163">
        <v>734.57</v>
      </c>
      <c r="CC66" s="163">
        <v>734.57</v>
      </c>
      <c r="CD66" s="163">
        <v>0</v>
      </c>
      <c r="CE66" s="163">
        <v>0</v>
      </c>
      <c r="CF66" s="163">
        <v>0</v>
      </c>
      <c r="CG66" s="163">
        <v>34.729999999999997</v>
      </c>
      <c r="CH66" s="163">
        <v>0</v>
      </c>
      <c r="CI66" s="163">
        <v>0</v>
      </c>
      <c r="CJ66" s="163">
        <v>4911.8599999999997</v>
      </c>
      <c r="CK66" s="163">
        <v>4911.8599999999997</v>
      </c>
      <c r="CL66" s="163">
        <v>4911.8599999999997</v>
      </c>
      <c r="CM66" s="163">
        <v>4911.8599999999997</v>
      </c>
      <c r="CN66" s="163">
        <v>4911.8599999999997</v>
      </c>
      <c r="CO66" s="163">
        <v>4911.8599999999997</v>
      </c>
      <c r="CP66" s="163">
        <v>4911.8599999999997</v>
      </c>
      <c r="CQ66" s="163">
        <v>4911.8599999999997</v>
      </c>
      <c r="CR66" s="163">
        <v>5218.12</v>
      </c>
      <c r="CS66" s="163">
        <v>5218.12</v>
      </c>
      <c r="CT66" s="163">
        <v>5218.12</v>
      </c>
      <c r="CU66" s="163">
        <v>5218.12</v>
      </c>
      <c r="CV66" s="163">
        <v>5218.12</v>
      </c>
      <c r="CW66" s="163">
        <v>5218.12</v>
      </c>
      <c r="CX66" s="163">
        <v>5218.12</v>
      </c>
      <c r="CY66" s="163">
        <v>5218.12</v>
      </c>
      <c r="CZ66" s="163">
        <v>5218.12</v>
      </c>
      <c r="DA66" s="163">
        <v>5218.12</v>
      </c>
      <c r="DB66" s="163">
        <v>5218.12</v>
      </c>
      <c r="DC66" s="163">
        <v>5218.12</v>
      </c>
      <c r="DD66" s="163">
        <v>5218.12</v>
      </c>
      <c r="DE66" s="163">
        <v>5218.12</v>
      </c>
      <c r="DF66" s="163">
        <f>VLOOKUP($C66,'[3]BS ACC'!$C$5:$DH$1006,108,FALSE)</f>
        <v>5218.12</v>
      </c>
      <c r="DG66" s="163">
        <f>VLOOKUP($C66,'[3]BS ACC'!$C$5:$DH$1006,109,FALSE)</f>
        <v>5218.12</v>
      </c>
      <c r="DH66" s="163">
        <f>VLOOKUP($C66,'[3]BS ACC'!$C$5:$DH$1006,110,FALSE)</f>
        <v>5218.12</v>
      </c>
    </row>
    <row r="67" spans="1:112">
      <c r="A67" s="350">
        <f>+B67</f>
        <v>1430036</v>
      </c>
      <c r="B67" s="350">
        <v>1430036</v>
      </c>
      <c r="C67" s="955" t="s">
        <v>2538</v>
      </c>
      <c r="D67" s="163">
        <v>0</v>
      </c>
      <c r="E67" s="163">
        <v>0</v>
      </c>
      <c r="F67" s="163">
        <v>0</v>
      </c>
      <c r="G67" s="163">
        <v>0</v>
      </c>
      <c r="H67" s="163">
        <v>0</v>
      </c>
      <c r="I67" s="163">
        <v>0</v>
      </c>
      <c r="J67" s="163">
        <v>0</v>
      </c>
      <c r="K67" s="163">
        <v>0</v>
      </c>
      <c r="L67" s="163">
        <v>0</v>
      </c>
      <c r="M67" s="163">
        <v>0</v>
      </c>
      <c r="N67" s="163">
        <v>0</v>
      </c>
      <c r="O67" s="163">
        <v>0</v>
      </c>
      <c r="P67" s="163">
        <v>0</v>
      </c>
      <c r="Q67" s="163">
        <v>0</v>
      </c>
      <c r="R67" s="163">
        <v>0</v>
      </c>
      <c r="S67" s="163">
        <v>0</v>
      </c>
      <c r="T67" s="163">
        <v>0</v>
      </c>
      <c r="U67" s="163">
        <v>0</v>
      </c>
      <c r="V67" s="163">
        <v>0</v>
      </c>
      <c r="W67" s="163">
        <v>0</v>
      </c>
      <c r="X67" s="163">
        <v>0</v>
      </c>
      <c r="Y67" s="163">
        <v>0</v>
      </c>
      <c r="Z67" s="163">
        <v>0</v>
      </c>
      <c r="AA67" s="163">
        <v>0</v>
      </c>
      <c r="AB67" s="163">
        <v>0</v>
      </c>
      <c r="AC67" s="163">
        <v>0</v>
      </c>
      <c r="AD67" s="163">
        <v>0</v>
      </c>
      <c r="AE67" s="163">
        <v>0</v>
      </c>
      <c r="AF67" s="163">
        <v>0</v>
      </c>
      <c r="AG67" s="163">
        <v>0</v>
      </c>
      <c r="AH67" s="163">
        <v>0</v>
      </c>
      <c r="AI67" s="163">
        <v>0</v>
      </c>
      <c r="AJ67" s="163">
        <v>0</v>
      </c>
      <c r="AK67" s="163">
        <v>0</v>
      </c>
      <c r="AL67" s="163">
        <v>0</v>
      </c>
      <c r="AM67" s="163">
        <v>0</v>
      </c>
      <c r="AN67" s="163">
        <v>0</v>
      </c>
      <c r="AO67" s="163">
        <v>0</v>
      </c>
      <c r="AP67" s="163">
        <v>0</v>
      </c>
      <c r="AQ67" s="163">
        <v>0</v>
      </c>
      <c r="AR67" s="163">
        <v>0</v>
      </c>
      <c r="AS67" s="163">
        <v>0</v>
      </c>
      <c r="AT67" s="163">
        <v>0</v>
      </c>
      <c r="AU67" s="163">
        <v>0</v>
      </c>
      <c r="AV67" s="163">
        <v>0</v>
      </c>
      <c r="AW67" s="163">
        <v>0</v>
      </c>
      <c r="AX67" s="163">
        <v>0</v>
      </c>
      <c r="AY67" s="163">
        <v>0</v>
      </c>
      <c r="AZ67" s="163">
        <v>0</v>
      </c>
      <c r="BA67" s="163">
        <v>0</v>
      </c>
      <c r="BB67" s="163">
        <v>0</v>
      </c>
      <c r="BC67" s="163">
        <v>0</v>
      </c>
      <c r="BD67" s="163">
        <v>0</v>
      </c>
      <c r="BE67" s="163">
        <v>0</v>
      </c>
      <c r="BF67" s="163">
        <v>0</v>
      </c>
      <c r="BG67" s="163">
        <v>0</v>
      </c>
      <c r="BH67" s="163">
        <v>0</v>
      </c>
      <c r="BI67" s="163">
        <v>0</v>
      </c>
      <c r="BJ67" s="163">
        <v>0</v>
      </c>
      <c r="BK67" s="163">
        <v>0</v>
      </c>
      <c r="BL67" s="163">
        <v>0</v>
      </c>
      <c r="BM67" s="163">
        <v>0</v>
      </c>
      <c r="BN67" s="163">
        <v>0</v>
      </c>
      <c r="BO67" s="163">
        <v>0</v>
      </c>
      <c r="BP67" s="163">
        <v>0</v>
      </c>
      <c r="BQ67" s="163">
        <v>0</v>
      </c>
      <c r="BR67" s="163">
        <v>0</v>
      </c>
      <c r="BS67" s="163">
        <v>0</v>
      </c>
      <c r="BT67" s="163">
        <v>0</v>
      </c>
      <c r="BU67" s="163">
        <v>0</v>
      </c>
      <c r="BV67" s="163">
        <v>0</v>
      </c>
      <c r="BW67" s="163">
        <v>0</v>
      </c>
      <c r="BX67" s="163">
        <v>0</v>
      </c>
      <c r="BY67" s="163">
        <v>0</v>
      </c>
      <c r="BZ67" s="163">
        <v>0</v>
      </c>
      <c r="CA67" s="163">
        <v>0</v>
      </c>
      <c r="CB67" s="163">
        <v>0</v>
      </c>
      <c r="CC67" s="163">
        <v>0</v>
      </c>
      <c r="CD67" s="163">
        <v>0</v>
      </c>
      <c r="CE67" s="163">
        <v>0</v>
      </c>
      <c r="CF67" s="163">
        <v>550933</v>
      </c>
      <c r="CG67" s="163">
        <v>1385701</v>
      </c>
      <c r="CH67" s="163">
        <v>48</v>
      </c>
      <c r="CI67" s="163">
        <v>48</v>
      </c>
      <c r="CJ67" s="163">
        <v>93.81</v>
      </c>
      <c r="CK67" s="163">
        <v>93.81</v>
      </c>
      <c r="CL67" s="163">
        <v>93.81</v>
      </c>
      <c r="CM67" s="163">
        <v>182.82</v>
      </c>
      <c r="CN67" s="163">
        <v>208.49</v>
      </c>
      <c r="CO67" s="163">
        <v>243.57</v>
      </c>
      <c r="CP67" s="163">
        <v>243.57</v>
      </c>
      <c r="CQ67" s="163">
        <v>243.57</v>
      </c>
      <c r="CR67" s="163">
        <v>243.57</v>
      </c>
      <c r="CS67" s="163">
        <v>188.55</v>
      </c>
      <c r="CT67" s="163">
        <v>188.55</v>
      </c>
      <c r="CU67" s="163">
        <v>188.55</v>
      </c>
      <c r="CV67" s="163">
        <v>188.55</v>
      </c>
      <c r="CW67" s="163">
        <v>188.55</v>
      </c>
      <c r="CX67" s="163">
        <v>188.55</v>
      </c>
      <c r="CY67" s="163">
        <v>188.55</v>
      </c>
      <c r="CZ67" s="163">
        <v>188.55</v>
      </c>
      <c r="DA67" s="163">
        <v>188.55</v>
      </c>
      <c r="DB67" s="163">
        <v>188.55</v>
      </c>
      <c r="DC67" s="163">
        <v>188.55</v>
      </c>
      <c r="DD67" s="163">
        <v>188.55</v>
      </c>
      <c r="DE67" s="163">
        <v>188.55</v>
      </c>
      <c r="DF67" s="163">
        <f>VLOOKUP($C67,'[3]BS ACC'!$C$5:$DH$1006,108,FALSE)</f>
        <v>188.55</v>
      </c>
      <c r="DG67" s="163">
        <f>VLOOKUP($C67,'[3]BS ACC'!$C$5:$DH$1006,109,FALSE)</f>
        <v>188.55</v>
      </c>
      <c r="DH67" s="163">
        <f>VLOOKUP($C67,'[3]BS ACC'!$C$5:$DH$1006,110,FALSE)</f>
        <v>188.55</v>
      </c>
    </row>
    <row r="68" spans="1:112">
      <c r="A68" s="350" t="str">
        <f t="shared" si="0"/>
        <v>1430040</v>
      </c>
      <c r="B68" s="350" t="s">
        <v>1777</v>
      </c>
      <c r="C68" s="335" t="s">
        <v>1776</v>
      </c>
      <c r="D68" s="340"/>
      <c r="E68" s="340"/>
      <c r="F68" s="340"/>
      <c r="G68" s="340"/>
      <c r="H68" s="340"/>
      <c r="I68" s="340"/>
      <c r="J68" s="340"/>
      <c r="K68" s="340"/>
      <c r="L68" s="340"/>
      <c r="M68" s="340"/>
      <c r="N68" s="340"/>
      <c r="O68" s="340"/>
      <c r="P68" s="341"/>
      <c r="Q68" s="163"/>
      <c r="R68" s="163"/>
      <c r="S68" s="163"/>
      <c r="T68" s="163"/>
      <c r="U68" s="163"/>
      <c r="V68" s="163"/>
      <c r="W68" s="163"/>
      <c r="X68" s="163"/>
      <c r="Y68" s="163"/>
      <c r="Z68" s="163"/>
      <c r="AA68" s="163"/>
      <c r="AB68" s="163"/>
      <c r="AC68" s="163"/>
      <c r="AD68" s="163"/>
      <c r="AE68" s="163"/>
      <c r="AF68" s="163"/>
      <c r="AG68" s="163"/>
      <c r="AH68" s="163"/>
      <c r="AI68" s="163"/>
      <c r="AJ68" s="163"/>
      <c r="AK68" s="163"/>
      <c r="AL68" s="163"/>
      <c r="AM68" s="163"/>
      <c r="AN68" s="163"/>
      <c r="AO68" s="163">
        <v>6281501.0599999996</v>
      </c>
      <c r="AP68" s="163">
        <v>6084358.3899999997</v>
      </c>
      <c r="AQ68" s="163">
        <v>5842368.4400000004</v>
      </c>
      <c r="AR68" s="163">
        <v>5641895.1399999997</v>
      </c>
      <c r="AS68" s="163">
        <v>5415338.29</v>
      </c>
      <c r="AT68" s="163">
        <v>5198265.75</v>
      </c>
      <c r="AU68" s="163">
        <v>4989805.97</v>
      </c>
      <c r="AV68" s="163">
        <v>4769650.97</v>
      </c>
      <c r="AW68" s="163">
        <v>4605679.53</v>
      </c>
      <c r="AX68" s="163">
        <v>4411520.0599999996</v>
      </c>
      <c r="AY68" s="163">
        <v>4240233.17</v>
      </c>
      <c r="AZ68" s="163">
        <v>4082767.85</v>
      </c>
      <c r="BA68" s="163">
        <v>3910268.1</v>
      </c>
      <c r="BB68" s="163">
        <v>3754436.35</v>
      </c>
      <c r="BC68" s="163">
        <v>3591401.74</v>
      </c>
      <c r="BD68" s="163">
        <v>3436949.22</v>
      </c>
      <c r="BE68" s="163">
        <v>3278923.67</v>
      </c>
      <c r="BF68" s="163">
        <v>3129316.36</v>
      </c>
      <c r="BG68" s="163">
        <v>2978680.45</v>
      </c>
      <c r="BH68" s="163">
        <v>2822342.85</v>
      </c>
      <c r="BI68" s="163">
        <v>2708113.74</v>
      </c>
      <c r="BJ68" s="163">
        <v>2566235.42</v>
      </c>
      <c r="BK68" s="163">
        <v>2437176.2799999998</v>
      </c>
      <c r="BL68" s="163">
        <v>2314149.33</v>
      </c>
      <c r="BM68" s="163">
        <v>2191151.0499999998</v>
      </c>
      <c r="BN68" s="163">
        <v>2079141.37</v>
      </c>
      <c r="BO68" s="163">
        <v>1960043.42</v>
      </c>
      <c r="BP68" s="163">
        <v>1840549.68</v>
      </c>
      <c r="BQ68" s="163">
        <v>1725672.34</v>
      </c>
      <c r="BR68" s="163">
        <v>1624348.79</v>
      </c>
      <c r="BS68" s="163">
        <v>1461832.14</v>
      </c>
      <c r="BT68" s="163">
        <v>1349870.07</v>
      </c>
      <c r="BU68" s="163">
        <v>1257472.1499999999</v>
      </c>
      <c r="BV68" s="163">
        <v>1157823.6100000001</v>
      </c>
      <c r="BW68" s="163">
        <v>1073763.3600000001</v>
      </c>
      <c r="BX68" s="163">
        <v>982667.57</v>
      </c>
      <c r="BY68" s="163">
        <v>900464.47</v>
      </c>
      <c r="BZ68" s="163">
        <v>824061.04</v>
      </c>
      <c r="CA68" s="163">
        <v>747257.39</v>
      </c>
      <c r="CB68" s="163">
        <v>678652.55</v>
      </c>
      <c r="CC68" s="163">
        <v>615987.97</v>
      </c>
      <c r="CD68" s="163">
        <v>551919.27</v>
      </c>
      <c r="CE68" s="163">
        <v>492128.34</v>
      </c>
      <c r="CF68" s="163">
        <v>439643.19</v>
      </c>
      <c r="CG68" s="163">
        <v>389027.24</v>
      </c>
      <c r="CH68" s="163">
        <v>337021.94</v>
      </c>
      <c r="CI68" s="163">
        <v>294453.58</v>
      </c>
      <c r="CJ68" s="163">
        <v>252442.48</v>
      </c>
      <c r="CK68" s="163">
        <v>217554.56</v>
      </c>
      <c r="CL68" s="163">
        <v>185014.27</v>
      </c>
      <c r="CM68" s="163">
        <v>153448.82999999999</v>
      </c>
      <c r="CN68" s="163">
        <v>127608.53</v>
      </c>
      <c r="CO68" s="163">
        <v>106976.04</v>
      </c>
      <c r="CP68" s="163">
        <v>84478.73</v>
      </c>
      <c r="CQ68" s="163">
        <v>64409.41</v>
      </c>
      <c r="CR68" s="163">
        <v>48295.53</v>
      </c>
      <c r="CS68" s="163">
        <v>36164.25</v>
      </c>
      <c r="CT68" s="163">
        <v>27817.69</v>
      </c>
      <c r="CU68" s="163">
        <v>21667.17</v>
      </c>
      <c r="CV68" s="163">
        <v>18394.61</v>
      </c>
      <c r="CW68" s="163">
        <v>14769.01</v>
      </c>
      <c r="CX68" s="163">
        <v>9491.7199999999993</v>
      </c>
      <c r="CY68" s="163">
        <v>8990.2900000000009</v>
      </c>
      <c r="CZ68" s="163">
        <v>8832.27</v>
      </c>
      <c r="DA68" s="163">
        <v>10109.49</v>
      </c>
      <c r="DB68" s="163">
        <v>9834.74</v>
      </c>
      <c r="DC68" s="163">
        <v>10176.56</v>
      </c>
      <c r="DD68" s="163">
        <v>9992.99</v>
      </c>
      <c r="DE68" s="163">
        <v>9558.3700000000008</v>
      </c>
      <c r="DF68" s="163">
        <f>VLOOKUP($C68,'[3]BS ACC'!$C$5:$DH$1006,108,FALSE)</f>
        <v>9406.99</v>
      </c>
      <c r="DG68" s="163">
        <f>VLOOKUP($C68,'[3]BS ACC'!$C$5:$DH$1006,109,FALSE)</f>
        <v>9172.2000000000007</v>
      </c>
      <c r="DH68" s="163">
        <f>VLOOKUP($C68,'[3]BS ACC'!$C$5:$DH$1006,110,FALSE)</f>
        <v>9094.77</v>
      </c>
    </row>
    <row r="69" spans="1:112">
      <c r="A69" s="350" t="str">
        <f t="shared" si="0"/>
        <v>1430300</v>
      </c>
      <c r="B69" s="350" t="s">
        <v>1496</v>
      </c>
      <c r="C69" s="335" t="s">
        <v>638</v>
      </c>
      <c r="D69" s="340">
        <v>964325.18</v>
      </c>
      <c r="E69" s="340">
        <v>0</v>
      </c>
      <c r="F69" s="340">
        <v>0</v>
      </c>
      <c r="G69" s="340">
        <v>0</v>
      </c>
      <c r="H69" s="340">
        <v>0</v>
      </c>
      <c r="I69" s="340">
        <v>0</v>
      </c>
      <c r="J69" s="340">
        <v>0</v>
      </c>
      <c r="K69" s="340">
        <v>0</v>
      </c>
      <c r="L69" s="340">
        <v>0</v>
      </c>
      <c r="M69" s="340">
        <v>0</v>
      </c>
      <c r="N69" s="340">
        <v>0</v>
      </c>
      <c r="O69" s="340">
        <v>0</v>
      </c>
      <c r="P69" s="341">
        <v>9712348.9600000009</v>
      </c>
      <c r="Q69" s="163">
        <v>0</v>
      </c>
      <c r="R69" s="163">
        <v>0</v>
      </c>
      <c r="S69" s="163">
        <v>0</v>
      </c>
      <c r="T69" s="163">
        <v>0</v>
      </c>
      <c r="U69" s="163">
        <v>0</v>
      </c>
      <c r="V69" s="163">
        <v>0</v>
      </c>
      <c r="W69" s="163">
        <v>0</v>
      </c>
      <c r="X69" s="163">
        <v>0</v>
      </c>
      <c r="Y69" s="163">
        <v>0</v>
      </c>
      <c r="Z69" s="163">
        <v>0</v>
      </c>
      <c r="AA69" s="163">
        <v>0</v>
      </c>
      <c r="AB69" s="163">
        <v>13507098.35</v>
      </c>
      <c r="AC69" s="163">
        <v>0</v>
      </c>
      <c r="AD69" s="163">
        <v>0</v>
      </c>
      <c r="AE69" s="163">
        <v>0</v>
      </c>
      <c r="AF69" s="163">
        <v>0</v>
      </c>
      <c r="AG69" s="163">
        <v>0</v>
      </c>
      <c r="AH69" s="163">
        <v>0</v>
      </c>
      <c r="AI69" s="163">
        <v>0</v>
      </c>
      <c r="AJ69" s="163">
        <v>0</v>
      </c>
      <c r="AK69" s="163">
        <v>0</v>
      </c>
      <c r="AL69" s="163">
        <v>0</v>
      </c>
      <c r="AM69" s="163">
        <v>0</v>
      </c>
      <c r="AN69" s="163">
        <v>963997.02</v>
      </c>
      <c r="AO69" s="163">
        <v>0</v>
      </c>
      <c r="AP69" s="163">
        <v>0</v>
      </c>
      <c r="AQ69" s="163">
        <v>0</v>
      </c>
      <c r="AR69" s="163">
        <v>0</v>
      </c>
      <c r="AS69" s="163">
        <v>0</v>
      </c>
      <c r="AT69" s="163">
        <v>0</v>
      </c>
      <c r="AU69" s="163">
        <v>0</v>
      </c>
      <c r="AV69" s="163">
        <v>0</v>
      </c>
      <c r="AW69" s="163">
        <v>0</v>
      </c>
      <c r="AX69" s="163">
        <v>0</v>
      </c>
      <c r="AY69" s="163">
        <v>0</v>
      </c>
      <c r="AZ69" s="163">
        <v>0</v>
      </c>
      <c r="BA69" s="163">
        <v>0</v>
      </c>
      <c r="BB69" s="163">
        <v>0</v>
      </c>
      <c r="BC69" s="163">
        <v>0</v>
      </c>
      <c r="BD69" s="163">
        <v>0</v>
      </c>
      <c r="BE69" s="163">
        <v>0</v>
      </c>
      <c r="BF69" s="163">
        <v>0</v>
      </c>
      <c r="BG69" s="163">
        <v>0</v>
      </c>
      <c r="BH69" s="163">
        <v>0</v>
      </c>
      <c r="BI69" s="163">
        <v>0</v>
      </c>
      <c r="BJ69" s="163">
        <v>0</v>
      </c>
      <c r="BK69" s="163">
        <v>0</v>
      </c>
      <c r="BL69" s="163">
        <v>0</v>
      </c>
      <c r="BM69" s="163">
        <v>0</v>
      </c>
      <c r="BN69" s="163">
        <v>0</v>
      </c>
      <c r="BO69" s="163">
        <v>0</v>
      </c>
      <c r="BP69" s="163">
        <v>0</v>
      </c>
      <c r="BQ69" s="163">
        <v>0</v>
      </c>
      <c r="BR69" s="163">
        <v>0</v>
      </c>
      <c r="BS69" s="163">
        <v>0</v>
      </c>
      <c r="BT69" s="163">
        <v>0</v>
      </c>
      <c r="BU69" s="163">
        <v>0</v>
      </c>
      <c r="BV69" s="163">
        <v>0</v>
      </c>
      <c r="BW69" s="163">
        <v>0</v>
      </c>
      <c r="BX69" s="163">
        <v>208003.27</v>
      </c>
      <c r="BY69" s="163">
        <v>208003.27</v>
      </c>
      <c r="BZ69" s="163">
        <v>208003.27</v>
      </c>
      <c r="CA69" s="163">
        <v>208003.27</v>
      </c>
      <c r="CB69" s="163">
        <v>0</v>
      </c>
      <c r="CC69" s="163">
        <v>0</v>
      </c>
      <c r="CD69" s="163">
        <v>0</v>
      </c>
      <c r="CE69" s="163">
        <v>0</v>
      </c>
      <c r="CF69" s="163">
        <v>0</v>
      </c>
      <c r="CG69" s="163">
        <v>0</v>
      </c>
      <c r="CH69" s="163">
        <v>0</v>
      </c>
      <c r="CI69" s="163">
        <v>0</v>
      </c>
      <c r="CJ69" s="163">
        <v>0</v>
      </c>
      <c r="CK69" s="163">
        <v>0</v>
      </c>
      <c r="CL69" s="163">
        <v>0</v>
      </c>
      <c r="CM69" s="163">
        <v>0</v>
      </c>
      <c r="CN69" s="163">
        <v>0</v>
      </c>
      <c r="CO69" s="163">
        <v>0</v>
      </c>
      <c r="CP69" s="163">
        <v>0</v>
      </c>
      <c r="CQ69" s="163">
        <v>0</v>
      </c>
      <c r="CR69" s="163">
        <v>0</v>
      </c>
      <c r="CS69" s="163">
        <v>0</v>
      </c>
      <c r="CT69" s="163">
        <v>0</v>
      </c>
      <c r="CU69" s="163">
        <v>0</v>
      </c>
      <c r="CV69" s="163">
        <v>3163255.15</v>
      </c>
      <c r="CW69" s="163">
        <v>0</v>
      </c>
      <c r="CX69" s="163">
        <v>0</v>
      </c>
      <c r="CY69" s="163">
        <v>0</v>
      </c>
      <c r="CZ69" s="163">
        <v>0</v>
      </c>
      <c r="DA69" s="163">
        <v>0</v>
      </c>
      <c r="DB69" s="163">
        <v>0</v>
      </c>
      <c r="DC69" s="163">
        <v>0</v>
      </c>
      <c r="DD69" s="163">
        <v>0</v>
      </c>
      <c r="DE69" s="163">
        <v>0</v>
      </c>
      <c r="DF69" s="163">
        <f>VLOOKUP($C69,'[3]BS ACC'!$C$5:$DH$1006,108,FALSE)</f>
        <v>0</v>
      </c>
      <c r="DG69" s="163">
        <f>VLOOKUP($C69,'[3]BS ACC'!$C$5:$DH$1006,109,FALSE)</f>
        <v>0</v>
      </c>
      <c r="DH69" s="163">
        <f>VLOOKUP($C69,'[3]BS ACC'!$C$5:$DH$1006,110,FALSE)</f>
        <v>0</v>
      </c>
    </row>
    <row r="70" spans="1:112">
      <c r="A70" s="350" t="str">
        <f t="shared" si="0"/>
        <v>1430400</v>
      </c>
      <c r="B70" s="350" t="s">
        <v>1497</v>
      </c>
      <c r="C70" s="335" t="s">
        <v>639</v>
      </c>
      <c r="D70" s="340">
        <v>56521.04</v>
      </c>
      <c r="E70" s="340">
        <v>0</v>
      </c>
      <c r="F70" s="340">
        <v>0</v>
      </c>
      <c r="G70" s="340">
        <v>0</v>
      </c>
      <c r="H70" s="340">
        <v>0</v>
      </c>
      <c r="I70" s="340">
        <v>0</v>
      </c>
      <c r="J70" s="340">
        <v>0</v>
      </c>
      <c r="K70" s="340">
        <v>0</v>
      </c>
      <c r="L70" s="340">
        <v>0</v>
      </c>
      <c r="M70" s="340">
        <v>0</v>
      </c>
      <c r="N70" s="340">
        <v>0</v>
      </c>
      <c r="O70" s="340">
        <v>0</v>
      </c>
      <c r="P70" s="341">
        <v>314614.12</v>
      </c>
      <c r="Q70" s="163">
        <v>0</v>
      </c>
      <c r="R70" s="163">
        <v>0</v>
      </c>
      <c r="S70" s="163">
        <v>0</v>
      </c>
      <c r="T70" s="163">
        <v>0</v>
      </c>
      <c r="U70" s="163">
        <v>0</v>
      </c>
      <c r="V70" s="163">
        <v>0</v>
      </c>
      <c r="W70" s="163">
        <v>0</v>
      </c>
      <c r="X70" s="163">
        <v>0</v>
      </c>
      <c r="Y70" s="163">
        <v>0</v>
      </c>
      <c r="Z70" s="163">
        <v>0</v>
      </c>
      <c r="AA70" s="163">
        <v>0</v>
      </c>
      <c r="AB70" s="163">
        <v>215924.46</v>
      </c>
      <c r="AC70" s="163">
        <v>0</v>
      </c>
      <c r="AD70" s="163">
        <v>0</v>
      </c>
      <c r="AE70" s="163">
        <v>0</v>
      </c>
      <c r="AF70" s="163">
        <v>0</v>
      </c>
      <c r="AG70" s="163">
        <v>0</v>
      </c>
      <c r="AH70" s="163">
        <v>0</v>
      </c>
      <c r="AI70" s="163">
        <v>0</v>
      </c>
      <c r="AJ70" s="163">
        <v>0</v>
      </c>
      <c r="AK70" s="163">
        <v>0</v>
      </c>
      <c r="AL70" s="163">
        <v>0</v>
      </c>
      <c r="AM70" s="163">
        <v>0</v>
      </c>
      <c r="AN70" s="163">
        <v>0</v>
      </c>
      <c r="AO70" s="163">
        <v>0</v>
      </c>
      <c r="AP70" s="163">
        <v>0</v>
      </c>
      <c r="AQ70" s="163">
        <v>0</v>
      </c>
      <c r="AR70" s="163">
        <v>0</v>
      </c>
      <c r="AS70" s="163">
        <v>0</v>
      </c>
      <c r="AT70" s="163">
        <v>0</v>
      </c>
      <c r="AU70" s="163">
        <v>0</v>
      </c>
      <c r="AV70" s="163">
        <v>0</v>
      </c>
      <c r="AW70" s="163">
        <v>0</v>
      </c>
      <c r="AX70" s="163">
        <v>0</v>
      </c>
      <c r="AY70" s="163">
        <v>0</v>
      </c>
      <c r="AZ70" s="163">
        <v>0</v>
      </c>
      <c r="BA70" s="163">
        <v>0</v>
      </c>
      <c r="BB70" s="163">
        <v>0</v>
      </c>
      <c r="BC70" s="163">
        <v>0</v>
      </c>
      <c r="BD70" s="163">
        <v>0</v>
      </c>
      <c r="BE70" s="163">
        <v>0</v>
      </c>
      <c r="BF70" s="163">
        <v>0</v>
      </c>
      <c r="BG70" s="163">
        <v>0</v>
      </c>
      <c r="BH70" s="163">
        <v>0</v>
      </c>
      <c r="BI70" s="163">
        <v>0</v>
      </c>
      <c r="BJ70" s="163">
        <v>0</v>
      </c>
      <c r="BK70" s="163">
        <v>0</v>
      </c>
      <c r="BL70" s="163">
        <v>277608.63</v>
      </c>
      <c r="BM70" s="163">
        <v>0</v>
      </c>
      <c r="BN70" s="163">
        <v>0</v>
      </c>
      <c r="BO70" s="163">
        <v>0</v>
      </c>
      <c r="BP70" s="163">
        <v>0</v>
      </c>
      <c r="BQ70" s="163">
        <v>0</v>
      </c>
      <c r="BR70" s="163">
        <v>0</v>
      </c>
      <c r="BS70" s="163">
        <v>0</v>
      </c>
      <c r="BT70" s="163">
        <v>0</v>
      </c>
      <c r="BU70" s="163">
        <v>0</v>
      </c>
      <c r="BV70" s="163">
        <v>0</v>
      </c>
      <c r="BW70" s="163">
        <v>0</v>
      </c>
      <c r="BX70" s="163">
        <v>34285.1</v>
      </c>
      <c r="BY70" s="163">
        <v>34285.1</v>
      </c>
      <c r="BZ70" s="163">
        <v>34285.1</v>
      </c>
      <c r="CA70" s="163">
        <v>34285.1</v>
      </c>
      <c r="CB70" s="163">
        <v>0</v>
      </c>
      <c r="CC70" s="163">
        <v>0</v>
      </c>
      <c r="CD70" s="163">
        <v>0</v>
      </c>
      <c r="CE70" s="163">
        <v>0</v>
      </c>
      <c r="CF70" s="163">
        <v>0</v>
      </c>
      <c r="CG70" s="163">
        <v>0</v>
      </c>
      <c r="CH70" s="163">
        <v>0</v>
      </c>
      <c r="CI70" s="163">
        <v>0</v>
      </c>
      <c r="CJ70" s="163">
        <v>0</v>
      </c>
      <c r="CK70" s="163">
        <v>0</v>
      </c>
      <c r="CL70" s="163">
        <v>0</v>
      </c>
      <c r="CM70" s="163">
        <v>0</v>
      </c>
      <c r="CN70" s="163">
        <v>0</v>
      </c>
      <c r="CO70" s="163">
        <v>0</v>
      </c>
      <c r="CP70" s="163">
        <v>0</v>
      </c>
      <c r="CQ70" s="163">
        <v>0</v>
      </c>
      <c r="CR70" s="163">
        <v>0</v>
      </c>
      <c r="CS70" s="163">
        <v>0</v>
      </c>
      <c r="CT70" s="163">
        <v>0</v>
      </c>
      <c r="CU70" s="163">
        <v>0</v>
      </c>
      <c r="CV70" s="163">
        <v>791635.73</v>
      </c>
      <c r="CW70" s="163">
        <v>0</v>
      </c>
      <c r="CX70" s="163">
        <v>0</v>
      </c>
      <c r="CY70" s="163">
        <v>0</v>
      </c>
      <c r="CZ70" s="163">
        <v>0</v>
      </c>
      <c r="DA70" s="163">
        <v>0</v>
      </c>
      <c r="DB70" s="163">
        <v>0</v>
      </c>
      <c r="DC70" s="163">
        <v>0</v>
      </c>
      <c r="DD70" s="163">
        <v>0</v>
      </c>
      <c r="DE70" s="163">
        <v>0</v>
      </c>
      <c r="DF70" s="163">
        <f>VLOOKUP($C70,'[3]BS ACC'!$C$5:$DH$1006,108,FALSE)</f>
        <v>0</v>
      </c>
      <c r="DG70" s="163">
        <f>VLOOKUP($C70,'[3]BS ACC'!$C$5:$DH$1006,109,FALSE)</f>
        <v>0</v>
      </c>
      <c r="DH70" s="163">
        <f>VLOOKUP($C70,'[3]BS ACC'!$C$5:$DH$1006,110,FALSE)</f>
        <v>0</v>
      </c>
    </row>
    <row r="71" spans="1:112">
      <c r="A71" s="350" t="str">
        <f t="shared" si="0"/>
        <v>1430500</v>
      </c>
      <c r="B71" s="350" t="s">
        <v>1498</v>
      </c>
      <c r="C71" s="335" t="s">
        <v>640</v>
      </c>
      <c r="D71" s="340">
        <v>5905080.3899999997</v>
      </c>
      <c r="E71" s="340">
        <v>5863523.46</v>
      </c>
      <c r="F71" s="340">
        <v>5810181.5599999996</v>
      </c>
      <c r="G71" s="340">
        <v>5753329.4900000002</v>
      </c>
      <c r="H71" s="340">
        <v>5690205.46</v>
      </c>
      <c r="I71" s="340">
        <v>5565021.0300000003</v>
      </c>
      <c r="J71" s="340">
        <v>5487850.8300000001</v>
      </c>
      <c r="K71" s="340">
        <v>5436662.7300000004</v>
      </c>
      <c r="L71" s="340">
        <v>5366404.5599999996</v>
      </c>
      <c r="M71" s="340">
        <v>5359116.46</v>
      </c>
      <c r="N71" s="340">
        <v>5342134.0599999996</v>
      </c>
      <c r="O71" s="340">
        <v>5406194.29</v>
      </c>
      <c r="P71" s="341">
        <v>5477737.7999999998</v>
      </c>
      <c r="Q71" s="163">
        <v>5815734.4100000001</v>
      </c>
      <c r="R71" s="163">
        <v>5844889.3099999996</v>
      </c>
      <c r="S71" s="163">
        <v>5910725.5099999998</v>
      </c>
      <c r="T71" s="163">
        <v>5859765.5999999996</v>
      </c>
      <c r="U71" s="163">
        <v>5852703.6600000001</v>
      </c>
      <c r="V71" s="163">
        <v>5892331.9699999997</v>
      </c>
      <c r="W71" s="163">
        <v>5963421.3099999996</v>
      </c>
      <c r="X71" s="163">
        <v>6061500.9199999999</v>
      </c>
      <c r="Y71" s="163">
        <v>6194083.9400000004</v>
      </c>
      <c r="Z71" s="163">
        <v>6264404.0499999998</v>
      </c>
      <c r="AA71" s="163">
        <v>6198201.46</v>
      </c>
      <c r="AB71" s="163">
        <v>6283131.75</v>
      </c>
      <c r="AC71" s="163">
        <v>6356595.2999999998</v>
      </c>
      <c r="AD71" s="163">
        <v>6427854.71</v>
      </c>
      <c r="AE71" s="163">
        <v>6466328.3300000001</v>
      </c>
      <c r="AF71" s="163">
        <v>6474090.5700000003</v>
      </c>
      <c r="AG71" s="163">
        <v>6509965.7400000002</v>
      </c>
      <c r="AH71" s="163">
        <v>6527950.4400000004</v>
      </c>
      <c r="AI71" s="163">
        <v>6538306.2800000003</v>
      </c>
      <c r="AJ71" s="163">
        <v>6543025.4699999997</v>
      </c>
      <c r="AK71" s="163">
        <v>6539187.0599999996</v>
      </c>
      <c r="AL71" s="163">
        <v>6576654.9699999997</v>
      </c>
      <c r="AM71" s="163">
        <v>6600424.6799999997</v>
      </c>
      <c r="AN71" s="163">
        <v>6367837.25</v>
      </c>
      <c r="AO71" s="163">
        <v>0</v>
      </c>
      <c r="AP71" s="163">
        <v>0</v>
      </c>
      <c r="AQ71" s="163">
        <v>0</v>
      </c>
      <c r="AR71" s="163">
        <v>0</v>
      </c>
      <c r="AS71" s="163">
        <v>0</v>
      </c>
      <c r="AT71" s="163">
        <v>0</v>
      </c>
      <c r="AU71" s="163">
        <v>0</v>
      </c>
      <c r="AV71" s="163">
        <v>0</v>
      </c>
      <c r="AW71" s="163">
        <v>0</v>
      </c>
      <c r="AX71" s="163">
        <v>0</v>
      </c>
      <c r="AY71" s="163">
        <v>0</v>
      </c>
      <c r="AZ71" s="163">
        <v>0</v>
      </c>
      <c r="BA71" s="163">
        <v>0</v>
      </c>
      <c r="BB71" s="163">
        <v>0</v>
      </c>
      <c r="BC71" s="163">
        <v>0</v>
      </c>
      <c r="BD71" s="163">
        <v>0</v>
      </c>
      <c r="BE71" s="163">
        <v>0</v>
      </c>
      <c r="BF71" s="163">
        <v>0</v>
      </c>
      <c r="BG71" s="163">
        <v>0</v>
      </c>
      <c r="BH71" s="163">
        <v>0</v>
      </c>
      <c r="BI71" s="163">
        <v>0</v>
      </c>
      <c r="BJ71" s="163">
        <v>0</v>
      </c>
      <c r="BK71" s="163">
        <v>0</v>
      </c>
      <c r="BL71" s="163">
        <v>0</v>
      </c>
      <c r="BM71" s="163">
        <v>0</v>
      </c>
      <c r="BN71" s="163">
        <v>0</v>
      </c>
      <c r="BO71" s="163">
        <v>0</v>
      </c>
      <c r="BP71" s="163">
        <v>0</v>
      </c>
      <c r="BQ71" s="163">
        <v>0</v>
      </c>
      <c r="BR71" s="163">
        <v>0</v>
      </c>
      <c r="BS71" s="163">
        <v>0</v>
      </c>
      <c r="BT71" s="163">
        <v>0</v>
      </c>
      <c r="BU71" s="163">
        <v>0</v>
      </c>
      <c r="BV71" s="163">
        <v>0</v>
      </c>
      <c r="BW71" s="163">
        <v>0</v>
      </c>
      <c r="BX71" s="163">
        <v>0</v>
      </c>
      <c r="BY71" s="163">
        <v>0</v>
      </c>
      <c r="BZ71" s="163">
        <v>0</v>
      </c>
      <c r="CA71" s="163">
        <v>0</v>
      </c>
      <c r="CB71" s="163">
        <v>0</v>
      </c>
      <c r="CC71" s="163">
        <v>0</v>
      </c>
      <c r="CD71" s="163">
        <v>0</v>
      </c>
      <c r="CE71" s="163">
        <v>0</v>
      </c>
      <c r="CF71" s="163">
        <v>0</v>
      </c>
      <c r="CG71" s="163">
        <v>0</v>
      </c>
      <c r="CH71" s="163">
        <v>0</v>
      </c>
      <c r="CI71" s="163">
        <v>0</v>
      </c>
      <c r="CJ71" s="163">
        <v>0</v>
      </c>
      <c r="CK71" s="163">
        <v>0</v>
      </c>
      <c r="CL71" s="163">
        <v>0</v>
      </c>
      <c r="CM71" s="163">
        <v>0</v>
      </c>
      <c r="CN71" s="163">
        <v>0</v>
      </c>
      <c r="CO71" s="163">
        <v>0</v>
      </c>
      <c r="CP71" s="163">
        <v>0</v>
      </c>
      <c r="CQ71" s="163">
        <v>0</v>
      </c>
      <c r="CR71" s="163">
        <v>0</v>
      </c>
      <c r="CS71" s="163">
        <v>0</v>
      </c>
      <c r="CT71" s="163">
        <v>0</v>
      </c>
      <c r="CU71" s="163">
        <v>0</v>
      </c>
      <c r="CV71" s="163">
        <v>0</v>
      </c>
      <c r="CW71" s="163">
        <v>0</v>
      </c>
      <c r="CX71" s="163">
        <v>0</v>
      </c>
      <c r="CY71" s="163">
        <v>0</v>
      </c>
      <c r="CZ71" s="163">
        <v>0</v>
      </c>
      <c r="DA71" s="163">
        <v>0</v>
      </c>
      <c r="DB71" s="163">
        <v>0</v>
      </c>
      <c r="DC71" s="163">
        <v>0</v>
      </c>
      <c r="DD71" s="163">
        <v>0</v>
      </c>
      <c r="DE71" s="163">
        <v>0</v>
      </c>
      <c r="DF71" s="163">
        <f>VLOOKUP($C71,'[3]BS ACC'!$C$5:$DH$1006,108,FALSE)</f>
        <v>0</v>
      </c>
      <c r="DG71" s="163">
        <f>VLOOKUP($C71,'[3]BS ACC'!$C$5:$DH$1006,109,FALSE)</f>
        <v>0</v>
      </c>
      <c r="DH71" s="163">
        <f>VLOOKUP($C71,'[3]BS ACC'!$C$5:$DH$1006,110,FALSE)</f>
        <v>0</v>
      </c>
    </row>
    <row r="72" spans="1:112">
      <c r="A72" s="350" t="str">
        <f t="shared" ref="A72:A147" si="1">+B72</f>
        <v>1430510</v>
      </c>
      <c r="B72" s="350" t="s">
        <v>1582</v>
      </c>
      <c r="C72" s="335" t="s">
        <v>641</v>
      </c>
      <c r="D72" s="340">
        <v>299544.82</v>
      </c>
      <c r="E72" s="340">
        <v>311813.09000000003</v>
      </c>
      <c r="F72" s="340">
        <v>298175.56</v>
      </c>
      <c r="G72" s="340">
        <v>293873.90999999997</v>
      </c>
      <c r="H72" s="340">
        <v>300479.46000000002</v>
      </c>
      <c r="I72" s="340">
        <v>319703.84000000003</v>
      </c>
      <c r="J72" s="340">
        <v>328361.49</v>
      </c>
      <c r="K72" s="340">
        <v>309100.55</v>
      </c>
      <c r="L72" s="340">
        <v>258061.39</v>
      </c>
      <c r="M72" s="340">
        <v>244409.26</v>
      </c>
      <c r="N72" s="340">
        <v>269405.78000000003</v>
      </c>
      <c r="O72" s="340">
        <v>269624.84000000003</v>
      </c>
      <c r="P72" s="341">
        <v>275730.61</v>
      </c>
      <c r="Q72" s="163">
        <v>284648.15999999997</v>
      </c>
      <c r="R72" s="163">
        <v>273045.23</v>
      </c>
      <c r="S72" s="163">
        <v>255037.29</v>
      </c>
      <c r="T72" s="163">
        <v>292334.76</v>
      </c>
      <c r="U72" s="163">
        <v>284688.42</v>
      </c>
      <c r="V72" s="163">
        <v>294605.74</v>
      </c>
      <c r="W72" s="163">
        <v>288460</v>
      </c>
      <c r="X72" s="163">
        <v>261888.79</v>
      </c>
      <c r="Y72" s="163">
        <v>281088.46999999997</v>
      </c>
      <c r="Z72" s="163">
        <v>306371.25</v>
      </c>
      <c r="AA72" s="163">
        <v>280875.23</v>
      </c>
      <c r="AB72" s="163">
        <v>260016.42</v>
      </c>
      <c r="AC72" s="163">
        <v>300487.06</v>
      </c>
      <c r="AD72" s="163">
        <v>312214.75</v>
      </c>
      <c r="AE72" s="163">
        <v>328736.71999999997</v>
      </c>
      <c r="AF72" s="163">
        <v>390168.92</v>
      </c>
      <c r="AG72" s="163">
        <v>329446.44</v>
      </c>
      <c r="AH72" s="163">
        <v>-10743.16</v>
      </c>
      <c r="AI72" s="163">
        <v>311257.81</v>
      </c>
      <c r="AJ72" s="163">
        <v>272543.96999999997</v>
      </c>
      <c r="AK72" s="163">
        <v>256777.32</v>
      </c>
      <c r="AL72" s="163">
        <v>110734.01</v>
      </c>
      <c r="AM72" s="163">
        <v>208045.63</v>
      </c>
      <c r="AN72" s="163">
        <v>243228.07</v>
      </c>
      <c r="AO72" s="163">
        <v>0</v>
      </c>
      <c r="AP72" s="163">
        <v>0</v>
      </c>
      <c r="AQ72" s="163">
        <v>0</v>
      </c>
      <c r="AR72" s="163">
        <v>0</v>
      </c>
      <c r="AS72" s="163">
        <v>0</v>
      </c>
      <c r="AT72" s="163">
        <v>0</v>
      </c>
      <c r="AU72" s="163">
        <v>0</v>
      </c>
      <c r="AV72" s="163">
        <v>0</v>
      </c>
      <c r="AW72" s="163">
        <v>0</v>
      </c>
      <c r="AX72" s="163">
        <v>0</v>
      </c>
      <c r="AY72" s="163">
        <v>0</v>
      </c>
      <c r="AZ72" s="163">
        <v>0</v>
      </c>
      <c r="BA72" s="163">
        <v>0</v>
      </c>
      <c r="BB72" s="163">
        <v>0</v>
      </c>
      <c r="BC72" s="163">
        <v>0</v>
      </c>
      <c r="BD72" s="163">
        <v>0</v>
      </c>
      <c r="BE72" s="163">
        <v>0</v>
      </c>
      <c r="BF72" s="163">
        <v>0</v>
      </c>
      <c r="BG72" s="163">
        <v>0</v>
      </c>
      <c r="BH72" s="163">
        <v>0</v>
      </c>
      <c r="BI72" s="163">
        <v>0</v>
      </c>
      <c r="BJ72" s="163">
        <v>0</v>
      </c>
      <c r="BK72" s="163">
        <v>0</v>
      </c>
      <c r="BL72" s="163">
        <v>0</v>
      </c>
      <c r="BM72" s="163">
        <v>0</v>
      </c>
      <c r="BN72" s="163">
        <v>0</v>
      </c>
      <c r="BO72" s="163">
        <v>0</v>
      </c>
      <c r="BP72" s="163">
        <v>0</v>
      </c>
      <c r="BQ72" s="163">
        <v>0</v>
      </c>
      <c r="BR72" s="163">
        <v>0</v>
      </c>
      <c r="BS72" s="163">
        <v>0</v>
      </c>
      <c r="BT72" s="163">
        <v>0</v>
      </c>
      <c r="BU72" s="163">
        <v>0</v>
      </c>
      <c r="BV72" s="163">
        <v>0</v>
      </c>
      <c r="BW72" s="163">
        <v>0</v>
      </c>
      <c r="BX72" s="163">
        <v>0</v>
      </c>
      <c r="BY72" s="163">
        <v>0</v>
      </c>
      <c r="BZ72" s="163">
        <v>0</v>
      </c>
      <c r="CA72" s="163">
        <v>0</v>
      </c>
      <c r="CB72" s="163">
        <v>0</v>
      </c>
      <c r="CC72" s="163">
        <v>0</v>
      </c>
      <c r="CD72" s="163">
        <v>0</v>
      </c>
      <c r="CE72" s="163">
        <v>0</v>
      </c>
      <c r="CF72" s="163">
        <v>0</v>
      </c>
      <c r="CG72" s="163">
        <v>0</v>
      </c>
      <c r="CH72" s="163">
        <v>0</v>
      </c>
      <c r="CI72" s="163">
        <v>0</v>
      </c>
      <c r="CJ72" s="163">
        <v>0</v>
      </c>
      <c r="CK72" s="163">
        <v>0</v>
      </c>
      <c r="CL72" s="163">
        <v>0</v>
      </c>
      <c r="CM72" s="163">
        <v>0</v>
      </c>
      <c r="CN72" s="163">
        <v>0</v>
      </c>
      <c r="CO72" s="163">
        <v>0</v>
      </c>
      <c r="CP72" s="163">
        <v>0</v>
      </c>
      <c r="CQ72" s="163">
        <v>0</v>
      </c>
      <c r="CR72" s="163">
        <v>0</v>
      </c>
      <c r="CS72" s="163">
        <v>0</v>
      </c>
      <c r="CT72" s="163">
        <v>0</v>
      </c>
      <c r="CU72" s="163">
        <v>0</v>
      </c>
      <c r="CV72" s="163">
        <v>0</v>
      </c>
      <c r="CW72" s="163">
        <v>0</v>
      </c>
      <c r="CX72" s="163">
        <v>0</v>
      </c>
      <c r="CY72" s="163">
        <v>0</v>
      </c>
      <c r="CZ72" s="163">
        <v>0</v>
      </c>
      <c r="DA72" s="163">
        <v>0</v>
      </c>
      <c r="DB72" s="163">
        <v>0</v>
      </c>
      <c r="DC72" s="163">
        <v>0</v>
      </c>
      <c r="DD72" s="163">
        <v>0</v>
      </c>
      <c r="DE72" s="163">
        <v>0</v>
      </c>
      <c r="DF72" s="163">
        <f>VLOOKUP($C72,'[3]BS ACC'!$C$5:$DH$1006,108,FALSE)</f>
        <v>0</v>
      </c>
      <c r="DG72" s="163">
        <f>VLOOKUP($C72,'[3]BS ACC'!$C$5:$DH$1006,109,FALSE)</f>
        <v>0</v>
      </c>
      <c r="DH72" s="163">
        <f>VLOOKUP($C72,'[3]BS ACC'!$C$5:$DH$1006,110,FALSE)</f>
        <v>0</v>
      </c>
    </row>
    <row r="73" spans="1:112">
      <c r="A73" s="350" t="str">
        <f t="shared" si="1"/>
        <v>1430520</v>
      </c>
      <c r="B73" s="350" t="s">
        <v>1499</v>
      </c>
      <c r="C73" s="335" t="s">
        <v>642</v>
      </c>
      <c r="D73" s="340">
        <v>0</v>
      </c>
      <c r="E73" s="340">
        <v>0</v>
      </c>
      <c r="F73" s="340">
        <v>0</v>
      </c>
      <c r="G73" s="340">
        <v>0</v>
      </c>
      <c r="H73" s="340">
        <v>0</v>
      </c>
      <c r="I73" s="340">
        <v>0</v>
      </c>
      <c r="J73" s="340">
        <v>0</v>
      </c>
      <c r="K73" s="340">
        <v>0</v>
      </c>
      <c r="L73" s="340">
        <v>0</v>
      </c>
      <c r="M73" s="340">
        <v>0</v>
      </c>
      <c r="N73" s="340">
        <v>0</v>
      </c>
      <c r="O73" s="340">
        <v>0</v>
      </c>
      <c r="P73" s="341">
        <v>0</v>
      </c>
      <c r="Q73" s="163">
        <v>0</v>
      </c>
      <c r="R73" s="163">
        <v>0</v>
      </c>
      <c r="S73" s="163">
        <v>0</v>
      </c>
      <c r="T73" s="163">
        <v>0</v>
      </c>
      <c r="U73" s="163">
        <v>0</v>
      </c>
      <c r="V73" s="163">
        <v>0</v>
      </c>
      <c r="W73" s="163">
        <v>0</v>
      </c>
      <c r="X73" s="163">
        <v>0</v>
      </c>
      <c r="Y73" s="163">
        <v>0</v>
      </c>
      <c r="Z73" s="163">
        <v>0</v>
      </c>
      <c r="AA73" s="163">
        <v>0</v>
      </c>
      <c r="AB73" s="163">
        <v>0</v>
      </c>
      <c r="AC73" s="163">
        <v>-3000</v>
      </c>
      <c r="AD73" s="163">
        <v>0</v>
      </c>
      <c r="AE73" s="163">
        <v>0</v>
      </c>
      <c r="AF73" s="163">
        <v>0</v>
      </c>
      <c r="AG73" s="163">
        <v>0</v>
      </c>
      <c r="AH73" s="163">
        <v>0</v>
      </c>
      <c r="AI73" s="163">
        <v>0</v>
      </c>
      <c r="AJ73" s="163">
        <v>0</v>
      </c>
      <c r="AK73" s="163">
        <v>0</v>
      </c>
      <c r="AL73" s="163">
        <v>0</v>
      </c>
      <c r="AM73" s="163">
        <v>0</v>
      </c>
      <c r="AN73" s="163">
        <v>0</v>
      </c>
      <c r="AO73" s="163">
        <v>0</v>
      </c>
      <c r="AP73" s="163">
        <v>0</v>
      </c>
      <c r="AQ73" s="163">
        <v>0</v>
      </c>
      <c r="AR73" s="163">
        <v>0</v>
      </c>
      <c r="AS73" s="163">
        <v>0</v>
      </c>
      <c r="AT73" s="163">
        <v>0</v>
      </c>
      <c r="AU73" s="163">
        <v>0</v>
      </c>
      <c r="AV73" s="163">
        <v>0</v>
      </c>
      <c r="AW73" s="163">
        <v>0</v>
      </c>
      <c r="AX73" s="163">
        <v>0</v>
      </c>
      <c r="AY73" s="163">
        <v>0</v>
      </c>
      <c r="AZ73" s="163">
        <v>0</v>
      </c>
      <c r="BA73" s="163">
        <v>0</v>
      </c>
      <c r="BB73" s="163">
        <v>0</v>
      </c>
      <c r="BC73" s="163">
        <v>0</v>
      </c>
      <c r="BD73" s="163">
        <v>0</v>
      </c>
      <c r="BE73" s="163">
        <v>0</v>
      </c>
      <c r="BF73" s="163">
        <v>0</v>
      </c>
      <c r="BG73" s="163">
        <v>0</v>
      </c>
      <c r="BH73" s="163">
        <v>0</v>
      </c>
      <c r="BI73" s="163">
        <v>0</v>
      </c>
      <c r="BJ73" s="163">
        <v>0</v>
      </c>
      <c r="BK73" s="163">
        <v>0</v>
      </c>
      <c r="BL73" s="163">
        <v>0</v>
      </c>
      <c r="BM73" s="163">
        <v>0</v>
      </c>
      <c r="BN73" s="163">
        <v>0</v>
      </c>
      <c r="BO73" s="163">
        <v>0</v>
      </c>
      <c r="BP73" s="163">
        <v>0</v>
      </c>
      <c r="BQ73" s="163">
        <v>0</v>
      </c>
      <c r="BR73" s="163">
        <v>0</v>
      </c>
      <c r="BS73" s="163">
        <v>0</v>
      </c>
      <c r="BT73" s="163">
        <v>0</v>
      </c>
      <c r="BU73" s="163">
        <v>0</v>
      </c>
      <c r="BV73" s="163">
        <v>0</v>
      </c>
      <c r="BW73" s="163">
        <v>0</v>
      </c>
      <c r="BX73" s="163">
        <v>0</v>
      </c>
      <c r="BY73" s="163">
        <v>0</v>
      </c>
      <c r="BZ73" s="163">
        <v>0</v>
      </c>
      <c r="CA73" s="163">
        <v>0</v>
      </c>
      <c r="CB73" s="163">
        <v>0</v>
      </c>
      <c r="CC73" s="163">
        <v>0</v>
      </c>
      <c r="CD73" s="163">
        <v>0</v>
      </c>
      <c r="CE73" s="163">
        <v>0</v>
      </c>
      <c r="CF73" s="163">
        <v>0</v>
      </c>
      <c r="CG73" s="163">
        <v>0</v>
      </c>
      <c r="CH73" s="163">
        <v>0</v>
      </c>
      <c r="CI73" s="163">
        <v>0</v>
      </c>
      <c r="CJ73" s="163">
        <v>0</v>
      </c>
      <c r="CK73" s="163">
        <v>0</v>
      </c>
      <c r="CL73" s="163">
        <v>0</v>
      </c>
      <c r="CM73" s="163">
        <v>0</v>
      </c>
      <c r="CN73" s="163">
        <v>0</v>
      </c>
      <c r="CO73" s="163">
        <v>0</v>
      </c>
      <c r="CP73" s="163">
        <v>0</v>
      </c>
      <c r="CQ73" s="163">
        <v>0</v>
      </c>
      <c r="CR73" s="163">
        <v>0</v>
      </c>
      <c r="CS73" s="163">
        <v>0</v>
      </c>
      <c r="CT73" s="163">
        <v>0</v>
      </c>
      <c r="CU73" s="163">
        <v>0</v>
      </c>
      <c r="CV73" s="163">
        <v>0</v>
      </c>
      <c r="CW73" s="163">
        <v>0</v>
      </c>
      <c r="CX73" s="163">
        <v>0</v>
      </c>
      <c r="CY73" s="163">
        <v>0</v>
      </c>
      <c r="CZ73" s="163">
        <v>0</v>
      </c>
      <c r="DA73" s="163">
        <v>0</v>
      </c>
      <c r="DB73" s="163">
        <v>0</v>
      </c>
      <c r="DC73" s="163">
        <v>0</v>
      </c>
      <c r="DD73" s="163">
        <v>0</v>
      </c>
      <c r="DE73" s="163">
        <v>0</v>
      </c>
      <c r="DF73" s="163">
        <f>VLOOKUP($C73,'[3]BS ACC'!$C$5:$DH$1006,108,FALSE)</f>
        <v>0</v>
      </c>
      <c r="DG73" s="163">
        <f>VLOOKUP($C73,'[3]BS ACC'!$C$5:$DH$1006,109,FALSE)</f>
        <v>0</v>
      </c>
      <c r="DH73" s="163">
        <f>VLOOKUP($C73,'[3]BS ACC'!$C$5:$DH$1006,110,FALSE)</f>
        <v>0</v>
      </c>
    </row>
    <row r="74" spans="1:112">
      <c r="A74" s="350" t="str">
        <f t="shared" si="1"/>
        <v>1440000</v>
      </c>
      <c r="B74" s="350" t="s">
        <v>1742</v>
      </c>
      <c r="C74" s="335" t="s">
        <v>1741</v>
      </c>
      <c r="D74" s="340"/>
      <c r="E74" s="340"/>
      <c r="F74" s="340"/>
      <c r="G74" s="340"/>
      <c r="H74" s="340"/>
      <c r="I74" s="340"/>
      <c r="J74" s="340"/>
      <c r="K74" s="340"/>
      <c r="L74" s="340"/>
      <c r="M74" s="340"/>
      <c r="N74" s="340"/>
      <c r="O74" s="340"/>
      <c r="P74" s="341"/>
      <c r="Q74" s="163"/>
      <c r="R74" s="163"/>
      <c r="S74" s="163"/>
      <c r="T74" s="163"/>
      <c r="U74" s="163"/>
      <c r="V74" s="163"/>
      <c r="W74" s="163"/>
      <c r="X74" s="163"/>
      <c r="Y74" s="163"/>
      <c r="Z74" s="163"/>
      <c r="AA74" s="163"/>
      <c r="AB74" s="163"/>
      <c r="AC74" s="163"/>
      <c r="AD74" s="163"/>
      <c r="AE74" s="163"/>
      <c r="AF74" s="163"/>
      <c r="AG74" s="163"/>
      <c r="AH74" s="163"/>
      <c r="AI74" s="163"/>
      <c r="AJ74" s="163"/>
      <c r="AK74" s="163"/>
      <c r="AL74" s="163">
        <v>0</v>
      </c>
      <c r="AM74" s="163">
        <v>0</v>
      </c>
      <c r="AN74" s="163">
        <v>0</v>
      </c>
      <c r="AO74" s="163">
        <v>-157044.19</v>
      </c>
      <c r="AP74" s="163">
        <v>-238993.48</v>
      </c>
      <c r="AQ74" s="163">
        <v>-403051.53</v>
      </c>
      <c r="AR74" s="163">
        <v>-242110.57</v>
      </c>
      <c r="AS74" s="163">
        <v>-265419.90000000002</v>
      </c>
      <c r="AT74" s="163">
        <v>-183869.23</v>
      </c>
      <c r="AU74" s="163">
        <v>-249028.99</v>
      </c>
      <c r="AV74" s="163">
        <v>-246106.38</v>
      </c>
      <c r="AW74" s="163">
        <v>-246103.96</v>
      </c>
      <c r="AX74" s="163">
        <v>-255198.62</v>
      </c>
      <c r="AY74" s="163">
        <v>-275618.68</v>
      </c>
      <c r="AZ74" s="163">
        <v>-303726.56</v>
      </c>
      <c r="BA74" s="163">
        <v>-389179.01</v>
      </c>
      <c r="BB74" s="163">
        <v>-291069.13</v>
      </c>
      <c r="BC74" s="163">
        <v>-266234.40000000002</v>
      </c>
      <c r="BD74" s="163">
        <v>-237517.38</v>
      </c>
      <c r="BE74" s="163">
        <v>-233160.92</v>
      </c>
      <c r="BF74" s="163">
        <v>-232236.3</v>
      </c>
      <c r="BG74" s="163">
        <v>-245567.91</v>
      </c>
      <c r="BH74" s="163">
        <v>-269580.15999999997</v>
      </c>
      <c r="BI74" s="163">
        <v>-274642.02</v>
      </c>
      <c r="BJ74" s="163">
        <v>-264875.34000000003</v>
      </c>
      <c r="BK74" s="163">
        <v>-274851.34000000003</v>
      </c>
      <c r="BL74" s="163">
        <v>-326654.49</v>
      </c>
      <c r="BM74" s="163">
        <v>-352897.36</v>
      </c>
      <c r="BN74" s="163">
        <v>-351707.88</v>
      </c>
      <c r="BO74" s="163">
        <v>-359604.9</v>
      </c>
      <c r="BP74" s="163">
        <v>-372164.2</v>
      </c>
      <c r="BQ74" s="163">
        <v>-369066.23999999999</v>
      </c>
      <c r="BR74" s="163">
        <v>-351922.05</v>
      </c>
      <c r="BS74" s="163">
        <v>-342564.94</v>
      </c>
      <c r="BT74" s="163">
        <v>-337491.07</v>
      </c>
      <c r="BU74" s="163">
        <v>-315476.51</v>
      </c>
      <c r="BV74" s="163">
        <v>-305934.44</v>
      </c>
      <c r="BW74" s="163">
        <v>-327635.53000000003</v>
      </c>
      <c r="BX74" s="163">
        <v>-335559.6</v>
      </c>
      <c r="BY74" s="163">
        <v>-363319.21</v>
      </c>
      <c r="BZ74" s="163">
        <v>-332766.71999999997</v>
      </c>
      <c r="CA74" s="163">
        <v>-515565.99</v>
      </c>
      <c r="CB74" s="163">
        <v>-759958.55</v>
      </c>
      <c r="CC74" s="163">
        <v>-1016864.46</v>
      </c>
      <c r="CD74" s="163">
        <v>-1314337.8600000001</v>
      </c>
      <c r="CE74" s="163">
        <v>-1525174</v>
      </c>
      <c r="CF74" s="163">
        <v>-1763349.47</v>
      </c>
      <c r="CG74" s="163">
        <v>-1944094.85</v>
      </c>
      <c r="CH74" s="163">
        <v>-1758071.57</v>
      </c>
      <c r="CI74" s="163">
        <v>-1893706.34</v>
      </c>
      <c r="CJ74" s="163">
        <v>-1306227.33</v>
      </c>
      <c r="CK74" s="163">
        <v>-1503254.69</v>
      </c>
      <c r="CL74" s="163">
        <v>-1676938.96</v>
      </c>
      <c r="CM74" s="163">
        <v>-1356182.17</v>
      </c>
      <c r="CN74" s="163">
        <v>-1450493.44</v>
      </c>
      <c r="CO74" s="163">
        <v>-1529217.09</v>
      </c>
      <c r="CP74" s="163">
        <v>-1511549.4</v>
      </c>
      <c r="CQ74" s="163">
        <v>-1550433.59</v>
      </c>
      <c r="CR74" s="163">
        <v>-1604740.44</v>
      </c>
      <c r="CS74" s="163">
        <v>-1657765.44</v>
      </c>
      <c r="CT74" s="163">
        <v>-1730433.11</v>
      </c>
      <c r="CU74" s="163">
        <v>-1705592.45</v>
      </c>
      <c r="CV74" s="163">
        <v>-1717716.51</v>
      </c>
      <c r="CW74" s="163">
        <v>-1776442.59</v>
      </c>
      <c r="CX74" s="163">
        <v>-1776430.87</v>
      </c>
      <c r="CY74" s="163">
        <v>-1796787.4</v>
      </c>
      <c r="CZ74" s="163">
        <v>-1718309.15</v>
      </c>
      <c r="DA74" s="163">
        <v>-1737695.01</v>
      </c>
      <c r="DB74" s="163">
        <v>-1765897.88</v>
      </c>
      <c r="DC74" s="163">
        <v>-1768522.54</v>
      </c>
      <c r="DD74" s="163">
        <v>-1854931.39</v>
      </c>
      <c r="DE74" s="163">
        <v>-1860255.8</v>
      </c>
      <c r="DF74" s="163">
        <f>VLOOKUP($C74,'[3]BS ACC'!$C$5:$DH$1006,108,FALSE)</f>
        <v>-1864281.29</v>
      </c>
      <c r="DG74" s="163">
        <f>VLOOKUP($C74,'[3]BS ACC'!$C$5:$DH$1006,109,FALSE)</f>
        <v>-1773644.94</v>
      </c>
      <c r="DH74" s="163">
        <f>VLOOKUP($C74,'[3]BS ACC'!$C$5:$DH$1006,110,FALSE)</f>
        <v>-1262970.48</v>
      </c>
    </row>
    <row r="75" spans="1:112">
      <c r="A75" s="350" t="str">
        <f t="shared" si="1"/>
        <v>1440001</v>
      </c>
      <c r="B75" s="350" t="s">
        <v>1787</v>
      </c>
      <c r="C75" s="335" t="s">
        <v>1785</v>
      </c>
      <c r="D75" s="340"/>
      <c r="E75" s="340"/>
      <c r="F75" s="340"/>
      <c r="G75" s="340"/>
      <c r="H75" s="340"/>
      <c r="I75" s="340"/>
      <c r="J75" s="340"/>
      <c r="K75" s="340"/>
      <c r="L75" s="340"/>
      <c r="M75" s="340"/>
      <c r="N75" s="340"/>
      <c r="O75" s="340"/>
      <c r="P75" s="341"/>
      <c r="Q75" s="163"/>
      <c r="R75" s="163"/>
      <c r="S75" s="163"/>
      <c r="T75" s="163"/>
      <c r="U75" s="163"/>
      <c r="V75" s="163"/>
      <c r="W75" s="163"/>
      <c r="X75" s="163"/>
      <c r="Y75" s="163"/>
      <c r="Z75" s="163"/>
      <c r="AA75" s="163"/>
      <c r="AB75" s="163"/>
      <c r="AC75" s="163"/>
      <c r="AD75" s="163"/>
      <c r="AE75" s="163"/>
      <c r="AF75" s="163"/>
      <c r="AG75" s="163"/>
      <c r="AH75" s="163"/>
      <c r="AI75" s="163"/>
      <c r="AJ75" s="163"/>
      <c r="AK75" s="163"/>
      <c r="AL75" s="163"/>
      <c r="AM75" s="163"/>
      <c r="AN75" s="163"/>
      <c r="AO75" s="163">
        <v>0</v>
      </c>
      <c r="AP75" s="163">
        <v>0</v>
      </c>
      <c r="AQ75" s="163">
        <v>3.23</v>
      </c>
      <c r="AR75" s="163">
        <v>2057.7600000000002</v>
      </c>
      <c r="AS75" s="163">
        <v>2905.6</v>
      </c>
      <c r="AT75" s="163">
        <v>7363.61</v>
      </c>
      <c r="AU75" s="163">
        <v>9977.17</v>
      </c>
      <c r="AV75" s="163">
        <v>15857.9</v>
      </c>
      <c r="AW75" s="163">
        <v>23736.03</v>
      </c>
      <c r="AX75" s="163">
        <v>30984.13</v>
      </c>
      <c r="AY75" s="163">
        <v>33977.25</v>
      </c>
      <c r="AZ75" s="163">
        <v>35115.89</v>
      </c>
      <c r="BA75" s="163">
        <v>38624.629999999997</v>
      </c>
      <c r="BB75" s="163">
        <v>40992.97</v>
      </c>
      <c r="BC75" s="163">
        <v>43998.94</v>
      </c>
      <c r="BD75" s="163">
        <v>50001.07</v>
      </c>
      <c r="BE75" s="163">
        <v>55546.01</v>
      </c>
      <c r="BF75" s="163">
        <v>59404.27</v>
      </c>
      <c r="BG75" s="163">
        <v>64158.04</v>
      </c>
      <c r="BH75" s="163">
        <v>67622.36</v>
      </c>
      <c r="BI75" s="163">
        <v>71557.33</v>
      </c>
      <c r="BJ75" s="163">
        <v>75866.31</v>
      </c>
      <c r="BK75" s="163">
        <v>80678.080000000002</v>
      </c>
      <c r="BL75" s="163">
        <v>88611.32</v>
      </c>
      <c r="BM75" s="163">
        <v>94068.75</v>
      </c>
      <c r="BN75" s="163">
        <v>97332.800000000003</v>
      </c>
      <c r="BO75" s="163">
        <v>103991.65</v>
      </c>
      <c r="BP75" s="163">
        <v>113019.47</v>
      </c>
      <c r="BQ75" s="163">
        <v>116910.02</v>
      </c>
      <c r="BR75" s="163">
        <v>120169.91</v>
      </c>
      <c r="BS75" s="163">
        <v>123028.99</v>
      </c>
      <c r="BT75" s="163">
        <v>125883.39</v>
      </c>
      <c r="BU75" s="163">
        <v>131890.16</v>
      </c>
      <c r="BV75" s="163">
        <v>134948.69</v>
      </c>
      <c r="BW75" s="163">
        <v>137287.82</v>
      </c>
      <c r="BX75" s="163">
        <v>140153.79</v>
      </c>
      <c r="BY75" s="163">
        <v>143478.28</v>
      </c>
      <c r="BZ75" s="163">
        <v>145427.46</v>
      </c>
      <c r="CA75" s="163">
        <v>145636.06</v>
      </c>
      <c r="CB75" s="163">
        <v>145303.85</v>
      </c>
      <c r="CC75" s="163">
        <v>145294.19</v>
      </c>
      <c r="CD75" s="163">
        <v>144853.89000000001</v>
      </c>
      <c r="CE75" s="163">
        <v>145285.25</v>
      </c>
      <c r="CF75" s="163">
        <v>145221.01</v>
      </c>
      <c r="CG75" s="163">
        <v>148919.21</v>
      </c>
      <c r="CH75" s="163">
        <v>163203.75</v>
      </c>
      <c r="CI75" s="163">
        <v>166088.21</v>
      </c>
      <c r="CJ75" s="163">
        <v>173008.4</v>
      </c>
      <c r="CK75" s="163">
        <v>175117.56</v>
      </c>
      <c r="CL75" s="163">
        <v>177971.17</v>
      </c>
      <c r="CM75" s="163">
        <v>180266.7</v>
      </c>
      <c r="CN75" s="163">
        <v>184896.53</v>
      </c>
      <c r="CO75" s="163">
        <v>187550.51</v>
      </c>
      <c r="CP75" s="163">
        <v>192726.21</v>
      </c>
      <c r="CQ75" s="163">
        <v>198214.28</v>
      </c>
      <c r="CR75" s="163">
        <v>202188.24</v>
      </c>
      <c r="CS75" s="163">
        <v>205916.17</v>
      </c>
      <c r="CT75" s="163">
        <v>209692.77</v>
      </c>
      <c r="CU75" s="163">
        <v>212560.29</v>
      </c>
      <c r="CV75" s="163">
        <v>216214.85</v>
      </c>
      <c r="CW75" s="163">
        <v>219375.21</v>
      </c>
      <c r="CX75" s="163">
        <v>220569.79</v>
      </c>
      <c r="CY75" s="163">
        <v>223722.23999999999</v>
      </c>
      <c r="CZ75" s="163">
        <v>226859.07</v>
      </c>
      <c r="DA75" s="163">
        <v>230226.09</v>
      </c>
      <c r="DB75" s="163">
        <v>235325.79</v>
      </c>
      <c r="DC75" s="163">
        <v>238979.97</v>
      </c>
      <c r="DD75" s="163">
        <v>242894.3</v>
      </c>
      <c r="DE75" s="163">
        <v>246495.79</v>
      </c>
      <c r="DF75" s="163">
        <f>VLOOKUP($C75,'[3]BS ACC'!$C$5:$DH$1006,108,FALSE)</f>
        <v>249495.35</v>
      </c>
      <c r="DG75" s="163">
        <f>VLOOKUP($C75,'[3]BS ACC'!$C$5:$DH$1006,109,FALSE)</f>
        <v>253673.44</v>
      </c>
      <c r="DH75" s="163">
        <f>VLOOKUP($C75,'[3]BS ACC'!$C$5:$DH$1006,110,FALSE)</f>
        <v>256779.38</v>
      </c>
    </row>
    <row r="76" spans="1:112">
      <c r="A76" s="350" t="str">
        <f t="shared" si="1"/>
        <v>1440002</v>
      </c>
      <c r="B76" s="350" t="s">
        <v>1788</v>
      </c>
      <c r="C76" s="335" t="s">
        <v>1786</v>
      </c>
      <c r="D76" s="340"/>
      <c r="E76" s="340"/>
      <c r="F76" s="340"/>
      <c r="G76" s="340"/>
      <c r="H76" s="340"/>
      <c r="I76" s="340"/>
      <c r="J76" s="340"/>
      <c r="K76" s="340"/>
      <c r="L76" s="340"/>
      <c r="M76" s="340"/>
      <c r="N76" s="340"/>
      <c r="O76" s="340"/>
      <c r="P76" s="341"/>
      <c r="Q76" s="163"/>
      <c r="R76" s="163"/>
      <c r="S76" s="163"/>
      <c r="T76" s="163"/>
      <c r="U76" s="163"/>
      <c r="V76" s="163"/>
      <c r="W76" s="163"/>
      <c r="X76" s="163"/>
      <c r="Y76" s="163"/>
      <c r="Z76" s="163"/>
      <c r="AA76" s="163"/>
      <c r="AB76" s="163"/>
      <c r="AC76" s="163"/>
      <c r="AD76" s="163"/>
      <c r="AE76" s="163"/>
      <c r="AF76" s="163"/>
      <c r="AG76" s="163"/>
      <c r="AH76" s="163"/>
      <c r="AI76" s="163"/>
      <c r="AJ76" s="163"/>
      <c r="AK76" s="163"/>
      <c r="AL76" s="163"/>
      <c r="AM76" s="163"/>
      <c r="AN76" s="163"/>
      <c r="AO76" s="163">
        <v>0</v>
      </c>
      <c r="AP76" s="163">
        <v>0</v>
      </c>
      <c r="AQ76" s="163">
        <v>0.89</v>
      </c>
      <c r="AR76" s="163">
        <v>1181.52</v>
      </c>
      <c r="AS76" s="163">
        <v>1714.26</v>
      </c>
      <c r="AT76" s="163">
        <v>4234.34</v>
      </c>
      <c r="AU76" s="163">
        <v>5459.98</v>
      </c>
      <c r="AV76" s="163">
        <v>8743.52</v>
      </c>
      <c r="AW76" s="163">
        <v>11612.39</v>
      </c>
      <c r="AX76" s="163">
        <v>14586.34</v>
      </c>
      <c r="AY76" s="163">
        <v>15884.86</v>
      </c>
      <c r="AZ76" s="163">
        <v>16423.68</v>
      </c>
      <c r="BA76" s="163">
        <v>17963.78</v>
      </c>
      <c r="BB76" s="163">
        <v>18978.64</v>
      </c>
      <c r="BC76" s="163">
        <v>20533.759999999998</v>
      </c>
      <c r="BD76" s="163">
        <v>23666.79</v>
      </c>
      <c r="BE76" s="163">
        <v>25729.99</v>
      </c>
      <c r="BF76" s="163">
        <v>27337.21</v>
      </c>
      <c r="BG76" s="163">
        <v>29414.29</v>
      </c>
      <c r="BH76" s="163">
        <v>30835.27</v>
      </c>
      <c r="BI76" s="163">
        <v>32352.62</v>
      </c>
      <c r="BJ76" s="163">
        <v>33988.19</v>
      </c>
      <c r="BK76" s="163">
        <v>36016.14</v>
      </c>
      <c r="BL76" s="163">
        <v>39268.720000000001</v>
      </c>
      <c r="BM76" s="163">
        <v>40805.19</v>
      </c>
      <c r="BN76" s="163">
        <v>42463.41</v>
      </c>
      <c r="BO76" s="163">
        <v>44937.97</v>
      </c>
      <c r="BP76" s="163">
        <v>48222.400000000001</v>
      </c>
      <c r="BQ76" s="163">
        <v>49666.33</v>
      </c>
      <c r="BR76" s="163">
        <v>51521.47</v>
      </c>
      <c r="BS76" s="163">
        <v>53020.28</v>
      </c>
      <c r="BT76" s="163">
        <v>54266.83</v>
      </c>
      <c r="BU76" s="163">
        <v>59844.18</v>
      </c>
      <c r="BV76" s="163">
        <v>61134.02</v>
      </c>
      <c r="BW76" s="163">
        <v>61899.360000000001</v>
      </c>
      <c r="BX76" s="163">
        <v>63105.43</v>
      </c>
      <c r="BY76" s="163">
        <v>65270.27</v>
      </c>
      <c r="BZ76" s="163">
        <v>66161.86</v>
      </c>
      <c r="CA76" s="163">
        <v>66565.62</v>
      </c>
      <c r="CB76" s="163">
        <v>66378.75</v>
      </c>
      <c r="CC76" s="163">
        <v>67039.69</v>
      </c>
      <c r="CD76" s="163">
        <v>66846.41</v>
      </c>
      <c r="CE76" s="163">
        <v>68255.37</v>
      </c>
      <c r="CF76" s="163">
        <v>68320.08</v>
      </c>
      <c r="CG76" s="163">
        <v>70159.08</v>
      </c>
      <c r="CH76" s="163">
        <v>78227.86</v>
      </c>
      <c r="CI76" s="163">
        <v>79582.759999999995</v>
      </c>
      <c r="CJ76" s="163">
        <v>86030.24</v>
      </c>
      <c r="CK76" s="163">
        <v>87935.17</v>
      </c>
      <c r="CL76" s="163">
        <v>88380.17</v>
      </c>
      <c r="CM76" s="163">
        <v>87716.37</v>
      </c>
      <c r="CN76" s="163">
        <v>89611.63</v>
      </c>
      <c r="CO76" s="163">
        <v>91101.22</v>
      </c>
      <c r="CP76" s="163">
        <v>93382.11</v>
      </c>
      <c r="CQ76" s="163">
        <v>95237.24</v>
      </c>
      <c r="CR76" s="163">
        <v>96851.68</v>
      </c>
      <c r="CS76" s="163">
        <v>98001.67</v>
      </c>
      <c r="CT76" s="163">
        <v>101000.66</v>
      </c>
      <c r="CU76" s="163">
        <v>100542.53</v>
      </c>
      <c r="CV76" s="163">
        <v>101979.93</v>
      </c>
      <c r="CW76" s="163">
        <v>102743.18</v>
      </c>
      <c r="CX76" s="163">
        <v>103192.67</v>
      </c>
      <c r="CY76" s="163">
        <v>104425.61</v>
      </c>
      <c r="CZ76" s="163">
        <v>105756.55</v>
      </c>
      <c r="DA76" s="163">
        <v>107407.67999999999</v>
      </c>
      <c r="DB76" s="163">
        <v>109290.73</v>
      </c>
      <c r="DC76" s="163">
        <v>111075.2</v>
      </c>
      <c r="DD76" s="163">
        <v>112575.96</v>
      </c>
      <c r="DE76" s="163">
        <v>113970.18</v>
      </c>
      <c r="DF76" s="163">
        <f>VLOOKUP($C76,'[3]BS ACC'!$C$5:$DH$1006,108,FALSE)</f>
        <v>115118.53</v>
      </c>
      <c r="DG76" s="163">
        <f>VLOOKUP($C76,'[3]BS ACC'!$C$5:$DH$1006,109,FALSE)</f>
        <v>116405.45</v>
      </c>
      <c r="DH76" s="163">
        <f>VLOOKUP($C76,'[3]BS ACC'!$C$5:$DH$1006,110,FALSE)</f>
        <v>117526.11</v>
      </c>
    </row>
    <row r="77" spans="1:112">
      <c r="A77" s="350" t="str">
        <f t="shared" si="1"/>
        <v>1440010</v>
      </c>
      <c r="B77" s="350" t="s">
        <v>1583</v>
      </c>
      <c r="C77" s="335" t="s">
        <v>643</v>
      </c>
      <c r="D77" s="340">
        <v>-731329.09</v>
      </c>
      <c r="E77" s="340">
        <v>-782748.28</v>
      </c>
      <c r="F77" s="340">
        <v>-917716.05</v>
      </c>
      <c r="G77" s="340">
        <v>-957279.1</v>
      </c>
      <c r="H77" s="340">
        <v>-935207.56</v>
      </c>
      <c r="I77" s="340">
        <v>-856777.71</v>
      </c>
      <c r="J77" s="340">
        <v>-816528.2</v>
      </c>
      <c r="K77" s="340">
        <v>-794094.56</v>
      </c>
      <c r="L77" s="340">
        <v>-747608.48</v>
      </c>
      <c r="M77" s="340">
        <v>-725358.9</v>
      </c>
      <c r="N77" s="340">
        <v>-695536.87</v>
      </c>
      <c r="O77" s="340">
        <v>-707430.92</v>
      </c>
      <c r="P77" s="341">
        <v>-716180.51</v>
      </c>
      <c r="Q77" s="163">
        <v>-764563.98</v>
      </c>
      <c r="R77" s="163">
        <v>-833682.14</v>
      </c>
      <c r="S77" s="163">
        <v>-866987.2</v>
      </c>
      <c r="T77" s="163">
        <v>-866890.19</v>
      </c>
      <c r="U77" s="163">
        <v>-848576.7</v>
      </c>
      <c r="V77" s="163">
        <v>-848491.47</v>
      </c>
      <c r="W77" s="163">
        <v>-838881.91</v>
      </c>
      <c r="X77" s="163">
        <v>-842812.73</v>
      </c>
      <c r="Y77" s="163">
        <v>-837646</v>
      </c>
      <c r="Z77" s="163">
        <v>-838111.69</v>
      </c>
      <c r="AA77" s="163">
        <v>-847212.74</v>
      </c>
      <c r="AB77" s="163">
        <v>-849690.38</v>
      </c>
      <c r="AC77" s="163">
        <v>-887536.24</v>
      </c>
      <c r="AD77" s="163">
        <v>-944535.58</v>
      </c>
      <c r="AE77" s="163">
        <v>-956846.5</v>
      </c>
      <c r="AF77" s="163">
        <v>-941985.09</v>
      </c>
      <c r="AG77" s="163">
        <v>-940287.95</v>
      </c>
      <c r="AH77" s="163">
        <v>-903512.59</v>
      </c>
      <c r="AI77" s="163">
        <v>-849498.54</v>
      </c>
      <c r="AJ77" s="163">
        <v>-845093.79</v>
      </c>
      <c r="AK77" s="163">
        <v>-801433.25</v>
      </c>
      <c r="AL77" s="163">
        <v>-783650.76</v>
      </c>
      <c r="AM77" s="163">
        <v>-787925.3</v>
      </c>
      <c r="AN77" s="163">
        <v>-63418.5</v>
      </c>
      <c r="AO77" s="163">
        <v>0</v>
      </c>
      <c r="AP77" s="163">
        <v>0</v>
      </c>
      <c r="AQ77" s="163">
        <v>0</v>
      </c>
      <c r="AR77" s="163">
        <v>0</v>
      </c>
      <c r="AS77" s="163">
        <v>0</v>
      </c>
      <c r="AT77" s="163">
        <v>0</v>
      </c>
      <c r="AU77" s="163">
        <v>0</v>
      </c>
      <c r="AV77" s="163">
        <v>0</v>
      </c>
      <c r="AW77" s="163">
        <v>0</v>
      </c>
      <c r="AX77" s="163">
        <v>0</v>
      </c>
      <c r="AY77" s="163">
        <v>0</v>
      </c>
      <c r="AZ77" s="163">
        <v>0</v>
      </c>
      <c r="BA77" s="163">
        <v>0</v>
      </c>
      <c r="BB77" s="163">
        <v>0</v>
      </c>
      <c r="BC77" s="163">
        <v>0</v>
      </c>
      <c r="BD77" s="163">
        <v>0</v>
      </c>
      <c r="BE77" s="163">
        <v>0</v>
      </c>
      <c r="BF77" s="163">
        <v>0</v>
      </c>
      <c r="BG77" s="163">
        <v>0</v>
      </c>
      <c r="BH77" s="163">
        <v>0</v>
      </c>
      <c r="BI77" s="163">
        <v>0</v>
      </c>
      <c r="BJ77" s="163">
        <v>0</v>
      </c>
      <c r="BK77" s="163">
        <v>0</v>
      </c>
      <c r="BL77" s="163">
        <v>0</v>
      </c>
      <c r="BM77" s="163">
        <v>0</v>
      </c>
      <c r="BN77" s="163">
        <v>0</v>
      </c>
      <c r="BO77" s="163">
        <v>0</v>
      </c>
      <c r="BP77" s="163">
        <v>0</v>
      </c>
      <c r="BQ77" s="163">
        <v>0</v>
      </c>
      <c r="BR77" s="163">
        <v>0</v>
      </c>
      <c r="BS77" s="163">
        <v>0</v>
      </c>
      <c r="BT77" s="163">
        <v>0</v>
      </c>
      <c r="BU77" s="163">
        <v>0</v>
      </c>
      <c r="BV77" s="163">
        <v>0</v>
      </c>
      <c r="BW77" s="163">
        <v>0</v>
      </c>
      <c r="BX77" s="163">
        <v>0</v>
      </c>
      <c r="BY77" s="163">
        <v>0</v>
      </c>
      <c r="BZ77" s="163">
        <v>0</v>
      </c>
      <c r="CA77" s="163">
        <v>0</v>
      </c>
      <c r="CB77" s="163">
        <v>0</v>
      </c>
      <c r="CC77" s="163">
        <v>0</v>
      </c>
      <c r="CD77" s="163">
        <v>0</v>
      </c>
      <c r="CE77" s="163">
        <v>0</v>
      </c>
      <c r="CF77" s="163">
        <v>0</v>
      </c>
      <c r="CG77" s="163">
        <v>0</v>
      </c>
      <c r="CH77" s="163">
        <v>0</v>
      </c>
      <c r="CI77" s="163">
        <v>0</v>
      </c>
      <c r="CJ77" s="163">
        <v>0</v>
      </c>
      <c r="CK77" s="163">
        <v>0</v>
      </c>
      <c r="CL77" s="163">
        <v>0</v>
      </c>
      <c r="CM77" s="163">
        <v>0</v>
      </c>
      <c r="CN77" s="163">
        <v>0</v>
      </c>
      <c r="CO77" s="163">
        <v>0</v>
      </c>
      <c r="CP77" s="163">
        <v>0</v>
      </c>
      <c r="CQ77" s="163">
        <v>0</v>
      </c>
      <c r="CR77" s="163">
        <v>0</v>
      </c>
      <c r="CS77" s="163">
        <v>0</v>
      </c>
      <c r="CT77" s="163">
        <v>0</v>
      </c>
      <c r="CU77" s="163">
        <v>0</v>
      </c>
      <c r="CV77" s="163">
        <v>0</v>
      </c>
      <c r="CW77" s="163">
        <v>0</v>
      </c>
      <c r="CX77" s="163">
        <v>0</v>
      </c>
      <c r="CY77" s="163">
        <v>0</v>
      </c>
      <c r="CZ77" s="163">
        <v>0</v>
      </c>
      <c r="DA77" s="163">
        <v>0</v>
      </c>
      <c r="DB77" s="163">
        <v>0</v>
      </c>
      <c r="DC77" s="163">
        <v>0</v>
      </c>
      <c r="DD77" s="163">
        <v>0</v>
      </c>
      <c r="DE77" s="163">
        <v>0</v>
      </c>
      <c r="DF77" s="163">
        <f>VLOOKUP($C77,'[3]BS ACC'!$C$5:$DH$1006,108,FALSE)</f>
        <v>0</v>
      </c>
      <c r="DG77" s="163">
        <f>VLOOKUP($C77,'[3]BS ACC'!$C$5:$DH$1006,109,FALSE)</f>
        <v>0</v>
      </c>
      <c r="DH77" s="163">
        <f>VLOOKUP($C77,'[3]BS ACC'!$C$5:$DH$1006,110,FALSE)</f>
        <v>0</v>
      </c>
    </row>
    <row r="78" spans="1:112">
      <c r="A78" s="350" t="str">
        <f t="shared" si="1"/>
        <v>1440020</v>
      </c>
      <c r="B78" s="350" t="s">
        <v>1500</v>
      </c>
      <c r="C78" s="335" t="s">
        <v>644</v>
      </c>
      <c r="D78" s="340">
        <v>-300000</v>
      </c>
      <c r="E78" s="340">
        <v>-300000</v>
      </c>
      <c r="F78" s="340">
        <v>-300000</v>
      </c>
      <c r="G78" s="340">
        <v>-300000</v>
      </c>
      <c r="H78" s="340">
        <v>-300000</v>
      </c>
      <c r="I78" s="340">
        <v>-300000</v>
      </c>
      <c r="J78" s="340">
        <v>-300000</v>
      </c>
      <c r="K78" s="340">
        <v>-300000</v>
      </c>
      <c r="L78" s="340">
        <v>-300000</v>
      </c>
      <c r="M78" s="340">
        <v>-300000</v>
      </c>
      <c r="N78" s="340">
        <v>-300000</v>
      </c>
      <c r="O78" s="340">
        <v>-300000</v>
      </c>
      <c r="P78" s="341">
        <v>-300000</v>
      </c>
      <c r="Q78" s="163">
        <v>-300000</v>
      </c>
      <c r="R78" s="163">
        <v>-300000</v>
      </c>
      <c r="S78" s="163">
        <v>-300000</v>
      </c>
      <c r="T78" s="163">
        <v>-300000</v>
      </c>
      <c r="U78" s="163">
        <v>-300000</v>
      </c>
      <c r="V78" s="163">
        <v>-300000</v>
      </c>
      <c r="W78" s="163">
        <v>-300000</v>
      </c>
      <c r="X78" s="163">
        <v>-300000</v>
      </c>
      <c r="Y78" s="163">
        <v>-300000</v>
      </c>
      <c r="Z78" s="163">
        <v>-300000</v>
      </c>
      <c r="AA78" s="163">
        <v>-300000</v>
      </c>
      <c r="AB78" s="163">
        <v>-300000</v>
      </c>
      <c r="AC78" s="163">
        <v>-300000</v>
      </c>
      <c r="AD78" s="163">
        <v>-300000</v>
      </c>
      <c r="AE78" s="163">
        <v>-300000</v>
      </c>
      <c r="AF78" s="163">
        <v>-300000</v>
      </c>
      <c r="AG78" s="163">
        <v>-300000</v>
      </c>
      <c r="AH78" s="163">
        <v>-300000</v>
      </c>
      <c r="AI78" s="163">
        <v>-300000</v>
      </c>
      <c r="AJ78" s="163">
        <v>-300000</v>
      </c>
      <c r="AK78" s="163">
        <v>-300000</v>
      </c>
      <c r="AL78" s="163">
        <v>-300000</v>
      </c>
      <c r="AM78" s="163">
        <v>-300000</v>
      </c>
      <c r="AN78" s="163">
        <v>-350000</v>
      </c>
      <c r="AO78" s="163">
        <v>-350000</v>
      </c>
      <c r="AP78" s="163">
        <v>-350000</v>
      </c>
      <c r="AQ78" s="163">
        <v>-350000</v>
      </c>
      <c r="AR78" s="163">
        <v>-350000</v>
      </c>
      <c r="AS78" s="163">
        <v>-350000</v>
      </c>
      <c r="AT78" s="163">
        <v>-350000</v>
      </c>
      <c r="AU78" s="163">
        <v>-350000</v>
      </c>
      <c r="AV78" s="163">
        <v>-350000</v>
      </c>
      <c r="AW78" s="163">
        <v>-350000</v>
      </c>
      <c r="AX78" s="163">
        <v>-350000</v>
      </c>
      <c r="AY78" s="163">
        <v>-350000</v>
      </c>
      <c r="AZ78" s="163">
        <v>-350000</v>
      </c>
      <c r="BA78" s="163">
        <v>-350000</v>
      </c>
      <c r="BB78" s="163">
        <v>-350000</v>
      </c>
      <c r="BC78" s="163">
        <v>-350000</v>
      </c>
      <c r="BD78" s="163">
        <v>-350000</v>
      </c>
      <c r="BE78" s="163">
        <v>-350000</v>
      </c>
      <c r="BF78" s="163">
        <v>-350000</v>
      </c>
      <c r="BG78" s="163">
        <v>-350000</v>
      </c>
      <c r="BH78" s="163">
        <v>-350000</v>
      </c>
      <c r="BI78" s="163">
        <v>-350000</v>
      </c>
      <c r="BJ78" s="163">
        <v>-350000</v>
      </c>
      <c r="BK78" s="163">
        <v>-350000</v>
      </c>
      <c r="BL78" s="163">
        <v>-350000</v>
      </c>
      <c r="BM78" s="163">
        <v>-350000</v>
      </c>
      <c r="BN78" s="163">
        <v>-350000</v>
      </c>
      <c r="BO78" s="163">
        <v>-350000</v>
      </c>
      <c r="BP78" s="163">
        <v>-350000</v>
      </c>
      <c r="BQ78" s="163">
        <v>-350000</v>
      </c>
      <c r="BR78" s="163">
        <v>-350000</v>
      </c>
      <c r="BS78" s="163">
        <v>-175000</v>
      </c>
      <c r="BT78" s="163">
        <v>-175000</v>
      </c>
      <c r="BU78" s="163">
        <v>-175000</v>
      </c>
      <c r="BV78" s="163">
        <v>-204508.87</v>
      </c>
      <c r="BW78" s="163">
        <v>-204508.87</v>
      </c>
      <c r="BX78" s="163">
        <v>-204508.87</v>
      </c>
      <c r="BY78" s="163">
        <v>-204508.87</v>
      </c>
      <c r="BZ78" s="163">
        <v>-204508.87</v>
      </c>
      <c r="CA78" s="163">
        <v>-204508.87</v>
      </c>
      <c r="CB78" s="163">
        <v>-204508.87</v>
      </c>
      <c r="CC78" s="163">
        <v>-204508.87</v>
      </c>
      <c r="CD78" s="163">
        <v>-204508.87</v>
      </c>
      <c r="CE78" s="163">
        <v>-204508.87</v>
      </c>
      <c r="CF78" s="163">
        <v>-204508.87</v>
      </c>
      <c r="CG78" s="163">
        <v>-204508.87</v>
      </c>
      <c r="CH78" s="163">
        <v>-204508.87</v>
      </c>
      <c r="CI78" s="163">
        <v>-204508.87</v>
      </c>
      <c r="CJ78" s="163">
        <v>-204508.87</v>
      </c>
      <c r="CK78" s="163">
        <v>-204508.87</v>
      </c>
      <c r="CL78" s="163">
        <v>-204508.87</v>
      </c>
      <c r="CM78" s="163">
        <v>-204508.87</v>
      </c>
      <c r="CN78" s="163">
        <v>-204508.87</v>
      </c>
      <c r="CO78" s="163">
        <v>-204508.87</v>
      </c>
      <c r="CP78" s="163">
        <v>-204508.87</v>
      </c>
      <c r="CQ78" s="163">
        <v>-204508.87</v>
      </c>
      <c r="CR78" s="163">
        <v>-204508.87</v>
      </c>
      <c r="CS78" s="163">
        <v>-204508.87</v>
      </c>
      <c r="CT78" s="163">
        <v>-204508.87</v>
      </c>
      <c r="CU78" s="163">
        <v>-204508.87</v>
      </c>
      <c r="CV78" s="163">
        <v>-204508.87</v>
      </c>
      <c r="CW78" s="163">
        <v>-204508.87</v>
      </c>
      <c r="CX78" s="163">
        <v>-204508.87</v>
      </c>
      <c r="CY78" s="163">
        <v>-204508.87</v>
      </c>
      <c r="CZ78" s="163">
        <v>-204508.87</v>
      </c>
      <c r="DA78" s="163">
        <v>-204508.87</v>
      </c>
      <c r="DB78" s="163">
        <v>-204508.87</v>
      </c>
      <c r="DC78" s="163">
        <v>-204508.87</v>
      </c>
      <c r="DD78" s="163">
        <v>-204508.87</v>
      </c>
      <c r="DE78" s="163">
        <v>-204508.87</v>
      </c>
      <c r="DF78" s="163">
        <f>VLOOKUP($C78,'[3]BS ACC'!$C$5:$DH$1006,108,FALSE)</f>
        <v>-204508.87</v>
      </c>
      <c r="DG78" s="163">
        <f>VLOOKUP($C78,'[3]BS ACC'!$C$5:$DH$1006,109,FALSE)</f>
        <v>0</v>
      </c>
      <c r="DH78" s="163">
        <f>VLOOKUP($C78,'[3]BS ACC'!$C$5:$DH$1006,110,FALSE)</f>
        <v>0</v>
      </c>
    </row>
    <row r="79" spans="1:112">
      <c r="A79" s="350" t="str">
        <f t="shared" si="1"/>
        <v>1450711</v>
      </c>
      <c r="B79" s="350" t="s">
        <v>1584</v>
      </c>
      <c r="C79" s="335" t="s">
        <v>645</v>
      </c>
      <c r="D79" s="340">
        <v>0</v>
      </c>
      <c r="E79" s="340">
        <v>0</v>
      </c>
      <c r="F79" s="340">
        <v>0</v>
      </c>
      <c r="G79" s="340">
        <v>1500000</v>
      </c>
      <c r="H79" s="340">
        <v>0</v>
      </c>
      <c r="I79" s="340">
        <v>0</v>
      </c>
      <c r="J79" s="340">
        <v>0</v>
      </c>
      <c r="K79" s="340">
        <v>0</v>
      </c>
      <c r="L79" s="340">
        <v>0</v>
      </c>
      <c r="M79" s="340">
        <v>0</v>
      </c>
      <c r="N79" s="340">
        <v>0</v>
      </c>
      <c r="O79" s="340">
        <v>0</v>
      </c>
      <c r="P79" s="341">
        <v>0</v>
      </c>
      <c r="Q79" s="163">
        <v>0</v>
      </c>
      <c r="R79" s="163">
        <v>0</v>
      </c>
      <c r="S79" s="163">
        <v>4600000</v>
      </c>
      <c r="T79" s="163">
        <v>10450000</v>
      </c>
      <c r="U79" s="163">
        <v>0</v>
      </c>
      <c r="V79" s="163">
        <v>0</v>
      </c>
      <c r="W79" s="163">
        <v>0</v>
      </c>
      <c r="X79" s="163">
        <v>0</v>
      </c>
      <c r="Y79" s="163">
        <v>0</v>
      </c>
      <c r="Z79" s="163">
        <v>0</v>
      </c>
      <c r="AA79" s="163">
        <v>12000000</v>
      </c>
      <c r="AB79" s="163">
        <v>4500000</v>
      </c>
      <c r="AC79" s="163">
        <v>3000000</v>
      </c>
      <c r="AD79" s="163">
        <v>0</v>
      </c>
      <c r="AE79" s="163">
        <v>0</v>
      </c>
      <c r="AF79" s="163">
        <v>23200000</v>
      </c>
      <c r="AG79" s="163">
        <v>5650000</v>
      </c>
      <c r="AH79" s="163">
        <v>0</v>
      </c>
      <c r="AI79" s="163">
        <v>0</v>
      </c>
      <c r="AJ79" s="163">
        <v>0</v>
      </c>
      <c r="AK79" s="163">
        <v>0</v>
      </c>
      <c r="AL79" s="163">
        <v>0</v>
      </c>
      <c r="AM79" s="163">
        <v>0</v>
      </c>
      <c r="AN79" s="163">
        <v>0</v>
      </c>
      <c r="AO79" s="163">
        <v>0</v>
      </c>
      <c r="AP79" s="163">
        <v>0</v>
      </c>
      <c r="AQ79" s="163">
        <v>0</v>
      </c>
      <c r="AR79" s="163">
        <v>0</v>
      </c>
      <c r="AS79" s="163">
        <v>0</v>
      </c>
      <c r="AT79" s="163">
        <v>0</v>
      </c>
      <c r="AU79" s="163">
        <v>0</v>
      </c>
      <c r="AV79" s="163">
        <v>0</v>
      </c>
      <c r="AW79" s="163">
        <v>0</v>
      </c>
      <c r="AX79" s="163">
        <v>0</v>
      </c>
      <c r="AY79" s="163">
        <v>0</v>
      </c>
      <c r="AZ79" s="163">
        <v>0</v>
      </c>
      <c r="BA79" s="163">
        <v>0</v>
      </c>
      <c r="BB79" s="163">
        <v>0</v>
      </c>
      <c r="BC79" s="163">
        <v>0</v>
      </c>
      <c r="BD79" s="163">
        <v>0</v>
      </c>
      <c r="BE79" s="163">
        <v>0</v>
      </c>
      <c r="BF79" s="163">
        <v>0</v>
      </c>
      <c r="BG79" s="163">
        <v>0</v>
      </c>
      <c r="BH79" s="163">
        <v>0</v>
      </c>
      <c r="BI79" s="163">
        <v>0</v>
      </c>
      <c r="BJ79" s="163">
        <v>0</v>
      </c>
      <c r="BK79" s="163">
        <v>0</v>
      </c>
      <c r="BL79" s="163">
        <v>0</v>
      </c>
      <c r="BM79" s="163">
        <v>0</v>
      </c>
      <c r="BN79" s="163">
        <v>0</v>
      </c>
      <c r="BO79" s="163">
        <v>0</v>
      </c>
      <c r="BP79" s="163">
        <v>0</v>
      </c>
      <c r="BQ79" s="163">
        <v>0</v>
      </c>
      <c r="BR79" s="163">
        <v>0</v>
      </c>
      <c r="BS79" s="163">
        <v>0</v>
      </c>
      <c r="BT79" s="163">
        <v>0</v>
      </c>
      <c r="BU79" s="163">
        <v>0</v>
      </c>
      <c r="BV79" s="163">
        <v>0</v>
      </c>
      <c r="BW79" s="163">
        <v>0</v>
      </c>
      <c r="BX79" s="163">
        <v>0</v>
      </c>
      <c r="BY79" s="163">
        <v>0</v>
      </c>
      <c r="BZ79" s="163">
        <v>0</v>
      </c>
      <c r="CA79" s="163">
        <v>0</v>
      </c>
      <c r="CB79" s="163">
        <v>0</v>
      </c>
      <c r="CC79" s="163">
        <v>0</v>
      </c>
      <c r="CD79" s="163">
        <v>0</v>
      </c>
      <c r="CE79" s="163">
        <v>0</v>
      </c>
      <c r="CF79" s="163">
        <v>0</v>
      </c>
      <c r="CG79" s="163">
        <v>0</v>
      </c>
      <c r="CH79" s="163">
        <v>0</v>
      </c>
      <c r="CI79" s="163">
        <v>9532753.8200000003</v>
      </c>
      <c r="CJ79" s="163">
        <v>9933659.4900000002</v>
      </c>
      <c r="CK79" s="163">
        <v>10459212.380000001</v>
      </c>
      <c r="CL79" s="163">
        <v>9618303.3200000003</v>
      </c>
      <c r="CM79" s="163">
        <v>10315787.27</v>
      </c>
      <c r="CN79" s="163">
        <v>9943295.0999999996</v>
      </c>
      <c r="CO79" s="163">
        <v>10267360</v>
      </c>
      <c r="CP79" s="163">
        <v>9828835.2899999991</v>
      </c>
      <c r="CQ79" s="163">
        <v>9719853.5899999999</v>
      </c>
      <c r="CR79" s="163">
        <v>10043801.52</v>
      </c>
      <c r="CS79" s="163">
        <v>9672449.2899999991</v>
      </c>
      <c r="CT79" s="163">
        <v>9146808.5800000001</v>
      </c>
      <c r="CU79" s="163">
        <v>9368777.5999999996</v>
      </c>
      <c r="CV79" s="163">
        <v>9985214.7300000004</v>
      </c>
      <c r="CW79" s="163">
        <v>8951965.4800000004</v>
      </c>
      <c r="CX79" s="163">
        <v>10205362.74</v>
      </c>
      <c r="CY79" s="163">
        <v>10528065.710000001</v>
      </c>
      <c r="CZ79" s="163">
        <v>9956717.6400000006</v>
      </c>
      <c r="DA79" s="163">
        <v>10337559.310000001</v>
      </c>
      <c r="DB79" s="163">
        <v>9979167.6400000006</v>
      </c>
      <c r="DC79" s="163">
        <v>9678886.3599999994</v>
      </c>
      <c r="DD79" s="163">
        <v>10135317.810000001</v>
      </c>
      <c r="DE79" s="163">
        <v>9639007.4199999999</v>
      </c>
      <c r="DF79" s="163">
        <f>VLOOKUP($C79,'[3]BS ACC'!$C$5:$DH$1006,108,FALSE)</f>
        <v>9123362.3000000007</v>
      </c>
      <c r="DG79" s="163">
        <f>VLOOKUP($C79,'[3]BS ACC'!$C$5:$DH$1006,109,FALSE)</f>
        <v>9579074.5899999999</v>
      </c>
      <c r="DH79" s="163">
        <f>VLOOKUP($C79,'[3]BS ACC'!$C$5:$DH$1006,110,FALSE)</f>
        <v>9393665.6600000001</v>
      </c>
    </row>
    <row r="80" spans="1:112">
      <c r="A80" s="350" t="str">
        <f t="shared" si="1"/>
        <v>1460700</v>
      </c>
      <c r="B80" s="350" t="s">
        <v>1501</v>
      </c>
      <c r="C80" s="335" t="s">
        <v>646</v>
      </c>
      <c r="D80" s="340">
        <v>1679945.91</v>
      </c>
      <c r="E80" s="340">
        <v>644007.85</v>
      </c>
      <c r="F80" s="340">
        <v>724859.53</v>
      </c>
      <c r="G80" s="340">
        <v>975096.76</v>
      </c>
      <c r="H80" s="340">
        <v>1409619.51</v>
      </c>
      <c r="I80" s="340">
        <v>10647654.529999999</v>
      </c>
      <c r="J80" s="340">
        <v>1483912.28</v>
      </c>
      <c r="K80" s="340">
        <v>1347114.93</v>
      </c>
      <c r="L80" s="340">
        <v>2410962.7999999998</v>
      </c>
      <c r="M80" s="340">
        <v>1880114.07</v>
      </c>
      <c r="N80" s="340">
        <v>2761309.98</v>
      </c>
      <c r="O80" s="340">
        <v>1070219.1000000001</v>
      </c>
      <c r="P80" s="341">
        <v>3697838.5</v>
      </c>
      <c r="Q80" s="163">
        <v>892886.44</v>
      </c>
      <c r="R80" s="163">
        <v>989592.34</v>
      </c>
      <c r="S80" s="163">
        <v>1591172.54</v>
      </c>
      <c r="T80" s="163">
        <v>1113007.46</v>
      </c>
      <c r="U80" s="163">
        <v>1534311.47</v>
      </c>
      <c r="V80" s="163">
        <v>1047927.76</v>
      </c>
      <c r="W80" s="163">
        <v>1295193.08</v>
      </c>
      <c r="X80" s="163">
        <v>1499802.48</v>
      </c>
      <c r="Y80" s="163">
        <v>534621.31999999995</v>
      </c>
      <c r="Z80" s="163">
        <v>1231110.18</v>
      </c>
      <c r="AA80" s="163">
        <v>1175267.1200000001</v>
      </c>
      <c r="AB80" s="163">
        <v>1439589.18</v>
      </c>
      <c r="AC80" s="163">
        <v>1251794.55</v>
      </c>
      <c r="AD80" s="163">
        <v>982984.58</v>
      </c>
      <c r="AE80" s="163">
        <v>1466191.84</v>
      </c>
      <c r="AF80" s="163">
        <v>5341.74</v>
      </c>
      <c r="AG80" s="163">
        <v>49432.05</v>
      </c>
      <c r="AH80" s="163">
        <v>54601.65</v>
      </c>
      <c r="AI80" s="163">
        <v>238986.08</v>
      </c>
      <c r="AJ80" s="163">
        <v>33568.879999999997</v>
      </c>
      <c r="AK80" s="163">
        <v>42419.15</v>
      </c>
      <c r="AL80" s="163">
        <v>73259.210000000006</v>
      </c>
      <c r="AM80" s="163">
        <v>51974.79</v>
      </c>
      <c r="AN80" s="163">
        <v>480492.66</v>
      </c>
      <c r="AO80" s="163">
        <v>614376.03</v>
      </c>
      <c r="AP80" s="163">
        <v>572071.55000000005</v>
      </c>
      <c r="AQ80" s="163">
        <v>104682.72</v>
      </c>
      <c r="AR80" s="163">
        <v>-95100.800000000003</v>
      </c>
      <c r="AS80" s="163">
        <v>-39525.18</v>
      </c>
      <c r="AT80" s="163">
        <v>1276474.8400000001</v>
      </c>
      <c r="AU80" s="163">
        <v>59506.239999999998</v>
      </c>
      <c r="AV80" s="163">
        <v>12957750.01</v>
      </c>
      <c r="AW80" s="163">
        <v>67842.070000000007</v>
      </c>
      <c r="AX80" s="163">
        <v>67950.89</v>
      </c>
      <c r="AY80" s="163">
        <v>92640.59</v>
      </c>
      <c r="AZ80" s="163">
        <v>199466.61</v>
      </c>
      <c r="BA80" s="163">
        <v>46739.22</v>
      </c>
      <c r="BB80" s="163">
        <v>664088.48</v>
      </c>
      <c r="BC80" s="163">
        <v>75922.880000000005</v>
      </c>
      <c r="BD80" s="163">
        <v>94011.47</v>
      </c>
      <c r="BE80" s="163">
        <v>81576.11</v>
      </c>
      <c r="BF80" s="163">
        <v>80478.929999999993</v>
      </c>
      <c r="BG80" s="163">
        <v>75238.570000000007</v>
      </c>
      <c r="BH80" s="163">
        <v>109592.07</v>
      </c>
      <c r="BI80" s="163">
        <v>156610.57</v>
      </c>
      <c r="BJ80" s="163">
        <v>84354.96</v>
      </c>
      <c r="BK80" s="163">
        <v>84714.05</v>
      </c>
      <c r="BL80" s="163">
        <v>206562.38</v>
      </c>
      <c r="BM80" s="163">
        <v>1544307.56</v>
      </c>
      <c r="BN80" s="163">
        <v>223838.63</v>
      </c>
      <c r="BO80" s="163">
        <v>84630.44</v>
      </c>
      <c r="BP80" s="163">
        <v>89467.55</v>
      </c>
      <c r="BQ80" s="163">
        <v>87428.160000000003</v>
      </c>
      <c r="BR80" s="163">
        <v>73667.7</v>
      </c>
      <c r="BS80" s="163">
        <v>93726.02</v>
      </c>
      <c r="BT80" s="163">
        <v>103721.19</v>
      </c>
      <c r="BU80" s="163">
        <v>90429.75</v>
      </c>
      <c r="BV80" s="163">
        <v>205257.36</v>
      </c>
      <c r="BW80" s="163">
        <v>184703.19</v>
      </c>
      <c r="BX80" s="163">
        <v>139013.32999999999</v>
      </c>
      <c r="BY80" s="163">
        <v>276524.44</v>
      </c>
      <c r="BZ80" s="163">
        <v>95268.07</v>
      </c>
      <c r="CA80" s="163">
        <v>164685.78</v>
      </c>
      <c r="CB80" s="163">
        <v>122138.87</v>
      </c>
      <c r="CC80" s="163">
        <v>518871.48</v>
      </c>
      <c r="CD80" s="163">
        <v>107932.91</v>
      </c>
      <c r="CE80" s="163">
        <v>103560.43</v>
      </c>
      <c r="CF80" s="163">
        <v>244550.09</v>
      </c>
      <c r="CG80" s="163">
        <v>47686.27</v>
      </c>
      <c r="CH80" s="163">
        <v>235781.58</v>
      </c>
      <c r="CI80" s="163">
        <v>86141.77</v>
      </c>
      <c r="CJ80" s="163">
        <v>116582.21</v>
      </c>
      <c r="CK80" s="163">
        <v>87169.01</v>
      </c>
      <c r="CL80" s="163">
        <v>71233.850000000006</v>
      </c>
      <c r="CM80" s="163">
        <v>873305.85</v>
      </c>
      <c r="CN80" s="163">
        <v>67454.149999999994</v>
      </c>
      <c r="CO80" s="163">
        <v>75268.7</v>
      </c>
      <c r="CP80" s="163">
        <v>353345.49</v>
      </c>
      <c r="CQ80" s="163">
        <v>138605.84</v>
      </c>
      <c r="CR80" s="163">
        <v>102323.49</v>
      </c>
      <c r="CS80" s="163">
        <v>133181.76000000001</v>
      </c>
      <c r="CT80" s="163">
        <v>207079.37</v>
      </c>
      <c r="CU80" s="163">
        <v>177525.26</v>
      </c>
      <c r="CV80" s="163">
        <v>187609.58</v>
      </c>
      <c r="CW80" s="163">
        <v>462986.72</v>
      </c>
      <c r="CX80" s="163">
        <v>163089.96</v>
      </c>
      <c r="CY80" s="163">
        <v>282858.11</v>
      </c>
      <c r="CZ80" s="163">
        <v>187956.59</v>
      </c>
      <c r="DA80" s="163">
        <v>204533.5</v>
      </c>
      <c r="DB80" s="163">
        <v>162322.70000000001</v>
      </c>
      <c r="DC80" s="163">
        <v>178758.39999999999</v>
      </c>
      <c r="DD80" s="163">
        <v>181321.26</v>
      </c>
      <c r="DE80" s="163">
        <v>167058.39000000001</v>
      </c>
      <c r="DF80" s="163">
        <f>VLOOKUP($C80,'[3]BS ACC'!$C$5:$DH$1006,108,FALSE)</f>
        <v>38689.21</v>
      </c>
      <c r="DG80" s="163">
        <f>VLOOKUP($C80,'[3]BS ACC'!$C$5:$DH$1006,109,FALSE)</f>
        <v>750011.45</v>
      </c>
      <c r="DH80" s="163">
        <f>VLOOKUP($C80,'[3]BS ACC'!$C$5:$DH$1006,110,FALSE)</f>
        <v>226705.18</v>
      </c>
    </row>
    <row r="81" spans="1:112">
      <c r="A81" s="350" t="str">
        <f t="shared" si="1"/>
        <v>1460701</v>
      </c>
      <c r="B81" s="350" t="s">
        <v>1585</v>
      </c>
      <c r="C81" s="335" t="s">
        <v>647</v>
      </c>
      <c r="D81" s="340">
        <v>584.47</v>
      </c>
      <c r="E81" s="340">
        <v>220715.88</v>
      </c>
      <c r="F81" s="340">
        <v>1291.98</v>
      </c>
      <c r="G81" s="340">
        <v>2746.02</v>
      </c>
      <c r="H81" s="340">
        <v>349127.15</v>
      </c>
      <c r="I81" s="340">
        <v>-1038.8</v>
      </c>
      <c r="J81" s="340">
        <v>2311.92</v>
      </c>
      <c r="K81" s="340">
        <v>74755.929999999993</v>
      </c>
      <c r="L81" s="340">
        <v>69993.38</v>
      </c>
      <c r="M81" s="340">
        <v>486.98</v>
      </c>
      <c r="N81" s="340">
        <v>441222.56</v>
      </c>
      <c r="O81" s="340">
        <v>229207.81</v>
      </c>
      <c r="P81" s="341">
        <v>352611.43</v>
      </c>
      <c r="Q81" s="163">
        <v>36214.82</v>
      </c>
      <c r="R81" s="163">
        <v>639208.37</v>
      </c>
      <c r="S81" s="163">
        <v>660267.04</v>
      </c>
      <c r="T81" s="163">
        <v>102520.58</v>
      </c>
      <c r="U81" s="163">
        <v>76247.899999999994</v>
      </c>
      <c r="V81" s="163">
        <v>1786190.28</v>
      </c>
      <c r="W81" s="163">
        <v>975314.49</v>
      </c>
      <c r="X81" s="163">
        <v>1012624.89</v>
      </c>
      <c r="Y81" s="163">
        <v>390237.67</v>
      </c>
      <c r="Z81" s="163">
        <v>441077.78</v>
      </c>
      <c r="AA81" s="163">
        <v>1170288.67</v>
      </c>
      <c r="AB81" s="163">
        <v>10347.459999999999</v>
      </c>
      <c r="AC81" s="163">
        <v>1574175.22</v>
      </c>
      <c r="AD81" s="163">
        <v>1470471.97</v>
      </c>
      <c r="AE81" s="163">
        <v>1478553.8</v>
      </c>
      <c r="AF81" s="163">
        <v>1625962.36</v>
      </c>
      <c r="AG81" s="163">
        <v>33371.199999999997</v>
      </c>
      <c r="AH81" s="163">
        <v>303716.28999999998</v>
      </c>
      <c r="AI81" s="163">
        <v>277653.15000000002</v>
      </c>
      <c r="AJ81" s="163">
        <v>255407.63</v>
      </c>
      <c r="AK81" s="163">
        <v>4280.01</v>
      </c>
      <c r="AL81" s="163">
        <v>186347.4</v>
      </c>
      <c r="AM81" s="163">
        <v>104565.26</v>
      </c>
      <c r="AN81" s="163">
        <v>20772.57</v>
      </c>
      <c r="AO81" s="163">
        <v>3378.86</v>
      </c>
      <c r="AP81" s="163">
        <v>60523.26</v>
      </c>
      <c r="AQ81" s="163">
        <v>833062.62</v>
      </c>
      <c r="AR81" s="163">
        <v>501126.38</v>
      </c>
      <c r="AS81" s="163">
        <v>1610206.85</v>
      </c>
      <c r="AT81" s="163">
        <v>125846.59</v>
      </c>
      <c r="AU81" s="163">
        <v>1039124.19</v>
      </c>
      <c r="AV81" s="163">
        <v>7918673.4800000004</v>
      </c>
      <c r="AW81" s="163">
        <v>4948601.2300000004</v>
      </c>
      <c r="AX81" s="163">
        <v>955164.8</v>
      </c>
      <c r="AY81" s="163">
        <v>340995.08</v>
      </c>
      <c r="AZ81" s="163">
        <v>1507251.4</v>
      </c>
      <c r="BA81" s="163">
        <v>3443683.2</v>
      </c>
      <c r="BB81" s="163">
        <v>1575614.47</v>
      </c>
      <c r="BC81" s="163">
        <v>812032.17</v>
      </c>
      <c r="BD81" s="163">
        <v>222488.66</v>
      </c>
      <c r="BE81" s="163">
        <v>1077761.2</v>
      </c>
      <c r="BF81" s="163">
        <v>3328596.09</v>
      </c>
      <c r="BG81" s="163">
        <v>2256462.77</v>
      </c>
      <c r="BH81" s="163">
        <v>1653172.7</v>
      </c>
      <c r="BI81" s="163">
        <v>3453974.79</v>
      </c>
      <c r="BJ81" s="163">
        <v>5120568.1100000003</v>
      </c>
      <c r="BK81" s="163">
        <v>4317923.67</v>
      </c>
      <c r="BL81" s="163">
        <v>492515.72</v>
      </c>
      <c r="BM81" s="163">
        <v>1484693.36</v>
      </c>
      <c r="BN81" s="163">
        <v>698618.09</v>
      </c>
      <c r="BO81" s="163">
        <v>2454312.9900000002</v>
      </c>
      <c r="BP81" s="163">
        <v>857815.78</v>
      </c>
      <c r="BQ81" s="163">
        <v>2072617.98</v>
      </c>
      <c r="BR81" s="163">
        <v>720117.44</v>
      </c>
      <c r="BS81" s="163">
        <v>805912.98</v>
      </c>
      <c r="BT81" s="163">
        <v>1019337.8</v>
      </c>
      <c r="BU81" s="163">
        <v>3002497.42</v>
      </c>
      <c r="BV81" s="163">
        <v>2757279.2</v>
      </c>
      <c r="BW81" s="163">
        <v>606007.47</v>
      </c>
      <c r="BX81" s="163">
        <v>796310.16</v>
      </c>
      <c r="BY81" s="163">
        <v>1277915.18</v>
      </c>
      <c r="BZ81" s="163">
        <v>451072.51</v>
      </c>
      <c r="CA81" s="163">
        <v>797805.67</v>
      </c>
      <c r="CB81" s="163">
        <v>149453</v>
      </c>
      <c r="CC81" s="163">
        <v>332948.25</v>
      </c>
      <c r="CD81" s="163">
        <v>764748.45</v>
      </c>
      <c r="CE81" s="163">
        <v>1014299.97</v>
      </c>
      <c r="CF81" s="163">
        <v>157862.01</v>
      </c>
      <c r="CG81" s="163">
        <v>178095.68</v>
      </c>
      <c r="CH81" s="163">
        <v>134128.21</v>
      </c>
      <c r="CI81" s="163">
        <v>128784.18</v>
      </c>
      <c r="CJ81" s="163">
        <v>299855.06</v>
      </c>
      <c r="CK81" s="163">
        <v>131246.69</v>
      </c>
      <c r="CL81" s="163">
        <v>124054</v>
      </c>
      <c r="CM81" s="163">
        <v>133130.56</v>
      </c>
      <c r="CN81" s="163">
        <v>124054</v>
      </c>
      <c r="CO81" s="163">
        <v>204936.02</v>
      </c>
      <c r="CP81" s="163">
        <v>142415.17000000001</v>
      </c>
      <c r="CQ81" s="163">
        <v>253178.59</v>
      </c>
      <c r="CR81" s="163">
        <v>124816.9</v>
      </c>
      <c r="CS81" s="163">
        <v>124054</v>
      </c>
      <c r="CT81" s="163">
        <v>183396.87</v>
      </c>
      <c r="CU81" s="163">
        <v>461445.35</v>
      </c>
      <c r="CV81" s="163">
        <v>395716.56</v>
      </c>
      <c r="CW81" s="163">
        <v>289849.53999999998</v>
      </c>
      <c r="CX81" s="163">
        <v>584284.76</v>
      </c>
      <c r="CY81" s="163">
        <v>457845.56</v>
      </c>
      <c r="CZ81" s="163">
        <v>291612.15000000002</v>
      </c>
      <c r="DA81" s="163">
        <v>671475.76</v>
      </c>
      <c r="DB81" s="163">
        <v>498170.18</v>
      </c>
      <c r="DC81" s="163">
        <v>1025222.1</v>
      </c>
      <c r="DD81" s="163">
        <v>537401.96</v>
      </c>
      <c r="DE81" s="163">
        <v>475590.24</v>
      </c>
      <c r="DF81" s="163">
        <f>VLOOKUP($C81,'[3]BS ACC'!$C$5:$DH$1006,108,FALSE)</f>
        <v>931859.72</v>
      </c>
      <c r="DG81" s="163">
        <f>VLOOKUP($C81,'[3]BS ACC'!$C$5:$DH$1006,109,FALSE)</f>
        <v>838858</v>
      </c>
      <c r="DH81" s="163">
        <f>VLOOKUP($C81,'[3]BS ACC'!$C$5:$DH$1006,110,FALSE)</f>
        <v>1993605.14</v>
      </c>
    </row>
    <row r="82" spans="1:112">
      <c r="A82" s="350" t="str">
        <f t="shared" si="1"/>
        <v>1460705</v>
      </c>
      <c r="B82" s="350" t="s">
        <v>1502</v>
      </c>
      <c r="C82" s="335" t="s">
        <v>648</v>
      </c>
      <c r="D82" s="340">
        <v>0</v>
      </c>
      <c r="E82" s="340">
        <v>0</v>
      </c>
      <c r="F82" s="340">
        <v>0</v>
      </c>
      <c r="G82" s="340">
        <v>0</v>
      </c>
      <c r="H82" s="340">
        <v>0</v>
      </c>
      <c r="I82" s="340">
        <v>0</v>
      </c>
      <c r="J82" s="340">
        <v>0</v>
      </c>
      <c r="K82" s="340">
        <v>0</v>
      </c>
      <c r="L82" s="340">
        <v>0</v>
      </c>
      <c r="M82" s="340">
        <v>0</v>
      </c>
      <c r="N82" s="340">
        <v>0</v>
      </c>
      <c r="O82" s="340">
        <v>133.61000000000001</v>
      </c>
      <c r="P82" s="341">
        <v>133.61000000000001</v>
      </c>
      <c r="Q82" s="163">
        <v>133.61000000000001</v>
      </c>
      <c r="R82" s="163">
        <v>1060.7</v>
      </c>
      <c r="S82" s="163">
        <v>1100.7</v>
      </c>
      <c r="T82" s="163">
        <v>1725.08</v>
      </c>
      <c r="U82" s="163">
        <v>1725.08</v>
      </c>
      <c r="V82" s="163">
        <v>1725.08</v>
      </c>
      <c r="W82" s="163">
        <v>1725.08</v>
      </c>
      <c r="X82" s="163">
        <v>1725.08</v>
      </c>
      <c r="Y82" s="163">
        <v>1725.08</v>
      </c>
      <c r="Z82" s="163">
        <v>1725.08</v>
      </c>
      <c r="AA82" s="163">
        <v>2344.84</v>
      </c>
      <c r="AB82" s="163">
        <v>5314.75</v>
      </c>
      <c r="AC82" s="163">
        <v>1725.08</v>
      </c>
      <c r="AD82" s="163">
        <v>1725.08</v>
      </c>
      <c r="AE82" s="163">
        <v>1725.08</v>
      </c>
      <c r="AF82" s="163">
        <v>1725.08</v>
      </c>
      <c r="AG82" s="163">
        <v>1732.94</v>
      </c>
      <c r="AH82" s="163">
        <v>0</v>
      </c>
      <c r="AI82" s="163">
        <v>0</v>
      </c>
      <c r="AJ82" s="163">
        <v>0</v>
      </c>
      <c r="AK82" s="163">
        <v>0</v>
      </c>
      <c r="AL82" s="163">
        <v>0</v>
      </c>
      <c r="AM82" s="163">
        <v>0</v>
      </c>
      <c r="AN82" s="163">
        <v>0</v>
      </c>
      <c r="AO82" s="163">
        <v>0</v>
      </c>
      <c r="AP82" s="163">
        <v>0</v>
      </c>
      <c r="AQ82" s="163">
        <v>0</v>
      </c>
      <c r="AR82" s="163">
        <v>0</v>
      </c>
      <c r="AS82" s="163">
        <v>0</v>
      </c>
      <c r="AT82" s="163">
        <v>0</v>
      </c>
      <c r="AU82" s="163">
        <v>0</v>
      </c>
      <c r="AV82" s="163">
        <v>0</v>
      </c>
      <c r="AW82" s="163">
        <v>0</v>
      </c>
      <c r="AX82" s="163">
        <v>0</v>
      </c>
      <c r="AY82" s="163">
        <v>0</v>
      </c>
      <c r="AZ82" s="163">
        <v>0</v>
      </c>
      <c r="BA82" s="163">
        <v>0</v>
      </c>
      <c r="BB82" s="163">
        <v>0</v>
      </c>
      <c r="BC82" s="163">
        <v>0</v>
      </c>
      <c r="BD82" s="163">
        <v>0</v>
      </c>
      <c r="BE82" s="163">
        <v>0</v>
      </c>
      <c r="BF82" s="163">
        <v>0</v>
      </c>
      <c r="BG82" s="163">
        <v>0</v>
      </c>
      <c r="BH82" s="163">
        <v>0</v>
      </c>
      <c r="BI82" s="163">
        <v>0</v>
      </c>
      <c r="BJ82" s="163">
        <v>0</v>
      </c>
      <c r="BK82" s="163">
        <v>0</v>
      </c>
      <c r="BL82" s="163">
        <v>0</v>
      </c>
      <c r="BM82" s="163">
        <v>0</v>
      </c>
      <c r="BN82" s="163">
        <v>0</v>
      </c>
      <c r="BO82" s="163">
        <v>0</v>
      </c>
      <c r="BP82" s="163">
        <v>0</v>
      </c>
      <c r="BQ82" s="163">
        <v>0</v>
      </c>
      <c r="BR82" s="163">
        <v>0</v>
      </c>
      <c r="BS82" s="163">
        <v>0</v>
      </c>
      <c r="BT82" s="163">
        <v>0</v>
      </c>
      <c r="BU82" s="163">
        <v>0</v>
      </c>
      <c r="BV82" s="163">
        <v>0</v>
      </c>
      <c r="BW82" s="163">
        <v>0</v>
      </c>
      <c r="BX82" s="163">
        <v>0</v>
      </c>
      <c r="BY82" s="163">
        <v>0</v>
      </c>
      <c r="BZ82" s="163">
        <v>0</v>
      </c>
      <c r="CA82" s="163">
        <v>0</v>
      </c>
      <c r="CB82" s="163">
        <v>0</v>
      </c>
      <c r="CC82" s="163">
        <v>0</v>
      </c>
      <c r="CD82" s="163">
        <v>0</v>
      </c>
      <c r="CE82" s="163">
        <v>0</v>
      </c>
      <c r="CF82" s="163">
        <v>0</v>
      </c>
      <c r="CG82" s="163">
        <v>0</v>
      </c>
      <c r="CH82" s="163">
        <v>0</v>
      </c>
      <c r="CI82" s="163">
        <v>0</v>
      </c>
      <c r="CJ82" s="163">
        <v>0</v>
      </c>
      <c r="CK82" s="163">
        <v>0</v>
      </c>
      <c r="CL82" s="163">
        <v>0</v>
      </c>
      <c r="CM82" s="163">
        <v>0</v>
      </c>
      <c r="CN82" s="163">
        <v>0</v>
      </c>
      <c r="CO82" s="163">
        <v>0</v>
      </c>
      <c r="CP82" s="163">
        <v>0</v>
      </c>
      <c r="CQ82" s="163">
        <v>0</v>
      </c>
      <c r="CR82" s="163">
        <v>0</v>
      </c>
      <c r="CS82" s="163">
        <v>0</v>
      </c>
      <c r="CT82" s="163">
        <v>0</v>
      </c>
      <c r="CU82" s="163">
        <v>0</v>
      </c>
      <c r="CV82" s="163">
        <v>0</v>
      </c>
      <c r="CW82" s="163">
        <v>0</v>
      </c>
      <c r="CX82" s="163">
        <v>0</v>
      </c>
      <c r="CY82" s="163">
        <v>0</v>
      </c>
      <c r="CZ82" s="163">
        <v>0</v>
      </c>
      <c r="DA82" s="163">
        <v>0</v>
      </c>
      <c r="DB82" s="163">
        <v>0</v>
      </c>
      <c r="DC82" s="163">
        <v>0</v>
      </c>
      <c r="DD82" s="163">
        <v>0</v>
      </c>
      <c r="DE82" s="163">
        <v>0</v>
      </c>
      <c r="DF82" s="163">
        <f>VLOOKUP($C82,'[3]BS ACC'!$C$5:$DH$1006,108,FALSE)</f>
        <v>0</v>
      </c>
      <c r="DG82" s="163">
        <f>VLOOKUP($C82,'[3]BS ACC'!$C$5:$DH$1006,109,FALSE)</f>
        <v>0</v>
      </c>
      <c r="DH82" s="163">
        <f>VLOOKUP($C82,'[3]BS ACC'!$C$5:$DH$1006,110,FALSE)</f>
        <v>0</v>
      </c>
    </row>
    <row r="83" spans="1:112">
      <c r="A83" s="350" t="str">
        <f>+B83</f>
        <v>1460706</v>
      </c>
      <c r="B83" s="350" t="s">
        <v>2275</v>
      </c>
      <c r="C83" s="335" t="s">
        <v>2276</v>
      </c>
      <c r="D83" s="340">
        <v>0</v>
      </c>
      <c r="E83" s="340">
        <v>0</v>
      </c>
      <c r="F83" s="340">
        <v>0</v>
      </c>
      <c r="G83" s="340">
        <v>0</v>
      </c>
      <c r="H83" s="340">
        <v>0</v>
      </c>
      <c r="I83" s="340">
        <v>0</v>
      </c>
      <c r="J83" s="340">
        <v>0</v>
      </c>
      <c r="K83" s="340">
        <v>0</v>
      </c>
      <c r="L83" s="340">
        <v>0</v>
      </c>
      <c r="M83" s="340">
        <v>0</v>
      </c>
      <c r="N83" s="340">
        <v>0</v>
      </c>
      <c r="O83" s="340">
        <v>0</v>
      </c>
      <c r="P83" s="341">
        <v>0</v>
      </c>
      <c r="Q83" s="163">
        <v>0</v>
      </c>
      <c r="R83" s="163">
        <v>0</v>
      </c>
      <c r="S83" s="163">
        <v>0</v>
      </c>
      <c r="T83" s="163">
        <v>0</v>
      </c>
      <c r="U83" s="163">
        <v>0</v>
      </c>
      <c r="V83" s="163">
        <v>0</v>
      </c>
      <c r="W83" s="163">
        <v>0</v>
      </c>
      <c r="X83" s="163">
        <v>0</v>
      </c>
      <c r="Y83" s="163">
        <v>0</v>
      </c>
      <c r="Z83" s="163">
        <v>0</v>
      </c>
      <c r="AA83" s="163">
        <v>0</v>
      </c>
      <c r="AB83" s="163">
        <v>0</v>
      </c>
      <c r="AC83" s="163">
        <v>0</v>
      </c>
      <c r="AD83" s="163">
        <v>0</v>
      </c>
      <c r="AE83" s="163">
        <v>0</v>
      </c>
      <c r="AF83" s="163">
        <v>0</v>
      </c>
      <c r="AG83" s="163">
        <v>0</v>
      </c>
      <c r="AH83" s="163">
        <v>0</v>
      </c>
      <c r="AI83" s="163">
        <v>0</v>
      </c>
      <c r="AJ83" s="163">
        <v>0</v>
      </c>
      <c r="AK83" s="163">
        <v>0</v>
      </c>
      <c r="AL83" s="163">
        <v>0</v>
      </c>
      <c r="AM83" s="163">
        <v>0</v>
      </c>
      <c r="AN83" s="163">
        <v>0</v>
      </c>
      <c r="AO83" s="163">
        <v>0</v>
      </c>
      <c r="AP83" s="163">
        <v>0</v>
      </c>
      <c r="AQ83" s="163">
        <v>0</v>
      </c>
      <c r="AR83" s="163">
        <v>0</v>
      </c>
      <c r="AS83" s="163">
        <v>0</v>
      </c>
      <c r="AT83" s="163">
        <v>0</v>
      </c>
      <c r="AU83" s="163">
        <v>0</v>
      </c>
      <c r="AV83" s="163">
        <v>0</v>
      </c>
      <c r="AW83" s="163">
        <v>0</v>
      </c>
      <c r="AX83" s="163">
        <v>0</v>
      </c>
      <c r="AY83" s="163">
        <v>0</v>
      </c>
      <c r="AZ83" s="163">
        <v>0</v>
      </c>
      <c r="BA83" s="163">
        <v>0</v>
      </c>
      <c r="BB83" s="163">
        <v>0</v>
      </c>
      <c r="BC83" s="163">
        <v>0</v>
      </c>
      <c r="BD83" s="163">
        <v>0</v>
      </c>
      <c r="BE83" s="163">
        <v>0</v>
      </c>
      <c r="BF83" s="163">
        <v>0</v>
      </c>
      <c r="BG83" s="163">
        <v>0</v>
      </c>
      <c r="BH83" s="163">
        <v>0</v>
      </c>
      <c r="BI83" s="163">
        <v>0</v>
      </c>
      <c r="BJ83" s="163">
        <v>0</v>
      </c>
      <c r="BK83" s="163">
        <v>0</v>
      </c>
      <c r="BL83" s="163">
        <v>0</v>
      </c>
      <c r="BM83" s="163">
        <v>0</v>
      </c>
      <c r="BN83" s="163">
        <v>0</v>
      </c>
      <c r="BO83" s="163">
        <v>0</v>
      </c>
      <c r="BP83" s="163">
        <v>0</v>
      </c>
      <c r="BQ83" s="163">
        <v>85.5</v>
      </c>
      <c r="BR83" s="163">
        <v>85.5</v>
      </c>
      <c r="BS83" s="163">
        <v>85.5</v>
      </c>
      <c r="BT83" s="163">
        <v>585.5</v>
      </c>
      <c r="BU83" s="163">
        <v>585.5</v>
      </c>
      <c r="BV83" s="163">
        <v>0</v>
      </c>
      <c r="BW83" s="163">
        <v>0</v>
      </c>
      <c r="BX83" s="163">
        <v>0</v>
      </c>
      <c r="BY83" s="163">
        <v>0</v>
      </c>
      <c r="BZ83" s="163">
        <v>3814</v>
      </c>
      <c r="CA83" s="163">
        <v>3814</v>
      </c>
      <c r="CB83" s="163">
        <v>3814</v>
      </c>
      <c r="CC83" s="163">
        <v>3814</v>
      </c>
      <c r="CD83" s="163">
        <v>3814</v>
      </c>
      <c r="CE83" s="163">
        <v>3814</v>
      </c>
      <c r="CF83" s="163">
        <v>3814</v>
      </c>
      <c r="CG83" s="163">
        <v>3964</v>
      </c>
      <c r="CH83" s="163">
        <v>3964</v>
      </c>
      <c r="CI83" s="163">
        <v>0</v>
      </c>
      <c r="CJ83" s="163">
        <v>0</v>
      </c>
      <c r="CK83" s="163">
        <v>18.66</v>
      </c>
      <c r="CL83" s="163">
        <v>37.5</v>
      </c>
      <c r="CM83" s="163">
        <v>14383.69</v>
      </c>
      <c r="CN83" s="163">
        <v>0</v>
      </c>
      <c r="CO83" s="163">
        <v>18584.669999999998</v>
      </c>
      <c r="CP83" s="163">
        <v>0</v>
      </c>
      <c r="CQ83" s="163">
        <v>0</v>
      </c>
      <c r="CR83" s="163">
        <v>0</v>
      </c>
      <c r="CS83" s="163">
        <v>0</v>
      </c>
      <c r="CT83" s="163">
        <v>0</v>
      </c>
      <c r="CU83" s="163">
        <v>0</v>
      </c>
      <c r="CV83" s="163">
        <v>0</v>
      </c>
      <c r="CW83" s="163">
        <v>0</v>
      </c>
      <c r="CX83" s="163">
        <v>26.28</v>
      </c>
      <c r="CY83" s="163">
        <v>0</v>
      </c>
      <c r="CZ83" s="163">
        <v>0</v>
      </c>
      <c r="DA83" s="163">
        <v>0</v>
      </c>
      <c r="DB83" s="163">
        <v>0</v>
      </c>
      <c r="DC83" s="163">
        <v>0</v>
      </c>
      <c r="DD83" s="163">
        <v>1496.92</v>
      </c>
      <c r="DE83" s="163">
        <v>1496.92</v>
      </c>
      <c r="DF83" s="163">
        <f>VLOOKUP($C83,'[3]BS ACC'!$C$5:$DH$1006,108,FALSE)</f>
        <v>0</v>
      </c>
      <c r="DG83" s="163">
        <f>VLOOKUP($C83,'[3]BS ACC'!$C$5:$DH$1006,109,FALSE)</f>
        <v>0</v>
      </c>
      <c r="DH83" s="163">
        <f>VLOOKUP($C83,'[3]BS ACC'!$C$5:$DH$1006,110,FALSE)</f>
        <v>10000</v>
      </c>
    </row>
    <row r="84" spans="1:112">
      <c r="A84" s="350" t="str">
        <f t="shared" si="1"/>
        <v>1460710</v>
      </c>
      <c r="B84" s="350" t="s">
        <v>1586</v>
      </c>
      <c r="C84" s="335" t="s">
        <v>649</v>
      </c>
      <c r="D84" s="340">
        <v>2047.8</v>
      </c>
      <c r="E84" s="340">
        <v>2047.8</v>
      </c>
      <c r="F84" s="340">
        <v>2047.8</v>
      </c>
      <c r="G84" s="340">
        <v>2047.8</v>
      </c>
      <c r="H84" s="340">
        <v>2047.8</v>
      </c>
      <c r="I84" s="340">
        <v>2047.8</v>
      </c>
      <c r="J84" s="340">
        <v>2047.8</v>
      </c>
      <c r="K84" s="340">
        <v>2047.8</v>
      </c>
      <c r="L84" s="340">
        <v>2047.8</v>
      </c>
      <c r="M84" s="340">
        <v>2047.8</v>
      </c>
      <c r="N84" s="340">
        <v>2047.8</v>
      </c>
      <c r="O84" s="340">
        <v>2047.8</v>
      </c>
      <c r="P84" s="341">
        <v>2047.8</v>
      </c>
      <c r="Q84" s="163">
        <v>2047.8</v>
      </c>
      <c r="R84" s="163">
        <v>2047.8</v>
      </c>
      <c r="S84" s="163">
        <v>2047.8</v>
      </c>
      <c r="T84" s="163">
        <v>2047.8</v>
      </c>
      <c r="U84" s="163">
        <v>2047.8</v>
      </c>
      <c r="V84" s="163">
        <v>2047.8</v>
      </c>
      <c r="W84" s="163">
        <v>2047.8</v>
      </c>
      <c r="X84" s="163">
        <v>2047.8</v>
      </c>
      <c r="Y84" s="163">
        <v>2047.8</v>
      </c>
      <c r="Z84" s="163">
        <v>2047.8</v>
      </c>
      <c r="AA84" s="163">
        <v>2047.8</v>
      </c>
      <c r="AB84" s="163">
        <v>2047.8</v>
      </c>
      <c r="AC84" s="163">
        <v>2047.8</v>
      </c>
      <c r="AD84" s="163">
        <v>2047.8</v>
      </c>
      <c r="AE84" s="163">
        <v>2047.8</v>
      </c>
      <c r="AF84" s="163">
        <v>2047.8</v>
      </c>
      <c r="AG84" s="163">
        <v>2047.8</v>
      </c>
      <c r="AH84" s="163">
        <v>2047.8</v>
      </c>
      <c r="AI84" s="163">
        <v>2047.8</v>
      </c>
      <c r="AJ84" s="163">
        <v>2047.8</v>
      </c>
      <c r="AK84" s="163">
        <v>2047.8</v>
      </c>
      <c r="AL84" s="163">
        <v>2047.8</v>
      </c>
      <c r="AM84" s="163">
        <v>2047.8</v>
      </c>
      <c r="AN84" s="163">
        <v>2047.8</v>
      </c>
      <c r="AO84" s="163">
        <v>2047.8</v>
      </c>
      <c r="AP84" s="163">
        <v>2047.8</v>
      </c>
      <c r="AQ84" s="163">
        <v>2047.8</v>
      </c>
      <c r="AR84" s="163">
        <v>2047.8</v>
      </c>
      <c r="AS84" s="163">
        <v>2047.8</v>
      </c>
      <c r="AT84" s="163">
        <v>2047.8</v>
      </c>
      <c r="AU84" s="163">
        <v>2047.8</v>
      </c>
      <c r="AV84" s="163">
        <v>2047.8</v>
      </c>
      <c r="AW84" s="163">
        <v>2047.8</v>
      </c>
      <c r="AX84" s="163">
        <v>2047.8</v>
      </c>
      <c r="AY84" s="163">
        <v>2047.8</v>
      </c>
      <c r="AZ84" s="163">
        <v>2047.8</v>
      </c>
      <c r="BA84" s="163">
        <v>2047.8</v>
      </c>
      <c r="BB84" s="163">
        <v>2047.8</v>
      </c>
      <c r="BC84" s="163">
        <v>2047.8</v>
      </c>
      <c r="BD84" s="163">
        <v>2047.8</v>
      </c>
      <c r="BE84" s="163">
        <v>2047.8</v>
      </c>
      <c r="BF84" s="163">
        <v>2047.8</v>
      </c>
      <c r="BG84" s="163">
        <v>2047.8</v>
      </c>
      <c r="BH84" s="163">
        <v>2047.8</v>
      </c>
      <c r="BI84" s="163">
        <v>2047.8</v>
      </c>
      <c r="BJ84" s="163">
        <v>0</v>
      </c>
      <c r="BK84" s="163">
        <v>0</v>
      </c>
      <c r="BL84" s="163">
        <v>0</v>
      </c>
      <c r="BM84" s="163">
        <v>0</v>
      </c>
      <c r="BN84" s="163">
        <v>0</v>
      </c>
      <c r="BO84" s="163">
        <v>0</v>
      </c>
      <c r="BP84" s="163">
        <v>0</v>
      </c>
      <c r="BQ84" s="163">
        <v>0</v>
      </c>
      <c r="BR84" s="163">
        <v>0</v>
      </c>
      <c r="BS84" s="163">
        <v>0</v>
      </c>
      <c r="BT84" s="163">
        <v>0</v>
      </c>
      <c r="BU84" s="163">
        <v>0</v>
      </c>
      <c r="BV84" s="163">
        <v>0</v>
      </c>
      <c r="BW84" s="163">
        <v>0</v>
      </c>
      <c r="BX84" s="163">
        <v>0</v>
      </c>
      <c r="BY84" s="163">
        <v>0</v>
      </c>
      <c r="BZ84" s="163">
        <v>0</v>
      </c>
      <c r="CA84" s="163">
        <v>0</v>
      </c>
      <c r="CB84" s="163">
        <v>0</v>
      </c>
      <c r="CC84" s="163">
        <v>0</v>
      </c>
      <c r="CD84" s="163">
        <v>0</v>
      </c>
      <c r="CE84" s="163">
        <v>0</v>
      </c>
      <c r="CF84" s="163">
        <v>0</v>
      </c>
      <c r="CG84" s="163">
        <v>0</v>
      </c>
      <c r="CH84" s="163">
        <v>0</v>
      </c>
      <c r="CI84" s="163">
        <v>0</v>
      </c>
      <c r="CJ84" s="163">
        <v>0</v>
      </c>
      <c r="CK84" s="163">
        <v>9413.48</v>
      </c>
      <c r="CL84" s="163">
        <v>18872.66</v>
      </c>
      <c r="CM84" s="163">
        <v>28102.49</v>
      </c>
      <c r="CN84" s="163">
        <v>4897.04</v>
      </c>
      <c r="CO84" s="163">
        <v>10909.71</v>
      </c>
      <c r="CP84" s="163">
        <v>4635.07</v>
      </c>
      <c r="CQ84" s="163">
        <v>2076.81</v>
      </c>
      <c r="CR84" s="163">
        <v>2131.5</v>
      </c>
      <c r="CS84" s="163">
        <v>1986.29</v>
      </c>
      <c r="CT84" s="163">
        <v>1910.9</v>
      </c>
      <c r="CU84" s="163">
        <v>1944.63</v>
      </c>
      <c r="CV84" s="163">
        <v>2449.88</v>
      </c>
      <c r="CW84" s="163">
        <v>2657.93</v>
      </c>
      <c r="CX84" s="163">
        <v>2452.38</v>
      </c>
      <c r="CY84" s="163">
        <v>7580.94</v>
      </c>
      <c r="CZ84" s="163">
        <v>9835.57</v>
      </c>
      <c r="DA84" s="163">
        <v>10685.54</v>
      </c>
      <c r="DB84" s="163">
        <v>13833.3</v>
      </c>
      <c r="DC84" s="163">
        <v>17837.21</v>
      </c>
      <c r="DD84" s="163">
        <v>25658.32</v>
      </c>
      <c r="DE84" s="163">
        <v>29496.400000000001</v>
      </c>
      <c r="DF84" s="163">
        <f>VLOOKUP($C84,'[3]BS ACC'!$C$5:$DH$1006,108,FALSE)</f>
        <v>31965.72</v>
      </c>
      <c r="DG84" s="163">
        <f>VLOOKUP($C84,'[3]BS ACC'!$C$5:$DH$1006,109,FALSE)</f>
        <v>35430.39</v>
      </c>
      <c r="DH84" s="163">
        <f>VLOOKUP($C84,'[3]BS ACC'!$C$5:$DH$1006,110,FALSE)</f>
        <v>39515.410000000003</v>
      </c>
    </row>
    <row r="85" spans="1:112">
      <c r="A85" s="350" t="str">
        <f t="shared" si="1"/>
        <v>1460720</v>
      </c>
      <c r="B85" s="350" t="s">
        <v>1503</v>
      </c>
      <c r="C85" s="335" t="s">
        <v>650</v>
      </c>
      <c r="D85" s="340">
        <v>0</v>
      </c>
      <c r="E85" s="340">
        <v>595844.98</v>
      </c>
      <c r="F85" s="340">
        <v>0</v>
      </c>
      <c r="G85" s="340">
        <v>0</v>
      </c>
      <c r="H85" s="340">
        <v>718889.62</v>
      </c>
      <c r="I85" s="340">
        <v>0</v>
      </c>
      <c r="J85" s="340">
        <v>0</v>
      </c>
      <c r="K85" s="340">
        <v>665875.13</v>
      </c>
      <c r="L85" s="340">
        <v>0</v>
      </c>
      <c r="M85" s="340">
        <v>0</v>
      </c>
      <c r="N85" s="340">
        <v>700855.31</v>
      </c>
      <c r="O85" s="340">
        <v>0</v>
      </c>
      <c r="P85" s="341">
        <v>0</v>
      </c>
      <c r="Q85" s="163">
        <v>0</v>
      </c>
      <c r="R85" s="163">
        <v>531346.68999999994</v>
      </c>
      <c r="S85" s="163">
        <v>0</v>
      </c>
      <c r="T85" s="163">
        <v>794540.33</v>
      </c>
      <c r="U85" s="163">
        <v>0</v>
      </c>
      <c r="V85" s="163">
        <v>0</v>
      </c>
      <c r="W85" s="163">
        <v>492195.91</v>
      </c>
      <c r="X85" s="163">
        <v>0</v>
      </c>
      <c r="Y85" s="163">
        <v>0</v>
      </c>
      <c r="Z85" s="163">
        <v>0</v>
      </c>
      <c r="AA85" s="163">
        <v>0</v>
      </c>
      <c r="AB85" s="163">
        <v>0</v>
      </c>
      <c r="AC85" s="163">
        <v>0</v>
      </c>
      <c r="AD85" s="163">
        <v>0</v>
      </c>
      <c r="AE85" s="163">
        <v>0</v>
      </c>
      <c r="AF85" s="163">
        <v>0</v>
      </c>
      <c r="AG85" s="163">
        <v>0</v>
      </c>
      <c r="AH85" s="163">
        <v>0</v>
      </c>
      <c r="AI85" s="163">
        <v>0</v>
      </c>
      <c r="AJ85" s="163">
        <v>0</v>
      </c>
      <c r="AK85" s="163">
        <v>0</v>
      </c>
      <c r="AL85" s="163">
        <v>0</v>
      </c>
      <c r="AM85" s="163">
        <v>0</v>
      </c>
      <c r="AN85" s="163">
        <v>0</v>
      </c>
      <c r="AO85" s="163">
        <v>0</v>
      </c>
      <c r="AP85" s="163">
        <v>0</v>
      </c>
      <c r="AQ85" s="163">
        <v>0</v>
      </c>
      <c r="AR85" s="163">
        <v>0</v>
      </c>
      <c r="AS85" s="163">
        <v>0</v>
      </c>
      <c r="AT85" s="163">
        <v>0</v>
      </c>
      <c r="AU85" s="163">
        <v>0</v>
      </c>
      <c r="AV85" s="163">
        <v>0</v>
      </c>
      <c r="AW85" s="163">
        <v>0</v>
      </c>
      <c r="AX85" s="163">
        <v>0</v>
      </c>
      <c r="AY85" s="163">
        <v>0</v>
      </c>
      <c r="AZ85" s="163">
        <v>0</v>
      </c>
      <c r="BA85" s="163">
        <v>0</v>
      </c>
      <c r="BB85" s="163">
        <v>0</v>
      </c>
      <c r="BC85" s="163">
        <v>0</v>
      </c>
      <c r="BD85" s="163">
        <v>0</v>
      </c>
      <c r="BE85" s="163">
        <v>0</v>
      </c>
      <c r="BF85" s="163">
        <v>0</v>
      </c>
      <c r="BG85" s="163">
        <v>0</v>
      </c>
      <c r="BH85" s="163">
        <v>0</v>
      </c>
      <c r="BI85" s="163">
        <v>0</v>
      </c>
      <c r="BJ85" s="163">
        <v>0</v>
      </c>
      <c r="BK85" s="163">
        <v>0</v>
      </c>
      <c r="BL85" s="163">
        <v>0</v>
      </c>
      <c r="BM85" s="163">
        <v>0</v>
      </c>
      <c r="BN85" s="163">
        <v>0</v>
      </c>
      <c r="BO85" s="163">
        <v>0</v>
      </c>
      <c r="BP85" s="163">
        <v>0</v>
      </c>
      <c r="BQ85" s="163">
        <v>0</v>
      </c>
      <c r="BR85" s="163">
        <v>0</v>
      </c>
      <c r="BS85" s="163">
        <v>0</v>
      </c>
      <c r="BT85" s="163">
        <v>0</v>
      </c>
      <c r="BU85" s="163">
        <v>0</v>
      </c>
      <c r="BV85" s="163">
        <v>0</v>
      </c>
      <c r="BW85" s="163">
        <v>0</v>
      </c>
      <c r="BX85" s="163">
        <v>0</v>
      </c>
      <c r="BY85" s="163">
        <v>0</v>
      </c>
      <c r="BZ85" s="163">
        <v>0</v>
      </c>
      <c r="CA85" s="163">
        <v>0</v>
      </c>
      <c r="CB85" s="163">
        <v>0</v>
      </c>
      <c r="CC85" s="163">
        <v>0</v>
      </c>
      <c r="CD85" s="163">
        <v>0</v>
      </c>
      <c r="CE85" s="163">
        <v>0</v>
      </c>
      <c r="CF85" s="163">
        <v>0</v>
      </c>
      <c r="CG85" s="163">
        <v>0</v>
      </c>
      <c r="CH85" s="163">
        <v>0</v>
      </c>
      <c r="CI85" s="163">
        <v>0</v>
      </c>
      <c r="CJ85" s="163">
        <v>0</v>
      </c>
      <c r="CK85" s="163">
        <v>0</v>
      </c>
      <c r="CL85" s="163">
        <v>0</v>
      </c>
      <c r="CM85" s="163">
        <v>0</v>
      </c>
      <c r="CN85" s="163">
        <v>997358.54</v>
      </c>
      <c r="CO85" s="163">
        <v>0</v>
      </c>
      <c r="CP85" s="163">
        <v>0</v>
      </c>
      <c r="CQ85" s="163">
        <v>0</v>
      </c>
      <c r="CR85" s="163">
        <v>0</v>
      </c>
      <c r="CS85" s="163">
        <v>0</v>
      </c>
      <c r="CT85" s="163">
        <v>0</v>
      </c>
      <c r="CU85" s="163">
        <v>0</v>
      </c>
      <c r="CV85" s="163">
        <v>0</v>
      </c>
      <c r="CW85" s="163">
        <v>0</v>
      </c>
      <c r="CX85" s="163">
        <v>0</v>
      </c>
      <c r="CY85" s="163">
        <v>0</v>
      </c>
      <c r="CZ85" s="163">
        <v>871938.8</v>
      </c>
      <c r="DA85" s="163">
        <v>0</v>
      </c>
      <c r="DB85" s="163">
        <v>0</v>
      </c>
      <c r="DC85" s="163">
        <v>0</v>
      </c>
      <c r="DD85" s="163">
        <v>0</v>
      </c>
      <c r="DE85" s="163">
        <v>0</v>
      </c>
      <c r="DF85" s="163">
        <f>VLOOKUP($C85,'[3]BS ACC'!$C$5:$DH$1006,108,FALSE)</f>
        <v>1062156.04</v>
      </c>
      <c r="DG85" s="163">
        <f>VLOOKUP($C85,'[3]BS ACC'!$C$5:$DH$1006,109,FALSE)</f>
        <v>0</v>
      </c>
      <c r="DH85" s="163">
        <f>VLOOKUP($C85,'[3]BS ACC'!$C$5:$DH$1006,110,FALSE)</f>
        <v>0</v>
      </c>
    </row>
    <row r="86" spans="1:112">
      <c r="A86" s="350" t="str">
        <f t="shared" si="1"/>
        <v>1460740</v>
      </c>
      <c r="B86" s="350" t="s">
        <v>1792</v>
      </c>
      <c r="C86" s="335" t="s">
        <v>1789</v>
      </c>
      <c r="D86" s="340"/>
      <c r="E86" s="340"/>
      <c r="F86" s="340"/>
      <c r="G86" s="340"/>
      <c r="H86" s="340"/>
      <c r="I86" s="340"/>
      <c r="J86" s="340"/>
      <c r="K86" s="340"/>
      <c r="L86" s="340"/>
      <c r="M86" s="340"/>
      <c r="N86" s="340"/>
      <c r="O86" s="340"/>
      <c r="P86" s="341"/>
      <c r="Q86" s="163"/>
      <c r="R86" s="163"/>
      <c r="S86" s="163"/>
      <c r="T86" s="163"/>
      <c r="U86" s="163"/>
      <c r="V86" s="163"/>
      <c r="W86" s="163"/>
      <c r="X86" s="163"/>
      <c r="Y86" s="163"/>
      <c r="Z86" s="163"/>
      <c r="AA86" s="163"/>
      <c r="AB86" s="163"/>
      <c r="AC86" s="163"/>
      <c r="AD86" s="163"/>
      <c r="AE86" s="163"/>
      <c r="AF86" s="163"/>
      <c r="AG86" s="163"/>
      <c r="AH86" s="163"/>
      <c r="AI86" s="163"/>
      <c r="AJ86" s="163"/>
      <c r="AK86" s="163"/>
      <c r="AL86" s="163"/>
      <c r="AM86" s="163"/>
      <c r="AN86" s="163"/>
      <c r="AO86" s="163">
        <v>0</v>
      </c>
      <c r="AP86" s="163">
        <v>0</v>
      </c>
      <c r="AQ86" s="163">
        <v>0</v>
      </c>
      <c r="AR86" s="163">
        <v>0</v>
      </c>
      <c r="AS86" s="163">
        <v>0</v>
      </c>
      <c r="AT86" s="163">
        <v>0</v>
      </c>
      <c r="AU86" s="163">
        <v>0</v>
      </c>
      <c r="AV86" s="163">
        <v>0</v>
      </c>
      <c r="AW86" s="163">
        <v>0</v>
      </c>
      <c r="AX86" s="163">
        <v>0</v>
      </c>
      <c r="AY86" s="163">
        <v>0</v>
      </c>
      <c r="AZ86" s="163">
        <v>0</v>
      </c>
      <c r="BA86" s="163">
        <v>0</v>
      </c>
      <c r="BB86" s="163">
        <v>0</v>
      </c>
      <c r="BC86" s="163">
        <v>0</v>
      </c>
      <c r="BD86" s="163">
        <v>0</v>
      </c>
      <c r="BE86" s="163">
        <v>0</v>
      </c>
      <c r="BF86" s="163">
        <v>0</v>
      </c>
      <c r="BG86" s="163">
        <v>0</v>
      </c>
      <c r="BH86" s="163">
        <v>0</v>
      </c>
      <c r="BI86" s="163">
        <v>0</v>
      </c>
      <c r="BJ86" s="163">
        <v>0</v>
      </c>
      <c r="BK86" s="163">
        <v>0</v>
      </c>
      <c r="BL86" s="163">
        <v>0</v>
      </c>
      <c r="BM86" s="163">
        <v>0</v>
      </c>
      <c r="BN86" s="163">
        <v>0</v>
      </c>
      <c r="BO86" s="163">
        <v>0</v>
      </c>
      <c r="BP86" s="163">
        <v>0</v>
      </c>
      <c r="BQ86" s="163">
        <v>0</v>
      </c>
      <c r="BR86" s="163">
        <v>0</v>
      </c>
      <c r="BS86" s="163">
        <v>0</v>
      </c>
      <c r="BT86" s="163">
        <v>0</v>
      </c>
      <c r="BU86" s="163">
        <v>0</v>
      </c>
      <c r="BV86" s="163">
        <v>0</v>
      </c>
      <c r="BW86" s="163">
        <v>0</v>
      </c>
      <c r="BX86" s="163">
        <v>0</v>
      </c>
      <c r="BY86" s="163">
        <v>0</v>
      </c>
      <c r="BZ86" s="163">
        <v>0</v>
      </c>
      <c r="CA86" s="163">
        <v>0</v>
      </c>
      <c r="CB86" s="163">
        <v>0</v>
      </c>
      <c r="CC86" s="163">
        <v>0</v>
      </c>
      <c r="CD86" s="163">
        <v>0</v>
      </c>
      <c r="CE86" s="163">
        <v>0</v>
      </c>
      <c r="CF86" s="163">
        <v>0</v>
      </c>
      <c r="CG86" s="163">
        <v>0</v>
      </c>
      <c r="CH86" s="163">
        <v>0</v>
      </c>
      <c r="CI86" s="163">
        <v>0</v>
      </c>
      <c r="CJ86" s="163">
        <v>0</v>
      </c>
      <c r="CK86" s="163">
        <v>0</v>
      </c>
      <c r="CL86" s="163">
        <v>0</v>
      </c>
      <c r="CM86" s="163">
        <v>0</v>
      </c>
      <c r="CN86" s="163">
        <v>0</v>
      </c>
      <c r="CO86" s="163">
        <v>0</v>
      </c>
      <c r="CP86" s="163">
        <v>0</v>
      </c>
      <c r="CQ86" s="163">
        <v>0</v>
      </c>
      <c r="CR86" s="163">
        <v>0</v>
      </c>
      <c r="CS86" s="163">
        <v>0</v>
      </c>
      <c r="CT86" s="163">
        <v>0</v>
      </c>
      <c r="CU86" s="163">
        <v>0</v>
      </c>
      <c r="CV86" s="163">
        <v>0</v>
      </c>
      <c r="CW86" s="163">
        <v>0</v>
      </c>
      <c r="CX86" s="163">
        <v>0</v>
      </c>
      <c r="CY86" s="163">
        <v>0</v>
      </c>
      <c r="CZ86" s="163">
        <v>0</v>
      </c>
      <c r="DA86" s="163">
        <v>0</v>
      </c>
      <c r="DB86" s="163">
        <v>0</v>
      </c>
      <c r="DC86" s="163">
        <v>0</v>
      </c>
      <c r="DD86" s="163">
        <v>0</v>
      </c>
      <c r="DE86" s="163">
        <v>0</v>
      </c>
      <c r="DF86" s="163">
        <f>VLOOKUP($C86,'[3]BS ACC'!$C$5:$DH$1006,108,FALSE)</f>
        <v>0</v>
      </c>
      <c r="DG86" s="163">
        <f>VLOOKUP($C86,'[3]BS ACC'!$C$5:$DH$1006,109,FALSE)</f>
        <v>0</v>
      </c>
      <c r="DH86" s="163">
        <f>VLOOKUP($C86,'[3]BS ACC'!$C$5:$DH$1006,110,FALSE)</f>
        <v>0</v>
      </c>
    </row>
    <row r="87" spans="1:112">
      <c r="A87" s="350" t="str">
        <f t="shared" si="1"/>
        <v>1460741</v>
      </c>
      <c r="B87" s="350" t="s">
        <v>1793</v>
      </c>
      <c r="C87" s="335" t="s">
        <v>1790</v>
      </c>
      <c r="D87" s="340"/>
      <c r="E87" s="340"/>
      <c r="F87" s="340"/>
      <c r="G87" s="340"/>
      <c r="H87" s="340"/>
      <c r="I87" s="340"/>
      <c r="J87" s="340"/>
      <c r="K87" s="340"/>
      <c r="L87" s="340"/>
      <c r="M87" s="340"/>
      <c r="N87" s="340"/>
      <c r="O87" s="340"/>
      <c r="P87" s="341"/>
      <c r="Q87" s="163"/>
      <c r="R87" s="163"/>
      <c r="S87" s="163"/>
      <c r="T87" s="163"/>
      <c r="U87" s="163"/>
      <c r="V87" s="163"/>
      <c r="W87" s="163"/>
      <c r="X87" s="163"/>
      <c r="Y87" s="163"/>
      <c r="Z87" s="163"/>
      <c r="AA87" s="163"/>
      <c r="AB87" s="163"/>
      <c r="AC87" s="163"/>
      <c r="AD87" s="163"/>
      <c r="AE87" s="163"/>
      <c r="AF87" s="163"/>
      <c r="AG87" s="163"/>
      <c r="AH87" s="163"/>
      <c r="AI87" s="163"/>
      <c r="AJ87" s="163"/>
      <c r="AK87" s="163"/>
      <c r="AL87" s="163"/>
      <c r="AM87" s="163"/>
      <c r="AN87" s="163"/>
      <c r="AO87" s="163">
        <v>0</v>
      </c>
      <c r="AP87" s="163">
        <v>0</v>
      </c>
      <c r="AQ87" s="163">
        <v>0</v>
      </c>
      <c r="AR87" s="163">
        <v>0</v>
      </c>
      <c r="AS87" s="163">
        <v>0</v>
      </c>
      <c r="AT87" s="163">
        <v>0</v>
      </c>
      <c r="AU87" s="163">
        <v>0</v>
      </c>
      <c r="AV87" s="163">
        <v>0</v>
      </c>
      <c r="AW87" s="163">
        <v>0</v>
      </c>
      <c r="AX87" s="163">
        <v>0</v>
      </c>
      <c r="AY87" s="163">
        <v>0</v>
      </c>
      <c r="AZ87" s="163">
        <v>0</v>
      </c>
      <c r="BA87" s="163">
        <v>0</v>
      </c>
      <c r="BB87" s="163">
        <v>0</v>
      </c>
      <c r="BC87" s="163">
        <v>0</v>
      </c>
      <c r="BD87" s="163">
        <v>0</v>
      </c>
      <c r="BE87" s="163">
        <v>0</v>
      </c>
      <c r="BF87" s="163">
        <v>0</v>
      </c>
      <c r="BG87" s="163">
        <v>0</v>
      </c>
      <c r="BH87" s="163">
        <v>0</v>
      </c>
      <c r="BI87" s="163">
        <v>0</v>
      </c>
      <c r="BJ87" s="163">
        <v>0</v>
      </c>
      <c r="BK87" s="163">
        <v>0</v>
      </c>
      <c r="BL87" s="163">
        <v>0</v>
      </c>
      <c r="BM87" s="163">
        <v>0</v>
      </c>
      <c r="BN87" s="163">
        <v>0</v>
      </c>
      <c r="BO87" s="163">
        <v>0</v>
      </c>
      <c r="BP87" s="163">
        <v>0</v>
      </c>
      <c r="BQ87" s="163">
        <v>0</v>
      </c>
      <c r="BR87" s="163">
        <v>0</v>
      </c>
      <c r="BS87" s="163">
        <v>0</v>
      </c>
      <c r="BT87" s="163">
        <v>0</v>
      </c>
      <c r="BU87" s="163">
        <v>0</v>
      </c>
      <c r="BV87" s="163">
        <v>0</v>
      </c>
      <c r="BW87" s="163">
        <v>0</v>
      </c>
      <c r="BX87" s="163">
        <v>0</v>
      </c>
      <c r="BY87" s="163">
        <v>0</v>
      </c>
      <c r="BZ87" s="163">
        <v>0</v>
      </c>
      <c r="CA87" s="163">
        <v>0</v>
      </c>
      <c r="CB87" s="163">
        <v>0</v>
      </c>
      <c r="CC87" s="163">
        <v>0</v>
      </c>
      <c r="CD87" s="163">
        <v>0</v>
      </c>
      <c r="CE87" s="163">
        <v>0</v>
      </c>
      <c r="CF87" s="163">
        <v>0</v>
      </c>
      <c r="CG87" s="163">
        <v>0</v>
      </c>
      <c r="CH87" s="163">
        <v>0</v>
      </c>
      <c r="CI87" s="163">
        <v>0</v>
      </c>
      <c r="CJ87" s="163">
        <v>0</v>
      </c>
      <c r="CK87" s="163">
        <v>0</v>
      </c>
      <c r="CL87" s="163">
        <v>0</v>
      </c>
      <c r="CM87" s="163">
        <v>0</v>
      </c>
      <c r="CN87" s="163">
        <v>0</v>
      </c>
      <c r="CO87" s="163">
        <v>0</v>
      </c>
      <c r="CP87" s="163">
        <v>0</v>
      </c>
      <c r="CQ87" s="163">
        <v>0</v>
      </c>
      <c r="CR87" s="163">
        <v>0</v>
      </c>
      <c r="CS87" s="163">
        <v>0</v>
      </c>
      <c r="CT87" s="163">
        <v>0</v>
      </c>
      <c r="CU87" s="163">
        <v>0</v>
      </c>
      <c r="CV87" s="163">
        <v>0</v>
      </c>
      <c r="CW87" s="163">
        <v>0</v>
      </c>
      <c r="CX87" s="163">
        <v>0</v>
      </c>
      <c r="CY87" s="163">
        <v>0</v>
      </c>
      <c r="CZ87" s="163">
        <v>0</v>
      </c>
      <c r="DA87" s="163">
        <v>0</v>
      </c>
      <c r="DB87" s="163">
        <v>0</v>
      </c>
      <c r="DC87" s="163">
        <v>0</v>
      </c>
      <c r="DD87" s="163">
        <v>0</v>
      </c>
      <c r="DE87" s="163">
        <v>0</v>
      </c>
      <c r="DF87" s="163">
        <f>VLOOKUP($C87,'[3]BS ACC'!$C$5:$DH$1006,108,FALSE)</f>
        <v>0</v>
      </c>
      <c r="DG87" s="163">
        <f>VLOOKUP($C87,'[3]BS ACC'!$C$5:$DH$1006,109,FALSE)</f>
        <v>0</v>
      </c>
      <c r="DH87" s="163">
        <f>VLOOKUP($C87,'[3]BS ACC'!$C$5:$DH$1006,110,FALSE)</f>
        <v>0</v>
      </c>
    </row>
    <row r="88" spans="1:112">
      <c r="A88" s="350" t="str">
        <f t="shared" si="1"/>
        <v>1460743</v>
      </c>
      <c r="B88" s="350" t="s">
        <v>1794</v>
      </c>
      <c r="C88" s="335" t="s">
        <v>1791</v>
      </c>
      <c r="D88" s="340"/>
      <c r="E88" s="340"/>
      <c r="F88" s="340"/>
      <c r="G88" s="340"/>
      <c r="H88" s="340"/>
      <c r="I88" s="340"/>
      <c r="J88" s="340"/>
      <c r="K88" s="340"/>
      <c r="L88" s="340"/>
      <c r="M88" s="340"/>
      <c r="N88" s="340"/>
      <c r="O88" s="340"/>
      <c r="P88" s="341"/>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v>0</v>
      </c>
      <c r="AP88" s="163">
        <v>0</v>
      </c>
      <c r="AQ88" s="163">
        <v>0</v>
      </c>
      <c r="AR88" s="163">
        <v>0</v>
      </c>
      <c r="AS88" s="163">
        <v>0</v>
      </c>
      <c r="AT88" s="163">
        <v>0</v>
      </c>
      <c r="AU88" s="163">
        <v>0</v>
      </c>
      <c r="AV88" s="163">
        <v>0</v>
      </c>
      <c r="AW88" s="163">
        <v>0</v>
      </c>
      <c r="AX88" s="163">
        <v>0</v>
      </c>
      <c r="AY88" s="163">
        <v>0</v>
      </c>
      <c r="AZ88" s="163">
        <v>0</v>
      </c>
      <c r="BA88" s="163">
        <v>0</v>
      </c>
      <c r="BB88" s="163">
        <v>0</v>
      </c>
      <c r="BC88" s="163">
        <v>0</v>
      </c>
      <c r="BD88" s="163">
        <v>0</v>
      </c>
      <c r="BE88" s="163">
        <v>0</v>
      </c>
      <c r="BF88" s="163">
        <v>0</v>
      </c>
      <c r="BG88" s="163">
        <v>0</v>
      </c>
      <c r="BH88" s="163">
        <v>0</v>
      </c>
      <c r="BI88" s="163">
        <v>0</v>
      </c>
      <c r="BJ88" s="163">
        <v>0</v>
      </c>
      <c r="BK88" s="163">
        <v>0</v>
      </c>
      <c r="BL88" s="163">
        <v>0</v>
      </c>
      <c r="BM88" s="163">
        <v>0</v>
      </c>
      <c r="BN88" s="163">
        <v>0</v>
      </c>
      <c r="BO88" s="163">
        <v>0</v>
      </c>
      <c r="BP88" s="163">
        <v>0</v>
      </c>
      <c r="BQ88" s="163">
        <v>0</v>
      </c>
      <c r="BR88" s="163">
        <v>0</v>
      </c>
      <c r="BS88" s="163">
        <v>0</v>
      </c>
      <c r="BT88" s="163">
        <v>0</v>
      </c>
      <c r="BU88" s="163">
        <v>0</v>
      </c>
      <c r="BV88" s="163">
        <v>0</v>
      </c>
      <c r="BW88" s="163">
        <v>0</v>
      </c>
      <c r="BX88" s="163">
        <v>0</v>
      </c>
      <c r="BY88" s="163">
        <v>0</v>
      </c>
      <c r="BZ88" s="163">
        <v>0</v>
      </c>
      <c r="CA88" s="163">
        <v>0</v>
      </c>
      <c r="CB88" s="163">
        <v>0</v>
      </c>
      <c r="CC88" s="163">
        <v>0</v>
      </c>
      <c r="CD88" s="163">
        <v>0</v>
      </c>
      <c r="CE88" s="163">
        <v>0</v>
      </c>
      <c r="CF88" s="163">
        <v>0</v>
      </c>
      <c r="CG88" s="163">
        <v>0</v>
      </c>
      <c r="CH88" s="163">
        <v>0</v>
      </c>
      <c r="CI88" s="163">
        <v>0</v>
      </c>
      <c r="CJ88" s="163">
        <v>0</v>
      </c>
      <c r="CK88" s="163">
        <v>0</v>
      </c>
      <c r="CL88" s="163">
        <v>0</v>
      </c>
      <c r="CM88" s="163">
        <v>0</v>
      </c>
      <c r="CN88" s="163">
        <v>0</v>
      </c>
      <c r="CO88" s="163">
        <v>0</v>
      </c>
      <c r="CP88" s="163">
        <v>0</v>
      </c>
      <c r="CQ88" s="163">
        <v>0</v>
      </c>
      <c r="CR88" s="163">
        <v>0</v>
      </c>
      <c r="CS88" s="163">
        <v>0</v>
      </c>
      <c r="CT88" s="163">
        <v>0</v>
      </c>
      <c r="CU88" s="163">
        <v>0</v>
      </c>
      <c r="CV88" s="163">
        <v>0</v>
      </c>
      <c r="CW88" s="163">
        <v>0</v>
      </c>
      <c r="CX88" s="163">
        <v>0</v>
      </c>
      <c r="CY88" s="163">
        <v>0</v>
      </c>
      <c r="CZ88" s="163">
        <v>0</v>
      </c>
      <c r="DA88" s="163">
        <v>0</v>
      </c>
      <c r="DB88" s="163">
        <v>0</v>
      </c>
      <c r="DC88" s="163">
        <v>0</v>
      </c>
      <c r="DD88" s="163">
        <v>0</v>
      </c>
      <c r="DE88" s="163">
        <v>0</v>
      </c>
      <c r="DF88" s="163">
        <f>VLOOKUP($C88,'[3]BS ACC'!$C$5:$DH$1006,108,FALSE)</f>
        <v>0</v>
      </c>
      <c r="DG88" s="163">
        <f>VLOOKUP($C88,'[3]BS ACC'!$C$5:$DH$1006,109,FALSE)</f>
        <v>0</v>
      </c>
      <c r="DH88" s="163">
        <f>VLOOKUP($C88,'[3]BS ACC'!$C$5:$DH$1006,110,FALSE)</f>
        <v>0</v>
      </c>
    </row>
    <row r="89" spans="1:112">
      <c r="A89" s="350" t="str">
        <f>+B89</f>
        <v>1460780</v>
      </c>
      <c r="B89" s="350" t="s">
        <v>2242</v>
      </c>
      <c r="C89" s="335" t="s">
        <v>2243</v>
      </c>
      <c r="D89" s="340"/>
      <c r="E89" s="340"/>
      <c r="F89" s="340"/>
      <c r="G89" s="340"/>
      <c r="H89" s="340"/>
      <c r="I89" s="340"/>
      <c r="J89" s="340"/>
      <c r="K89" s="340"/>
      <c r="L89" s="340"/>
      <c r="M89" s="340"/>
      <c r="N89" s="340"/>
      <c r="O89" s="340"/>
      <c r="P89" s="341"/>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v>0</v>
      </c>
      <c r="AP89" s="163">
        <v>0</v>
      </c>
      <c r="AQ89" s="163">
        <v>0</v>
      </c>
      <c r="AR89" s="163">
        <v>0</v>
      </c>
      <c r="AS89" s="163">
        <v>0</v>
      </c>
      <c r="AT89" s="163">
        <v>0</v>
      </c>
      <c r="AU89" s="163">
        <v>0</v>
      </c>
      <c r="AV89" s="163">
        <v>0</v>
      </c>
      <c r="AW89" s="163">
        <v>0</v>
      </c>
      <c r="AX89" s="163">
        <v>0</v>
      </c>
      <c r="AY89" s="163">
        <v>0</v>
      </c>
      <c r="AZ89" s="163">
        <v>0</v>
      </c>
      <c r="BA89" s="163">
        <v>0</v>
      </c>
      <c r="BB89" s="163">
        <v>0</v>
      </c>
      <c r="BC89" s="163">
        <v>0</v>
      </c>
      <c r="BD89" s="163">
        <v>0</v>
      </c>
      <c r="BE89" s="163">
        <v>0</v>
      </c>
      <c r="BF89" s="163">
        <v>0</v>
      </c>
      <c r="BG89" s="163">
        <v>0</v>
      </c>
      <c r="BH89" s="163">
        <v>4029.56</v>
      </c>
      <c r="BI89" s="163">
        <v>0</v>
      </c>
      <c r="BJ89" s="163">
        <v>0</v>
      </c>
      <c r="BK89" s="163">
        <v>0</v>
      </c>
      <c r="BL89" s="163">
        <v>0</v>
      </c>
      <c r="BM89" s="163">
        <v>0</v>
      </c>
      <c r="BN89" s="163">
        <v>0</v>
      </c>
      <c r="BO89" s="163">
        <v>0</v>
      </c>
      <c r="BP89" s="163">
        <v>0</v>
      </c>
      <c r="BQ89" s="163">
        <v>0</v>
      </c>
      <c r="BR89" s="163">
        <v>0</v>
      </c>
      <c r="BS89" s="163">
        <v>0</v>
      </c>
      <c r="BT89" s="163">
        <v>0</v>
      </c>
      <c r="BU89" s="163">
        <v>0</v>
      </c>
      <c r="BV89" s="163">
        <v>0</v>
      </c>
      <c r="BW89" s="163">
        <v>0</v>
      </c>
      <c r="BX89" s="163">
        <v>0</v>
      </c>
      <c r="BY89" s="163">
        <v>0</v>
      </c>
      <c r="BZ89" s="163">
        <v>0</v>
      </c>
      <c r="CA89" s="163">
        <v>0</v>
      </c>
      <c r="CB89" s="163">
        <v>0</v>
      </c>
      <c r="CC89" s="163">
        <v>0</v>
      </c>
      <c r="CD89" s="163">
        <v>0</v>
      </c>
      <c r="CE89" s="163">
        <v>0</v>
      </c>
      <c r="CF89" s="163">
        <v>0</v>
      </c>
      <c r="CG89" s="163">
        <v>0</v>
      </c>
      <c r="CH89" s="163">
        <v>0</v>
      </c>
      <c r="CI89" s="163">
        <v>0</v>
      </c>
      <c r="CJ89" s="163">
        <v>0</v>
      </c>
      <c r="CK89" s="163">
        <v>0</v>
      </c>
      <c r="CL89" s="163">
        <v>0</v>
      </c>
      <c r="CM89" s="163">
        <v>0</v>
      </c>
      <c r="CN89" s="163">
        <v>0</v>
      </c>
      <c r="CO89" s="163">
        <v>0</v>
      </c>
      <c r="CP89" s="163">
        <v>0</v>
      </c>
      <c r="CQ89" s="163">
        <v>0</v>
      </c>
      <c r="CR89" s="163">
        <v>0</v>
      </c>
      <c r="CS89" s="163">
        <v>0</v>
      </c>
      <c r="CT89" s="163">
        <v>0</v>
      </c>
      <c r="CU89" s="163">
        <v>0</v>
      </c>
      <c r="CV89" s="163">
        <v>0</v>
      </c>
      <c r="CW89" s="163">
        <v>0</v>
      </c>
      <c r="CX89" s="163">
        <v>0</v>
      </c>
      <c r="CY89" s="163">
        <v>0</v>
      </c>
      <c r="CZ89" s="163">
        <v>0</v>
      </c>
      <c r="DA89" s="163">
        <v>0</v>
      </c>
      <c r="DB89" s="163">
        <v>0</v>
      </c>
      <c r="DC89" s="163">
        <v>0</v>
      </c>
      <c r="DD89" s="163">
        <v>0</v>
      </c>
      <c r="DE89" s="163">
        <v>0</v>
      </c>
      <c r="DF89" s="163">
        <f>VLOOKUP($C89,'[3]BS ACC'!$C$5:$DH$1006,108,FALSE)</f>
        <v>0</v>
      </c>
      <c r="DG89" s="163">
        <f>VLOOKUP($C89,'[3]BS ACC'!$C$5:$DH$1006,109,FALSE)</f>
        <v>0</v>
      </c>
      <c r="DH89" s="163">
        <f>VLOOKUP($C89,'[3]BS ACC'!$C$5:$DH$1006,110,FALSE)</f>
        <v>0</v>
      </c>
    </row>
    <row r="90" spans="1:112">
      <c r="A90" s="350">
        <f>+B90</f>
        <v>1460790</v>
      </c>
      <c r="B90" s="350">
        <v>1460790</v>
      </c>
      <c r="C90" s="955" t="s">
        <v>2539</v>
      </c>
      <c r="D90" s="163">
        <v>0</v>
      </c>
      <c r="E90" s="163">
        <v>0</v>
      </c>
      <c r="F90" s="163">
        <v>0</v>
      </c>
      <c r="G90" s="163">
        <v>0</v>
      </c>
      <c r="H90" s="163">
        <v>0</v>
      </c>
      <c r="I90" s="163">
        <v>0</v>
      </c>
      <c r="J90" s="163">
        <v>0</v>
      </c>
      <c r="K90" s="163">
        <v>0</v>
      </c>
      <c r="L90" s="163">
        <v>0</v>
      </c>
      <c r="M90" s="163">
        <v>0</v>
      </c>
      <c r="N90" s="163">
        <v>0</v>
      </c>
      <c r="O90" s="163">
        <v>0</v>
      </c>
      <c r="P90" s="163">
        <v>0</v>
      </c>
      <c r="Q90" s="163">
        <v>0</v>
      </c>
      <c r="R90" s="163">
        <v>0</v>
      </c>
      <c r="S90" s="163">
        <v>0</v>
      </c>
      <c r="T90" s="163">
        <v>0</v>
      </c>
      <c r="U90" s="163">
        <v>0</v>
      </c>
      <c r="V90" s="163">
        <v>0</v>
      </c>
      <c r="W90" s="163">
        <v>0</v>
      </c>
      <c r="X90" s="163">
        <v>0</v>
      </c>
      <c r="Y90" s="163">
        <v>0</v>
      </c>
      <c r="Z90" s="163">
        <v>0</v>
      </c>
      <c r="AA90" s="163">
        <v>0</v>
      </c>
      <c r="AB90" s="163">
        <v>0</v>
      </c>
      <c r="AC90" s="163">
        <v>0</v>
      </c>
      <c r="AD90" s="163">
        <v>0</v>
      </c>
      <c r="AE90" s="163">
        <v>0</v>
      </c>
      <c r="AF90" s="163">
        <v>0</v>
      </c>
      <c r="AG90" s="163">
        <v>0</v>
      </c>
      <c r="AH90" s="163">
        <v>0</v>
      </c>
      <c r="AI90" s="163">
        <v>0</v>
      </c>
      <c r="AJ90" s="163">
        <v>0</v>
      </c>
      <c r="AK90" s="163">
        <v>0</v>
      </c>
      <c r="AL90" s="163">
        <v>0</v>
      </c>
      <c r="AM90" s="163">
        <v>0</v>
      </c>
      <c r="AN90" s="163">
        <v>0</v>
      </c>
      <c r="AO90" s="163">
        <v>0</v>
      </c>
      <c r="AP90" s="163">
        <v>0</v>
      </c>
      <c r="AQ90" s="163">
        <v>0</v>
      </c>
      <c r="AR90" s="163">
        <v>0</v>
      </c>
      <c r="AS90" s="163">
        <v>0</v>
      </c>
      <c r="AT90" s="163">
        <v>0</v>
      </c>
      <c r="AU90" s="163">
        <v>0</v>
      </c>
      <c r="AV90" s="163">
        <v>0</v>
      </c>
      <c r="AW90" s="163">
        <v>0</v>
      </c>
      <c r="AX90" s="163">
        <v>0</v>
      </c>
      <c r="AY90" s="163">
        <v>0</v>
      </c>
      <c r="AZ90" s="163">
        <v>0</v>
      </c>
      <c r="BA90" s="163">
        <v>0</v>
      </c>
      <c r="BB90" s="163">
        <v>0</v>
      </c>
      <c r="BC90" s="163">
        <v>0</v>
      </c>
      <c r="BD90" s="163">
        <v>0</v>
      </c>
      <c r="BE90" s="163">
        <v>0</v>
      </c>
      <c r="BF90" s="163">
        <v>0</v>
      </c>
      <c r="BG90" s="163">
        <v>0</v>
      </c>
      <c r="BH90" s="163">
        <v>0</v>
      </c>
      <c r="BI90" s="163">
        <v>0</v>
      </c>
      <c r="BJ90" s="163">
        <v>0</v>
      </c>
      <c r="BK90" s="163">
        <v>0</v>
      </c>
      <c r="BL90" s="163">
        <v>0</v>
      </c>
      <c r="BM90" s="163">
        <v>0</v>
      </c>
      <c r="BN90" s="163">
        <v>0</v>
      </c>
      <c r="BO90" s="163">
        <v>0</v>
      </c>
      <c r="BP90" s="163">
        <v>0</v>
      </c>
      <c r="BQ90" s="163">
        <v>0</v>
      </c>
      <c r="BR90" s="163">
        <v>0</v>
      </c>
      <c r="BS90" s="163">
        <v>0</v>
      </c>
      <c r="BT90" s="163">
        <v>0</v>
      </c>
      <c r="BU90" s="163">
        <v>0</v>
      </c>
      <c r="BV90" s="163">
        <v>0</v>
      </c>
      <c r="BW90" s="163">
        <v>0</v>
      </c>
      <c r="BX90" s="163">
        <v>0</v>
      </c>
      <c r="BY90" s="163">
        <v>0</v>
      </c>
      <c r="BZ90" s="163">
        <v>0</v>
      </c>
      <c r="CA90" s="163">
        <v>0</v>
      </c>
      <c r="CB90" s="163">
        <v>0</v>
      </c>
      <c r="CC90" s="163">
        <v>0</v>
      </c>
      <c r="CD90" s="163">
        <v>0</v>
      </c>
      <c r="CE90" s="163">
        <v>0</v>
      </c>
      <c r="CF90" s="163">
        <v>550933</v>
      </c>
      <c r="CG90" s="163">
        <v>1385701</v>
      </c>
      <c r="CH90" s="163">
        <v>60493.56</v>
      </c>
      <c r="CI90" s="163">
        <v>9889.69</v>
      </c>
      <c r="CJ90" s="163">
        <v>10225.68</v>
      </c>
      <c r="CK90" s="163">
        <v>10225.68</v>
      </c>
      <c r="CL90" s="163">
        <v>10225.68</v>
      </c>
      <c r="CM90" s="163">
        <v>0</v>
      </c>
      <c r="CN90" s="163">
        <v>0</v>
      </c>
      <c r="CO90" s="163">
        <v>0</v>
      </c>
      <c r="CP90" s="163">
        <v>0</v>
      </c>
      <c r="CQ90" s="163">
        <v>0</v>
      </c>
      <c r="CR90" s="163">
        <v>0</v>
      </c>
      <c r="CS90" s="163">
        <v>0</v>
      </c>
      <c r="CT90" s="163">
        <v>0</v>
      </c>
      <c r="CU90" s="163">
        <v>0</v>
      </c>
      <c r="CV90" s="163">
        <v>0</v>
      </c>
      <c r="CW90" s="163">
        <v>0</v>
      </c>
      <c r="CX90" s="163">
        <v>0</v>
      </c>
      <c r="CY90" s="163">
        <v>0</v>
      </c>
      <c r="CZ90" s="163">
        <v>0</v>
      </c>
      <c r="DA90" s="163">
        <v>0</v>
      </c>
      <c r="DB90" s="163">
        <v>0.01</v>
      </c>
      <c r="DC90" s="163">
        <v>0.01</v>
      </c>
      <c r="DD90" s="163">
        <v>0.01</v>
      </c>
      <c r="DE90" s="163">
        <v>0.09</v>
      </c>
      <c r="DF90" s="163">
        <f>VLOOKUP($C90,'[3]BS ACC'!$C$5:$DH$1006,108,FALSE)</f>
        <v>0.09</v>
      </c>
      <c r="DG90" s="163">
        <f>VLOOKUP($C90,'[3]BS ACC'!$C$5:$DH$1006,109,FALSE)</f>
        <v>0.09</v>
      </c>
      <c r="DH90" s="163">
        <f>VLOOKUP($C90,'[3]BS ACC'!$C$5:$DH$1006,110,FALSE)</f>
        <v>0.09</v>
      </c>
    </row>
    <row r="91" spans="1:112">
      <c r="A91" s="350" t="str">
        <f t="shared" si="1"/>
        <v>1460791</v>
      </c>
      <c r="B91" s="350" t="s">
        <v>1846</v>
      </c>
      <c r="C91" s="335" t="s">
        <v>1842</v>
      </c>
      <c r="D91" s="340"/>
      <c r="E91" s="340"/>
      <c r="F91" s="340"/>
      <c r="G91" s="340"/>
      <c r="H91" s="340"/>
      <c r="I91" s="340"/>
      <c r="J91" s="340"/>
      <c r="K91" s="340"/>
      <c r="L91" s="340"/>
      <c r="M91" s="340"/>
      <c r="N91" s="340"/>
      <c r="O91" s="340"/>
      <c r="P91" s="341"/>
      <c r="Q91" s="163"/>
      <c r="R91" s="163"/>
      <c r="S91" s="163"/>
      <c r="T91" s="163"/>
      <c r="U91" s="163"/>
      <c r="V91" s="163"/>
      <c r="W91" s="163"/>
      <c r="X91" s="163"/>
      <c r="Y91" s="163"/>
      <c r="Z91" s="163"/>
      <c r="AA91" s="163"/>
      <c r="AB91" s="163"/>
      <c r="AC91" s="163"/>
      <c r="AD91" s="163"/>
      <c r="AE91" s="163"/>
      <c r="AF91" s="163"/>
      <c r="AG91" s="163"/>
      <c r="AH91" s="163"/>
      <c r="AI91" s="163"/>
      <c r="AJ91" s="163"/>
      <c r="AK91" s="163"/>
      <c r="AL91" s="163"/>
      <c r="AM91" s="163"/>
      <c r="AN91" s="163"/>
      <c r="AO91" s="163">
        <v>0</v>
      </c>
      <c r="AP91" s="163">
        <v>0</v>
      </c>
      <c r="AQ91" s="163">
        <v>0</v>
      </c>
      <c r="AR91" s="163">
        <v>0</v>
      </c>
      <c r="AS91" s="163">
        <v>0</v>
      </c>
      <c r="AT91" s="163">
        <v>0</v>
      </c>
      <c r="AU91" s="163">
        <v>0</v>
      </c>
      <c r="AV91" s="163">
        <v>0</v>
      </c>
      <c r="AW91" s="163">
        <v>0</v>
      </c>
      <c r="AX91" s="163">
        <v>0</v>
      </c>
      <c r="AY91" s="163">
        <v>0</v>
      </c>
      <c r="AZ91" s="163">
        <v>1268</v>
      </c>
      <c r="BA91" s="163">
        <v>0</v>
      </c>
      <c r="BB91" s="163">
        <v>0</v>
      </c>
      <c r="BC91" s="163">
        <v>0</v>
      </c>
      <c r="BD91" s="163">
        <v>0</v>
      </c>
      <c r="BE91" s="163">
        <v>0</v>
      </c>
      <c r="BF91" s="163">
        <v>4340</v>
      </c>
      <c r="BG91" s="163">
        <v>0</v>
      </c>
      <c r="BH91" s="163">
        <v>0</v>
      </c>
      <c r="BI91" s="163">
        <v>15110.7</v>
      </c>
      <c r="BJ91" s="163">
        <v>0</v>
      </c>
      <c r="BK91" s="163">
        <v>0</v>
      </c>
      <c r="BL91" s="163">
        <v>14235</v>
      </c>
      <c r="BM91" s="163">
        <v>0</v>
      </c>
      <c r="BN91" s="163">
        <v>0</v>
      </c>
      <c r="BO91" s="163">
        <v>0</v>
      </c>
      <c r="BP91" s="163">
        <v>38130.42</v>
      </c>
      <c r="BQ91" s="163">
        <v>2480</v>
      </c>
      <c r="BR91" s="163">
        <v>0</v>
      </c>
      <c r="BS91" s="163">
        <v>0</v>
      </c>
      <c r="BT91" s="163">
        <v>0</v>
      </c>
      <c r="BU91" s="163">
        <v>0</v>
      </c>
      <c r="BV91" s="163">
        <v>0</v>
      </c>
      <c r="BW91" s="163">
        <v>0</v>
      </c>
      <c r="BX91" s="163">
        <v>93068</v>
      </c>
      <c r="BY91" s="163">
        <v>62828</v>
      </c>
      <c r="BZ91" s="163">
        <v>65389</v>
      </c>
      <c r="CA91" s="163">
        <v>85545</v>
      </c>
      <c r="CB91" s="163">
        <v>45003</v>
      </c>
      <c r="CC91" s="163">
        <v>69677</v>
      </c>
      <c r="CD91" s="163">
        <v>88296.5</v>
      </c>
      <c r="CE91" s="163">
        <v>59767</v>
      </c>
      <c r="CF91" s="163">
        <v>535321</v>
      </c>
      <c r="CG91" s="163">
        <v>255654.86</v>
      </c>
      <c r="CH91" s="163">
        <v>216829.37</v>
      </c>
      <c r="CI91" s="163">
        <v>273966.83</v>
      </c>
      <c r="CJ91" s="163">
        <v>265557.40999999997</v>
      </c>
      <c r="CK91" s="163">
        <v>207052.58</v>
      </c>
      <c r="CL91" s="163">
        <v>361102.67</v>
      </c>
      <c r="CM91" s="163">
        <v>268533.11</v>
      </c>
      <c r="CN91" s="163">
        <v>254956.27</v>
      </c>
      <c r="CO91" s="163">
        <v>487811.96</v>
      </c>
      <c r="CP91" s="163">
        <v>1623672.09</v>
      </c>
      <c r="CQ91" s="163">
        <v>2578706.04</v>
      </c>
      <c r="CR91" s="163">
        <v>2391309.62</v>
      </c>
      <c r="CS91" s="163">
        <v>1174824.8600000001</v>
      </c>
      <c r="CT91" s="163">
        <v>1478902.4</v>
      </c>
      <c r="CU91" s="163">
        <v>265505.61</v>
      </c>
      <c r="CV91" s="163">
        <v>243017.09</v>
      </c>
      <c r="CW91" s="163">
        <v>1168548.56</v>
      </c>
      <c r="CX91" s="163">
        <v>254460.39</v>
      </c>
      <c r="CY91" s="163">
        <v>1619546.36</v>
      </c>
      <c r="CZ91" s="163">
        <v>233080.91</v>
      </c>
      <c r="DA91" s="163">
        <v>4503860.24</v>
      </c>
      <c r="DB91" s="163">
        <v>6456321.3799999999</v>
      </c>
      <c r="DC91" s="163">
        <v>3408609.92</v>
      </c>
      <c r="DD91" s="163">
        <v>4656639.3899999997</v>
      </c>
      <c r="DE91" s="163">
        <v>3330609.55</v>
      </c>
      <c r="DF91" s="163">
        <f>VLOOKUP($C91,'[3]BS ACC'!$C$5:$DH$1006,108,FALSE)</f>
        <v>426380.08</v>
      </c>
      <c r="DG91" s="163">
        <f>VLOOKUP($C91,'[3]BS ACC'!$C$5:$DH$1006,109,FALSE)</f>
        <v>368934.55</v>
      </c>
      <c r="DH91" s="163">
        <f>VLOOKUP($C91,'[3]BS ACC'!$C$5:$DH$1006,110,FALSE)</f>
        <v>1547116.99</v>
      </c>
    </row>
    <row r="92" spans="1:112">
      <c r="A92" s="350" t="str">
        <f t="shared" si="1"/>
        <v>1510050</v>
      </c>
      <c r="B92" s="350" t="s">
        <v>1587</v>
      </c>
      <c r="C92" s="335" t="s">
        <v>651</v>
      </c>
      <c r="D92" s="340">
        <v>0</v>
      </c>
      <c r="E92" s="340">
        <v>0</v>
      </c>
      <c r="F92" s="340">
        <v>0</v>
      </c>
      <c r="G92" s="340">
        <v>0</v>
      </c>
      <c r="H92" s="340">
        <v>0</v>
      </c>
      <c r="I92" s="340">
        <v>0</v>
      </c>
      <c r="J92" s="340">
        <v>0</v>
      </c>
      <c r="K92" s="340">
        <v>0</v>
      </c>
      <c r="L92" s="340">
        <v>0</v>
      </c>
      <c r="M92" s="340">
        <v>0</v>
      </c>
      <c r="N92" s="340">
        <v>0</v>
      </c>
      <c r="O92" s="340">
        <v>0</v>
      </c>
      <c r="P92" s="341">
        <v>0</v>
      </c>
      <c r="Q92" s="163">
        <v>0</v>
      </c>
      <c r="R92" s="163">
        <v>0</v>
      </c>
      <c r="S92" s="163">
        <v>0</v>
      </c>
      <c r="T92" s="163">
        <v>0</v>
      </c>
      <c r="U92" s="163">
        <v>0</v>
      </c>
      <c r="V92" s="163">
        <v>0</v>
      </c>
      <c r="W92" s="163">
        <v>0</v>
      </c>
      <c r="X92" s="163">
        <v>0</v>
      </c>
      <c r="Y92" s="163">
        <v>0</v>
      </c>
      <c r="Z92" s="163">
        <v>0</v>
      </c>
      <c r="AA92" s="163">
        <v>0</v>
      </c>
      <c r="AB92" s="163">
        <v>0</v>
      </c>
      <c r="AC92" s="163">
        <v>0</v>
      </c>
      <c r="AD92" s="163">
        <v>0</v>
      </c>
      <c r="AE92" s="163">
        <v>0</v>
      </c>
      <c r="AF92" s="163">
        <v>0</v>
      </c>
      <c r="AG92" s="163">
        <v>0</v>
      </c>
      <c r="AH92" s="163">
        <v>0</v>
      </c>
      <c r="AI92" s="163">
        <v>0</v>
      </c>
      <c r="AJ92" s="163">
        <v>0</v>
      </c>
      <c r="AK92" s="163">
        <v>0</v>
      </c>
      <c r="AL92" s="163">
        <v>0</v>
      </c>
      <c r="AM92" s="163">
        <v>0</v>
      </c>
      <c r="AN92" s="163">
        <v>0</v>
      </c>
      <c r="AO92" s="163">
        <v>0</v>
      </c>
      <c r="AP92" s="163">
        <v>0</v>
      </c>
      <c r="AQ92" s="163">
        <v>0</v>
      </c>
      <c r="AR92" s="163">
        <v>0</v>
      </c>
      <c r="AS92" s="163">
        <v>0</v>
      </c>
      <c r="AT92" s="163">
        <v>0</v>
      </c>
      <c r="AU92" s="163">
        <v>0</v>
      </c>
      <c r="AV92" s="163">
        <v>0</v>
      </c>
      <c r="AW92" s="163">
        <v>0</v>
      </c>
      <c r="AX92" s="163">
        <v>0</v>
      </c>
      <c r="AY92" s="163">
        <v>0</v>
      </c>
      <c r="AZ92" s="163">
        <v>0</v>
      </c>
      <c r="BA92" s="163">
        <v>0</v>
      </c>
      <c r="BB92" s="163">
        <v>0</v>
      </c>
      <c r="BC92" s="163">
        <v>0</v>
      </c>
      <c r="BD92" s="163">
        <v>0</v>
      </c>
      <c r="BE92" s="163">
        <v>0</v>
      </c>
      <c r="BF92" s="163">
        <v>0</v>
      </c>
      <c r="BG92" s="163">
        <v>0</v>
      </c>
      <c r="BH92" s="163">
        <v>0</v>
      </c>
      <c r="BI92" s="163">
        <v>0</v>
      </c>
      <c r="BJ92" s="163">
        <v>0</v>
      </c>
      <c r="BK92" s="163">
        <v>0</v>
      </c>
      <c r="BL92" s="163">
        <v>0</v>
      </c>
      <c r="BM92" s="163">
        <v>0</v>
      </c>
      <c r="BN92" s="163">
        <v>0</v>
      </c>
      <c r="BO92" s="163">
        <v>0</v>
      </c>
      <c r="BP92" s="163">
        <v>0</v>
      </c>
      <c r="BQ92" s="163">
        <v>0</v>
      </c>
      <c r="BR92" s="163">
        <v>0</v>
      </c>
      <c r="BS92" s="163">
        <v>0</v>
      </c>
      <c r="BT92" s="163">
        <v>0</v>
      </c>
      <c r="BU92" s="163">
        <v>0</v>
      </c>
      <c r="BV92" s="163">
        <v>0</v>
      </c>
      <c r="BW92" s="163">
        <v>0</v>
      </c>
      <c r="BX92" s="163">
        <v>0</v>
      </c>
      <c r="BY92" s="163">
        <v>0</v>
      </c>
      <c r="BZ92" s="163">
        <v>0</v>
      </c>
      <c r="CA92" s="163">
        <v>0</v>
      </c>
      <c r="CB92" s="163">
        <v>0</v>
      </c>
      <c r="CC92" s="163">
        <v>0</v>
      </c>
      <c r="CD92" s="163">
        <v>0</v>
      </c>
      <c r="CE92" s="163">
        <v>0</v>
      </c>
      <c r="CF92" s="163">
        <v>0</v>
      </c>
      <c r="CG92" s="163">
        <v>0</v>
      </c>
      <c r="CH92" s="163">
        <v>0</v>
      </c>
      <c r="CI92" s="163">
        <v>0</v>
      </c>
      <c r="CJ92" s="163">
        <v>0</v>
      </c>
      <c r="CK92" s="163">
        <v>0</v>
      </c>
      <c r="CL92" s="163">
        <v>0</v>
      </c>
      <c r="CM92" s="163">
        <v>0</v>
      </c>
      <c r="CN92" s="163">
        <v>0</v>
      </c>
      <c r="CO92" s="163">
        <v>0</v>
      </c>
      <c r="CP92" s="163">
        <v>0</v>
      </c>
      <c r="CQ92" s="163">
        <v>0</v>
      </c>
      <c r="CR92" s="163">
        <v>0</v>
      </c>
      <c r="CS92" s="163">
        <v>0</v>
      </c>
      <c r="CT92" s="163">
        <v>0</v>
      </c>
      <c r="CU92" s="163">
        <v>0</v>
      </c>
      <c r="CV92" s="163">
        <v>0</v>
      </c>
      <c r="CW92" s="163">
        <v>0</v>
      </c>
      <c r="CX92" s="163">
        <v>0</v>
      </c>
      <c r="CY92" s="163">
        <v>0</v>
      </c>
      <c r="CZ92" s="163">
        <v>0</v>
      </c>
      <c r="DA92" s="163">
        <v>0</v>
      </c>
      <c r="DB92" s="163">
        <v>0</v>
      </c>
      <c r="DC92" s="163">
        <v>0</v>
      </c>
      <c r="DD92" s="163">
        <v>0</v>
      </c>
      <c r="DE92" s="163">
        <v>0</v>
      </c>
      <c r="DF92" s="163">
        <f>VLOOKUP($C92,'[3]BS ACC'!$C$5:$DH$1006,108,FALSE)</f>
        <v>0</v>
      </c>
      <c r="DG92" s="163">
        <f>VLOOKUP($C92,'[3]BS ACC'!$C$5:$DH$1006,109,FALSE)</f>
        <v>0</v>
      </c>
      <c r="DH92" s="163">
        <f>VLOOKUP($C92,'[3]BS ACC'!$C$5:$DH$1006,110,FALSE)</f>
        <v>0</v>
      </c>
    </row>
    <row r="93" spans="1:112">
      <c r="A93" s="350" t="str">
        <f t="shared" si="1"/>
        <v>1540000</v>
      </c>
      <c r="B93" s="350" t="s">
        <v>1504</v>
      </c>
      <c r="C93" s="335" t="s">
        <v>652</v>
      </c>
      <c r="D93" s="340">
        <v>3062782.86</v>
      </c>
      <c r="E93" s="340">
        <v>2461744.83</v>
      </c>
      <c r="F93" s="340">
        <v>2565528.77</v>
      </c>
      <c r="G93" s="340">
        <v>2101725.61</v>
      </c>
      <c r="H93" s="340">
        <v>2087172.27</v>
      </c>
      <c r="I93" s="340">
        <v>1960379.72</v>
      </c>
      <c r="J93" s="340">
        <v>1883606.53</v>
      </c>
      <c r="K93" s="340">
        <v>1886869.5</v>
      </c>
      <c r="L93" s="340">
        <v>1975215.06</v>
      </c>
      <c r="M93" s="340">
        <v>1938993.96</v>
      </c>
      <c r="N93" s="340">
        <v>1755238.86</v>
      </c>
      <c r="O93" s="340">
        <v>1763112.05</v>
      </c>
      <c r="P93" s="341">
        <v>1799639.2</v>
      </c>
      <c r="Q93" s="163">
        <v>1795256.79</v>
      </c>
      <c r="R93" s="163">
        <v>1882330.62</v>
      </c>
      <c r="S93" s="163">
        <v>1995646.83</v>
      </c>
      <c r="T93" s="163">
        <v>1941364.49</v>
      </c>
      <c r="U93" s="163">
        <v>1971050.56</v>
      </c>
      <c r="V93" s="163">
        <v>2109939.8199999998</v>
      </c>
      <c r="W93" s="163">
        <v>2392366.35</v>
      </c>
      <c r="X93" s="163">
        <v>2373514.0699999998</v>
      </c>
      <c r="Y93" s="163">
        <v>2155566.11</v>
      </c>
      <c r="Z93" s="163">
        <v>2415372.61</v>
      </c>
      <c r="AA93" s="163">
        <v>2065067.07</v>
      </c>
      <c r="AB93" s="163">
        <v>1793094.38</v>
      </c>
      <c r="AC93" s="163">
        <v>1876254.86</v>
      </c>
      <c r="AD93" s="163">
        <v>1981157.8</v>
      </c>
      <c r="AE93" s="163">
        <v>1959619.57</v>
      </c>
      <c r="AF93" s="163">
        <v>1899603.24</v>
      </c>
      <c r="AG93" s="163">
        <v>2257611.46</v>
      </c>
      <c r="AH93" s="163">
        <v>2468008.77</v>
      </c>
      <c r="AI93" s="163">
        <v>1956116.69</v>
      </c>
      <c r="AJ93" s="163">
        <v>1919024.36</v>
      </c>
      <c r="AK93" s="163">
        <v>2077150.46</v>
      </c>
      <c r="AL93" s="163">
        <v>1860636.12</v>
      </c>
      <c r="AM93" s="163">
        <v>1623395.73</v>
      </c>
      <c r="AN93" s="163">
        <v>1653159.73</v>
      </c>
      <c r="AO93" s="163">
        <v>1858855.81</v>
      </c>
      <c r="AP93" s="163">
        <v>1904817.91</v>
      </c>
      <c r="AQ93" s="163">
        <v>1988687.66</v>
      </c>
      <c r="AR93" s="163">
        <v>1926638.87</v>
      </c>
      <c r="AS93" s="163">
        <v>2100729.92</v>
      </c>
      <c r="AT93" s="163">
        <v>2046668.36</v>
      </c>
      <c r="AU93" s="163">
        <v>2071037.68</v>
      </c>
      <c r="AV93" s="163">
        <v>2016818.42</v>
      </c>
      <c r="AW93" s="163">
        <v>2131647.7999999998</v>
      </c>
      <c r="AX93" s="163">
        <v>2042216.68</v>
      </c>
      <c r="AY93" s="163">
        <v>1900584.82</v>
      </c>
      <c r="AZ93" s="163">
        <v>1887695.39</v>
      </c>
      <c r="BA93" s="163">
        <v>2070997.65</v>
      </c>
      <c r="BB93" s="163">
        <v>2149876.11</v>
      </c>
      <c r="BC93" s="163">
        <v>2006690.32</v>
      </c>
      <c r="BD93" s="163">
        <v>1972097.67</v>
      </c>
      <c r="BE93" s="163">
        <v>2190177.17</v>
      </c>
      <c r="BF93" s="163">
        <v>2163452.0299999998</v>
      </c>
      <c r="BG93" s="163">
        <v>2125576.85</v>
      </c>
      <c r="BH93" s="163">
        <v>2476378.0499999998</v>
      </c>
      <c r="BI93" s="163">
        <v>2741218.33</v>
      </c>
      <c r="BJ93" s="163">
        <v>2360109.85</v>
      </c>
      <c r="BK93" s="163">
        <v>2172177.2200000002</v>
      </c>
      <c r="BL93" s="163">
        <v>2073130.1</v>
      </c>
      <c r="BM93" s="163">
        <v>2183604.33</v>
      </c>
      <c r="BN93" s="163">
        <v>2363788.79</v>
      </c>
      <c r="BO93" s="163">
        <v>2385549.1</v>
      </c>
      <c r="BP93" s="163">
        <v>2474715.5499999998</v>
      </c>
      <c r="BQ93" s="163">
        <v>2512819.36</v>
      </c>
      <c r="BR93" s="163">
        <v>2780054.56</v>
      </c>
      <c r="BS93" s="163">
        <v>2687237.82</v>
      </c>
      <c r="BT93" s="163">
        <v>2783190.01</v>
      </c>
      <c r="BU93" s="163">
        <v>2571701.88</v>
      </c>
      <c r="BV93" s="163">
        <v>2738670.95</v>
      </c>
      <c r="BW93" s="163">
        <v>2709384.59</v>
      </c>
      <c r="BX93" s="163">
        <v>2401228.73</v>
      </c>
      <c r="BY93" s="163">
        <v>2400792.73</v>
      </c>
      <c r="BZ93" s="163">
        <v>2617789.75</v>
      </c>
      <c r="CA93" s="163">
        <v>2444409.17</v>
      </c>
      <c r="CB93" s="163">
        <v>2661159.0499999998</v>
      </c>
      <c r="CC93" s="163">
        <v>2807189.21</v>
      </c>
      <c r="CD93" s="163">
        <v>2832085.74</v>
      </c>
      <c r="CE93" s="163">
        <v>2649768.37</v>
      </c>
      <c r="CF93" s="163">
        <v>2895960.3</v>
      </c>
      <c r="CG93" s="163">
        <v>2763278.25</v>
      </c>
      <c r="CH93" s="163">
        <v>3044537</v>
      </c>
      <c r="CI93" s="163">
        <v>2851203.61</v>
      </c>
      <c r="CJ93" s="163">
        <v>2998336.09</v>
      </c>
      <c r="CK93" s="163">
        <v>3185968.43</v>
      </c>
      <c r="CL93" s="163">
        <v>3089869.03</v>
      </c>
      <c r="CM93" s="163">
        <v>3262009.15</v>
      </c>
      <c r="CN93" s="163">
        <v>3750227.49</v>
      </c>
      <c r="CO93" s="163">
        <v>3835254.8</v>
      </c>
      <c r="CP93" s="163">
        <v>4186310.55</v>
      </c>
      <c r="CQ93" s="163">
        <v>3842946.45</v>
      </c>
      <c r="CR93" s="163">
        <v>4056172.35</v>
      </c>
      <c r="CS93" s="163">
        <v>4544331.8499999996</v>
      </c>
      <c r="CT93" s="163">
        <v>4167012.26</v>
      </c>
      <c r="CU93" s="163">
        <v>4010626.99</v>
      </c>
      <c r="CV93" s="163">
        <v>2635011.9900000002</v>
      </c>
      <c r="CW93" s="163">
        <v>3634159.02</v>
      </c>
      <c r="CX93" s="163">
        <v>3462773.67</v>
      </c>
      <c r="CY93" s="163">
        <v>3847498.79</v>
      </c>
      <c r="CZ93" s="163">
        <v>4272214.34</v>
      </c>
      <c r="DA93" s="163">
        <v>4533297.7300000004</v>
      </c>
      <c r="DB93" s="163">
        <v>4553497.25</v>
      </c>
      <c r="DC93" s="163">
        <v>4636479.63</v>
      </c>
      <c r="DD93" s="163">
        <v>4527009.3</v>
      </c>
      <c r="DE93" s="163">
        <v>5185663.9400000004</v>
      </c>
      <c r="DF93" s="163">
        <f>VLOOKUP($C93,'[3]BS ACC'!$C$5:$DH$1006,108,FALSE)</f>
        <v>6167061.3200000003</v>
      </c>
      <c r="DG93" s="163">
        <f>VLOOKUP($C93,'[3]BS ACC'!$C$5:$DH$1006,109,FALSE)</f>
        <v>6268299.8899999997</v>
      </c>
      <c r="DH93" s="163">
        <f>VLOOKUP($C93,'[3]BS ACC'!$C$5:$DH$1006,110,FALSE)</f>
        <v>4817154.4800000004</v>
      </c>
    </row>
    <row r="94" spans="1:112">
      <c r="A94" s="350" t="str">
        <f t="shared" si="1"/>
        <v>1540001</v>
      </c>
      <c r="B94" s="350" t="s">
        <v>1588</v>
      </c>
      <c r="C94" s="335" t="s">
        <v>653</v>
      </c>
      <c r="D94" s="340">
        <v>0</v>
      </c>
      <c r="E94" s="340">
        <v>0</v>
      </c>
      <c r="F94" s="340">
        <v>0</v>
      </c>
      <c r="G94" s="340">
        <v>0</v>
      </c>
      <c r="H94" s="340">
        <v>0</v>
      </c>
      <c r="I94" s="340">
        <v>0</v>
      </c>
      <c r="J94" s="340">
        <v>0</v>
      </c>
      <c r="K94" s="340">
        <v>0</v>
      </c>
      <c r="L94" s="340">
        <v>0</v>
      </c>
      <c r="M94" s="340">
        <v>0</v>
      </c>
      <c r="N94" s="340">
        <v>0</v>
      </c>
      <c r="O94" s="340">
        <v>0</v>
      </c>
      <c r="P94" s="341">
        <v>0</v>
      </c>
      <c r="Q94" s="163">
        <v>0</v>
      </c>
      <c r="R94" s="163">
        <v>0</v>
      </c>
      <c r="S94" s="163">
        <v>0</v>
      </c>
      <c r="T94" s="163">
        <v>0</v>
      </c>
      <c r="U94" s="163">
        <v>0</v>
      </c>
      <c r="V94" s="163">
        <v>0</v>
      </c>
      <c r="W94" s="163">
        <v>0</v>
      </c>
      <c r="X94" s="163">
        <v>0</v>
      </c>
      <c r="Y94" s="163">
        <v>0</v>
      </c>
      <c r="Z94" s="163">
        <v>0</v>
      </c>
      <c r="AA94" s="163">
        <v>0</v>
      </c>
      <c r="AB94" s="163">
        <v>121567.51</v>
      </c>
      <c r="AC94" s="163">
        <v>0</v>
      </c>
      <c r="AD94" s="163">
        <v>0</v>
      </c>
      <c r="AE94" s="163">
        <v>0</v>
      </c>
      <c r="AF94" s="163">
        <v>0</v>
      </c>
      <c r="AG94" s="163">
        <v>0</v>
      </c>
      <c r="AH94" s="163">
        <v>-659863.47</v>
      </c>
      <c r="AI94" s="163">
        <v>0</v>
      </c>
      <c r="AJ94" s="163">
        <v>0</v>
      </c>
      <c r="AK94" s="163">
        <v>0</v>
      </c>
      <c r="AL94" s="163">
        <v>0</v>
      </c>
      <c r="AM94" s="163">
        <v>0</v>
      </c>
      <c r="AN94" s="163">
        <v>47542.67</v>
      </c>
      <c r="AO94" s="163">
        <v>0</v>
      </c>
      <c r="AP94" s="163">
        <v>0</v>
      </c>
      <c r="AQ94" s="163">
        <v>0</v>
      </c>
      <c r="AR94" s="163">
        <v>0</v>
      </c>
      <c r="AS94" s="163">
        <v>0</v>
      </c>
      <c r="AT94" s="163">
        <v>0</v>
      </c>
      <c r="AU94" s="163">
        <v>0</v>
      </c>
      <c r="AV94" s="163">
        <v>0</v>
      </c>
      <c r="AW94" s="163">
        <v>0</v>
      </c>
      <c r="AX94" s="163">
        <v>0</v>
      </c>
      <c r="AY94" s="163">
        <v>0</v>
      </c>
      <c r="AZ94" s="163">
        <v>0</v>
      </c>
      <c r="BA94" s="163">
        <v>0</v>
      </c>
      <c r="BB94" s="163">
        <v>0</v>
      </c>
      <c r="BC94" s="163">
        <v>0</v>
      </c>
      <c r="BD94" s="163">
        <v>0</v>
      </c>
      <c r="BE94" s="163">
        <v>0</v>
      </c>
      <c r="BF94" s="163">
        <v>0</v>
      </c>
      <c r="BG94" s="163">
        <v>0</v>
      </c>
      <c r="BH94" s="163">
        <v>0</v>
      </c>
      <c r="BI94" s="163">
        <v>0</v>
      </c>
      <c r="BJ94" s="163">
        <v>0</v>
      </c>
      <c r="BK94" s="163">
        <v>0</v>
      </c>
      <c r="BL94" s="163">
        <v>0</v>
      </c>
      <c r="BM94" s="163">
        <v>0</v>
      </c>
      <c r="BN94" s="163">
        <v>0</v>
      </c>
      <c r="BO94" s="163">
        <v>0</v>
      </c>
      <c r="BP94" s="163">
        <v>0</v>
      </c>
      <c r="BQ94" s="163">
        <v>0</v>
      </c>
      <c r="BR94" s="163">
        <v>0</v>
      </c>
      <c r="BS94" s="163">
        <v>0</v>
      </c>
      <c r="BT94" s="163">
        <v>0</v>
      </c>
      <c r="BU94" s="163">
        <v>0</v>
      </c>
      <c r="BV94" s="163">
        <v>0</v>
      </c>
      <c r="BW94" s="163">
        <v>0</v>
      </c>
      <c r="BX94" s="163">
        <v>0</v>
      </c>
      <c r="BY94" s="163">
        <v>0</v>
      </c>
      <c r="BZ94" s="163">
        <v>0</v>
      </c>
      <c r="CA94" s="163">
        <v>0</v>
      </c>
      <c r="CB94" s="163">
        <v>0</v>
      </c>
      <c r="CC94" s="163">
        <v>0</v>
      </c>
      <c r="CD94" s="163">
        <v>0</v>
      </c>
      <c r="CE94" s="163">
        <v>0</v>
      </c>
      <c r="CF94" s="163">
        <v>0</v>
      </c>
      <c r="CG94" s="163">
        <v>0</v>
      </c>
      <c r="CH94" s="163">
        <v>0</v>
      </c>
      <c r="CI94" s="163">
        <v>0</v>
      </c>
      <c r="CJ94" s="163">
        <v>0</v>
      </c>
      <c r="CK94" s="163">
        <v>0</v>
      </c>
      <c r="CL94" s="163">
        <v>0</v>
      </c>
      <c r="CM94" s="163">
        <v>0</v>
      </c>
      <c r="CN94" s="163">
        <v>0</v>
      </c>
      <c r="CO94" s="163">
        <v>0</v>
      </c>
      <c r="CP94" s="163">
        <v>0</v>
      </c>
      <c r="CQ94" s="163">
        <v>0</v>
      </c>
      <c r="CR94" s="163">
        <v>0</v>
      </c>
      <c r="CS94" s="163">
        <v>0</v>
      </c>
      <c r="CT94" s="163">
        <v>0</v>
      </c>
      <c r="CU94" s="163">
        <v>0</v>
      </c>
      <c r="CV94" s="163">
        <v>0</v>
      </c>
      <c r="CW94" s="163">
        <v>0</v>
      </c>
      <c r="CX94" s="163">
        <v>0</v>
      </c>
      <c r="CY94" s="163">
        <v>0</v>
      </c>
      <c r="CZ94" s="163">
        <v>0</v>
      </c>
      <c r="DA94" s="163">
        <v>0</v>
      </c>
      <c r="DB94" s="163">
        <v>0</v>
      </c>
      <c r="DC94" s="163">
        <v>0</v>
      </c>
      <c r="DD94" s="163">
        <v>0</v>
      </c>
      <c r="DE94" s="163">
        <v>0</v>
      </c>
      <c r="DF94" s="163">
        <f>VLOOKUP($C94,'[3]BS ACC'!$C$5:$DH$1006,108,FALSE)</f>
        <v>0</v>
      </c>
      <c r="DG94" s="163">
        <f>VLOOKUP($C94,'[3]BS ACC'!$C$5:$DH$1006,109,FALSE)</f>
        <v>0</v>
      </c>
      <c r="DH94" s="163">
        <f>VLOOKUP($C94,'[3]BS ACC'!$C$5:$DH$1006,110,FALSE)</f>
        <v>0</v>
      </c>
    </row>
    <row r="95" spans="1:112">
      <c r="A95" s="350" t="str">
        <f t="shared" si="1"/>
        <v>1641000</v>
      </c>
      <c r="B95" s="350" t="s">
        <v>1589</v>
      </c>
      <c r="C95" s="335" t="s">
        <v>654</v>
      </c>
      <c r="D95" s="340">
        <v>0</v>
      </c>
      <c r="E95" s="340">
        <v>0</v>
      </c>
      <c r="F95" s="340">
        <v>0</v>
      </c>
      <c r="G95" s="340">
        <v>0</v>
      </c>
      <c r="H95" s="340">
        <v>0</v>
      </c>
      <c r="I95" s="340">
        <v>674234.7</v>
      </c>
      <c r="J95" s="340">
        <v>915628.68</v>
      </c>
      <c r="K95" s="340">
        <v>566433.19999999995</v>
      </c>
      <c r="L95" s="340">
        <v>526874.73</v>
      </c>
      <c r="M95" s="340">
        <v>526874.73</v>
      </c>
      <c r="N95" s="340">
        <v>371458.67</v>
      </c>
      <c r="O95" s="340">
        <v>371458.67</v>
      </c>
      <c r="P95" s="341">
        <v>0.09</v>
      </c>
      <c r="Q95" s="163">
        <v>0.09</v>
      </c>
      <c r="R95" s="163">
        <v>126382.76</v>
      </c>
      <c r="S95" s="163">
        <v>126462.97</v>
      </c>
      <c r="T95" s="163">
        <v>303357.52</v>
      </c>
      <c r="U95" s="163">
        <v>328220.69</v>
      </c>
      <c r="V95" s="163">
        <v>152306.04</v>
      </c>
      <c r="W95" s="163">
        <v>275336.45</v>
      </c>
      <c r="X95" s="163">
        <v>188053.91</v>
      </c>
      <c r="Y95" s="163">
        <v>274691.52</v>
      </c>
      <c r="Z95" s="163">
        <v>274691.52</v>
      </c>
      <c r="AA95" s="163">
        <v>234990.37</v>
      </c>
      <c r="AB95" s="163">
        <v>158626.06</v>
      </c>
      <c r="AC95" s="163">
        <v>116977.52</v>
      </c>
      <c r="AD95" s="163">
        <v>141290.51999999999</v>
      </c>
      <c r="AE95" s="163">
        <v>180751.19</v>
      </c>
      <c r="AF95" s="163">
        <v>128606.99</v>
      </c>
      <c r="AG95" s="163">
        <v>175062.51</v>
      </c>
      <c r="AH95" s="163">
        <v>175779.32</v>
      </c>
      <c r="AI95" s="163">
        <v>159177.10999999999</v>
      </c>
      <c r="AJ95" s="163">
        <v>610201.92000000004</v>
      </c>
      <c r="AK95" s="163">
        <v>610201.92000000004</v>
      </c>
      <c r="AL95" s="163">
        <v>537006.63</v>
      </c>
      <c r="AM95" s="163">
        <v>537006.63</v>
      </c>
      <c r="AN95" s="163">
        <v>376420.21</v>
      </c>
      <c r="AO95" s="163">
        <v>332841.99</v>
      </c>
      <c r="AP95" s="163">
        <v>441100.59</v>
      </c>
      <c r="AQ95" s="163">
        <v>276589.73</v>
      </c>
      <c r="AR95" s="163">
        <v>326172.79999999999</v>
      </c>
      <c r="AS95" s="163">
        <v>326172.79999999999</v>
      </c>
      <c r="AT95" s="163">
        <v>467078.08</v>
      </c>
      <c r="AU95" s="163">
        <v>344971.23</v>
      </c>
      <c r="AV95" s="163">
        <v>354483.55</v>
      </c>
      <c r="AW95" s="163">
        <v>-2.37</v>
      </c>
      <c r="AX95" s="163">
        <v>-2.37</v>
      </c>
      <c r="AY95" s="163">
        <v>-2.37</v>
      </c>
      <c r="AZ95" s="163">
        <v>-2.37</v>
      </c>
      <c r="BA95" s="163">
        <v>-2.37</v>
      </c>
      <c r="BB95" s="163">
        <v>-2.37</v>
      </c>
      <c r="BC95" s="163">
        <v>-2.37</v>
      </c>
      <c r="BD95" s="163">
        <v>-2.37</v>
      </c>
      <c r="BE95" s="163">
        <v>-2.37</v>
      </c>
      <c r="BF95" s="163">
        <v>-2.37</v>
      </c>
      <c r="BG95" s="163">
        <v>0</v>
      </c>
      <c r="BH95" s="163">
        <v>0</v>
      </c>
      <c r="BI95" s="163">
        <v>0</v>
      </c>
      <c r="BJ95" s="163">
        <v>0</v>
      </c>
      <c r="BK95" s="163">
        <v>0</v>
      </c>
      <c r="BL95" s="163">
        <v>0</v>
      </c>
      <c r="BM95" s="163">
        <v>0</v>
      </c>
      <c r="BN95" s="163">
        <v>0</v>
      </c>
      <c r="BO95" s="163">
        <v>0</v>
      </c>
      <c r="BP95" s="163">
        <v>0</v>
      </c>
      <c r="BQ95" s="163">
        <v>0</v>
      </c>
      <c r="BR95" s="163">
        <v>0</v>
      </c>
      <c r="BS95" s="163">
        <v>0</v>
      </c>
      <c r="BT95" s="163">
        <v>0</v>
      </c>
      <c r="BU95" s="163">
        <v>0</v>
      </c>
      <c r="BV95" s="163">
        <v>0</v>
      </c>
      <c r="BW95" s="163">
        <v>0</v>
      </c>
      <c r="BX95" s="163">
        <v>0</v>
      </c>
      <c r="BY95" s="163">
        <v>0</v>
      </c>
      <c r="BZ95" s="163">
        <v>0</v>
      </c>
      <c r="CA95" s="163">
        <v>0</v>
      </c>
      <c r="CB95" s="163">
        <v>0</v>
      </c>
      <c r="CC95" s="163">
        <v>0</v>
      </c>
      <c r="CD95" s="163">
        <v>0</v>
      </c>
      <c r="CE95" s="163">
        <v>0</v>
      </c>
      <c r="CF95" s="163">
        <v>0</v>
      </c>
      <c r="CG95" s="163">
        <v>0</v>
      </c>
      <c r="CH95" s="163">
        <v>0</v>
      </c>
      <c r="CI95" s="163">
        <v>0</v>
      </c>
      <c r="CJ95" s="163">
        <v>0</v>
      </c>
      <c r="CK95" s="163">
        <v>0</v>
      </c>
      <c r="CL95" s="163">
        <v>0</v>
      </c>
      <c r="CM95" s="163">
        <v>0</v>
      </c>
      <c r="CN95" s="163">
        <v>0</v>
      </c>
      <c r="CO95" s="163">
        <v>0</v>
      </c>
      <c r="CP95" s="163">
        <v>0</v>
      </c>
      <c r="CQ95" s="163">
        <v>0</v>
      </c>
      <c r="CR95" s="163">
        <v>0</v>
      </c>
      <c r="CS95" s="163">
        <v>0</v>
      </c>
      <c r="CT95" s="163">
        <v>0</v>
      </c>
      <c r="CU95" s="163">
        <v>995777.75</v>
      </c>
      <c r="CV95" s="163">
        <v>864732.09</v>
      </c>
      <c r="CW95" s="163">
        <v>891567.41</v>
      </c>
      <c r="CX95" s="163">
        <v>785937.6</v>
      </c>
      <c r="CY95" s="163">
        <v>566425.01</v>
      </c>
      <c r="CZ95" s="163">
        <v>566425.01</v>
      </c>
      <c r="DA95" s="163">
        <v>566425.01</v>
      </c>
      <c r="DB95" s="163">
        <v>708429.13</v>
      </c>
      <c r="DC95" s="163">
        <v>708429.13</v>
      </c>
      <c r="DD95" s="163">
        <v>703621.83</v>
      </c>
      <c r="DE95" s="163">
        <v>769733.98</v>
      </c>
      <c r="DF95" s="163">
        <f>VLOOKUP($C95,'[3]BS ACC'!$C$5:$DH$1006,108,FALSE)</f>
        <v>933797.04</v>
      </c>
      <c r="DG95" s="163">
        <f>VLOOKUP($C95,'[3]BS ACC'!$C$5:$DH$1006,109,FALSE)</f>
        <v>959432.51</v>
      </c>
      <c r="DH95" s="163">
        <f>VLOOKUP($C95,'[3]BS ACC'!$C$5:$DH$1006,110,FALSE)</f>
        <v>413689.47</v>
      </c>
    </row>
    <row r="96" spans="1:112">
      <c r="A96" s="350" t="str">
        <f t="shared" si="1"/>
        <v>1650040</v>
      </c>
      <c r="B96" s="350" t="s">
        <v>1505</v>
      </c>
      <c r="C96" s="335" t="s">
        <v>655</v>
      </c>
      <c r="D96" s="340">
        <v>82000</v>
      </c>
      <c r="E96" s="340">
        <v>82000</v>
      </c>
      <c r="F96" s="340">
        <v>82000</v>
      </c>
      <c r="G96" s="340">
        <v>82000</v>
      </c>
      <c r="H96" s="340">
        <v>82000</v>
      </c>
      <c r="I96" s="340">
        <v>82000</v>
      </c>
      <c r="J96" s="340">
        <v>82000</v>
      </c>
      <c r="K96" s="340">
        <v>82000</v>
      </c>
      <c r="L96" s="340">
        <v>82000</v>
      </c>
      <c r="M96" s="340">
        <v>82000</v>
      </c>
      <c r="N96" s="340">
        <v>82000</v>
      </c>
      <c r="O96" s="340">
        <v>82000</v>
      </c>
      <c r="P96" s="341">
        <v>82000</v>
      </c>
      <c r="Q96" s="163">
        <v>82000</v>
      </c>
      <c r="R96" s="163">
        <v>82000</v>
      </c>
      <c r="S96" s="163">
        <v>82000</v>
      </c>
      <c r="T96" s="163">
        <v>82000</v>
      </c>
      <c r="U96" s="163">
        <v>82000</v>
      </c>
      <c r="V96" s="163">
        <v>82000</v>
      </c>
      <c r="W96" s="163">
        <v>82000</v>
      </c>
      <c r="X96" s="163">
        <v>82000</v>
      </c>
      <c r="Y96" s="163">
        <v>82000</v>
      </c>
      <c r="Z96" s="163">
        <v>82000</v>
      </c>
      <c r="AA96" s="163">
        <v>82000</v>
      </c>
      <c r="AB96" s="163">
        <v>0</v>
      </c>
      <c r="AC96" s="163">
        <v>82000</v>
      </c>
      <c r="AD96" s="163">
        <v>82000</v>
      </c>
      <c r="AE96" s="163">
        <v>82000</v>
      </c>
      <c r="AF96" s="163">
        <v>82000</v>
      </c>
      <c r="AG96" s="163">
        <v>82000</v>
      </c>
      <c r="AH96" s="163">
        <v>82000</v>
      </c>
      <c r="AI96" s="163">
        <v>82000</v>
      </c>
      <c r="AJ96" s="163">
        <v>82000</v>
      </c>
      <c r="AK96" s="163">
        <v>82000</v>
      </c>
      <c r="AL96" s="163">
        <v>82000</v>
      </c>
      <c r="AM96" s="163">
        <v>82000</v>
      </c>
      <c r="AN96" s="163">
        <v>82000</v>
      </c>
      <c r="AO96" s="163">
        <v>82000</v>
      </c>
      <c r="AP96" s="163">
        <v>82000</v>
      </c>
      <c r="AQ96" s="163">
        <v>82000</v>
      </c>
      <c r="AR96" s="163">
        <v>82000</v>
      </c>
      <c r="AS96" s="163">
        <v>82000</v>
      </c>
      <c r="AT96" s="163">
        <v>82000</v>
      </c>
      <c r="AU96" s="163">
        <v>82000</v>
      </c>
      <c r="AV96" s="163">
        <v>82000</v>
      </c>
      <c r="AW96" s="163">
        <v>82000</v>
      </c>
      <c r="AX96" s="163">
        <v>82000</v>
      </c>
      <c r="AY96" s="163">
        <v>82000</v>
      </c>
      <c r="AZ96" s="163">
        <v>0</v>
      </c>
      <c r="BA96" s="163">
        <v>82000</v>
      </c>
      <c r="BB96" s="163">
        <v>82000</v>
      </c>
      <c r="BC96" s="163">
        <v>82000</v>
      </c>
      <c r="BD96" s="163">
        <v>82000</v>
      </c>
      <c r="BE96" s="163">
        <v>82000</v>
      </c>
      <c r="BF96" s="163">
        <v>82000</v>
      </c>
      <c r="BG96" s="163">
        <v>82000</v>
      </c>
      <c r="BH96" s="163">
        <v>82000</v>
      </c>
      <c r="BI96" s="163">
        <v>82000</v>
      </c>
      <c r="BJ96" s="163">
        <v>82000</v>
      </c>
      <c r="BK96" s="163">
        <v>82000</v>
      </c>
      <c r="BL96" s="163">
        <v>0</v>
      </c>
      <c r="BM96" s="163">
        <v>0</v>
      </c>
      <c r="BN96" s="163">
        <v>82000</v>
      </c>
      <c r="BO96" s="163">
        <v>82000</v>
      </c>
      <c r="BP96" s="163">
        <v>82000</v>
      </c>
      <c r="BQ96" s="163">
        <v>82000</v>
      </c>
      <c r="BR96" s="163">
        <v>82000</v>
      </c>
      <c r="BS96" s="163">
        <v>82000</v>
      </c>
      <c r="BT96" s="163">
        <v>82000</v>
      </c>
      <c r="BU96" s="163">
        <v>82000</v>
      </c>
      <c r="BV96" s="163">
        <v>82000</v>
      </c>
      <c r="BW96" s="163">
        <v>82000</v>
      </c>
      <c r="BX96" s="163">
        <v>82000</v>
      </c>
      <c r="BY96" s="163">
        <v>82000</v>
      </c>
      <c r="BZ96" s="163">
        <v>82000</v>
      </c>
      <c r="CA96" s="163">
        <v>82000</v>
      </c>
      <c r="CB96" s="163">
        <v>82000</v>
      </c>
      <c r="CC96" s="163">
        <v>82000</v>
      </c>
      <c r="CD96" s="163">
        <v>82000</v>
      </c>
      <c r="CE96" s="163">
        <v>82000</v>
      </c>
      <c r="CF96" s="163">
        <v>82000</v>
      </c>
      <c r="CG96" s="163">
        <v>82000</v>
      </c>
      <c r="CH96" s="163">
        <v>82000</v>
      </c>
      <c r="CI96" s="163">
        <v>82000</v>
      </c>
      <c r="CJ96" s="163">
        <v>0</v>
      </c>
      <c r="CK96" s="163">
        <v>82000</v>
      </c>
      <c r="CL96" s="163">
        <v>82000</v>
      </c>
      <c r="CM96" s="163">
        <v>82000</v>
      </c>
      <c r="CN96" s="163">
        <v>82000</v>
      </c>
      <c r="CO96" s="163">
        <v>82000</v>
      </c>
      <c r="CP96" s="163">
        <v>82000</v>
      </c>
      <c r="CQ96" s="163">
        <v>82000</v>
      </c>
      <c r="CR96" s="163">
        <v>82000</v>
      </c>
      <c r="CS96" s="163">
        <v>82000</v>
      </c>
      <c r="CT96" s="163">
        <v>82000</v>
      </c>
      <c r="CU96" s="163">
        <v>82000</v>
      </c>
      <c r="CV96" s="163">
        <v>0</v>
      </c>
      <c r="CW96" s="163">
        <v>82000</v>
      </c>
      <c r="CX96" s="163">
        <v>82000</v>
      </c>
      <c r="CY96" s="163">
        <v>82000</v>
      </c>
      <c r="CZ96" s="163">
        <v>82000</v>
      </c>
      <c r="DA96" s="163">
        <v>82000</v>
      </c>
      <c r="DB96" s="163">
        <v>82000</v>
      </c>
      <c r="DC96" s="163">
        <v>82000</v>
      </c>
      <c r="DD96" s="163">
        <v>82000</v>
      </c>
      <c r="DE96" s="163">
        <v>82000</v>
      </c>
      <c r="DF96" s="163">
        <f>VLOOKUP($C96,'[3]BS ACC'!$C$5:$DH$1006,108,FALSE)</f>
        <v>82000</v>
      </c>
      <c r="DG96" s="163">
        <f>VLOOKUP($C96,'[3]BS ACC'!$C$5:$DH$1006,109,FALSE)</f>
        <v>82000</v>
      </c>
      <c r="DH96" s="163">
        <f>VLOOKUP($C96,'[3]BS ACC'!$C$5:$DH$1006,110,FALSE)</f>
        <v>82000</v>
      </c>
    </row>
    <row r="97" spans="1:112">
      <c r="A97" s="350" t="str">
        <f t="shared" si="1"/>
        <v>1650050</v>
      </c>
      <c r="B97" s="350" t="s">
        <v>1506</v>
      </c>
      <c r="C97" s="335" t="s">
        <v>656</v>
      </c>
      <c r="D97" s="340">
        <v>347596.04</v>
      </c>
      <c r="E97" s="340">
        <v>342317.08</v>
      </c>
      <c r="F97" s="340">
        <v>337673.71</v>
      </c>
      <c r="G97" s="340">
        <v>331749.09999999998</v>
      </c>
      <c r="H97" s="340">
        <v>325822.06</v>
      </c>
      <c r="I97" s="340">
        <v>319898.02</v>
      </c>
      <c r="J97" s="340">
        <v>313973.98</v>
      </c>
      <c r="K97" s="340">
        <v>308049.94</v>
      </c>
      <c r="L97" s="340">
        <v>302125.90000000002</v>
      </c>
      <c r="M97" s="340">
        <v>302335.11</v>
      </c>
      <c r="N97" s="340">
        <v>300062.55</v>
      </c>
      <c r="O97" s="340">
        <v>294138.51</v>
      </c>
      <c r="P97" s="341">
        <v>288214.46999999997</v>
      </c>
      <c r="Q97" s="163">
        <v>282290.43</v>
      </c>
      <c r="R97" s="163">
        <v>276366.39</v>
      </c>
      <c r="S97" s="163">
        <v>317317.34999999998</v>
      </c>
      <c r="T97" s="163">
        <v>311393.31</v>
      </c>
      <c r="U97" s="163">
        <v>305469.27</v>
      </c>
      <c r="V97" s="163">
        <v>299545.23</v>
      </c>
      <c r="W97" s="163">
        <v>293621.19</v>
      </c>
      <c r="X97" s="163">
        <v>287697.15000000002</v>
      </c>
      <c r="Y97" s="163">
        <v>281773.11</v>
      </c>
      <c r="Z97" s="163">
        <v>275849.07</v>
      </c>
      <c r="AA97" s="163">
        <v>269925.03000000003</v>
      </c>
      <c r="AB97" s="163">
        <v>264000.99</v>
      </c>
      <c r="AC97" s="163">
        <v>258076.95</v>
      </c>
      <c r="AD97" s="163">
        <v>252152.91</v>
      </c>
      <c r="AE97" s="163">
        <v>246228.87</v>
      </c>
      <c r="AF97" s="163">
        <v>240304.83</v>
      </c>
      <c r="AG97" s="163">
        <v>234380.79</v>
      </c>
      <c r="AH97" s="163">
        <v>228456.75</v>
      </c>
      <c r="AI97" s="163">
        <v>222532.71</v>
      </c>
      <c r="AJ97" s="163">
        <v>216608.67</v>
      </c>
      <c r="AK97" s="163">
        <v>210684.63</v>
      </c>
      <c r="AL97" s="163">
        <v>204760.59</v>
      </c>
      <c r="AM97" s="163">
        <v>198836.55</v>
      </c>
      <c r="AN97" s="163">
        <v>192912.51</v>
      </c>
      <c r="AO97" s="163">
        <v>186988.47</v>
      </c>
      <c r="AP97" s="163">
        <v>181064.43</v>
      </c>
      <c r="AQ97" s="163">
        <v>411416.89</v>
      </c>
      <c r="AR97" s="163">
        <v>360736.07</v>
      </c>
      <c r="AS97" s="163">
        <v>353562.58</v>
      </c>
      <c r="AT97" s="163">
        <v>346454.07</v>
      </c>
      <c r="AU97" s="163">
        <v>339279.44</v>
      </c>
      <c r="AV97" s="163">
        <v>332257.71000000002</v>
      </c>
      <c r="AW97" s="163">
        <v>325120.26</v>
      </c>
      <c r="AX97" s="163">
        <v>317942.11</v>
      </c>
      <c r="AY97" s="163">
        <v>310763.96000000002</v>
      </c>
      <c r="AZ97" s="163">
        <v>303585.81</v>
      </c>
      <c r="BA97" s="163">
        <v>296407.65999999997</v>
      </c>
      <c r="BB97" s="163">
        <v>289229.51</v>
      </c>
      <c r="BC97" s="163">
        <v>329091.65000000002</v>
      </c>
      <c r="BD97" s="163">
        <v>322504.44</v>
      </c>
      <c r="BE97" s="163">
        <v>316379.13</v>
      </c>
      <c r="BF97" s="163">
        <v>309089.64</v>
      </c>
      <c r="BG97" s="163">
        <v>301860.03999999998</v>
      </c>
      <c r="BH97" s="163">
        <v>294630.44</v>
      </c>
      <c r="BI97" s="163">
        <v>287400.84000000003</v>
      </c>
      <c r="BJ97" s="163">
        <v>280171.24</v>
      </c>
      <c r="BK97" s="163">
        <v>272941.64</v>
      </c>
      <c r="BL97" s="163">
        <v>265712.03999999998</v>
      </c>
      <c r="BM97" s="163">
        <v>258482.44</v>
      </c>
      <c r="BN97" s="163">
        <v>251252.84</v>
      </c>
      <c r="BO97" s="163">
        <v>244023.24</v>
      </c>
      <c r="BP97" s="163">
        <v>236793.64</v>
      </c>
      <c r="BQ97" s="163">
        <v>229564.04</v>
      </c>
      <c r="BR97" s="163">
        <v>222334.44</v>
      </c>
      <c r="BS97" s="163">
        <v>215104.84</v>
      </c>
      <c r="BT97" s="163">
        <v>207875.24</v>
      </c>
      <c r="BU97" s="163">
        <v>200645.64</v>
      </c>
      <c r="BV97" s="163">
        <v>193416.04</v>
      </c>
      <c r="BW97" s="163">
        <v>186186.44</v>
      </c>
      <c r="BX97" s="163">
        <v>178956.84</v>
      </c>
      <c r="BY97" s="163">
        <v>171727.24</v>
      </c>
      <c r="BZ97" s="163">
        <v>206675.39</v>
      </c>
      <c r="CA97" s="163">
        <v>197758.68</v>
      </c>
      <c r="CB97" s="163">
        <v>188841.97</v>
      </c>
      <c r="CC97" s="163">
        <v>179925.26</v>
      </c>
      <c r="CD97" s="163">
        <v>171008.55</v>
      </c>
      <c r="CE97" s="163">
        <v>162091.84</v>
      </c>
      <c r="CF97" s="163">
        <v>153175.13</v>
      </c>
      <c r="CG97" s="163">
        <v>144258.42000000001</v>
      </c>
      <c r="CH97" s="163">
        <v>135341.71</v>
      </c>
      <c r="CI97" s="163">
        <v>127055.2</v>
      </c>
      <c r="CJ97" s="163">
        <v>546058.19999999995</v>
      </c>
      <c r="CK97" s="163">
        <v>523322.4</v>
      </c>
      <c r="CL97" s="163">
        <v>501883.79</v>
      </c>
      <c r="CM97" s="163">
        <v>492462.95</v>
      </c>
      <c r="CN97" s="163">
        <v>481675.22</v>
      </c>
      <c r="CO97" s="163">
        <v>461654.71</v>
      </c>
      <c r="CP97" s="163">
        <v>469914.48</v>
      </c>
      <c r="CQ97" s="163">
        <v>447537.6</v>
      </c>
      <c r="CR97" s="163">
        <v>434741.66</v>
      </c>
      <c r="CS97" s="163">
        <v>411860.52</v>
      </c>
      <c r="CT97" s="163">
        <v>389476.26</v>
      </c>
      <c r="CU97" s="163">
        <v>366833.88</v>
      </c>
      <c r="CV97" s="163">
        <v>922010.28</v>
      </c>
      <c r="CW97" s="163">
        <v>904202.35</v>
      </c>
      <c r="CX97" s="163">
        <v>886751.88</v>
      </c>
      <c r="CY97" s="163">
        <v>869243.6</v>
      </c>
      <c r="CZ97" s="163">
        <v>854139.97</v>
      </c>
      <c r="DA97" s="163">
        <v>836588.75</v>
      </c>
      <c r="DB97" s="163">
        <v>832332.96</v>
      </c>
      <c r="DC97" s="163">
        <v>813304.47</v>
      </c>
      <c r="DD97" s="163">
        <v>794275.98</v>
      </c>
      <c r="DE97" s="163">
        <v>775247.49</v>
      </c>
      <c r="DF97" s="163">
        <f>VLOOKUP($C97,'[3]BS ACC'!$C$5:$DH$1006,108,FALSE)</f>
        <v>756219</v>
      </c>
      <c r="DG97" s="163">
        <f>VLOOKUP($C97,'[3]BS ACC'!$C$5:$DH$1006,109,FALSE)</f>
        <v>737344.29</v>
      </c>
      <c r="DH97" s="163">
        <f>VLOOKUP($C97,'[3]BS ACC'!$C$5:$DH$1006,110,FALSE)</f>
        <v>718315.8</v>
      </c>
    </row>
    <row r="98" spans="1:112">
      <c r="A98" s="350" t="str">
        <f t="shared" si="1"/>
        <v>1650500</v>
      </c>
      <c r="B98" s="350" t="s">
        <v>1507</v>
      </c>
      <c r="C98" s="335" t="s">
        <v>657</v>
      </c>
      <c r="D98" s="340">
        <v>-0.06</v>
      </c>
      <c r="E98" s="340">
        <v>-0.06</v>
      </c>
      <c r="F98" s="340">
        <v>-0.06</v>
      </c>
      <c r="G98" s="340">
        <v>0</v>
      </c>
      <c r="H98" s="340">
        <v>0</v>
      </c>
      <c r="I98" s="340">
        <v>0</v>
      </c>
      <c r="J98" s="340">
        <v>0</v>
      </c>
      <c r="K98" s="340">
        <v>0</v>
      </c>
      <c r="L98" s="340">
        <v>0</v>
      </c>
      <c r="M98" s="340">
        <v>0</v>
      </c>
      <c r="N98" s="340">
        <v>0</v>
      </c>
      <c r="O98" s="340">
        <v>0</v>
      </c>
      <c r="P98" s="341">
        <v>0</v>
      </c>
      <c r="Q98" s="163">
        <v>0</v>
      </c>
      <c r="R98" s="163">
        <v>0</v>
      </c>
      <c r="S98" s="163">
        <v>0</v>
      </c>
      <c r="T98" s="163">
        <v>0</v>
      </c>
      <c r="U98" s="163">
        <v>0</v>
      </c>
      <c r="V98" s="163">
        <v>0</v>
      </c>
      <c r="W98" s="163">
        <v>0</v>
      </c>
      <c r="X98" s="163">
        <v>0</v>
      </c>
      <c r="Y98" s="163">
        <v>0</v>
      </c>
      <c r="Z98" s="163">
        <v>0</v>
      </c>
      <c r="AA98" s="163">
        <v>0</v>
      </c>
      <c r="AB98" s="163">
        <v>0</v>
      </c>
      <c r="AC98" s="163">
        <v>0</v>
      </c>
      <c r="AD98" s="163">
        <v>0</v>
      </c>
      <c r="AE98" s="163">
        <v>0</v>
      </c>
      <c r="AF98" s="163">
        <v>0</v>
      </c>
      <c r="AG98" s="163">
        <v>0</v>
      </c>
      <c r="AH98" s="163">
        <v>0</v>
      </c>
      <c r="AI98" s="163">
        <v>0</v>
      </c>
      <c r="AJ98" s="163">
        <v>0</v>
      </c>
      <c r="AK98" s="163">
        <v>0</v>
      </c>
      <c r="AL98" s="163">
        <v>0</v>
      </c>
      <c r="AM98" s="163">
        <v>0</v>
      </c>
      <c r="AN98" s="163">
        <v>0</v>
      </c>
      <c r="AO98" s="163">
        <v>0</v>
      </c>
      <c r="AP98" s="163">
        <v>0</v>
      </c>
      <c r="AQ98" s="163">
        <v>0</v>
      </c>
      <c r="AR98" s="163">
        <v>0</v>
      </c>
      <c r="AS98" s="163">
        <v>0</v>
      </c>
      <c r="AT98" s="163">
        <v>0</v>
      </c>
      <c r="AU98" s="163">
        <v>0</v>
      </c>
      <c r="AV98" s="163">
        <v>0</v>
      </c>
      <c r="AW98" s="163">
        <v>0</v>
      </c>
      <c r="AX98" s="163">
        <v>0</v>
      </c>
      <c r="AY98" s="163">
        <v>0</v>
      </c>
      <c r="AZ98" s="163">
        <v>0</v>
      </c>
      <c r="BA98" s="163">
        <v>0</v>
      </c>
      <c r="BB98" s="163">
        <v>0</v>
      </c>
      <c r="BC98" s="163">
        <v>0</v>
      </c>
      <c r="BD98" s="163">
        <v>0</v>
      </c>
      <c r="BE98" s="163">
        <v>0</v>
      </c>
      <c r="BF98" s="163">
        <v>0</v>
      </c>
      <c r="BG98" s="163">
        <v>0</v>
      </c>
      <c r="BH98" s="163">
        <v>0</v>
      </c>
      <c r="BI98" s="163">
        <v>0</v>
      </c>
      <c r="BJ98" s="163">
        <v>0</v>
      </c>
      <c r="BK98" s="163">
        <v>0</v>
      </c>
      <c r="BL98" s="163">
        <v>0</v>
      </c>
      <c r="BM98" s="163">
        <v>0</v>
      </c>
      <c r="BN98" s="163">
        <v>0</v>
      </c>
      <c r="BO98" s="163">
        <v>0</v>
      </c>
      <c r="BP98" s="163">
        <v>0</v>
      </c>
      <c r="BQ98" s="163">
        <v>0</v>
      </c>
      <c r="BR98" s="163">
        <v>0</v>
      </c>
      <c r="BS98" s="163">
        <v>0</v>
      </c>
      <c r="BT98" s="163">
        <v>0</v>
      </c>
      <c r="BU98" s="163">
        <v>0</v>
      </c>
      <c r="BV98" s="163">
        <v>0</v>
      </c>
      <c r="BW98" s="163">
        <v>0</v>
      </c>
      <c r="BX98" s="163">
        <v>0</v>
      </c>
      <c r="BY98" s="163">
        <v>0</v>
      </c>
      <c r="BZ98" s="163">
        <v>0</v>
      </c>
      <c r="CA98" s="163">
        <v>0</v>
      </c>
      <c r="CB98" s="163">
        <v>0</v>
      </c>
      <c r="CC98" s="163">
        <v>0</v>
      </c>
      <c r="CD98" s="163">
        <v>0</v>
      </c>
      <c r="CE98" s="163">
        <v>0</v>
      </c>
      <c r="CF98" s="163">
        <v>0</v>
      </c>
      <c r="CG98" s="163">
        <v>0</v>
      </c>
      <c r="CH98" s="163">
        <v>0</v>
      </c>
      <c r="CI98" s="163">
        <v>0</v>
      </c>
      <c r="CJ98" s="163">
        <v>0</v>
      </c>
      <c r="CK98" s="163">
        <v>0</v>
      </c>
      <c r="CL98" s="163">
        <v>0</v>
      </c>
      <c r="CM98" s="163">
        <v>0</v>
      </c>
      <c r="CN98" s="163">
        <v>0</v>
      </c>
      <c r="CO98" s="163">
        <v>0</v>
      </c>
      <c r="CP98" s="163">
        <v>0</v>
      </c>
      <c r="CQ98" s="163">
        <v>0</v>
      </c>
      <c r="CR98" s="163">
        <v>0</v>
      </c>
      <c r="CS98" s="163">
        <v>0</v>
      </c>
      <c r="CT98" s="163">
        <v>0</v>
      </c>
      <c r="CU98" s="163">
        <v>0</v>
      </c>
      <c r="CV98" s="163">
        <v>0</v>
      </c>
      <c r="CW98" s="163">
        <v>0</v>
      </c>
      <c r="CX98" s="163">
        <v>0</v>
      </c>
      <c r="CY98" s="163">
        <v>0</v>
      </c>
      <c r="CZ98" s="163">
        <v>0</v>
      </c>
      <c r="DA98" s="163">
        <v>0</v>
      </c>
      <c r="DB98" s="163">
        <v>0</v>
      </c>
      <c r="DC98" s="163">
        <v>0</v>
      </c>
      <c r="DD98" s="163">
        <v>0</v>
      </c>
      <c r="DE98" s="163">
        <v>0</v>
      </c>
      <c r="DF98" s="163">
        <f>VLOOKUP($C98,'[3]BS ACC'!$C$5:$DH$1006,108,FALSE)</f>
        <v>0</v>
      </c>
      <c r="DG98" s="163">
        <f>VLOOKUP($C98,'[3]BS ACC'!$C$5:$DH$1006,109,FALSE)</f>
        <v>0</v>
      </c>
      <c r="DH98" s="163">
        <f>VLOOKUP($C98,'[3]BS ACC'!$C$5:$DH$1006,110,FALSE)</f>
        <v>0</v>
      </c>
    </row>
    <row r="99" spans="1:112">
      <c r="A99" s="350" t="str">
        <f t="shared" si="1"/>
        <v>1650502</v>
      </c>
      <c r="B99" s="350" t="s">
        <v>1508</v>
      </c>
      <c r="C99" s="335" t="s">
        <v>658</v>
      </c>
      <c r="D99" s="340">
        <v>0.04</v>
      </c>
      <c r="E99" s="340">
        <v>0.04</v>
      </c>
      <c r="F99" s="340">
        <v>0.04</v>
      </c>
      <c r="G99" s="340">
        <v>0</v>
      </c>
      <c r="H99" s="340">
        <v>0</v>
      </c>
      <c r="I99" s="340">
        <v>0</v>
      </c>
      <c r="J99" s="340">
        <v>0</v>
      </c>
      <c r="K99" s="340">
        <v>0</v>
      </c>
      <c r="L99" s="340">
        <v>0</v>
      </c>
      <c r="M99" s="340">
        <v>0</v>
      </c>
      <c r="N99" s="340">
        <v>0</v>
      </c>
      <c r="O99" s="340">
        <v>0</v>
      </c>
      <c r="P99" s="341">
        <v>0</v>
      </c>
      <c r="Q99" s="163">
        <v>0</v>
      </c>
      <c r="R99" s="163">
        <v>0</v>
      </c>
      <c r="S99" s="163">
        <v>0</v>
      </c>
      <c r="T99" s="163">
        <v>0</v>
      </c>
      <c r="U99" s="163">
        <v>0</v>
      </c>
      <c r="V99" s="163">
        <v>0</v>
      </c>
      <c r="W99" s="163">
        <v>0</v>
      </c>
      <c r="X99" s="163">
        <v>0</v>
      </c>
      <c r="Y99" s="163">
        <v>0</v>
      </c>
      <c r="Z99" s="163">
        <v>0</v>
      </c>
      <c r="AA99" s="163">
        <v>0</v>
      </c>
      <c r="AB99" s="163">
        <v>0</v>
      </c>
      <c r="AC99" s="163">
        <v>0</v>
      </c>
      <c r="AD99" s="163">
        <v>0</v>
      </c>
      <c r="AE99" s="163">
        <v>0</v>
      </c>
      <c r="AF99" s="163">
        <v>0</v>
      </c>
      <c r="AG99" s="163">
        <v>0</v>
      </c>
      <c r="AH99" s="163">
        <v>0</v>
      </c>
      <c r="AI99" s="163">
        <v>0</v>
      </c>
      <c r="AJ99" s="163">
        <v>0</v>
      </c>
      <c r="AK99" s="163">
        <v>0</v>
      </c>
      <c r="AL99" s="163">
        <v>0</v>
      </c>
      <c r="AM99" s="163">
        <v>0</v>
      </c>
      <c r="AN99" s="163">
        <v>0</v>
      </c>
      <c r="AO99" s="163">
        <v>0</v>
      </c>
      <c r="AP99" s="163">
        <v>0</v>
      </c>
      <c r="AQ99" s="163">
        <v>0</v>
      </c>
      <c r="AR99" s="163">
        <v>0</v>
      </c>
      <c r="AS99" s="163">
        <v>0</v>
      </c>
      <c r="AT99" s="163">
        <v>0</v>
      </c>
      <c r="AU99" s="163">
        <v>0</v>
      </c>
      <c r="AV99" s="163">
        <v>0</v>
      </c>
      <c r="AW99" s="163">
        <v>0</v>
      </c>
      <c r="AX99" s="163">
        <v>0</v>
      </c>
      <c r="AY99" s="163">
        <v>0</v>
      </c>
      <c r="AZ99" s="163">
        <v>0</v>
      </c>
      <c r="BA99" s="163">
        <v>0</v>
      </c>
      <c r="BB99" s="163">
        <v>0</v>
      </c>
      <c r="BC99" s="163">
        <v>0</v>
      </c>
      <c r="BD99" s="163">
        <v>0</v>
      </c>
      <c r="BE99" s="163">
        <v>0</v>
      </c>
      <c r="BF99" s="163">
        <v>0</v>
      </c>
      <c r="BG99" s="163">
        <v>0</v>
      </c>
      <c r="BH99" s="163">
        <v>0</v>
      </c>
      <c r="BI99" s="163">
        <v>0</v>
      </c>
      <c r="BJ99" s="163">
        <v>0</v>
      </c>
      <c r="BK99" s="163">
        <v>0</v>
      </c>
      <c r="BL99" s="163">
        <v>0</v>
      </c>
      <c r="BM99" s="163">
        <v>0</v>
      </c>
      <c r="BN99" s="163">
        <v>0</v>
      </c>
      <c r="BO99" s="163">
        <v>0</v>
      </c>
      <c r="BP99" s="163">
        <v>0</v>
      </c>
      <c r="BQ99" s="163">
        <v>0</v>
      </c>
      <c r="BR99" s="163">
        <v>0</v>
      </c>
      <c r="BS99" s="163">
        <v>0</v>
      </c>
      <c r="BT99" s="163">
        <v>0</v>
      </c>
      <c r="BU99" s="163">
        <v>0</v>
      </c>
      <c r="BV99" s="163">
        <v>0</v>
      </c>
      <c r="BW99" s="163">
        <v>0</v>
      </c>
      <c r="BX99" s="163">
        <v>0</v>
      </c>
      <c r="BY99" s="163">
        <v>0</v>
      </c>
      <c r="BZ99" s="163">
        <v>0</v>
      </c>
      <c r="CA99" s="163">
        <v>0</v>
      </c>
      <c r="CB99" s="163">
        <v>0</v>
      </c>
      <c r="CC99" s="163">
        <v>0</v>
      </c>
      <c r="CD99" s="163">
        <v>0</v>
      </c>
      <c r="CE99" s="163">
        <v>0</v>
      </c>
      <c r="CF99" s="163">
        <v>0</v>
      </c>
      <c r="CG99" s="163">
        <v>0</v>
      </c>
      <c r="CH99" s="163">
        <v>0</v>
      </c>
      <c r="CI99" s="163">
        <v>0</v>
      </c>
      <c r="CJ99" s="163">
        <v>0</v>
      </c>
      <c r="CK99" s="163">
        <v>0</v>
      </c>
      <c r="CL99" s="163">
        <v>0</v>
      </c>
      <c r="CM99" s="163">
        <v>0</v>
      </c>
      <c r="CN99" s="163">
        <v>0</v>
      </c>
      <c r="CO99" s="163">
        <v>0</v>
      </c>
      <c r="CP99" s="163">
        <v>0</v>
      </c>
      <c r="CQ99" s="163">
        <v>0</v>
      </c>
      <c r="CR99" s="163">
        <v>0</v>
      </c>
      <c r="CS99" s="163">
        <v>0</v>
      </c>
      <c r="CT99" s="163">
        <v>0</v>
      </c>
      <c r="CU99" s="163">
        <v>0</v>
      </c>
      <c r="CV99" s="163">
        <v>0</v>
      </c>
      <c r="CW99" s="163">
        <v>0</v>
      </c>
      <c r="CX99" s="163">
        <v>0</v>
      </c>
      <c r="CY99" s="163">
        <v>0</v>
      </c>
      <c r="CZ99" s="163">
        <v>0</v>
      </c>
      <c r="DA99" s="163">
        <v>0</v>
      </c>
      <c r="DB99" s="163">
        <v>0</v>
      </c>
      <c r="DC99" s="163">
        <v>0</v>
      </c>
      <c r="DD99" s="163">
        <v>0</v>
      </c>
      <c r="DE99" s="163">
        <v>0</v>
      </c>
      <c r="DF99" s="163">
        <f>VLOOKUP($C99,'[3]BS ACC'!$C$5:$DH$1006,108,FALSE)</f>
        <v>0</v>
      </c>
      <c r="DG99" s="163">
        <f>VLOOKUP($C99,'[3]BS ACC'!$C$5:$DH$1006,109,FALSE)</f>
        <v>0</v>
      </c>
      <c r="DH99" s="163">
        <f>VLOOKUP($C99,'[3]BS ACC'!$C$5:$DH$1006,110,FALSE)</f>
        <v>0</v>
      </c>
    </row>
    <row r="100" spans="1:112">
      <c r="A100" s="350" t="str">
        <f t="shared" si="1"/>
        <v>1650503</v>
      </c>
      <c r="B100" s="350" t="s">
        <v>1509</v>
      </c>
      <c r="C100" s="335" t="s">
        <v>659</v>
      </c>
      <c r="D100" s="340">
        <v>2271.79</v>
      </c>
      <c r="E100" s="340">
        <v>1893.16</v>
      </c>
      <c r="F100" s="340">
        <v>1514.53</v>
      </c>
      <c r="G100" s="340">
        <v>1135.9000000000001</v>
      </c>
      <c r="H100" s="340">
        <v>757.27</v>
      </c>
      <c r="I100" s="340">
        <v>378.64</v>
      </c>
      <c r="J100" s="340">
        <v>4816.03</v>
      </c>
      <c r="K100" s="340">
        <v>4414.6899999999996</v>
      </c>
      <c r="L100" s="340">
        <v>4013.35</v>
      </c>
      <c r="M100" s="340">
        <v>3612.01</v>
      </c>
      <c r="N100" s="340">
        <v>3210.67</v>
      </c>
      <c r="O100" s="340">
        <v>2809.33</v>
      </c>
      <c r="P100" s="341">
        <v>2407.9899999999998</v>
      </c>
      <c r="Q100" s="163">
        <v>2006.65</v>
      </c>
      <c r="R100" s="163">
        <v>1605.31</v>
      </c>
      <c r="S100" s="163">
        <v>1203.97</v>
      </c>
      <c r="T100" s="163">
        <v>802.63</v>
      </c>
      <c r="U100" s="163">
        <v>401.29</v>
      </c>
      <c r="V100" s="163">
        <v>4306.08</v>
      </c>
      <c r="W100" s="163">
        <v>0</v>
      </c>
      <c r="X100" s="163">
        <v>0</v>
      </c>
      <c r="Y100" s="163">
        <v>0</v>
      </c>
      <c r="Z100" s="163">
        <v>0</v>
      </c>
      <c r="AA100" s="163">
        <v>0</v>
      </c>
      <c r="AB100" s="163">
        <v>0</v>
      </c>
      <c r="AC100" s="163">
        <v>0</v>
      </c>
      <c r="AD100" s="163">
        <v>0</v>
      </c>
      <c r="AE100" s="163">
        <v>0</v>
      </c>
      <c r="AF100" s="163">
        <v>0</v>
      </c>
      <c r="AG100" s="163">
        <v>0</v>
      </c>
      <c r="AH100" s="163">
        <v>0</v>
      </c>
      <c r="AI100" s="163">
        <v>0</v>
      </c>
      <c r="AJ100" s="163">
        <v>0</v>
      </c>
      <c r="AK100" s="163">
        <v>0</v>
      </c>
      <c r="AL100" s="163">
        <v>0</v>
      </c>
      <c r="AM100" s="163">
        <v>0</v>
      </c>
      <c r="AN100" s="163">
        <v>0</v>
      </c>
      <c r="AO100" s="163">
        <v>0</v>
      </c>
      <c r="AP100" s="163">
        <v>0</v>
      </c>
      <c r="AQ100" s="163">
        <v>0</v>
      </c>
      <c r="AR100" s="163">
        <v>0</v>
      </c>
      <c r="AS100" s="163">
        <v>0</v>
      </c>
      <c r="AT100" s="163">
        <v>0</v>
      </c>
      <c r="AU100" s="163">
        <v>0</v>
      </c>
      <c r="AV100" s="163">
        <v>0</v>
      </c>
      <c r="AW100" s="163">
        <v>0</v>
      </c>
      <c r="AX100" s="163">
        <v>0</v>
      </c>
      <c r="AY100" s="163">
        <v>0</v>
      </c>
      <c r="AZ100" s="163">
        <v>0</v>
      </c>
      <c r="BA100" s="163">
        <v>0</v>
      </c>
      <c r="BB100" s="163">
        <v>0</v>
      </c>
      <c r="BC100" s="163">
        <v>0</v>
      </c>
      <c r="BD100" s="163">
        <v>0</v>
      </c>
      <c r="BE100" s="163">
        <v>0</v>
      </c>
      <c r="BF100" s="163">
        <v>0</v>
      </c>
      <c r="BG100" s="163">
        <v>0</v>
      </c>
      <c r="BH100" s="163">
        <v>0</v>
      </c>
      <c r="BI100" s="163">
        <v>0</v>
      </c>
      <c r="BJ100" s="163">
        <v>0</v>
      </c>
      <c r="BK100" s="163">
        <v>0</v>
      </c>
      <c r="BL100" s="163">
        <v>0</v>
      </c>
      <c r="BM100" s="163">
        <v>0</v>
      </c>
      <c r="BN100" s="163">
        <v>0</v>
      </c>
      <c r="BO100" s="163">
        <v>0</v>
      </c>
      <c r="BP100" s="163">
        <v>0</v>
      </c>
      <c r="BQ100" s="163">
        <v>0</v>
      </c>
      <c r="BR100" s="163">
        <v>0</v>
      </c>
      <c r="BS100" s="163">
        <v>0</v>
      </c>
      <c r="BT100" s="163">
        <v>0</v>
      </c>
      <c r="BU100" s="163">
        <v>0</v>
      </c>
      <c r="BV100" s="163">
        <v>0</v>
      </c>
      <c r="BW100" s="163">
        <v>0</v>
      </c>
      <c r="BX100" s="163">
        <v>0</v>
      </c>
      <c r="BY100" s="163">
        <v>0</v>
      </c>
      <c r="BZ100" s="163">
        <v>0</v>
      </c>
      <c r="CA100" s="163">
        <v>0</v>
      </c>
      <c r="CB100" s="163">
        <v>0</v>
      </c>
      <c r="CC100" s="163">
        <v>0</v>
      </c>
      <c r="CD100" s="163">
        <v>0</v>
      </c>
      <c r="CE100" s="163">
        <v>0</v>
      </c>
      <c r="CF100" s="163">
        <v>0</v>
      </c>
      <c r="CG100" s="163">
        <v>0</v>
      </c>
      <c r="CH100" s="163">
        <v>0</v>
      </c>
      <c r="CI100" s="163">
        <v>0</v>
      </c>
      <c r="CJ100" s="163">
        <v>0</v>
      </c>
      <c r="CK100" s="163">
        <v>0</v>
      </c>
      <c r="CL100" s="163">
        <v>0</v>
      </c>
      <c r="CM100" s="163">
        <v>0</v>
      </c>
      <c r="CN100" s="163">
        <v>0</v>
      </c>
      <c r="CO100" s="163">
        <v>0</v>
      </c>
      <c r="CP100" s="163">
        <v>0</v>
      </c>
      <c r="CQ100" s="163">
        <v>0</v>
      </c>
      <c r="CR100" s="163">
        <v>0</v>
      </c>
      <c r="CS100" s="163">
        <v>0</v>
      </c>
      <c r="CT100" s="163">
        <v>0</v>
      </c>
      <c r="CU100" s="163">
        <v>0</v>
      </c>
      <c r="CV100" s="163">
        <v>0</v>
      </c>
      <c r="CW100" s="163">
        <v>0</v>
      </c>
      <c r="CX100" s="163">
        <v>0</v>
      </c>
      <c r="CY100" s="163">
        <v>0</v>
      </c>
      <c r="CZ100" s="163">
        <v>0</v>
      </c>
      <c r="DA100" s="163">
        <v>0</v>
      </c>
      <c r="DB100" s="163">
        <v>0</v>
      </c>
      <c r="DC100" s="163">
        <v>0</v>
      </c>
      <c r="DD100" s="163">
        <v>0</v>
      </c>
      <c r="DE100" s="163">
        <v>0</v>
      </c>
      <c r="DF100" s="163">
        <f>VLOOKUP($C100,'[3]BS ACC'!$C$5:$DH$1006,108,FALSE)</f>
        <v>0</v>
      </c>
      <c r="DG100" s="163">
        <f>VLOOKUP($C100,'[3]BS ACC'!$C$5:$DH$1006,109,FALSE)</f>
        <v>0</v>
      </c>
      <c r="DH100" s="163">
        <f>VLOOKUP($C100,'[3]BS ACC'!$C$5:$DH$1006,110,FALSE)</f>
        <v>0</v>
      </c>
    </row>
    <row r="101" spans="1:112">
      <c r="A101" s="350" t="str">
        <f t="shared" si="1"/>
        <v>1650505</v>
      </c>
      <c r="B101" s="350" t="s">
        <v>1510</v>
      </c>
      <c r="C101" s="335" t="s">
        <v>660</v>
      </c>
      <c r="D101" s="340">
        <v>12724.19</v>
      </c>
      <c r="E101" s="340">
        <v>10603.49</v>
      </c>
      <c r="F101" s="340">
        <v>8482.7900000000009</v>
      </c>
      <c r="G101" s="340">
        <v>6362.09</v>
      </c>
      <c r="H101" s="340">
        <v>4241.3900000000003</v>
      </c>
      <c r="I101" s="340">
        <v>2120.69</v>
      </c>
      <c r="J101" s="340">
        <v>-0.01</v>
      </c>
      <c r="K101" s="340">
        <v>24841.279999999999</v>
      </c>
      <c r="L101" s="340">
        <v>22582.98</v>
      </c>
      <c r="M101" s="340">
        <v>20324.68</v>
      </c>
      <c r="N101" s="340">
        <v>18066.38</v>
      </c>
      <c r="O101" s="340">
        <v>15808.08</v>
      </c>
      <c r="P101" s="341">
        <v>13549.78</v>
      </c>
      <c r="Q101" s="163">
        <v>11291.48</v>
      </c>
      <c r="R101" s="163">
        <v>9033.18</v>
      </c>
      <c r="S101" s="163">
        <v>6774.88</v>
      </c>
      <c r="T101" s="163">
        <v>4516.58</v>
      </c>
      <c r="U101" s="163">
        <v>2258.2800000000002</v>
      </c>
      <c r="V101" s="163">
        <v>0</v>
      </c>
      <c r="W101" s="163">
        <v>0</v>
      </c>
      <c r="X101" s="163">
        <v>0</v>
      </c>
      <c r="Y101" s="163">
        <v>0</v>
      </c>
      <c r="Z101" s="163">
        <v>0</v>
      </c>
      <c r="AA101" s="163">
        <v>0</v>
      </c>
      <c r="AB101" s="163">
        <v>0</v>
      </c>
      <c r="AC101" s="163">
        <v>0</v>
      </c>
      <c r="AD101" s="163">
        <v>0</v>
      </c>
      <c r="AE101" s="163">
        <v>0</v>
      </c>
      <c r="AF101" s="163">
        <v>0</v>
      </c>
      <c r="AG101" s="163">
        <v>0</v>
      </c>
      <c r="AH101" s="163">
        <v>0</v>
      </c>
      <c r="AI101" s="163">
        <v>0</v>
      </c>
      <c r="AJ101" s="163">
        <v>0</v>
      </c>
      <c r="AK101" s="163">
        <v>0</v>
      </c>
      <c r="AL101" s="163">
        <v>0</v>
      </c>
      <c r="AM101" s="163">
        <v>0</v>
      </c>
      <c r="AN101" s="163">
        <v>0</v>
      </c>
      <c r="AO101" s="163">
        <v>0</v>
      </c>
      <c r="AP101" s="163">
        <v>0</v>
      </c>
      <c r="AQ101" s="163">
        <v>0</v>
      </c>
      <c r="AR101" s="163">
        <v>0</v>
      </c>
      <c r="AS101" s="163">
        <v>0</v>
      </c>
      <c r="AT101" s="163">
        <v>0</v>
      </c>
      <c r="AU101" s="163">
        <v>0</v>
      </c>
      <c r="AV101" s="163">
        <v>0</v>
      </c>
      <c r="AW101" s="163">
        <v>0</v>
      </c>
      <c r="AX101" s="163">
        <v>0</v>
      </c>
      <c r="AY101" s="163">
        <v>0</v>
      </c>
      <c r="AZ101" s="163">
        <v>0</v>
      </c>
      <c r="BA101" s="163">
        <v>0</v>
      </c>
      <c r="BB101" s="163">
        <v>0</v>
      </c>
      <c r="BC101" s="163">
        <v>0</v>
      </c>
      <c r="BD101" s="163">
        <v>0</v>
      </c>
      <c r="BE101" s="163">
        <v>0</v>
      </c>
      <c r="BF101" s="163">
        <v>0</v>
      </c>
      <c r="BG101" s="163">
        <v>0</v>
      </c>
      <c r="BH101" s="163">
        <v>0</v>
      </c>
      <c r="BI101" s="163">
        <v>0</v>
      </c>
      <c r="BJ101" s="163">
        <v>0</v>
      </c>
      <c r="BK101" s="163">
        <v>0</v>
      </c>
      <c r="BL101" s="163">
        <v>0</v>
      </c>
      <c r="BM101" s="163">
        <v>0</v>
      </c>
      <c r="BN101" s="163">
        <v>0</v>
      </c>
      <c r="BO101" s="163">
        <v>0</v>
      </c>
      <c r="BP101" s="163">
        <v>0</v>
      </c>
      <c r="BQ101" s="163">
        <v>0</v>
      </c>
      <c r="BR101" s="163">
        <v>0</v>
      </c>
      <c r="BS101" s="163">
        <v>0</v>
      </c>
      <c r="BT101" s="163">
        <v>0</v>
      </c>
      <c r="BU101" s="163">
        <v>0</v>
      </c>
      <c r="BV101" s="163">
        <v>0</v>
      </c>
      <c r="BW101" s="163">
        <v>0</v>
      </c>
      <c r="BX101" s="163">
        <v>0</v>
      </c>
      <c r="BY101" s="163">
        <v>0</v>
      </c>
      <c r="BZ101" s="163">
        <v>0</v>
      </c>
      <c r="CA101" s="163">
        <v>0</v>
      </c>
      <c r="CB101" s="163">
        <v>0</v>
      </c>
      <c r="CC101" s="163">
        <v>0</v>
      </c>
      <c r="CD101" s="163">
        <v>0</v>
      </c>
      <c r="CE101" s="163">
        <v>0</v>
      </c>
      <c r="CF101" s="163">
        <v>0</v>
      </c>
      <c r="CG101" s="163">
        <v>0</v>
      </c>
      <c r="CH101" s="163">
        <v>0</v>
      </c>
      <c r="CI101" s="163">
        <v>0</v>
      </c>
      <c r="CJ101" s="163">
        <v>0</v>
      </c>
      <c r="CK101" s="163">
        <v>0</v>
      </c>
      <c r="CL101" s="163">
        <v>0</v>
      </c>
      <c r="CM101" s="163">
        <v>0</v>
      </c>
      <c r="CN101" s="163">
        <v>0</v>
      </c>
      <c r="CO101" s="163">
        <v>0</v>
      </c>
      <c r="CP101" s="163">
        <v>0</v>
      </c>
      <c r="CQ101" s="163">
        <v>0</v>
      </c>
      <c r="CR101" s="163">
        <v>0</v>
      </c>
      <c r="CS101" s="163">
        <v>0</v>
      </c>
      <c r="CT101" s="163">
        <v>0</v>
      </c>
      <c r="CU101" s="163">
        <v>0</v>
      </c>
      <c r="CV101" s="163">
        <v>0</v>
      </c>
      <c r="CW101" s="163">
        <v>0</v>
      </c>
      <c r="CX101" s="163">
        <v>0</v>
      </c>
      <c r="CY101" s="163">
        <v>0</v>
      </c>
      <c r="CZ101" s="163">
        <v>0</v>
      </c>
      <c r="DA101" s="163">
        <v>0</v>
      </c>
      <c r="DB101" s="163">
        <v>0</v>
      </c>
      <c r="DC101" s="163">
        <v>0</v>
      </c>
      <c r="DD101" s="163">
        <v>0</v>
      </c>
      <c r="DE101" s="163">
        <v>0</v>
      </c>
      <c r="DF101" s="163">
        <f>VLOOKUP($C101,'[3]BS ACC'!$C$5:$DH$1006,108,FALSE)</f>
        <v>0</v>
      </c>
      <c r="DG101" s="163">
        <f>VLOOKUP($C101,'[3]BS ACC'!$C$5:$DH$1006,109,FALSE)</f>
        <v>0</v>
      </c>
      <c r="DH101" s="163">
        <f>VLOOKUP($C101,'[3]BS ACC'!$C$5:$DH$1006,110,FALSE)</f>
        <v>0</v>
      </c>
    </row>
    <row r="102" spans="1:112">
      <c r="A102" s="350" t="str">
        <f t="shared" si="1"/>
        <v>1650506</v>
      </c>
      <c r="B102" s="350" t="s">
        <v>1511</v>
      </c>
      <c r="C102" s="335" t="s">
        <v>661</v>
      </c>
      <c r="D102" s="340">
        <v>69245.679999999993</v>
      </c>
      <c r="E102" s="340">
        <v>57704.73</v>
      </c>
      <c r="F102" s="340">
        <v>46163.78</v>
      </c>
      <c r="G102" s="340">
        <v>34622.83</v>
      </c>
      <c r="H102" s="340">
        <v>23081.88</v>
      </c>
      <c r="I102" s="340">
        <v>11540.93</v>
      </c>
      <c r="J102" s="340">
        <v>-0.02</v>
      </c>
      <c r="K102" s="340">
        <v>138686.41</v>
      </c>
      <c r="L102" s="340">
        <v>126078.55</v>
      </c>
      <c r="M102" s="340">
        <v>113470.69</v>
      </c>
      <c r="N102" s="340">
        <v>100862.83</v>
      </c>
      <c r="O102" s="340">
        <v>88254.97</v>
      </c>
      <c r="P102" s="341">
        <v>75647.11</v>
      </c>
      <c r="Q102" s="163">
        <v>63039.25</v>
      </c>
      <c r="R102" s="163">
        <v>50431.39</v>
      </c>
      <c r="S102" s="163">
        <v>37823.53</v>
      </c>
      <c r="T102" s="163">
        <v>25215.67</v>
      </c>
      <c r="U102" s="163">
        <v>12607.81</v>
      </c>
      <c r="V102" s="163">
        <v>0</v>
      </c>
      <c r="W102" s="163">
        <v>0</v>
      </c>
      <c r="X102" s="163">
        <v>0</v>
      </c>
      <c r="Y102" s="163">
        <v>0</v>
      </c>
      <c r="Z102" s="163">
        <v>0</v>
      </c>
      <c r="AA102" s="163">
        <v>0</v>
      </c>
      <c r="AB102" s="163">
        <v>0</v>
      </c>
      <c r="AC102" s="163">
        <v>0</v>
      </c>
      <c r="AD102" s="163">
        <v>0</v>
      </c>
      <c r="AE102" s="163">
        <v>0</v>
      </c>
      <c r="AF102" s="163">
        <v>0</v>
      </c>
      <c r="AG102" s="163">
        <v>0</v>
      </c>
      <c r="AH102" s="163">
        <v>0</v>
      </c>
      <c r="AI102" s="163">
        <v>0</v>
      </c>
      <c r="AJ102" s="163">
        <v>0</v>
      </c>
      <c r="AK102" s="163">
        <v>0</v>
      </c>
      <c r="AL102" s="163">
        <v>0</v>
      </c>
      <c r="AM102" s="163">
        <v>0</v>
      </c>
      <c r="AN102" s="163">
        <v>0</v>
      </c>
      <c r="AO102" s="163">
        <v>0</v>
      </c>
      <c r="AP102" s="163">
        <v>0</v>
      </c>
      <c r="AQ102" s="163">
        <v>0</v>
      </c>
      <c r="AR102" s="163">
        <v>0</v>
      </c>
      <c r="AS102" s="163">
        <v>0</v>
      </c>
      <c r="AT102" s="163">
        <v>0</v>
      </c>
      <c r="AU102" s="163">
        <v>0</v>
      </c>
      <c r="AV102" s="163">
        <v>0</v>
      </c>
      <c r="AW102" s="163">
        <v>0</v>
      </c>
      <c r="AX102" s="163">
        <v>0</v>
      </c>
      <c r="AY102" s="163">
        <v>0</v>
      </c>
      <c r="AZ102" s="163">
        <v>0</v>
      </c>
      <c r="BA102" s="163">
        <v>0</v>
      </c>
      <c r="BB102" s="163">
        <v>0</v>
      </c>
      <c r="BC102" s="163">
        <v>0</v>
      </c>
      <c r="BD102" s="163">
        <v>0</v>
      </c>
      <c r="BE102" s="163">
        <v>0</v>
      </c>
      <c r="BF102" s="163">
        <v>0</v>
      </c>
      <c r="BG102" s="163">
        <v>0</v>
      </c>
      <c r="BH102" s="163">
        <v>0</v>
      </c>
      <c r="BI102" s="163">
        <v>0</v>
      </c>
      <c r="BJ102" s="163">
        <v>0</v>
      </c>
      <c r="BK102" s="163">
        <v>0</v>
      </c>
      <c r="BL102" s="163">
        <v>0</v>
      </c>
      <c r="BM102" s="163">
        <v>0</v>
      </c>
      <c r="BN102" s="163">
        <v>0</v>
      </c>
      <c r="BO102" s="163">
        <v>0</v>
      </c>
      <c r="BP102" s="163">
        <v>0</v>
      </c>
      <c r="BQ102" s="163">
        <v>0</v>
      </c>
      <c r="BR102" s="163">
        <v>0</v>
      </c>
      <c r="BS102" s="163">
        <v>0</v>
      </c>
      <c r="BT102" s="163">
        <v>0</v>
      </c>
      <c r="BU102" s="163">
        <v>0</v>
      </c>
      <c r="BV102" s="163">
        <v>0</v>
      </c>
      <c r="BW102" s="163">
        <v>0</v>
      </c>
      <c r="BX102" s="163">
        <v>0</v>
      </c>
      <c r="BY102" s="163">
        <v>0</v>
      </c>
      <c r="BZ102" s="163">
        <v>0</v>
      </c>
      <c r="CA102" s="163">
        <v>0</v>
      </c>
      <c r="CB102" s="163">
        <v>0</v>
      </c>
      <c r="CC102" s="163">
        <v>0</v>
      </c>
      <c r="CD102" s="163">
        <v>0</v>
      </c>
      <c r="CE102" s="163">
        <v>0</v>
      </c>
      <c r="CF102" s="163">
        <v>0</v>
      </c>
      <c r="CG102" s="163">
        <v>0</v>
      </c>
      <c r="CH102" s="163">
        <v>0</v>
      </c>
      <c r="CI102" s="163">
        <v>0</v>
      </c>
      <c r="CJ102" s="163">
        <v>0</v>
      </c>
      <c r="CK102" s="163">
        <v>0</v>
      </c>
      <c r="CL102" s="163">
        <v>0</v>
      </c>
      <c r="CM102" s="163">
        <v>0</v>
      </c>
      <c r="CN102" s="163">
        <v>0</v>
      </c>
      <c r="CO102" s="163">
        <v>0</v>
      </c>
      <c r="CP102" s="163">
        <v>0</v>
      </c>
      <c r="CQ102" s="163">
        <v>0</v>
      </c>
      <c r="CR102" s="163">
        <v>0</v>
      </c>
      <c r="CS102" s="163">
        <v>0</v>
      </c>
      <c r="CT102" s="163">
        <v>0</v>
      </c>
      <c r="CU102" s="163">
        <v>0</v>
      </c>
      <c r="CV102" s="163">
        <v>0</v>
      </c>
      <c r="CW102" s="163">
        <v>0</v>
      </c>
      <c r="CX102" s="163">
        <v>0</v>
      </c>
      <c r="CY102" s="163">
        <v>0</v>
      </c>
      <c r="CZ102" s="163">
        <v>0</v>
      </c>
      <c r="DA102" s="163">
        <v>0</v>
      </c>
      <c r="DB102" s="163">
        <v>0</v>
      </c>
      <c r="DC102" s="163">
        <v>0</v>
      </c>
      <c r="DD102" s="163">
        <v>0</v>
      </c>
      <c r="DE102" s="163">
        <v>0</v>
      </c>
      <c r="DF102" s="163">
        <f>VLOOKUP($C102,'[3]BS ACC'!$C$5:$DH$1006,108,FALSE)</f>
        <v>0</v>
      </c>
      <c r="DG102" s="163">
        <f>VLOOKUP($C102,'[3]BS ACC'!$C$5:$DH$1006,109,FALSE)</f>
        <v>0</v>
      </c>
      <c r="DH102" s="163">
        <f>VLOOKUP($C102,'[3]BS ACC'!$C$5:$DH$1006,110,FALSE)</f>
        <v>0</v>
      </c>
    </row>
    <row r="103" spans="1:112">
      <c r="A103" s="350" t="str">
        <f t="shared" si="1"/>
        <v>1650507</v>
      </c>
      <c r="B103" s="350" t="s">
        <v>1512</v>
      </c>
      <c r="C103" s="335" t="s">
        <v>662</v>
      </c>
      <c r="D103" s="340">
        <v>534559.14</v>
      </c>
      <c r="E103" s="340">
        <v>445465.93</v>
      </c>
      <c r="F103" s="340">
        <v>356372.72</v>
      </c>
      <c r="G103" s="340">
        <v>267279.51</v>
      </c>
      <c r="H103" s="340">
        <v>170465.6</v>
      </c>
      <c r="I103" s="340">
        <v>85232.8</v>
      </c>
      <c r="J103" s="340">
        <v>0</v>
      </c>
      <c r="K103" s="340">
        <v>1014184.39</v>
      </c>
      <c r="L103" s="340">
        <v>927842.92</v>
      </c>
      <c r="M103" s="340">
        <v>835058.63</v>
      </c>
      <c r="N103" s="340">
        <v>750061.56</v>
      </c>
      <c r="O103" s="340">
        <v>656303.86</v>
      </c>
      <c r="P103" s="341">
        <v>562546.16</v>
      </c>
      <c r="Q103" s="163">
        <v>468788.46</v>
      </c>
      <c r="R103" s="163">
        <v>375030.76</v>
      </c>
      <c r="S103" s="163">
        <v>281273.06</v>
      </c>
      <c r="T103" s="163">
        <v>187515.36</v>
      </c>
      <c r="U103" s="163">
        <v>93757.66</v>
      </c>
      <c r="V103" s="163">
        <v>0</v>
      </c>
      <c r="W103" s="163">
        <v>0</v>
      </c>
      <c r="X103" s="163">
        <v>0</v>
      </c>
      <c r="Y103" s="163">
        <v>0</v>
      </c>
      <c r="Z103" s="163">
        <v>0</v>
      </c>
      <c r="AA103" s="163">
        <v>0</v>
      </c>
      <c r="AB103" s="163">
        <v>0</v>
      </c>
      <c r="AC103" s="163">
        <v>0</v>
      </c>
      <c r="AD103" s="163">
        <v>0</v>
      </c>
      <c r="AE103" s="163">
        <v>0</v>
      </c>
      <c r="AF103" s="163">
        <v>0</v>
      </c>
      <c r="AG103" s="163">
        <v>0</v>
      </c>
      <c r="AH103" s="163">
        <v>0</v>
      </c>
      <c r="AI103" s="163">
        <v>0</v>
      </c>
      <c r="AJ103" s="163">
        <v>0</v>
      </c>
      <c r="AK103" s="163">
        <v>0</v>
      </c>
      <c r="AL103" s="163">
        <v>0</v>
      </c>
      <c r="AM103" s="163">
        <v>0</v>
      </c>
      <c r="AN103" s="163">
        <v>0</v>
      </c>
      <c r="AO103" s="163">
        <v>0</v>
      </c>
      <c r="AP103" s="163">
        <v>0</v>
      </c>
      <c r="AQ103" s="163">
        <v>0</v>
      </c>
      <c r="AR103" s="163">
        <v>0</v>
      </c>
      <c r="AS103" s="163">
        <v>0</v>
      </c>
      <c r="AT103" s="163">
        <v>0</v>
      </c>
      <c r="AU103" s="163">
        <v>0</v>
      </c>
      <c r="AV103" s="163">
        <v>0</v>
      </c>
      <c r="AW103" s="163">
        <v>0</v>
      </c>
      <c r="AX103" s="163">
        <v>0</v>
      </c>
      <c r="AY103" s="163">
        <v>0</v>
      </c>
      <c r="AZ103" s="163">
        <v>0</v>
      </c>
      <c r="BA103" s="163">
        <v>0</v>
      </c>
      <c r="BB103" s="163">
        <v>0</v>
      </c>
      <c r="BC103" s="163">
        <v>0</v>
      </c>
      <c r="BD103" s="163">
        <v>0</v>
      </c>
      <c r="BE103" s="163">
        <v>0</v>
      </c>
      <c r="BF103" s="163">
        <v>0</v>
      </c>
      <c r="BG103" s="163">
        <v>0</v>
      </c>
      <c r="BH103" s="163">
        <v>0</v>
      </c>
      <c r="BI103" s="163">
        <v>0</v>
      </c>
      <c r="BJ103" s="163">
        <v>0</v>
      </c>
      <c r="BK103" s="163">
        <v>0</v>
      </c>
      <c r="BL103" s="163">
        <v>0</v>
      </c>
      <c r="BM103" s="163">
        <v>0</v>
      </c>
      <c r="BN103" s="163">
        <v>0</v>
      </c>
      <c r="BO103" s="163">
        <v>0</v>
      </c>
      <c r="BP103" s="163">
        <v>0</v>
      </c>
      <c r="BQ103" s="163">
        <v>0</v>
      </c>
      <c r="BR103" s="163">
        <v>0</v>
      </c>
      <c r="BS103" s="163">
        <v>0</v>
      </c>
      <c r="BT103" s="163">
        <v>0</v>
      </c>
      <c r="BU103" s="163">
        <v>0</v>
      </c>
      <c r="BV103" s="163">
        <v>0</v>
      </c>
      <c r="BW103" s="163">
        <v>0</v>
      </c>
      <c r="BX103" s="163">
        <v>0</v>
      </c>
      <c r="BY103" s="163">
        <v>0</v>
      </c>
      <c r="BZ103" s="163">
        <v>0</v>
      </c>
      <c r="CA103" s="163">
        <v>0</v>
      </c>
      <c r="CB103" s="163">
        <v>0</v>
      </c>
      <c r="CC103" s="163">
        <v>0</v>
      </c>
      <c r="CD103" s="163">
        <v>0</v>
      </c>
      <c r="CE103" s="163">
        <v>0</v>
      </c>
      <c r="CF103" s="163">
        <v>0</v>
      </c>
      <c r="CG103" s="163">
        <v>0</v>
      </c>
      <c r="CH103" s="163">
        <v>0</v>
      </c>
      <c r="CI103" s="163">
        <v>0</v>
      </c>
      <c r="CJ103" s="163">
        <v>0</v>
      </c>
      <c r="CK103" s="163">
        <v>0</v>
      </c>
      <c r="CL103" s="163">
        <v>0</v>
      </c>
      <c r="CM103" s="163">
        <v>0</v>
      </c>
      <c r="CN103" s="163">
        <v>0</v>
      </c>
      <c r="CO103" s="163">
        <v>0</v>
      </c>
      <c r="CP103" s="163">
        <v>0</v>
      </c>
      <c r="CQ103" s="163">
        <v>0</v>
      </c>
      <c r="CR103" s="163">
        <v>0</v>
      </c>
      <c r="CS103" s="163">
        <v>0</v>
      </c>
      <c r="CT103" s="163">
        <v>0</v>
      </c>
      <c r="CU103" s="163">
        <v>0</v>
      </c>
      <c r="CV103" s="163">
        <v>0</v>
      </c>
      <c r="CW103" s="163">
        <v>0</v>
      </c>
      <c r="CX103" s="163">
        <v>0</v>
      </c>
      <c r="CY103" s="163">
        <v>0</v>
      </c>
      <c r="CZ103" s="163">
        <v>0</v>
      </c>
      <c r="DA103" s="163">
        <v>0</v>
      </c>
      <c r="DB103" s="163">
        <v>0</v>
      </c>
      <c r="DC103" s="163">
        <v>0</v>
      </c>
      <c r="DD103" s="163">
        <v>0</v>
      </c>
      <c r="DE103" s="163">
        <v>0</v>
      </c>
      <c r="DF103" s="163">
        <f>VLOOKUP($C103,'[3]BS ACC'!$C$5:$DH$1006,108,FALSE)</f>
        <v>0</v>
      </c>
      <c r="DG103" s="163">
        <f>VLOOKUP($C103,'[3]BS ACC'!$C$5:$DH$1006,109,FALSE)</f>
        <v>0</v>
      </c>
      <c r="DH103" s="163">
        <f>VLOOKUP($C103,'[3]BS ACC'!$C$5:$DH$1006,110,FALSE)</f>
        <v>0</v>
      </c>
    </row>
    <row r="104" spans="1:112">
      <c r="A104" s="350" t="str">
        <f t="shared" si="1"/>
        <v>1650513</v>
      </c>
      <c r="B104" s="350" t="s">
        <v>1590</v>
      </c>
      <c r="C104" s="335" t="s">
        <v>663</v>
      </c>
      <c r="D104" s="340">
        <v>14411.48</v>
      </c>
      <c r="E104" s="340">
        <v>12009.56</v>
      </c>
      <c r="F104" s="340">
        <v>9607.64</v>
      </c>
      <c r="G104" s="340">
        <v>7205.72</v>
      </c>
      <c r="H104" s="340">
        <v>4803.8</v>
      </c>
      <c r="I104" s="340">
        <v>2401.88</v>
      </c>
      <c r="J104" s="340">
        <v>-0.04</v>
      </c>
      <c r="K104" s="340">
        <v>30712.51</v>
      </c>
      <c r="L104" s="340">
        <v>27920.46</v>
      </c>
      <c r="M104" s="340">
        <v>25128.41</v>
      </c>
      <c r="N104" s="340">
        <v>22336.36</v>
      </c>
      <c r="O104" s="340">
        <v>19544.310000000001</v>
      </c>
      <c r="P104" s="341">
        <v>16752.259999999998</v>
      </c>
      <c r="Q104" s="163">
        <v>13960.21</v>
      </c>
      <c r="R104" s="163">
        <v>11168.16</v>
      </c>
      <c r="S104" s="163">
        <v>8376.11</v>
      </c>
      <c r="T104" s="163">
        <v>5584.06</v>
      </c>
      <c r="U104" s="163">
        <v>2792.01</v>
      </c>
      <c r="V104" s="163">
        <v>0</v>
      </c>
      <c r="W104" s="163">
        <v>0</v>
      </c>
      <c r="X104" s="163">
        <v>0</v>
      </c>
      <c r="Y104" s="163">
        <v>0</v>
      </c>
      <c r="Z104" s="163">
        <v>0</v>
      </c>
      <c r="AA104" s="163">
        <v>0</v>
      </c>
      <c r="AB104" s="163">
        <v>0</v>
      </c>
      <c r="AC104" s="163">
        <v>0</v>
      </c>
      <c r="AD104" s="163">
        <v>0</v>
      </c>
      <c r="AE104" s="163">
        <v>0</v>
      </c>
      <c r="AF104" s="163">
        <v>0</v>
      </c>
      <c r="AG104" s="163">
        <v>0</v>
      </c>
      <c r="AH104" s="163">
        <v>0</v>
      </c>
      <c r="AI104" s="163">
        <v>0</v>
      </c>
      <c r="AJ104" s="163">
        <v>0</v>
      </c>
      <c r="AK104" s="163">
        <v>0</v>
      </c>
      <c r="AL104" s="163">
        <v>0</v>
      </c>
      <c r="AM104" s="163">
        <v>0</v>
      </c>
      <c r="AN104" s="163">
        <v>0</v>
      </c>
      <c r="AO104" s="163">
        <v>0</v>
      </c>
      <c r="AP104" s="163">
        <v>0</v>
      </c>
      <c r="AQ104" s="163">
        <v>0</v>
      </c>
      <c r="AR104" s="163">
        <v>0</v>
      </c>
      <c r="AS104" s="163">
        <v>0</v>
      </c>
      <c r="AT104" s="163">
        <v>0</v>
      </c>
      <c r="AU104" s="163">
        <v>0</v>
      </c>
      <c r="AV104" s="163">
        <v>0</v>
      </c>
      <c r="AW104" s="163">
        <v>0</v>
      </c>
      <c r="AX104" s="163">
        <v>0</v>
      </c>
      <c r="AY104" s="163">
        <v>0</v>
      </c>
      <c r="AZ104" s="163">
        <v>0</v>
      </c>
      <c r="BA104" s="163">
        <v>0</v>
      </c>
      <c r="BB104" s="163">
        <v>0</v>
      </c>
      <c r="BC104" s="163">
        <v>0</v>
      </c>
      <c r="BD104" s="163">
        <v>0</v>
      </c>
      <c r="BE104" s="163">
        <v>0</v>
      </c>
      <c r="BF104" s="163">
        <v>0</v>
      </c>
      <c r="BG104" s="163">
        <v>0</v>
      </c>
      <c r="BH104" s="163">
        <v>0</v>
      </c>
      <c r="BI104" s="163">
        <v>0</v>
      </c>
      <c r="BJ104" s="163">
        <v>0</v>
      </c>
      <c r="BK104" s="163">
        <v>0</v>
      </c>
      <c r="BL104" s="163">
        <v>0</v>
      </c>
      <c r="BM104" s="163">
        <v>0</v>
      </c>
      <c r="BN104" s="163">
        <v>0</v>
      </c>
      <c r="BO104" s="163">
        <v>0</v>
      </c>
      <c r="BP104" s="163">
        <v>0</v>
      </c>
      <c r="BQ104" s="163">
        <v>0</v>
      </c>
      <c r="BR104" s="163">
        <v>0</v>
      </c>
      <c r="BS104" s="163">
        <v>0</v>
      </c>
      <c r="BT104" s="163">
        <v>0</v>
      </c>
      <c r="BU104" s="163">
        <v>0</v>
      </c>
      <c r="BV104" s="163">
        <v>0</v>
      </c>
      <c r="BW104" s="163">
        <v>0</v>
      </c>
      <c r="BX104" s="163">
        <v>0</v>
      </c>
      <c r="BY104" s="163">
        <v>0</v>
      </c>
      <c r="BZ104" s="163">
        <v>0</v>
      </c>
      <c r="CA104" s="163">
        <v>0</v>
      </c>
      <c r="CB104" s="163">
        <v>0</v>
      </c>
      <c r="CC104" s="163">
        <v>0</v>
      </c>
      <c r="CD104" s="163">
        <v>0</v>
      </c>
      <c r="CE104" s="163">
        <v>0</v>
      </c>
      <c r="CF104" s="163">
        <v>0</v>
      </c>
      <c r="CG104" s="163">
        <v>0</v>
      </c>
      <c r="CH104" s="163">
        <v>0</v>
      </c>
      <c r="CI104" s="163">
        <v>0</v>
      </c>
      <c r="CJ104" s="163">
        <v>0</v>
      </c>
      <c r="CK104" s="163">
        <v>0</v>
      </c>
      <c r="CL104" s="163">
        <v>0</v>
      </c>
      <c r="CM104" s="163">
        <v>0</v>
      </c>
      <c r="CN104" s="163">
        <v>0</v>
      </c>
      <c r="CO104" s="163">
        <v>0</v>
      </c>
      <c r="CP104" s="163">
        <v>0</v>
      </c>
      <c r="CQ104" s="163">
        <v>0</v>
      </c>
      <c r="CR104" s="163">
        <v>0</v>
      </c>
      <c r="CS104" s="163">
        <v>0</v>
      </c>
      <c r="CT104" s="163">
        <v>0</v>
      </c>
      <c r="CU104" s="163">
        <v>0</v>
      </c>
      <c r="CV104" s="163">
        <v>0</v>
      </c>
      <c r="CW104" s="163">
        <v>0</v>
      </c>
      <c r="CX104" s="163">
        <v>0</v>
      </c>
      <c r="CY104" s="163">
        <v>0</v>
      </c>
      <c r="CZ104" s="163">
        <v>0</v>
      </c>
      <c r="DA104" s="163">
        <v>0</v>
      </c>
      <c r="DB104" s="163">
        <v>0</v>
      </c>
      <c r="DC104" s="163">
        <v>0</v>
      </c>
      <c r="DD104" s="163">
        <v>0</v>
      </c>
      <c r="DE104" s="163">
        <v>0</v>
      </c>
      <c r="DF104" s="163">
        <f>VLOOKUP($C104,'[3]BS ACC'!$C$5:$DH$1006,108,FALSE)</f>
        <v>0</v>
      </c>
      <c r="DG104" s="163">
        <f>VLOOKUP($C104,'[3]BS ACC'!$C$5:$DH$1006,109,FALSE)</f>
        <v>0</v>
      </c>
      <c r="DH104" s="163">
        <f>VLOOKUP($C104,'[3]BS ACC'!$C$5:$DH$1006,110,FALSE)</f>
        <v>0</v>
      </c>
    </row>
    <row r="105" spans="1:112">
      <c r="A105" s="350" t="str">
        <f t="shared" si="1"/>
        <v>1650514</v>
      </c>
      <c r="B105" s="350" t="s">
        <v>1591</v>
      </c>
      <c r="C105" s="335" t="s">
        <v>664</v>
      </c>
      <c r="D105" s="340">
        <v>24031.55</v>
      </c>
      <c r="E105" s="340">
        <v>15975.87</v>
      </c>
      <c r="F105" s="340">
        <v>7920.19</v>
      </c>
      <c r="G105" s="340">
        <v>-135.49</v>
      </c>
      <c r="H105" s="340">
        <v>84053.91</v>
      </c>
      <c r="I105" s="340">
        <v>76412.66</v>
      </c>
      <c r="J105" s="340">
        <v>68771.41</v>
      </c>
      <c r="K105" s="340">
        <v>61220.44</v>
      </c>
      <c r="L105" s="340">
        <v>53567.89</v>
      </c>
      <c r="M105" s="340">
        <v>45834.19</v>
      </c>
      <c r="N105" s="340">
        <v>41600.97</v>
      </c>
      <c r="O105" s="340">
        <v>33961.94</v>
      </c>
      <c r="P105" s="341">
        <v>23764.53</v>
      </c>
      <c r="Q105" s="163">
        <v>16125.5</v>
      </c>
      <c r="R105" s="163">
        <v>8486.4699999999993</v>
      </c>
      <c r="S105" s="163">
        <v>847.44</v>
      </c>
      <c r="T105" s="163">
        <v>65875.59</v>
      </c>
      <c r="U105" s="163">
        <v>60555.98</v>
      </c>
      <c r="V105" s="163">
        <v>54500.38</v>
      </c>
      <c r="W105" s="163">
        <v>0</v>
      </c>
      <c r="X105" s="163">
        <v>0</v>
      </c>
      <c r="Y105" s="163">
        <v>0</v>
      </c>
      <c r="Z105" s="163">
        <v>0</v>
      </c>
      <c r="AA105" s="163">
        <v>0</v>
      </c>
      <c r="AB105" s="163">
        <v>0</v>
      </c>
      <c r="AC105" s="163">
        <v>0</v>
      </c>
      <c r="AD105" s="163">
        <v>0</v>
      </c>
      <c r="AE105" s="163">
        <v>0</v>
      </c>
      <c r="AF105" s="163">
        <v>0</v>
      </c>
      <c r="AG105" s="163">
        <v>0</v>
      </c>
      <c r="AH105" s="163">
        <v>0</v>
      </c>
      <c r="AI105" s="163">
        <v>0</v>
      </c>
      <c r="AJ105" s="163">
        <v>0</v>
      </c>
      <c r="AK105" s="163">
        <v>0</v>
      </c>
      <c r="AL105" s="163">
        <v>0</v>
      </c>
      <c r="AM105" s="163">
        <v>0</v>
      </c>
      <c r="AN105" s="163">
        <v>0</v>
      </c>
      <c r="AO105" s="163">
        <v>0</v>
      </c>
      <c r="AP105" s="163">
        <v>0</v>
      </c>
      <c r="AQ105" s="163">
        <v>0</v>
      </c>
      <c r="AR105" s="163">
        <v>0</v>
      </c>
      <c r="AS105" s="163">
        <v>0</v>
      </c>
      <c r="AT105" s="163">
        <v>0</v>
      </c>
      <c r="AU105" s="163">
        <v>0</v>
      </c>
      <c r="AV105" s="163">
        <v>0</v>
      </c>
      <c r="AW105" s="163">
        <v>0</v>
      </c>
      <c r="AX105" s="163">
        <v>0</v>
      </c>
      <c r="AY105" s="163">
        <v>0</v>
      </c>
      <c r="AZ105" s="163">
        <v>0</v>
      </c>
      <c r="BA105" s="163">
        <v>0</v>
      </c>
      <c r="BB105" s="163">
        <v>0</v>
      </c>
      <c r="BC105" s="163">
        <v>0</v>
      </c>
      <c r="BD105" s="163">
        <v>0</v>
      </c>
      <c r="BE105" s="163">
        <v>0</v>
      </c>
      <c r="BF105" s="163">
        <v>0</v>
      </c>
      <c r="BG105" s="163">
        <v>0</v>
      </c>
      <c r="BH105" s="163">
        <v>0</v>
      </c>
      <c r="BI105" s="163">
        <v>0</v>
      </c>
      <c r="BJ105" s="163">
        <v>0</v>
      </c>
      <c r="BK105" s="163">
        <v>0</v>
      </c>
      <c r="BL105" s="163">
        <v>0</v>
      </c>
      <c r="BM105" s="163">
        <v>0</v>
      </c>
      <c r="BN105" s="163">
        <v>0</v>
      </c>
      <c r="BO105" s="163">
        <v>0</v>
      </c>
      <c r="BP105" s="163">
        <v>0</v>
      </c>
      <c r="BQ105" s="163">
        <v>0</v>
      </c>
      <c r="BR105" s="163">
        <v>0</v>
      </c>
      <c r="BS105" s="163">
        <v>0</v>
      </c>
      <c r="BT105" s="163">
        <v>0</v>
      </c>
      <c r="BU105" s="163">
        <v>0</v>
      </c>
      <c r="BV105" s="163">
        <v>0</v>
      </c>
      <c r="BW105" s="163">
        <v>0</v>
      </c>
      <c r="BX105" s="163">
        <v>0</v>
      </c>
      <c r="BY105" s="163">
        <v>0</v>
      </c>
      <c r="BZ105" s="163">
        <v>0</v>
      </c>
      <c r="CA105" s="163">
        <v>0</v>
      </c>
      <c r="CB105" s="163">
        <v>0</v>
      </c>
      <c r="CC105" s="163">
        <v>0</v>
      </c>
      <c r="CD105" s="163">
        <v>0</v>
      </c>
      <c r="CE105" s="163">
        <v>0</v>
      </c>
      <c r="CF105" s="163">
        <v>0</v>
      </c>
      <c r="CG105" s="163">
        <v>0</v>
      </c>
      <c r="CH105" s="163">
        <v>0</v>
      </c>
      <c r="CI105" s="163">
        <v>0</v>
      </c>
      <c r="CJ105" s="163">
        <v>0</v>
      </c>
      <c r="CK105" s="163">
        <v>0</v>
      </c>
      <c r="CL105" s="163">
        <v>0</v>
      </c>
      <c r="CM105" s="163">
        <v>0</v>
      </c>
      <c r="CN105" s="163">
        <v>0</v>
      </c>
      <c r="CO105" s="163">
        <v>0</v>
      </c>
      <c r="CP105" s="163">
        <v>0</v>
      </c>
      <c r="CQ105" s="163">
        <v>0</v>
      </c>
      <c r="CR105" s="163">
        <v>0</v>
      </c>
      <c r="CS105" s="163">
        <v>0</v>
      </c>
      <c r="CT105" s="163">
        <v>0</v>
      </c>
      <c r="CU105" s="163">
        <v>0</v>
      </c>
      <c r="CV105" s="163">
        <v>0</v>
      </c>
      <c r="CW105" s="163">
        <v>0</v>
      </c>
      <c r="CX105" s="163">
        <v>0</v>
      </c>
      <c r="CY105" s="163">
        <v>0</v>
      </c>
      <c r="CZ105" s="163">
        <v>0</v>
      </c>
      <c r="DA105" s="163">
        <v>0</v>
      </c>
      <c r="DB105" s="163">
        <v>0</v>
      </c>
      <c r="DC105" s="163">
        <v>0</v>
      </c>
      <c r="DD105" s="163">
        <v>0</v>
      </c>
      <c r="DE105" s="163">
        <v>0</v>
      </c>
      <c r="DF105" s="163">
        <f>VLOOKUP($C105,'[3]BS ACC'!$C$5:$DH$1006,108,FALSE)</f>
        <v>0</v>
      </c>
      <c r="DG105" s="163">
        <f>VLOOKUP($C105,'[3]BS ACC'!$C$5:$DH$1006,109,FALSE)</f>
        <v>0</v>
      </c>
      <c r="DH105" s="163">
        <f>VLOOKUP($C105,'[3]BS ACC'!$C$5:$DH$1006,110,FALSE)</f>
        <v>0</v>
      </c>
    </row>
    <row r="106" spans="1:112">
      <c r="A106" s="350" t="str">
        <f t="shared" si="1"/>
        <v>1650515</v>
      </c>
      <c r="B106" s="350" t="s">
        <v>1592</v>
      </c>
      <c r="C106" s="335" t="s">
        <v>665</v>
      </c>
      <c r="D106" s="340">
        <v>20971.99</v>
      </c>
      <c r="E106" s="340">
        <v>17476.79</v>
      </c>
      <c r="F106" s="340">
        <v>13981.59</v>
      </c>
      <c r="G106" s="340">
        <v>10486.39</v>
      </c>
      <c r="H106" s="340">
        <v>6991.19</v>
      </c>
      <c r="I106" s="340">
        <v>3495.99</v>
      </c>
      <c r="J106" s="340">
        <v>0.79</v>
      </c>
      <c r="K106" s="340">
        <v>41261.4</v>
      </c>
      <c r="L106" s="340">
        <v>37510.43</v>
      </c>
      <c r="M106" s="340">
        <v>33759.46</v>
      </c>
      <c r="N106" s="340">
        <v>30008.49</v>
      </c>
      <c r="O106" s="340">
        <v>26257.52</v>
      </c>
      <c r="P106" s="341">
        <v>22506.55</v>
      </c>
      <c r="Q106" s="163">
        <v>18755.580000000002</v>
      </c>
      <c r="R106" s="163">
        <v>15004.61</v>
      </c>
      <c r="S106" s="163">
        <v>11253.64</v>
      </c>
      <c r="T106" s="163">
        <v>7502.67</v>
      </c>
      <c r="U106" s="163">
        <v>3751.7</v>
      </c>
      <c r="V106" s="163">
        <v>0</v>
      </c>
      <c r="W106" s="163">
        <v>0</v>
      </c>
      <c r="X106" s="163">
        <v>0</v>
      </c>
      <c r="Y106" s="163">
        <v>0</v>
      </c>
      <c r="Z106" s="163">
        <v>0</v>
      </c>
      <c r="AA106" s="163">
        <v>0</v>
      </c>
      <c r="AB106" s="163">
        <v>0</v>
      </c>
      <c r="AC106" s="163">
        <v>0</v>
      </c>
      <c r="AD106" s="163">
        <v>0</v>
      </c>
      <c r="AE106" s="163">
        <v>0</v>
      </c>
      <c r="AF106" s="163">
        <v>0</v>
      </c>
      <c r="AG106" s="163">
        <v>0</v>
      </c>
      <c r="AH106" s="163">
        <v>0</v>
      </c>
      <c r="AI106" s="163">
        <v>0</v>
      </c>
      <c r="AJ106" s="163">
        <v>0</v>
      </c>
      <c r="AK106" s="163">
        <v>0</v>
      </c>
      <c r="AL106" s="163">
        <v>0</v>
      </c>
      <c r="AM106" s="163">
        <v>0</v>
      </c>
      <c r="AN106" s="163">
        <v>0</v>
      </c>
      <c r="AO106" s="163">
        <v>0</v>
      </c>
      <c r="AP106" s="163">
        <v>0</v>
      </c>
      <c r="AQ106" s="163">
        <v>0</v>
      </c>
      <c r="AR106" s="163">
        <v>0</v>
      </c>
      <c r="AS106" s="163">
        <v>0</v>
      </c>
      <c r="AT106" s="163">
        <v>0</v>
      </c>
      <c r="AU106" s="163">
        <v>0</v>
      </c>
      <c r="AV106" s="163">
        <v>0</v>
      </c>
      <c r="AW106" s="163">
        <v>0</v>
      </c>
      <c r="AX106" s="163">
        <v>0</v>
      </c>
      <c r="AY106" s="163">
        <v>0</v>
      </c>
      <c r="AZ106" s="163">
        <v>0</v>
      </c>
      <c r="BA106" s="163">
        <v>0</v>
      </c>
      <c r="BB106" s="163">
        <v>0</v>
      </c>
      <c r="BC106" s="163">
        <v>0</v>
      </c>
      <c r="BD106" s="163">
        <v>0</v>
      </c>
      <c r="BE106" s="163">
        <v>0</v>
      </c>
      <c r="BF106" s="163">
        <v>0</v>
      </c>
      <c r="BG106" s="163">
        <v>0</v>
      </c>
      <c r="BH106" s="163">
        <v>0</v>
      </c>
      <c r="BI106" s="163">
        <v>0</v>
      </c>
      <c r="BJ106" s="163">
        <v>0</v>
      </c>
      <c r="BK106" s="163">
        <v>0</v>
      </c>
      <c r="BL106" s="163">
        <v>0</v>
      </c>
      <c r="BM106" s="163">
        <v>0</v>
      </c>
      <c r="BN106" s="163">
        <v>0</v>
      </c>
      <c r="BO106" s="163">
        <v>0</v>
      </c>
      <c r="BP106" s="163">
        <v>0</v>
      </c>
      <c r="BQ106" s="163">
        <v>0</v>
      </c>
      <c r="BR106" s="163">
        <v>0</v>
      </c>
      <c r="BS106" s="163">
        <v>0</v>
      </c>
      <c r="BT106" s="163">
        <v>0</v>
      </c>
      <c r="BU106" s="163">
        <v>0</v>
      </c>
      <c r="BV106" s="163">
        <v>0</v>
      </c>
      <c r="BW106" s="163">
        <v>0</v>
      </c>
      <c r="BX106" s="163">
        <v>0</v>
      </c>
      <c r="BY106" s="163">
        <v>0</v>
      </c>
      <c r="BZ106" s="163">
        <v>0</v>
      </c>
      <c r="CA106" s="163">
        <v>0</v>
      </c>
      <c r="CB106" s="163">
        <v>0</v>
      </c>
      <c r="CC106" s="163">
        <v>0</v>
      </c>
      <c r="CD106" s="163">
        <v>0</v>
      </c>
      <c r="CE106" s="163">
        <v>0</v>
      </c>
      <c r="CF106" s="163">
        <v>0</v>
      </c>
      <c r="CG106" s="163">
        <v>0</v>
      </c>
      <c r="CH106" s="163">
        <v>0</v>
      </c>
      <c r="CI106" s="163">
        <v>0</v>
      </c>
      <c r="CJ106" s="163">
        <v>0</v>
      </c>
      <c r="CK106" s="163">
        <v>0</v>
      </c>
      <c r="CL106" s="163">
        <v>0</v>
      </c>
      <c r="CM106" s="163">
        <v>0</v>
      </c>
      <c r="CN106" s="163">
        <v>0</v>
      </c>
      <c r="CO106" s="163">
        <v>0</v>
      </c>
      <c r="CP106" s="163">
        <v>0</v>
      </c>
      <c r="CQ106" s="163">
        <v>0</v>
      </c>
      <c r="CR106" s="163">
        <v>0</v>
      </c>
      <c r="CS106" s="163">
        <v>0</v>
      </c>
      <c r="CT106" s="163">
        <v>0</v>
      </c>
      <c r="CU106" s="163">
        <v>0</v>
      </c>
      <c r="CV106" s="163">
        <v>0</v>
      </c>
      <c r="CW106" s="163">
        <v>0</v>
      </c>
      <c r="CX106" s="163">
        <v>0</v>
      </c>
      <c r="CY106" s="163">
        <v>0</v>
      </c>
      <c r="CZ106" s="163">
        <v>0</v>
      </c>
      <c r="DA106" s="163">
        <v>0</v>
      </c>
      <c r="DB106" s="163">
        <v>0</v>
      </c>
      <c r="DC106" s="163">
        <v>0</v>
      </c>
      <c r="DD106" s="163">
        <v>0</v>
      </c>
      <c r="DE106" s="163">
        <v>0</v>
      </c>
      <c r="DF106" s="163">
        <f>VLOOKUP($C106,'[3]BS ACC'!$C$5:$DH$1006,108,FALSE)</f>
        <v>0</v>
      </c>
      <c r="DG106" s="163">
        <f>VLOOKUP($C106,'[3]BS ACC'!$C$5:$DH$1006,109,FALSE)</f>
        <v>0</v>
      </c>
      <c r="DH106" s="163">
        <f>VLOOKUP($C106,'[3]BS ACC'!$C$5:$DH$1006,110,FALSE)</f>
        <v>0</v>
      </c>
    </row>
    <row r="107" spans="1:112">
      <c r="A107" s="350" t="str">
        <f t="shared" si="1"/>
        <v>1650516</v>
      </c>
      <c r="B107" s="350" t="s">
        <v>1593</v>
      </c>
      <c r="C107" s="335" t="s">
        <v>666</v>
      </c>
      <c r="D107" s="340">
        <v>0</v>
      </c>
      <c r="E107" s="340">
        <v>0</v>
      </c>
      <c r="F107" s="340">
        <v>0</v>
      </c>
      <c r="G107" s="340">
        <v>0</v>
      </c>
      <c r="H107" s="340">
        <v>0</v>
      </c>
      <c r="I107" s="340">
        <v>0</v>
      </c>
      <c r="J107" s="340">
        <v>0</v>
      </c>
      <c r="K107" s="340">
        <v>0</v>
      </c>
      <c r="L107" s="340">
        <v>0</v>
      </c>
      <c r="M107" s="340">
        <v>0</v>
      </c>
      <c r="N107" s="340">
        <v>2682.4</v>
      </c>
      <c r="O107" s="340">
        <v>2438.5500000000002</v>
      </c>
      <c r="P107" s="341">
        <v>2194.6999999999998</v>
      </c>
      <c r="Q107" s="163">
        <v>1950.85</v>
      </c>
      <c r="R107" s="163">
        <v>1707</v>
      </c>
      <c r="S107" s="163">
        <v>1463.15</v>
      </c>
      <c r="T107" s="163">
        <v>1219.3</v>
      </c>
      <c r="U107" s="163">
        <v>975.45</v>
      </c>
      <c r="V107" s="163">
        <v>731.6</v>
      </c>
      <c r="W107" s="163">
        <v>0</v>
      </c>
      <c r="X107" s="163">
        <v>0</v>
      </c>
      <c r="Y107" s="163">
        <v>0</v>
      </c>
      <c r="Z107" s="163">
        <v>0</v>
      </c>
      <c r="AA107" s="163">
        <v>0</v>
      </c>
      <c r="AB107" s="163">
        <v>0</v>
      </c>
      <c r="AC107" s="163">
        <v>0</v>
      </c>
      <c r="AD107" s="163">
        <v>0</v>
      </c>
      <c r="AE107" s="163">
        <v>0</v>
      </c>
      <c r="AF107" s="163">
        <v>0</v>
      </c>
      <c r="AG107" s="163">
        <v>0</v>
      </c>
      <c r="AH107" s="163">
        <v>0</v>
      </c>
      <c r="AI107" s="163">
        <v>0</v>
      </c>
      <c r="AJ107" s="163">
        <v>0</v>
      </c>
      <c r="AK107" s="163">
        <v>0</v>
      </c>
      <c r="AL107" s="163">
        <v>0</v>
      </c>
      <c r="AM107" s="163">
        <v>0</v>
      </c>
      <c r="AN107" s="163">
        <v>0</v>
      </c>
      <c r="AO107" s="163">
        <v>0</v>
      </c>
      <c r="AP107" s="163">
        <v>0</v>
      </c>
      <c r="AQ107" s="163">
        <v>0</v>
      </c>
      <c r="AR107" s="163">
        <v>0</v>
      </c>
      <c r="AS107" s="163">
        <v>0</v>
      </c>
      <c r="AT107" s="163">
        <v>0</v>
      </c>
      <c r="AU107" s="163">
        <v>0</v>
      </c>
      <c r="AV107" s="163">
        <v>0</v>
      </c>
      <c r="AW107" s="163">
        <v>0</v>
      </c>
      <c r="AX107" s="163">
        <v>0</v>
      </c>
      <c r="AY107" s="163">
        <v>0</v>
      </c>
      <c r="AZ107" s="163">
        <v>0</v>
      </c>
      <c r="BA107" s="163">
        <v>0</v>
      </c>
      <c r="BB107" s="163">
        <v>0</v>
      </c>
      <c r="BC107" s="163">
        <v>0</v>
      </c>
      <c r="BD107" s="163">
        <v>0</v>
      </c>
      <c r="BE107" s="163">
        <v>0</v>
      </c>
      <c r="BF107" s="163">
        <v>0</v>
      </c>
      <c r="BG107" s="163">
        <v>0</v>
      </c>
      <c r="BH107" s="163">
        <v>0</v>
      </c>
      <c r="BI107" s="163">
        <v>0</v>
      </c>
      <c r="BJ107" s="163">
        <v>0</v>
      </c>
      <c r="BK107" s="163">
        <v>0</v>
      </c>
      <c r="BL107" s="163">
        <v>0</v>
      </c>
      <c r="BM107" s="163">
        <v>0</v>
      </c>
      <c r="BN107" s="163">
        <v>0</v>
      </c>
      <c r="BO107" s="163">
        <v>0</v>
      </c>
      <c r="BP107" s="163">
        <v>0</v>
      </c>
      <c r="BQ107" s="163">
        <v>0</v>
      </c>
      <c r="BR107" s="163">
        <v>0</v>
      </c>
      <c r="BS107" s="163">
        <v>0</v>
      </c>
      <c r="BT107" s="163">
        <v>0</v>
      </c>
      <c r="BU107" s="163">
        <v>0</v>
      </c>
      <c r="BV107" s="163">
        <v>0</v>
      </c>
      <c r="BW107" s="163">
        <v>0</v>
      </c>
      <c r="BX107" s="163">
        <v>0</v>
      </c>
      <c r="BY107" s="163">
        <v>0</v>
      </c>
      <c r="BZ107" s="163">
        <v>0</v>
      </c>
      <c r="CA107" s="163">
        <v>0</v>
      </c>
      <c r="CB107" s="163">
        <v>0</v>
      </c>
      <c r="CC107" s="163">
        <v>0</v>
      </c>
      <c r="CD107" s="163">
        <v>0</v>
      </c>
      <c r="CE107" s="163">
        <v>0</v>
      </c>
      <c r="CF107" s="163">
        <v>0</v>
      </c>
      <c r="CG107" s="163">
        <v>0</v>
      </c>
      <c r="CH107" s="163">
        <v>0</v>
      </c>
      <c r="CI107" s="163">
        <v>0</v>
      </c>
      <c r="CJ107" s="163">
        <v>0</v>
      </c>
      <c r="CK107" s="163">
        <v>0</v>
      </c>
      <c r="CL107" s="163">
        <v>0</v>
      </c>
      <c r="CM107" s="163">
        <v>0</v>
      </c>
      <c r="CN107" s="163">
        <v>0</v>
      </c>
      <c r="CO107" s="163">
        <v>0</v>
      </c>
      <c r="CP107" s="163">
        <v>0</v>
      </c>
      <c r="CQ107" s="163">
        <v>0</v>
      </c>
      <c r="CR107" s="163">
        <v>0</v>
      </c>
      <c r="CS107" s="163">
        <v>0</v>
      </c>
      <c r="CT107" s="163">
        <v>0</v>
      </c>
      <c r="CU107" s="163">
        <v>0</v>
      </c>
      <c r="CV107" s="163">
        <v>0</v>
      </c>
      <c r="CW107" s="163">
        <v>0</v>
      </c>
      <c r="CX107" s="163">
        <v>0</v>
      </c>
      <c r="CY107" s="163">
        <v>0</v>
      </c>
      <c r="CZ107" s="163">
        <v>0</v>
      </c>
      <c r="DA107" s="163">
        <v>0</v>
      </c>
      <c r="DB107" s="163">
        <v>0</v>
      </c>
      <c r="DC107" s="163">
        <v>0</v>
      </c>
      <c r="DD107" s="163">
        <v>0</v>
      </c>
      <c r="DE107" s="163">
        <v>0</v>
      </c>
      <c r="DF107" s="163">
        <f>VLOOKUP($C107,'[3]BS ACC'!$C$5:$DH$1006,108,FALSE)</f>
        <v>0</v>
      </c>
      <c r="DG107" s="163">
        <f>VLOOKUP($C107,'[3]BS ACC'!$C$5:$DH$1006,109,FALSE)</f>
        <v>0</v>
      </c>
      <c r="DH107" s="163">
        <f>VLOOKUP($C107,'[3]BS ACC'!$C$5:$DH$1006,110,FALSE)</f>
        <v>0</v>
      </c>
    </row>
    <row r="108" spans="1:112">
      <c r="A108" s="350" t="str">
        <f t="shared" si="1"/>
        <v>1650517</v>
      </c>
      <c r="B108" s="350" t="s">
        <v>1594</v>
      </c>
      <c r="C108" s="335" t="s">
        <v>667</v>
      </c>
      <c r="D108" s="340">
        <v>0.01</v>
      </c>
      <c r="E108" s="340">
        <v>0.01</v>
      </c>
      <c r="F108" s="340">
        <v>0.01</v>
      </c>
      <c r="G108" s="340">
        <v>0</v>
      </c>
      <c r="H108" s="340">
        <v>0</v>
      </c>
      <c r="I108" s="340">
        <v>0</v>
      </c>
      <c r="J108" s="340">
        <v>0</v>
      </c>
      <c r="K108" s="340">
        <v>0</v>
      </c>
      <c r="L108" s="340">
        <v>0</v>
      </c>
      <c r="M108" s="340">
        <v>0</v>
      </c>
      <c r="N108" s="340">
        <v>0</v>
      </c>
      <c r="O108" s="340">
        <v>0</v>
      </c>
      <c r="P108" s="341">
        <v>0</v>
      </c>
      <c r="Q108" s="163">
        <v>0</v>
      </c>
      <c r="R108" s="163">
        <v>0</v>
      </c>
      <c r="S108" s="163">
        <v>0</v>
      </c>
      <c r="T108" s="163">
        <v>0</v>
      </c>
      <c r="U108" s="163">
        <v>0</v>
      </c>
      <c r="V108" s="163">
        <v>0</v>
      </c>
      <c r="W108" s="163">
        <v>0</v>
      </c>
      <c r="X108" s="163">
        <v>0</v>
      </c>
      <c r="Y108" s="163">
        <v>0</v>
      </c>
      <c r="Z108" s="163">
        <v>0</v>
      </c>
      <c r="AA108" s="163">
        <v>0</v>
      </c>
      <c r="AB108" s="163">
        <v>0</v>
      </c>
      <c r="AC108" s="163">
        <v>0</v>
      </c>
      <c r="AD108" s="163">
        <v>0</v>
      </c>
      <c r="AE108" s="163">
        <v>0</v>
      </c>
      <c r="AF108" s="163">
        <v>0</v>
      </c>
      <c r="AG108" s="163">
        <v>0</v>
      </c>
      <c r="AH108" s="163">
        <v>0</v>
      </c>
      <c r="AI108" s="163">
        <v>0</v>
      </c>
      <c r="AJ108" s="163">
        <v>0</v>
      </c>
      <c r="AK108" s="163">
        <v>0</v>
      </c>
      <c r="AL108" s="163">
        <v>0</v>
      </c>
      <c r="AM108" s="163">
        <v>0</v>
      </c>
      <c r="AN108" s="163">
        <v>0</v>
      </c>
      <c r="AO108" s="163">
        <v>0</v>
      </c>
      <c r="AP108" s="163">
        <v>0</v>
      </c>
      <c r="AQ108" s="163">
        <v>0</v>
      </c>
      <c r="AR108" s="163">
        <v>0</v>
      </c>
      <c r="AS108" s="163">
        <v>0</v>
      </c>
      <c r="AT108" s="163">
        <v>0</v>
      </c>
      <c r="AU108" s="163">
        <v>0</v>
      </c>
      <c r="AV108" s="163">
        <v>0</v>
      </c>
      <c r="AW108" s="163">
        <v>0</v>
      </c>
      <c r="AX108" s="163">
        <v>0</v>
      </c>
      <c r="AY108" s="163">
        <v>0</v>
      </c>
      <c r="AZ108" s="163">
        <v>0</v>
      </c>
      <c r="BA108" s="163">
        <v>0</v>
      </c>
      <c r="BB108" s="163">
        <v>0</v>
      </c>
      <c r="BC108" s="163">
        <v>0</v>
      </c>
      <c r="BD108" s="163">
        <v>0</v>
      </c>
      <c r="BE108" s="163">
        <v>0</v>
      </c>
      <c r="BF108" s="163">
        <v>0</v>
      </c>
      <c r="BG108" s="163">
        <v>0</v>
      </c>
      <c r="BH108" s="163">
        <v>0</v>
      </c>
      <c r="BI108" s="163">
        <v>0</v>
      </c>
      <c r="BJ108" s="163">
        <v>0</v>
      </c>
      <c r="BK108" s="163">
        <v>0</v>
      </c>
      <c r="BL108" s="163">
        <v>0</v>
      </c>
      <c r="BM108" s="163">
        <v>0</v>
      </c>
      <c r="BN108" s="163">
        <v>0</v>
      </c>
      <c r="BO108" s="163">
        <v>0</v>
      </c>
      <c r="BP108" s="163">
        <v>0</v>
      </c>
      <c r="BQ108" s="163">
        <v>0</v>
      </c>
      <c r="BR108" s="163">
        <v>0</v>
      </c>
      <c r="BS108" s="163">
        <v>0</v>
      </c>
      <c r="BT108" s="163">
        <v>0</v>
      </c>
      <c r="BU108" s="163">
        <v>0</v>
      </c>
      <c r="BV108" s="163">
        <v>0</v>
      </c>
      <c r="BW108" s="163">
        <v>0</v>
      </c>
      <c r="BX108" s="163">
        <v>0</v>
      </c>
      <c r="BY108" s="163">
        <v>0</v>
      </c>
      <c r="BZ108" s="163">
        <v>0</v>
      </c>
      <c r="CA108" s="163">
        <v>0</v>
      </c>
      <c r="CB108" s="163">
        <v>0</v>
      </c>
      <c r="CC108" s="163">
        <v>0</v>
      </c>
      <c r="CD108" s="163">
        <v>0</v>
      </c>
      <c r="CE108" s="163">
        <v>0</v>
      </c>
      <c r="CF108" s="163">
        <v>0</v>
      </c>
      <c r="CG108" s="163">
        <v>0</v>
      </c>
      <c r="CH108" s="163">
        <v>0</v>
      </c>
      <c r="CI108" s="163">
        <v>0</v>
      </c>
      <c r="CJ108" s="163">
        <v>0</v>
      </c>
      <c r="CK108" s="163">
        <v>0</v>
      </c>
      <c r="CL108" s="163">
        <v>0</v>
      </c>
      <c r="CM108" s="163">
        <v>0</v>
      </c>
      <c r="CN108" s="163">
        <v>0</v>
      </c>
      <c r="CO108" s="163">
        <v>0</v>
      </c>
      <c r="CP108" s="163">
        <v>0</v>
      </c>
      <c r="CQ108" s="163">
        <v>0</v>
      </c>
      <c r="CR108" s="163">
        <v>0</v>
      </c>
      <c r="CS108" s="163">
        <v>0</v>
      </c>
      <c r="CT108" s="163">
        <v>0</v>
      </c>
      <c r="CU108" s="163">
        <v>0</v>
      </c>
      <c r="CV108" s="163">
        <v>0</v>
      </c>
      <c r="CW108" s="163">
        <v>0</v>
      </c>
      <c r="CX108" s="163">
        <v>0</v>
      </c>
      <c r="CY108" s="163">
        <v>0</v>
      </c>
      <c r="CZ108" s="163">
        <v>0</v>
      </c>
      <c r="DA108" s="163">
        <v>0</v>
      </c>
      <c r="DB108" s="163">
        <v>0</v>
      </c>
      <c r="DC108" s="163">
        <v>0</v>
      </c>
      <c r="DD108" s="163">
        <v>0</v>
      </c>
      <c r="DE108" s="163">
        <v>0</v>
      </c>
      <c r="DF108" s="163">
        <f>VLOOKUP($C108,'[3]BS ACC'!$C$5:$DH$1006,108,FALSE)</f>
        <v>0</v>
      </c>
      <c r="DG108" s="163">
        <f>VLOOKUP($C108,'[3]BS ACC'!$C$5:$DH$1006,109,FALSE)</f>
        <v>0</v>
      </c>
      <c r="DH108" s="163">
        <f>VLOOKUP($C108,'[3]BS ACC'!$C$5:$DH$1006,110,FALSE)</f>
        <v>0</v>
      </c>
    </row>
    <row r="109" spans="1:112">
      <c r="A109" s="350" t="str">
        <f t="shared" si="1"/>
        <v>1650518</v>
      </c>
      <c r="B109" s="350" t="s">
        <v>1595</v>
      </c>
      <c r="C109" s="335" t="s">
        <v>668</v>
      </c>
      <c r="D109" s="340">
        <v>0</v>
      </c>
      <c r="E109" s="340">
        <v>853.5</v>
      </c>
      <c r="F109" s="340">
        <v>853.5</v>
      </c>
      <c r="G109" s="340">
        <v>853.5</v>
      </c>
      <c r="H109" s="340">
        <v>853.5</v>
      </c>
      <c r="I109" s="340">
        <v>853.5</v>
      </c>
      <c r="J109" s="340">
        <v>161.29</v>
      </c>
      <c r="K109" s="340">
        <v>853.5</v>
      </c>
      <c r="L109" s="340">
        <v>853.5</v>
      </c>
      <c r="M109" s="340">
        <v>853.5</v>
      </c>
      <c r="N109" s="340">
        <v>853.5</v>
      </c>
      <c r="O109" s="340">
        <v>853.5</v>
      </c>
      <c r="P109" s="341">
        <v>0</v>
      </c>
      <c r="Q109" s="163">
        <v>-853.5</v>
      </c>
      <c r="R109" s="163">
        <v>1204.67</v>
      </c>
      <c r="S109" s="163">
        <v>926.67</v>
      </c>
      <c r="T109" s="163">
        <v>1019.34</v>
      </c>
      <c r="U109" s="163">
        <v>648.66</v>
      </c>
      <c r="V109" s="163">
        <v>555.99</v>
      </c>
      <c r="W109" s="163">
        <v>0</v>
      </c>
      <c r="X109" s="163">
        <v>0</v>
      </c>
      <c r="Y109" s="163">
        <v>0</v>
      </c>
      <c r="Z109" s="163">
        <v>0</v>
      </c>
      <c r="AA109" s="163">
        <v>0</v>
      </c>
      <c r="AB109" s="163">
        <v>0</v>
      </c>
      <c r="AC109" s="163">
        <v>0</v>
      </c>
      <c r="AD109" s="163">
        <v>0</v>
      </c>
      <c r="AE109" s="163">
        <v>0</v>
      </c>
      <c r="AF109" s="163">
        <v>0</v>
      </c>
      <c r="AG109" s="163">
        <v>0</v>
      </c>
      <c r="AH109" s="163">
        <v>0</v>
      </c>
      <c r="AI109" s="163">
        <v>0</v>
      </c>
      <c r="AJ109" s="163">
        <v>0</v>
      </c>
      <c r="AK109" s="163">
        <v>0</v>
      </c>
      <c r="AL109" s="163">
        <v>0</v>
      </c>
      <c r="AM109" s="163">
        <v>0</v>
      </c>
      <c r="AN109" s="163">
        <v>0</v>
      </c>
      <c r="AO109" s="163">
        <v>0</v>
      </c>
      <c r="AP109" s="163">
        <v>0</v>
      </c>
      <c r="AQ109" s="163">
        <v>0</v>
      </c>
      <c r="AR109" s="163">
        <v>0</v>
      </c>
      <c r="AS109" s="163">
        <v>0</v>
      </c>
      <c r="AT109" s="163">
        <v>0</v>
      </c>
      <c r="AU109" s="163">
        <v>0</v>
      </c>
      <c r="AV109" s="163">
        <v>0</v>
      </c>
      <c r="AW109" s="163">
        <v>0</v>
      </c>
      <c r="AX109" s="163">
        <v>0</v>
      </c>
      <c r="AY109" s="163">
        <v>0</v>
      </c>
      <c r="AZ109" s="163">
        <v>0</v>
      </c>
      <c r="BA109" s="163">
        <v>0</v>
      </c>
      <c r="BB109" s="163">
        <v>0</v>
      </c>
      <c r="BC109" s="163">
        <v>0</v>
      </c>
      <c r="BD109" s="163">
        <v>0</v>
      </c>
      <c r="BE109" s="163">
        <v>0</v>
      </c>
      <c r="BF109" s="163">
        <v>0</v>
      </c>
      <c r="BG109" s="163">
        <v>0</v>
      </c>
      <c r="BH109" s="163">
        <v>0</v>
      </c>
      <c r="BI109" s="163">
        <v>0</v>
      </c>
      <c r="BJ109" s="163">
        <v>0</v>
      </c>
      <c r="BK109" s="163">
        <v>0</v>
      </c>
      <c r="BL109" s="163">
        <v>0</v>
      </c>
      <c r="BM109" s="163">
        <v>0</v>
      </c>
      <c r="BN109" s="163">
        <v>0</v>
      </c>
      <c r="BO109" s="163">
        <v>0</v>
      </c>
      <c r="BP109" s="163">
        <v>0</v>
      </c>
      <c r="BQ109" s="163">
        <v>0</v>
      </c>
      <c r="BR109" s="163">
        <v>0</v>
      </c>
      <c r="BS109" s="163">
        <v>0</v>
      </c>
      <c r="BT109" s="163">
        <v>0</v>
      </c>
      <c r="BU109" s="163">
        <v>0</v>
      </c>
      <c r="BV109" s="163">
        <v>0</v>
      </c>
      <c r="BW109" s="163">
        <v>0</v>
      </c>
      <c r="BX109" s="163">
        <v>0</v>
      </c>
      <c r="BY109" s="163">
        <v>0</v>
      </c>
      <c r="BZ109" s="163">
        <v>0</v>
      </c>
      <c r="CA109" s="163">
        <v>0</v>
      </c>
      <c r="CB109" s="163">
        <v>0</v>
      </c>
      <c r="CC109" s="163">
        <v>0</v>
      </c>
      <c r="CD109" s="163">
        <v>0</v>
      </c>
      <c r="CE109" s="163">
        <v>0</v>
      </c>
      <c r="CF109" s="163">
        <v>0</v>
      </c>
      <c r="CG109" s="163">
        <v>0</v>
      </c>
      <c r="CH109" s="163">
        <v>0</v>
      </c>
      <c r="CI109" s="163">
        <v>0</v>
      </c>
      <c r="CJ109" s="163">
        <v>0</v>
      </c>
      <c r="CK109" s="163">
        <v>0</v>
      </c>
      <c r="CL109" s="163">
        <v>0</v>
      </c>
      <c r="CM109" s="163">
        <v>0</v>
      </c>
      <c r="CN109" s="163">
        <v>0</v>
      </c>
      <c r="CO109" s="163">
        <v>0</v>
      </c>
      <c r="CP109" s="163">
        <v>0</v>
      </c>
      <c r="CQ109" s="163">
        <v>0</v>
      </c>
      <c r="CR109" s="163">
        <v>0</v>
      </c>
      <c r="CS109" s="163">
        <v>0</v>
      </c>
      <c r="CT109" s="163">
        <v>0</v>
      </c>
      <c r="CU109" s="163">
        <v>0</v>
      </c>
      <c r="CV109" s="163">
        <v>0</v>
      </c>
      <c r="CW109" s="163">
        <v>0</v>
      </c>
      <c r="CX109" s="163">
        <v>0</v>
      </c>
      <c r="CY109" s="163">
        <v>0</v>
      </c>
      <c r="CZ109" s="163">
        <v>0</v>
      </c>
      <c r="DA109" s="163">
        <v>0</v>
      </c>
      <c r="DB109" s="163">
        <v>0</v>
      </c>
      <c r="DC109" s="163">
        <v>0</v>
      </c>
      <c r="DD109" s="163">
        <v>0</v>
      </c>
      <c r="DE109" s="163">
        <v>0</v>
      </c>
      <c r="DF109" s="163">
        <f>VLOOKUP($C109,'[3]BS ACC'!$C$5:$DH$1006,108,FALSE)</f>
        <v>0</v>
      </c>
      <c r="DG109" s="163">
        <f>VLOOKUP($C109,'[3]BS ACC'!$C$5:$DH$1006,109,FALSE)</f>
        <v>0</v>
      </c>
      <c r="DH109" s="163">
        <f>VLOOKUP($C109,'[3]BS ACC'!$C$5:$DH$1006,110,FALSE)</f>
        <v>0</v>
      </c>
    </row>
    <row r="110" spans="1:112">
      <c r="A110" s="350" t="str">
        <f t="shared" si="1"/>
        <v>1650519</v>
      </c>
      <c r="B110" s="350" t="s">
        <v>1596</v>
      </c>
      <c r="C110" s="335" t="s">
        <v>669</v>
      </c>
      <c r="D110" s="340">
        <v>63864.32</v>
      </c>
      <c r="E110" s="340">
        <v>53220.27</v>
      </c>
      <c r="F110" s="340">
        <v>42576.22</v>
      </c>
      <c r="G110" s="340">
        <v>31932.17</v>
      </c>
      <c r="H110" s="340">
        <v>21288.12</v>
      </c>
      <c r="I110" s="340">
        <v>10644.07</v>
      </c>
      <c r="J110" s="340">
        <v>0.02</v>
      </c>
      <c r="K110" s="340">
        <v>121865.13</v>
      </c>
      <c r="L110" s="340">
        <v>110786.48</v>
      </c>
      <c r="M110" s="340">
        <v>99707.83</v>
      </c>
      <c r="N110" s="340">
        <v>88629.18</v>
      </c>
      <c r="O110" s="340">
        <v>77550.53</v>
      </c>
      <c r="P110" s="341">
        <v>66471.88</v>
      </c>
      <c r="Q110" s="163">
        <v>55393.23</v>
      </c>
      <c r="R110" s="163">
        <v>44314.58</v>
      </c>
      <c r="S110" s="163">
        <v>33235.93</v>
      </c>
      <c r="T110" s="163">
        <v>22157.279999999999</v>
      </c>
      <c r="U110" s="163">
        <v>11078.63</v>
      </c>
      <c r="V110" s="163">
        <v>0</v>
      </c>
      <c r="W110" s="163">
        <v>0</v>
      </c>
      <c r="X110" s="163">
        <v>0</v>
      </c>
      <c r="Y110" s="163">
        <v>0</v>
      </c>
      <c r="Z110" s="163">
        <v>0</v>
      </c>
      <c r="AA110" s="163">
        <v>0</v>
      </c>
      <c r="AB110" s="163">
        <v>0</v>
      </c>
      <c r="AC110" s="163">
        <v>0</v>
      </c>
      <c r="AD110" s="163">
        <v>0</v>
      </c>
      <c r="AE110" s="163">
        <v>0</v>
      </c>
      <c r="AF110" s="163">
        <v>0</v>
      </c>
      <c r="AG110" s="163">
        <v>0</v>
      </c>
      <c r="AH110" s="163">
        <v>0</v>
      </c>
      <c r="AI110" s="163">
        <v>0</v>
      </c>
      <c r="AJ110" s="163">
        <v>0</v>
      </c>
      <c r="AK110" s="163">
        <v>0</v>
      </c>
      <c r="AL110" s="163">
        <v>0</v>
      </c>
      <c r="AM110" s="163">
        <v>0</v>
      </c>
      <c r="AN110" s="163">
        <v>0</v>
      </c>
      <c r="AO110" s="163">
        <v>0</v>
      </c>
      <c r="AP110" s="163">
        <v>0</v>
      </c>
      <c r="AQ110" s="163">
        <v>0</v>
      </c>
      <c r="AR110" s="163">
        <v>0</v>
      </c>
      <c r="AS110" s="163">
        <v>0</v>
      </c>
      <c r="AT110" s="163">
        <v>0</v>
      </c>
      <c r="AU110" s="163">
        <v>0</v>
      </c>
      <c r="AV110" s="163">
        <v>0</v>
      </c>
      <c r="AW110" s="163">
        <v>0</v>
      </c>
      <c r="AX110" s="163">
        <v>0</v>
      </c>
      <c r="AY110" s="163">
        <v>0</v>
      </c>
      <c r="AZ110" s="163">
        <v>0</v>
      </c>
      <c r="BA110" s="163">
        <v>0</v>
      </c>
      <c r="BB110" s="163">
        <v>0</v>
      </c>
      <c r="BC110" s="163">
        <v>0</v>
      </c>
      <c r="BD110" s="163">
        <v>0</v>
      </c>
      <c r="BE110" s="163">
        <v>0</v>
      </c>
      <c r="BF110" s="163">
        <v>0</v>
      </c>
      <c r="BG110" s="163">
        <v>0</v>
      </c>
      <c r="BH110" s="163">
        <v>0</v>
      </c>
      <c r="BI110" s="163">
        <v>0</v>
      </c>
      <c r="BJ110" s="163">
        <v>0</v>
      </c>
      <c r="BK110" s="163">
        <v>0</v>
      </c>
      <c r="BL110" s="163">
        <v>0</v>
      </c>
      <c r="BM110" s="163">
        <v>0</v>
      </c>
      <c r="BN110" s="163">
        <v>0</v>
      </c>
      <c r="BO110" s="163">
        <v>0</v>
      </c>
      <c r="BP110" s="163">
        <v>0</v>
      </c>
      <c r="BQ110" s="163">
        <v>0</v>
      </c>
      <c r="BR110" s="163">
        <v>0</v>
      </c>
      <c r="BS110" s="163">
        <v>0</v>
      </c>
      <c r="BT110" s="163">
        <v>0</v>
      </c>
      <c r="BU110" s="163">
        <v>0</v>
      </c>
      <c r="BV110" s="163">
        <v>0</v>
      </c>
      <c r="BW110" s="163">
        <v>0</v>
      </c>
      <c r="BX110" s="163">
        <v>0</v>
      </c>
      <c r="BY110" s="163">
        <v>0</v>
      </c>
      <c r="BZ110" s="163">
        <v>0</v>
      </c>
      <c r="CA110" s="163">
        <v>0</v>
      </c>
      <c r="CB110" s="163">
        <v>0</v>
      </c>
      <c r="CC110" s="163">
        <v>0</v>
      </c>
      <c r="CD110" s="163">
        <v>0</v>
      </c>
      <c r="CE110" s="163">
        <v>0</v>
      </c>
      <c r="CF110" s="163">
        <v>0</v>
      </c>
      <c r="CG110" s="163">
        <v>0</v>
      </c>
      <c r="CH110" s="163">
        <v>0</v>
      </c>
      <c r="CI110" s="163">
        <v>0</v>
      </c>
      <c r="CJ110" s="163">
        <v>0</v>
      </c>
      <c r="CK110" s="163">
        <v>0</v>
      </c>
      <c r="CL110" s="163">
        <v>0</v>
      </c>
      <c r="CM110" s="163">
        <v>0</v>
      </c>
      <c r="CN110" s="163">
        <v>0</v>
      </c>
      <c r="CO110" s="163">
        <v>0</v>
      </c>
      <c r="CP110" s="163">
        <v>0</v>
      </c>
      <c r="CQ110" s="163">
        <v>0</v>
      </c>
      <c r="CR110" s="163">
        <v>0</v>
      </c>
      <c r="CS110" s="163">
        <v>0</v>
      </c>
      <c r="CT110" s="163">
        <v>0</v>
      </c>
      <c r="CU110" s="163">
        <v>0</v>
      </c>
      <c r="CV110" s="163">
        <v>0</v>
      </c>
      <c r="CW110" s="163">
        <v>0</v>
      </c>
      <c r="CX110" s="163">
        <v>0</v>
      </c>
      <c r="CY110" s="163">
        <v>0</v>
      </c>
      <c r="CZ110" s="163">
        <v>0</v>
      </c>
      <c r="DA110" s="163">
        <v>0</v>
      </c>
      <c r="DB110" s="163">
        <v>0</v>
      </c>
      <c r="DC110" s="163">
        <v>0</v>
      </c>
      <c r="DD110" s="163">
        <v>0</v>
      </c>
      <c r="DE110" s="163">
        <v>0</v>
      </c>
      <c r="DF110" s="163">
        <f>VLOOKUP($C110,'[3]BS ACC'!$C$5:$DH$1006,108,FALSE)</f>
        <v>0</v>
      </c>
      <c r="DG110" s="163">
        <f>VLOOKUP($C110,'[3]BS ACC'!$C$5:$DH$1006,109,FALSE)</f>
        <v>0</v>
      </c>
      <c r="DH110" s="163">
        <f>VLOOKUP($C110,'[3]BS ACC'!$C$5:$DH$1006,110,FALSE)</f>
        <v>0</v>
      </c>
    </row>
    <row r="111" spans="1:112">
      <c r="A111" s="350" t="str">
        <f t="shared" si="1"/>
        <v>1650520</v>
      </c>
      <c r="B111" s="350" t="s">
        <v>1513</v>
      </c>
      <c r="C111" s="335" t="s">
        <v>670</v>
      </c>
      <c r="D111" s="340">
        <v>-0.03</v>
      </c>
      <c r="E111" s="340">
        <v>-0.03</v>
      </c>
      <c r="F111" s="340">
        <v>-0.03</v>
      </c>
      <c r="G111" s="340">
        <v>0</v>
      </c>
      <c r="H111" s="340">
        <v>0</v>
      </c>
      <c r="I111" s="340">
        <v>0</v>
      </c>
      <c r="J111" s="340">
        <v>0</v>
      </c>
      <c r="K111" s="340">
        <v>0</v>
      </c>
      <c r="L111" s="340">
        <v>0</v>
      </c>
      <c r="M111" s="340">
        <v>0</v>
      </c>
      <c r="N111" s="340">
        <v>0</v>
      </c>
      <c r="O111" s="340">
        <v>0</v>
      </c>
      <c r="P111" s="341">
        <v>0</v>
      </c>
      <c r="Q111" s="163">
        <v>0</v>
      </c>
      <c r="R111" s="163">
        <v>0</v>
      </c>
      <c r="S111" s="163">
        <v>0</v>
      </c>
      <c r="T111" s="163">
        <v>0</v>
      </c>
      <c r="U111" s="163">
        <v>0</v>
      </c>
      <c r="V111" s="163">
        <v>0</v>
      </c>
      <c r="W111" s="163">
        <v>0</v>
      </c>
      <c r="X111" s="163">
        <v>0</v>
      </c>
      <c r="Y111" s="163">
        <v>0</v>
      </c>
      <c r="Z111" s="163">
        <v>0</v>
      </c>
      <c r="AA111" s="163">
        <v>0</v>
      </c>
      <c r="AB111" s="163">
        <v>0</v>
      </c>
      <c r="AC111" s="163">
        <v>0</v>
      </c>
      <c r="AD111" s="163">
        <v>0</v>
      </c>
      <c r="AE111" s="163">
        <v>0</v>
      </c>
      <c r="AF111" s="163">
        <v>0</v>
      </c>
      <c r="AG111" s="163">
        <v>0</v>
      </c>
      <c r="AH111" s="163">
        <v>0</v>
      </c>
      <c r="AI111" s="163">
        <v>0</v>
      </c>
      <c r="AJ111" s="163">
        <v>0</v>
      </c>
      <c r="AK111" s="163">
        <v>0</v>
      </c>
      <c r="AL111" s="163">
        <v>0</v>
      </c>
      <c r="AM111" s="163">
        <v>0</v>
      </c>
      <c r="AN111" s="163">
        <v>0</v>
      </c>
      <c r="AO111" s="163">
        <v>0</v>
      </c>
      <c r="AP111" s="163">
        <v>0</v>
      </c>
      <c r="AQ111" s="163">
        <v>0</v>
      </c>
      <c r="AR111" s="163">
        <v>0</v>
      </c>
      <c r="AS111" s="163">
        <v>0</v>
      </c>
      <c r="AT111" s="163">
        <v>0</v>
      </c>
      <c r="AU111" s="163">
        <v>0</v>
      </c>
      <c r="AV111" s="163">
        <v>0</v>
      </c>
      <c r="AW111" s="163">
        <v>0</v>
      </c>
      <c r="AX111" s="163">
        <v>0</v>
      </c>
      <c r="AY111" s="163">
        <v>0</v>
      </c>
      <c r="AZ111" s="163">
        <v>0</v>
      </c>
      <c r="BA111" s="163">
        <v>0</v>
      </c>
      <c r="BB111" s="163">
        <v>0</v>
      </c>
      <c r="BC111" s="163">
        <v>0</v>
      </c>
      <c r="BD111" s="163">
        <v>0</v>
      </c>
      <c r="BE111" s="163">
        <v>0</v>
      </c>
      <c r="BF111" s="163">
        <v>0</v>
      </c>
      <c r="BG111" s="163">
        <v>0</v>
      </c>
      <c r="BH111" s="163">
        <v>0</v>
      </c>
      <c r="BI111" s="163">
        <v>0</v>
      </c>
      <c r="BJ111" s="163">
        <v>0</v>
      </c>
      <c r="BK111" s="163">
        <v>0</v>
      </c>
      <c r="BL111" s="163">
        <v>0</v>
      </c>
      <c r="BM111" s="163">
        <v>0</v>
      </c>
      <c r="BN111" s="163">
        <v>0</v>
      </c>
      <c r="BO111" s="163">
        <v>0</v>
      </c>
      <c r="BP111" s="163">
        <v>0</v>
      </c>
      <c r="BQ111" s="163">
        <v>0</v>
      </c>
      <c r="BR111" s="163">
        <v>0</v>
      </c>
      <c r="BS111" s="163">
        <v>0</v>
      </c>
      <c r="BT111" s="163">
        <v>0</v>
      </c>
      <c r="BU111" s="163">
        <v>0</v>
      </c>
      <c r="BV111" s="163">
        <v>0</v>
      </c>
      <c r="BW111" s="163">
        <v>0</v>
      </c>
      <c r="BX111" s="163">
        <v>0</v>
      </c>
      <c r="BY111" s="163">
        <v>0</v>
      </c>
      <c r="BZ111" s="163">
        <v>0</v>
      </c>
      <c r="CA111" s="163">
        <v>0</v>
      </c>
      <c r="CB111" s="163">
        <v>0</v>
      </c>
      <c r="CC111" s="163">
        <v>0</v>
      </c>
      <c r="CD111" s="163">
        <v>0</v>
      </c>
      <c r="CE111" s="163">
        <v>0</v>
      </c>
      <c r="CF111" s="163">
        <v>0</v>
      </c>
      <c r="CG111" s="163">
        <v>0</v>
      </c>
      <c r="CH111" s="163">
        <v>0</v>
      </c>
      <c r="CI111" s="163">
        <v>0</v>
      </c>
      <c r="CJ111" s="163">
        <v>0</v>
      </c>
      <c r="CK111" s="163">
        <v>0</v>
      </c>
      <c r="CL111" s="163">
        <v>0</v>
      </c>
      <c r="CM111" s="163">
        <v>0</v>
      </c>
      <c r="CN111" s="163">
        <v>0</v>
      </c>
      <c r="CO111" s="163">
        <v>0</v>
      </c>
      <c r="CP111" s="163">
        <v>0</v>
      </c>
      <c r="CQ111" s="163">
        <v>0</v>
      </c>
      <c r="CR111" s="163">
        <v>0</v>
      </c>
      <c r="CS111" s="163">
        <v>0</v>
      </c>
      <c r="CT111" s="163">
        <v>0</v>
      </c>
      <c r="CU111" s="163">
        <v>0</v>
      </c>
      <c r="CV111" s="163">
        <v>0</v>
      </c>
      <c r="CW111" s="163">
        <v>0</v>
      </c>
      <c r="CX111" s="163">
        <v>0</v>
      </c>
      <c r="CY111" s="163">
        <v>0</v>
      </c>
      <c r="CZ111" s="163">
        <v>0</v>
      </c>
      <c r="DA111" s="163">
        <v>0</v>
      </c>
      <c r="DB111" s="163">
        <v>0</v>
      </c>
      <c r="DC111" s="163">
        <v>0</v>
      </c>
      <c r="DD111" s="163">
        <v>0</v>
      </c>
      <c r="DE111" s="163">
        <v>0</v>
      </c>
      <c r="DF111" s="163">
        <f>VLOOKUP($C111,'[3]BS ACC'!$C$5:$DH$1006,108,FALSE)</f>
        <v>0</v>
      </c>
      <c r="DG111" s="163">
        <f>VLOOKUP($C111,'[3]BS ACC'!$C$5:$DH$1006,109,FALSE)</f>
        <v>0</v>
      </c>
      <c r="DH111" s="163">
        <f>VLOOKUP($C111,'[3]BS ACC'!$C$5:$DH$1006,110,FALSE)</f>
        <v>0</v>
      </c>
    </row>
    <row r="112" spans="1:112">
      <c r="A112" s="350" t="str">
        <f t="shared" si="1"/>
        <v>1650599</v>
      </c>
      <c r="B112" s="350" t="s">
        <v>1514</v>
      </c>
      <c r="C112" s="335" t="s">
        <v>671</v>
      </c>
      <c r="D112" s="340">
        <v>0</v>
      </c>
      <c r="E112" s="340">
        <v>0</v>
      </c>
      <c r="F112" s="340">
        <v>0</v>
      </c>
      <c r="G112" s="340">
        <v>0</v>
      </c>
      <c r="H112" s="340">
        <v>0</v>
      </c>
      <c r="I112" s="340">
        <v>3780.46</v>
      </c>
      <c r="J112" s="340">
        <v>3780.46</v>
      </c>
      <c r="K112" s="340">
        <v>2835.34</v>
      </c>
      <c r="L112" s="340">
        <v>2520.3000000000002</v>
      </c>
      <c r="M112" s="340">
        <v>2015.65</v>
      </c>
      <c r="N112" s="340">
        <v>1700.61</v>
      </c>
      <c r="O112" s="340">
        <v>1385.57</v>
      </c>
      <c r="P112" s="341">
        <v>1070.53</v>
      </c>
      <c r="Q112" s="163">
        <v>755.49</v>
      </c>
      <c r="R112" s="163">
        <v>440.45</v>
      </c>
      <c r="S112" s="163">
        <v>125.41</v>
      </c>
      <c r="T112" s="163">
        <v>-189.63</v>
      </c>
      <c r="U112" s="163">
        <v>-504.67</v>
      </c>
      <c r="V112" s="163">
        <v>0</v>
      </c>
      <c r="W112" s="163">
        <v>1475458.46</v>
      </c>
      <c r="X112" s="163">
        <v>1339699.05</v>
      </c>
      <c r="Y112" s="163">
        <v>1203939.6399999999</v>
      </c>
      <c r="Z112" s="163">
        <v>1068180.23</v>
      </c>
      <c r="AA112" s="163">
        <v>932420.82</v>
      </c>
      <c r="AB112" s="163">
        <v>796661.44</v>
      </c>
      <c r="AC112" s="163">
        <v>661824.04</v>
      </c>
      <c r="AD112" s="163">
        <v>526081.9</v>
      </c>
      <c r="AE112" s="163">
        <v>390339.78</v>
      </c>
      <c r="AF112" s="163">
        <v>321294.40999999997</v>
      </c>
      <c r="AG112" s="163">
        <v>186105.79</v>
      </c>
      <c r="AH112" s="163">
        <v>52475.59</v>
      </c>
      <c r="AI112" s="163">
        <v>1406006.63</v>
      </c>
      <c r="AJ112" s="163">
        <v>1279284.32</v>
      </c>
      <c r="AK112" s="163">
        <v>1148904.1299999999</v>
      </c>
      <c r="AL112" s="163">
        <v>1019301.82</v>
      </c>
      <c r="AM112" s="163">
        <v>889699.51</v>
      </c>
      <c r="AN112" s="163">
        <v>1805779.65</v>
      </c>
      <c r="AO112" s="163">
        <v>1604154.32</v>
      </c>
      <c r="AP112" s="163">
        <v>1157541.3600000001</v>
      </c>
      <c r="AQ112" s="163">
        <v>1003395.93</v>
      </c>
      <c r="AR112" s="163">
        <v>873665.49</v>
      </c>
      <c r="AS112" s="163">
        <v>744269.69</v>
      </c>
      <c r="AT112" s="163">
        <v>614976.96</v>
      </c>
      <c r="AU112" s="163">
        <v>523500.21</v>
      </c>
      <c r="AV112" s="163">
        <v>397141.88</v>
      </c>
      <c r="AW112" s="163">
        <v>267963.33</v>
      </c>
      <c r="AX112" s="163">
        <v>138784.78</v>
      </c>
      <c r="AY112" s="163">
        <v>9606.23</v>
      </c>
      <c r="AZ112" s="163">
        <v>879739.83</v>
      </c>
      <c r="BA112" s="163">
        <v>1445318.78</v>
      </c>
      <c r="BB112" s="163">
        <v>1302159.8</v>
      </c>
      <c r="BC112" s="163">
        <v>1164520.72</v>
      </c>
      <c r="BD112" s="163">
        <v>1020090.27</v>
      </c>
      <c r="BE112" s="163">
        <v>881423.54</v>
      </c>
      <c r="BF112" s="163">
        <v>735131.63</v>
      </c>
      <c r="BG112" s="163">
        <v>588839.72</v>
      </c>
      <c r="BH112" s="163">
        <v>452513.08</v>
      </c>
      <c r="BI112" s="163">
        <v>314200.14</v>
      </c>
      <c r="BJ112" s="163">
        <v>166027.70000000001</v>
      </c>
      <c r="BK112" s="163">
        <v>17855.259999999998</v>
      </c>
      <c r="BL112" s="163">
        <v>75428.160000000003</v>
      </c>
      <c r="BM112" s="163">
        <v>1705445.95</v>
      </c>
      <c r="BN112" s="163">
        <v>1575414.92</v>
      </c>
      <c r="BO112" s="163">
        <v>1399338.11</v>
      </c>
      <c r="BP112" s="163">
        <v>1222824.17</v>
      </c>
      <c r="BQ112" s="163">
        <v>1046064.98</v>
      </c>
      <c r="BR112" s="163">
        <v>875121.34</v>
      </c>
      <c r="BS112" s="163">
        <v>721202.42</v>
      </c>
      <c r="BT112" s="163">
        <v>547447.39</v>
      </c>
      <c r="BU112" s="163">
        <v>370719.81</v>
      </c>
      <c r="BV112" s="163">
        <v>194298.8</v>
      </c>
      <c r="BW112" s="163">
        <v>21309.49</v>
      </c>
      <c r="BX112" s="163">
        <v>895645.02</v>
      </c>
      <c r="BY112" s="163">
        <v>2464223.79</v>
      </c>
      <c r="BZ112" s="163">
        <v>2359808.52</v>
      </c>
      <c r="CA112" s="163">
        <v>2133363.6</v>
      </c>
      <c r="CB112" s="163">
        <v>1906918.68</v>
      </c>
      <c r="CC112" s="163">
        <v>1685241.34</v>
      </c>
      <c r="CD112" s="163">
        <v>1395439.89</v>
      </c>
      <c r="CE112" s="163">
        <v>1158275.7</v>
      </c>
      <c r="CF112" s="163">
        <v>918815.87</v>
      </c>
      <c r="CG112" s="163">
        <v>711598.02</v>
      </c>
      <c r="CH112" s="163">
        <v>468967.95</v>
      </c>
      <c r="CI112" s="163">
        <v>227660.84</v>
      </c>
      <c r="CJ112" s="163">
        <v>88652.64</v>
      </c>
      <c r="CK112" s="163">
        <v>1617896.81</v>
      </c>
      <c r="CL112" s="163">
        <v>1476991.47</v>
      </c>
      <c r="CM112" s="163">
        <v>1198493.56</v>
      </c>
      <c r="CN112" s="163">
        <v>919995.65</v>
      </c>
      <c r="CO112" s="163">
        <v>675589.91</v>
      </c>
      <c r="CP112" s="163">
        <v>571916.23</v>
      </c>
      <c r="CQ112" s="163">
        <v>3320485.75</v>
      </c>
      <c r="CR112" s="163">
        <v>2975921.15</v>
      </c>
      <c r="CS112" s="163">
        <v>2575747.83</v>
      </c>
      <c r="CT112" s="163">
        <v>2175868.6800000002</v>
      </c>
      <c r="CU112" s="163">
        <v>1778930.33</v>
      </c>
      <c r="CV112" s="163">
        <v>1478700.95</v>
      </c>
      <c r="CW112" s="163">
        <v>3254305.43</v>
      </c>
      <c r="CX112" s="163">
        <v>2836834.99</v>
      </c>
      <c r="CY112" s="163">
        <v>2405899.56</v>
      </c>
      <c r="CZ112" s="163">
        <v>1974528.29</v>
      </c>
      <c r="DA112" s="163">
        <v>1543974.52</v>
      </c>
      <c r="DB112" s="163">
        <v>1436774.55</v>
      </c>
      <c r="DC112" s="163">
        <v>5139395.88</v>
      </c>
      <c r="DD112" s="163">
        <v>4703644.1900000004</v>
      </c>
      <c r="DE112" s="163">
        <v>4182155.35</v>
      </c>
      <c r="DF112" s="163">
        <f>VLOOKUP($C112,'[3]BS ACC'!$C$5:$DH$1006,108,FALSE)</f>
        <v>3654176.03</v>
      </c>
      <c r="DG112" s="163">
        <f>VLOOKUP($C112,'[3]BS ACC'!$C$5:$DH$1006,109,FALSE)</f>
        <v>3126196.71</v>
      </c>
      <c r="DH112" s="163">
        <f>VLOOKUP($C112,'[3]BS ACC'!$C$5:$DH$1006,110,FALSE)</f>
        <v>2603056.69</v>
      </c>
    </row>
    <row r="113" spans="1:112">
      <c r="A113" s="350" t="str">
        <f t="shared" si="1"/>
        <v>1650800</v>
      </c>
      <c r="B113" s="350" t="s">
        <v>1515</v>
      </c>
      <c r="C113" s="335" t="s">
        <v>672</v>
      </c>
      <c r="D113" s="340">
        <v>197100</v>
      </c>
      <c r="E113" s="340">
        <v>0</v>
      </c>
      <c r="F113" s="340">
        <v>0</v>
      </c>
      <c r="G113" s="340">
        <v>57754.33</v>
      </c>
      <c r="H113" s="340">
        <v>57754.33</v>
      </c>
      <c r="I113" s="340">
        <v>57754.33</v>
      </c>
      <c r="J113" s="340">
        <v>158115.13</v>
      </c>
      <c r="K113" s="340">
        <v>123055.02</v>
      </c>
      <c r="L113" s="340">
        <v>74894.600000000006</v>
      </c>
      <c r="M113" s="340">
        <v>64833.1</v>
      </c>
      <c r="N113" s="340">
        <v>43222.05</v>
      </c>
      <c r="O113" s="340">
        <v>33161.730000000003</v>
      </c>
      <c r="P113" s="341">
        <v>490822.36</v>
      </c>
      <c r="Q113" s="163">
        <v>338902.77</v>
      </c>
      <c r="R113" s="163">
        <v>308093.43</v>
      </c>
      <c r="S113" s="163">
        <v>277284.09000000003</v>
      </c>
      <c r="T113" s="163">
        <v>342601.68</v>
      </c>
      <c r="U113" s="163">
        <v>381891.77</v>
      </c>
      <c r="V113" s="163">
        <v>333058</v>
      </c>
      <c r="W113" s="163">
        <v>353513.69</v>
      </c>
      <c r="X113" s="163">
        <v>298380.88</v>
      </c>
      <c r="Y113" s="163">
        <v>275293.07</v>
      </c>
      <c r="Z113" s="163">
        <v>217489.84</v>
      </c>
      <c r="AA113" s="163">
        <v>159686.60999999999</v>
      </c>
      <c r="AB113" s="163">
        <v>825244.76</v>
      </c>
      <c r="AC113" s="163">
        <v>576466.67000000004</v>
      </c>
      <c r="AD113" s="163">
        <v>492061.85</v>
      </c>
      <c r="AE113" s="163">
        <v>607756.53</v>
      </c>
      <c r="AF113" s="163">
        <v>469743.82</v>
      </c>
      <c r="AG113" s="163">
        <v>433491.35</v>
      </c>
      <c r="AH113" s="163">
        <v>372042.72</v>
      </c>
      <c r="AI113" s="163">
        <v>347635.65</v>
      </c>
      <c r="AJ113" s="163">
        <v>298269.33</v>
      </c>
      <c r="AK113" s="163">
        <v>280821.48</v>
      </c>
      <c r="AL113" s="163">
        <v>174647.21</v>
      </c>
      <c r="AM113" s="163">
        <v>271421.44</v>
      </c>
      <c r="AN113" s="163">
        <v>491255.89</v>
      </c>
      <c r="AO113" s="163">
        <v>763937.12</v>
      </c>
      <c r="AP113" s="163">
        <v>992080.98</v>
      </c>
      <c r="AQ113" s="163">
        <v>997017.17</v>
      </c>
      <c r="AR113" s="163">
        <v>845100.35</v>
      </c>
      <c r="AS113" s="163">
        <v>758578.86</v>
      </c>
      <c r="AT113" s="163">
        <v>667625.72</v>
      </c>
      <c r="AU113" s="163">
        <v>588781.56999999995</v>
      </c>
      <c r="AV113" s="163">
        <v>491057.66</v>
      </c>
      <c r="AW113" s="163">
        <v>393333.75</v>
      </c>
      <c r="AX113" s="163">
        <v>276254.15000000002</v>
      </c>
      <c r="AY113" s="163">
        <v>178141.1</v>
      </c>
      <c r="AZ113" s="163">
        <v>363526.65</v>
      </c>
      <c r="BA113" s="163">
        <v>787445.95</v>
      </c>
      <c r="BB113" s="163">
        <v>987986.37</v>
      </c>
      <c r="BC113" s="163">
        <v>1172019.8</v>
      </c>
      <c r="BD113" s="163">
        <v>972902.87</v>
      </c>
      <c r="BE113" s="163">
        <v>888143.13</v>
      </c>
      <c r="BF113" s="163">
        <v>710763.53</v>
      </c>
      <c r="BG113" s="163">
        <v>508609.61</v>
      </c>
      <c r="BH113" s="163">
        <v>449339.42</v>
      </c>
      <c r="BI113" s="163">
        <v>347392.91</v>
      </c>
      <c r="BJ113" s="163">
        <v>277705.93</v>
      </c>
      <c r="BK113" s="163">
        <v>175759.42</v>
      </c>
      <c r="BL113" s="163">
        <v>278213.7</v>
      </c>
      <c r="BM113" s="163">
        <v>136401.48000000001</v>
      </c>
      <c r="BN113" s="163">
        <v>896065.26</v>
      </c>
      <c r="BO113" s="163">
        <v>830429.63</v>
      </c>
      <c r="BP113" s="163">
        <v>694410.62</v>
      </c>
      <c r="BQ113" s="163">
        <v>615895.75</v>
      </c>
      <c r="BR113" s="163">
        <v>537380.88</v>
      </c>
      <c r="BS113" s="163">
        <v>552272.93000000005</v>
      </c>
      <c r="BT113" s="163">
        <v>707771.26</v>
      </c>
      <c r="BU113" s="163">
        <v>897269.59</v>
      </c>
      <c r="BV113" s="163">
        <v>758763.78</v>
      </c>
      <c r="BW113" s="163">
        <v>677762.11</v>
      </c>
      <c r="BX113" s="163">
        <v>253176.9</v>
      </c>
      <c r="BY113" s="163">
        <v>839523.6</v>
      </c>
      <c r="BZ113" s="163">
        <v>841449.27</v>
      </c>
      <c r="CA113" s="163">
        <v>950870.19</v>
      </c>
      <c r="CB113" s="163">
        <v>792230.11</v>
      </c>
      <c r="CC113" s="163">
        <v>692155.03</v>
      </c>
      <c r="CD113" s="163">
        <v>884523.36</v>
      </c>
      <c r="CE113" s="163">
        <v>677753.68</v>
      </c>
      <c r="CF113" s="163">
        <v>668061.29</v>
      </c>
      <c r="CG113" s="163">
        <v>565399.52</v>
      </c>
      <c r="CH113" s="163">
        <v>357711.75</v>
      </c>
      <c r="CI113" s="163">
        <v>266649.78000000003</v>
      </c>
      <c r="CJ113" s="163">
        <v>522201.96</v>
      </c>
      <c r="CK113" s="163">
        <v>911507.14</v>
      </c>
      <c r="CL113" s="163">
        <v>1174404.8600000001</v>
      </c>
      <c r="CM113" s="163">
        <v>1284402.1000000001</v>
      </c>
      <c r="CN113" s="163">
        <v>1303245.05</v>
      </c>
      <c r="CO113" s="163">
        <v>1150437.48</v>
      </c>
      <c r="CP113" s="163">
        <v>1086649.8799999999</v>
      </c>
      <c r="CQ113" s="163">
        <v>909766.41</v>
      </c>
      <c r="CR113" s="163">
        <v>884902.52</v>
      </c>
      <c r="CS113" s="163">
        <v>757164.42</v>
      </c>
      <c r="CT113" s="163">
        <v>546830.56999999995</v>
      </c>
      <c r="CU113" s="163">
        <v>515342.47</v>
      </c>
      <c r="CV113" s="163">
        <v>1012319.19</v>
      </c>
      <c r="CW113" s="163">
        <v>1952727.69</v>
      </c>
      <c r="CX113" s="163">
        <v>2421894.58</v>
      </c>
      <c r="CY113" s="163">
        <v>1665359.79</v>
      </c>
      <c r="CZ113" s="163">
        <v>1772085.8</v>
      </c>
      <c r="DA113" s="163">
        <v>1444551.21</v>
      </c>
      <c r="DB113" s="163">
        <v>1236668.1100000001</v>
      </c>
      <c r="DC113" s="163">
        <v>1458247.18</v>
      </c>
      <c r="DD113" s="163">
        <v>1592592.64</v>
      </c>
      <c r="DE113" s="163">
        <v>941892.36</v>
      </c>
      <c r="DF113" s="163">
        <f>VLOOKUP($C113,'[3]BS ACC'!$C$5:$DH$1006,108,FALSE)</f>
        <v>693586.63</v>
      </c>
      <c r="DG113" s="163">
        <f>VLOOKUP($C113,'[3]BS ACC'!$C$5:$DH$1006,109,FALSE)</f>
        <v>484426.9</v>
      </c>
      <c r="DH113" s="163">
        <f>VLOOKUP($C113,'[3]BS ACC'!$C$5:$DH$1006,110,FALSE)</f>
        <v>552245.15</v>
      </c>
    </row>
    <row r="114" spans="1:112">
      <c r="A114" s="350" t="str">
        <f t="shared" si="1"/>
        <v>1720101</v>
      </c>
      <c r="B114" s="350" t="s">
        <v>1597</v>
      </c>
      <c r="C114" s="442" t="s">
        <v>1463</v>
      </c>
      <c r="D114" s="340"/>
      <c r="E114" s="340"/>
      <c r="F114" s="340"/>
      <c r="G114" s="340"/>
      <c r="H114" s="340"/>
      <c r="I114" s="340"/>
      <c r="J114" s="340"/>
      <c r="K114" s="340"/>
      <c r="L114" s="340"/>
      <c r="M114" s="340"/>
      <c r="N114" s="340"/>
      <c r="O114" s="340"/>
      <c r="P114" s="341"/>
      <c r="Q114" s="163"/>
      <c r="R114" s="163"/>
      <c r="S114" s="163"/>
      <c r="T114" s="163"/>
      <c r="U114" s="163"/>
      <c r="V114" s="163"/>
      <c r="W114" s="163"/>
      <c r="X114" s="163"/>
      <c r="Y114" s="163"/>
      <c r="Z114" s="163"/>
      <c r="AA114" s="163"/>
      <c r="AB114" s="163"/>
      <c r="AC114" s="163"/>
      <c r="AD114" s="163"/>
      <c r="AE114" s="163"/>
      <c r="AF114" s="163">
        <v>0</v>
      </c>
      <c r="AG114" s="163">
        <v>0</v>
      </c>
      <c r="AH114" s="443">
        <v>454460</v>
      </c>
      <c r="AI114" s="443">
        <v>480320</v>
      </c>
      <c r="AJ114" s="443">
        <v>506181</v>
      </c>
      <c r="AK114" s="443">
        <v>719930</v>
      </c>
      <c r="AL114" s="443">
        <v>777106</v>
      </c>
      <c r="AM114" s="443">
        <v>984015</v>
      </c>
      <c r="AN114" s="443">
        <v>1050147</v>
      </c>
      <c r="AO114" s="443">
        <v>1160341</v>
      </c>
      <c r="AP114" s="443">
        <v>1237678</v>
      </c>
      <c r="AQ114" s="443">
        <v>1315014</v>
      </c>
      <c r="AR114" s="443">
        <v>1335544</v>
      </c>
      <c r="AS114" s="443">
        <v>1356074</v>
      </c>
      <c r="AT114" s="443">
        <v>1376603</v>
      </c>
      <c r="AU114" s="443">
        <v>1397132</v>
      </c>
      <c r="AV114" s="443">
        <v>1417661</v>
      </c>
      <c r="AW114" s="443">
        <v>1438191</v>
      </c>
      <c r="AX114" s="443">
        <v>1438853</v>
      </c>
      <c r="AY114" s="443">
        <v>1439515</v>
      </c>
      <c r="AZ114" s="443">
        <v>1440177</v>
      </c>
      <c r="BA114" s="443">
        <v>1440840</v>
      </c>
      <c r="BB114" s="443">
        <v>1441503</v>
      </c>
      <c r="BC114" s="443">
        <v>1442164</v>
      </c>
      <c r="BD114" s="443">
        <v>1442827</v>
      </c>
      <c r="BE114" s="443">
        <v>1443489</v>
      </c>
      <c r="BF114" s="443">
        <v>1444152</v>
      </c>
      <c r="BG114" s="443">
        <v>1444813</v>
      </c>
      <c r="BH114" s="443">
        <v>1445476</v>
      </c>
      <c r="BI114" s="443">
        <v>1446139</v>
      </c>
      <c r="BJ114" s="443">
        <v>1446801</v>
      </c>
      <c r="BK114" s="443">
        <v>1447463</v>
      </c>
      <c r="BL114" s="443">
        <v>1448125</v>
      </c>
      <c r="BM114" s="443">
        <v>1448788</v>
      </c>
      <c r="BN114" s="443">
        <v>1449450</v>
      </c>
      <c r="BO114" s="443">
        <v>1450112</v>
      </c>
      <c r="BP114" s="443">
        <v>1435096</v>
      </c>
      <c r="BQ114" s="443">
        <v>1420081</v>
      </c>
      <c r="BR114" s="443">
        <v>1405066</v>
      </c>
      <c r="BS114" s="443">
        <v>1390050</v>
      </c>
      <c r="BT114" s="443">
        <v>1375034</v>
      </c>
      <c r="BU114" s="443">
        <v>1360018</v>
      </c>
      <c r="BV114" s="443">
        <v>1339520</v>
      </c>
      <c r="BW114" s="443">
        <v>1319021</v>
      </c>
      <c r="BX114" s="443">
        <v>1298523</v>
      </c>
      <c r="BY114" s="443">
        <v>1278025</v>
      </c>
      <c r="BZ114" s="443">
        <v>425128</v>
      </c>
      <c r="CA114" s="443">
        <v>1237027</v>
      </c>
      <c r="CB114" s="443">
        <v>1232206</v>
      </c>
      <c r="CC114" s="443">
        <v>1227386</v>
      </c>
      <c r="CD114" s="443">
        <v>1222565</v>
      </c>
      <c r="CE114" s="443">
        <v>1217744</v>
      </c>
      <c r="CF114" s="443">
        <v>1212923</v>
      </c>
      <c r="CG114" s="443">
        <v>1208103</v>
      </c>
      <c r="CH114" s="443">
        <v>1208766</v>
      </c>
      <c r="CI114" s="443">
        <v>1209427</v>
      </c>
      <c r="CJ114" s="443">
        <v>1210090</v>
      </c>
      <c r="CK114" s="443">
        <v>1210752</v>
      </c>
      <c r="CL114" s="443">
        <v>1211415</v>
      </c>
      <c r="CM114" s="443">
        <v>1212076</v>
      </c>
      <c r="CN114" s="443">
        <v>1212739</v>
      </c>
      <c r="CO114" s="443">
        <v>1213402</v>
      </c>
      <c r="CP114" s="443">
        <v>1214064</v>
      </c>
      <c r="CQ114" s="443">
        <v>1214726</v>
      </c>
      <c r="CR114" s="443">
        <v>1215388</v>
      </c>
      <c r="CS114" s="443">
        <v>1216051</v>
      </c>
      <c r="CT114" s="443">
        <v>1216713</v>
      </c>
      <c r="CU114" s="443">
        <v>1217375</v>
      </c>
      <c r="CV114" s="443">
        <v>1218037</v>
      </c>
      <c r="CW114" s="443">
        <v>1218700</v>
      </c>
      <c r="CX114" s="443">
        <v>1219362</v>
      </c>
      <c r="CY114" s="443">
        <v>904660</v>
      </c>
      <c r="CZ114" s="443">
        <v>905151</v>
      </c>
      <c r="DA114" s="443">
        <v>905642</v>
      </c>
      <c r="DB114" s="443">
        <v>906132</v>
      </c>
      <c r="DC114" s="443">
        <v>0</v>
      </c>
      <c r="DD114" s="443">
        <v>0</v>
      </c>
      <c r="DE114" s="443">
        <v>0</v>
      </c>
      <c r="DF114" s="443">
        <f>VLOOKUP($C114,'[3]BS ACC'!$C$5:$DH$1006,108,FALSE)</f>
        <v>0</v>
      </c>
      <c r="DG114" s="443">
        <f>VLOOKUP($C114,'[3]BS ACC'!$C$5:$DH$1006,109,FALSE)</f>
        <v>0</v>
      </c>
      <c r="DH114" s="443">
        <f>VLOOKUP($C114,'[3]BS ACC'!$C$5:$DH$1006,110,FALSE)</f>
        <v>0</v>
      </c>
    </row>
    <row r="115" spans="1:112">
      <c r="A115" s="350" t="str">
        <f t="shared" si="1"/>
        <v>1720201</v>
      </c>
      <c r="B115" s="350" t="s">
        <v>1598</v>
      </c>
      <c r="C115" s="442" t="s">
        <v>1464</v>
      </c>
      <c r="D115" s="340"/>
      <c r="E115" s="340"/>
      <c r="F115" s="340"/>
      <c r="G115" s="340"/>
      <c r="H115" s="340"/>
      <c r="I115" s="340"/>
      <c r="J115" s="340"/>
      <c r="K115" s="340"/>
      <c r="L115" s="340"/>
      <c r="M115" s="340"/>
      <c r="N115" s="340"/>
      <c r="O115" s="340"/>
      <c r="P115" s="341"/>
      <c r="Q115" s="163"/>
      <c r="R115" s="163"/>
      <c r="S115" s="163"/>
      <c r="T115" s="163"/>
      <c r="U115" s="163"/>
      <c r="V115" s="163"/>
      <c r="W115" s="163"/>
      <c r="X115" s="163"/>
      <c r="Y115" s="163"/>
      <c r="Z115" s="163"/>
      <c r="AA115" s="163"/>
      <c r="AB115" s="163"/>
      <c r="AC115" s="163"/>
      <c r="AD115" s="163"/>
      <c r="AE115" s="163"/>
      <c r="AF115" s="163">
        <v>0</v>
      </c>
      <c r="AG115" s="163">
        <v>0</v>
      </c>
      <c r="AH115" s="443">
        <v>18028986</v>
      </c>
      <c r="AI115" s="443">
        <v>17971811</v>
      </c>
      <c r="AJ115" s="443">
        <v>17914635</v>
      </c>
      <c r="AK115" s="443">
        <v>17669571</v>
      </c>
      <c r="AL115" s="443">
        <v>17581081</v>
      </c>
      <c r="AM115" s="443">
        <v>23818101</v>
      </c>
      <c r="AN115" s="443">
        <v>23709701</v>
      </c>
      <c r="AO115" s="443">
        <v>23556827</v>
      </c>
      <c r="AP115" s="443">
        <v>23436811</v>
      </c>
      <c r="AQ115" s="443">
        <v>23316796</v>
      </c>
      <c r="AR115" s="443">
        <v>23196780</v>
      </c>
      <c r="AS115" s="443">
        <v>23076764</v>
      </c>
      <c r="AT115" s="443">
        <v>22956749</v>
      </c>
      <c r="AU115" s="443">
        <v>22836734</v>
      </c>
      <c r="AV115" s="443">
        <v>22716719</v>
      </c>
      <c r="AW115" s="443">
        <v>22596703</v>
      </c>
      <c r="AX115" s="443">
        <v>22476688</v>
      </c>
      <c r="AY115" s="443">
        <v>22356673</v>
      </c>
      <c r="AZ115" s="443">
        <v>22236658</v>
      </c>
      <c r="BA115" s="443">
        <v>22115980</v>
      </c>
      <c r="BB115" s="443">
        <v>21995302</v>
      </c>
      <c r="BC115" s="443">
        <v>21874626</v>
      </c>
      <c r="BD115" s="443">
        <v>21753948</v>
      </c>
      <c r="BE115" s="443">
        <v>21633271</v>
      </c>
      <c r="BF115" s="443">
        <v>21512587</v>
      </c>
      <c r="BG115" s="443">
        <v>21391910</v>
      </c>
      <c r="BH115" s="443">
        <v>21271232</v>
      </c>
      <c r="BI115" s="443">
        <v>21150554</v>
      </c>
      <c r="BJ115" s="443">
        <v>21029877</v>
      </c>
      <c r="BK115" s="443">
        <v>20909200</v>
      </c>
      <c r="BL115" s="443">
        <v>20788523</v>
      </c>
      <c r="BM115" s="443">
        <v>20667182</v>
      </c>
      <c r="BN115" s="443">
        <v>20545842</v>
      </c>
      <c r="BO115" s="443">
        <v>20424502</v>
      </c>
      <c r="BP115" s="443">
        <v>20318840</v>
      </c>
      <c r="BQ115" s="443">
        <v>20213177</v>
      </c>
      <c r="BR115" s="443">
        <v>20107514</v>
      </c>
      <c r="BS115" s="443">
        <v>20001853</v>
      </c>
      <c r="BT115" s="443">
        <v>19896192</v>
      </c>
      <c r="BU115" s="443">
        <v>19790531</v>
      </c>
      <c r="BV115" s="443">
        <v>19690351</v>
      </c>
      <c r="BW115" s="443">
        <v>19590172</v>
      </c>
      <c r="BX115" s="443">
        <v>19489992</v>
      </c>
      <c r="BY115" s="443">
        <v>19389149</v>
      </c>
      <c r="BZ115" s="443">
        <v>20120706</v>
      </c>
      <c r="CA115" s="443">
        <v>19187466</v>
      </c>
      <c r="CB115" s="443">
        <v>19086624</v>
      </c>
      <c r="CC115" s="443">
        <v>18985782</v>
      </c>
      <c r="CD115" s="443">
        <v>18884940</v>
      </c>
      <c r="CE115" s="443">
        <v>18784098</v>
      </c>
      <c r="CF115" s="443">
        <v>18683256</v>
      </c>
      <c r="CG115" s="443">
        <v>18582413</v>
      </c>
      <c r="CH115" s="443">
        <v>18481571</v>
      </c>
      <c r="CI115" s="443">
        <v>18380731</v>
      </c>
      <c r="CJ115" s="443">
        <v>18279889</v>
      </c>
      <c r="CK115" s="443">
        <v>18178386</v>
      </c>
      <c r="CL115" s="443">
        <v>18076881</v>
      </c>
      <c r="CM115" s="443">
        <v>17975379</v>
      </c>
      <c r="CN115" s="443">
        <v>17873875</v>
      </c>
      <c r="CO115" s="443">
        <v>17772371</v>
      </c>
      <c r="CP115" s="443">
        <v>17670868</v>
      </c>
      <c r="CQ115" s="443">
        <v>17569365</v>
      </c>
      <c r="CR115" s="443">
        <v>17467862</v>
      </c>
      <c r="CS115" s="443">
        <v>17366358</v>
      </c>
      <c r="CT115" s="443">
        <v>17264855</v>
      </c>
      <c r="CU115" s="443">
        <v>17163352</v>
      </c>
      <c r="CV115" s="443">
        <v>17061849</v>
      </c>
      <c r="CW115" s="443">
        <v>16959683</v>
      </c>
      <c r="CX115" s="443">
        <v>16857518</v>
      </c>
      <c r="CY115" s="443">
        <v>12296453</v>
      </c>
      <c r="CZ115" s="443">
        <v>12220696</v>
      </c>
      <c r="DA115" s="443">
        <v>12144939</v>
      </c>
      <c r="DB115" s="443">
        <v>12069183</v>
      </c>
      <c r="DC115" s="443">
        <v>0</v>
      </c>
      <c r="DD115" s="443">
        <v>0</v>
      </c>
      <c r="DE115" s="443">
        <v>0</v>
      </c>
      <c r="DF115" s="443">
        <f>VLOOKUP($C115,'[3]BS ACC'!$C$5:$DH$1006,108,FALSE)</f>
        <v>0</v>
      </c>
      <c r="DG115" s="443">
        <f>VLOOKUP($C115,'[3]BS ACC'!$C$5:$DH$1006,109,FALSE)</f>
        <v>0</v>
      </c>
      <c r="DH115" s="443">
        <f>VLOOKUP($C115,'[3]BS ACC'!$C$5:$DH$1006,110,FALSE)</f>
        <v>0</v>
      </c>
    </row>
    <row r="116" spans="1:112">
      <c r="A116" s="350" t="str">
        <f t="shared" si="1"/>
        <v>1720202</v>
      </c>
      <c r="B116" s="350" t="s">
        <v>1516</v>
      </c>
      <c r="C116" s="442" t="s">
        <v>1465</v>
      </c>
      <c r="D116" s="340"/>
      <c r="E116" s="340"/>
      <c r="F116" s="340"/>
      <c r="G116" s="340"/>
      <c r="H116" s="340"/>
      <c r="I116" s="340"/>
      <c r="J116" s="340"/>
      <c r="K116" s="340"/>
      <c r="L116" s="340"/>
      <c r="M116" s="340"/>
      <c r="N116" s="340"/>
      <c r="O116" s="340"/>
      <c r="P116" s="341"/>
      <c r="Q116" s="163"/>
      <c r="R116" s="163"/>
      <c r="S116" s="163"/>
      <c r="T116" s="163"/>
      <c r="U116" s="163"/>
      <c r="V116" s="163"/>
      <c r="W116" s="163"/>
      <c r="X116" s="163"/>
      <c r="Y116" s="163"/>
      <c r="Z116" s="163"/>
      <c r="AA116" s="163"/>
      <c r="AB116" s="163"/>
      <c r="AC116" s="163"/>
      <c r="AD116" s="163"/>
      <c r="AE116" s="163"/>
      <c r="AF116" s="163">
        <v>0</v>
      </c>
      <c r="AG116" s="163">
        <v>0</v>
      </c>
      <c r="AH116" s="443">
        <v>-10529937</v>
      </c>
      <c r="AI116" s="443">
        <v>-10464217</v>
      </c>
      <c r="AJ116" s="443">
        <v>-10398213</v>
      </c>
      <c r="AK116" s="443">
        <v>-10331923</v>
      </c>
      <c r="AL116" s="443">
        <v>-10265344</v>
      </c>
      <c r="AM116" s="443">
        <v>-13905135</v>
      </c>
      <c r="AN116" s="443">
        <v>-13815080</v>
      </c>
      <c r="AO116" s="443">
        <v>-13724630</v>
      </c>
      <c r="AP116" s="443">
        <v>-13633785</v>
      </c>
      <c r="AQ116" s="443">
        <v>-13542542</v>
      </c>
      <c r="AR116" s="443">
        <v>-13450898</v>
      </c>
      <c r="AS116" s="443">
        <v>-13359319</v>
      </c>
      <c r="AT116" s="443">
        <v>-13267805</v>
      </c>
      <c r="AU116" s="443">
        <v>-13176357</v>
      </c>
      <c r="AV116" s="443">
        <v>-13084976</v>
      </c>
      <c r="AW116" s="443">
        <v>-12993662</v>
      </c>
      <c r="AX116" s="443">
        <v>-12902415</v>
      </c>
      <c r="AY116" s="443">
        <v>-12811400</v>
      </c>
      <c r="AZ116" s="443">
        <v>-12720619</v>
      </c>
      <c r="BA116" s="443">
        <v>-12630075</v>
      </c>
      <c r="BB116" s="443">
        <v>-12539774</v>
      </c>
      <c r="BC116" s="443">
        <v>-12449719</v>
      </c>
      <c r="BD116" s="443">
        <v>-12359911</v>
      </c>
      <c r="BE116" s="443">
        <v>-12270354</v>
      </c>
      <c r="BF116" s="443">
        <v>-12181047</v>
      </c>
      <c r="BG116" s="443">
        <v>-12091994</v>
      </c>
      <c r="BH116" s="443">
        <v>-12003197</v>
      </c>
      <c r="BI116" s="443">
        <v>-11914658</v>
      </c>
      <c r="BJ116" s="443">
        <v>-11826379</v>
      </c>
      <c r="BK116" s="443">
        <v>-11738362</v>
      </c>
      <c r="BL116" s="443">
        <v>-11650609</v>
      </c>
      <c r="BM116" s="443">
        <v>-11563124</v>
      </c>
      <c r="BN116" s="443">
        <v>-11475913</v>
      </c>
      <c r="BO116" s="443">
        <v>-11388978</v>
      </c>
      <c r="BP116" s="443">
        <v>-11302322</v>
      </c>
      <c r="BQ116" s="443">
        <v>-11215947</v>
      </c>
      <c r="BR116" s="443">
        <v>-11129856</v>
      </c>
      <c r="BS116" s="443">
        <v>-11044051</v>
      </c>
      <c r="BT116" s="443">
        <v>-10958534</v>
      </c>
      <c r="BU116" s="443">
        <v>-10873308</v>
      </c>
      <c r="BV116" s="443">
        <v>-10788374</v>
      </c>
      <c r="BW116" s="443">
        <v>-10703736</v>
      </c>
      <c r="BX116" s="443">
        <v>-10619395</v>
      </c>
      <c r="BY116" s="443">
        <v>-10535355</v>
      </c>
      <c r="BZ116" s="443">
        <v>-10451623</v>
      </c>
      <c r="CA116" s="443">
        <v>-10368201</v>
      </c>
      <c r="CB116" s="443">
        <v>-10285093</v>
      </c>
      <c r="CC116" s="443">
        <v>-10202172</v>
      </c>
      <c r="CD116" s="443">
        <v>-10119439</v>
      </c>
      <c r="CE116" s="443">
        <v>-10036895</v>
      </c>
      <c r="CF116" s="443">
        <v>-9954542</v>
      </c>
      <c r="CG116" s="443">
        <v>-9872382</v>
      </c>
      <c r="CH116" s="443">
        <v>-9790417</v>
      </c>
      <c r="CI116" s="443">
        <v>-9708602</v>
      </c>
      <c r="CJ116" s="443">
        <v>-9626825</v>
      </c>
      <c r="CK116" s="443">
        <v>-9545429</v>
      </c>
      <c r="CL116" s="443">
        <v>-9464078</v>
      </c>
      <c r="CM116" s="443">
        <v>-9382889</v>
      </c>
      <c r="CN116" s="443">
        <v>-9301862</v>
      </c>
      <c r="CO116" s="443">
        <v>-9220998</v>
      </c>
      <c r="CP116" s="443">
        <v>-9140300</v>
      </c>
      <c r="CQ116" s="443">
        <v>-9059768</v>
      </c>
      <c r="CR116" s="443">
        <v>-8979404</v>
      </c>
      <c r="CS116" s="443">
        <v>-8899209</v>
      </c>
      <c r="CT116" s="443">
        <v>-8819185</v>
      </c>
      <c r="CU116" s="443">
        <v>-8739332</v>
      </c>
      <c r="CV116" s="443">
        <v>-8659654</v>
      </c>
      <c r="CW116" s="443">
        <v>-8580151</v>
      </c>
      <c r="CX116" s="443">
        <v>-8500828</v>
      </c>
      <c r="CY116" s="443">
        <v>-6147581</v>
      </c>
      <c r="CZ116" s="443">
        <v>-6089298</v>
      </c>
      <c r="DA116" s="443">
        <v>-6031155</v>
      </c>
      <c r="DB116" s="443">
        <v>-5973154</v>
      </c>
      <c r="DC116" s="443">
        <v>0</v>
      </c>
      <c r="DD116" s="443">
        <v>0</v>
      </c>
      <c r="DE116" s="443">
        <v>0</v>
      </c>
      <c r="DF116" s="443">
        <f>VLOOKUP($C116,'[3]BS ACC'!$C$5:$DH$1006,108,FALSE)</f>
        <v>0</v>
      </c>
      <c r="DG116" s="443">
        <f>VLOOKUP($C116,'[3]BS ACC'!$C$5:$DH$1006,109,FALSE)</f>
        <v>0</v>
      </c>
      <c r="DH116" s="443">
        <f>VLOOKUP($C116,'[3]BS ACC'!$C$5:$DH$1006,110,FALSE)</f>
        <v>0</v>
      </c>
    </row>
    <row r="117" spans="1:112">
      <c r="A117" s="350" t="str">
        <f t="shared" si="1"/>
        <v>1730100</v>
      </c>
      <c r="B117" s="350" t="s">
        <v>1599</v>
      </c>
      <c r="C117" s="335" t="s">
        <v>673</v>
      </c>
      <c r="D117" s="340">
        <v>10453804</v>
      </c>
      <c r="E117" s="340">
        <v>14121424</v>
      </c>
      <c r="F117" s="340">
        <v>14501272</v>
      </c>
      <c r="G117" s="340">
        <v>12210429</v>
      </c>
      <c r="H117" s="340">
        <v>11264410</v>
      </c>
      <c r="I117" s="340">
        <v>9588042</v>
      </c>
      <c r="J117" s="340">
        <v>9309625</v>
      </c>
      <c r="K117" s="340">
        <v>8689961</v>
      </c>
      <c r="L117" s="340">
        <v>8265612</v>
      </c>
      <c r="M117" s="340">
        <v>8573106</v>
      </c>
      <c r="N117" s="340">
        <v>8758043</v>
      </c>
      <c r="O117" s="340">
        <v>9690129</v>
      </c>
      <c r="P117" s="341">
        <v>12160508</v>
      </c>
      <c r="Q117" s="163">
        <v>13773698</v>
      </c>
      <c r="R117" s="163">
        <v>13842191</v>
      </c>
      <c r="S117" s="163">
        <v>13153486</v>
      </c>
      <c r="T117" s="163">
        <v>10396447</v>
      </c>
      <c r="U117" s="163">
        <v>8997653</v>
      </c>
      <c r="V117" s="163">
        <v>9318367</v>
      </c>
      <c r="W117" s="163">
        <v>8578586</v>
      </c>
      <c r="X117" s="163">
        <v>8605700</v>
      </c>
      <c r="Y117" s="163">
        <v>8467002</v>
      </c>
      <c r="Z117" s="163">
        <v>8631054</v>
      </c>
      <c r="AA117" s="163">
        <v>9332814</v>
      </c>
      <c r="AB117" s="163">
        <v>10568472</v>
      </c>
      <c r="AC117" s="163">
        <v>13194093</v>
      </c>
      <c r="AD117" s="163">
        <v>14606125</v>
      </c>
      <c r="AE117" s="163">
        <v>12771278</v>
      </c>
      <c r="AF117" s="163">
        <v>11268386</v>
      </c>
      <c r="AG117" s="163">
        <v>9955795</v>
      </c>
      <c r="AH117" s="163">
        <v>9011790</v>
      </c>
      <c r="AI117" s="163">
        <v>8305546</v>
      </c>
      <c r="AJ117" s="163">
        <v>8236893</v>
      </c>
      <c r="AK117" s="163">
        <v>8329332</v>
      </c>
      <c r="AL117" s="163">
        <v>8272996</v>
      </c>
      <c r="AM117" s="163">
        <v>9246536</v>
      </c>
      <c r="AN117" s="163">
        <v>10736588</v>
      </c>
      <c r="AO117" s="163">
        <v>12078768</v>
      </c>
      <c r="AP117" s="163">
        <v>11961224</v>
      </c>
      <c r="AQ117" s="163">
        <v>11195527</v>
      </c>
      <c r="AR117" s="163">
        <v>10986039</v>
      </c>
      <c r="AS117" s="163">
        <v>9783910</v>
      </c>
      <c r="AT117" s="163">
        <v>8920964</v>
      </c>
      <c r="AU117" s="163">
        <v>8405325</v>
      </c>
      <c r="AV117" s="163">
        <v>8345855</v>
      </c>
      <c r="AW117" s="163">
        <v>8880385</v>
      </c>
      <c r="AX117" s="163">
        <v>9055757</v>
      </c>
      <c r="AY117" s="163">
        <v>10184241</v>
      </c>
      <c r="AZ117" s="163">
        <v>12037763</v>
      </c>
      <c r="BA117" s="163">
        <v>16903475</v>
      </c>
      <c r="BB117" s="163">
        <v>15075867</v>
      </c>
      <c r="BC117" s="163">
        <v>12324817</v>
      </c>
      <c r="BD117" s="163">
        <v>12712880</v>
      </c>
      <c r="BE117" s="163">
        <v>10609698</v>
      </c>
      <c r="BF117" s="163">
        <v>9391200</v>
      </c>
      <c r="BG117" s="163">
        <v>9182201</v>
      </c>
      <c r="BH117" s="163">
        <v>8937787</v>
      </c>
      <c r="BI117" s="163">
        <v>8976897</v>
      </c>
      <c r="BJ117" s="163">
        <v>8940430</v>
      </c>
      <c r="BK117" s="163">
        <v>10330350</v>
      </c>
      <c r="BL117" s="163">
        <v>12353298</v>
      </c>
      <c r="BM117" s="163">
        <v>13959659</v>
      </c>
      <c r="BN117" s="163">
        <v>11843869</v>
      </c>
      <c r="BO117" s="163">
        <v>12411808</v>
      </c>
      <c r="BP117" s="163">
        <v>12154083</v>
      </c>
      <c r="BQ117" s="163">
        <v>10937017</v>
      </c>
      <c r="BR117" s="163">
        <v>9590748</v>
      </c>
      <c r="BS117" s="163">
        <v>9249482</v>
      </c>
      <c r="BT117" s="163">
        <v>8624741</v>
      </c>
      <c r="BU117" s="163">
        <v>8918257</v>
      </c>
      <c r="BV117" s="163">
        <v>8868740</v>
      </c>
      <c r="BW117" s="163">
        <v>11408241</v>
      </c>
      <c r="BX117" s="163">
        <v>12585260</v>
      </c>
      <c r="BY117" s="163">
        <v>13948631</v>
      </c>
      <c r="BZ117" s="163">
        <v>13340275</v>
      </c>
      <c r="CA117" s="163">
        <v>11488328</v>
      </c>
      <c r="CB117" s="163">
        <v>10090773</v>
      </c>
      <c r="CC117" s="163">
        <v>9202897</v>
      </c>
      <c r="CD117" s="163">
        <v>9178472</v>
      </c>
      <c r="CE117" s="163">
        <v>8547643</v>
      </c>
      <c r="CF117" s="163">
        <v>8576101</v>
      </c>
      <c r="CG117" s="163">
        <v>8525635</v>
      </c>
      <c r="CH117" s="163">
        <v>9004210</v>
      </c>
      <c r="CI117" s="163">
        <v>10300774</v>
      </c>
      <c r="CJ117" s="163">
        <v>15058285</v>
      </c>
      <c r="CK117" s="163">
        <v>18903678</v>
      </c>
      <c r="CL117" s="163">
        <v>15409592</v>
      </c>
      <c r="CM117" s="163">
        <v>16257338</v>
      </c>
      <c r="CN117" s="163">
        <v>16067614</v>
      </c>
      <c r="CO117" s="163">
        <v>13825000</v>
      </c>
      <c r="CP117" s="163">
        <v>12980495</v>
      </c>
      <c r="CQ117" s="163">
        <v>12554084</v>
      </c>
      <c r="CR117" s="163">
        <v>11932838</v>
      </c>
      <c r="CS117" s="163">
        <v>12452247</v>
      </c>
      <c r="CT117" s="163">
        <v>12150759</v>
      </c>
      <c r="CU117" s="163">
        <v>13785737</v>
      </c>
      <c r="CV117" s="163">
        <v>17180538</v>
      </c>
      <c r="CW117" s="163">
        <v>22714314</v>
      </c>
      <c r="CX117" s="163">
        <v>21544001</v>
      </c>
      <c r="CY117" s="163">
        <v>18374847</v>
      </c>
      <c r="CZ117" s="163">
        <v>16853412</v>
      </c>
      <c r="DA117" s="163">
        <v>15553655</v>
      </c>
      <c r="DB117" s="163">
        <v>13680802</v>
      </c>
      <c r="DC117" s="163">
        <v>12783744</v>
      </c>
      <c r="DD117" s="163">
        <v>14256348</v>
      </c>
      <c r="DE117" s="163">
        <v>13334863</v>
      </c>
      <c r="DF117" s="163">
        <f>VLOOKUP($C117,'[3]BS ACC'!$C$5:$DH$1006,108,FALSE)</f>
        <v>15910901</v>
      </c>
      <c r="DG117" s="163">
        <f>VLOOKUP($C117,'[3]BS ACC'!$C$5:$DH$1006,109,FALSE)</f>
        <v>14071119</v>
      </c>
      <c r="DH117" s="163">
        <f>VLOOKUP($C117,'[3]BS ACC'!$C$5:$DH$1006,110,FALSE)</f>
        <v>16225985</v>
      </c>
    </row>
    <row r="118" spans="1:112">
      <c r="A118" s="350" t="str">
        <f t="shared" si="1"/>
        <v>1760100</v>
      </c>
      <c r="B118" s="350" t="s">
        <v>1600</v>
      </c>
      <c r="C118" s="335" t="s">
        <v>674</v>
      </c>
      <c r="D118" s="340">
        <v>1083910</v>
      </c>
      <c r="E118" s="340">
        <v>3450680</v>
      </c>
      <c r="F118" s="340">
        <v>2417910</v>
      </c>
      <c r="G118" s="340">
        <v>1479840</v>
      </c>
      <c r="H118" s="340">
        <v>2610693.6800000002</v>
      </c>
      <c r="I118" s="340">
        <v>1045615</v>
      </c>
      <c r="J118" s="340">
        <v>579510</v>
      </c>
      <c r="K118" s="340">
        <v>0</v>
      </c>
      <c r="L118" s="340">
        <v>4975</v>
      </c>
      <c r="M118" s="340">
        <v>0</v>
      </c>
      <c r="N118" s="340">
        <v>0</v>
      </c>
      <c r="O118" s="340">
        <v>0</v>
      </c>
      <c r="P118" s="341">
        <v>0</v>
      </c>
      <c r="Q118" s="163">
        <v>0</v>
      </c>
      <c r="R118" s="163">
        <v>0</v>
      </c>
      <c r="S118" s="163">
        <v>27523.919999999998</v>
      </c>
      <c r="T118" s="163">
        <v>187787.92</v>
      </c>
      <c r="U118" s="163">
        <v>0</v>
      </c>
      <c r="V118" s="163">
        <v>0</v>
      </c>
      <c r="W118" s="163">
        <v>0</v>
      </c>
      <c r="X118" s="163">
        <v>0</v>
      </c>
      <c r="Y118" s="163">
        <v>0</v>
      </c>
      <c r="Z118" s="163">
        <v>0</v>
      </c>
      <c r="AA118" s="163">
        <v>0</v>
      </c>
      <c r="AB118" s="163">
        <v>0</v>
      </c>
      <c r="AC118" s="163">
        <v>2520</v>
      </c>
      <c r="AD118" s="163">
        <v>0</v>
      </c>
      <c r="AE118" s="163">
        <v>0</v>
      </c>
      <c r="AF118" s="163">
        <v>0</v>
      </c>
      <c r="AG118" s="163">
        <v>3720</v>
      </c>
      <c r="AH118" s="163">
        <v>235290</v>
      </c>
      <c r="AI118" s="163">
        <v>215630</v>
      </c>
      <c r="AJ118" s="163">
        <v>103720</v>
      </c>
      <c r="AK118" s="163">
        <v>63240</v>
      </c>
      <c r="AL118" s="163">
        <v>24520</v>
      </c>
      <c r="AM118" s="163">
        <v>382970</v>
      </c>
      <c r="AN118" s="163">
        <v>1721815</v>
      </c>
      <c r="AO118" s="163">
        <v>428585</v>
      </c>
      <c r="AP118" s="163">
        <v>31520</v>
      </c>
      <c r="AQ118" s="163">
        <v>481000</v>
      </c>
      <c r="AR118" s="163">
        <v>504425</v>
      </c>
      <c r="AS118" s="163">
        <v>161805</v>
      </c>
      <c r="AT118" s="163">
        <v>86755</v>
      </c>
      <c r="AU118" s="163">
        <v>8450</v>
      </c>
      <c r="AV118" s="163">
        <v>94105</v>
      </c>
      <c r="AW118" s="163">
        <v>72175</v>
      </c>
      <c r="AX118" s="163">
        <v>0</v>
      </c>
      <c r="AY118" s="163">
        <v>7230</v>
      </c>
      <c r="AZ118" s="163">
        <v>0</v>
      </c>
      <c r="BA118" s="163">
        <v>77895</v>
      </c>
      <c r="BB118" s="163">
        <v>0</v>
      </c>
      <c r="BC118" s="163">
        <v>0</v>
      </c>
      <c r="BD118" s="163">
        <v>2040</v>
      </c>
      <c r="BE118" s="163">
        <v>20020</v>
      </c>
      <c r="BF118" s="163">
        <v>15330</v>
      </c>
      <c r="BG118" s="163">
        <v>0</v>
      </c>
      <c r="BH118" s="163">
        <v>3500</v>
      </c>
      <c r="BI118" s="163">
        <v>10040</v>
      </c>
      <c r="BJ118" s="163">
        <v>14650</v>
      </c>
      <c r="BK118" s="163">
        <v>0</v>
      </c>
      <c r="BL118" s="163">
        <v>0</v>
      </c>
      <c r="BM118" s="163">
        <v>0</v>
      </c>
      <c r="BN118" s="163">
        <v>0</v>
      </c>
      <c r="BO118" s="163">
        <v>0</v>
      </c>
      <c r="BP118" s="163">
        <v>0</v>
      </c>
      <c r="BQ118" s="163">
        <v>0</v>
      </c>
      <c r="BR118" s="163">
        <v>0</v>
      </c>
      <c r="BS118" s="163">
        <v>0</v>
      </c>
      <c r="BT118" s="163">
        <v>0</v>
      </c>
      <c r="BU118" s="163">
        <v>0</v>
      </c>
      <c r="BV118" s="163">
        <v>0</v>
      </c>
      <c r="BW118" s="163">
        <v>0</v>
      </c>
      <c r="BX118" s="163">
        <v>0</v>
      </c>
      <c r="BY118" s="163">
        <v>0</v>
      </c>
      <c r="BZ118" s="163">
        <v>0</v>
      </c>
      <c r="CA118" s="163">
        <v>0</v>
      </c>
      <c r="CB118" s="163">
        <v>0</v>
      </c>
      <c r="CC118" s="163">
        <v>0</v>
      </c>
      <c r="CD118" s="163">
        <v>0</v>
      </c>
      <c r="CE118" s="163">
        <v>0</v>
      </c>
      <c r="CF118" s="163">
        <v>0</v>
      </c>
      <c r="CG118" s="163">
        <v>0</v>
      </c>
      <c r="CH118" s="163">
        <v>0</v>
      </c>
      <c r="CI118" s="163">
        <v>0</v>
      </c>
      <c r="CJ118" s="163">
        <v>0</v>
      </c>
      <c r="CK118" s="163">
        <v>0</v>
      </c>
      <c r="CL118" s="163">
        <v>0</v>
      </c>
      <c r="CM118" s="163">
        <v>0</v>
      </c>
      <c r="CN118" s="163">
        <v>0</v>
      </c>
      <c r="CO118" s="163">
        <v>0</v>
      </c>
      <c r="CP118" s="163">
        <v>0</v>
      </c>
      <c r="CQ118" s="163">
        <v>0</v>
      </c>
      <c r="CR118" s="163">
        <v>0</v>
      </c>
      <c r="CS118" s="163">
        <v>0</v>
      </c>
      <c r="CT118" s="163">
        <v>0</v>
      </c>
      <c r="CU118" s="163">
        <v>0</v>
      </c>
      <c r="CV118" s="163">
        <v>0</v>
      </c>
      <c r="CW118" s="163">
        <v>0</v>
      </c>
      <c r="CX118" s="163">
        <v>0</v>
      </c>
      <c r="CY118" s="163">
        <v>0</v>
      </c>
      <c r="CZ118" s="163">
        <v>0</v>
      </c>
      <c r="DA118" s="163">
        <v>0</v>
      </c>
      <c r="DB118" s="163">
        <v>0</v>
      </c>
      <c r="DC118" s="163">
        <v>0</v>
      </c>
      <c r="DD118" s="163">
        <v>0</v>
      </c>
      <c r="DE118" s="163">
        <v>0</v>
      </c>
      <c r="DF118" s="163">
        <f>VLOOKUP($C118,'[3]BS ACC'!$C$5:$DH$1006,108,FALSE)</f>
        <v>0</v>
      </c>
      <c r="DG118" s="163">
        <f>VLOOKUP($C118,'[3]BS ACC'!$C$5:$DH$1006,109,FALSE)</f>
        <v>0</v>
      </c>
      <c r="DH118" s="163">
        <f>VLOOKUP($C118,'[3]BS ACC'!$C$5:$DH$1006,110,FALSE)</f>
        <v>0</v>
      </c>
    </row>
    <row r="119" spans="1:112">
      <c r="A119" s="350" t="str">
        <f t="shared" si="1"/>
        <v>1760200</v>
      </c>
      <c r="B119" s="350" t="s">
        <v>1517</v>
      </c>
      <c r="C119" s="335" t="s">
        <v>675</v>
      </c>
      <c r="D119" s="340">
        <v>51235</v>
      </c>
      <c r="E119" s="340">
        <v>113765</v>
      </c>
      <c r="F119" s="340">
        <v>71605</v>
      </c>
      <c r="G119" s="340">
        <v>25205</v>
      </c>
      <c r="H119" s="340">
        <v>481885</v>
      </c>
      <c r="I119" s="340">
        <v>134995</v>
      </c>
      <c r="J119" s="340">
        <v>98245</v>
      </c>
      <c r="K119" s="340">
        <v>0</v>
      </c>
      <c r="L119" s="340">
        <v>0</v>
      </c>
      <c r="M119" s="340">
        <v>0</v>
      </c>
      <c r="N119" s="340">
        <v>0</v>
      </c>
      <c r="O119" s="340">
        <v>0</v>
      </c>
      <c r="P119" s="341">
        <v>0</v>
      </c>
      <c r="Q119" s="163">
        <v>0</v>
      </c>
      <c r="R119" s="163">
        <v>0</v>
      </c>
      <c r="S119" s="163">
        <v>0</v>
      </c>
      <c r="T119" s="163">
        <v>0</v>
      </c>
      <c r="U119" s="163">
        <v>0</v>
      </c>
      <c r="V119" s="163">
        <v>360</v>
      </c>
      <c r="W119" s="163">
        <v>0</v>
      </c>
      <c r="X119" s="163">
        <v>0</v>
      </c>
      <c r="Y119" s="163">
        <v>0</v>
      </c>
      <c r="Z119" s="163">
        <v>0</v>
      </c>
      <c r="AA119" s="163">
        <v>0</v>
      </c>
      <c r="AB119" s="163">
        <v>0</v>
      </c>
      <c r="AC119" s="163">
        <v>0</v>
      </c>
      <c r="AD119" s="163">
        <v>0</v>
      </c>
      <c r="AE119" s="163">
        <v>2790</v>
      </c>
      <c r="AF119" s="163">
        <v>56285</v>
      </c>
      <c r="AG119" s="163">
        <v>74965</v>
      </c>
      <c r="AH119" s="163">
        <v>123345</v>
      </c>
      <c r="AI119" s="163">
        <v>136115</v>
      </c>
      <c r="AJ119" s="163">
        <v>97905</v>
      </c>
      <c r="AK119" s="163">
        <v>55055</v>
      </c>
      <c r="AL119" s="163">
        <v>128885</v>
      </c>
      <c r="AM119" s="163">
        <v>149175</v>
      </c>
      <c r="AN119" s="163">
        <v>267425</v>
      </c>
      <c r="AO119" s="163">
        <v>106815</v>
      </c>
      <c r="AP119" s="163">
        <v>0</v>
      </c>
      <c r="AQ119" s="163">
        <v>1880</v>
      </c>
      <c r="AR119" s="163">
        <v>34420</v>
      </c>
      <c r="AS119" s="163">
        <v>7720</v>
      </c>
      <c r="AT119" s="163">
        <v>1520</v>
      </c>
      <c r="AU119" s="163">
        <v>0</v>
      </c>
      <c r="AV119" s="163">
        <v>7090</v>
      </c>
      <c r="AW119" s="163">
        <v>7570</v>
      </c>
      <c r="AX119" s="163">
        <v>4800</v>
      </c>
      <c r="AY119" s="163">
        <v>0</v>
      </c>
      <c r="AZ119" s="163">
        <v>0</v>
      </c>
      <c r="BA119" s="163">
        <v>0</v>
      </c>
      <c r="BB119" s="163">
        <v>0</v>
      </c>
      <c r="BC119" s="163">
        <v>0</v>
      </c>
      <c r="BD119" s="163">
        <v>0</v>
      </c>
      <c r="BE119" s="163">
        <v>0</v>
      </c>
      <c r="BF119" s="163">
        <v>0</v>
      </c>
      <c r="BG119" s="163">
        <v>0</v>
      </c>
      <c r="BH119" s="163">
        <v>0</v>
      </c>
      <c r="BI119" s="163">
        <v>0</v>
      </c>
      <c r="BJ119" s="163">
        <v>0</v>
      </c>
      <c r="BK119" s="163">
        <v>0</v>
      </c>
      <c r="BL119" s="163">
        <v>0</v>
      </c>
      <c r="BM119" s="163">
        <v>0</v>
      </c>
      <c r="BN119" s="163">
        <v>0</v>
      </c>
      <c r="BO119" s="163">
        <v>0</v>
      </c>
      <c r="BP119" s="163">
        <v>0</v>
      </c>
      <c r="BQ119" s="163">
        <v>0</v>
      </c>
      <c r="BR119" s="163">
        <v>0</v>
      </c>
      <c r="BS119" s="163">
        <v>0</v>
      </c>
      <c r="BT119" s="163">
        <v>0</v>
      </c>
      <c r="BU119" s="163">
        <v>0</v>
      </c>
      <c r="BV119" s="163">
        <v>0</v>
      </c>
      <c r="BW119" s="163">
        <v>0</v>
      </c>
      <c r="BX119" s="163">
        <v>0</v>
      </c>
      <c r="BY119" s="163">
        <v>0</v>
      </c>
      <c r="BZ119" s="163">
        <v>0</v>
      </c>
      <c r="CA119" s="163">
        <v>0</v>
      </c>
      <c r="CB119" s="163">
        <v>0</v>
      </c>
      <c r="CC119" s="163">
        <v>0</v>
      </c>
      <c r="CD119" s="163">
        <v>0</v>
      </c>
      <c r="CE119" s="163">
        <v>0</v>
      </c>
      <c r="CF119" s="163">
        <v>0</v>
      </c>
      <c r="CG119" s="163">
        <v>0</v>
      </c>
      <c r="CH119" s="163">
        <v>0</v>
      </c>
      <c r="CI119" s="163">
        <v>0</v>
      </c>
      <c r="CJ119" s="163">
        <v>0</v>
      </c>
      <c r="CK119" s="163">
        <v>0</v>
      </c>
      <c r="CL119" s="163">
        <v>0</v>
      </c>
      <c r="CM119" s="163">
        <v>0</v>
      </c>
      <c r="CN119" s="163">
        <v>0</v>
      </c>
      <c r="CO119" s="163">
        <v>0</v>
      </c>
      <c r="CP119" s="163">
        <v>0</v>
      </c>
      <c r="CQ119" s="163">
        <v>0</v>
      </c>
      <c r="CR119" s="163">
        <v>0</v>
      </c>
      <c r="CS119" s="163">
        <v>0</v>
      </c>
      <c r="CT119" s="163">
        <v>0</v>
      </c>
      <c r="CU119" s="163">
        <v>0</v>
      </c>
      <c r="CV119" s="163">
        <v>0</v>
      </c>
      <c r="CW119" s="163">
        <v>0</v>
      </c>
      <c r="CX119" s="163">
        <v>0</v>
      </c>
      <c r="CY119" s="163">
        <v>0</v>
      </c>
      <c r="CZ119" s="163">
        <v>0</v>
      </c>
      <c r="DA119" s="163">
        <v>0</v>
      </c>
      <c r="DB119" s="163">
        <v>0</v>
      </c>
      <c r="DC119" s="163">
        <v>0</v>
      </c>
      <c r="DD119" s="163">
        <v>0</v>
      </c>
      <c r="DE119" s="163">
        <v>0</v>
      </c>
      <c r="DF119" s="163">
        <f>VLOOKUP($C119,'[3]BS ACC'!$C$5:$DH$1006,108,FALSE)</f>
        <v>0</v>
      </c>
      <c r="DG119" s="163">
        <f>VLOOKUP($C119,'[3]BS ACC'!$C$5:$DH$1006,109,FALSE)</f>
        <v>0</v>
      </c>
      <c r="DH119" s="163">
        <f>VLOOKUP($C119,'[3]BS ACC'!$C$5:$DH$1006,110,FALSE)</f>
        <v>0</v>
      </c>
    </row>
    <row r="120" spans="1:112">
      <c r="A120" s="350" t="str">
        <f>+B120</f>
        <v>1810100</v>
      </c>
      <c r="B120" s="350" t="s">
        <v>2224</v>
      </c>
      <c r="C120" s="335" t="s">
        <v>2223</v>
      </c>
      <c r="D120" s="340"/>
      <c r="E120" s="340"/>
      <c r="F120" s="340"/>
      <c r="G120" s="340"/>
      <c r="H120" s="340"/>
      <c r="I120" s="340"/>
      <c r="J120" s="340"/>
      <c r="K120" s="340"/>
      <c r="L120" s="340"/>
      <c r="M120" s="340"/>
      <c r="N120" s="340"/>
      <c r="O120" s="340"/>
      <c r="P120" s="341"/>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v>0</v>
      </c>
      <c r="BB120" s="163">
        <v>0</v>
      </c>
      <c r="BC120" s="163">
        <v>45859.38</v>
      </c>
      <c r="BD120" s="163">
        <v>39308.04</v>
      </c>
      <c r="BE120" s="163">
        <v>32756.7</v>
      </c>
      <c r="BF120" s="163">
        <v>26205.360000000001</v>
      </c>
      <c r="BG120" s="163">
        <v>19654.02</v>
      </c>
      <c r="BH120" s="163">
        <v>13102.68</v>
      </c>
      <c r="BI120" s="163">
        <v>6551.34</v>
      </c>
      <c r="BJ120" s="163">
        <v>0</v>
      </c>
      <c r="BK120" s="163">
        <v>0</v>
      </c>
      <c r="BL120" s="163">
        <v>0</v>
      </c>
      <c r="BM120" s="163">
        <v>0</v>
      </c>
      <c r="BN120" s="163">
        <v>0</v>
      </c>
      <c r="BO120" s="163">
        <v>0</v>
      </c>
      <c r="BP120" s="163">
        <v>0</v>
      </c>
      <c r="BQ120" s="163">
        <v>0</v>
      </c>
      <c r="BR120" s="163">
        <v>0</v>
      </c>
      <c r="BS120" s="163">
        <v>0</v>
      </c>
      <c r="BT120" s="163">
        <v>0</v>
      </c>
      <c r="BU120" s="163">
        <v>0</v>
      </c>
      <c r="BV120" s="163">
        <v>0</v>
      </c>
      <c r="BW120" s="163">
        <v>0</v>
      </c>
      <c r="BX120" s="163">
        <v>0</v>
      </c>
      <c r="BY120" s="163">
        <v>0</v>
      </c>
      <c r="BZ120" s="163">
        <v>11319.55</v>
      </c>
      <c r="CA120" s="163">
        <v>14670.6</v>
      </c>
      <c r="CB120" s="163">
        <v>13203.54</v>
      </c>
      <c r="CC120" s="163">
        <v>11736.48</v>
      </c>
      <c r="CD120" s="163">
        <v>10269.42</v>
      </c>
      <c r="CE120" s="163">
        <v>8802.36</v>
      </c>
      <c r="CF120" s="163">
        <v>7335.3</v>
      </c>
      <c r="CG120" s="163">
        <v>5868.24</v>
      </c>
      <c r="CH120" s="163">
        <v>4401.18</v>
      </c>
      <c r="CI120" s="163">
        <v>2934.12</v>
      </c>
      <c r="CJ120" s="163">
        <v>1467.06</v>
      </c>
      <c r="CK120" s="163">
        <v>6563.9</v>
      </c>
      <c r="CL120" s="163">
        <v>4375.9399999999996</v>
      </c>
      <c r="CM120" s="163">
        <v>2543.25</v>
      </c>
      <c r="CN120" s="163">
        <v>0</v>
      </c>
      <c r="CO120" s="163">
        <v>0</v>
      </c>
      <c r="CP120" s="163">
        <v>0</v>
      </c>
      <c r="CQ120" s="163">
        <v>0</v>
      </c>
      <c r="CR120" s="163">
        <v>0</v>
      </c>
      <c r="CS120" s="163">
        <v>0</v>
      </c>
      <c r="CT120" s="163">
        <v>0</v>
      </c>
      <c r="CU120" s="163">
        <v>0</v>
      </c>
      <c r="CV120" s="163">
        <v>14512.82</v>
      </c>
      <c r="CW120" s="163">
        <v>13059.42</v>
      </c>
      <c r="CX120" s="163">
        <v>11872.2</v>
      </c>
      <c r="CY120" s="163">
        <v>10684.98</v>
      </c>
      <c r="CZ120" s="163">
        <v>10479.040000000001</v>
      </c>
      <c r="DA120" s="163">
        <v>9169.16</v>
      </c>
      <c r="DB120" s="163">
        <v>7859.28</v>
      </c>
      <c r="DC120" s="163">
        <v>6549.4</v>
      </c>
      <c r="DD120" s="163">
        <v>5239.5200000000004</v>
      </c>
      <c r="DE120" s="163">
        <v>3929.64</v>
      </c>
      <c r="DF120" s="163">
        <f>VLOOKUP($C120,'[3]BS ACC'!$C$5:$DH$1006,108,FALSE)</f>
        <v>2619.7600000000002</v>
      </c>
      <c r="DG120" s="163">
        <f>VLOOKUP($C120,'[3]BS ACC'!$C$5:$DH$1006,109,FALSE)</f>
        <v>1309.8800000000001</v>
      </c>
      <c r="DH120" s="163">
        <f>VLOOKUP($C120,'[3]BS ACC'!$C$5:$DH$1006,110,FALSE)</f>
        <v>38270.980000000003</v>
      </c>
    </row>
    <row r="121" spans="1:112">
      <c r="A121" s="350" t="str">
        <f t="shared" si="1"/>
        <v>1810200</v>
      </c>
      <c r="B121" s="350" t="s">
        <v>1601</v>
      </c>
      <c r="C121" s="335" t="s">
        <v>676</v>
      </c>
      <c r="D121" s="340">
        <v>1094576.58</v>
      </c>
      <c r="E121" s="340">
        <v>1087397.54</v>
      </c>
      <c r="F121" s="340">
        <v>1080218.5</v>
      </c>
      <c r="G121" s="340">
        <v>1073039.46</v>
      </c>
      <c r="H121" s="340">
        <v>1065860.42</v>
      </c>
      <c r="I121" s="340">
        <v>1151468.8799999999</v>
      </c>
      <c r="J121" s="340">
        <v>1146259.69</v>
      </c>
      <c r="K121" s="340">
        <v>1141357.42</v>
      </c>
      <c r="L121" s="340">
        <v>1134105.01</v>
      </c>
      <c r="M121" s="340">
        <v>1136898.3899999999</v>
      </c>
      <c r="N121" s="340">
        <v>1129580.24</v>
      </c>
      <c r="O121" s="340">
        <v>1122097.51</v>
      </c>
      <c r="P121" s="341">
        <v>1114614.78</v>
      </c>
      <c r="Q121" s="163">
        <v>1107132.05</v>
      </c>
      <c r="R121" s="163">
        <v>1099649.32</v>
      </c>
      <c r="S121" s="163">
        <v>1092166.5900000001</v>
      </c>
      <c r="T121" s="163">
        <v>1084683.8600000001</v>
      </c>
      <c r="U121" s="163">
        <v>1266226.81</v>
      </c>
      <c r="V121" s="163">
        <v>1277958.69</v>
      </c>
      <c r="W121" s="163">
        <v>1271078.6399999999</v>
      </c>
      <c r="X121" s="163">
        <v>1263012.55</v>
      </c>
      <c r="Y121" s="163">
        <v>1264835.3400000001</v>
      </c>
      <c r="Z121" s="163">
        <v>1256741.47</v>
      </c>
      <c r="AA121" s="163">
        <v>1248648.31</v>
      </c>
      <c r="AB121" s="163">
        <v>1240554.44</v>
      </c>
      <c r="AC121" s="163">
        <v>1232460.57</v>
      </c>
      <c r="AD121" s="163">
        <v>1224366.7</v>
      </c>
      <c r="AE121" s="163">
        <v>1216272.83</v>
      </c>
      <c r="AF121" s="163">
        <v>1208178.96</v>
      </c>
      <c r="AG121" s="163">
        <v>1200085.0900000001</v>
      </c>
      <c r="AH121" s="163">
        <v>1191991.22</v>
      </c>
      <c r="AI121" s="163">
        <v>1183897.3500000001</v>
      </c>
      <c r="AJ121" s="163">
        <v>1175803.48</v>
      </c>
      <c r="AK121" s="163">
        <v>1167709.6100000001</v>
      </c>
      <c r="AL121" s="163">
        <v>1159615.74</v>
      </c>
      <c r="AM121" s="163">
        <v>1151521.8700000001</v>
      </c>
      <c r="AN121" s="163">
        <v>1143428</v>
      </c>
      <c r="AO121" s="163">
        <v>1135334.1299999999</v>
      </c>
      <c r="AP121" s="163">
        <v>1127240.26</v>
      </c>
      <c r="AQ121" s="163">
        <v>1119146.3899999999</v>
      </c>
      <c r="AR121" s="163">
        <v>1111052.52</v>
      </c>
      <c r="AS121" s="163">
        <v>1102958.6499999999</v>
      </c>
      <c r="AT121" s="163">
        <v>1094864.78</v>
      </c>
      <c r="AU121" s="163">
        <v>1086770.9099999999</v>
      </c>
      <c r="AV121" s="163">
        <v>1078677.04</v>
      </c>
      <c r="AW121" s="163">
        <v>1070583.17</v>
      </c>
      <c r="AX121" s="163">
        <v>1062489.3</v>
      </c>
      <c r="AY121" s="163">
        <v>1054395.43</v>
      </c>
      <c r="AZ121" s="163">
        <v>1046301.56</v>
      </c>
      <c r="BA121" s="163">
        <v>1038207.69</v>
      </c>
      <c r="BB121" s="163">
        <v>1030113.82</v>
      </c>
      <c r="BC121" s="163">
        <v>1022019.95</v>
      </c>
      <c r="BD121" s="163">
        <v>1013926.08</v>
      </c>
      <c r="BE121" s="163">
        <v>1007409.23</v>
      </c>
      <c r="BF121" s="163">
        <v>1758857.41</v>
      </c>
      <c r="BG121" s="163">
        <v>1768017.45</v>
      </c>
      <c r="BH121" s="163">
        <v>1766034.23</v>
      </c>
      <c r="BI121" s="163">
        <v>1800462.55</v>
      </c>
      <c r="BJ121" s="163">
        <v>2037074.48</v>
      </c>
      <c r="BK121" s="163">
        <v>2030609.45</v>
      </c>
      <c r="BL121" s="163">
        <v>2027977.83</v>
      </c>
      <c r="BM121" s="163">
        <v>2020072.15</v>
      </c>
      <c r="BN121" s="163">
        <v>2012183.48</v>
      </c>
      <c r="BO121" s="163">
        <v>2018048.28</v>
      </c>
      <c r="BP121" s="163">
        <v>2010104.56</v>
      </c>
      <c r="BQ121" s="163">
        <v>2002160.84</v>
      </c>
      <c r="BR121" s="163">
        <v>1994217.12</v>
      </c>
      <c r="BS121" s="163">
        <v>2205578.9</v>
      </c>
      <c r="BT121" s="163">
        <v>2242159.67</v>
      </c>
      <c r="BU121" s="163">
        <v>2244443.7000000002</v>
      </c>
      <c r="BV121" s="163">
        <v>2235757.23</v>
      </c>
      <c r="BW121" s="163">
        <v>2227070.7599999998</v>
      </c>
      <c r="BX121" s="163">
        <v>2233060.89</v>
      </c>
      <c r="BY121" s="163">
        <v>2224334.3199999998</v>
      </c>
      <c r="BZ121" s="163">
        <v>2215607.75</v>
      </c>
      <c r="CA121" s="163">
        <v>2207345.8199999998</v>
      </c>
      <c r="CB121" s="163">
        <v>2198617.9700000002</v>
      </c>
      <c r="CC121" s="163">
        <v>2189890.12</v>
      </c>
      <c r="CD121" s="163">
        <v>2181162.27</v>
      </c>
      <c r="CE121" s="163">
        <v>2172434.42</v>
      </c>
      <c r="CF121" s="163">
        <v>2163706.5699999998</v>
      </c>
      <c r="CG121" s="163">
        <v>2154978.7200000002</v>
      </c>
      <c r="CH121" s="163">
        <v>2146250.87</v>
      </c>
      <c r="CI121" s="163">
        <v>2137523.02</v>
      </c>
      <c r="CJ121" s="163">
        <v>2128795.17</v>
      </c>
      <c r="CK121" s="163">
        <v>2120067.3199999998</v>
      </c>
      <c r="CL121" s="163">
        <v>2111339.4700000002</v>
      </c>
      <c r="CM121" s="163">
        <v>3960407.64</v>
      </c>
      <c r="CN121" s="163">
        <v>4083428.36</v>
      </c>
      <c r="CO121" s="163">
        <v>4214954.07</v>
      </c>
      <c r="CP121" s="163">
        <v>4360244.96</v>
      </c>
      <c r="CQ121" s="163">
        <v>4339276.21</v>
      </c>
      <c r="CR121" s="163">
        <v>4318307.46</v>
      </c>
      <c r="CS121" s="163">
        <v>4297338.71</v>
      </c>
      <c r="CT121" s="163">
        <v>4276369.96</v>
      </c>
      <c r="CU121" s="163">
        <v>4255401.21</v>
      </c>
      <c r="CV121" s="163">
        <v>4234432.46</v>
      </c>
      <c r="CW121" s="163">
        <v>4213463.71</v>
      </c>
      <c r="CX121" s="163">
        <v>4192494.96</v>
      </c>
      <c r="CY121" s="163">
        <v>4171526.21</v>
      </c>
      <c r="CZ121" s="163">
        <v>4150557.46</v>
      </c>
      <c r="DA121" s="163">
        <v>4129588.71</v>
      </c>
      <c r="DB121" s="163">
        <v>4108619.96</v>
      </c>
      <c r="DC121" s="163">
        <v>4561678.3899999997</v>
      </c>
      <c r="DD121" s="163">
        <v>4601808.08</v>
      </c>
      <c r="DE121" s="163">
        <v>4573916</v>
      </c>
      <c r="DF121" s="163">
        <f>VLOOKUP($C121,'[3]BS ACC'!$C$5:$DH$1006,108,FALSE)</f>
        <v>4559647.47</v>
      </c>
      <c r="DG121" s="163">
        <f>VLOOKUP($C121,'[3]BS ACC'!$C$5:$DH$1006,109,FALSE)</f>
        <v>4532310.43</v>
      </c>
      <c r="DH121" s="163">
        <f>VLOOKUP($C121,'[3]BS ACC'!$C$5:$DH$1006,110,FALSE)</f>
        <v>4504973.3899999997</v>
      </c>
    </row>
    <row r="122" spans="1:112">
      <c r="A122" s="350" t="str">
        <f t="shared" si="1"/>
        <v>1823040</v>
      </c>
      <c r="B122" s="350" t="s">
        <v>1518</v>
      </c>
      <c r="C122" s="335" t="s">
        <v>677</v>
      </c>
      <c r="D122" s="340">
        <v>1701760</v>
      </c>
      <c r="E122" s="340">
        <v>1197700</v>
      </c>
      <c r="F122" s="340">
        <v>372893</v>
      </c>
      <c r="G122" s="340">
        <v>0</v>
      </c>
      <c r="H122" s="340">
        <v>0</v>
      </c>
      <c r="I122" s="340">
        <v>0</v>
      </c>
      <c r="J122" s="340">
        <v>0</v>
      </c>
      <c r="K122" s="340">
        <v>0</v>
      </c>
      <c r="L122" s="340">
        <v>0</v>
      </c>
      <c r="M122" s="340">
        <v>165017</v>
      </c>
      <c r="N122" s="340">
        <v>273314</v>
      </c>
      <c r="O122" s="340">
        <v>243252</v>
      </c>
      <c r="P122" s="341">
        <v>0</v>
      </c>
      <c r="Q122" s="163">
        <v>0</v>
      </c>
      <c r="R122" s="163">
        <v>0</v>
      </c>
      <c r="S122" s="163">
        <v>0</v>
      </c>
      <c r="T122" s="163">
        <v>0</v>
      </c>
      <c r="U122" s="163">
        <v>0</v>
      </c>
      <c r="V122" s="163">
        <v>0</v>
      </c>
      <c r="W122" s="163">
        <v>0</v>
      </c>
      <c r="X122" s="163">
        <v>0</v>
      </c>
      <c r="Y122" s="163">
        <v>0</v>
      </c>
      <c r="Z122" s="163">
        <v>0</v>
      </c>
      <c r="AA122" s="163">
        <v>0</v>
      </c>
      <c r="AB122" s="163">
        <v>0</v>
      </c>
      <c r="AC122" s="163">
        <v>0</v>
      </c>
      <c r="AD122" s="163">
        <v>0</v>
      </c>
      <c r="AE122" s="163">
        <v>0</v>
      </c>
      <c r="AF122" s="163">
        <v>0</v>
      </c>
      <c r="AG122" s="163">
        <v>0</v>
      </c>
      <c r="AH122" s="163">
        <v>0</v>
      </c>
      <c r="AI122" s="163">
        <v>0</v>
      </c>
      <c r="AJ122" s="163">
        <v>0</v>
      </c>
      <c r="AK122" s="163">
        <v>0</v>
      </c>
      <c r="AL122" s="163">
        <v>0</v>
      </c>
      <c r="AM122" s="163">
        <v>0</v>
      </c>
      <c r="AN122" s="163">
        <v>189617</v>
      </c>
      <c r="AO122" s="163">
        <v>0</v>
      </c>
      <c r="AP122" s="163">
        <v>0</v>
      </c>
      <c r="AQ122" s="163">
        <v>0</v>
      </c>
      <c r="AR122" s="163">
        <v>0</v>
      </c>
      <c r="AS122" s="163">
        <v>0</v>
      </c>
      <c r="AT122" s="163">
        <v>0</v>
      </c>
      <c r="AU122" s="163">
        <v>0</v>
      </c>
      <c r="AV122" s="163">
        <v>644180</v>
      </c>
      <c r="AW122" s="163">
        <v>1043840</v>
      </c>
      <c r="AX122" s="163">
        <v>2243077</v>
      </c>
      <c r="AY122" s="163">
        <v>2637591</v>
      </c>
      <c r="AZ122" s="163">
        <v>2498428</v>
      </c>
      <c r="BA122" s="163">
        <v>1599342</v>
      </c>
      <c r="BB122" s="163">
        <v>1232539</v>
      </c>
      <c r="BC122" s="163">
        <v>1526254</v>
      </c>
      <c r="BD122" s="163">
        <v>2526586</v>
      </c>
      <c r="BE122" s="163">
        <v>2276018</v>
      </c>
      <c r="BF122" s="163">
        <v>2209544</v>
      </c>
      <c r="BG122" s="163">
        <v>3301272</v>
      </c>
      <c r="BH122" s="163">
        <v>3838458</v>
      </c>
      <c r="BI122" s="163">
        <v>3615230</v>
      </c>
      <c r="BJ122" s="163">
        <v>4659576</v>
      </c>
      <c r="BK122" s="163">
        <v>4538810</v>
      </c>
      <c r="BL122" s="163">
        <v>4327501</v>
      </c>
      <c r="BM122" s="163">
        <v>3928978</v>
      </c>
      <c r="BN122" s="163">
        <v>2604221</v>
      </c>
      <c r="BO122" s="163">
        <v>1941372</v>
      </c>
      <c r="BP122" s="163">
        <v>1695605</v>
      </c>
      <c r="BQ122" s="163">
        <v>1332769</v>
      </c>
      <c r="BR122" s="163">
        <v>1894237</v>
      </c>
      <c r="BS122" s="163">
        <v>2877206</v>
      </c>
      <c r="BT122" s="163">
        <v>3118975</v>
      </c>
      <c r="BU122" s="163">
        <v>2922432</v>
      </c>
      <c r="BV122" s="163">
        <v>3370670</v>
      </c>
      <c r="BW122" s="163">
        <v>3465742</v>
      </c>
      <c r="BX122" s="163">
        <v>3036822</v>
      </c>
      <c r="BY122" s="163">
        <v>2633697</v>
      </c>
      <c r="BZ122" s="163">
        <v>1715623</v>
      </c>
      <c r="CA122" s="163">
        <v>691836</v>
      </c>
      <c r="CB122" s="163">
        <v>723557</v>
      </c>
      <c r="CC122" s="163">
        <v>748018</v>
      </c>
      <c r="CD122" s="163">
        <v>833637</v>
      </c>
      <c r="CE122" s="163">
        <v>867661</v>
      </c>
      <c r="CF122" s="163">
        <v>1134391</v>
      </c>
      <c r="CG122" s="163">
        <v>1694757</v>
      </c>
      <c r="CH122" s="163">
        <v>2368913</v>
      </c>
      <c r="CI122" s="163">
        <v>2272665</v>
      </c>
      <c r="CJ122" s="163">
        <v>1885102</v>
      </c>
      <c r="CK122" s="163">
        <v>889684</v>
      </c>
      <c r="CL122" s="163">
        <v>650520</v>
      </c>
      <c r="CM122" s="163">
        <v>483078</v>
      </c>
      <c r="CN122" s="163">
        <v>194675</v>
      </c>
      <c r="CO122" s="163">
        <v>88787</v>
      </c>
      <c r="CP122" s="163">
        <v>5123</v>
      </c>
      <c r="CQ122" s="163">
        <v>209420</v>
      </c>
      <c r="CR122" s="163">
        <v>59927</v>
      </c>
      <c r="CS122" s="163">
        <v>468406</v>
      </c>
      <c r="CT122" s="163">
        <v>764146</v>
      </c>
      <c r="CU122" s="163">
        <v>808833</v>
      </c>
      <c r="CV122" s="163">
        <v>601758</v>
      </c>
      <c r="CW122" s="163">
        <v>0</v>
      </c>
      <c r="CX122" s="163">
        <v>0</v>
      </c>
      <c r="CY122" s="163">
        <v>0</v>
      </c>
      <c r="CZ122" s="163">
        <v>0</v>
      </c>
      <c r="DA122" s="163">
        <v>0</v>
      </c>
      <c r="DB122" s="163">
        <v>0</v>
      </c>
      <c r="DC122" s="163">
        <v>0</v>
      </c>
      <c r="DD122" s="163">
        <v>0</v>
      </c>
      <c r="DE122" s="163">
        <v>0</v>
      </c>
      <c r="DF122" s="163">
        <f>VLOOKUP($C122,'[3]BS ACC'!$C$5:$DH$1006,108,FALSE)</f>
        <v>0</v>
      </c>
      <c r="DG122" s="163">
        <f>VLOOKUP($C122,'[3]BS ACC'!$C$5:$DH$1006,109,FALSE)</f>
        <v>0</v>
      </c>
      <c r="DH122" s="163">
        <f>VLOOKUP($C122,'[3]BS ACC'!$C$5:$DH$1006,110,FALSE)</f>
        <v>0</v>
      </c>
    </row>
    <row r="123" spans="1:112">
      <c r="A123" s="350" t="str">
        <f t="shared" si="1"/>
        <v>1823070</v>
      </c>
      <c r="B123" s="350" t="s">
        <v>882</v>
      </c>
      <c r="C123" s="335" t="s">
        <v>678</v>
      </c>
      <c r="D123" s="340">
        <v>4149218.84</v>
      </c>
      <c r="E123" s="340">
        <v>3881649.9</v>
      </c>
      <c r="F123" s="340">
        <v>3595984.45</v>
      </c>
      <c r="G123" s="340">
        <v>3356242.61</v>
      </c>
      <c r="H123" s="340">
        <v>3153815.07</v>
      </c>
      <c r="I123" s="340">
        <v>2998600.52</v>
      </c>
      <c r="J123" s="340">
        <v>2846062.38</v>
      </c>
      <c r="K123" s="340">
        <v>2754013.64</v>
      </c>
      <c r="L123" s="340">
        <v>2695425.26</v>
      </c>
      <c r="M123" s="340">
        <v>2593528.2999999998</v>
      </c>
      <c r="N123" s="340">
        <v>2832302.36</v>
      </c>
      <c r="O123" s="340">
        <v>2822611.69</v>
      </c>
      <c r="P123" s="341">
        <v>2791257.34</v>
      </c>
      <c r="Q123" s="163">
        <v>2733301.01</v>
      </c>
      <c r="R123" s="163">
        <v>2656755.98</v>
      </c>
      <c r="S123" s="163">
        <v>2587102.0099999998</v>
      </c>
      <c r="T123" s="163">
        <v>2549200.44</v>
      </c>
      <c r="U123" s="163">
        <v>2538827.5</v>
      </c>
      <c r="V123" s="163">
        <v>2506040.91</v>
      </c>
      <c r="W123" s="163">
        <v>2480624.2599999998</v>
      </c>
      <c r="X123" s="163">
        <v>2461141.5499999998</v>
      </c>
      <c r="Y123" s="163">
        <v>2444276.2400000002</v>
      </c>
      <c r="Z123" s="163">
        <v>2630639.09</v>
      </c>
      <c r="AA123" s="163">
        <v>2626735.1800000002</v>
      </c>
      <c r="AB123" s="163">
        <v>2616417.9900000002</v>
      </c>
      <c r="AC123" s="163">
        <v>2600383.5099999998</v>
      </c>
      <c r="AD123" s="163">
        <v>2555116.81</v>
      </c>
      <c r="AE123" s="163">
        <v>2543852.42</v>
      </c>
      <c r="AF123" s="163">
        <v>2534897.92</v>
      </c>
      <c r="AG123" s="163">
        <v>2528328.54</v>
      </c>
      <c r="AH123" s="163">
        <v>2532623.12</v>
      </c>
      <c r="AI123" s="163">
        <v>2517883.4900000002</v>
      </c>
      <c r="AJ123" s="163">
        <v>2537883.17</v>
      </c>
      <c r="AK123" s="163">
        <v>2543247.84</v>
      </c>
      <c r="AL123" s="163">
        <v>2725589.12</v>
      </c>
      <c r="AM123" s="163">
        <v>2731782.47</v>
      </c>
      <c r="AN123" s="163">
        <v>2726753.03</v>
      </c>
      <c r="AO123" s="163">
        <v>2715133.36</v>
      </c>
      <c r="AP123" s="163">
        <v>2685800.75</v>
      </c>
      <c r="AQ123" s="163">
        <v>2695731.94</v>
      </c>
      <c r="AR123" s="163">
        <v>2688156.83</v>
      </c>
      <c r="AS123" s="163">
        <v>2698362.17</v>
      </c>
      <c r="AT123" s="163">
        <v>2695538.46</v>
      </c>
      <c r="AU123" s="163">
        <v>2698530.13</v>
      </c>
      <c r="AV123" s="163">
        <v>2712868.69</v>
      </c>
      <c r="AW123" s="163">
        <v>2678963.89</v>
      </c>
      <c r="AX123" s="163">
        <v>2881127.79</v>
      </c>
      <c r="AY123" s="163">
        <v>2884220.64</v>
      </c>
      <c r="AZ123" s="163">
        <v>2885477.71</v>
      </c>
      <c r="BA123" s="163">
        <v>2806305.95</v>
      </c>
      <c r="BB123" s="163">
        <v>2706387.5</v>
      </c>
      <c r="BC123" s="163">
        <v>2727131.46</v>
      </c>
      <c r="BD123" s="163">
        <v>2707613.49</v>
      </c>
      <c r="BE123" s="163">
        <v>2709115.34</v>
      </c>
      <c r="BF123" s="163">
        <v>2702704.39</v>
      </c>
      <c r="BG123" s="163">
        <v>2704507.73</v>
      </c>
      <c r="BH123" s="163">
        <v>2702358.66</v>
      </c>
      <c r="BI123" s="163">
        <v>2685662.23</v>
      </c>
      <c r="BJ123" s="163">
        <v>2884730.31</v>
      </c>
      <c r="BK123" s="163">
        <v>2871545.31</v>
      </c>
      <c r="BL123" s="163">
        <v>3047398.14</v>
      </c>
      <c r="BM123" s="163">
        <v>2968833.26</v>
      </c>
      <c r="BN123" s="163">
        <v>2931366.27</v>
      </c>
      <c r="BO123" s="163">
        <v>2907963.42</v>
      </c>
      <c r="BP123" s="163">
        <v>2863286.67</v>
      </c>
      <c r="BQ123" s="163">
        <v>2868711.93</v>
      </c>
      <c r="BR123" s="163">
        <v>2846804.47</v>
      </c>
      <c r="BS123" s="163">
        <v>2853585.55</v>
      </c>
      <c r="BT123" s="163">
        <v>2785230.28</v>
      </c>
      <c r="BU123" s="163">
        <v>2856522.46</v>
      </c>
      <c r="BV123" s="163">
        <v>3074698.81</v>
      </c>
      <c r="BW123" s="163">
        <v>3065884.64</v>
      </c>
      <c r="BX123" s="163">
        <v>3035607.81</v>
      </c>
      <c r="BY123" s="163">
        <v>2981636.98</v>
      </c>
      <c r="BZ123" s="163">
        <v>2949472.71</v>
      </c>
      <c r="CA123" s="163">
        <v>2914420.77</v>
      </c>
      <c r="CB123" s="163">
        <v>2955122.67</v>
      </c>
      <c r="CC123" s="163">
        <v>3017050.97</v>
      </c>
      <c r="CD123" s="163">
        <v>3017741.43</v>
      </c>
      <c r="CE123" s="163">
        <v>3007112.01</v>
      </c>
      <c r="CF123" s="163">
        <v>3039422.32</v>
      </c>
      <c r="CG123" s="163">
        <v>3065669.68</v>
      </c>
      <c r="CH123" s="163">
        <v>3290228.97</v>
      </c>
      <c r="CI123" s="163">
        <v>3277817.81</v>
      </c>
      <c r="CJ123" s="163">
        <v>3237878.87</v>
      </c>
      <c r="CK123" s="163">
        <v>3208927.07</v>
      </c>
      <c r="CL123" s="163">
        <v>3177923.51</v>
      </c>
      <c r="CM123" s="163">
        <v>3265234.2</v>
      </c>
      <c r="CN123" s="163">
        <v>3289735.79</v>
      </c>
      <c r="CO123" s="163">
        <v>3370157.54</v>
      </c>
      <c r="CP123" s="163">
        <v>3449867.3</v>
      </c>
      <c r="CQ123" s="163">
        <v>3507792.7</v>
      </c>
      <c r="CR123" s="163">
        <v>3572579</v>
      </c>
      <c r="CS123" s="163">
        <v>3613025.2</v>
      </c>
      <c r="CT123" s="163">
        <v>3939284.26</v>
      </c>
      <c r="CU123" s="163">
        <v>3921548.21</v>
      </c>
      <c r="CV123" s="163">
        <v>3752772.99</v>
      </c>
      <c r="CW123" s="163">
        <v>3769639.75</v>
      </c>
      <c r="CX123" s="163">
        <v>3708831.04</v>
      </c>
      <c r="CY123" s="163">
        <v>3657458.81</v>
      </c>
      <c r="CZ123" s="163">
        <v>3633399.35</v>
      </c>
      <c r="DA123" s="163">
        <v>3480527.59</v>
      </c>
      <c r="DB123" s="163">
        <v>3438173.9</v>
      </c>
      <c r="DC123" s="163">
        <v>3436599.49</v>
      </c>
      <c r="DD123" s="163">
        <v>3485938.45</v>
      </c>
      <c r="DE123" s="163">
        <v>3445167.11</v>
      </c>
      <c r="DF123" s="163">
        <f>VLOOKUP($C123,'[3]BS ACC'!$C$5:$DH$1006,108,FALSE)</f>
        <v>3873964.36</v>
      </c>
      <c r="DG123" s="163">
        <f>VLOOKUP($C123,'[3]BS ACC'!$C$5:$DH$1006,109,FALSE)</f>
        <v>3845173.79</v>
      </c>
      <c r="DH123" s="163">
        <f>VLOOKUP($C123,'[3]BS ACC'!$C$5:$DH$1006,110,FALSE)</f>
        <v>3792773.34</v>
      </c>
    </row>
    <row r="124" spans="1:112">
      <c r="A124" s="350" t="str">
        <f t="shared" si="1"/>
        <v>1823071</v>
      </c>
      <c r="B124" s="350" t="s">
        <v>1602</v>
      </c>
      <c r="C124" s="335" t="s">
        <v>1466</v>
      </c>
      <c r="D124" s="340"/>
      <c r="E124" s="340"/>
      <c r="F124" s="340"/>
      <c r="G124" s="340"/>
      <c r="H124" s="340"/>
      <c r="I124" s="340"/>
      <c r="J124" s="340"/>
      <c r="K124" s="340"/>
      <c r="L124" s="340"/>
      <c r="M124" s="340"/>
      <c r="N124" s="340"/>
      <c r="O124" s="340"/>
      <c r="P124" s="341"/>
      <c r="Q124" s="163"/>
      <c r="R124" s="163"/>
      <c r="S124" s="163"/>
      <c r="T124" s="163"/>
      <c r="U124" s="163"/>
      <c r="V124" s="163"/>
      <c r="W124" s="163"/>
      <c r="X124" s="163"/>
      <c r="Y124" s="163"/>
      <c r="Z124" s="163"/>
      <c r="AA124" s="163"/>
      <c r="AB124" s="163"/>
      <c r="AC124" s="163"/>
      <c r="AD124" s="163"/>
      <c r="AE124" s="163"/>
      <c r="AF124" s="163">
        <v>0</v>
      </c>
      <c r="AG124" s="163">
        <v>0</v>
      </c>
      <c r="AH124" s="163">
        <v>0</v>
      </c>
      <c r="AI124" s="163">
        <v>0</v>
      </c>
      <c r="AJ124" s="163">
        <v>0</v>
      </c>
      <c r="AK124" s="163">
        <v>0</v>
      </c>
      <c r="AL124" s="163">
        <v>0</v>
      </c>
      <c r="AM124" s="163">
        <v>0</v>
      </c>
      <c r="AN124" s="163">
        <v>0</v>
      </c>
      <c r="AO124" s="163">
        <v>0</v>
      </c>
      <c r="AP124" s="163">
        <v>0</v>
      </c>
      <c r="AQ124" s="163">
        <v>0</v>
      </c>
      <c r="AR124" s="163">
        <v>0</v>
      </c>
      <c r="AS124" s="163">
        <v>0</v>
      </c>
      <c r="AT124" s="163">
        <v>0</v>
      </c>
      <c r="AU124" s="163">
        <v>0</v>
      </c>
      <c r="AV124" s="163">
        <v>0</v>
      </c>
      <c r="AW124" s="163">
        <v>20892</v>
      </c>
      <c r="AX124" s="163">
        <v>374994</v>
      </c>
      <c r="AY124" s="163">
        <v>691185</v>
      </c>
      <c r="AZ124" s="163">
        <v>1030552</v>
      </c>
      <c r="BA124" s="163">
        <v>409479</v>
      </c>
      <c r="BB124" s="163">
        <v>0</v>
      </c>
      <c r="BC124" s="163">
        <v>0</v>
      </c>
      <c r="BD124" s="163">
        <v>0</v>
      </c>
      <c r="BE124" s="163">
        <v>0</v>
      </c>
      <c r="BF124" s="163">
        <v>0</v>
      </c>
      <c r="BG124" s="163">
        <v>0</v>
      </c>
      <c r="BH124" s="163">
        <v>0</v>
      </c>
      <c r="BI124" s="163">
        <v>0</v>
      </c>
      <c r="BJ124" s="163">
        <v>0</v>
      </c>
      <c r="BK124" s="163">
        <v>0</v>
      </c>
      <c r="BL124" s="163">
        <v>0</v>
      </c>
      <c r="BM124" s="163">
        <v>0</v>
      </c>
      <c r="BN124" s="163">
        <v>0</v>
      </c>
      <c r="BO124" s="163">
        <v>0</v>
      </c>
      <c r="BP124" s="163">
        <v>0</v>
      </c>
      <c r="BQ124" s="163">
        <v>0</v>
      </c>
      <c r="BR124" s="163">
        <v>296896</v>
      </c>
      <c r="BS124" s="163">
        <v>764380</v>
      </c>
      <c r="BT124" s="163">
        <v>1275141</v>
      </c>
      <c r="BU124" s="163">
        <v>1795596</v>
      </c>
      <c r="BV124" s="163">
        <v>2279551</v>
      </c>
      <c r="BW124" s="163">
        <v>2772764</v>
      </c>
      <c r="BX124" s="163">
        <v>3382549</v>
      </c>
      <c r="BY124" s="163">
        <v>2748249</v>
      </c>
      <c r="BZ124" s="163">
        <v>2185698</v>
      </c>
      <c r="CA124" s="163">
        <v>1786204</v>
      </c>
      <c r="CB124" s="163">
        <v>1888696</v>
      </c>
      <c r="CC124" s="163">
        <v>2168596</v>
      </c>
      <c r="CD124" s="163">
        <v>2473698</v>
      </c>
      <c r="CE124" s="163">
        <v>2911099</v>
      </c>
      <c r="CF124" s="163">
        <v>3383454</v>
      </c>
      <c r="CG124" s="163">
        <v>3892511</v>
      </c>
      <c r="CH124" s="163">
        <v>4349664</v>
      </c>
      <c r="CI124" s="163">
        <v>4644312</v>
      </c>
      <c r="CJ124" s="163">
        <v>4581212</v>
      </c>
      <c r="CK124" s="163">
        <v>3927879</v>
      </c>
      <c r="CL124" s="163">
        <v>3358080</v>
      </c>
      <c r="CM124" s="163">
        <v>2895960</v>
      </c>
      <c r="CN124" s="163">
        <v>2471088</v>
      </c>
      <c r="CO124" s="163">
        <v>2144007</v>
      </c>
      <c r="CP124" s="163">
        <v>1861783</v>
      </c>
      <c r="CQ124" s="163">
        <v>1609829</v>
      </c>
      <c r="CR124" s="163">
        <v>1407755</v>
      </c>
      <c r="CS124" s="163">
        <v>1200758</v>
      </c>
      <c r="CT124" s="163">
        <v>1033527</v>
      </c>
      <c r="CU124" s="163">
        <v>837170</v>
      </c>
      <c r="CV124" s="163">
        <v>563794</v>
      </c>
      <c r="CW124" s="163">
        <v>359095</v>
      </c>
      <c r="CX124" s="163">
        <v>131728</v>
      </c>
      <c r="CY124" s="163">
        <v>4678</v>
      </c>
      <c r="CZ124" s="163">
        <v>0</v>
      </c>
      <c r="DA124" s="163">
        <v>0</v>
      </c>
      <c r="DB124" s="163">
        <v>0</v>
      </c>
      <c r="DC124" s="163">
        <v>0</v>
      </c>
      <c r="DD124" s="163">
        <v>0</v>
      </c>
      <c r="DE124" s="163">
        <v>318938.61</v>
      </c>
      <c r="DF124" s="163">
        <f>VLOOKUP($C124,'[3]BS ACC'!$C$5:$DH$1006,108,FALSE)</f>
        <v>426783.61</v>
      </c>
      <c r="DG124" s="163">
        <f>VLOOKUP($C124,'[3]BS ACC'!$C$5:$DH$1006,109,FALSE)</f>
        <v>525660.61</v>
      </c>
      <c r="DH124" s="163">
        <f>VLOOKUP($C124,'[3]BS ACC'!$C$5:$DH$1006,110,FALSE)</f>
        <v>845047.11</v>
      </c>
    </row>
    <row r="125" spans="1:112">
      <c r="A125" s="350" t="str">
        <f t="shared" si="1"/>
        <v>1823100</v>
      </c>
      <c r="B125" s="350" t="s">
        <v>1603</v>
      </c>
      <c r="C125" s="335" t="s">
        <v>679</v>
      </c>
      <c r="D125" s="340">
        <v>1383953</v>
      </c>
      <c r="E125" s="340">
        <v>1383953</v>
      </c>
      <c r="F125" s="340">
        <v>1383953</v>
      </c>
      <c r="G125" s="340">
        <v>1383953</v>
      </c>
      <c r="H125" s="340">
        <v>1383953</v>
      </c>
      <c r="I125" s="340">
        <v>1383953</v>
      </c>
      <c r="J125" s="340">
        <v>1383953</v>
      </c>
      <c r="K125" s="340">
        <v>1383953</v>
      </c>
      <c r="L125" s="340">
        <v>1383953</v>
      </c>
      <c r="M125" s="340">
        <v>1383953</v>
      </c>
      <c r="N125" s="340">
        <v>1383953</v>
      </c>
      <c r="O125" s="340">
        <v>1383953</v>
      </c>
      <c r="P125" s="341">
        <v>1110915</v>
      </c>
      <c r="Q125" s="163">
        <v>1110915</v>
      </c>
      <c r="R125" s="163">
        <v>1110915</v>
      </c>
      <c r="S125" s="163">
        <v>1110915</v>
      </c>
      <c r="T125" s="163">
        <v>1110915</v>
      </c>
      <c r="U125" s="163">
        <v>1110915</v>
      </c>
      <c r="V125" s="163">
        <v>1110915</v>
      </c>
      <c r="W125" s="163">
        <v>1110915</v>
      </c>
      <c r="X125" s="163">
        <v>1110915</v>
      </c>
      <c r="Y125" s="163">
        <v>1110915</v>
      </c>
      <c r="Z125" s="163">
        <v>1110915</v>
      </c>
      <c r="AA125" s="163">
        <v>1110915</v>
      </c>
      <c r="AB125" s="163">
        <v>1110915</v>
      </c>
      <c r="AC125" s="163">
        <v>1086987</v>
      </c>
      <c r="AD125" s="163">
        <v>1086987</v>
      </c>
      <c r="AE125" s="163">
        <v>1086987</v>
      </c>
      <c r="AF125" s="163">
        <v>1086987</v>
      </c>
      <c r="AG125" s="163">
        <v>1086987</v>
      </c>
      <c r="AH125" s="163">
        <v>1086987</v>
      </c>
      <c r="AI125" s="163">
        <v>1086987</v>
      </c>
      <c r="AJ125" s="163">
        <v>1086987</v>
      </c>
      <c r="AK125" s="163">
        <v>1086987</v>
      </c>
      <c r="AL125" s="163">
        <v>1086987</v>
      </c>
      <c r="AM125" s="163">
        <v>1086987</v>
      </c>
      <c r="AN125" s="163">
        <v>1086987</v>
      </c>
      <c r="AO125" s="163">
        <v>1086987</v>
      </c>
      <c r="AP125" s="163">
        <v>1086987</v>
      </c>
      <c r="AQ125" s="163">
        <v>1086987</v>
      </c>
      <c r="AR125" s="163">
        <v>1086987</v>
      </c>
      <c r="AS125" s="163">
        <v>1086987</v>
      </c>
      <c r="AT125" s="163">
        <v>1086987</v>
      </c>
      <c r="AU125" s="163">
        <v>1086987</v>
      </c>
      <c r="AV125" s="163">
        <v>1086987</v>
      </c>
      <c r="AW125" s="163">
        <v>1086987</v>
      </c>
      <c r="AX125" s="163">
        <v>1086987</v>
      </c>
      <c r="AY125" s="163">
        <v>1086987</v>
      </c>
      <c r="AZ125" s="163">
        <v>1086987</v>
      </c>
      <c r="BA125" s="163">
        <v>1086987</v>
      </c>
      <c r="BB125" s="163">
        <v>1086987</v>
      </c>
      <c r="BC125" s="163">
        <v>1086987</v>
      </c>
      <c r="BD125" s="163">
        <v>1086987</v>
      </c>
      <c r="BE125" s="163">
        <v>1086987</v>
      </c>
      <c r="BF125" s="163">
        <v>1064492</v>
      </c>
      <c r="BG125" s="163">
        <v>1064492</v>
      </c>
      <c r="BH125" s="163">
        <v>1064492</v>
      </c>
      <c r="BI125" s="163">
        <v>1064492</v>
      </c>
      <c r="BJ125" s="163">
        <v>1064492</v>
      </c>
      <c r="BK125" s="163">
        <v>1064492</v>
      </c>
      <c r="BL125" s="163">
        <v>1064492</v>
      </c>
      <c r="BM125" s="163">
        <v>1064492</v>
      </c>
      <c r="BN125" s="163">
        <v>1064492</v>
      </c>
      <c r="BO125" s="163">
        <v>1132280</v>
      </c>
      <c r="BP125" s="163">
        <v>1132280</v>
      </c>
      <c r="BQ125" s="163">
        <v>1132280</v>
      </c>
      <c r="BR125" s="163">
        <v>1132280</v>
      </c>
      <c r="BS125" s="163">
        <v>1132280</v>
      </c>
      <c r="BT125" s="163">
        <v>1132280</v>
      </c>
      <c r="BU125" s="163">
        <v>1132280</v>
      </c>
      <c r="BV125" s="163">
        <v>1132280</v>
      </c>
      <c r="BW125" s="163">
        <v>1132280</v>
      </c>
      <c r="BX125" s="163">
        <v>1097401</v>
      </c>
      <c r="BY125" s="163">
        <v>1097401</v>
      </c>
      <c r="BZ125" s="163">
        <v>1097401</v>
      </c>
      <c r="CA125" s="163">
        <v>1167159</v>
      </c>
      <c r="CB125" s="163">
        <v>1167159</v>
      </c>
      <c r="CC125" s="163">
        <v>1167159</v>
      </c>
      <c r="CD125" s="163">
        <v>1167159</v>
      </c>
      <c r="CE125" s="163">
        <v>1167159</v>
      </c>
      <c r="CF125" s="163">
        <v>1167159</v>
      </c>
      <c r="CG125" s="163">
        <v>1167159</v>
      </c>
      <c r="CH125" s="163">
        <v>1167159</v>
      </c>
      <c r="CI125" s="163">
        <v>1167159</v>
      </c>
      <c r="CJ125" s="163">
        <v>924658</v>
      </c>
      <c r="CK125" s="163">
        <v>924658</v>
      </c>
      <c r="CL125" s="163">
        <v>924658</v>
      </c>
      <c r="CM125" s="163">
        <v>924658</v>
      </c>
      <c r="CN125" s="163">
        <v>0</v>
      </c>
      <c r="CO125" s="163">
        <v>0</v>
      </c>
      <c r="CP125" s="163">
        <v>0</v>
      </c>
      <c r="CQ125" s="163">
        <v>0</v>
      </c>
      <c r="CR125" s="163">
        <v>0</v>
      </c>
      <c r="CS125" s="163">
        <v>0</v>
      </c>
      <c r="CT125" s="163">
        <v>0</v>
      </c>
      <c r="CU125" s="163">
        <v>0</v>
      </c>
      <c r="CV125" s="163">
        <v>0</v>
      </c>
      <c r="CW125" s="163">
        <v>0</v>
      </c>
      <c r="CX125" s="163">
        <v>0</v>
      </c>
      <c r="CY125" s="163">
        <v>0</v>
      </c>
      <c r="CZ125" s="163">
        <v>0</v>
      </c>
      <c r="DA125" s="163">
        <v>0</v>
      </c>
      <c r="DB125" s="163">
        <v>-1143383</v>
      </c>
      <c r="DC125" s="163">
        <v>-1143383</v>
      </c>
      <c r="DD125" s="163">
        <v>-1143383</v>
      </c>
      <c r="DE125" s="163">
        <v>-1143383</v>
      </c>
      <c r="DF125" s="163">
        <f>VLOOKUP($C125,'[3]BS ACC'!$C$5:$DH$1006,108,FALSE)</f>
        <v>-1143383</v>
      </c>
      <c r="DG125" s="163">
        <f>VLOOKUP($C125,'[3]BS ACC'!$C$5:$DH$1006,109,FALSE)</f>
        <v>-1143383</v>
      </c>
      <c r="DH125" s="163">
        <f>VLOOKUP($C125,'[3]BS ACC'!$C$5:$DH$1006,110,FALSE)</f>
        <v>0</v>
      </c>
    </row>
    <row r="126" spans="1:112">
      <c r="A126" s="350" t="str">
        <f t="shared" si="1"/>
        <v>1823102</v>
      </c>
      <c r="B126" s="350" t="s">
        <v>885</v>
      </c>
      <c r="C126" s="335" t="s">
        <v>680</v>
      </c>
      <c r="D126" s="340">
        <v>0</v>
      </c>
      <c r="E126" s="340">
        <v>0</v>
      </c>
      <c r="F126" s="340">
        <v>0</v>
      </c>
      <c r="G126" s="340">
        <v>0</v>
      </c>
      <c r="H126" s="340">
        <v>0</v>
      </c>
      <c r="I126" s="340">
        <v>0</v>
      </c>
      <c r="J126" s="340">
        <v>0</v>
      </c>
      <c r="K126" s="340">
        <v>0</v>
      </c>
      <c r="L126" s="340">
        <v>0</v>
      </c>
      <c r="M126" s="340">
        <v>0</v>
      </c>
      <c r="N126" s="340">
        <v>0</v>
      </c>
      <c r="O126" s="340">
        <v>0</v>
      </c>
      <c r="P126" s="341">
        <v>0</v>
      </c>
      <c r="Q126" s="163">
        <v>0</v>
      </c>
      <c r="R126" s="163">
        <v>0</v>
      </c>
      <c r="S126" s="163">
        <v>0</v>
      </c>
      <c r="T126" s="163">
        <v>0</v>
      </c>
      <c r="U126" s="163">
        <v>0</v>
      </c>
      <c r="V126" s="163">
        <v>0</v>
      </c>
      <c r="W126" s="163">
        <v>0</v>
      </c>
      <c r="X126" s="163">
        <v>0</v>
      </c>
      <c r="Y126" s="163">
        <v>0</v>
      </c>
      <c r="Z126" s="163">
        <v>0</v>
      </c>
      <c r="AA126" s="163">
        <v>0</v>
      </c>
      <c r="AB126" s="163">
        <v>0</v>
      </c>
      <c r="AC126" s="163">
        <v>0</v>
      </c>
      <c r="AD126" s="163">
        <v>0</v>
      </c>
      <c r="AE126" s="163">
        <v>0</v>
      </c>
      <c r="AF126" s="163">
        <v>0</v>
      </c>
      <c r="AG126" s="163">
        <v>0</v>
      </c>
      <c r="AH126" s="163">
        <v>0</v>
      </c>
      <c r="AI126" s="163">
        <v>0</v>
      </c>
      <c r="AJ126" s="163">
        <v>0</v>
      </c>
      <c r="AK126" s="163">
        <v>0</v>
      </c>
      <c r="AL126" s="163">
        <v>0</v>
      </c>
      <c r="AM126" s="163">
        <v>0</v>
      </c>
      <c r="AN126" s="163">
        <v>0</v>
      </c>
      <c r="AO126" s="163">
        <v>0</v>
      </c>
      <c r="AP126" s="163">
        <v>0</v>
      </c>
      <c r="AQ126" s="163">
        <v>0</v>
      </c>
      <c r="AR126" s="163">
        <v>0</v>
      </c>
      <c r="AS126" s="163">
        <v>0</v>
      </c>
      <c r="AT126" s="163">
        <v>0</v>
      </c>
      <c r="AU126" s="163">
        <v>0</v>
      </c>
      <c r="AV126" s="163">
        <v>0</v>
      </c>
      <c r="AW126" s="163">
        <v>0</v>
      </c>
      <c r="AX126" s="163">
        <v>0</v>
      </c>
      <c r="AY126" s="163">
        <v>0</v>
      </c>
      <c r="AZ126" s="163">
        <v>0</v>
      </c>
      <c r="BA126" s="163">
        <v>0</v>
      </c>
      <c r="BB126" s="163">
        <v>0</v>
      </c>
      <c r="BC126" s="163">
        <v>0</v>
      </c>
      <c r="BD126" s="163">
        <v>0</v>
      </c>
      <c r="BE126" s="163">
        <v>0</v>
      </c>
      <c r="BF126" s="163">
        <v>0</v>
      </c>
      <c r="BG126" s="163">
        <v>0</v>
      </c>
      <c r="BH126" s="163">
        <v>0</v>
      </c>
      <c r="BI126" s="163">
        <v>0</v>
      </c>
      <c r="BJ126" s="163">
        <v>0</v>
      </c>
      <c r="BK126" s="163">
        <v>0</v>
      </c>
      <c r="BL126" s="163">
        <v>0</v>
      </c>
      <c r="BM126" s="163">
        <v>0</v>
      </c>
      <c r="BN126" s="163">
        <v>0</v>
      </c>
      <c r="BO126" s="163">
        <v>0</v>
      </c>
      <c r="BP126" s="163">
        <v>0</v>
      </c>
      <c r="BQ126" s="163">
        <v>0</v>
      </c>
      <c r="BR126" s="163">
        <v>0</v>
      </c>
      <c r="BS126" s="163">
        <v>0</v>
      </c>
      <c r="BT126" s="163">
        <v>0</v>
      </c>
      <c r="BU126" s="163">
        <v>0</v>
      </c>
      <c r="BV126" s="163">
        <v>0</v>
      </c>
      <c r="BW126" s="163">
        <v>0</v>
      </c>
      <c r="BX126" s="163">
        <v>0</v>
      </c>
      <c r="BY126" s="163">
        <v>0</v>
      </c>
      <c r="BZ126" s="163">
        <v>0</v>
      </c>
      <c r="CA126" s="163">
        <v>0</v>
      </c>
      <c r="CB126" s="163">
        <v>0</v>
      </c>
      <c r="CC126" s="163">
        <v>0</v>
      </c>
      <c r="CD126" s="163">
        <v>0</v>
      </c>
      <c r="CE126" s="163">
        <v>0</v>
      </c>
      <c r="CF126" s="163">
        <v>0</v>
      </c>
      <c r="CG126" s="163">
        <v>0</v>
      </c>
      <c r="CH126" s="163">
        <v>0</v>
      </c>
      <c r="CI126" s="163">
        <v>0</v>
      </c>
      <c r="CJ126" s="163">
        <v>410149.62</v>
      </c>
      <c r="CK126" s="163">
        <v>419664.57</v>
      </c>
      <c r="CL126" s="163">
        <v>420104.43</v>
      </c>
      <c r="CM126" s="163">
        <v>420119.03999999998</v>
      </c>
      <c r="CN126" s="163">
        <v>420119.03999999998</v>
      </c>
      <c r="CO126" s="163">
        <v>423476.42</v>
      </c>
      <c r="CP126" s="163">
        <v>423476.42</v>
      </c>
      <c r="CQ126" s="163">
        <v>423476.42</v>
      </c>
      <c r="CR126" s="163">
        <v>423476.42</v>
      </c>
      <c r="CS126" s="163">
        <v>423476.42</v>
      </c>
      <c r="CT126" s="163">
        <v>423476.42</v>
      </c>
      <c r="CU126" s="163">
        <v>423476.42</v>
      </c>
      <c r="CV126" s="163">
        <v>423476.42</v>
      </c>
      <c r="CW126" s="163">
        <v>423476.42</v>
      </c>
      <c r="CX126" s="163">
        <v>423476.42</v>
      </c>
      <c r="CY126" s="163">
        <v>423476.42</v>
      </c>
      <c r="CZ126" s="163">
        <v>423476.42</v>
      </c>
      <c r="DA126" s="163">
        <v>423476.42</v>
      </c>
      <c r="DB126" s="163">
        <v>423476.42</v>
      </c>
      <c r="DC126" s="163">
        <v>423476.42</v>
      </c>
      <c r="DD126" s="163">
        <v>423476.42</v>
      </c>
      <c r="DE126" s="163">
        <v>423476.42</v>
      </c>
      <c r="DF126" s="163">
        <f>VLOOKUP($C126,'[3]BS ACC'!$C$5:$DH$1006,108,FALSE)</f>
        <v>423476.42</v>
      </c>
      <c r="DG126" s="163">
        <f>VLOOKUP($C126,'[3]BS ACC'!$C$5:$DH$1006,109,FALSE)</f>
        <v>423476.42</v>
      </c>
      <c r="DH126" s="163">
        <f>VLOOKUP($C126,'[3]BS ACC'!$C$5:$DH$1006,110,FALSE)</f>
        <v>423476.42</v>
      </c>
    </row>
    <row r="127" spans="1:112">
      <c r="A127" s="350" t="str">
        <f t="shared" si="1"/>
        <v>1823105</v>
      </c>
      <c r="B127" s="350" t="s">
        <v>883</v>
      </c>
      <c r="C127" s="335" t="s">
        <v>681</v>
      </c>
      <c r="D127" s="340">
        <v>7120</v>
      </c>
      <c r="E127" s="340">
        <v>0</v>
      </c>
      <c r="F127" s="340">
        <v>0</v>
      </c>
      <c r="G127" s="340">
        <v>0</v>
      </c>
      <c r="H127" s="340">
        <v>0</v>
      </c>
      <c r="I127" s="340">
        <v>38715</v>
      </c>
      <c r="J127" s="340">
        <v>128875</v>
      </c>
      <c r="K127" s="340">
        <v>2468590</v>
      </c>
      <c r="L127" s="340">
        <v>1173365</v>
      </c>
      <c r="M127" s="340">
        <v>1223070</v>
      </c>
      <c r="N127" s="340">
        <v>2881650</v>
      </c>
      <c r="O127" s="340">
        <v>2014370</v>
      </c>
      <c r="P127" s="341">
        <v>7392240</v>
      </c>
      <c r="Q127" s="163">
        <v>7790065</v>
      </c>
      <c r="R127" s="163">
        <v>6393740</v>
      </c>
      <c r="S127" s="163">
        <v>6342450</v>
      </c>
      <c r="T127" s="163">
        <v>5637320</v>
      </c>
      <c r="U127" s="163">
        <v>5755855</v>
      </c>
      <c r="V127" s="163">
        <v>4880205</v>
      </c>
      <c r="W127" s="163">
        <v>4858745</v>
      </c>
      <c r="X127" s="163">
        <v>5110565</v>
      </c>
      <c r="Y127" s="163">
        <v>5737865</v>
      </c>
      <c r="Z127" s="163">
        <v>7190665</v>
      </c>
      <c r="AA127" s="163">
        <v>7185065</v>
      </c>
      <c r="AB127" s="163">
        <v>5677115</v>
      </c>
      <c r="AC127" s="163">
        <v>4421245</v>
      </c>
      <c r="AD127" s="163">
        <v>5029175</v>
      </c>
      <c r="AE127" s="163">
        <v>3317630</v>
      </c>
      <c r="AF127" s="163">
        <v>1955540</v>
      </c>
      <c r="AG127" s="163">
        <v>1672795</v>
      </c>
      <c r="AH127" s="163">
        <v>343605</v>
      </c>
      <c r="AI127" s="163">
        <v>334975</v>
      </c>
      <c r="AJ127" s="163">
        <v>322945</v>
      </c>
      <c r="AK127" s="163">
        <v>385945</v>
      </c>
      <c r="AL127" s="163">
        <v>407985</v>
      </c>
      <c r="AM127" s="163">
        <v>73985</v>
      </c>
      <c r="AN127" s="163">
        <v>0</v>
      </c>
      <c r="AO127" s="163">
        <v>55450</v>
      </c>
      <c r="AP127" s="163">
        <v>358425</v>
      </c>
      <c r="AQ127" s="163">
        <v>0</v>
      </c>
      <c r="AR127" s="163">
        <v>0</v>
      </c>
      <c r="AS127" s="163">
        <v>3400</v>
      </c>
      <c r="AT127" s="163">
        <v>20300</v>
      </c>
      <c r="AU127" s="163">
        <v>132075</v>
      </c>
      <c r="AV127" s="163">
        <v>4680</v>
      </c>
      <c r="AW127" s="163">
        <v>9230</v>
      </c>
      <c r="AX127" s="163">
        <v>138225</v>
      </c>
      <c r="AY127" s="163">
        <v>60555</v>
      </c>
      <c r="AZ127" s="163">
        <v>181065</v>
      </c>
      <c r="BA127" s="163">
        <v>1780</v>
      </c>
      <c r="BB127" s="163">
        <v>113125</v>
      </c>
      <c r="BC127" s="163">
        <v>32645</v>
      </c>
      <c r="BD127" s="163">
        <v>25690</v>
      </c>
      <c r="BE127" s="163">
        <v>0</v>
      </c>
      <c r="BF127" s="163">
        <v>280</v>
      </c>
      <c r="BG127" s="163">
        <v>11720</v>
      </c>
      <c r="BH127" s="163">
        <v>0</v>
      </c>
      <c r="BI127" s="163">
        <v>0</v>
      </c>
      <c r="BJ127" s="163">
        <v>0</v>
      </c>
      <c r="BK127" s="163">
        <v>0</v>
      </c>
      <c r="BL127" s="163">
        <v>0</v>
      </c>
      <c r="BM127" s="163">
        <v>0</v>
      </c>
      <c r="BN127" s="163">
        <v>0</v>
      </c>
      <c r="BO127" s="163">
        <v>0</v>
      </c>
      <c r="BP127" s="163">
        <v>0</v>
      </c>
      <c r="BQ127" s="163">
        <v>0</v>
      </c>
      <c r="BR127" s="163">
        <v>0</v>
      </c>
      <c r="BS127" s="163">
        <v>0</v>
      </c>
      <c r="BT127" s="163">
        <v>0</v>
      </c>
      <c r="BU127" s="163">
        <v>0</v>
      </c>
      <c r="BV127" s="163">
        <v>0</v>
      </c>
      <c r="BW127" s="163">
        <v>0</v>
      </c>
      <c r="BX127" s="163">
        <v>0</v>
      </c>
      <c r="BY127" s="163">
        <v>0</v>
      </c>
      <c r="BZ127" s="163">
        <v>0</v>
      </c>
      <c r="CA127" s="163">
        <v>0</v>
      </c>
      <c r="CB127" s="163">
        <v>0</v>
      </c>
      <c r="CC127" s="163">
        <v>0</v>
      </c>
      <c r="CD127" s="163">
        <v>0</v>
      </c>
      <c r="CE127" s="163">
        <v>0</v>
      </c>
      <c r="CF127" s="163">
        <v>0</v>
      </c>
      <c r="CG127" s="163">
        <v>0</v>
      </c>
      <c r="CH127" s="163">
        <v>0</v>
      </c>
      <c r="CI127" s="163">
        <v>0</v>
      </c>
      <c r="CJ127" s="163">
        <v>0</v>
      </c>
      <c r="CK127" s="163">
        <v>0</v>
      </c>
      <c r="CL127" s="163">
        <v>0</v>
      </c>
      <c r="CM127" s="163">
        <v>0</v>
      </c>
      <c r="CN127" s="163">
        <v>0</v>
      </c>
      <c r="CO127" s="163">
        <v>0</v>
      </c>
      <c r="CP127" s="163">
        <v>0</v>
      </c>
      <c r="CQ127" s="163">
        <v>0</v>
      </c>
      <c r="CR127" s="163">
        <v>0</v>
      </c>
      <c r="CS127" s="163">
        <v>0</v>
      </c>
      <c r="CT127" s="163">
        <v>0</v>
      </c>
      <c r="CU127" s="163">
        <v>0</v>
      </c>
      <c r="CV127" s="163">
        <v>0</v>
      </c>
      <c r="CW127" s="163">
        <v>0</v>
      </c>
      <c r="CX127" s="163">
        <v>0</v>
      </c>
      <c r="CY127" s="163">
        <v>0</v>
      </c>
      <c r="CZ127" s="163">
        <v>0</v>
      </c>
      <c r="DA127" s="163">
        <v>0</v>
      </c>
      <c r="DB127" s="163">
        <v>0</v>
      </c>
      <c r="DC127" s="163">
        <v>0</v>
      </c>
      <c r="DD127" s="163">
        <v>0</v>
      </c>
      <c r="DE127" s="163">
        <v>0</v>
      </c>
      <c r="DF127" s="163">
        <f>VLOOKUP($C127,'[3]BS ACC'!$C$5:$DH$1006,108,FALSE)</f>
        <v>0</v>
      </c>
      <c r="DG127" s="163">
        <f>VLOOKUP($C127,'[3]BS ACC'!$C$5:$DH$1006,109,FALSE)</f>
        <v>0</v>
      </c>
      <c r="DH127" s="163">
        <f>VLOOKUP($C127,'[3]BS ACC'!$C$5:$DH$1006,110,FALSE)</f>
        <v>0</v>
      </c>
    </row>
    <row r="128" spans="1:112" s="148" customFormat="1">
      <c r="A128" s="1261">
        <f t="shared" si="1"/>
        <v>1823113</v>
      </c>
      <c r="B128" s="1260">
        <v>1823113</v>
      </c>
      <c r="C128" s="1265" t="s">
        <v>2910</v>
      </c>
      <c r="D128" s="1262"/>
      <c r="E128" s="1262"/>
      <c r="F128" s="1262"/>
      <c r="G128" s="1262"/>
      <c r="H128" s="1262"/>
      <c r="I128" s="1262"/>
      <c r="J128" s="1262"/>
      <c r="K128" s="1262"/>
      <c r="L128" s="1262"/>
      <c r="M128" s="1262"/>
      <c r="N128" s="1262"/>
      <c r="O128" s="1262"/>
      <c r="P128" s="1263"/>
      <c r="Q128" s="1264"/>
      <c r="R128" s="1264"/>
      <c r="S128" s="1264"/>
      <c r="T128" s="1264"/>
      <c r="U128" s="1264"/>
      <c r="V128" s="1264"/>
      <c r="W128" s="1264"/>
      <c r="X128" s="1264"/>
      <c r="Y128" s="1264"/>
      <c r="Z128" s="1264"/>
      <c r="AA128" s="1264"/>
      <c r="AB128" s="1264"/>
      <c r="AC128" s="1264"/>
      <c r="AD128" s="1264"/>
      <c r="AE128" s="1264"/>
      <c r="AF128" s="1264"/>
      <c r="AG128" s="1264"/>
      <c r="AH128" s="1264"/>
      <c r="AI128" s="1264"/>
      <c r="AJ128" s="1264"/>
      <c r="AK128" s="1264"/>
      <c r="AL128" s="1264"/>
      <c r="AM128" s="1264"/>
      <c r="AN128" s="1264"/>
      <c r="AO128" s="1264"/>
      <c r="AP128" s="1264"/>
      <c r="AQ128" s="1264"/>
      <c r="AR128" s="1264"/>
      <c r="AS128" s="1264"/>
      <c r="AT128" s="1264"/>
      <c r="AU128" s="1264"/>
      <c r="AV128" s="1264"/>
      <c r="AW128" s="1264"/>
      <c r="AX128" s="1264"/>
      <c r="AY128" s="1264"/>
      <c r="AZ128" s="1264"/>
      <c r="BA128" s="1264"/>
      <c r="BB128" s="1264"/>
      <c r="BC128" s="1264"/>
      <c r="BD128" s="1264"/>
      <c r="BE128" s="1264"/>
      <c r="BF128" s="1264"/>
      <c r="BG128" s="1264"/>
      <c r="BH128" s="1264"/>
      <c r="BI128" s="1264"/>
      <c r="BJ128" s="1264"/>
      <c r="BK128" s="1264"/>
      <c r="BL128" s="1264"/>
      <c r="BM128" s="1264"/>
      <c r="BN128" s="1264"/>
      <c r="BO128" s="1264"/>
      <c r="BP128" s="1264"/>
      <c r="BQ128" s="1264"/>
      <c r="BR128" s="1264"/>
      <c r="BS128" s="1264"/>
      <c r="BT128" s="1264"/>
      <c r="BU128" s="1264"/>
      <c r="BV128" s="1264"/>
      <c r="BW128" s="1264"/>
      <c r="BX128" s="1264"/>
      <c r="BY128" s="1264"/>
      <c r="BZ128" s="1264"/>
      <c r="CA128" s="1264"/>
      <c r="CB128" s="1264"/>
      <c r="CC128" s="1264"/>
      <c r="CD128" s="1264"/>
      <c r="CE128" s="1264"/>
      <c r="CF128" s="1264"/>
      <c r="CG128" s="1264"/>
      <c r="CH128" s="1264"/>
      <c r="CI128" s="1264"/>
      <c r="CJ128" s="1264"/>
      <c r="CK128" s="1264"/>
      <c r="CL128" s="1264"/>
      <c r="CM128" s="1264"/>
      <c r="CN128" s="1264"/>
      <c r="CO128" s="1264"/>
      <c r="CP128" s="1264"/>
      <c r="CQ128" s="1264"/>
      <c r="CR128" s="1264"/>
      <c r="CS128" s="1264"/>
      <c r="CT128" s="1264"/>
      <c r="CU128" s="1264"/>
      <c r="CV128" s="1264"/>
      <c r="CW128" s="1264"/>
      <c r="CX128" s="1264"/>
      <c r="CY128" s="1264">
        <v>0</v>
      </c>
      <c r="CZ128" s="1264">
        <v>0</v>
      </c>
      <c r="DA128" s="1264">
        <v>0</v>
      </c>
      <c r="DB128" s="1264">
        <v>0</v>
      </c>
      <c r="DC128" s="1264">
        <v>0</v>
      </c>
      <c r="DD128" s="1264">
        <v>0</v>
      </c>
      <c r="DE128" s="1264">
        <v>0</v>
      </c>
      <c r="DF128" s="1264">
        <f>VLOOKUP($C128,'[3]BS ACC'!$C$5:$DH$1006,108,FALSE)</f>
        <v>0</v>
      </c>
      <c r="DG128" s="1264">
        <f>VLOOKUP($C128,'[3]BS ACC'!$C$5:$DH$1006,109,FALSE)</f>
        <v>0</v>
      </c>
      <c r="DH128" s="1264">
        <f>VLOOKUP($C128,'[3]BS ACC'!$C$5:$DH$1006,110,FALSE)</f>
        <v>746637.03</v>
      </c>
    </row>
    <row r="129" spans="1:112">
      <c r="A129" s="350" t="str">
        <f t="shared" si="1"/>
        <v>1823200</v>
      </c>
      <c r="B129" s="350" t="s">
        <v>1519</v>
      </c>
      <c r="C129" s="335" t="s">
        <v>682</v>
      </c>
      <c r="D129" s="340">
        <v>15895212</v>
      </c>
      <c r="E129" s="340">
        <v>15895212</v>
      </c>
      <c r="F129" s="340">
        <v>15895212</v>
      </c>
      <c r="G129" s="340">
        <v>15515120</v>
      </c>
      <c r="H129" s="340">
        <v>15515120</v>
      </c>
      <c r="I129" s="340">
        <v>15515120</v>
      </c>
      <c r="J129" s="340">
        <v>15123910</v>
      </c>
      <c r="K129" s="340">
        <v>15123910</v>
      </c>
      <c r="L129" s="340">
        <v>15123910</v>
      </c>
      <c r="M129" s="340">
        <v>14917721</v>
      </c>
      <c r="N129" s="340">
        <v>14917721</v>
      </c>
      <c r="O129" s="340">
        <v>14917721</v>
      </c>
      <c r="P129" s="341">
        <v>18221183</v>
      </c>
      <c r="Q129" s="163">
        <v>18221183</v>
      </c>
      <c r="R129" s="163">
        <v>18221183</v>
      </c>
      <c r="S129" s="163">
        <v>18583829</v>
      </c>
      <c r="T129" s="163">
        <v>18583829</v>
      </c>
      <c r="U129" s="163">
        <v>18583829</v>
      </c>
      <c r="V129" s="163">
        <v>17393031</v>
      </c>
      <c r="W129" s="163">
        <v>17393031</v>
      </c>
      <c r="X129" s="163">
        <v>17086508</v>
      </c>
      <c r="Y129" s="163">
        <v>16672431</v>
      </c>
      <c r="Z129" s="163">
        <v>16672431</v>
      </c>
      <c r="AA129" s="163">
        <v>16672431</v>
      </c>
      <c r="AB129" s="163">
        <v>23999401</v>
      </c>
      <c r="AC129" s="163">
        <v>24023329</v>
      </c>
      <c r="AD129" s="163">
        <v>24023329</v>
      </c>
      <c r="AE129" s="163">
        <v>23669511</v>
      </c>
      <c r="AF129" s="163">
        <v>23669511</v>
      </c>
      <c r="AG129" s="163">
        <v>23678786</v>
      </c>
      <c r="AH129" s="163">
        <v>23206944</v>
      </c>
      <c r="AI129" s="163">
        <v>23206944</v>
      </c>
      <c r="AJ129" s="163">
        <v>23206944</v>
      </c>
      <c r="AK129" s="163">
        <v>31647791</v>
      </c>
      <c r="AL129" s="163">
        <v>31647791</v>
      </c>
      <c r="AM129" s="163">
        <v>31647791</v>
      </c>
      <c r="AN129" s="163">
        <v>27242785</v>
      </c>
      <c r="AO129" s="163">
        <v>27242785</v>
      </c>
      <c r="AP129" s="163">
        <v>27242785</v>
      </c>
      <c r="AQ129" s="163">
        <v>26819238</v>
      </c>
      <c r="AR129" s="163">
        <v>26819238</v>
      </c>
      <c r="AS129" s="163">
        <v>26819238</v>
      </c>
      <c r="AT129" s="163">
        <v>27584550</v>
      </c>
      <c r="AU129" s="163">
        <v>27584550</v>
      </c>
      <c r="AV129" s="163">
        <v>27584550</v>
      </c>
      <c r="AW129" s="163">
        <v>27125023</v>
      </c>
      <c r="AX129" s="163">
        <v>27125023</v>
      </c>
      <c r="AY129" s="163">
        <v>27125023</v>
      </c>
      <c r="AZ129" s="163">
        <v>25198875</v>
      </c>
      <c r="BA129" s="163">
        <v>25198875</v>
      </c>
      <c r="BB129" s="163">
        <v>25198875</v>
      </c>
      <c r="BC129" s="163">
        <v>24715716</v>
      </c>
      <c r="BD129" s="163">
        <v>24715716</v>
      </c>
      <c r="BE129" s="163">
        <v>24715716</v>
      </c>
      <c r="BF129" s="163">
        <v>24200293</v>
      </c>
      <c r="BG129" s="163">
        <v>24200293</v>
      </c>
      <c r="BH129" s="163">
        <v>24200293</v>
      </c>
      <c r="BI129" s="163">
        <v>23713049</v>
      </c>
      <c r="BJ129" s="163">
        <v>23713049</v>
      </c>
      <c r="BK129" s="163">
        <v>23713049</v>
      </c>
      <c r="BL129" s="163">
        <v>29672933</v>
      </c>
      <c r="BM129" s="163">
        <v>29672933</v>
      </c>
      <c r="BN129" s="163">
        <v>29672933</v>
      </c>
      <c r="BO129" s="163">
        <v>29208554</v>
      </c>
      <c r="BP129" s="163">
        <v>29208554</v>
      </c>
      <c r="BQ129" s="163">
        <v>29208554</v>
      </c>
      <c r="BR129" s="163">
        <v>28773624</v>
      </c>
      <c r="BS129" s="163">
        <v>28773624</v>
      </c>
      <c r="BT129" s="163">
        <v>28773624</v>
      </c>
      <c r="BU129" s="163">
        <v>28357863</v>
      </c>
      <c r="BV129" s="163">
        <v>28357863</v>
      </c>
      <c r="BW129" s="163">
        <v>28357863</v>
      </c>
      <c r="BX129" s="163">
        <v>28607784</v>
      </c>
      <c r="BY129" s="163">
        <v>28607784</v>
      </c>
      <c r="BZ129" s="163">
        <v>28607784</v>
      </c>
      <c r="CA129" s="163">
        <v>28018094</v>
      </c>
      <c r="CB129" s="163">
        <v>28018094</v>
      </c>
      <c r="CC129" s="163">
        <v>28018094</v>
      </c>
      <c r="CD129" s="163">
        <v>27469279</v>
      </c>
      <c r="CE129" s="163">
        <v>27469279</v>
      </c>
      <c r="CF129" s="163">
        <v>27469279</v>
      </c>
      <c r="CG129" s="163">
        <v>26934905</v>
      </c>
      <c r="CH129" s="163">
        <v>26934905</v>
      </c>
      <c r="CI129" s="163">
        <v>26934905</v>
      </c>
      <c r="CJ129" s="163">
        <v>33407291</v>
      </c>
      <c r="CK129" s="163">
        <v>33407291</v>
      </c>
      <c r="CL129" s="163">
        <v>33407291</v>
      </c>
      <c r="CM129" s="163">
        <v>32711380</v>
      </c>
      <c r="CN129" s="163">
        <v>33636038</v>
      </c>
      <c r="CO129" s="163">
        <v>33636038</v>
      </c>
      <c r="CP129" s="163">
        <v>32940127</v>
      </c>
      <c r="CQ129" s="163">
        <v>32940127</v>
      </c>
      <c r="CR129" s="163">
        <v>32940127</v>
      </c>
      <c r="CS129" s="163">
        <v>31860403</v>
      </c>
      <c r="CT129" s="163">
        <v>31860403</v>
      </c>
      <c r="CU129" s="163">
        <v>31860403</v>
      </c>
      <c r="CV129" s="163">
        <v>25456886</v>
      </c>
      <c r="CW129" s="163">
        <v>25456886</v>
      </c>
      <c r="CX129" s="163">
        <v>25456886</v>
      </c>
      <c r="CY129" s="163">
        <v>24902562</v>
      </c>
      <c r="CZ129" s="163">
        <v>24902562</v>
      </c>
      <c r="DA129" s="163">
        <v>24902562</v>
      </c>
      <c r="DB129" s="163">
        <v>24338045</v>
      </c>
      <c r="DC129" s="163">
        <v>24338045</v>
      </c>
      <c r="DD129" s="163">
        <v>24338045</v>
      </c>
      <c r="DE129" s="163">
        <v>23778625</v>
      </c>
      <c r="DF129" s="163">
        <f>VLOOKUP($C129,'[3]BS ACC'!$C$5:$DH$1006,108,FALSE)</f>
        <v>23778625</v>
      </c>
      <c r="DG129" s="163">
        <f>VLOOKUP($C129,'[3]BS ACC'!$C$5:$DH$1006,109,FALSE)</f>
        <v>23778625</v>
      </c>
      <c r="DH129" s="163">
        <f>VLOOKUP($C129,'[3]BS ACC'!$C$5:$DH$1006,110,FALSE)</f>
        <v>30211330</v>
      </c>
    </row>
    <row r="130" spans="1:112">
      <c r="A130" s="350" t="str">
        <f>+B130</f>
        <v>1823202</v>
      </c>
      <c r="B130" s="350" t="s">
        <v>2584</v>
      </c>
      <c r="C130" s="955" t="s">
        <v>2540</v>
      </c>
      <c r="D130" s="163">
        <v>0</v>
      </c>
      <c r="E130" s="163">
        <v>0</v>
      </c>
      <c r="F130" s="163">
        <v>0</v>
      </c>
      <c r="G130" s="163">
        <v>0</v>
      </c>
      <c r="H130" s="163">
        <v>0</v>
      </c>
      <c r="I130" s="163">
        <v>0</v>
      </c>
      <c r="J130" s="163">
        <v>0</v>
      </c>
      <c r="K130" s="163">
        <v>0</v>
      </c>
      <c r="L130" s="163">
        <v>0</v>
      </c>
      <c r="M130" s="163">
        <v>0</v>
      </c>
      <c r="N130" s="163">
        <v>0</v>
      </c>
      <c r="O130" s="163">
        <v>0</v>
      </c>
      <c r="P130" s="163">
        <v>0</v>
      </c>
      <c r="Q130" s="163">
        <v>0</v>
      </c>
      <c r="R130" s="163">
        <v>0</v>
      </c>
      <c r="S130" s="163">
        <v>0</v>
      </c>
      <c r="T130" s="163">
        <v>0</v>
      </c>
      <c r="U130" s="163">
        <v>0</v>
      </c>
      <c r="V130" s="163">
        <v>0</v>
      </c>
      <c r="W130" s="163">
        <v>0</v>
      </c>
      <c r="X130" s="163">
        <v>0</v>
      </c>
      <c r="Y130" s="163">
        <v>0</v>
      </c>
      <c r="Z130" s="163">
        <v>0</v>
      </c>
      <c r="AA130" s="163">
        <v>0</v>
      </c>
      <c r="AB130" s="163">
        <v>0</v>
      </c>
      <c r="AC130" s="163">
        <v>0</v>
      </c>
      <c r="AD130" s="163">
        <v>0</v>
      </c>
      <c r="AE130" s="163">
        <v>0</v>
      </c>
      <c r="AF130" s="163">
        <v>0</v>
      </c>
      <c r="AG130" s="163">
        <v>0</v>
      </c>
      <c r="AH130" s="163">
        <v>0</v>
      </c>
      <c r="AI130" s="163">
        <v>0</v>
      </c>
      <c r="AJ130" s="163">
        <v>0</v>
      </c>
      <c r="AK130" s="163">
        <v>0</v>
      </c>
      <c r="AL130" s="163">
        <v>0</v>
      </c>
      <c r="AM130" s="163">
        <v>0</v>
      </c>
      <c r="AN130" s="163">
        <v>0</v>
      </c>
      <c r="AO130" s="163">
        <v>0</v>
      </c>
      <c r="AP130" s="163">
        <v>0</v>
      </c>
      <c r="AQ130" s="163">
        <v>0</v>
      </c>
      <c r="AR130" s="163">
        <v>0</v>
      </c>
      <c r="AS130" s="163">
        <v>0</v>
      </c>
      <c r="AT130" s="163">
        <v>0</v>
      </c>
      <c r="AU130" s="163">
        <v>0</v>
      </c>
      <c r="AV130" s="163">
        <v>0</v>
      </c>
      <c r="AW130" s="163">
        <v>0</v>
      </c>
      <c r="AX130" s="163">
        <v>0</v>
      </c>
      <c r="AY130" s="163">
        <v>0</v>
      </c>
      <c r="AZ130" s="163">
        <v>0</v>
      </c>
      <c r="BA130" s="163">
        <v>0</v>
      </c>
      <c r="BB130" s="163">
        <v>0</v>
      </c>
      <c r="BC130" s="163">
        <v>0</v>
      </c>
      <c r="BD130" s="163">
        <v>0</v>
      </c>
      <c r="BE130" s="163">
        <v>0</v>
      </c>
      <c r="BF130" s="163">
        <v>0</v>
      </c>
      <c r="BG130" s="163">
        <v>0</v>
      </c>
      <c r="BH130" s="163">
        <v>0</v>
      </c>
      <c r="BI130" s="163">
        <v>0</v>
      </c>
      <c r="BJ130" s="163">
        <v>0</v>
      </c>
      <c r="BK130" s="163">
        <v>0</v>
      </c>
      <c r="BL130" s="163">
        <v>0</v>
      </c>
      <c r="BM130" s="163">
        <v>0</v>
      </c>
      <c r="BN130" s="163">
        <v>0</v>
      </c>
      <c r="BO130" s="163">
        <v>0</v>
      </c>
      <c r="BP130" s="163">
        <v>0</v>
      </c>
      <c r="BQ130" s="163">
        <v>0</v>
      </c>
      <c r="BR130" s="163">
        <v>0</v>
      </c>
      <c r="BS130" s="163">
        <v>0</v>
      </c>
      <c r="BT130" s="163">
        <v>0</v>
      </c>
      <c r="BU130" s="163">
        <v>0</v>
      </c>
      <c r="BV130" s="163">
        <v>0</v>
      </c>
      <c r="BW130" s="163">
        <v>0</v>
      </c>
      <c r="BX130" s="163">
        <v>0</v>
      </c>
      <c r="BY130" s="163">
        <v>0</v>
      </c>
      <c r="BZ130" s="163">
        <v>0</v>
      </c>
      <c r="CA130" s="163">
        <v>0</v>
      </c>
      <c r="CB130" s="163">
        <v>0</v>
      </c>
      <c r="CC130" s="163">
        <v>0</v>
      </c>
      <c r="CD130" s="163">
        <v>0</v>
      </c>
      <c r="CE130" s="163">
        <v>0</v>
      </c>
      <c r="CF130" s="163">
        <v>550933</v>
      </c>
      <c r="CG130" s="163">
        <v>1385701</v>
      </c>
      <c r="CH130" s="163">
        <v>0</v>
      </c>
      <c r="CI130" s="163">
        <v>0</v>
      </c>
      <c r="CJ130" s="163">
        <v>820299.24</v>
      </c>
      <c r="CK130" s="163">
        <v>805150.02</v>
      </c>
      <c r="CL130" s="163">
        <v>770191.46</v>
      </c>
      <c r="CM130" s="163">
        <v>735208.32</v>
      </c>
      <c r="CN130" s="163">
        <v>700198.40000000002</v>
      </c>
      <c r="CO130" s="163">
        <v>670504.31999999995</v>
      </c>
      <c r="CP130" s="163">
        <v>635214.62</v>
      </c>
      <c r="CQ130" s="163">
        <v>599924.92000000004</v>
      </c>
      <c r="CR130" s="163">
        <v>564635.22</v>
      </c>
      <c r="CS130" s="163">
        <v>529345.52</v>
      </c>
      <c r="CT130" s="163">
        <v>494055.82</v>
      </c>
      <c r="CU130" s="163">
        <v>458766.12</v>
      </c>
      <c r="CV130" s="163">
        <v>423476.42</v>
      </c>
      <c r="CW130" s="163">
        <v>388186.72</v>
      </c>
      <c r="CX130" s="163">
        <v>352897.02</v>
      </c>
      <c r="CY130" s="163">
        <v>317607.32</v>
      </c>
      <c r="CZ130" s="163">
        <v>282317.62</v>
      </c>
      <c r="DA130" s="163">
        <v>247027.92</v>
      </c>
      <c r="DB130" s="163">
        <v>211738.22</v>
      </c>
      <c r="DC130" s="163">
        <v>176448.52</v>
      </c>
      <c r="DD130" s="163">
        <v>141158.82</v>
      </c>
      <c r="DE130" s="163">
        <v>105869.12</v>
      </c>
      <c r="DF130" s="163">
        <f>VLOOKUP($C130,'[3]BS ACC'!$C$5:$DH$1006,108,FALSE)</f>
        <v>70579.42</v>
      </c>
      <c r="DG130" s="163">
        <f>VLOOKUP($C130,'[3]BS ACC'!$C$5:$DH$1006,109,FALSE)</f>
        <v>35289.72</v>
      </c>
      <c r="DH130" s="163">
        <f>VLOOKUP($C130,'[3]BS ACC'!$C$5:$DH$1006,110,FALSE)</f>
        <v>0</v>
      </c>
    </row>
    <row r="131" spans="1:112">
      <c r="A131" s="350" t="str">
        <f t="shared" si="1"/>
        <v>1823205</v>
      </c>
      <c r="B131" s="350" t="s">
        <v>884</v>
      </c>
      <c r="C131" s="335" t="s">
        <v>683</v>
      </c>
      <c r="D131" s="340">
        <v>28565</v>
      </c>
      <c r="E131" s="340">
        <v>16835</v>
      </c>
      <c r="F131" s="340">
        <v>11185</v>
      </c>
      <c r="G131" s="340">
        <v>18490</v>
      </c>
      <c r="H131" s="340">
        <v>800</v>
      </c>
      <c r="I131" s="340">
        <v>48975</v>
      </c>
      <c r="J131" s="340">
        <v>58765</v>
      </c>
      <c r="K131" s="340">
        <v>780035</v>
      </c>
      <c r="L131" s="340">
        <v>352435</v>
      </c>
      <c r="M131" s="340">
        <v>394780</v>
      </c>
      <c r="N131" s="340">
        <v>777250</v>
      </c>
      <c r="O131" s="340">
        <v>688750</v>
      </c>
      <c r="P131" s="341">
        <v>1593250</v>
      </c>
      <c r="Q131" s="163">
        <v>1274880</v>
      </c>
      <c r="R131" s="163">
        <v>1033930</v>
      </c>
      <c r="S131" s="163">
        <v>879585</v>
      </c>
      <c r="T131" s="163">
        <v>655185</v>
      </c>
      <c r="U131" s="163">
        <v>552090</v>
      </c>
      <c r="V131" s="163">
        <v>314130</v>
      </c>
      <c r="W131" s="163">
        <v>359700</v>
      </c>
      <c r="X131" s="163">
        <v>439100</v>
      </c>
      <c r="Y131" s="163">
        <v>594500</v>
      </c>
      <c r="Z131" s="163">
        <v>853370</v>
      </c>
      <c r="AA131" s="163">
        <v>880470</v>
      </c>
      <c r="AB131" s="163">
        <v>668840</v>
      </c>
      <c r="AC131" s="163">
        <v>461890</v>
      </c>
      <c r="AD131" s="163">
        <v>401870</v>
      </c>
      <c r="AE131" s="163">
        <v>134920</v>
      </c>
      <c r="AF131" s="163">
        <v>16250</v>
      </c>
      <c r="AG131" s="163">
        <v>15820</v>
      </c>
      <c r="AH131" s="163">
        <v>0</v>
      </c>
      <c r="AI131" s="163">
        <v>0</v>
      </c>
      <c r="AJ131" s="163">
        <v>480</v>
      </c>
      <c r="AK131" s="163">
        <v>18320</v>
      </c>
      <c r="AL131" s="163">
        <v>530</v>
      </c>
      <c r="AM131" s="163">
        <v>2800</v>
      </c>
      <c r="AN131" s="163">
        <v>0</v>
      </c>
      <c r="AO131" s="163">
        <v>600</v>
      </c>
      <c r="AP131" s="163">
        <v>31075</v>
      </c>
      <c r="AQ131" s="163">
        <v>4235</v>
      </c>
      <c r="AR131" s="163">
        <v>0</v>
      </c>
      <c r="AS131" s="163">
        <v>520</v>
      </c>
      <c r="AT131" s="163">
        <v>1980</v>
      </c>
      <c r="AU131" s="163">
        <v>7950</v>
      </c>
      <c r="AV131" s="163">
        <v>0</v>
      </c>
      <c r="AW131" s="163">
        <v>0</v>
      </c>
      <c r="AX131" s="163">
        <v>0</v>
      </c>
      <c r="AY131" s="163">
        <v>0</v>
      </c>
      <c r="AZ131" s="163">
        <v>0</v>
      </c>
      <c r="BA131" s="163">
        <v>0</v>
      </c>
      <c r="BB131" s="163">
        <v>0</v>
      </c>
      <c r="BC131" s="163">
        <v>0</v>
      </c>
      <c r="BD131" s="163">
        <v>0</v>
      </c>
      <c r="BE131" s="163">
        <v>0</v>
      </c>
      <c r="BF131" s="163">
        <v>0</v>
      </c>
      <c r="BG131" s="163">
        <v>0</v>
      </c>
      <c r="BH131" s="163">
        <v>0</v>
      </c>
      <c r="BI131" s="163">
        <v>0</v>
      </c>
      <c r="BJ131" s="163">
        <v>0</v>
      </c>
      <c r="BK131" s="163">
        <v>0</v>
      </c>
      <c r="BL131" s="163">
        <v>0</v>
      </c>
      <c r="BM131" s="163">
        <v>0</v>
      </c>
      <c r="BN131" s="163">
        <v>0</v>
      </c>
      <c r="BO131" s="163">
        <v>0</v>
      </c>
      <c r="BP131" s="163">
        <v>0</v>
      </c>
      <c r="BQ131" s="163">
        <v>0</v>
      </c>
      <c r="BR131" s="163">
        <v>0</v>
      </c>
      <c r="BS131" s="163">
        <v>0</v>
      </c>
      <c r="BT131" s="163">
        <v>0</v>
      </c>
      <c r="BU131" s="163">
        <v>0</v>
      </c>
      <c r="BV131" s="163">
        <v>0</v>
      </c>
      <c r="BW131" s="163">
        <v>0</v>
      </c>
      <c r="BX131" s="163">
        <v>0</v>
      </c>
      <c r="BY131" s="163">
        <v>0</v>
      </c>
      <c r="BZ131" s="163">
        <v>0</v>
      </c>
      <c r="CA131" s="163">
        <v>0</v>
      </c>
      <c r="CB131" s="163">
        <v>0</v>
      </c>
      <c r="CC131" s="163">
        <v>0</v>
      </c>
      <c r="CD131" s="163">
        <v>0</v>
      </c>
      <c r="CE131" s="163">
        <v>0</v>
      </c>
      <c r="CF131" s="163">
        <v>0</v>
      </c>
      <c r="CG131" s="163">
        <v>0</v>
      </c>
      <c r="CH131" s="163">
        <v>0</v>
      </c>
      <c r="CI131" s="163">
        <v>0</v>
      </c>
      <c r="CJ131" s="163">
        <v>0</v>
      </c>
      <c r="CK131" s="163">
        <v>0</v>
      </c>
      <c r="CL131" s="163">
        <v>0</v>
      </c>
      <c r="CM131" s="163">
        <v>0</v>
      </c>
      <c r="CN131" s="163">
        <v>0</v>
      </c>
      <c r="CO131" s="163">
        <v>0</v>
      </c>
      <c r="CP131" s="163">
        <v>0</v>
      </c>
      <c r="CQ131" s="163">
        <v>0</v>
      </c>
      <c r="CR131" s="163">
        <v>0</v>
      </c>
      <c r="CS131" s="163">
        <v>0</v>
      </c>
      <c r="CT131" s="163">
        <v>0</v>
      </c>
      <c r="CU131" s="163">
        <v>0</v>
      </c>
      <c r="CV131" s="163">
        <v>0</v>
      </c>
      <c r="CW131" s="163">
        <v>0</v>
      </c>
      <c r="CX131" s="163">
        <v>0</v>
      </c>
      <c r="CY131" s="163">
        <v>0</v>
      </c>
      <c r="CZ131" s="163">
        <v>0</v>
      </c>
      <c r="DA131" s="163">
        <v>0</v>
      </c>
      <c r="DB131" s="163">
        <v>0</v>
      </c>
      <c r="DC131" s="163">
        <v>0</v>
      </c>
      <c r="DD131" s="163">
        <v>0</v>
      </c>
      <c r="DE131" s="163">
        <v>0</v>
      </c>
      <c r="DF131" s="163">
        <f>VLOOKUP($C131,'[3]BS ACC'!$C$5:$DH$1006,108,FALSE)</f>
        <v>0</v>
      </c>
      <c r="DG131" s="163">
        <f>VLOOKUP($C131,'[3]BS ACC'!$C$5:$DH$1006,109,FALSE)</f>
        <v>0</v>
      </c>
      <c r="DH131" s="163">
        <f>VLOOKUP($C131,'[3]BS ACC'!$C$5:$DH$1006,110,FALSE)</f>
        <v>0</v>
      </c>
    </row>
    <row r="132" spans="1:112">
      <c r="A132" s="350" t="str">
        <f>+B132</f>
        <v>1823208</v>
      </c>
      <c r="B132" s="350" t="s">
        <v>2467</v>
      </c>
      <c r="C132" s="335" t="s">
        <v>2468</v>
      </c>
      <c r="D132" s="340"/>
      <c r="E132" s="340"/>
      <c r="F132" s="340"/>
      <c r="G132" s="340"/>
      <c r="H132" s="340"/>
      <c r="I132" s="340"/>
      <c r="J132" s="340"/>
      <c r="K132" s="340"/>
      <c r="L132" s="340"/>
      <c r="M132" s="340"/>
      <c r="N132" s="340"/>
      <c r="O132" s="340"/>
      <c r="P132" s="341"/>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c r="BI132" s="163"/>
      <c r="BJ132" s="163"/>
      <c r="BK132" s="163"/>
      <c r="BL132" s="163"/>
      <c r="BM132" s="163"/>
      <c r="BN132" s="163"/>
      <c r="BO132" s="163"/>
      <c r="BP132" s="163"/>
      <c r="BQ132" s="163"/>
      <c r="BR132" s="163"/>
      <c r="BS132" s="163"/>
      <c r="BT132" s="163"/>
      <c r="BU132" s="163"/>
      <c r="BV132" s="163"/>
      <c r="BW132" s="163"/>
      <c r="BX132" s="163"/>
      <c r="BY132" s="163">
        <v>0</v>
      </c>
      <c r="BZ132" s="163">
        <v>242507.17</v>
      </c>
      <c r="CA132" s="163">
        <v>242768.72</v>
      </c>
      <c r="CB132" s="163">
        <v>237603.43</v>
      </c>
      <c r="CC132" s="163">
        <v>232438.14</v>
      </c>
      <c r="CD132" s="163">
        <v>227272.85</v>
      </c>
      <c r="CE132" s="163">
        <v>222107.56</v>
      </c>
      <c r="CF132" s="163">
        <v>216942.27</v>
      </c>
      <c r="CG132" s="163">
        <v>211776.98</v>
      </c>
      <c r="CH132" s="163">
        <v>206611.69</v>
      </c>
      <c r="CI132" s="163">
        <v>201446.39999999999</v>
      </c>
      <c r="CJ132" s="163">
        <v>196281.11</v>
      </c>
      <c r="CK132" s="163">
        <v>191115.82</v>
      </c>
      <c r="CL132" s="163">
        <v>185950.53</v>
      </c>
      <c r="CM132" s="163">
        <v>180785.24</v>
      </c>
      <c r="CN132" s="163">
        <v>175619.95</v>
      </c>
      <c r="CO132" s="163">
        <v>170454.66</v>
      </c>
      <c r="CP132" s="163">
        <v>165289.37</v>
      </c>
      <c r="CQ132" s="163">
        <v>160124.07999999999</v>
      </c>
      <c r="CR132" s="163">
        <v>154958.79</v>
      </c>
      <c r="CS132" s="163">
        <v>149793.5</v>
      </c>
      <c r="CT132" s="163">
        <v>144628.21</v>
      </c>
      <c r="CU132" s="163">
        <v>139462.92000000001</v>
      </c>
      <c r="CV132" s="163">
        <v>134297.63</v>
      </c>
      <c r="CW132" s="163">
        <v>129132.34</v>
      </c>
      <c r="CX132" s="163">
        <v>123967.05</v>
      </c>
      <c r="CY132" s="163">
        <v>118801.76</v>
      </c>
      <c r="CZ132" s="163">
        <v>113636.47</v>
      </c>
      <c r="DA132" s="163">
        <v>108471.18</v>
      </c>
      <c r="DB132" s="163">
        <v>103305.89</v>
      </c>
      <c r="DC132" s="163">
        <v>98140.6</v>
      </c>
      <c r="DD132" s="163">
        <v>92975.31</v>
      </c>
      <c r="DE132" s="163">
        <v>87810.02</v>
      </c>
      <c r="DF132" s="163">
        <f>VLOOKUP($C132,'[3]BS ACC'!$C$5:$DH$1006,108,FALSE)</f>
        <v>82644.73</v>
      </c>
      <c r="DG132" s="163">
        <f>VLOOKUP($C132,'[3]BS ACC'!$C$5:$DH$1006,109,FALSE)</f>
        <v>77479.44</v>
      </c>
      <c r="DH132" s="163">
        <f>VLOOKUP($C132,'[3]BS ACC'!$C$5:$DH$1006,110,FALSE)</f>
        <v>72314.149999999994</v>
      </c>
    </row>
    <row r="133" spans="1:112">
      <c r="A133" s="350">
        <f>+B133</f>
        <v>1823210</v>
      </c>
      <c r="B133" s="350">
        <v>1823210</v>
      </c>
      <c r="C133" s="955" t="s">
        <v>2541</v>
      </c>
      <c r="D133" s="163">
        <v>0</v>
      </c>
      <c r="E133" s="163">
        <v>0</v>
      </c>
      <c r="F133" s="163">
        <v>0</v>
      </c>
      <c r="G133" s="163">
        <v>0</v>
      </c>
      <c r="H133" s="163">
        <v>0</v>
      </c>
      <c r="I133" s="163">
        <v>0</v>
      </c>
      <c r="J133" s="163">
        <v>0</v>
      </c>
      <c r="K133" s="163">
        <v>0</v>
      </c>
      <c r="L133" s="163">
        <v>0</v>
      </c>
      <c r="M133" s="163">
        <v>0</v>
      </c>
      <c r="N133" s="163">
        <v>0</v>
      </c>
      <c r="O133" s="163">
        <v>0</v>
      </c>
      <c r="P133" s="163">
        <v>0</v>
      </c>
      <c r="Q133" s="163">
        <v>0</v>
      </c>
      <c r="R133" s="163">
        <v>0</v>
      </c>
      <c r="S133" s="163">
        <v>0</v>
      </c>
      <c r="T133" s="163">
        <v>0</v>
      </c>
      <c r="U133" s="163">
        <v>0</v>
      </c>
      <c r="V133" s="163">
        <v>0</v>
      </c>
      <c r="W133" s="163">
        <v>0</v>
      </c>
      <c r="X133" s="163">
        <v>0</v>
      </c>
      <c r="Y133" s="163">
        <v>0</v>
      </c>
      <c r="Z133" s="163">
        <v>0</v>
      </c>
      <c r="AA133" s="163">
        <v>0</v>
      </c>
      <c r="AB133" s="163">
        <v>0</v>
      </c>
      <c r="AC133" s="163">
        <v>0</v>
      </c>
      <c r="AD133" s="163">
        <v>0</v>
      </c>
      <c r="AE133" s="163">
        <v>0</v>
      </c>
      <c r="AF133" s="163">
        <v>0</v>
      </c>
      <c r="AG133" s="163">
        <v>0</v>
      </c>
      <c r="AH133" s="163">
        <v>0</v>
      </c>
      <c r="AI133" s="163">
        <v>0</v>
      </c>
      <c r="AJ133" s="163">
        <v>0</v>
      </c>
      <c r="AK133" s="163">
        <v>0</v>
      </c>
      <c r="AL133" s="163">
        <v>0</v>
      </c>
      <c r="AM133" s="163">
        <v>0</v>
      </c>
      <c r="AN133" s="163">
        <v>0</v>
      </c>
      <c r="AO133" s="163">
        <v>0</v>
      </c>
      <c r="AP133" s="163">
        <v>0</v>
      </c>
      <c r="AQ133" s="163">
        <v>0</v>
      </c>
      <c r="AR133" s="163">
        <v>0</v>
      </c>
      <c r="AS133" s="163">
        <v>0</v>
      </c>
      <c r="AT133" s="163">
        <v>0</v>
      </c>
      <c r="AU133" s="163">
        <v>0</v>
      </c>
      <c r="AV133" s="163">
        <v>0</v>
      </c>
      <c r="AW133" s="163">
        <v>0</v>
      </c>
      <c r="AX133" s="163">
        <v>0</v>
      </c>
      <c r="AY133" s="163">
        <v>0</v>
      </c>
      <c r="AZ133" s="163">
        <v>0</v>
      </c>
      <c r="BA133" s="163">
        <v>0</v>
      </c>
      <c r="BB133" s="163">
        <v>0</v>
      </c>
      <c r="BC133" s="163">
        <v>0</v>
      </c>
      <c r="BD133" s="163">
        <v>0</v>
      </c>
      <c r="BE133" s="163">
        <v>0</v>
      </c>
      <c r="BF133" s="163">
        <v>0</v>
      </c>
      <c r="BG133" s="163">
        <v>0</v>
      </c>
      <c r="BH133" s="163">
        <v>0</v>
      </c>
      <c r="BI133" s="163">
        <v>0</v>
      </c>
      <c r="BJ133" s="163">
        <v>0</v>
      </c>
      <c r="BK133" s="163">
        <v>0</v>
      </c>
      <c r="BL133" s="163">
        <v>0</v>
      </c>
      <c r="BM133" s="163">
        <v>0</v>
      </c>
      <c r="BN133" s="163">
        <v>0</v>
      </c>
      <c r="BO133" s="163">
        <v>0</v>
      </c>
      <c r="BP133" s="163">
        <v>0</v>
      </c>
      <c r="BQ133" s="163">
        <v>0</v>
      </c>
      <c r="BR133" s="163">
        <v>0</v>
      </c>
      <c r="BS133" s="163">
        <v>0</v>
      </c>
      <c r="BT133" s="163">
        <v>0</v>
      </c>
      <c r="BU133" s="163">
        <v>0</v>
      </c>
      <c r="BV133" s="163">
        <v>0</v>
      </c>
      <c r="BW133" s="163">
        <v>0</v>
      </c>
      <c r="BX133" s="163">
        <v>0</v>
      </c>
      <c r="BY133" s="163">
        <v>0</v>
      </c>
      <c r="BZ133" s="163">
        <v>0</v>
      </c>
      <c r="CA133" s="163">
        <v>0</v>
      </c>
      <c r="CB133" s="163">
        <v>0</v>
      </c>
      <c r="CC133" s="163">
        <v>0</v>
      </c>
      <c r="CD133" s="163">
        <v>0</v>
      </c>
      <c r="CE133" s="163">
        <v>0</v>
      </c>
      <c r="CF133" s="163">
        <v>550933</v>
      </c>
      <c r="CG133" s="163">
        <v>1385701</v>
      </c>
      <c r="CH133" s="163">
        <v>0</v>
      </c>
      <c r="CI133" s="163">
        <v>0</v>
      </c>
      <c r="CJ133" s="163">
        <v>52454.57</v>
      </c>
      <c r="CK133" s="163">
        <v>15526.83</v>
      </c>
      <c r="CL133" s="163">
        <v>281372.48</v>
      </c>
      <c r="CM133" s="163">
        <v>289771.12</v>
      </c>
      <c r="CN133" s="163">
        <v>289771.12</v>
      </c>
      <c r="CO133" s="163">
        <v>309148.39</v>
      </c>
      <c r="CP133" s="163">
        <v>318939.01</v>
      </c>
      <c r="CQ133" s="163">
        <v>327079.78999999998</v>
      </c>
      <c r="CR133" s="163">
        <v>335363.44</v>
      </c>
      <c r="CS133" s="163">
        <v>349833.47</v>
      </c>
      <c r="CT133" s="163">
        <v>366468.03</v>
      </c>
      <c r="CU133" s="163">
        <v>378525.37</v>
      </c>
      <c r="CV133" s="163">
        <v>384858.52</v>
      </c>
      <c r="CW133" s="163">
        <v>407631.05</v>
      </c>
      <c r="CX133" s="163">
        <v>407631.05</v>
      </c>
      <c r="CY133" s="163">
        <v>428358.92</v>
      </c>
      <c r="CZ133" s="163">
        <v>428358.92</v>
      </c>
      <c r="DA133" s="163">
        <v>449578.52</v>
      </c>
      <c r="DB133" s="163">
        <v>455078.41</v>
      </c>
      <c r="DC133" s="163">
        <v>457004.91</v>
      </c>
      <c r="DD133" s="163">
        <v>458447.89</v>
      </c>
      <c r="DE133" s="163">
        <v>463416.02</v>
      </c>
      <c r="DF133" s="163">
        <f>VLOOKUP($C133,'[3]BS ACC'!$C$5:$DH$1006,108,FALSE)</f>
        <v>463416.02</v>
      </c>
      <c r="DG133" s="163">
        <f>VLOOKUP($C133,'[3]BS ACC'!$C$5:$DH$1006,109,FALSE)</f>
        <v>465458.8</v>
      </c>
      <c r="DH133" s="163">
        <f>VLOOKUP($C133,'[3]BS ACC'!$C$5:$DH$1006,110,FALSE)</f>
        <v>468317.65</v>
      </c>
    </row>
    <row r="134" spans="1:112">
      <c r="A134" s="350" t="str">
        <f t="shared" si="1"/>
        <v>1823245</v>
      </c>
      <c r="B134" s="350" t="s">
        <v>1520</v>
      </c>
      <c r="C134" s="335" t="s">
        <v>684</v>
      </c>
      <c r="D134" s="340">
        <v>0</v>
      </c>
      <c r="E134" s="340">
        <v>0</v>
      </c>
      <c r="F134" s="340">
        <v>0</v>
      </c>
      <c r="G134" s="340">
        <v>0</v>
      </c>
      <c r="H134" s="340">
        <v>0</v>
      </c>
      <c r="I134" s="340">
        <v>0</v>
      </c>
      <c r="J134" s="340">
        <v>0</v>
      </c>
      <c r="K134" s="340">
        <v>0</v>
      </c>
      <c r="L134" s="340">
        <v>0</v>
      </c>
      <c r="M134" s="340">
        <v>18363858.07</v>
      </c>
      <c r="N134" s="340">
        <v>18398728.989999998</v>
      </c>
      <c r="O134" s="340">
        <v>18714715.5</v>
      </c>
      <c r="P134" s="341">
        <v>19130863.190000001</v>
      </c>
      <c r="Q134" s="163">
        <v>19251652.18</v>
      </c>
      <c r="R134" s="163">
        <v>19262416.27</v>
      </c>
      <c r="S134" s="163">
        <v>19451612.09</v>
      </c>
      <c r="T134" s="163">
        <v>17884838.050000001</v>
      </c>
      <c r="U134" s="163">
        <v>18061345.780000001</v>
      </c>
      <c r="V134" s="163">
        <v>18529860.780000001</v>
      </c>
      <c r="W134" s="163">
        <v>18717871.989999998</v>
      </c>
      <c r="X134" s="163">
        <v>18579730.59</v>
      </c>
      <c r="Y134" s="163">
        <v>18707942.100000001</v>
      </c>
      <c r="Z134" s="163">
        <v>18783072.949999999</v>
      </c>
      <c r="AA134" s="163">
        <v>19275563.25</v>
      </c>
      <c r="AB134" s="163">
        <v>19351996.600000001</v>
      </c>
      <c r="AC134" s="163">
        <v>19491791.550000001</v>
      </c>
      <c r="AD134" s="163">
        <v>19532169.859999999</v>
      </c>
      <c r="AE134" s="163">
        <v>19717101.739999998</v>
      </c>
      <c r="AF134" s="163">
        <v>19704177.66</v>
      </c>
      <c r="AG134" s="163">
        <v>19746889.16</v>
      </c>
      <c r="AH134" s="163">
        <v>20157733.030000001</v>
      </c>
      <c r="AI134" s="163">
        <v>20153677.280000001</v>
      </c>
      <c r="AJ134" s="163">
        <v>20268550.670000002</v>
      </c>
      <c r="AK134" s="163">
        <v>20253233.98</v>
      </c>
      <c r="AL134" s="163">
        <v>20268550.670000002</v>
      </c>
      <c r="AM134" s="163">
        <v>20414253.219999999</v>
      </c>
      <c r="AN134" s="163">
        <v>0</v>
      </c>
      <c r="AO134" s="163">
        <v>0</v>
      </c>
      <c r="AP134" s="163">
        <v>0</v>
      </c>
      <c r="AQ134" s="163">
        <v>0</v>
      </c>
      <c r="AR134" s="163">
        <v>0</v>
      </c>
      <c r="AS134" s="163">
        <v>0</v>
      </c>
      <c r="AT134" s="163">
        <v>0</v>
      </c>
      <c r="AU134" s="163">
        <v>0</v>
      </c>
      <c r="AV134" s="163">
        <v>0</v>
      </c>
      <c r="AW134" s="163">
        <v>0</v>
      </c>
      <c r="AX134" s="163">
        <v>0</v>
      </c>
      <c r="AY134" s="163">
        <v>0</v>
      </c>
      <c r="AZ134" s="163">
        <v>0</v>
      </c>
      <c r="BA134" s="163">
        <v>0</v>
      </c>
      <c r="BB134" s="163">
        <v>0</v>
      </c>
      <c r="BC134" s="163">
        <v>0</v>
      </c>
      <c r="BD134" s="163">
        <v>0</v>
      </c>
      <c r="BE134" s="163">
        <v>0</v>
      </c>
      <c r="BF134" s="163">
        <v>0</v>
      </c>
      <c r="BG134" s="163">
        <v>0</v>
      </c>
      <c r="BH134" s="163">
        <v>0</v>
      </c>
      <c r="BI134" s="163">
        <v>-5792407.5999999996</v>
      </c>
      <c r="BJ134" s="163">
        <v>-6058410.2699999996</v>
      </c>
      <c r="BK134" s="163">
        <v>-5508665.9900000002</v>
      </c>
      <c r="BL134" s="163">
        <v>-5357398.4000000004</v>
      </c>
      <c r="BM134" s="163">
        <v>-5328923.1500000004</v>
      </c>
      <c r="BN134" s="163">
        <v>-4528553.33</v>
      </c>
      <c r="BO134" s="163">
        <v>-4422102.78</v>
      </c>
      <c r="BP134" s="163">
        <v>-3869786.44</v>
      </c>
      <c r="BQ134" s="163">
        <v>-3204277.27</v>
      </c>
      <c r="BR134" s="163">
        <v>-2531784.81</v>
      </c>
      <c r="BS134" s="163">
        <v>-2449547.7200000002</v>
      </c>
      <c r="BT134" s="163">
        <v>-2315438.73</v>
      </c>
      <c r="BU134" s="163">
        <v>-1380738.59</v>
      </c>
      <c r="BV134" s="163">
        <v>-1310066.8999999999</v>
      </c>
      <c r="BW134" s="163">
        <v>-620994.42000000004</v>
      </c>
      <c r="BX134" s="163">
        <v>-844525.4</v>
      </c>
      <c r="BY134" s="163">
        <v>-869902.38</v>
      </c>
      <c r="BZ134" s="163">
        <v>-769991.41</v>
      </c>
      <c r="CA134" s="163">
        <v>-482200.19</v>
      </c>
      <c r="CB134" s="163">
        <v>-447003.73</v>
      </c>
      <c r="CC134" s="163">
        <v>-39999.08</v>
      </c>
      <c r="CD134" s="163">
        <v>180217.56</v>
      </c>
      <c r="CE134" s="163">
        <v>464250.37</v>
      </c>
      <c r="CF134" s="163">
        <v>760879.01</v>
      </c>
      <c r="CG134" s="163">
        <v>1217000.7</v>
      </c>
      <c r="CH134" s="163">
        <v>1968452.79</v>
      </c>
      <c r="CI134" s="163">
        <v>3632193.85</v>
      </c>
      <c r="CJ134" s="163">
        <v>3601049.9</v>
      </c>
      <c r="CK134" s="163">
        <v>3490704.27</v>
      </c>
      <c r="CL134" s="163">
        <v>4316685.58</v>
      </c>
      <c r="CM134" s="163">
        <v>4851445.0199999996</v>
      </c>
      <c r="CN134" s="163">
        <v>4845790.1500000004</v>
      </c>
      <c r="CO134" s="163">
        <v>6315838.2199999997</v>
      </c>
      <c r="CP134" s="163">
        <v>6336294.9900000002</v>
      </c>
      <c r="CQ134" s="163">
        <v>7145631.7400000002</v>
      </c>
      <c r="CR134" s="163">
        <v>7108228.9699999997</v>
      </c>
      <c r="CS134" s="163">
        <v>5678650.8300000001</v>
      </c>
      <c r="CT134" s="163">
        <v>5843976.3399999999</v>
      </c>
      <c r="CU134" s="163">
        <v>6782716.7699999996</v>
      </c>
      <c r="CV134" s="163">
        <v>6887518.2800000003</v>
      </c>
      <c r="CW134" s="163">
        <v>7029960.8499999996</v>
      </c>
      <c r="CX134" s="163">
        <v>7050080.9900000002</v>
      </c>
      <c r="CY134" s="163">
        <v>7027005.9800000004</v>
      </c>
      <c r="CZ134" s="163">
        <v>7040378.4199999999</v>
      </c>
      <c r="DA134" s="163">
        <v>7219712.9299999997</v>
      </c>
      <c r="DB134" s="163">
        <v>7229800.8600000003</v>
      </c>
      <c r="DC134" s="163">
        <v>7180908.0899999999</v>
      </c>
      <c r="DD134" s="163">
        <v>7178924.9699999997</v>
      </c>
      <c r="DE134" s="163">
        <v>7237771.9100000001</v>
      </c>
      <c r="DF134" s="163">
        <f>VLOOKUP($C134,'[3]BS ACC'!$C$5:$DH$1006,108,FALSE)</f>
        <v>6522778.4800000004</v>
      </c>
      <c r="DG134" s="163">
        <f>VLOOKUP($C134,'[3]BS ACC'!$C$5:$DH$1006,109,FALSE)</f>
        <v>6494591.1299999999</v>
      </c>
      <c r="DH134" s="163">
        <f>VLOOKUP($C134,'[3]BS ACC'!$C$5:$DH$1006,110,FALSE)</f>
        <v>6592523.5300000003</v>
      </c>
    </row>
    <row r="135" spans="1:112">
      <c r="A135" s="350" t="str">
        <f>+B135</f>
        <v>1823325</v>
      </c>
      <c r="B135" s="350" t="s">
        <v>2522</v>
      </c>
      <c r="C135" s="955" t="s">
        <v>2523</v>
      </c>
      <c r="D135" s="163">
        <v>0</v>
      </c>
      <c r="E135" s="163">
        <v>0</v>
      </c>
      <c r="F135" s="163">
        <v>0</v>
      </c>
      <c r="G135" s="163">
        <v>0</v>
      </c>
      <c r="H135" s="163">
        <v>0</v>
      </c>
      <c r="I135" s="163">
        <v>0</v>
      </c>
      <c r="J135" s="163">
        <v>0</v>
      </c>
      <c r="K135" s="163">
        <v>0</v>
      </c>
      <c r="L135" s="163">
        <v>0</v>
      </c>
      <c r="M135" s="163">
        <v>0</v>
      </c>
      <c r="N135" s="163">
        <v>0</v>
      </c>
      <c r="O135" s="163">
        <v>0</v>
      </c>
      <c r="P135" s="163">
        <v>0</v>
      </c>
      <c r="Q135" s="163">
        <v>0</v>
      </c>
      <c r="R135" s="163">
        <v>0</v>
      </c>
      <c r="S135" s="163">
        <v>0</v>
      </c>
      <c r="T135" s="163">
        <v>0</v>
      </c>
      <c r="U135" s="163">
        <v>0</v>
      </c>
      <c r="V135" s="163">
        <v>0</v>
      </c>
      <c r="W135" s="163">
        <v>0</v>
      </c>
      <c r="X135" s="163">
        <v>0</v>
      </c>
      <c r="Y135" s="163">
        <v>0</v>
      </c>
      <c r="Z135" s="163">
        <v>0</v>
      </c>
      <c r="AA135" s="163">
        <v>0</v>
      </c>
      <c r="AB135" s="163">
        <v>0</v>
      </c>
      <c r="AC135" s="163">
        <v>0</v>
      </c>
      <c r="AD135" s="163">
        <v>0</v>
      </c>
      <c r="AE135" s="163">
        <v>0</v>
      </c>
      <c r="AF135" s="163">
        <v>0</v>
      </c>
      <c r="AG135" s="163">
        <v>0</v>
      </c>
      <c r="AH135" s="163">
        <v>0</v>
      </c>
      <c r="AI135" s="163">
        <v>0</v>
      </c>
      <c r="AJ135" s="163">
        <v>0</v>
      </c>
      <c r="AK135" s="163">
        <v>0</v>
      </c>
      <c r="AL135" s="163">
        <v>0</v>
      </c>
      <c r="AM135" s="163">
        <v>0</v>
      </c>
      <c r="AN135" s="163">
        <v>0</v>
      </c>
      <c r="AO135" s="163">
        <v>0</v>
      </c>
      <c r="AP135" s="163">
        <v>0</v>
      </c>
      <c r="AQ135" s="163">
        <v>0</v>
      </c>
      <c r="AR135" s="163">
        <v>0</v>
      </c>
      <c r="AS135" s="163">
        <v>0</v>
      </c>
      <c r="AT135" s="163">
        <v>0</v>
      </c>
      <c r="AU135" s="163">
        <v>0</v>
      </c>
      <c r="AV135" s="163">
        <v>0</v>
      </c>
      <c r="AW135" s="163">
        <v>0</v>
      </c>
      <c r="AX135" s="163">
        <v>0</v>
      </c>
      <c r="AY135" s="163">
        <v>0</v>
      </c>
      <c r="AZ135" s="163">
        <v>0</v>
      </c>
      <c r="BA135" s="163">
        <v>0</v>
      </c>
      <c r="BB135" s="163">
        <v>0</v>
      </c>
      <c r="BC135" s="163">
        <v>0</v>
      </c>
      <c r="BD135" s="163">
        <v>0</v>
      </c>
      <c r="BE135" s="163">
        <v>0</v>
      </c>
      <c r="BF135" s="163">
        <v>0</v>
      </c>
      <c r="BG135" s="163">
        <v>0</v>
      </c>
      <c r="BH135" s="163">
        <v>0</v>
      </c>
      <c r="BI135" s="163">
        <v>0</v>
      </c>
      <c r="BJ135" s="163">
        <v>0</v>
      </c>
      <c r="BK135" s="163">
        <v>0</v>
      </c>
      <c r="BL135" s="163">
        <v>0</v>
      </c>
      <c r="BM135" s="163">
        <v>0</v>
      </c>
      <c r="BN135" s="163">
        <v>0</v>
      </c>
      <c r="BO135" s="163">
        <v>0</v>
      </c>
      <c r="BP135" s="163">
        <v>0</v>
      </c>
      <c r="BQ135" s="163">
        <v>0</v>
      </c>
      <c r="BR135" s="163">
        <v>0</v>
      </c>
      <c r="BS135" s="163">
        <v>0</v>
      </c>
      <c r="BT135" s="163">
        <v>0</v>
      </c>
      <c r="BU135" s="163">
        <v>0</v>
      </c>
      <c r="BV135" s="163">
        <v>0</v>
      </c>
      <c r="BW135" s="163">
        <v>0</v>
      </c>
      <c r="BX135" s="163">
        <v>0</v>
      </c>
      <c r="BY135" s="163">
        <v>0</v>
      </c>
      <c r="BZ135" s="163">
        <v>0</v>
      </c>
      <c r="CA135" s="163">
        <v>0</v>
      </c>
      <c r="CB135" s="163">
        <v>0</v>
      </c>
      <c r="CC135" s="163">
        <v>0</v>
      </c>
      <c r="CD135" s="163">
        <v>0</v>
      </c>
      <c r="CE135" s="163">
        <v>0</v>
      </c>
      <c r="CF135" s="163">
        <v>550933</v>
      </c>
      <c r="CG135" s="163">
        <v>1385701</v>
      </c>
      <c r="CH135" s="163">
        <v>0</v>
      </c>
      <c r="CI135" s="163">
        <v>0</v>
      </c>
      <c r="CJ135" s="163">
        <v>0</v>
      </c>
      <c r="CK135" s="163">
        <v>0</v>
      </c>
      <c r="CL135" s="163">
        <v>0</v>
      </c>
      <c r="CM135" s="163">
        <v>0</v>
      </c>
      <c r="CN135" s="163">
        <v>0</v>
      </c>
      <c r="CO135" s="163">
        <v>0</v>
      </c>
      <c r="CP135" s="163">
        <v>0</v>
      </c>
      <c r="CQ135" s="163">
        <v>0</v>
      </c>
      <c r="CR135" s="163">
        <v>0</v>
      </c>
      <c r="CS135" s="163">
        <v>0</v>
      </c>
      <c r="CT135" s="163">
        <v>0</v>
      </c>
      <c r="CU135" s="163">
        <v>0</v>
      </c>
      <c r="CV135" s="163">
        <v>0</v>
      </c>
      <c r="CW135" s="163">
        <v>0</v>
      </c>
      <c r="CX135" s="163">
        <v>0</v>
      </c>
      <c r="CY135" s="163">
        <v>0</v>
      </c>
      <c r="CZ135" s="163">
        <v>0</v>
      </c>
      <c r="DA135" s="163">
        <v>0</v>
      </c>
      <c r="DB135" s="163">
        <v>0</v>
      </c>
      <c r="DC135" s="163">
        <v>0</v>
      </c>
      <c r="DD135" s="163">
        <v>0</v>
      </c>
      <c r="DE135" s="163">
        <v>0</v>
      </c>
      <c r="DF135" s="163">
        <f>VLOOKUP($C135,'[3]BS ACC'!$C$5:$DH$1006,108,FALSE)</f>
        <v>0</v>
      </c>
      <c r="DG135" s="163">
        <f>VLOOKUP($C135,'[3]BS ACC'!$C$5:$DH$1006,109,FALSE)</f>
        <v>0</v>
      </c>
      <c r="DH135" s="163">
        <f>VLOOKUP($C135,'[3]BS ACC'!$C$5:$DH$1006,110,FALSE)</f>
        <v>0</v>
      </c>
    </row>
    <row r="136" spans="1:112">
      <c r="A136" s="350" t="str">
        <f>+B136</f>
        <v>1823612</v>
      </c>
      <c r="B136" s="1246" t="s">
        <v>2877</v>
      </c>
      <c r="C136" s="1247" t="s">
        <v>2878</v>
      </c>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c r="BI136" s="163"/>
      <c r="BJ136" s="163"/>
      <c r="BK136" s="163"/>
      <c r="BL136" s="163"/>
      <c r="BM136" s="163"/>
      <c r="BN136" s="163"/>
      <c r="BO136" s="163"/>
      <c r="BP136" s="163"/>
      <c r="BQ136" s="163"/>
      <c r="BR136" s="163"/>
      <c r="BS136" s="163"/>
      <c r="BT136" s="163"/>
      <c r="BU136" s="163"/>
      <c r="BV136" s="163"/>
      <c r="BW136" s="163"/>
      <c r="BX136" s="163"/>
      <c r="BY136" s="163"/>
      <c r="BZ136" s="163"/>
      <c r="CA136" s="163"/>
      <c r="CB136" s="163"/>
      <c r="CC136" s="163"/>
      <c r="CD136" s="163"/>
      <c r="CE136" s="163"/>
      <c r="CF136" s="163"/>
      <c r="CG136" s="163"/>
      <c r="CH136" s="163"/>
      <c r="CI136" s="163"/>
      <c r="CJ136" s="163"/>
      <c r="CK136" s="163"/>
      <c r="CL136" s="163"/>
      <c r="CM136" s="163">
        <v>0</v>
      </c>
      <c r="CN136" s="163">
        <v>0</v>
      </c>
      <c r="CO136" s="163">
        <v>0</v>
      </c>
      <c r="CP136" s="163">
        <v>0</v>
      </c>
      <c r="CQ136" s="163">
        <v>0</v>
      </c>
      <c r="CR136" s="163">
        <v>0</v>
      </c>
      <c r="CS136" s="163">
        <v>0</v>
      </c>
      <c r="CT136" s="163">
        <v>0</v>
      </c>
      <c r="CU136" s="163">
        <v>0</v>
      </c>
      <c r="CV136" s="163">
        <v>0</v>
      </c>
      <c r="CW136" s="163">
        <v>0</v>
      </c>
      <c r="CX136" s="163">
        <v>0</v>
      </c>
      <c r="CY136" s="163">
        <v>0</v>
      </c>
      <c r="CZ136" s="163">
        <v>0</v>
      </c>
      <c r="DA136" s="163">
        <v>457013</v>
      </c>
      <c r="DB136" s="163">
        <v>0</v>
      </c>
      <c r="DC136" s="163">
        <v>91402.5</v>
      </c>
      <c r="DD136" s="163">
        <v>182805</v>
      </c>
      <c r="DE136" s="163">
        <v>0</v>
      </c>
      <c r="DF136" s="163">
        <f>VLOOKUP($C136,'[3]BS ACC'!$C$5:$DH$1006,108,FALSE)</f>
        <v>91402.5</v>
      </c>
      <c r="DG136" s="163">
        <f>VLOOKUP($C136,'[3]BS ACC'!$C$5:$DH$1006,109,FALSE)</f>
        <v>182805</v>
      </c>
      <c r="DH136" s="163">
        <f>VLOOKUP($C136,'[3]BS ACC'!$C$5:$DH$1006,110,FALSE)</f>
        <v>0</v>
      </c>
    </row>
    <row r="137" spans="1:112">
      <c r="A137" s="350">
        <f>+B137</f>
        <v>1823331</v>
      </c>
      <c r="B137" s="335">
        <v>1823331</v>
      </c>
      <c r="C137" s="1042" t="s">
        <v>2578</v>
      </c>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c r="BI137" s="163"/>
      <c r="BJ137" s="163"/>
      <c r="BK137" s="163"/>
      <c r="BL137" s="163"/>
      <c r="BM137" s="163"/>
      <c r="BN137" s="163"/>
      <c r="BO137" s="163"/>
      <c r="BP137" s="163"/>
      <c r="BQ137" s="163"/>
      <c r="BR137" s="163"/>
      <c r="BS137" s="163"/>
      <c r="BT137" s="163"/>
      <c r="BU137" s="163"/>
      <c r="BV137" s="163"/>
      <c r="BW137" s="163"/>
      <c r="BX137" s="163"/>
      <c r="BY137" s="163"/>
      <c r="BZ137" s="163"/>
      <c r="CA137" s="163"/>
      <c r="CB137" s="163"/>
      <c r="CC137" s="163"/>
      <c r="CD137" s="163"/>
      <c r="CE137" s="163"/>
      <c r="CF137" s="163"/>
      <c r="CG137" s="163"/>
      <c r="CH137" s="163"/>
      <c r="CI137" s="163"/>
      <c r="CJ137" s="163"/>
      <c r="CK137" s="163">
        <v>-119789.58</v>
      </c>
      <c r="CL137" s="163">
        <v>-239579.16</v>
      </c>
      <c r="CM137" s="163">
        <v>175667.09</v>
      </c>
      <c r="CN137" s="163">
        <v>56716.68</v>
      </c>
      <c r="CO137" s="163">
        <v>-52377.9</v>
      </c>
      <c r="CP137" s="163">
        <v>441305.99</v>
      </c>
      <c r="CQ137" s="163">
        <v>835316.04</v>
      </c>
      <c r="CR137" s="163">
        <v>863608.46</v>
      </c>
      <c r="CS137" s="163">
        <v>913782.88</v>
      </c>
      <c r="CT137" s="163">
        <v>878248.4</v>
      </c>
      <c r="CU137" s="163">
        <v>758458.82</v>
      </c>
      <c r="CV137" s="163">
        <v>638669.24</v>
      </c>
      <c r="CW137" s="163">
        <v>518879.66</v>
      </c>
      <c r="CX137" s="163">
        <v>399090.08</v>
      </c>
      <c r="CY137" s="163">
        <v>279300.5</v>
      </c>
      <c r="CZ137" s="163">
        <v>234692.92</v>
      </c>
      <c r="DA137" s="163">
        <v>114903.34</v>
      </c>
      <c r="DB137" s="163">
        <v>6231.26</v>
      </c>
      <c r="DC137" s="163">
        <v>-29049.279999999999</v>
      </c>
      <c r="DD137" s="163">
        <v>-66455.78</v>
      </c>
      <c r="DE137" s="163">
        <v>0</v>
      </c>
      <c r="DF137" s="163">
        <f>VLOOKUP($C137,'[3]BS ACC'!$C$5:$DH$1006,108,FALSE)</f>
        <v>0</v>
      </c>
      <c r="DG137" s="163">
        <f>VLOOKUP($C137,'[3]BS ACC'!$C$5:$DH$1006,109,FALSE)</f>
        <v>35558.339999999997</v>
      </c>
      <c r="DH137" s="163">
        <f>VLOOKUP($C137,'[3]BS ACC'!$C$5:$DH$1006,110,FALSE)</f>
        <v>425186.98</v>
      </c>
    </row>
    <row r="138" spans="1:112">
      <c r="A138" s="350" t="str">
        <f t="shared" si="1"/>
        <v>1823340</v>
      </c>
      <c r="B138" s="350" t="s">
        <v>1521</v>
      </c>
      <c r="C138" s="335" t="s">
        <v>685</v>
      </c>
      <c r="D138" s="340">
        <v>40439944</v>
      </c>
      <c r="E138" s="340">
        <v>40439944</v>
      </c>
      <c r="F138" s="340">
        <v>40439944</v>
      </c>
      <c r="G138" s="340">
        <v>38439944</v>
      </c>
      <c r="H138" s="340">
        <v>38439944</v>
      </c>
      <c r="I138" s="340">
        <v>38439944</v>
      </c>
      <c r="J138" s="340">
        <v>35939944</v>
      </c>
      <c r="K138" s="340">
        <v>35939944</v>
      </c>
      <c r="L138" s="340">
        <v>35939944</v>
      </c>
      <c r="M138" s="340">
        <v>33284401</v>
      </c>
      <c r="N138" s="340">
        <v>33284401</v>
      </c>
      <c r="O138" s="340">
        <v>33284401</v>
      </c>
      <c r="P138" s="341">
        <v>33295565</v>
      </c>
      <c r="Q138" s="163">
        <v>33295565</v>
      </c>
      <c r="R138" s="163">
        <v>33295565</v>
      </c>
      <c r="S138" s="163">
        <v>33295565</v>
      </c>
      <c r="T138" s="163">
        <v>33295565</v>
      </c>
      <c r="U138" s="163">
        <v>33295565</v>
      </c>
      <c r="V138" s="163">
        <v>33295565</v>
      </c>
      <c r="W138" s="163">
        <v>33295565</v>
      </c>
      <c r="X138" s="163">
        <v>33295565</v>
      </c>
      <c r="Y138" s="163">
        <v>33295565</v>
      </c>
      <c r="Z138" s="163">
        <v>33295565</v>
      </c>
      <c r="AA138" s="163">
        <v>33295565</v>
      </c>
      <c r="AB138" s="163">
        <v>33938077</v>
      </c>
      <c r="AC138" s="163">
        <v>33938077</v>
      </c>
      <c r="AD138" s="163">
        <v>33938077</v>
      </c>
      <c r="AE138" s="163">
        <v>33938077</v>
      </c>
      <c r="AF138" s="163">
        <v>33938077</v>
      </c>
      <c r="AG138" s="163">
        <v>33938077</v>
      </c>
      <c r="AH138" s="163">
        <v>33938077</v>
      </c>
      <c r="AI138" s="163">
        <v>33938077</v>
      </c>
      <c r="AJ138" s="163">
        <v>33938077</v>
      </c>
      <c r="AK138" s="163">
        <v>33938077</v>
      </c>
      <c r="AL138" s="163">
        <v>33938077</v>
      </c>
      <c r="AM138" s="163">
        <v>33938077</v>
      </c>
      <c r="AN138" s="163">
        <v>31563329</v>
      </c>
      <c r="AO138" s="163">
        <v>31563329</v>
      </c>
      <c r="AP138" s="163">
        <v>31563329</v>
      </c>
      <c r="AQ138" s="163">
        <v>30390812</v>
      </c>
      <c r="AR138" s="163">
        <v>30390812</v>
      </c>
      <c r="AS138" s="163">
        <v>30390812</v>
      </c>
      <c r="AT138" s="163">
        <v>30390812</v>
      </c>
      <c r="AU138" s="163">
        <v>30390812</v>
      </c>
      <c r="AV138" s="163">
        <v>30390812</v>
      </c>
      <c r="AW138" s="163">
        <v>30390812</v>
      </c>
      <c r="AX138" s="163">
        <v>30390812</v>
      </c>
      <c r="AY138" s="163">
        <v>30390812</v>
      </c>
      <c r="AZ138" s="163">
        <v>30039284</v>
      </c>
      <c r="BA138" s="163">
        <v>30039284</v>
      </c>
      <c r="BB138" s="163">
        <v>30039284</v>
      </c>
      <c r="BC138" s="163">
        <v>27963655</v>
      </c>
      <c r="BD138" s="163">
        <v>27963655</v>
      </c>
      <c r="BE138" s="163">
        <v>27963655</v>
      </c>
      <c r="BF138" s="163">
        <v>27963655</v>
      </c>
      <c r="BG138" s="163">
        <v>27963655</v>
      </c>
      <c r="BH138" s="163">
        <v>27963655</v>
      </c>
      <c r="BI138" s="163">
        <v>27963655</v>
      </c>
      <c r="BJ138" s="163">
        <v>27963655</v>
      </c>
      <c r="BK138" s="163">
        <v>27963655</v>
      </c>
      <c r="BL138" s="163">
        <v>27962095</v>
      </c>
      <c r="BM138" s="163">
        <v>27962095</v>
      </c>
      <c r="BN138" s="163">
        <v>27962095</v>
      </c>
      <c r="BO138" s="163">
        <v>27962095</v>
      </c>
      <c r="BP138" s="163">
        <v>27962095</v>
      </c>
      <c r="BQ138" s="163">
        <v>27962095</v>
      </c>
      <c r="BR138" s="163">
        <v>27962095</v>
      </c>
      <c r="BS138" s="163">
        <v>27962095</v>
      </c>
      <c r="BT138" s="163">
        <v>27962095</v>
      </c>
      <c r="BU138" s="163">
        <v>27962095</v>
      </c>
      <c r="BV138" s="163">
        <v>27962095</v>
      </c>
      <c r="BW138" s="163">
        <v>27962095</v>
      </c>
      <c r="BX138" s="163">
        <v>20805063</v>
      </c>
      <c r="BY138" s="163">
        <v>20805063</v>
      </c>
      <c r="BZ138" s="163">
        <v>20805063</v>
      </c>
      <c r="CA138" s="163">
        <v>20805063</v>
      </c>
      <c r="CB138" s="163">
        <v>20805063</v>
      </c>
      <c r="CC138" s="163">
        <v>20805063</v>
      </c>
      <c r="CD138" s="163">
        <v>20805063</v>
      </c>
      <c r="CE138" s="163">
        <v>20805063</v>
      </c>
      <c r="CF138" s="163">
        <v>20805063</v>
      </c>
      <c r="CG138" s="163">
        <v>20805063</v>
      </c>
      <c r="CH138" s="163">
        <v>20805063</v>
      </c>
      <c r="CI138" s="163">
        <v>20805063</v>
      </c>
      <c r="CJ138" s="163">
        <v>17404076</v>
      </c>
      <c r="CK138" s="163">
        <v>17404076</v>
      </c>
      <c r="CL138" s="163">
        <v>17404076</v>
      </c>
      <c r="CM138" s="163">
        <v>17404076</v>
      </c>
      <c r="CN138" s="163">
        <v>17404076</v>
      </c>
      <c r="CO138" s="163">
        <v>17404076</v>
      </c>
      <c r="CP138" s="163">
        <v>17404076</v>
      </c>
      <c r="CQ138" s="163">
        <v>17404076</v>
      </c>
      <c r="CR138" s="163">
        <v>17404076</v>
      </c>
      <c r="CS138" s="163">
        <v>17404076</v>
      </c>
      <c r="CT138" s="163">
        <v>17404076</v>
      </c>
      <c r="CU138" s="163">
        <v>17404076</v>
      </c>
      <c r="CV138" s="163">
        <v>13903851</v>
      </c>
      <c r="CW138" s="163">
        <v>13903851</v>
      </c>
      <c r="CX138" s="163">
        <v>13903851</v>
      </c>
      <c r="CY138" s="163">
        <v>13903851</v>
      </c>
      <c r="CZ138" s="163">
        <v>13903851</v>
      </c>
      <c r="DA138" s="163">
        <v>13903851</v>
      </c>
      <c r="DB138" s="163">
        <v>13903851</v>
      </c>
      <c r="DC138" s="163">
        <v>13903851</v>
      </c>
      <c r="DD138" s="163">
        <v>13903851</v>
      </c>
      <c r="DE138" s="163">
        <v>13903851</v>
      </c>
      <c r="DF138" s="163">
        <f>VLOOKUP($C138,'[3]BS ACC'!$C$5:$DH$1006,108,FALSE)</f>
        <v>13903851</v>
      </c>
      <c r="DG138" s="163">
        <f>VLOOKUP($C138,'[3]BS ACC'!$C$5:$DH$1006,109,FALSE)</f>
        <v>13903851</v>
      </c>
      <c r="DH138" s="163">
        <f>VLOOKUP($C138,'[3]BS ACC'!$C$5:$DH$1006,110,FALSE)</f>
        <v>12618620</v>
      </c>
    </row>
    <row r="139" spans="1:112">
      <c r="A139" s="350" t="str">
        <f t="shared" si="1"/>
        <v>1823345</v>
      </c>
      <c r="B139" s="350" t="s">
        <v>1522</v>
      </c>
      <c r="C139" s="335" t="s">
        <v>686</v>
      </c>
      <c r="D139" s="340">
        <v>10963627.550000001</v>
      </c>
      <c r="E139" s="340">
        <v>10991818.220000001</v>
      </c>
      <c r="F139" s="340">
        <v>12906272.789999999</v>
      </c>
      <c r="G139" s="340">
        <v>12938463.060000001</v>
      </c>
      <c r="H139" s="340">
        <v>14172729.17</v>
      </c>
      <c r="I139" s="340">
        <v>15034002.460000001</v>
      </c>
      <c r="J139" s="340">
        <v>16051375.82</v>
      </c>
      <c r="K139" s="340">
        <v>17339455.219999999</v>
      </c>
      <c r="L139" s="340">
        <v>18912768.109999999</v>
      </c>
      <c r="M139" s="340">
        <v>640785.9</v>
      </c>
      <c r="N139" s="340">
        <v>640000</v>
      </c>
      <c r="O139" s="340">
        <v>640000</v>
      </c>
      <c r="P139" s="341">
        <v>640000</v>
      </c>
      <c r="Q139" s="163">
        <v>640000</v>
      </c>
      <c r="R139" s="163">
        <v>640000</v>
      </c>
      <c r="S139" s="163">
        <v>640000</v>
      </c>
      <c r="T139" s="163">
        <v>640000</v>
      </c>
      <c r="U139" s="163">
        <v>640000</v>
      </c>
      <c r="V139" s="163">
        <v>640000</v>
      </c>
      <c r="W139" s="163">
        <v>651387.55000000005</v>
      </c>
      <c r="X139" s="163">
        <v>640000</v>
      </c>
      <c r="Y139" s="163">
        <v>640000</v>
      </c>
      <c r="Z139" s="163">
        <v>640000</v>
      </c>
      <c r="AA139" s="163">
        <v>640000</v>
      </c>
      <c r="AB139" s="163">
        <v>640000</v>
      </c>
      <c r="AC139" s="163">
        <v>651508.61</v>
      </c>
      <c r="AD139" s="163">
        <v>651236.93000000005</v>
      </c>
      <c r="AE139" s="163">
        <v>640000</v>
      </c>
      <c r="AF139" s="163">
        <v>640000</v>
      </c>
      <c r="AG139" s="163">
        <v>640000</v>
      </c>
      <c r="AH139" s="163">
        <v>640000</v>
      </c>
      <c r="AI139" s="163">
        <v>640000</v>
      </c>
      <c r="AJ139" s="163">
        <v>640000</v>
      </c>
      <c r="AK139" s="163">
        <v>640000</v>
      </c>
      <c r="AL139" s="163">
        <v>650137.81000000006</v>
      </c>
      <c r="AM139" s="163">
        <v>640000</v>
      </c>
      <c r="AN139" s="163">
        <v>5386294.5099999998</v>
      </c>
      <c r="AO139" s="163">
        <v>5489687.9500000002</v>
      </c>
      <c r="AP139" s="163">
        <v>4791816.68</v>
      </c>
      <c r="AQ139" s="163">
        <v>4420507.99</v>
      </c>
      <c r="AR139" s="163">
        <v>4091990.79</v>
      </c>
      <c r="AS139" s="163">
        <v>3912201.07</v>
      </c>
      <c r="AT139" s="163">
        <v>3515072.9</v>
      </c>
      <c r="AU139" s="163">
        <v>3149354.11</v>
      </c>
      <c r="AV139" s="163">
        <v>3302798.76</v>
      </c>
      <c r="AW139" s="163">
        <v>2483445.73</v>
      </c>
      <c r="AX139" s="163">
        <v>2167939.35</v>
      </c>
      <c r="AY139" s="163">
        <v>1787053.5</v>
      </c>
      <c r="AZ139" s="163">
        <v>2643026.87</v>
      </c>
      <c r="BA139" s="163">
        <v>2921728.14</v>
      </c>
      <c r="BB139" s="163">
        <v>3413269.72</v>
      </c>
      <c r="BC139" s="163">
        <v>571963.46</v>
      </c>
      <c r="BD139" s="163">
        <v>781297.63</v>
      </c>
      <c r="BE139" s="163">
        <v>861189.82</v>
      </c>
      <c r="BF139" s="163">
        <v>932580.57</v>
      </c>
      <c r="BG139" s="163">
        <v>1299590.25</v>
      </c>
      <c r="BH139" s="163">
        <v>1540588.71</v>
      </c>
      <c r="BI139" s="163">
        <v>927790</v>
      </c>
      <c r="BJ139" s="163">
        <v>927790</v>
      </c>
      <c r="BK139" s="163">
        <v>0</v>
      </c>
      <c r="BL139" s="163">
        <v>0</v>
      </c>
      <c r="BM139" s="163">
        <v>0</v>
      </c>
      <c r="BN139" s="163">
        <v>0</v>
      </c>
      <c r="BO139" s="163">
        <v>0</v>
      </c>
      <c r="BP139" s="163">
        <v>0</v>
      </c>
      <c r="BQ139" s="163">
        <v>0</v>
      </c>
      <c r="BR139" s="163">
        <v>0</v>
      </c>
      <c r="BS139" s="163">
        <v>0</v>
      </c>
      <c r="BT139" s="163">
        <v>0</v>
      </c>
      <c r="BU139" s="163">
        <v>0</v>
      </c>
      <c r="BV139" s="163">
        <v>0</v>
      </c>
      <c r="BW139" s="163">
        <v>0</v>
      </c>
      <c r="BX139" s="163">
        <v>0</v>
      </c>
      <c r="BY139" s="163">
        <v>0</v>
      </c>
      <c r="BZ139" s="163">
        <v>0</v>
      </c>
      <c r="CA139" s="163">
        <v>0</v>
      </c>
      <c r="CB139" s="163">
        <v>0</v>
      </c>
      <c r="CC139" s="163">
        <v>0</v>
      </c>
      <c r="CD139" s="163">
        <v>0</v>
      </c>
      <c r="CE139" s="163">
        <v>0</v>
      </c>
      <c r="CF139" s="163">
        <v>0</v>
      </c>
      <c r="CG139" s="163">
        <v>0</v>
      </c>
      <c r="CH139" s="163">
        <v>0</v>
      </c>
      <c r="CI139" s="163">
        <v>0</v>
      </c>
      <c r="CJ139" s="163">
        <v>1000000</v>
      </c>
      <c r="CK139" s="163">
        <v>1000000</v>
      </c>
      <c r="CL139" s="163">
        <v>1000000</v>
      </c>
      <c r="CM139" s="163">
        <v>1000000</v>
      </c>
      <c r="CN139" s="163">
        <v>1000000</v>
      </c>
      <c r="CO139" s="163">
        <v>1000000</v>
      </c>
      <c r="CP139" s="163">
        <v>1000000</v>
      </c>
      <c r="CQ139" s="163">
        <v>1000000</v>
      </c>
      <c r="CR139" s="163">
        <v>1000000</v>
      </c>
      <c r="CS139" s="163">
        <v>1000000</v>
      </c>
      <c r="CT139" s="163">
        <v>1000000</v>
      </c>
      <c r="CU139" s="163">
        <v>1000000</v>
      </c>
      <c r="CV139" s="163">
        <v>1000000</v>
      </c>
      <c r="CW139" s="163">
        <v>1000000</v>
      </c>
      <c r="CX139" s="163">
        <v>1000000</v>
      </c>
      <c r="CY139" s="163">
        <v>1000000</v>
      </c>
      <c r="CZ139" s="163">
        <v>1000000</v>
      </c>
      <c r="DA139" s="163">
        <v>1000000</v>
      </c>
      <c r="DB139" s="163">
        <v>1000000</v>
      </c>
      <c r="DC139" s="163">
        <v>999000</v>
      </c>
      <c r="DD139" s="163">
        <v>1000000</v>
      </c>
      <c r="DE139" s="163">
        <v>1000000</v>
      </c>
      <c r="DF139" s="163">
        <f>VLOOKUP($C139,'[3]BS ACC'!$C$5:$DH$1006,108,FALSE)</f>
        <v>1000000</v>
      </c>
      <c r="DG139" s="163">
        <f>VLOOKUP($C139,'[3]BS ACC'!$C$5:$DH$1006,109,FALSE)</f>
        <v>1000000</v>
      </c>
      <c r="DH139" s="163">
        <f>VLOOKUP($C139,'[3]BS ACC'!$C$5:$DH$1006,110,FALSE)</f>
        <v>1000000</v>
      </c>
    </row>
    <row r="140" spans="1:112">
      <c r="A140" s="350" t="str">
        <f>+B140</f>
        <v>1823610</v>
      </c>
      <c r="B140" s="350" t="s">
        <v>2302</v>
      </c>
      <c r="C140" s="335" t="s">
        <v>2293</v>
      </c>
      <c r="D140" s="340">
        <v>0</v>
      </c>
      <c r="E140" s="340">
        <v>0</v>
      </c>
      <c r="F140" s="340">
        <v>0</v>
      </c>
      <c r="G140" s="340">
        <v>0</v>
      </c>
      <c r="H140" s="340">
        <v>0</v>
      </c>
      <c r="I140" s="340">
        <v>0</v>
      </c>
      <c r="J140" s="340">
        <v>0</v>
      </c>
      <c r="K140" s="340">
        <v>0</v>
      </c>
      <c r="L140" s="340">
        <v>0</v>
      </c>
      <c r="M140" s="340">
        <v>0</v>
      </c>
      <c r="N140" s="340">
        <v>0</v>
      </c>
      <c r="O140" s="340">
        <v>0</v>
      </c>
      <c r="P140" s="341">
        <v>0</v>
      </c>
      <c r="Q140" s="163">
        <v>0</v>
      </c>
      <c r="R140" s="163">
        <v>0</v>
      </c>
      <c r="S140" s="163">
        <v>0</v>
      </c>
      <c r="T140" s="163">
        <v>0</v>
      </c>
      <c r="U140" s="163">
        <v>0</v>
      </c>
      <c r="V140" s="163">
        <v>0</v>
      </c>
      <c r="W140" s="163">
        <v>0</v>
      </c>
      <c r="X140" s="163">
        <v>0</v>
      </c>
      <c r="Y140" s="163">
        <v>0</v>
      </c>
      <c r="Z140" s="163">
        <v>0</v>
      </c>
      <c r="AA140" s="163">
        <v>0</v>
      </c>
      <c r="AB140" s="163">
        <v>0</v>
      </c>
      <c r="AC140" s="163">
        <v>0</v>
      </c>
      <c r="AD140" s="163">
        <v>0</v>
      </c>
      <c r="AE140" s="163">
        <v>0</v>
      </c>
      <c r="AF140" s="163">
        <v>0</v>
      </c>
      <c r="AG140" s="163">
        <v>0</v>
      </c>
      <c r="AH140" s="163">
        <v>0</v>
      </c>
      <c r="AI140" s="163">
        <v>0</v>
      </c>
      <c r="AJ140" s="163">
        <v>0</v>
      </c>
      <c r="AK140" s="163">
        <v>0</v>
      </c>
      <c r="AL140" s="163">
        <v>0</v>
      </c>
      <c r="AM140" s="163">
        <v>0</v>
      </c>
      <c r="AN140" s="163">
        <v>0</v>
      </c>
      <c r="AO140" s="163">
        <v>0</v>
      </c>
      <c r="AP140" s="163">
        <v>0</v>
      </c>
      <c r="AQ140" s="163">
        <v>0</v>
      </c>
      <c r="AR140" s="163">
        <v>0</v>
      </c>
      <c r="AS140" s="163">
        <v>0</v>
      </c>
      <c r="AT140" s="163">
        <v>0</v>
      </c>
      <c r="AU140" s="163">
        <v>0</v>
      </c>
      <c r="AV140" s="163">
        <v>0</v>
      </c>
      <c r="AW140" s="163">
        <v>0</v>
      </c>
      <c r="AX140" s="163">
        <v>0</v>
      </c>
      <c r="AY140" s="163">
        <v>0</v>
      </c>
      <c r="AZ140" s="163">
        <v>0</v>
      </c>
      <c r="BA140" s="163">
        <v>0</v>
      </c>
      <c r="BB140" s="163">
        <v>0</v>
      </c>
      <c r="BC140" s="163">
        <v>0</v>
      </c>
      <c r="BD140" s="163">
        <v>0</v>
      </c>
      <c r="BE140" s="163">
        <v>0</v>
      </c>
      <c r="BF140" s="163">
        <v>0</v>
      </c>
      <c r="BG140" s="163">
        <v>0</v>
      </c>
      <c r="BH140" s="163">
        <v>0</v>
      </c>
      <c r="BI140" s="163">
        <v>0</v>
      </c>
      <c r="BJ140" s="163">
        <v>0</v>
      </c>
      <c r="BK140" s="163">
        <v>0</v>
      </c>
      <c r="BL140" s="163">
        <v>0</v>
      </c>
      <c r="BM140" s="163">
        <v>0</v>
      </c>
      <c r="BN140" s="163">
        <v>0</v>
      </c>
      <c r="BO140" s="163">
        <v>0</v>
      </c>
      <c r="BP140" s="163">
        <v>0</v>
      </c>
      <c r="BQ140" s="163">
        <v>0</v>
      </c>
      <c r="BR140" s="163">
        <v>0</v>
      </c>
      <c r="BS140" s="163">
        <v>0</v>
      </c>
      <c r="BT140" s="163">
        <v>45567.42</v>
      </c>
      <c r="BU140" s="163">
        <v>75174.31</v>
      </c>
      <c r="BV140" s="163">
        <v>98598.53</v>
      </c>
      <c r="BW140" s="163">
        <v>124843.7</v>
      </c>
      <c r="BX140" s="163">
        <v>158391.91</v>
      </c>
      <c r="BY140" s="163">
        <v>200733.99</v>
      </c>
      <c r="BZ140" s="163">
        <v>254402.09</v>
      </c>
      <c r="CA140" s="163">
        <v>316988.55</v>
      </c>
      <c r="CB140" s="163">
        <v>388324.47</v>
      </c>
      <c r="CC140" s="163">
        <v>475014.17</v>
      </c>
      <c r="CD140" s="163">
        <v>574265.81000000006</v>
      </c>
      <c r="CE140" s="163">
        <v>681120.1</v>
      </c>
      <c r="CF140" s="163">
        <v>800293</v>
      </c>
      <c r="CG140" s="163">
        <v>934111.41</v>
      </c>
      <c r="CH140" s="163">
        <v>1039552.16</v>
      </c>
      <c r="CI140" s="163">
        <v>1116898.8400000001</v>
      </c>
      <c r="CJ140" s="163">
        <v>1206726.8899999999</v>
      </c>
      <c r="CK140" s="163">
        <v>1307965.5900000001</v>
      </c>
      <c r="CL140" s="163">
        <v>1431380.41</v>
      </c>
      <c r="CM140" s="163">
        <v>1561950.37</v>
      </c>
      <c r="CN140" s="163">
        <v>1670561.21</v>
      </c>
      <c r="CO140" s="163">
        <v>1743753.73</v>
      </c>
      <c r="CP140" s="163">
        <v>1819694.46</v>
      </c>
      <c r="CQ140" s="163">
        <v>1902130.74</v>
      </c>
      <c r="CR140" s="163">
        <v>1994983.06</v>
      </c>
      <c r="CS140" s="163">
        <v>2096617.68</v>
      </c>
      <c r="CT140" s="163">
        <v>2205902.7200000002</v>
      </c>
      <c r="CU140" s="163">
        <v>2242783.67</v>
      </c>
      <c r="CV140" s="163">
        <v>2294930.2799999998</v>
      </c>
      <c r="CW140" s="163">
        <v>2353501.04</v>
      </c>
      <c r="CX140" s="163">
        <v>2417440.83</v>
      </c>
      <c r="CY140" s="163">
        <v>2487545.8199999998</v>
      </c>
      <c r="CZ140" s="163">
        <v>2564848.4300000002</v>
      </c>
      <c r="DA140" s="163">
        <v>2650622.31</v>
      </c>
      <c r="DB140" s="163">
        <v>2746845.6</v>
      </c>
      <c r="DC140" s="163">
        <v>2854530.05</v>
      </c>
      <c r="DD140" s="163">
        <v>2971109.13</v>
      </c>
      <c r="DE140" s="163">
        <v>3094220.84</v>
      </c>
      <c r="DF140" s="163">
        <f>VLOOKUP($C140,'[3]BS ACC'!$C$5:$DH$1006,108,FALSE)</f>
        <v>3148450.49</v>
      </c>
      <c r="DG140" s="163">
        <f>VLOOKUP($C140,'[3]BS ACC'!$C$5:$DH$1006,109,FALSE)</f>
        <v>3229076.42</v>
      </c>
      <c r="DH140" s="163">
        <f>VLOOKUP($C140,'[3]BS ACC'!$C$5:$DH$1006,110,FALSE)</f>
        <v>3313117.81</v>
      </c>
    </row>
    <row r="141" spans="1:112">
      <c r="A141" s="350" t="str">
        <f t="shared" si="1"/>
        <v>1840500</v>
      </c>
      <c r="B141" s="350" t="s">
        <v>1523</v>
      </c>
      <c r="C141" s="335" t="s">
        <v>687</v>
      </c>
      <c r="D141" s="340">
        <v>0</v>
      </c>
      <c r="E141" s="340">
        <v>0</v>
      </c>
      <c r="F141" s="340">
        <v>0</v>
      </c>
      <c r="G141" s="340">
        <v>0</v>
      </c>
      <c r="H141" s="340">
        <v>0</v>
      </c>
      <c r="I141" s="340">
        <v>0</v>
      </c>
      <c r="J141" s="340">
        <v>0</v>
      </c>
      <c r="K141" s="340">
        <v>0</v>
      </c>
      <c r="L141" s="340">
        <v>0</v>
      </c>
      <c r="M141" s="340">
        <v>0</v>
      </c>
      <c r="N141" s="340">
        <v>0</v>
      </c>
      <c r="O141" s="340">
        <v>0</v>
      </c>
      <c r="P141" s="341">
        <v>0</v>
      </c>
      <c r="Q141" s="163">
        <v>0</v>
      </c>
      <c r="R141" s="163">
        <v>0</v>
      </c>
      <c r="S141" s="163">
        <v>0</v>
      </c>
      <c r="T141" s="163">
        <v>0</v>
      </c>
      <c r="U141" s="163">
        <v>0</v>
      </c>
      <c r="V141" s="163">
        <v>0</v>
      </c>
      <c r="W141" s="163">
        <v>0</v>
      </c>
      <c r="X141" s="163">
        <v>0</v>
      </c>
      <c r="Y141" s="163">
        <v>0</v>
      </c>
      <c r="Z141" s="163">
        <v>0</v>
      </c>
      <c r="AA141" s="163">
        <v>0</v>
      </c>
      <c r="AB141" s="163">
        <v>0</v>
      </c>
      <c r="AC141" s="163">
        <v>0</v>
      </c>
      <c r="AD141" s="163">
        <v>0</v>
      </c>
      <c r="AE141" s="163">
        <v>0</v>
      </c>
      <c r="AF141" s="163">
        <v>0</v>
      </c>
      <c r="AG141" s="163">
        <v>0</v>
      </c>
      <c r="AH141" s="163">
        <v>0</v>
      </c>
      <c r="AI141" s="163">
        <v>0</v>
      </c>
      <c r="AJ141" s="163">
        <v>0</v>
      </c>
      <c r="AK141" s="163">
        <v>0</v>
      </c>
      <c r="AL141" s="163">
        <v>0</v>
      </c>
      <c r="AM141" s="163">
        <v>0</v>
      </c>
      <c r="AN141" s="163">
        <v>0</v>
      </c>
      <c r="AO141" s="163">
        <v>0</v>
      </c>
      <c r="AP141" s="163">
        <v>0</v>
      </c>
      <c r="AQ141" s="163">
        <v>0</v>
      </c>
      <c r="AR141" s="163">
        <v>0</v>
      </c>
      <c r="AS141" s="163">
        <v>0</v>
      </c>
      <c r="AT141" s="163">
        <v>0</v>
      </c>
      <c r="AU141" s="163">
        <v>0</v>
      </c>
      <c r="AV141" s="163">
        <v>0</v>
      </c>
      <c r="AW141" s="163">
        <v>0</v>
      </c>
      <c r="AX141" s="163">
        <v>0</v>
      </c>
      <c r="AY141" s="163">
        <v>0</v>
      </c>
      <c r="AZ141" s="163">
        <v>0</v>
      </c>
      <c r="BA141" s="163">
        <v>0</v>
      </c>
      <c r="BB141" s="163">
        <v>0</v>
      </c>
      <c r="BC141" s="163">
        <v>0</v>
      </c>
      <c r="BD141" s="163">
        <v>0</v>
      </c>
      <c r="BE141" s="163">
        <v>0</v>
      </c>
      <c r="BF141" s="163">
        <v>0</v>
      </c>
      <c r="BG141" s="163">
        <v>0</v>
      </c>
      <c r="BH141" s="163">
        <v>0</v>
      </c>
      <c r="BI141" s="163">
        <v>0</v>
      </c>
      <c r="BJ141" s="163">
        <v>0</v>
      </c>
      <c r="BK141" s="163">
        <v>0</v>
      </c>
      <c r="BL141" s="163">
        <v>0</v>
      </c>
      <c r="BM141" s="163">
        <v>0</v>
      </c>
      <c r="BN141" s="163">
        <v>0</v>
      </c>
      <c r="BO141" s="163">
        <v>0</v>
      </c>
      <c r="BP141" s="163">
        <v>0</v>
      </c>
      <c r="BQ141" s="163">
        <v>0</v>
      </c>
      <c r="BR141" s="163">
        <v>0</v>
      </c>
      <c r="BS141" s="163">
        <v>0</v>
      </c>
      <c r="BT141" s="163">
        <v>0</v>
      </c>
      <c r="BU141" s="163">
        <v>0</v>
      </c>
      <c r="BV141" s="163">
        <v>0</v>
      </c>
      <c r="BW141" s="163">
        <v>0</v>
      </c>
      <c r="BX141" s="163">
        <v>0</v>
      </c>
      <c r="BY141" s="163">
        <v>0</v>
      </c>
      <c r="BZ141" s="163">
        <v>0</v>
      </c>
      <c r="CA141" s="163">
        <v>0</v>
      </c>
      <c r="CB141" s="163">
        <v>0</v>
      </c>
      <c r="CC141" s="163">
        <v>0</v>
      </c>
      <c r="CD141" s="163">
        <v>0</v>
      </c>
      <c r="CE141" s="163">
        <v>0</v>
      </c>
      <c r="CF141" s="163">
        <v>0</v>
      </c>
      <c r="CG141" s="163">
        <v>0</v>
      </c>
      <c r="CH141" s="163">
        <v>0</v>
      </c>
      <c r="CI141" s="163">
        <v>0</v>
      </c>
      <c r="CJ141" s="163">
        <v>0</v>
      </c>
      <c r="CK141" s="163">
        <v>0</v>
      </c>
      <c r="CL141" s="163">
        <v>0</v>
      </c>
      <c r="CM141" s="163">
        <v>0</v>
      </c>
      <c r="CN141" s="163">
        <v>0</v>
      </c>
      <c r="CO141" s="163">
        <v>0</v>
      </c>
      <c r="CP141" s="163">
        <v>0</v>
      </c>
      <c r="CQ141" s="163">
        <v>0</v>
      </c>
      <c r="CR141" s="163">
        <v>0</v>
      </c>
      <c r="CS141" s="163">
        <v>0</v>
      </c>
      <c r="CT141" s="163">
        <v>0</v>
      </c>
      <c r="CU141" s="163">
        <v>0</v>
      </c>
      <c r="CV141" s="163">
        <v>0</v>
      </c>
      <c r="CW141" s="163">
        <v>0</v>
      </c>
      <c r="CX141" s="163">
        <v>0</v>
      </c>
      <c r="CY141" s="163">
        <v>0</v>
      </c>
      <c r="CZ141" s="163">
        <v>0</v>
      </c>
      <c r="DA141" s="163">
        <v>0</v>
      </c>
      <c r="DB141" s="163">
        <v>0</v>
      </c>
      <c r="DC141" s="163">
        <v>0</v>
      </c>
      <c r="DD141" s="163">
        <v>0</v>
      </c>
      <c r="DE141" s="163">
        <v>0</v>
      </c>
      <c r="DF141" s="163">
        <f>VLOOKUP($C141,'[3]BS ACC'!$C$5:$DH$1006,108,FALSE)</f>
        <v>0</v>
      </c>
      <c r="DG141" s="163">
        <f>VLOOKUP($C141,'[3]BS ACC'!$C$5:$DH$1006,109,FALSE)</f>
        <v>0</v>
      </c>
      <c r="DH141" s="163">
        <f>VLOOKUP($C141,'[3]BS ACC'!$C$5:$DH$1006,110,FALSE)</f>
        <v>0</v>
      </c>
    </row>
    <row r="142" spans="1:112">
      <c r="A142" s="350" t="str">
        <f t="shared" si="1"/>
        <v>1840510</v>
      </c>
      <c r="B142" s="350" t="s">
        <v>1604</v>
      </c>
      <c r="C142" s="335" t="s">
        <v>688</v>
      </c>
      <c r="D142" s="340"/>
      <c r="E142" s="340">
        <v>0</v>
      </c>
      <c r="F142" s="340">
        <v>0</v>
      </c>
      <c r="G142" s="340">
        <v>0</v>
      </c>
      <c r="H142" s="340">
        <v>0</v>
      </c>
      <c r="I142" s="340">
        <v>0</v>
      </c>
      <c r="J142" s="340">
        <v>0</v>
      </c>
      <c r="K142" s="340">
        <v>0</v>
      </c>
      <c r="L142" s="340">
        <v>0</v>
      </c>
      <c r="M142" s="340">
        <v>0</v>
      </c>
      <c r="N142" s="340">
        <v>0</v>
      </c>
      <c r="O142" s="340">
        <v>0</v>
      </c>
      <c r="P142" s="341">
        <v>0</v>
      </c>
      <c r="Q142" s="163">
        <v>0</v>
      </c>
      <c r="R142" s="163">
        <v>0</v>
      </c>
      <c r="S142" s="163">
        <v>0</v>
      </c>
      <c r="T142" s="163">
        <v>0</v>
      </c>
      <c r="U142" s="163">
        <v>0</v>
      </c>
      <c r="V142" s="163">
        <v>0</v>
      </c>
      <c r="W142" s="163">
        <v>0</v>
      </c>
      <c r="X142" s="163">
        <v>0</v>
      </c>
      <c r="Y142" s="163">
        <v>0</v>
      </c>
      <c r="Z142" s="163">
        <v>0</v>
      </c>
      <c r="AA142" s="163">
        <v>0</v>
      </c>
      <c r="AB142" s="163">
        <v>0</v>
      </c>
      <c r="AC142" s="163">
        <v>0</v>
      </c>
      <c r="AD142" s="163">
        <v>0</v>
      </c>
      <c r="AE142" s="163">
        <v>0</v>
      </c>
      <c r="AF142" s="163">
        <v>0</v>
      </c>
      <c r="AG142" s="163">
        <v>0</v>
      </c>
      <c r="AH142" s="163">
        <v>0</v>
      </c>
      <c r="AI142" s="163">
        <v>0</v>
      </c>
      <c r="AJ142" s="163">
        <v>0</v>
      </c>
      <c r="AK142" s="163">
        <v>0</v>
      </c>
      <c r="AL142" s="163">
        <v>0</v>
      </c>
      <c r="AM142" s="163">
        <v>0</v>
      </c>
      <c r="AN142" s="163">
        <v>0</v>
      </c>
      <c r="AO142" s="163">
        <v>0</v>
      </c>
      <c r="AP142" s="163">
        <v>0</v>
      </c>
      <c r="AQ142" s="163">
        <v>0</v>
      </c>
      <c r="AR142" s="163">
        <v>0</v>
      </c>
      <c r="AS142" s="163">
        <v>0</v>
      </c>
      <c r="AT142" s="163">
        <v>0</v>
      </c>
      <c r="AU142" s="163">
        <v>0</v>
      </c>
      <c r="AV142" s="163">
        <v>0</v>
      </c>
      <c r="AW142" s="163">
        <v>0</v>
      </c>
      <c r="AX142" s="163">
        <v>0</v>
      </c>
      <c r="AY142" s="163">
        <v>0</v>
      </c>
      <c r="AZ142" s="163">
        <v>0</v>
      </c>
      <c r="BA142" s="163">
        <v>0</v>
      </c>
      <c r="BB142" s="163">
        <v>0</v>
      </c>
      <c r="BC142" s="163">
        <v>0</v>
      </c>
      <c r="BD142" s="163">
        <v>0</v>
      </c>
      <c r="BE142" s="163">
        <v>0</v>
      </c>
      <c r="BF142" s="163">
        <v>0</v>
      </c>
      <c r="BG142" s="163">
        <v>0</v>
      </c>
      <c r="BH142" s="163">
        <v>0</v>
      </c>
      <c r="BI142" s="163">
        <v>0</v>
      </c>
      <c r="BJ142" s="163">
        <v>0</v>
      </c>
      <c r="BK142" s="163">
        <v>0</v>
      </c>
      <c r="BL142" s="163">
        <v>0</v>
      </c>
      <c r="BM142" s="163">
        <v>0</v>
      </c>
      <c r="BN142" s="163">
        <v>0</v>
      </c>
      <c r="BO142" s="163">
        <v>0</v>
      </c>
      <c r="BP142" s="163">
        <v>0</v>
      </c>
      <c r="BQ142" s="163">
        <v>0</v>
      </c>
      <c r="BR142" s="163">
        <v>0</v>
      </c>
      <c r="BS142" s="163">
        <v>0</v>
      </c>
      <c r="BT142" s="163">
        <v>0</v>
      </c>
      <c r="BU142" s="163">
        <v>0</v>
      </c>
      <c r="BV142" s="163">
        <v>0</v>
      </c>
      <c r="BW142" s="163">
        <v>0</v>
      </c>
      <c r="BX142" s="163">
        <v>0</v>
      </c>
      <c r="BY142" s="163">
        <v>0</v>
      </c>
      <c r="BZ142" s="163">
        <v>0</v>
      </c>
      <c r="CA142" s="163">
        <v>0</v>
      </c>
      <c r="CB142" s="163">
        <v>0</v>
      </c>
      <c r="CC142" s="163">
        <v>0</v>
      </c>
      <c r="CD142" s="163">
        <v>0</v>
      </c>
      <c r="CE142" s="163">
        <v>0</v>
      </c>
      <c r="CF142" s="163">
        <v>0</v>
      </c>
      <c r="CG142" s="163">
        <v>0</v>
      </c>
      <c r="CH142" s="163">
        <v>0</v>
      </c>
      <c r="CI142" s="163">
        <v>0</v>
      </c>
      <c r="CJ142" s="163">
        <v>0</v>
      </c>
      <c r="CK142" s="163">
        <v>0</v>
      </c>
      <c r="CL142" s="163">
        <v>0</v>
      </c>
      <c r="CM142" s="163">
        <v>0</v>
      </c>
      <c r="CN142" s="163">
        <v>0</v>
      </c>
      <c r="CO142" s="163">
        <v>0</v>
      </c>
      <c r="CP142" s="163">
        <v>0</v>
      </c>
      <c r="CQ142" s="163">
        <v>0</v>
      </c>
      <c r="CR142" s="163">
        <v>0</v>
      </c>
      <c r="CS142" s="163">
        <v>0</v>
      </c>
      <c r="CT142" s="163">
        <v>0</v>
      </c>
      <c r="CU142" s="163">
        <v>0</v>
      </c>
      <c r="CV142" s="163">
        <v>0</v>
      </c>
      <c r="CW142" s="163">
        <v>0</v>
      </c>
      <c r="CX142" s="163">
        <v>0</v>
      </c>
      <c r="CY142" s="163">
        <v>0</v>
      </c>
      <c r="CZ142" s="163">
        <v>0</v>
      </c>
      <c r="DA142" s="163">
        <v>0</v>
      </c>
      <c r="DB142" s="163">
        <v>0</v>
      </c>
      <c r="DC142" s="163">
        <v>0</v>
      </c>
      <c r="DD142" s="163">
        <v>0</v>
      </c>
      <c r="DE142" s="163">
        <v>0</v>
      </c>
      <c r="DF142" s="163">
        <f>VLOOKUP($C142,'[3]BS ACC'!$C$5:$DH$1006,108,FALSE)</f>
        <v>0</v>
      </c>
      <c r="DG142" s="163">
        <f>VLOOKUP($C142,'[3]BS ACC'!$C$5:$DH$1006,109,FALSE)</f>
        <v>0</v>
      </c>
      <c r="DH142" s="163">
        <f>VLOOKUP($C142,'[3]BS ACC'!$C$5:$DH$1006,110,FALSE)</f>
        <v>0</v>
      </c>
    </row>
    <row r="143" spans="1:112">
      <c r="A143" s="350" t="str">
        <f t="shared" si="1"/>
        <v>1840590</v>
      </c>
      <c r="B143" s="350" t="s">
        <v>1524</v>
      </c>
      <c r="C143" s="335" t="s">
        <v>689</v>
      </c>
      <c r="D143" s="340">
        <v>0</v>
      </c>
      <c r="E143" s="340">
        <v>0</v>
      </c>
      <c r="F143" s="340">
        <v>0</v>
      </c>
      <c r="G143" s="340">
        <v>0</v>
      </c>
      <c r="H143" s="340">
        <v>0</v>
      </c>
      <c r="I143" s="340">
        <v>0</v>
      </c>
      <c r="J143" s="340">
        <v>0</v>
      </c>
      <c r="K143" s="340">
        <v>0</v>
      </c>
      <c r="L143" s="340">
        <v>0</v>
      </c>
      <c r="M143" s="340">
        <v>0</v>
      </c>
      <c r="N143" s="340">
        <v>0</v>
      </c>
      <c r="O143" s="340">
        <v>0</v>
      </c>
      <c r="P143" s="341">
        <v>0</v>
      </c>
      <c r="Q143" s="163">
        <v>0</v>
      </c>
      <c r="R143" s="163">
        <v>0</v>
      </c>
      <c r="S143" s="163">
        <v>0</v>
      </c>
      <c r="T143" s="163">
        <v>0</v>
      </c>
      <c r="U143" s="163">
        <v>0</v>
      </c>
      <c r="V143" s="163">
        <v>0</v>
      </c>
      <c r="W143" s="163">
        <v>0</v>
      </c>
      <c r="X143" s="163">
        <v>0</v>
      </c>
      <c r="Y143" s="163">
        <v>0</v>
      </c>
      <c r="Z143" s="163">
        <v>0</v>
      </c>
      <c r="AA143" s="163">
        <v>0</v>
      </c>
      <c r="AB143" s="163">
        <v>0</v>
      </c>
      <c r="AC143" s="163">
        <v>0</v>
      </c>
      <c r="AD143" s="163">
        <v>0</v>
      </c>
      <c r="AE143" s="163">
        <v>0</v>
      </c>
      <c r="AF143" s="163">
        <v>0</v>
      </c>
      <c r="AG143" s="163">
        <v>0</v>
      </c>
      <c r="AH143" s="163">
        <v>0</v>
      </c>
      <c r="AI143" s="163">
        <v>0</v>
      </c>
      <c r="AJ143" s="163">
        <v>0</v>
      </c>
      <c r="AK143" s="163">
        <v>41828.07</v>
      </c>
      <c r="AL143" s="163">
        <v>0</v>
      </c>
      <c r="AM143" s="163">
        <v>0</v>
      </c>
      <c r="AN143" s="163">
        <v>0</v>
      </c>
      <c r="AO143" s="163">
        <v>0</v>
      </c>
      <c r="AP143" s="163">
        <v>0</v>
      </c>
      <c r="AQ143" s="163">
        <v>0</v>
      </c>
      <c r="AR143" s="163">
        <v>0</v>
      </c>
      <c r="AS143" s="163">
        <v>0</v>
      </c>
      <c r="AT143" s="163">
        <v>0</v>
      </c>
      <c r="AU143" s="163">
        <v>0</v>
      </c>
      <c r="AV143" s="163">
        <v>0</v>
      </c>
      <c r="AW143" s="163">
        <v>0</v>
      </c>
      <c r="AX143" s="163">
        <v>0</v>
      </c>
      <c r="AY143" s="163">
        <v>0</v>
      </c>
      <c r="AZ143" s="163">
        <v>0</v>
      </c>
      <c r="BA143" s="163">
        <v>0</v>
      </c>
      <c r="BB143" s="163">
        <v>0</v>
      </c>
      <c r="BC143" s="163">
        <v>0</v>
      </c>
      <c r="BD143" s="163">
        <v>0</v>
      </c>
      <c r="BE143" s="163">
        <v>0</v>
      </c>
      <c r="BF143" s="163">
        <v>0</v>
      </c>
      <c r="BG143" s="163">
        <v>0</v>
      </c>
      <c r="BH143" s="163">
        <v>0</v>
      </c>
      <c r="BI143" s="163">
        <v>0</v>
      </c>
      <c r="BJ143" s="163">
        <v>0</v>
      </c>
      <c r="BK143" s="163">
        <v>0</v>
      </c>
      <c r="BL143" s="163">
        <v>0</v>
      </c>
      <c r="BM143" s="163">
        <v>0</v>
      </c>
      <c r="BN143" s="163">
        <v>0</v>
      </c>
      <c r="BO143" s="163">
        <v>0</v>
      </c>
      <c r="BP143" s="163">
        <v>0</v>
      </c>
      <c r="BQ143" s="163">
        <v>0</v>
      </c>
      <c r="BR143" s="163">
        <v>0</v>
      </c>
      <c r="BS143" s="163">
        <v>0</v>
      </c>
      <c r="BT143" s="163">
        <v>0</v>
      </c>
      <c r="BU143" s="163">
        <v>0</v>
      </c>
      <c r="BV143" s="163">
        <v>0</v>
      </c>
      <c r="BW143" s="163">
        <v>0</v>
      </c>
      <c r="BX143" s="163">
        <v>0</v>
      </c>
      <c r="BY143" s="163">
        <v>0</v>
      </c>
      <c r="BZ143" s="163">
        <v>0</v>
      </c>
      <c r="CA143" s="163">
        <v>0</v>
      </c>
      <c r="CB143" s="163">
        <v>0</v>
      </c>
      <c r="CC143" s="163">
        <v>0</v>
      </c>
      <c r="CD143" s="163">
        <v>0</v>
      </c>
      <c r="CE143" s="163">
        <v>0</v>
      </c>
      <c r="CF143" s="163">
        <v>0</v>
      </c>
      <c r="CG143" s="163">
        <v>0</v>
      </c>
      <c r="CH143" s="163">
        <v>0</v>
      </c>
      <c r="CI143" s="163">
        <v>0</v>
      </c>
      <c r="CJ143" s="163">
        <v>0</v>
      </c>
      <c r="CK143" s="163">
        <v>0</v>
      </c>
      <c r="CL143" s="163">
        <v>0</v>
      </c>
      <c r="CM143" s="163">
        <v>0</v>
      </c>
      <c r="CN143" s="163">
        <v>0</v>
      </c>
      <c r="CO143" s="163">
        <v>0</v>
      </c>
      <c r="CP143" s="163">
        <v>0</v>
      </c>
      <c r="CQ143" s="163">
        <v>0</v>
      </c>
      <c r="CR143" s="163">
        <v>0</v>
      </c>
      <c r="CS143" s="163">
        <v>0</v>
      </c>
      <c r="CT143" s="163">
        <v>0</v>
      </c>
      <c r="CU143" s="163">
        <v>0</v>
      </c>
      <c r="CV143" s="163">
        <v>0</v>
      </c>
      <c r="CW143" s="163">
        <v>0</v>
      </c>
      <c r="CX143" s="163">
        <v>0</v>
      </c>
      <c r="CY143" s="163">
        <v>0</v>
      </c>
      <c r="CZ143" s="163">
        <v>0</v>
      </c>
      <c r="DA143" s="163">
        <v>0</v>
      </c>
      <c r="DB143" s="163">
        <v>0</v>
      </c>
      <c r="DC143" s="163">
        <v>0</v>
      </c>
      <c r="DD143" s="163">
        <v>0</v>
      </c>
      <c r="DE143" s="163">
        <v>0</v>
      </c>
      <c r="DF143" s="163">
        <f>VLOOKUP($C143,'[3]BS ACC'!$C$5:$DH$1006,108,FALSE)</f>
        <v>0</v>
      </c>
      <c r="DG143" s="163">
        <f>VLOOKUP($C143,'[3]BS ACC'!$C$5:$DH$1006,109,FALSE)</f>
        <v>0</v>
      </c>
      <c r="DH143" s="163">
        <f>VLOOKUP($C143,'[3]BS ACC'!$C$5:$DH$1006,110,FALSE)</f>
        <v>0</v>
      </c>
    </row>
    <row r="144" spans="1:112">
      <c r="A144" s="350" t="str">
        <f t="shared" si="1"/>
        <v>1840591</v>
      </c>
      <c r="B144" s="350" t="s">
        <v>1605</v>
      </c>
      <c r="C144" s="335" t="s">
        <v>690</v>
      </c>
      <c r="D144" s="340">
        <v>5502.76</v>
      </c>
      <c r="E144" s="340">
        <v>5562.76</v>
      </c>
      <c r="F144" s="340">
        <v>5622.76</v>
      </c>
      <c r="G144" s="340">
        <v>5682.76</v>
      </c>
      <c r="H144" s="340">
        <v>5742.76</v>
      </c>
      <c r="I144" s="340">
        <v>5802.76</v>
      </c>
      <c r="J144" s="340">
        <v>5862.76</v>
      </c>
      <c r="K144" s="340">
        <v>5922.76</v>
      </c>
      <c r="L144" s="340">
        <v>5982.76</v>
      </c>
      <c r="M144" s="340">
        <v>6042.76</v>
      </c>
      <c r="N144" s="340">
        <v>0</v>
      </c>
      <c r="O144" s="340">
        <v>0</v>
      </c>
      <c r="P144" s="341">
        <v>0</v>
      </c>
      <c r="Q144" s="163">
        <v>0</v>
      </c>
      <c r="R144" s="163">
        <v>0</v>
      </c>
      <c r="S144" s="163">
        <v>0</v>
      </c>
      <c r="T144" s="163">
        <v>0</v>
      </c>
      <c r="U144" s="163">
        <v>0</v>
      </c>
      <c r="V144" s="163">
        <v>0</v>
      </c>
      <c r="W144" s="163">
        <v>0</v>
      </c>
      <c r="X144" s="163">
        <v>0</v>
      </c>
      <c r="Y144" s="163">
        <v>0</v>
      </c>
      <c r="Z144" s="163">
        <v>0</v>
      </c>
      <c r="AA144" s="163">
        <v>0</v>
      </c>
      <c r="AB144" s="163">
        <v>0</v>
      </c>
      <c r="AC144" s="163">
        <v>0</v>
      </c>
      <c r="AD144" s="163">
        <v>0</v>
      </c>
      <c r="AE144" s="163">
        <v>0</v>
      </c>
      <c r="AF144" s="163">
        <v>0</v>
      </c>
      <c r="AG144" s="163">
        <v>0</v>
      </c>
      <c r="AH144" s="163">
        <v>0</v>
      </c>
      <c r="AI144" s="163">
        <v>0</v>
      </c>
      <c r="AJ144" s="163">
        <v>0</v>
      </c>
      <c r="AK144" s="163">
        <v>0</v>
      </c>
      <c r="AL144" s="163">
        <v>0</v>
      </c>
      <c r="AM144" s="163">
        <v>0</v>
      </c>
      <c r="AN144" s="163">
        <v>0</v>
      </c>
      <c r="AO144" s="163">
        <v>0</v>
      </c>
      <c r="AP144" s="163">
        <v>0</v>
      </c>
      <c r="AQ144" s="163">
        <v>0</v>
      </c>
      <c r="AR144" s="163">
        <v>0</v>
      </c>
      <c r="AS144" s="163">
        <v>0</v>
      </c>
      <c r="AT144" s="163">
        <v>0</v>
      </c>
      <c r="AU144" s="163">
        <v>0</v>
      </c>
      <c r="AV144" s="163">
        <v>0</v>
      </c>
      <c r="AW144" s="163">
        <v>0</v>
      </c>
      <c r="AX144" s="163">
        <v>0</v>
      </c>
      <c r="AY144" s="163">
        <v>0</v>
      </c>
      <c r="AZ144" s="163">
        <v>0</v>
      </c>
      <c r="BA144" s="163">
        <v>0</v>
      </c>
      <c r="BB144" s="163">
        <v>0</v>
      </c>
      <c r="BC144" s="163">
        <v>0</v>
      </c>
      <c r="BD144" s="163">
        <v>0</v>
      </c>
      <c r="BE144" s="163">
        <v>0</v>
      </c>
      <c r="BF144" s="163">
        <v>0</v>
      </c>
      <c r="BG144" s="163">
        <v>0</v>
      </c>
      <c r="BH144" s="163">
        <v>0</v>
      </c>
      <c r="BI144" s="163">
        <v>0</v>
      </c>
      <c r="BJ144" s="163">
        <v>0</v>
      </c>
      <c r="BK144" s="163">
        <v>0</v>
      </c>
      <c r="BL144" s="163">
        <v>0</v>
      </c>
      <c r="BM144" s="163">
        <v>0</v>
      </c>
      <c r="BN144" s="163">
        <v>0</v>
      </c>
      <c r="BO144" s="163">
        <v>0</v>
      </c>
      <c r="BP144" s="163">
        <v>0</v>
      </c>
      <c r="BQ144" s="163">
        <v>0</v>
      </c>
      <c r="BR144" s="163">
        <v>0</v>
      </c>
      <c r="BS144" s="163">
        <v>0</v>
      </c>
      <c r="BT144" s="163">
        <v>0</v>
      </c>
      <c r="BU144" s="163">
        <v>0</v>
      </c>
      <c r="BV144" s="163">
        <v>0</v>
      </c>
      <c r="BW144" s="163">
        <v>0</v>
      </c>
      <c r="BX144" s="163">
        <v>0</v>
      </c>
      <c r="BY144" s="163">
        <v>0</v>
      </c>
      <c r="BZ144" s="163">
        <v>0</v>
      </c>
      <c r="CA144" s="163">
        <v>0</v>
      </c>
      <c r="CB144" s="163">
        <v>0</v>
      </c>
      <c r="CC144" s="163">
        <v>0</v>
      </c>
      <c r="CD144" s="163">
        <v>0</v>
      </c>
      <c r="CE144" s="163">
        <v>0</v>
      </c>
      <c r="CF144" s="163">
        <v>0</v>
      </c>
      <c r="CG144" s="163">
        <v>0</v>
      </c>
      <c r="CH144" s="163">
        <v>60</v>
      </c>
      <c r="CI144" s="163">
        <v>0</v>
      </c>
      <c r="CJ144" s="163">
        <v>0</v>
      </c>
      <c r="CK144" s="163">
        <v>0</v>
      </c>
      <c r="CL144" s="163">
        <v>0</v>
      </c>
      <c r="CM144" s="163">
        <v>0</v>
      </c>
      <c r="CN144" s="163">
        <v>0</v>
      </c>
      <c r="CO144" s="163">
        <v>0</v>
      </c>
      <c r="CP144" s="163">
        <v>0</v>
      </c>
      <c r="CQ144" s="163">
        <v>0</v>
      </c>
      <c r="CR144" s="163">
        <v>0</v>
      </c>
      <c r="CS144" s="163">
        <v>0</v>
      </c>
      <c r="CT144" s="163">
        <v>0</v>
      </c>
      <c r="CU144" s="163">
        <v>0</v>
      </c>
      <c r="CV144" s="163">
        <v>0</v>
      </c>
      <c r="CW144" s="163">
        <v>0</v>
      </c>
      <c r="CX144" s="163">
        <v>0</v>
      </c>
      <c r="CY144" s="163">
        <v>0</v>
      </c>
      <c r="CZ144" s="163">
        <v>0</v>
      </c>
      <c r="DA144" s="163">
        <v>0</v>
      </c>
      <c r="DB144" s="163">
        <v>0</v>
      </c>
      <c r="DC144" s="163">
        <v>0</v>
      </c>
      <c r="DD144" s="163">
        <v>0</v>
      </c>
      <c r="DE144" s="163">
        <v>0</v>
      </c>
      <c r="DF144" s="163">
        <f>VLOOKUP($C144,'[3]BS ACC'!$C$5:$DH$1006,108,FALSE)</f>
        <v>0</v>
      </c>
      <c r="DG144" s="163">
        <f>VLOOKUP($C144,'[3]BS ACC'!$C$5:$DH$1006,109,FALSE)</f>
        <v>0</v>
      </c>
      <c r="DH144" s="163">
        <f>VLOOKUP($C144,'[3]BS ACC'!$C$5:$DH$1006,110,FALSE)</f>
        <v>0</v>
      </c>
    </row>
    <row r="145" spans="1:112">
      <c r="A145" s="350" t="str">
        <f t="shared" si="1"/>
        <v>1860020</v>
      </c>
      <c r="B145" s="350" t="s">
        <v>1525</v>
      </c>
      <c r="C145" s="335" t="s">
        <v>1467</v>
      </c>
      <c r="D145" s="340"/>
      <c r="E145" s="340"/>
      <c r="F145" s="340"/>
      <c r="G145" s="340"/>
      <c r="H145" s="340"/>
      <c r="I145" s="340"/>
      <c r="J145" s="340"/>
      <c r="K145" s="340"/>
      <c r="L145" s="340"/>
      <c r="M145" s="340"/>
      <c r="N145" s="340"/>
      <c r="O145" s="340"/>
      <c r="P145" s="341"/>
      <c r="Q145" s="163"/>
      <c r="R145" s="163"/>
      <c r="S145" s="163"/>
      <c r="T145" s="163"/>
      <c r="U145" s="163"/>
      <c r="V145" s="163"/>
      <c r="W145" s="163"/>
      <c r="X145" s="163"/>
      <c r="Y145" s="163"/>
      <c r="Z145" s="163"/>
      <c r="AA145" s="163"/>
      <c r="AB145" s="163"/>
      <c r="AC145" s="163"/>
      <c r="AD145" s="163"/>
      <c r="AE145" s="163"/>
      <c r="AF145" s="163">
        <v>2950896</v>
      </c>
      <c r="AG145" s="163">
        <v>2950896</v>
      </c>
      <c r="AH145" s="163">
        <v>2950896</v>
      </c>
      <c r="AI145" s="163">
        <v>2950896</v>
      </c>
      <c r="AJ145" s="163">
        <v>2950896</v>
      </c>
      <c r="AK145" s="163">
        <v>2950896</v>
      </c>
      <c r="AL145" s="163">
        <v>2950896</v>
      </c>
      <c r="AM145" s="163">
        <v>2950896</v>
      </c>
      <c r="AN145" s="163">
        <v>2950896</v>
      </c>
      <c r="AO145" s="163">
        <v>2950896</v>
      </c>
      <c r="AP145" s="163">
        <v>2366610</v>
      </c>
      <c r="AQ145" s="163">
        <v>2366610</v>
      </c>
      <c r="AR145" s="163">
        <v>2366610</v>
      </c>
      <c r="AS145" s="163">
        <v>2366610</v>
      </c>
      <c r="AT145" s="163">
        <v>2366610</v>
      </c>
      <c r="AU145" s="163">
        <v>2366610</v>
      </c>
      <c r="AV145" s="163">
        <v>2366610</v>
      </c>
      <c r="AW145" s="163">
        <v>2366610</v>
      </c>
      <c r="AX145" s="163">
        <v>2366610</v>
      </c>
      <c r="AY145" s="163">
        <v>2366610</v>
      </c>
      <c r="AZ145" s="163">
        <v>2366610</v>
      </c>
      <c r="BA145" s="163">
        <v>2366610</v>
      </c>
      <c r="BB145" s="163">
        <v>2083308</v>
      </c>
      <c r="BC145" s="163">
        <v>2083308</v>
      </c>
      <c r="BD145" s="163">
        <v>2083308</v>
      </c>
      <c r="BE145" s="163">
        <v>2083308</v>
      </c>
      <c r="BF145" s="163">
        <v>2083308</v>
      </c>
      <c r="BG145" s="163">
        <v>2083308</v>
      </c>
      <c r="BH145" s="163">
        <v>2083308</v>
      </c>
      <c r="BI145" s="163">
        <v>2083308</v>
      </c>
      <c r="BJ145" s="163">
        <v>2083308</v>
      </c>
      <c r="BK145" s="163">
        <v>2083308</v>
      </c>
      <c r="BL145" s="163">
        <v>2083308</v>
      </c>
      <c r="BM145" s="163">
        <v>1876488</v>
      </c>
      <c r="BN145" s="163">
        <v>1876488</v>
      </c>
      <c r="BO145" s="163">
        <v>1876488</v>
      </c>
      <c r="BP145" s="163">
        <v>1876488</v>
      </c>
      <c r="BQ145" s="163">
        <v>1876488</v>
      </c>
      <c r="BR145" s="163">
        <v>1876488</v>
      </c>
      <c r="BS145" s="163">
        <v>1876488</v>
      </c>
      <c r="BT145" s="163">
        <v>1876488</v>
      </c>
      <c r="BU145" s="163">
        <v>1876488</v>
      </c>
      <c r="BV145" s="163">
        <v>1876488</v>
      </c>
      <c r="BW145" s="163">
        <v>1876488</v>
      </c>
      <c r="BX145" s="163">
        <v>1876488</v>
      </c>
      <c r="BY145" s="163">
        <v>1876488</v>
      </c>
      <c r="BZ145" s="163">
        <v>1876488</v>
      </c>
      <c r="CA145" s="163">
        <v>1876488</v>
      </c>
      <c r="CB145" s="163">
        <v>1876488</v>
      </c>
      <c r="CC145" s="163">
        <v>1876488</v>
      </c>
      <c r="CD145" s="163">
        <v>1876488</v>
      </c>
      <c r="CE145" s="163">
        <v>1876488</v>
      </c>
      <c r="CF145" s="163">
        <v>1876488</v>
      </c>
      <c r="CG145" s="163">
        <v>1876488</v>
      </c>
      <c r="CH145" s="163">
        <v>1876488</v>
      </c>
      <c r="CI145" s="163">
        <v>1876488</v>
      </c>
      <c r="CJ145" s="163">
        <v>1876488</v>
      </c>
      <c r="CK145" s="163">
        <v>1651972</v>
      </c>
      <c r="CL145" s="163">
        <v>1651972</v>
      </c>
      <c r="CM145" s="163">
        <v>1651972</v>
      </c>
      <c r="CN145" s="163">
        <v>1651972</v>
      </c>
      <c r="CO145" s="163">
        <v>1651972</v>
      </c>
      <c r="CP145" s="163">
        <v>1651972</v>
      </c>
      <c r="CQ145" s="163">
        <v>1651972</v>
      </c>
      <c r="CR145" s="163">
        <v>1651972</v>
      </c>
      <c r="CS145" s="163">
        <v>1651972</v>
      </c>
      <c r="CT145" s="163">
        <v>1651972</v>
      </c>
      <c r="CU145" s="163">
        <v>1651972</v>
      </c>
      <c r="CV145" s="163">
        <v>1651972</v>
      </c>
      <c r="CW145" s="163">
        <v>1651972</v>
      </c>
      <c r="CX145" s="163">
        <v>1474890</v>
      </c>
      <c r="CY145" s="163">
        <v>1474890</v>
      </c>
      <c r="CZ145" s="163">
        <v>1474890</v>
      </c>
      <c r="DA145" s="163">
        <v>1474890</v>
      </c>
      <c r="DB145" s="163">
        <v>1474890</v>
      </c>
      <c r="DC145" s="163">
        <v>1474890</v>
      </c>
      <c r="DD145" s="163">
        <v>1474890</v>
      </c>
      <c r="DE145" s="163">
        <v>1474890</v>
      </c>
      <c r="DF145" s="163">
        <f>VLOOKUP($C145,'[3]BS ACC'!$C$5:$DH$1006,108,FALSE)</f>
        <v>1474890</v>
      </c>
      <c r="DG145" s="163">
        <f>VLOOKUP($C145,'[3]BS ACC'!$C$5:$DH$1006,109,FALSE)</f>
        <v>1474890</v>
      </c>
      <c r="DH145" s="163">
        <f>VLOOKUP($C145,'[3]BS ACC'!$C$5:$DH$1006,110,FALSE)</f>
        <v>1474890</v>
      </c>
    </row>
    <row r="146" spans="1:112">
      <c r="A146" s="350" t="str">
        <f t="shared" si="1"/>
        <v>1860800</v>
      </c>
      <c r="B146" s="350" t="s">
        <v>1526</v>
      </c>
      <c r="C146" s="335" t="s">
        <v>691</v>
      </c>
      <c r="D146" s="340">
        <v>86795.96</v>
      </c>
      <c r="E146" s="340">
        <v>88384</v>
      </c>
      <c r="F146" s="340">
        <v>89989.31</v>
      </c>
      <c r="G146" s="340">
        <v>90844.64</v>
      </c>
      <c r="H146" s="340">
        <v>99264.48</v>
      </c>
      <c r="I146" s="340">
        <v>110175.51</v>
      </c>
      <c r="J146" s="340">
        <v>76940.460000000006</v>
      </c>
      <c r="K146" s="340">
        <v>59996.959999999999</v>
      </c>
      <c r="L146" s="340">
        <v>58519.46</v>
      </c>
      <c r="M146" s="340">
        <v>62883.22</v>
      </c>
      <c r="N146" s="340">
        <v>65352.2</v>
      </c>
      <c r="O146" s="340">
        <v>65604.2</v>
      </c>
      <c r="P146" s="341">
        <v>68874.649999999994</v>
      </c>
      <c r="Q146" s="163">
        <v>72874.28</v>
      </c>
      <c r="R146" s="163">
        <v>72879.320000000007</v>
      </c>
      <c r="S146" s="163">
        <v>76937.59</v>
      </c>
      <c r="T146" s="163">
        <v>56464.08</v>
      </c>
      <c r="U146" s="163">
        <v>114055.15</v>
      </c>
      <c r="V146" s="163">
        <v>139182.43</v>
      </c>
      <c r="W146" s="163">
        <v>79661.02</v>
      </c>
      <c r="X146" s="163">
        <v>407401.19</v>
      </c>
      <c r="Y146" s="163">
        <v>86393.03</v>
      </c>
      <c r="Z146" s="163">
        <v>88225.52</v>
      </c>
      <c r="AA146" s="163">
        <v>107563.82</v>
      </c>
      <c r="AB146" s="163">
        <v>159094.73000000001</v>
      </c>
      <c r="AC146" s="163">
        <v>161426.23999999999</v>
      </c>
      <c r="AD146" s="163">
        <v>114707.76</v>
      </c>
      <c r="AE146" s="163">
        <v>117024.39</v>
      </c>
      <c r="AF146" s="163">
        <v>96846.36</v>
      </c>
      <c r="AG146" s="163">
        <v>104568.63</v>
      </c>
      <c r="AH146" s="163">
        <v>168406.55</v>
      </c>
      <c r="AI146" s="163">
        <v>171089.8</v>
      </c>
      <c r="AJ146" s="163">
        <v>155215.38</v>
      </c>
      <c r="AK146" s="163">
        <v>192431.13</v>
      </c>
      <c r="AL146" s="163">
        <v>323779.05</v>
      </c>
      <c r="AM146" s="163">
        <v>332738.05</v>
      </c>
      <c r="AN146" s="163">
        <v>231630.91</v>
      </c>
      <c r="AO146" s="163">
        <v>2496568.8199999998</v>
      </c>
      <c r="AP146" s="163">
        <v>3203374.84</v>
      </c>
      <c r="AQ146" s="163">
        <v>3451686.52</v>
      </c>
      <c r="AR146" s="163">
        <v>3357250.16</v>
      </c>
      <c r="AS146" s="163">
        <v>3112872.17</v>
      </c>
      <c r="AT146" s="163">
        <v>3171250.12</v>
      </c>
      <c r="AU146" s="163">
        <v>3153292.53</v>
      </c>
      <c r="AV146" s="163">
        <v>3158725.57</v>
      </c>
      <c r="AW146" s="163">
        <v>3509190.18</v>
      </c>
      <c r="AX146" s="163">
        <v>3482180</v>
      </c>
      <c r="AY146" s="163">
        <v>3507650.78</v>
      </c>
      <c r="AZ146" s="163">
        <v>3500798.79</v>
      </c>
      <c r="BA146" s="163">
        <v>3319911.45</v>
      </c>
      <c r="BB146" s="163">
        <v>3422684.9</v>
      </c>
      <c r="BC146" s="163">
        <v>3406331.55</v>
      </c>
      <c r="BD146" s="163">
        <v>3475003.04</v>
      </c>
      <c r="BE146" s="163">
        <v>3375539.49</v>
      </c>
      <c r="BF146" s="163">
        <v>3378075.29</v>
      </c>
      <c r="BG146" s="163">
        <v>3362549.5</v>
      </c>
      <c r="BH146" s="163">
        <v>3780094.9</v>
      </c>
      <c r="BI146" s="163">
        <v>3416070.9</v>
      </c>
      <c r="BJ146" s="163">
        <v>4589153.0999999996</v>
      </c>
      <c r="BK146" s="163">
        <v>6514301.7699999996</v>
      </c>
      <c r="BL146" s="163">
        <v>2851715.49</v>
      </c>
      <c r="BM146" s="163">
        <v>2833097.98</v>
      </c>
      <c r="BN146" s="163">
        <v>2817067.62</v>
      </c>
      <c r="BO146" s="163">
        <v>2867050.06</v>
      </c>
      <c r="BP146" s="163">
        <v>2823970.11</v>
      </c>
      <c r="BQ146" s="163">
        <v>2814873.01</v>
      </c>
      <c r="BR146" s="163">
        <v>2775839.66</v>
      </c>
      <c r="BS146" s="163">
        <v>2724938.35</v>
      </c>
      <c r="BT146" s="163">
        <v>2949895.23</v>
      </c>
      <c r="BU146" s="163">
        <v>3083394.47</v>
      </c>
      <c r="BV146" s="163">
        <v>3240010.19</v>
      </c>
      <c r="BW146" s="163">
        <v>3353538.42</v>
      </c>
      <c r="BX146" s="163">
        <v>2931886.83</v>
      </c>
      <c r="BY146" s="163">
        <v>2907048.91</v>
      </c>
      <c r="BZ146" s="163">
        <v>2734373.27</v>
      </c>
      <c r="CA146" s="163">
        <v>2949762.27</v>
      </c>
      <c r="CB146" s="163">
        <v>3160667.99</v>
      </c>
      <c r="CC146" s="163">
        <v>3420032.25</v>
      </c>
      <c r="CD146" s="163">
        <v>3432738.71</v>
      </c>
      <c r="CE146" s="163">
        <v>3478460.19</v>
      </c>
      <c r="CF146" s="163">
        <v>3792145.01</v>
      </c>
      <c r="CG146" s="163">
        <v>3985290.61</v>
      </c>
      <c r="CH146" s="163">
        <v>4106831.75</v>
      </c>
      <c r="CI146" s="163">
        <v>3557241.5</v>
      </c>
      <c r="CJ146" s="163">
        <v>2179477.52</v>
      </c>
      <c r="CK146" s="163">
        <v>2158432.2599999998</v>
      </c>
      <c r="CL146" s="163">
        <v>2143203.17</v>
      </c>
      <c r="CM146" s="163">
        <v>2133779.17</v>
      </c>
      <c r="CN146" s="163">
        <v>2122450.15</v>
      </c>
      <c r="CO146" s="163">
        <v>2109847.25</v>
      </c>
      <c r="CP146" s="163">
        <v>2094259.45</v>
      </c>
      <c r="CQ146" s="163">
        <v>2090746.57</v>
      </c>
      <c r="CR146" s="163">
        <v>2072893.07</v>
      </c>
      <c r="CS146" s="163">
        <v>2054800.49</v>
      </c>
      <c r="CT146" s="163">
        <v>2131639.9900000002</v>
      </c>
      <c r="CU146" s="163">
        <v>2086418.59</v>
      </c>
      <c r="CV146" s="163">
        <v>2430458.84</v>
      </c>
      <c r="CW146" s="163">
        <v>2350671.0499999998</v>
      </c>
      <c r="CX146" s="163">
        <v>2243017.08</v>
      </c>
      <c r="CY146" s="163">
        <v>2033767.6</v>
      </c>
      <c r="CZ146" s="163">
        <v>2230215.6800000002</v>
      </c>
      <c r="DA146" s="163">
        <v>2276130.5299999998</v>
      </c>
      <c r="DB146" s="163">
        <v>2307199.44</v>
      </c>
      <c r="DC146" s="163">
        <v>2270832.98</v>
      </c>
      <c r="DD146" s="163">
        <v>2303483.7200000002</v>
      </c>
      <c r="DE146" s="163">
        <v>2319403.23</v>
      </c>
      <c r="DF146" s="163">
        <f>VLOOKUP($C146,'[3]BS ACC'!$C$5:$DH$1006,108,FALSE)</f>
        <v>2373901.8199999998</v>
      </c>
      <c r="DG146" s="163">
        <f>VLOOKUP($C146,'[3]BS ACC'!$C$5:$DH$1006,109,FALSE)</f>
        <v>2388780.33</v>
      </c>
      <c r="DH146" s="163">
        <f>VLOOKUP($C146,'[3]BS ACC'!$C$5:$DH$1006,110,FALSE)</f>
        <v>2868151.19</v>
      </c>
    </row>
    <row r="147" spans="1:112">
      <c r="A147" s="350" t="str">
        <f t="shared" si="1"/>
        <v>1890200</v>
      </c>
      <c r="B147" s="350" t="s">
        <v>1527</v>
      </c>
      <c r="C147" s="335" t="s">
        <v>692</v>
      </c>
      <c r="D147" s="340">
        <v>0</v>
      </c>
      <c r="E147" s="340">
        <v>0</v>
      </c>
      <c r="F147" s="340">
        <v>0</v>
      </c>
      <c r="G147" s="340">
        <v>0</v>
      </c>
      <c r="H147" s="340">
        <v>0</v>
      </c>
      <c r="I147" s="340">
        <v>0</v>
      </c>
      <c r="J147" s="340">
        <v>0</v>
      </c>
      <c r="K147" s="340">
        <v>0</v>
      </c>
      <c r="L147" s="340">
        <v>0</v>
      </c>
      <c r="M147" s="340">
        <v>0</v>
      </c>
      <c r="N147" s="340">
        <v>0</v>
      </c>
      <c r="O147" s="340">
        <v>0</v>
      </c>
      <c r="P147" s="341">
        <v>0</v>
      </c>
      <c r="Q147" s="163">
        <v>0</v>
      </c>
      <c r="R147" s="163">
        <v>0</v>
      </c>
      <c r="S147" s="163">
        <v>0</v>
      </c>
      <c r="T147" s="163">
        <v>0</v>
      </c>
      <c r="U147" s="163">
        <v>0</v>
      </c>
      <c r="V147" s="163">
        <v>0</v>
      </c>
      <c r="W147" s="163">
        <v>0</v>
      </c>
      <c r="X147" s="163">
        <v>0</v>
      </c>
      <c r="Y147" s="163">
        <v>0</v>
      </c>
      <c r="Z147" s="163">
        <v>0</v>
      </c>
      <c r="AA147" s="163">
        <v>0</v>
      </c>
      <c r="AB147" s="163">
        <v>0</v>
      </c>
      <c r="AC147" s="163">
        <v>0</v>
      </c>
      <c r="AD147" s="163">
        <v>0</v>
      </c>
      <c r="AE147" s="163">
        <v>0</v>
      </c>
      <c r="AF147" s="163">
        <v>0</v>
      </c>
      <c r="AG147" s="163">
        <v>0</v>
      </c>
      <c r="AH147" s="163">
        <v>0</v>
      </c>
      <c r="AI147" s="163">
        <v>0</v>
      </c>
      <c r="AJ147" s="163">
        <v>0</v>
      </c>
      <c r="AK147" s="163">
        <v>0</v>
      </c>
      <c r="AL147" s="163">
        <v>0</v>
      </c>
      <c r="AM147" s="163">
        <v>0</v>
      </c>
      <c r="AN147" s="163">
        <v>0</v>
      </c>
      <c r="AO147" s="163">
        <v>0</v>
      </c>
      <c r="AP147" s="163">
        <v>0</v>
      </c>
      <c r="AQ147" s="163">
        <v>0</v>
      </c>
      <c r="AR147" s="163">
        <v>0</v>
      </c>
      <c r="AS147" s="163">
        <v>0</v>
      </c>
      <c r="AT147" s="163">
        <v>0</v>
      </c>
      <c r="AU147" s="163">
        <v>0</v>
      </c>
      <c r="AV147" s="163">
        <v>0</v>
      </c>
      <c r="AW147" s="163">
        <v>0</v>
      </c>
      <c r="AX147" s="163">
        <v>0</v>
      </c>
      <c r="AY147" s="163">
        <v>0</v>
      </c>
      <c r="AZ147" s="163">
        <v>0</v>
      </c>
      <c r="BA147" s="163">
        <v>0</v>
      </c>
      <c r="BB147" s="163">
        <v>0</v>
      </c>
      <c r="BC147" s="163">
        <v>0</v>
      </c>
      <c r="BD147" s="163">
        <v>0</v>
      </c>
      <c r="BE147" s="163">
        <v>0</v>
      </c>
      <c r="BF147" s="163">
        <v>0</v>
      </c>
      <c r="BG147" s="163">
        <v>0</v>
      </c>
      <c r="BH147" s="163">
        <v>0</v>
      </c>
      <c r="BI147" s="163">
        <v>0</v>
      </c>
      <c r="BJ147" s="163">
        <v>0</v>
      </c>
      <c r="BK147" s="163">
        <v>0</v>
      </c>
      <c r="BL147" s="163">
        <v>0</v>
      </c>
      <c r="BM147" s="163">
        <v>0</v>
      </c>
      <c r="BN147" s="163">
        <v>0</v>
      </c>
      <c r="BO147" s="163">
        <v>0</v>
      </c>
      <c r="BP147" s="163">
        <v>0</v>
      </c>
      <c r="BQ147" s="163">
        <v>0</v>
      </c>
      <c r="BR147" s="163">
        <v>0</v>
      </c>
      <c r="BS147" s="163">
        <v>0</v>
      </c>
      <c r="BT147" s="163">
        <v>0</v>
      </c>
      <c r="BU147" s="163">
        <v>0</v>
      </c>
      <c r="BV147" s="163">
        <v>0</v>
      </c>
      <c r="BW147" s="163">
        <v>0</v>
      </c>
      <c r="BX147" s="163">
        <v>0</v>
      </c>
      <c r="BY147" s="163">
        <v>0</v>
      </c>
      <c r="BZ147" s="163">
        <v>0</v>
      </c>
      <c r="CA147" s="163">
        <v>0</v>
      </c>
      <c r="CB147" s="163">
        <v>0</v>
      </c>
      <c r="CC147" s="163">
        <v>0</v>
      </c>
      <c r="CD147" s="163">
        <v>0</v>
      </c>
      <c r="CE147" s="163">
        <v>0</v>
      </c>
      <c r="CF147" s="163">
        <v>0</v>
      </c>
      <c r="CG147" s="163">
        <v>0</v>
      </c>
      <c r="CH147" s="163">
        <v>0</v>
      </c>
      <c r="CI147" s="163">
        <v>0</v>
      </c>
      <c r="CJ147" s="163">
        <v>0</v>
      </c>
      <c r="CK147" s="163">
        <v>0</v>
      </c>
      <c r="CL147" s="163">
        <v>0</v>
      </c>
      <c r="CM147" s="163">
        <v>0</v>
      </c>
      <c r="CN147" s="163">
        <v>0</v>
      </c>
      <c r="CO147" s="163">
        <v>0</v>
      </c>
      <c r="CP147" s="163">
        <v>0</v>
      </c>
      <c r="CQ147" s="163">
        <v>0</v>
      </c>
      <c r="CR147" s="163">
        <v>0</v>
      </c>
      <c r="CS147" s="163">
        <v>0</v>
      </c>
      <c r="CT147" s="163">
        <v>0</v>
      </c>
      <c r="CU147" s="163">
        <v>0</v>
      </c>
      <c r="CV147" s="163">
        <v>0</v>
      </c>
      <c r="CW147" s="163">
        <v>0</v>
      </c>
      <c r="CX147" s="163">
        <v>0</v>
      </c>
      <c r="CY147" s="163">
        <v>0</v>
      </c>
      <c r="CZ147" s="163">
        <v>0</v>
      </c>
      <c r="DA147" s="163">
        <v>0</v>
      </c>
      <c r="DB147" s="163">
        <v>0</v>
      </c>
      <c r="DC147" s="163">
        <v>0</v>
      </c>
      <c r="DD147" s="163">
        <v>0</v>
      </c>
      <c r="DE147" s="163">
        <v>0</v>
      </c>
      <c r="DF147" s="163">
        <f>VLOOKUP($C147,'[3]BS ACC'!$C$5:$DH$1006,108,FALSE)</f>
        <v>0</v>
      </c>
      <c r="DG147" s="163">
        <f>VLOOKUP($C147,'[3]BS ACC'!$C$5:$DH$1006,109,FALSE)</f>
        <v>0</v>
      </c>
      <c r="DH147" s="163">
        <f>VLOOKUP($C147,'[3]BS ACC'!$C$5:$DH$1006,110,FALSE)</f>
        <v>0</v>
      </c>
    </row>
    <row r="148" spans="1:112">
      <c r="A148" s="350" t="str">
        <f t="shared" ref="A148:A216" si="2">+B148</f>
        <v>1900300</v>
      </c>
      <c r="B148" s="350" t="s">
        <v>1528</v>
      </c>
      <c r="C148" s="335" t="s">
        <v>693</v>
      </c>
      <c r="D148" s="340">
        <v>21628001.879999999</v>
      </c>
      <c r="E148" s="340">
        <v>21257218.539999999</v>
      </c>
      <c r="F148" s="340">
        <v>21078413.539999999</v>
      </c>
      <c r="G148" s="340">
        <v>21506647.09</v>
      </c>
      <c r="H148" s="340">
        <v>21627617.16</v>
      </c>
      <c r="I148" s="340">
        <v>21756798.170000002</v>
      </c>
      <c r="J148" s="340">
        <v>21684736.66</v>
      </c>
      <c r="K148" s="340">
        <v>21598264.09</v>
      </c>
      <c r="L148" s="340">
        <v>21307278.170000002</v>
      </c>
      <c r="M148" s="340">
        <v>21850043.800000001</v>
      </c>
      <c r="N148" s="340">
        <v>22200630.010000002</v>
      </c>
      <c r="O148" s="340">
        <v>20151378.109999999</v>
      </c>
      <c r="P148" s="341">
        <v>20385210.100000001</v>
      </c>
      <c r="Q148" s="163">
        <v>20788723.390000001</v>
      </c>
      <c r="R148" s="163">
        <v>20106538.640000001</v>
      </c>
      <c r="S148" s="163">
        <v>20561585.879999999</v>
      </c>
      <c r="T148" s="163">
        <v>20849182.739999998</v>
      </c>
      <c r="U148" s="163">
        <v>20841028.949999999</v>
      </c>
      <c r="V148" s="163">
        <v>20797679.09</v>
      </c>
      <c r="W148" s="163">
        <v>20825804.210000001</v>
      </c>
      <c r="X148" s="163">
        <v>20862305.91</v>
      </c>
      <c r="Y148" s="163">
        <v>20856989.66</v>
      </c>
      <c r="Z148" s="163">
        <v>20873795.5</v>
      </c>
      <c r="AA148" s="163">
        <v>21019758.379999999</v>
      </c>
      <c r="AB148" s="163">
        <v>21158352.989999998</v>
      </c>
      <c r="AC148" s="163">
        <v>21417772.989999998</v>
      </c>
      <c r="AD148" s="163">
        <v>21071637.719999999</v>
      </c>
      <c r="AE148" s="163">
        <v>21388524.829999998</v>
      </c>
      <c r="AF148" s="163">
        <v>21532902.850000001</v>
      </c>
      <c r="AG148" s="163">
        <v>21621250.199999999</v>
      </c>
      <c r="AH148" s="163">
        <v>21618534.699999999</v>
      </c>
      <c r="AI148" s="163">
        <v>21727442.100000001</v>
      </c>
      <c r="AJ148" s="163">
        <v>21869034.66</v>
      </c>
      <c r="AK148" s="163">
        <v>22072339.899999999</v>
      </c>
      <c r="AL148" s="163">
        <v>22031045.390000001</v>
      </c>
      <c r="AM148" s="163">
        <v>21862518.829999998</v>
      </c>
      <c r="AN148" s="163">
        <v>27089342.120000001</v>
      </c>
      <c r="AO148" s="163">
        <v>27867573.079999998</v>
      </c>
      <c r="AP148" s="163">
        <v>27024912.350000001</v>
      </c>
      <c r="AQ148" s="163">
        <v>27485652</v>
      </c>
      <c r="AR148" s="163">
        <v>27752437.969999999</v>
      </c>
      <c r="AS148" s="163">
        <v>27906920.309999999</v>
      </c>
      <c r="AT148" s="163">
        <v>28134592.719999999</v>
      </c>
      <c r="AU148" s="163">
        <v>28295488.719999999</v>
      </c>
      <c r="AV148" s="163">
        <v>28284701.059999999</v>
      </c>
      <c r="AW148" s="163">
        <v>28880199.940000001</v>
      </c>
      <c r="AX148" s="163">
        <v>28810048.719999999</v>
      </c>
      <c r="AY148" s="163">
        <v>28935820.190000001</v>
      </c>
      <c r="AZ148" s="163">
        <v>28470878.440000001</v>
      </c>
      <c r="BA148" s="163">
        <v>28952719.100000001</v>
      </c>
      <c r="BB148" s="163">
        <v>28723646.800000001</v>
      </c>
      <c r="BC148" s="163">
        <v>29590823.870000001</v>
      </c>
      <c r="BD148" s="163">
        <v>29837500.84</v>
      </c>
      <c r="BE148" s="163">
        <v>30042629.73</v>
      </c>
      <c r="BF148" s="163">
        <v>30184002.920000002</v>
      </c>
      <c r="BG148" s="163">
        <v>30238523.23</v>
      </c>
      <c r="BH148" s="163">
        <v>30268817.02</v>
      </c>
      <c r="BI148" s="163">
        <v>31645217.93</v>
      </c>
      <c r="BJ148" s="163">
        <v>31701980.02</v>
      </c>
      <c r="BK148" s="163">
        <v>31735623.52</v>
      </c>
      <c r="BL148" s="163">
        <v>31216129.710000001</v>
      </c>
      <c r="BM148" s="163">
        <v>31397899.620000001</v>
      </c>
      <c r="BN148" s="163">
        <v>30783785.710000001</v>
      </c>
      <c r="BO148" s="163">
        <v>31277440.899999999</v>
      </c>
      <c r="BP148" s="163">
        <v>31372037.969999999</v>
      </c>
      <c r="BQ148" s="163">
        <v>31401284.469999999</v>
      </c>
      <c r="BR148" s="163">
        <v>31505541.859999999</v>
      </c>
      <c r="BS148" s="163">
        <v>31733914.780000001</v>
      </c>
      <c r="BT148" s="163">
        <v>31809459.34</v>
      </c>
      <c r="BU148" s="163">
        <v>31797211.850000001</v>
      </c>
      <c r="BV148" s="163">
        <v>31896964.190000001</v>
      </c>
      <c r="BW148" s="163">
        <v>32129934.199999999</v>
      </c>
      <c r="BX148" s="163">
        <v>32387504.850000001</v>
      </c>
      <c r="BY148" s="163">
        <v>32844580.809999999</v>
      </c>
      <c r="BZ148" s="163">
        <v>32082072.780000001</v>
      </c>
      <c r="CA148" s="163">
        <v>32342112.609999999</v>
      </c>
      <c r="CB148" s="163">
        <v>32546323.899999999</v>
      </c>
      <c r="CC148" s="163">
        <v>32657507.210000001</v>
      </c>
      <c r="CD148" s="163">
        <v>33002745.93</v>
      </c>
      <c r="CE148" s="163">
        <v>33075814.050000001</v>
      </c>
      <c r="CF148" s="163">
        <v>33030982.460000001</v>
      </c>
      <c r="CG148" s="163">
        <v>33295588.210000001</v>
      </c>
      <c r="CH148" s="163">
        <v>33349655.199999999</v>
      </c>
      <c r="CI148" s="163">
        <v>33167719.989999998</v>
      </c>
      <c r="CJ148" s="163">
        <v>33742293.310000002</v>
      </c>
      <c r="CK148" s="163">
        <v>34280918.25</v>
      </c>
      <c r="CL148" s="163">
        <v>34559950.119999997</v>
      </c>
      <c r="CM148" s="163">
        <v>33215260.219999999</v>
      </c>
      <c r="CN148" s="163">
        <v>33568588.909999996</v>
      </c>
      <c r="CO148" s="163">
        <v>33524413.370000001</v>
      </c>
      <c r="CP148" s="163">
        <v>33843798.890000001</v>
      </c>
      <c r="CQ148" s="163">
        <v>33936106.479999997</v>
      </c>
      <c r="CR148" s="163">
        <v>34166557.579999998</v>
      </c>
      <c r="CS148" s="163">
        <v>34873747.079999998</v>
      </c>
      <c r="CT148" s="163">
        <v>34335105.240000002</v>
      </c>
      <c r="CU148" s="163">
        <v>34918379.270000003</v>
      </c>
      <c r="CV148" s="163">
        <v>35600459.32</v>
      </c>
      <c r="CW148" s="163">
        <v>35881802.390000001</v>
      </c>
      <c r="CX148" s="163">
        <v>36844661.390000001</v>
      </c>
      <c r="CY148" s="163">
        <v>35487940.329999998</v>
      </c>
      <c r="CZ148" s="163">
        <v>35758852.829999998</v>
      </c>
      <c r="DA148" s="163">
        <v>35947949.990000002</v>
      </c>
      <c r="DB148" s="163">
        <v>36314997.060000002</v>
      </c>
      <c r="DC148" s="163">
        <v>36320926.039999999</v>
      </c>
      <c r="DD148" s="163">
        <v>36071781.369999997</v>
      </c>
      <c r="DE148" s="163">
        <v>36595431.780000001</v>
      </c>
      <c r="DF148" s="163">
        <f>VLOOKUP($C148,'[3]BS ACC'!$C$5:$DH$1006,108,FALSE)</f>
        <v>36721530.299999997</v>
      </c>
      <c r="DG148" s="163">
        <f>VLOOKUP($C148,'[3]BS ACC'!$C$5:$DH$1006,109,FALSE)</f>
        <v>37032822.859999999</v>
      </c>
      <c r="DH148" s="163">
        <f>VLOOKUP($C148,'[3]BS ACC'!$C$5:$DH$1006,110,FALSE)</f>
        <v>36962691.409999996</v>
      </c>
    </row>
    <row r="149" spans="1:112">
      <c r="A149" s="350" t="str">
        <f t="shared" si="2"/>
        <v>1900303</v>
      </c>
      <c r="B149" s="350" t="s">
        <v>1744</v>
      </c>
      <c r="C149" s="335" t="s">
        <v>1743</v>
      </c>
      <c r="D149" s="340"/>
      <c r="E149" s="340"/>
      <c r="F149" s="340"/>
      <c r="G149" s="340"/>
      <c r="H149" s="340"/>
      <c r="I149" s="340"/>
      <c r="J149" s="340"/>
      <c r="K149" s="340"/>
      <c r="L149" s="340"/>
      <c r="M149" s="340"/>
      <c r="N149" s="340"/>
      <c r="O149" s="340"/>
      <c r="P149" s="341"/>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v>0</v>
      </c>
      <c r="AM149" s="163">
        <v>0</v>
      </c>
      <c r="AN149" s="163">
        <v>2950480.06</v>
      </c>
      <c r="AO149" s="163">
        <v>2950480.06</v>
      </c>
      <c r="AP149" s="163">
        <v>2950480.06</v>
      </c>
      <c r="AQ149" s="163">
        <v>2950480.06</v>
      </c>
      <c r="AR149" s="163">
        <v>2950480.06</v>
      </c>
      <c r="AS149" s="163">
        <v>2950480.06</v>
      </c>
      <c r="AT149" s="163">
        <v>2950480.06</v>
      </c>
      <c r="AU149" s="163">
        <v>2950480.06</v>
      </c>
      <c r="AV149" s="163">
        <v>2950480.06</v>
      </c>
      <c r="AW149" s="163">
        <v>4432944.58</v>
      </c>
      <c r="AX149" s="163">
        <v>4432944.58</v>
      </c>
      <c r="AY149" s="163">
        <v>4432944.58</v>
      </c>
      <c r="AZ149" s="163">
        <v>3236134.48</v>
      </c>
      <c r="BA149" s="163">
        <v>3236134.48</v>
      </c>
      <c r="BB149" s="163">
        <v>3236134.48</v>
      </c>
      <c r="BC149" s="163">
        <v>3236134.48</v>
      </c>
      <c r="BD149" s="163">
        <v>3236134.48</v>
      </c>
      <c r="BE149" s="163">
        <v>3236134.48</v>
      </c>
      <c r="BF149" s="163">
        <v>3236134.48</v>
      </c>
      <c r="BG149" s="163">
        <v>3236134.48</v>
      </c>
      <c r="BH149" s="163">
        <v>3236134.48</v>
      </c>
      <c r="BI149" s="163">
        <v>3236134.48</v>
      </c>
      <c r="BJ149" s="163">
        <v>3236134.48</v>
      </c>
      <c r="BK149" s="163">
        <v>3685535.11</v>
      </c>
      <c r="BL149" s="163">
        <v>3685535.11</v>
      </c>
      <c r="BM149" s="163">
        <v>3685535.11</v>
      </c>
      <c r="BN149" s="163">
        <v>3685535.11</v>
      </c>
      <c r="BO149" s="163">
        <v>3685535.11</v>
      </c>
      <c r="BP149" s="163">
        <v>3685535.11</v>
      </c>
      <c r="BQ149" s="163">
        <v>3685535.11</v>
      </c>
      <c r="BR149" s="163">
        <v>3685535.11</v>
      </c>
      <c r="BS149" s="163">
        <v>3685535.11</v>
      </c>
      <c r="BT149" s="163">
        <v>3685535.11</v>
      </c>
      <c r="BU149" s="163">
        <v>3685535.11</v>
      </c>
      <c r="BV149" s="163">
        <v>3685535.11</v>
      </c>
      <c r="BW149" s="163">
        <v>3685535.11</v>
      </c>
      <c r="BX149" s="163">
        <v>3685535.11</v>
      </c>
      <c r="BY149" s="163">
        <v>3685535.11</v>
      </c>
      <c r="BZ149" s="163">
        <v>3685535.11</v>
      </c>
      <c r="CA149" s="163">
        <v>3685535.11</v>
      </c>
      <c r="CB149" s="163">
        <v>3685535.11</v>
      </c>
      <c r="CC149" s="163">
        <v>3685535.11</v>
      </c>
      <c r="CD149" s="163">
        <v>3685535.11</v>
      </c>
      <c r="CE149" s="163">
        <v>3685535.11</v>
      </c>
      <c r="CF149" s="163">
        <v>3685535.11</v>
      </c>
      <c r="CG149" s="163">
        <v>3685535.11</v>
      </c>
      <c r="CH149" s="163">
        <v>3685535.11</v>
      </c>
      <c r="CI149" s="163">
        <v>3685535.11</v>
      </c>
      <c r="CJ149" s="163">
        <v>3685535.11</v>
      </c>
      <c r="CK149" s="163">
        <v>3685535.11</v>
      </c>
      <c r="CL149" s="163">
        <v>3685535.11</v>
      </c>
      <c r="CM149" s="163">
        <v>3685535.11</v>
      </c>
      <c r="CN149" s="163">
        <v>3685535.11</v>
      </c>
      <c r="CO149" s="163">
        <v>3685535.11</v>
      </c>
      <c r="CP149" s="163">
        <v>3685535.11</v>
      </c>
      <c r="CQ149" s="163">
        <v>3685535.11</v>
      </c>
      <c r="CR149" s="163">
        <v>3685535.11</v>
      </c>
      <c r="CS149" s="163">
        <v>3685535.11</v>
      </c>
      <c r="CT149" s="163">
        <v>3685535.11</v>
      </c>
      <c r="CU149" s="163">
        <v>3685535.11</v>
      </c>
      <c r="CV149" s="163">
        <v>3685535.11</v>
      </c>
      <c r="CW149" s="163">
        <v>3685535.11</v>
      </c>
      <c r="CX149" s="163">
        <v>3685535.11</v>
      </c>
      <c r="CY149" s="163">
        <v>3685535.11</v>
      </c>
      <c r="CZ149" s="163">
        <v>3685535.11</v>
      </c>
      <c r="DA149" s="163">
        <v>3685535.11</v>
      </c>
      <c r="DB149" s="163">
        <v>3685535.11</v>
      </c>
      <c r="DC149" s="163">
        <v>3685535.11</v>
      </c>
      <c r="DD149" s="163">
        <v>3685535.11</v>
      </c>
      <c r="DE149" s="163">
        <v>3685535.11</v>
      </c>
      <c r="DF149" s="163">
        <f>VLOOKUP($C149,'[3]BS ACC'!$C$5:$DH$1006,108,FALSE)</f>
        <v>3685535.11</v>
      </c>
      <c r="DG149" s="163">
        <f>VLOOKUP($C149,'[3]BS ACC'!$C$5:$DH$1006,109,FALSE)</f>
        <v>3685535.11</v>
      </c>
      <c r="DH149" s="163">
        <f>VLOOKUP($C149,'[3]BS ACC'!$C$5:$DH$1006,110,FALSE)</f>
        <v>3685535.11</v>
      </c>
    </row>
    <row r="150" spans="1:112">
      <c r="A150" s="350" t="str">
        <f t="shared" si="2"/>
        <v>1900305</v>
      </c>
      <c r="B150" s="350" t="s">
        <v>1745</v>
      </c>
      <c r="C150" s="335" t="s">
        <v>1746</v>
      </c>
      <c r="D150" s="340"/>
      <c r="E150" s="340"/>
      <c r="F150" s="340"/>
      <c r="G150" s="340"/>
      <c r="H150" s="340"/>
      <c r="I150" s="340"/>
      <c r="J150" s="340"/>
      <c r="K150" s="340"/>
      <c r="L150" s="340"/>
      <c r="M150" s="340"/>
      <c r="N150" s="340"/>
      <c r="O150" s="340"/>
      <c r="P150" s="341"/>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c r="AL150" s="163">
        <v>0</v>
      </c>
      <c r="AM150" s="163">
        <v>0</v>
      </c>
      <c r="AN150" s="163">
        <v>6.32</v>
      </c>
      <c r="AO150" s="163">
        <v>6.32</v>
      </c>
      <c r="AP150" s="163">
        <v>6.32</v>
      </c>
      <c r="AQ150" s="163">
        <v>0</v>
      </c>
      <c r="AR150" s="163">
        <v>0</v>
      </c>
      <c r="AS150" s="163">
        <v>0</v>
      </c>
      <c r="AT150" s="163">
        <v>0</v>
      </c>
      <c r="AU150" s="163">
        <v>0</v>
      </c>
      <c r="AV150" s="163">
        <v>0</v>
      </c>
      <c r="AW150" s="163">
        <v>0</v>
      </c>
      <c r="AX150" s="163">
        <v>-18.8</v>
      </c>
      <c r="AY150" s="163">
        <v>0</v>
      </c>
      <c r="AZ150" s="163">
        <v>0</v>
      </c>
      <c r="BA150" s="163">
        <v>0</v>
      </c>
      <c r="BB150" s="163">
        <v>0</v>
      </c>
      <c r="BC150" s="163">
        <v>0</v>
      </c>
      <c r="BD150" s="163">
        <v>0</v>
      </c>
      <c r="BE150" s="163">
        <v>0</v>
      </c>
      <c r="BF150" s="163">
        <v>-20.91</v>
      </c>
      <c r="BG150" s="163">
        <v>-330.9</v>
      </c>
      <c r="BH150" s="163">
        <v>-261.52</v>
      </c>
      <c r="BI150" s="163">
        <v>-600.67999999999995</v>
      </c>
      <c r="BJ150" s="163">
        <v>-118.65</v>
      </c>
      <c r="BK150" s="163">
        <v>183.13</v>
      </c>
      <c r="BL150" s="163">
        <v>768.35</v>
      </c>
      <c r="BM150" s="163">
        <v>-37.83</v>
      </c>
      <c r="BN150" s="163">
        <v>40.53</v>
      </c>
      <c r="BO150" s="163">
        <v>40.53</v>
      </c>
      <c r="BP150" s="163">
        <v>1251.22</v>
      </c>
      <c r="BQ150" s="163">
        <v>1728.23</v>
      </c>
      <c r="BR150" s="163">
        <v>302.68</v>
      </c>
      <c r="BS150" s="163">
        <v>-890.09</v>
      </c>
      <c r="BT150" s="163">
        <v>-4.95</v>
      </c>
      <c r="BU150" s="163">
        <v>9.93</v>
      </c>
      <c r="BV150" s="163">
        <v>49.28</v>
      </c>
      <c r="BW150" s="163">
        <v>-33.06</v>
      </c>
      <c r="BX150" s="163">
        <v>-47.55</v>
      </c>
      <c r="BY150" s="163">
        <v>-47.55</v>
      </c>
      <c r="BZ150" s="163">
        <v>-47.55</v>
      </c>
      <c r="CA150" s="163">
        <v>-47.55</v>
      </c>
      <c r="CB150" s="163">
        <v>-47.55</v>
      </c>
      <c r="CC150" s="163">
        <v>-47.55</v>
      </c>
      <c r="CD150" s="163">
        <v>-47.55</v>
      </c>
      <c r="CE150" s="163">
        <v>-47.55</v>
      </c>
      <c r="CF150" s="163">
        <v>-47.55</v>
      </c>
      <c r="CG150" s="163">
        <v>-47.55</v>
      </c>
      <c r="CH150" s="163">
        <v>-47.55</v>
      </c>
      <c r="CI150" s="163">
        <v>-47.55</v>
      </c>
      <c r="CJ150" s="163">
        <v>-47.55</v>
      </c>
      <c r="CK150" s="163">
        <v>-47.55</v>
      </c>
      <c r="CL150" s="163">
        <v>-47.55</v>
      </c>
      <c r="CM150" s="163">
        <v>-47.55</v>
      </c>
      <c r="CN150" s="163">
        <v>-47.55</v>
      </c>
      <c r="CO150" s="163">
        <v>-47.55</v>
      </c>
      <c r="CP150" s="163">
        <v>-47.55</v>
      </c>
      <c r="CQ150" s="163">
        <v>-47.55</v>
      </c>
      <c r="CR150" s="163">
        <v>-47.55</v>
      </c>
      <c r="CS150" s="163">
        <v>-47.55</v>
      </c>
      <c r="CT150" s="163">
        <v>-47.55</v>
      </c>
      <c r="CU150" s="163">
        <v>-47.55</v>
      </c>
      <c r="CV150" s="163">
        <v>-47.55</v>
      </c>
      <c r="CW150" s="163">
        <v>-47.55</v>
      </c>
      <c r="CX150" s="163">
        <v>-47.55</v>
      </c>
      <c r="CY150" s="163">
        <v>-47.55</v>
      </c>
      <c r="CZ150" s="163">
        <v>-47.55</v>
      </c>
      <c r="DA150" s="163">
        <v>-47.55</v>
      </c>
      <c r="DB150" s="163">
        <v>-47.55</v>
      </c>
      <c r="DC150" s="163">
        <v>-47.55</v>
      </c>
      <c r="DD150" s="163">
        <v>-47.55</v>
      </c>
      <c r="DE150" s="163">
        <v>-47.55</v>
      </c>
      <c r="DF150" s="163">
        <f>VLOOKUP($C150,'[3]BS ACC'!$C$5:$DH$1006,108,FALSE)</f>
        <v>-47.55</v>
      </c>
      <c r="DG150" s="163">
        <f>VLOOKUP($C150,'[3]BS ACC'!$C$5:$DH$1006,109,FALSE)</f>
        <v>-47.55</v>
      </c>
      <c r="DH150" s="163">
        <f>VLOOKUP($C150,'[3]BS ACC'!$C$5:$DH$1006,110,FALSE)</f>
        <v>-47.55</v>
      </c>
    </row>
    <row r="151" spans="1:112">
      <c r="A151" s="350" t="str">
        <f t="shared" si="2"/>
        <v>1900306</v>
      </c>
      <c r="B151" s="350" t="s">
        <v>1529</v>
      </c>
      <c r="C151" s="335" t="s">
        <v>694</v>
      </c>
      <c r="D151" s="340">
        <v>387252.06</v>
      </c>
      <c r="E151" s="340">
        <v>1184508.3999999999</v>
      </c>
      <c r="F151" s="340">
        <v>827106.56</v>
      </c>
      <c r="G151" s="340">
        <v>503909.24</v>
      </c>
      <c r="H151" s="340">
        <v>1022346.63</v>
      </c>
      <c r="I151" s="340">
        <v>419490.27</v>
      </c>
      <c r="J151" s="340">
        <v>286229.44</v>
      </c>
      <c r="K151" s="340">
        <v>1074482.76</v>
      </c>
      <c r="L151" s="340">
        <v>506303.87</v>
      </c>
      <c r="M151" s="340">
        <v>535103.92000000004</v>
      </c>
      <c r="N151" s="340">
        <v>1210181.22</v>
      </c>
      <c r="O151" s="340">
        <v>894056.98</v>
      </c>
      <c r="P151" s="341">
        <v>2971950.86</v>
      </c>
      <c r="Q151" s="163">
        <v>2998230.6</v>
      </c>
      <c r="R151" s="163">
        <v>2456701.89</v>
      </c>
      <c r="S151" s="163">
        <v>2388688.12</v>
      </c>
      <c r="T151" s="163">
        <v>2081246.07</v>
      </c>
      <c r="U151" s="163">
        <v>2086352.85</v>
      </c>
      <c r="V151" s="163">
        <v>1718145.41</v>
      </c>
      <c r="W151" s="163">
        <v>1726000.72</v>
      </c>
      <c r="X151" s="163">
        <v>1835551.73</v>
      </c>
      <c r="Y151" s="163">
        <v>2094429.76</v>
      </c>
      <c r="Z151" s="163">
        <v>2660564.62</v>
      </c>
      <c r="AA151" s="163">
        <v>2667675.7400000002</v>
      </c>
      <c r="AB151" s="163">
        <v>2098924.66</v>
      </c>
      <c r="AC151" s="163">
        <v>1615930.43</v>
      </c>
      <c r="AD151" s="163">
        <v>1796318.17</v>
      </c>
      <c r="AE151" s="163">
        <v>1142853.74</v>
      </c>
      <c r="AF151" s="163">
        <v>670785.84</v>
      </c>
      <c r="AG151" s="163">
        <v>584534.52</v>
      </c>
      <c r="AH151" s="163">
        <v>232265.92</v>
      </c>
      <c r="AI151" s="163">
        <v>227132.68</v>
      </c>
      <c r="AJ151" s="163">
        <v>173660.33</v>
      </c>
      <c r="AK151" s="163">
        <v>172836.76</v>
      </c>
      <c r="AL151" s="163">
        <v>185855.08</v>
      </c>
      <c r="AM151" s="163">
        <v>201403.64</v>
      </c>
      <c r="AN151" s="163">
        <v>657941.17000000004</v>
      </c>
      <c r="AO151" s="163">
        <v>195622.13</v>
      </c>
      <c r="AP151" s="163">
        <v>139252.41</v>
      </c>
      <c r="AQ151" s="163">
        <v>161113.32999999999</v>
      </c>
      <c r="AR151" s="163">
        <v>178223.02</v>
      </c>
      <c r="AS151" s="163">
        <v>57366.97</v>
      </c>
      <c r="AT151" s="163">
        <v>36566.1</v>
      </c>
      <c r="AU151" s="163">
        <v>49108.14</v>
      </c>
      <c r="AV151" s="163">
        <v>35018.199999999997</v>
      </c>
      <c r="AW151" s="163">
        <v>29428.52</v>
      </c>
      <c r="AX151" s="163">
        <v>47305.56</v>
      </c>
      <c r="AY151" s="163">
        <v>22419.93</v>
      </c>
      <c r="AZ151" s="163">
        <v>299108.84000000003</v>
      </c>
      <c r="BA151" s="163">
        <v>278987.99</v>
      </c>
      <c r="BB151" s="163">
        <v>285626.15000000002</v>
      </c>
      <c r="BC151" s="163">
        <v>269654.89</v>
      </c>
      <c r="BD151" s="163">
        <v>268679.51</v>
      </c>
      <c r="BE151" s="163">
        <v>267149.46000000002</v>
      </c>
      <c r="BF151" s="163">
        <v>266274.3</v>
      </c>
      <c r="BG151" s="163">
        <v>265502.32</v>
      </c>
      <c r="BH151" s="163">
        <v>263871.07</v>
      </c>
      <c r="BI151" s="163">
        <v>265168.93</v>
      </c>
      <c r="BJ151" s="163">
        <v>266083.78000000003</v>
      </c>
      <c r="BK151" s="163">
        <v>263176.49</v>
      </c>
      <c r="BL151" s="163">
        <v>263176.49</v>
      </c>
      <c r="BM151" s="163">
        <v>263176.49</v>
      </c>
      <c r="BN151" s="163">
        <v>263176.49</v>
      </c>
      <c r="BO151" s="163">
        <v>263176.49</v>
      </c>
      <c r="BP151" s="163">
        <v>263176.49</v>
      </c>
      <c r="BQ151" s="163">
        <v>263176.49</v>
      </c>
      <c r="BR151" s="163">
        <v>263176.49</v>
      </c>
      <c r="BS151" s="163">
        <v>263176.49</v>
      </c>
      <c r="BT151" s="163">
        <v>263176.49</v>
      </c>
      <c r="BU151" s="163">
        <v>263176.49</v>
      </c>
      <c r="BV151" s="163">
        <v>263176.49</v>
      </c>
      <c r="BW151" s="163">
        <v>263176.49</v>
      </c>
      <c r="BX151" s="163">
        <v>263176.49</v>
      </c>
      <c r="BY151" s="163">
        <v>263176.49</v>
      </c>
      <c r="BZ151" s="163">
        <v>263176.49</v>
      </c>
      <c r="CA151" s="163">
        <v>263176.49</v>
      </c>
      <c r="CB151" s="163">
        <v>263176.49</v>
      </c>
      <c r="CC151" s="163">
        <v>263176.49</v>
      </c>
      <c r="CD151" s="163">
        <v>263176.49</v>
      </c>
      <c r="CE151" s="163">
        <v>263176.49</v>
      </c>
      <c r="CF151" s="163">
        <v>263176.49</v>
      </c>
      <c r="CG151" s="163">
        <v>263176.49</v>
      </c>
      <c r="CH151" s="163">
        <v>263176.49</v>
      </c>
      <c r="CI151" s="163">
        <v>263176.49</v>
      </c>
      <c r="CJ151" s="163">
        <v>263176.49</v>
      </c>
      <c r="CK151" s="163">
        <v>263176.49</v>
      </c>
      <c r="CL151" s="163">
        <v>263176.49</v>
      </c>
      <c r="CM151" s="163">
        <v>263176.49</v>
      </c>
      <c r="CN151" s="163">
        <v>263176.49</v>
      </c>
      <c r="CO151" s="163">
        <v>263176.49</v>
      </c>
      <c r="CP151" s="163">
        <v>263176.49</v>
      </c>
      <c r="CQ151" s="163">
        <v>263176.49</v>
      </c>
      <c r="CR151" s="163">
        <v>263176.49</v>
      </c>
      <c r="CS151" s="163">
        <v>263176.49</v>
      </c>
      <c r="CT151" s="163">
        <v>263176.49</v>
      </c>
      <c r="CU151" s="163">
        <v>263176.49</v>
      </c>
      <c r="CV151" s="163">
        <v>263176.49</v>
      </c>
      <c r="CW151" s="163">
        <v>263176.49</v>
      </c>
      <c r="CX151" s="163">
        <v>263176.49</v>
      </c>
      <c r="CY151" s="163">
        <v>263176.49</v>
      </c>
      <c r="CZ151" s="163">
        <v>263176.49</v>
      </c>
      <c r="DA151" s="163">
        <v>263176.49</v>
      </c>
      <c r="DB151" s="163">
        <v>263176.49</v>
      </c>
      <c r="DC151" s="163">
        <v>263176.49</v>
      </c>
      <c r="DD151" s="163">
        <v>263176.49</v>
      </c>
      <c r="DE151" s="163">
        <v>263176.49</v>
      </c>
      <c r="DF151" s="163">
        <f>VLOOKUP($C151,'[3]BS ACC'!$C$5:$DH$1006,108,FALSE)</f>
        <v>263176.49</v>
      </c>
      <c r="DG151" s="163">
        <f>VLOOKUP($C151,'[3]BS ACC'!$C$5:$DH$1006,109,FALSE)</f>
        <v>263176.49</v>
      </c>
      <c r="DH151" s="163">
        <f>VLOOKUP($C151,'[3]BS ACC'!$C$5:$DH$1006,110,FALSE)</f>
        <v>263176.49</v>
      </c>
    </row>
    <row r="152" spans="1:112">
      <c r="A152" s="350" t="str">
        <f t="shared" si="2"/>
        <v>1900307</v>
      </c>
      <c r="B152" s="350" t="s">
        <v>1530</v>
      </c>
      <c r="C152" s="335" t="s">
        <v>695</v>
      </c>
      <c r="D152" s="340">
        <v>985034.78</v>
      </c>
      <c r="E152" s="340">
        <v>972968.37</v>
      </c>
      <c r="F152" s="340">
        <v>960901.97</v>
      </c>
      <c r="G152" s="340">
        <v>948835.56</v>
      </c>
      <c r="H152" s="340">
        <v>935980.75</v>
      </c>
      <c r="I152" s="340">
        <v>928123.12</v>
      </c>
      <c r="J152" s="340">
        <v>916047.19</v>
      </c>
      <c r="K152" s="340">
        <v>903971.27</v>
      </c>
      <c r="L152" s="340">
        <v>891895.35</v>
      </c>
      <c r="M152" s="340">
        <v>879819.43</v>
      </c>
      <c r="N152" s="340">
        <v>867743.51</v>
      </c>
      <c r="O152" s="340">
        <v>855667.58</v>
      </c>
      <c r="P152" s="341">
        <v>843591.66</v>
      </c>
      <c r="Q152" s="163">
        <v>831515.75</v>
      </c>
      <c r="R152" s="163">
        <v>819439.83</v>
      </c>
      <c r="S152" s="163">
        <v>798260.36</v>
      </c>
      <c r="T152" s="163">
        <v>733177.13</v>
      </c>
      <c r="U152" s="163">
        <v>668428.57999999996</v>
      </c>
      <c r="V152" s="163">
        <v>656671.51</v>
      </c>
      <c r="W152" s="163">
        <v>644914.43000000005</v>
      </c>
      <c r="X152" s="163">
        <v>633157.35</v>
      </c>
      <c r="Y152" s="163">
        <v>621400.27</v>
      </c>
      <c r="Z152" s="163">
        <v>609643.18999999994</v>
      </c>
      <c r="AA152" s="163">
        <v>597886.12</v>
      </c>
      <c r="AB152" s="163">
        <v>586129.04</v>
      </c>
      <c r="AC152" s="163">
        <v>574371.97</v>
      </c>
      <c r="AD152" s="163">
        <v>562614.88</v>
      </c>
      <c r="AE152" s="163">
        <v>550857.81000000006</v>
      </c>
      <c r="AF152" s="163">
        <v>539100.73</v>
      </c>
      <c r="AG152" s="163">
        <v>527343.65</v>
      </c>
      <c r="AH152" s="163">
        <v>515586.58</v>
      </c>
      <c r="AI152" s="163">
        <v>503829.49</v>
      </c>
      <c r="AJ152" s="163">
        <v>492072.42</v>
      </c>
      <c r="AK152" s="163">
        <v>480315.34</v>
      </c>
      <c r="AL152" s="163">
        <v>468558.27</v>
      </c>
      <c r="AM152" s="163">
        <v>456801.19</v>
      </c>
      <c r="AN152" s="163">
        <v>445044.1</v>
      </c>
      <c r="AO152" s="163">
        <v>433287.03</v>
      </c>
      <c r="AP152" s="163">
        <v>421529.95</v>
      </c>
      <c r="AQ152" s="163">
        <v>409772.88</v>
      </c>
      <c r="AR152" s="163">
        <v>398015.8</v>
      </c>
      <c r="AS152" s="163">
        <v>386258.72</v>
      </c>
      <c r="AT152" s="163">
        <v>374501.64</v>
      </c>
      <c r="AU152" s="163">
        <v>362744.57</v>
      </c>
      <c r="AV152" s="163">
        <v>350987.49</v>
      </c>
      <c r="AW152" s="163">
        <v>339230.41</v>
      </c>
      <c r="AX152" s="163">
        <v>327473.33</v>
      </c>
      <c r="AY152" s="163">
        <v>315716.25</v>
      </c>
      <c r="AZ152" s="163">
        <v>360393.15</v>
      </c>
      <c r="BA152" s="163">
        <v>353338.9</v>
      </c>
      <c r="BB152" s="163">
        <v>346284.66</v>
      </c>
      <c r="BC152" s="163">
        <v>339230.41</v>
      </c>
      <c r="BD152" s="163">
        <v>332176.17</v>
      </c>
      <c r="BE152" s="163">
        <v>328376.3</v>
      </c>
      <c r="BF152" s="163">
        <v>327830.77</v>
      </c>
      <c r="BG152" s="163">
        <v>327285.24</v>
      </c>
      <c r="BH152" s="163">
        <v>326739.73</v>
      </c>
      <c r="BI152" s="163">
        <v>326194.2</v>
      </c>
      <c r="BJ152" s="163">
        <v>325648.67</v>
      </c>
      <c r="BK152" s="163">
        <v>325103.14</v>
      </c>
      <c r="BL152" s="163">
        <v>324557.62</v>
      </c>
      <c r="BM152" s="163">
        <v>324012.09000000003</v>
      </c>
      <c r="BN152" s="163">
        <v>323466.57</v>
      </c>
      <c r="BO152" s="163">
        <v>322921.03999999998</v>
      </c>
      <c r="BP152" s="163">
        <v>322375.51</v>
      </c>
      <c r="BQ152" s="163">
        <v>321829.98</v>
      </c>
      <c r="BR152" s="163">
        <v>321284.46000000002</v>
      </c>
      <c r="BS152" s="163">
        <v>320738.93</v>
      </c>
      <c r="BT152" s="163">
        <v>320193.40000000002</v>
      </c>
      <c r="BU152" s="163">
        <v>319647.87</v>
      </c>
      <c r="BV152" s="163">
        <v>319102.34999999998</v>
      </c>
      <c r="BW152" s="163">
        <v>318556.82</v>
      </c>
      <c r="BX152" s="163">
        <v>318011.28999999998</v>
      </c>
      <c r="BY152" s="163">
        <v>317465.76</v>
      </c>
      <c r="BZ152" s="163">
        <v>316920.24</v>
      </c>
      <c r="CA152" s="163">
        <v>316374.71000000002</v>
      </c>
      <c r="CB152" s="163">
        <v>315829.18</v>
      </c>
      <c r="CC152" s="163">
        <v>315283.65000000002</v>
      </c>
      <c r="CD152" s="163">
        <v>314738.13</v>
      </c>
      <c r="CE152" s="163">
        <v>314192.59999999998</v>
      </c>
      <c r="CF152" s="163">
        <v>313647.07</v>
      </c>
      <c r="CG152" s="163">
        <v>313101.53999999998</v>
      </c>
      <c r="CH152" s="163">
        <v>312556.02</v>
      </c>
      <c r="CI152" s="163">
        <v>312010.49</v>
      </c>
      <c r="CJ152" s="163">
        <v>311464.96000000002</v>
      </c>
      <c r="CK152" s="163">
        <v>310919.43</v>
      </c>
      <c r="CL152" s="163">
        <v>310373.90999999997</v>
      </c>
      <c r="CM152" s="163">
        <v>309828.38</v>
      </c>
      <c r="CN152" s="163">
        <v>309282.84999999998</v>
      </c>
      <c r="CO152" s="163">
        <v>308737.32</v>
      </c>
      <c r="CP152" s="163">
        <v>308191.8</v>
      </c>
      <c r="CQ152" s="163">
        <v>307646.27</v>
      </c>
      <c r="CR152" s="163">
        <v>307100.74</v>
      </c>
      <c r="CS152" s="163">
        <v>306555.21000000002</v>
      </c>
      <c r="CT152" s="163">
        <v>306009.69</v>
      </c>
      <c r="CU152" s="163">
        <v>305464.15999999997</v>
      </c>
      <c r="CV152" s="163">
        <v>304918.63</v>
      </c>
      <c r="CW152" s="163">
        <v>304373.09999999998</v>
      </c>
      <c r="CX152" s="163">
        <v>303827.58</v>
      </c>
      <c r="CY152" s="163">
        <v>303282.05</v>
      </c>
      <c r="CZ152" s="163">
        <v>302736.52</v>
      </c>
      <c r="DA152" s="163">
        <v>302190.99</v>
      </c>
      <c r="DB152" s="163">
        <v>301645.46999999997</v>
      </c>
      <c r="DC152" s="163">
        <v>301099.94</v>
      </c>
      <c r="DD152" s="163">
        <v>300554.40999999997</v>
      </c>
      <c r="DE152" s="163">
        <v>300008.88</v>
      </c>
      <c r="DF152" s="163">
        <f>VLOOKUP($C152,'[3]BS ACC'!$C$5:$DH$1006,108,FALSE)</f>
        <v>299463.36</v>
      </c>
      <c r="DG152" s="163">
        <f>VLOOKUP($C152,'[3]BS ACC'!$C$5:$DH$1006,109,FALSE)</f>
        <v>298917.83</v>
      </c>
      <c r="DH152" s="163">
        <f>VLOOKUP($C152,'[3]BS ACC'!$C$5:$DH$1006,110,FALSE)</f>
        <v>298372.3</v>
      </c>
    </row>
    <row r="153" spans="1:112">
      <c r="A153" s="350" t="str">
        <f t="shared" si="2"/>
        <v>1900308</v>
      </c>
      <c r="B153" s="350" t="s">
        <v>1531</v>
      </c>
      <c r="C153" s="335" t="s">
        <v>696</v>
      </c>
      <c r="D153" s="340">
        <v>5715079.0599999996</v>
      </c>
      <c r="E153" s="340">
        <v>5715079.0599999996</v>
      </c>
      <c r="F153" s="340">
        <v>5715079.0599999996</v>
      </c>
      <c r="G153" s="340">
        <v>5589363.6399999997</v>
      </c>
      <c r="H153" s="340">
        <v>5589363.6399999997</v>
      </c>
      <c r="I153" s="340">
        <v>5589363.6399999997</v>
      </c>
      <c r="J153" s="340">
        <v>5459970.9199999999</v>
      </c>
      <c r="K153" s="340">
        <v>5459970.9199999999</v>
      </c>
      <c r="L153" s="340">
        <v>5459970.9199999999</v>
      </c>
      <c r="M153" s="340">
        <v>5391773.9100000001</v>
      </c>
      <c r="N153" s="340">
        <v>5391773.9100000001</v>
      </c>
      <c r="O153" s="340">
        <v>5391773.9100000001</v>
      </c>
      <c r="P153" s="341">
        <v>6394086.6500000004</v>
      </c>
      <c r="Q153" s="163">
        <v>6394086.6500000004</v>
      </c>
      <c r="R153" s="163">
        <v>6394086.6500000004</v>
      </c>
      <c r="S153" s="163">
        <v>6514031.8099999996</v>
      </c>
      <c r="T153" s="163">
        <v>6514031.8099999996</v>
      </c>
      <c r="U153" s="163">
        <v>6514031.8099999996</v>
      </c>
      <c r="V153" s="163">
        <v>6120175.3700000001</v>
      </c>
      <c r="W153" s="163">
        <v>6120175.3700000001</v>
      </c>
      <c r="X153" s="163">
        <v>6018792.9000000004</v>
      </c>
      <c r="Y153" s="163">
        <v>5881836.9299999997</v>
      </c>
      <c r="Z153" s="163">
        <v>5881836.9299999997</v>
      </c>
      <c r="AA153" s="163">
        <v>5881836.9299999997</v>
      </c>
      <c r="AB153" s="163">
        <v>8305232.25</v>
      </c>
      <c r="AC153" s="163">
        <v>8305232.25</v>
      </c>
      <c r="AD153" s="163">
        <v>8305232.25</v>
      </c>
      <c r="AE153" s="163">
        <v>8188206.9500000002</v>
      </c>
      <c r="AF153" s="163">
        <v>8188206.9500000002</v>
      </c>
      <c r="AG153" s="163">
        <v>8191274.6600000001</v>
      </c>
      <c r="AH153" s="163">
        <v>8035212.9100000001</v>
      </c>
      <c r="AI153" s="163">
        <v>8035212.9100000001</v>
      </c>
      <c r="AJ153" s="163">
        <v>8035212.9100000001</v>
      </c>
      <c r="AK153" s="163">
        <v>10827023.060000001</v>
      </c>
      <c r="AL153" s="163">
        <v>10827023.060000001</v>
      </c>
      <c r="AM153" s="163">
        <v>10827023.060000001</v>
      </c>
      <c r="AN153" s="163">
        <v>9370067.3300000001</v>
      </c>
      <c r="AO153" s="163">
        <v>9370067.3300000001</v>
      </c>
      <c r="AP153" s="163">
        <v>9370067.3300000001</v>
      </c>
      <c r="AQ153" s="163">
        <v>9229979.1500000004</v>
      </c>
      <c r="AR153" s="163">
        <v>9229979.1500000004</v>
      </c>
      <c r="AS153" s="163">
        <v>9229979.1500000004</v>
      </c>
      <c r="AT153" s="163">
        <v>9483106.1099999994</v>
      </c>
      <c r="AU153" s="163">
        <v>9483106.1099999994</v>
      </c>
      <c r="AV153" s="163">
        <v>9483106.1099999994</v>
      </c>
      <c r="AW153" s="163">
        <v>9331117.5399999991</v>
      </c>
      <c r="AX153" s="163">
        <v>9331117.5399999991</v>
      </c>
      <c r="AY153" s="163">
        <v>9331117.5399999991</v>
      </c>
      <c r="AZ153" s="163">
        <v>8964453.3800000008</v>
      </c>
      <c r="BA153" s="163">
        <v>8964453.3800000008</v>
      </c>
      <c r="BB153" s="163">
        <v>8964453.3800000008</v>
      </c>
      <c r="BC153" s="163">
        <v>8868570.4700000007</v>
      </c>
      <c r="BD153" s="163">
        <v>8868570.4700000007</v>
      </c>
      <c r="BE153" s="163">
        <v>8868570.4700000007</v>
      </c>
      <c r="BF153" s="163">
        <v>8761820.6600000001</v>
      </c>
      <c r="BG153" s="163">
        <v>8761820.6600000001</v>
      </c>
      <c r="BH153" s="163">
        <v>8761820.6600000001</v>
      </c>
      <c r="BI153" s="163">
        <v>8665127.0800000001</v>
      </c>
      <c r="BJ153" s="163">
        <v>8665127.0800000001</v>
      </c>
      <c r="BK153" s="163">
        <v>8665127.0800000001</v>
      </c>
      <c r="BL153" s="163">
        <v>9847866.0700000003</v>
      </c>
      <c r="BM153" s="163">
        <v>9847866.0700000003</v>
      </c>
      <c r="BN153" s="163">
        <v>9847866.0700000003</v>
      </c>
      <c r="BO153" s="163">
        <v>9769162.5999999996</v>
      </c>
      <c r="BP153" s="163">
        <v>9769162.5999999996</v>
      </c>
      <c r="BQ153" s="163">
        <v>9769162.5999999996</v>
      </c>
      <c r="BR153" s="163">
        <v>9682850.7300000004</v>
      </c>
      <c r="BS153" s="163">
        <v>9682850.7300000004</v>
      </c>
      <c r="BT153" s="163">
        <v>9682850.7300000004</v>
      </c>
      <c r="BU153" s="163">
        <v>9600342.9700000007</v>
      </c>
      <c r="BV153" s="163">
        <v>9600342.9700000007</v>
      </c>
      <c r="BW153" s="163">
        <v>9600342.9700000007</v>
      </c>
      <c r="BX153" s="163">
        <v>9643018.0399999991</v>
      </c>
      <c r="BY153" s="163">
        <v>9643018.0399999991</v>
      </c>
      <c r="BZ153" s="163">
        <v>9643018.0399999991</v>
      </c>
      <c r="CA153" s="163">
        <v>9539837.5299999993</v>
      </c>
      <c r="CB153" s="163">
        <v>9539837.5299999993</v>
      </c>
      <c r="CC153" s="163">
        <v>9539837.5299999993</v>
      </c>
      <c r="CD153" s="163">
        <v>9430925.1999999993</v>
      </c>
      <c r="CE153" s="163">
        <v>9430925.1999999993</v>
      </c>
      <c r="CF153" s="163">
        <v>9430925.1999999993</v>
      </c>
      <c r="CG153" s="163">
        <v>9324878.6799999997</v>
      </c>
      <c r="CH153" s="163">
        <v>9324878.6799999997</v>
      </c>
      <c r="CI153" s="163">
        <v>9324878.6799999997</v>
      </c>
      <c r="CJ153" s="163">
        <v>10561199.359999999</v>
      </c>
      <c r="CK153" s="163">
        <v>10561199.359999999</v>
      </c>
      <c r="CL153" s="163">
        <v>10561199.359999999</v>
      </c>
      <c r="CM153" s="163">
        <v>10423095.82</v>
      </c>
      <c r="CN153" s="163">
        <v>10423095.82</v>
      </c>
      <c r="CO153" s="163">
        <v>10423095.82</v>
      </c>
      <c r="CP153" s="163">
        <v>10284992.279999999</v>
      </c>
      <c r="CQ153" s="163">
        <v>10284992.279999999</v>
      </c>
      <c r="CR153" s="163">
        <v>10284992.279999999</v>
      </c>
      <c r="CS153" s="163">
        <v>10070721.060000001</v>
      </c>
      <c r="CT153" s="163">
        <v>10070721.060000001</v>
      </c>
      <c r="CU153" s="163">
        <v>10070721.060000001</v>
      </c>
      <c r="CV153" s="163">
        <v>8799943.1199999992</v>
      </c>
      <c r="CW153" s="163">
        <v>8799943.1199999992</v>
      </c>
      <c r="CX153" s="163">
        <v>8799943.1199999992</v>
      </c>
      <c r="CY153" s="163">
        <v>8689937.5199999996</v>
      </c>
      <c r="CZ153" s="163">
        <v>8689937.5199999996</v>
      </c>
      <c r="DA153" s="163">
        <v>8689937.5199999996</v>
      </c>
      <c r="DB153" s="163">
        <v>8351004.7800000003</v>
      </c>
      <c r="DC153" s="163">
        <v>8351004.7800000003</v>
      </c>
      <c r="DD153" s="163">
        <v>8351004.7800000003</v>
      </c>
      <c r="DE153" s="163">
        <v>8239987.8700000001</v>
      </c>
      <c r="DF153" s="163">
        <f>VLOOKUP($C153,'[3]BS ACC'!$C$5:$DH$1006,108,FALSE)</f>
        <v>8239987.8700000001</v>
      </c>
      <c r="DG153" s="163">
        <f>VLOOKUP($C153,'[3]BS ACC'!$C$5:$DH$1006,109,FALSE)</f>
        <v>8239987.8700000001</v>
      </c>
      <c r="DH153" s="163">
        <f>VLOOKUP($C153,'[3]BS ACC'!$C$5:$DH$1006,110,FALSE)</f>
        <v>9743462.5299999993</v>
      </c>
    </row>
    <row r="154" spans="1:112">
      <c r="A154" s="350" t="str">
        <f t="shared" si="2"/>
        <v>1900309</v>
      </c>
      <c r="B154" s="350" t="s">
        <v>1532</v>
      </c>
      <c r="C154" s="335" t="s">
        <v>697</v>
      </c>
      <c r="D154" s="340">
        <v>31991</v>
      </c>
      <c r="E154" s="340">
        <v>31991</v>
      </c>
      <c r="F154" s="340">
        <v>31991</v>
      </c>
      <c r="G154" s="340">
        <v>31991</v>
      </c>
      <c r="H154" s="340">
        <v>31991</v>
      </c>
      <c r="I154" s="340">
        <v>31991</v>
      </c>
      <c r="J154" s="340">
        <v>31991</v>
      </c>
      <c r="K154" s="340">
        <v>31991</v>
      </c>
      <c r="L154" s="340">
        <v>31991</v>
      </c>
      <c r="M154" s="340">
        <v>31991</v>
      </c>
      <c r="N154" s="340">
        <v>31991</v>
      </c>
      <c r="O154" s="340">
        <v>31991</v>
      </c>
      <c r="P154" s="341">
        <v>31991</v>
      </c>
      <c r="Q154" s="163">
        <v>31991</v>
      </c>
      <c r="R154" s="163">
        <v>31991</v>
      </c>
      <c r="S154" s="163">
        <v>31991</v>
      </c>
      <c r="T154" s="163">
        <v>31991</v>
      </c>
      <c r="U154" s="163">
        <v>31991</v>
      </c>
      <c r="V154" s="163">
        <v>31991</v>
      </c>
      <c r="W154" s="163">
        <v>31991</v>
      </c>
      <c r="X154" s="163">
        <v>31991</v>
      </c>
      <c r="Y154" s="163">
        <v>31991</v>
      </c>
      <c r="Z154" s="163">
        <v>31991</v>
      </c>
      <c r="AA154" s="163">
        <v>31991</v>
      </c>
      <c r="AB154" s="163">
        <v>31991</v>
      </c>
      <c r="AC154" s="163">
        <v>31991</v>
      </c>
      <c r="AD154" s="163">
        <v>31991</v>
      </c>
      <c r="AE154" s="163">
        <v>31991</v>
      </c>
      <c r="AF154" s="163">
        <v>31991</v>
      </c>
      <c r="AG154" s="163">
        <v>31991</v>
      </c>
      <c r="AH154" s="163">
        <v>31991</v>
      </c>
      <c r="AI154" s="163">
        <v>31991</v>
      </c>
      <c r="AJ154" s="163">
        <v>31991</v>
      </c>
      <c r="AK154" s="163">
        <v>31991</v>
      </c>
      <c r="AL154" s="163">
        <v>31991</v>
      </c>
      <c r="AM154" s="163">
        <v>31991</v>
      </c>
      <c r="AN154" s="163">
        <v>31991</v>
      </c>
      <c r="AO154" s="163">
        <v>31991</v>
      </c>
      <c r="AP154" s="163">
        <v>31991</v>
      </c>
      <c r="AQ154" s="163">
        <v>31991</v>
      </c>
      <c r="AR154" s="163">
        <v>31991</v>
      </c>
      <c r="AS154" s="163">
        <v>31991</v>
      </c>
      <c r="AT154" s="163">
        <v>31991</v>
      </c>
      <c r="AU154" s="163">
        <v>31991</v>
      </c>
      <c r="AV154" s="163">
        <v>31991</v>
      </c>
      <c r="AW154" s="163">
        <v>31991</v>
      </c>
      <c r="AX154" s="163">
        <v>31991</v>
      </c>
      <c r="AY154" s="163">
        <v>31991</v>
      </c>
      <c r="AZ154" s="163">
        <v>31991</v>
      </c>
      <c r="BA154" s="163">
        <v>31991</v>
      </c>
      <c r="BB154" s="163">
        <v>31991</v>
      </c>
      <c r="BC154" s="163">
        <v>31991</v>
      </c>
      <c r="BD154" s="163">
        <v>31991</v>
      </c>
      <c r="BE154" s="163">
        <v>31991</v>
      </c>
      <c r="BF154" s="163">
        <v>31991</v>
      </c>
      <c r="BG154" s="163">
        <v>31991</v>
      </c>
      <c r="BH154" s="163">
        <v>31991</v>
      </c>
      <c r="BI154" s="163">
        <v>31991</v>
      </c>
      <c r="BJ154" s="163">
        <v>31991</v>
      </c>
      <c r="BK154" s="163">
        <v>31991</v>
      </c>
      <c r="BL154" s="163">
        <v>31991</v>
      </c>
      <c r="BM154" s="163">
        <v>31991</v>
      </c>
      <c r="BN154" s="163">
        <v>31991</v>
      </c>
      <c r="BO154" s="163">
        <v>31991</v>
      </c>
      <c r="BP154" s="163">
        <v>31991</v>
      </c>
      <c r="BQ154" s="163">
        <v>31991</v>
      </c>
      <c r="BR154" s="163">
        <v>31991</v>
      </c>
      <c r="BS154" s="163">
        <v>31991</v>
      </c>
      <c r="BT154" s="163">
        <v>31991</v>
      </c>
      <c r="BU154" s="163">
        <v>31991</v>
      </c>
      <c r="BV154" s="163">
        <v>31991</v>
      </c>
      <c r="BW154" s="163">
        <v>31991</v>
      </c>
      <c r="BX154" s="163">
        <v>31991</v>
      </c>
      <c r="BY154" s="163">
        <v>31991</v>
      </c>
      <c r="BZ154" s="163">
        <v>31991</v>
      </c>
      <c r="CA154" s="163">
        <v>31991</v>
      </c>
      <c r="CB154" s="163">
        <v>31991</v>
      </c>
      <c r="CC154" s="163">
        <v>31991</v>
      </c>
      <c r="CD154" s="163">
        <v>31991</v>
      </c>
      <c r="CE154" s="163">
        <v>31991</v>
      </c>
      <c r="CF154" s="163">
        <v>31991</v>
      </c>
      <c r="CG154" s="163">
        <v>31991</v>
      </c>
      <c r="CH154" s="163">
        <v>31991</v>
      </c>
      <c r="CI154" s="163">
        <v>31991</v>
      </c>
      <c r="CJ154" s="163">
        <v>31991</v>
      </c>
      <c r="CK154" s="163">
        <v>31991</v>
      </c>
      <c r="CL154" s="163">
        <v>31991</v>
      </c>
      <c r="CM154" s="163">
        <v>31991</v>
      </c>
      <c r="CN154" s="163">
        <v>31991</v>
      </c>
      <c r="CO154" s="163">
        <v>31991</v>
      </c>
      <c r="CP154" s="163">
        <v>31991</v>
      </c>
      <c r="CQ154" s="163">
        <v>31991</v>
      </c>
      <c r="CR154" s="163">
        <v>31991</v>
      </c>
      <c r="CS154" s="163">
        <v>31991</v>
      </c>
      <c r="CT154" s="163">
        <v>31991</v>
      </c>
      <c r="CU154" s="163">
        <v>31991</v>
      </c>
      <c r="CV154" s="163">
        <v>31991</v>
      </c>
      <c r="CW154" s="163">
        <v>31991</v>
      </c>
      <c r="CX154" s="163">
        <v>31991</v>
      </c>
      <c r="CY154" s="163">
        <v>31991</v>
      </c>
      <c r="CZ154" s="163">
        <v>31991</v>
      </c>
      <c r="DA154" s="163">
        <v>31991</v>
      </c>
      <c r="DB154" s="163">
        <v>31991</v>
      </c>
      <c r="DC154" s="163">
        <v>31991</v>
      </c>
      <c r="DD154" s="163">
        <v>31991</v>
      </c>
      <c r="DE154" s="163">
        <v>31991</v>
      </c>
      <c r="DF154" s="163">
        <f>VLOOKUP($C154,'[3]BS ACC'!$C$5:$DH$1006,108,FALSE)</f>
        <v>31991</v>
      </c>
      <c r="DG154" s="163">
        <f>VLOOKUP($C154,'[3]BS ACC'!$C$5:$DH$1006,109,FALSE)</f>
        <v>31991</v>
      </c>
      <c r="DH154" s="163">
        <f>VLOOKUP($C154,'[3]BS ACC'!$C$5:$DH$1006,110,FALSE)</f>
        <v>31991</v>
      </c>
    </row>
    <row r="155" spans="1:112">
      <c r="A155" s="350" t="str">
        <f t="shared" si="2"/>
        <v>1900310</v>
      </c>
      <c r="B155" s="350" t="s">
        <v>1606</v>
      </c>
      <c r="C155" s="335" t="s">
        <v>698</v>
      </c>
      <c r="D155" s="340">
        <v>104848</v>
      </c>
      <c r="E155" s="340">
        <v>104848</v>
      </c>
      <c r="F155" s="340">
        <v>104848</v>
      </c>
      <c r="G155" s="340">
        <v>104848</v>
      </c>
      <c r="H155" s="340">
        <v>104848</v>
      </c>
      <c r="I155" s="340">
        <v>104848</v>
      </c>
      <c r="J155" s="340">
        <v>104848</v>
      </c>
      <c r="K155" s="340">
        <v>104848</v>
      </c>
      <c r="L155" s="340">
        <v>104848</v>
      </c>
      <c r="M155" s="340">
        <v>104848</v>
      </c>
      <c r="N155" s="340">
        <v>104848</v>
      </c>
      <c r="O155" s="340">
        <v>104848</v>
      </c>
      <c r="P155" s="341">
        <v>104848</v>
      </c>
      <c r="Q155" s="163">
        <v>104848</v>
      </c>
      <c r="R155" s="163">
        <v>104848</v>
      </c>
      <c r="S155" s="163">
        <v>104848</v>
      </c>
      <c r="T155" s="163">
        <v>104848</v>
      </c>
      <c r="U155" s="163">
        <v>104848</v>
      </c>
      <c r="V155" s="163">
        <v>104848</v>
      </c>
      <c r="W155" s="163">
        <v>104848</v>
      </c>
      <c r="X155" s="163">
        <v>104848</v>
      </c>
      <c r="Y155" s="163">
        <v>104848</v>
      </c>
      <c r="Z155" s="163">
        <v>104848</v>
      </c>
      <c r="AA155" s="163">
        <v>104848</v>
      </c>
      <c r="AB155" s="163">
        <v>104848</v>
      </c>
      <c r="AC155" s="163">
        <v>104848</v>
      </c>
      <c r="AD155" s="163">
        <v>104848</v>
      </c>
      <c r="AE155" s="163">
        <v>104848</v>
      </c>
      <c r="AF155" s="163">
        <v>104848</v>
      </c>
      <c r="AG155" s="163">
        <v>104848</v>
      </c>
      <c r="AH155" s="163">
        <v>104848</v>
      </c>
      <c r="AI155" s="163">
        <v>104848</v>
      </c>
      <c r="AJ155" s="163">
        <v>462207</v>
      </c>
      <c r="AK155" s="163">
        <v>394317</v>
      </c>
      <c r="AL155" s="163">
        <v>394317</v>
      </c>
      <c r="AM155" s="163">
        <v>394317</v>
      </c>
      <c r="AN155" s="163">
        <v>394317</v>
      </c>
      <c r="AO155" s="163">
        <v>394317</v>
      </c>
      <c r="AP155" s="163">
        <v>394317</v>
      </c>
      <c r="AQ155" s="163">
        <v>394317</v>
      </c>
      <c r="AR155" s="163">
        <v>394317</v>
      </c>
      <c r="AS155" s="163">
        <v>394317</v>
      </c>
      <c r="AT155" s="163">
        <v>394317</v>
      </c>
      <c r="AU155" s="163">
        <v>394317</v>
      </c>
      <c r="AV155" s="163">
        <v>394317</v>
      </c>
      <c r="AW155" s="163">
        <v>394317</v>
      </c>
      <c r="AX155" s="163">
        <v>394317</v>
      </c>
      <c r="AY155" s="163">
        <v>394317</v>
      </c>
      <c r="AZ155" s="163">
        <v>394317</v>
      </c>
      <c r="BA155" s="163">
        <v>394317</v>
      </c>
      <c r="BB155" s="163">
        <v>394317</v>
      </c>
      <c r="BC155" s="163">
        <v>394317</v>
      </c>
      <c r="BD155" s="163">
        <v>394317</v>
      </c>
      <c r="BE155" s="163">
        <v>394317</v>
      </c>
      <c r="BF155" s="163">
        <v>394317</v>
      </c>
      <c r="BG155" s="163">
        <v>394317</v>
      </c>
      <c r="BH155" s="163">
        <v>394317</v>
      </c>
      <c r="BI155" s="163">
        <v>394317</v>
      </c>
      <c r="BJ155" s="163">
        <v>394317</v>
      </c>
      <c r="BK155" s="163">
        <v>394317</v>
      </c>
      <c r="BL155" s="163">
        <v>683608.01</v>
      </c>
      <c r="BM155" s="163">
        <v>683608.01</v>
      </c>
      <c r="BN155" s="163">
        <v>683608.01</v>
      </c>
      <c r="BO155" s="163">
        <v>683608.01</v>
      </c>
      <c r="BP155" s="163">
        <v>683608.01</v>
      </c>
      <c r="BQ155" s="163">
        <v>683608.01</v>
      </c>
      <c r="BR155" s="163">
        <v>683608.01</v>
      </c>
      <c r="BS155" s="163">
        <v>683608.01</v>
      </c>
      <c r="BT155" s="163">
        <v>683608.01</v>
      </c>
      <c r="BU155" s="163">
        <v>683608.01</v>
      </c>
      <c r="BV155" s="163">
        <v>683608.01</v>
      </c>
      <c r="BW155" s="163">
        <v>683608.01</v>
      </c>
      <c r="BX155" s="163">
        <v>925322.01</v>
      </c>
      <c r="BY155" s="163">
        <v>925322.01</v>
      </c>
      <c r="BZ155" s="163">
        <v>925322.01</v>
      </c>
      <c r="CA155" s="163">
        <v>925322.01</v>
      </c>
      <c r="CB155" s="163">
        <v>925322.01</v>
      </c>
      <c r="CC155" s="163">
        <v>925322.01</v>
      </c>
      <c r="CD155" s="163">
        <v>925322.01</v>
      </c>
      <c r="CE155" s="163">
        <v>925322.01</v>
      </c>
      <c r="CF155" s="163">
        <v>925322.01</v>
      </c>
      <c r="CG155" s="163">
        <v>925322.01</v>
      </c>
      <c r="CH155" s="163">
        <v>1263660.01</v>
      </c>
      <c r="CI155" s="163">
        <v>1263660.01</v>
      </c>
      <c r="CJ155" s="163">
        <v>1821886.01</v>
      </c>
      <c r="CK155" s="163">
        <v>1821886.01</v>
      </c>
      <c r="CL155" s="163">
        <v>1821886.01</v>
      </c>
      <c r="CM155" s="163">
        <v>1821886.01</v>
      </c>
      <c r="CN155" s="163">
        <v>1821886.01</v>
      </c>
      <c r="CO155" s="163">
        <v>1821886.01</v>
      </c>
      <c r="CP155" s="163">
        <v>1821886.01</v>
      </c>
      <c r="CQ155" s="163">
        <v>1821886.01</v>
      </c>
      <c r="CR155" s="163">
        <v>1821886.01</v>
      </c>
      <c r="CS155" s="163">
        <v>1821886.01</v>
      </c>
      <c r="CT155" s="163">
        <v>1821886.01</v>
      </c>
      <c r="CU155" s="163">
        <v>1821886.01</v>
      </c>
      <c r="CV155" s="163">
        <v>2028740.01</v>
      </c>
      <c r="CW155" s="163">
        <v>2028740.01</v>
      </c>
      <c r="CX155" s="163">
        <v>2028740.01</v>
      </c>
      <c r="CY155" s="163">
        <v>2028740.01</v>
      </c>
      <c r="CZ155" s="163">
        <v>2028740.01</v>
      </c>
      <c r="DA155" s="163">
        <v>2028740.01</v>
      </c>
      <c r="DB155" s="163">
        <v>2028740.01</v>
      </c>
      <c r="DC155" s="163">
        <v>2028740.01</v>
      </c>
      <c r="DD155" s="163">
        <v>2028740.01</v>
      </c>
      <c r="DE155" s="163">
        <v>2028740.01</v>
      </c>
      <c r="DF155" s="163">
        <f>VLOOKUP($C155,'[3]BS ACC'!$C$5:$DH$1006,108,FALSE)</f>
        <v>2028740.01</v>
      </c>
      <c r="DG155" s="163">
        <f>VLOOKUP($C155,'[3]BS ACC'!$C$5:$DH$1006,109,FALSE)</f>
        <v>2028740.01</v>
      </c>
      <c r="DH155" s="163">
        <f>VLOOKUP($C155,'[3]BS ACC'!$C$5:$DH$1006,110,FALSE)</f>
        <v>2269912.0099999998</v>
      </c>
    </row>
    <row r="156" spans="1:112">
      <c r="A156" s="350" t="str">
        <f t="shared" si="2"/>
        <v>1900400</v>
      </c>
      <c r="B156" s="350" t="s">
        <v>1533</v>
      </c>
      <c r="C156" s="335" t="s">
        <v>699</v>
      </c>
      <c r="D156" s="340">
        <v>3596496.98</v>
      </c>
      <c r="E156" s="340">
        <v>3534839.91</v>
      </c>
      <c r="F156" s="340">
        <v>3505106.64</v>
      </c>
      <c r="G156" s="340">
        <v>3576317.07</v>
      </c>
      <c r="H156" s="340">
        <v>3596433.02</v>
      </c>
      <c r="I156" s="340">
        <v>3617914.37</v>
      </c>
      <c r="J156" s="340">
        <v>3605931.36</v>
      </c>
      <c r="K156" s="340">
        <v>3591551.95</v>
      </c>
      <c r="L156" s="340">
        <v>3543164.26</v>
      </c>
      <c r="M156" s="340">
        <v>3633420.07</v>
      </c>
      <c r="N156" s="340">
        <v>3691718.62</v>
      </c>
      <c r="O156" s="340">
        <v>3350951.11</v>
      </c>
      <c r="P156" s="341">
        <v>3389834.74</v>
      </c>
      <c r="Q156" s="163">
        <v>3456934.45</v>
      </c>
      <c r="R156" s="163">
        <v>3343494.81</v>
      </c>
      <c r="S156" s="163">
        <v>3419164.06</v>
      </c>
      <c r="T156" s="163">
        <v>3466988.16</v>
      </c>
      <c r="U156" s="163">
        <v>3465632.27</v>
      </c>
      <c r="V156" s="163">
        <v>3458423.72</v>
      </c>
      <c r="W156" s="163">
        <v>3463100.59</v>
      </c>
      <c r="X156" s="163">
        <v>3469170.42</v>
      </c>
      <c r="Y156" s="163">
        <v>3468286.38</v>
      </c>
      <c r="Z156" s="163">
        <v>3471080.99</v>
      </c>
      <c r="AA156" s="163">
        <v>3495352.96</v>
      </c>
      <c r="AB156" s="163">
        <v>3518399.69</v>
      </c>
      <c r="AC156" s="163">
        <v>3561538.32</v>
      </c>
      <c r="AD156" s="163">
        <v>3503979.91</v>
      </c>
      <c r="AE156" s="163">
        <v>3556674.69</v>
      </c>
      <c r="AF156" s="163">
        <v>3580683.11</v>
      </c>
      <c r="AG156" s="163">
        <v>3595374.3</v>
      </c>
      <c r="AH156" s="163">
        <v>3594922.74</v>
      </c>
      <c r="AI156" s="163">
        <v>3613032.82</v>
      </c>
      <c r="AJ156" s="163">
        <v>3636578.07</v>
      </c>
      <c r="AK156" s="163">
        <v>3670385.45</v>
      </c>
      <c r="AL156" s="163">
        <v>3663518.65</v>
      </c>
      <c r="AM156" s="163">
        <v>3635494.59</v>
      </c>
      <c r="AN156" s="163">
        <v>4504656.41</v>
      </c>
      <c r="AO156" s="163">
        <v>4634067.47</v>
      </c>
      <c r="AP156" s="163">
        <v>4493942.4800000004</v>
      </c>
      <c r="AQ156" s="163">
        <v>4570558.29</v>
      </c>
      <c r="AR156" s="163">
        <v>4614921.8</v>
      </c>
      <c r="AS156" s="163">
        <v>4640610.46</v>
      </c>
      <c r="AT156" s="163">
        <v>4678469.83</v>
      </c>
      <c r="AU156" s="163">
        <v>4705225.01</v>
      </c>
      <c r="AV156" s="163">
        <v>4703431.13</v>
      </c>
      <c r="AW156" s="163">
        <v>4802455.92</v>
      </c>
      <c r="AX156" s="163">
        <v>4790790.5199999996</v>
      </c>
      <c r="AY156" s="163">
        <v>4811704.91</v>
      </c>
      <c r="AZ156" s="163">
        <v>4734390.3099999996</v>
      </c>
      <c r="BA156" s="163">
        <v>4867931.43</v>
      </c>
      <c r="BB156" s="163">
        <v>4804444.53</v>
      </c>
      <c r="BC156" s="163">
        <v>5044780.84</v>
      </c>
      <c r="BD156" s="163">
        <v>5113146.83</v>
      </c>
      <c r="BE156" s="163">
        <v>5169997.8899999997</v>
      </c>
      <c r="BF156" s="163">
        <v>5209179.17</v>
      </c>
      <c r="BG156" s="163">
        <v>5224289.33</v>
      </c>
      <c r="BH156" s="163">
        <v>5232685.16</v>
      </c>
      <c r="BI156" s="163">
        <v>5614151.8300000001</v>
      </c>
      <c r="BJ156" s="163">
        <v>5629883.3200000003</v>
      </c>
      <c r="BK156" s="163">
        <v>5655171.21</v>
      </c>
      <c r="BL156" s="163">
        <v>5511194.5800000001</v>
      </c>
      <c r="BM156" s="163">
        <v>5561571.7400000002</v>
      </c>
      <c r="BN156" s="163">
        <v>5391371.3600000003</v>
      </c>
      <c r="BO156" s="163">
        <v>5528186.8799999999</v>
      </c>
      <c r="BP156" s="163">
        <v>5554404.2300000004</v>
      </c>
      <c r="BQ156" s="163">
        <v>5562509.8200000003</v>
      </c>
      <c r="BR156" s="163">
        <v>5591404.54</v>
      </c>
      <c r="BS156" s="163">
        <v>5654697.6399999997</v>
      </c>
      <c r="BT156" s="163">
        <v>5675634.6699999999</v>
      </c>
      <c r="BU156" s="163">
        <v>5640338.4199999999</v>
      </c>
      <c r="BV156" s="163">
        <v>5662500.7999999998</v>
      </c>
      <c r="BW156" s="163">
        <v>5714268.1600000001</v>
      </c>
      <c r="BX156" s="163">
        <v>5755791.2699999996</v>
      </c>
      <c r="BY156" s="163">
        <v>5857340.7400000002</v>
      </c>
      <c r="BZ156" s="163">
        <v>5688702.4400000004</v>
      </c>
      <c r="CA156" s="163">
        <v>5746567.4299999997</v>
      </c>
      <c r="CB156" s="163">
        <v>5791915.6600000001</v>
      </c>
      <c r="CC156" s="163">
        <v>5816596.6799999997</v>
      </c>
      <c r="CD156" s="163">
        <v>5895500.9400000004</v>
      </c>
      <c r="CE156" s="163">
        <v>5911726.7699999996</v>
      </c>
      <c r="CF156" s="163">
        <v>5901744.6399999997</v>
      </c>
      <c r="CG156" s="163">
        <v>5964287.04</v>
      </c>
      <c r="CH156" s="163">
        <v>5976300.5800000001</v>
      </c>
      <c r="CI156" s="163">
        <v>5935857.5300000003</v>
      </c>
      <c r="CJ156" s="163">
        <v>6067292.54</v>
      </c>
      <c r="CK156" s="163">
        <v>6186995.7199999997</v>
      </c>
      <c r="CL156" s="163">
        <v>6248982.9900000002</v>
      </c>
      <c r="CM156" s="163">
        <v>5986342.1699999999</v>
      </c>
      <c r="CN156" s="163">
        <v>6064816.8499999996</v>
      </c>
      <c r="CO156" s="163">
        <v>6055023.3099999996</v>
      </c>
      <c r="CP156" s="163">
        <v>6165453.25</v>
      </c>
      <c r="CQ156" s="163">
        <v>6190224.8499999996</v>
      </c>
      <c r="CR156" s="163">
        <v>6241744.8600000003</v>
      </c>
      <c r="CS156" s="163">
        <v>6372000.2000000002</v>
      </c>
      <c r="CT156" s="163">
        <v>6277965.5199999996</v>
      </c>
      <c r="CU156" s="163">
        <v>6379811.96</v>
      </c>
      <c r="CV156" s="163">
        <v>6390655.1200000001</v>
      </c>
      <c r="CW156" s="163">
        <v>6468628.7800000003</v>
      </c>
      <c r="CX156" s="163">
        <v>6735483.1100000003</v>
      </c>
      <c r="CY156" s="163">
        <v>6359470.7300000004</v>
      </c>
      <c r="CZ156" s="163">
        <v>6434553.5599999996</v>
      </c>
      <c r="DA156" s="163">
        <v>6486961.4100000001</v>
      </c>
      <c r="DB156" s="163">
        <v>6657317.21</v>
      </c>
      <c r="DC156" s="163">
        <v>6658960.4000000004</v>
      </c>
      <c r="DD156" s="163">
        <v>6589910.46</v>
      </c>
      <c r="DE156" s="163">
        <v>6735039.1100000003</v>
      </c>
      <c r="DF156" s="163">
        <f>VLOOKUP($C156,'[3]BS ACC'!$C$5:$DH$1006,108,FALSE)</f>
        <v>6769987.0199999996</v>
      </c>
      <c r="DG156" s="163">
        <f>VLOOKUP($C156,'[3]BS ACC'!$C$5:$DH$1006,109,FALSE)</f>
        <v>6856261.1100000003</v>
      </c>
      <c r="DH156" s="163">
        <f>VLOOKUP($C156,'[3]BS ACC'!$C$5:$DH$1006,110,FALSE)</f>
        <v>6913000.7800000003</v>
      </c>
    </row>
    <row r="157" spans="1:112">
      <c r="A157" s="350" t="str">
        <f t="shared" si="2"/>
        <v>1900403</v>
      </c>
      <c r="B157" s="350" t="s">
        <v>1747</v>
      </c>
      <c r="C157" s="335" t="s">
        <v>1748</v>
      </c>
      <c r="D157" s="340"/>
      <c r="E157" s="340"/>
      <c r="F157" s="340"/>
      <c r="G157" s="340"/>
      <c r="H157" s="340"/>
      <c r="I157" s="340"/>
      <c r="J157" s="340"/>
      <c r="K157" s="340"/>
      <c r="L157" s="340"/>
      <c r="M157" s="340"/>
      <c r="N157" s="340"/>
      <c r="O157" s="340"/>
      <c r="P157" s="341"/>
      <c r="Q157" s="163"/>
      <c r="R157" s="163"/>
      <c r="S157" s="163"/>
      <c r="T157" s="163"/>
      <c r="U157" s="163"/>
      <c r="V157" s="163"/>
      <c r="W157" s="163"/>
      <c r="X157" s="163"/>
      <c r="Y157" s="163"/>
      <c r="Z157" s="163"/>
      <c r="AA157" s="163"/>
      <c r="AB157" s="163"/>
      <c r="AC157" s="163"/>
      <c r="AD157" s="163"/>
      <c r="AE157" s="163"/>
      <c r="AF157" s="163"/>
      <c r="AG157" s="163"/>
      <c r="AH157" s="163"/>
      <c r="AI157" s="163"/>
      <c r="AJ157" s="163"/>
      <c r="AK157" s="163"/>
      <c r="AL157" s="163">
        <v>0</v>
      </c>
      <c r="AM157" s="163">
        <v>0</v>
      </c>
      <c r="AN157" s="163">
        <v>221311.32</v>
      </c>
      <c r="AO157" s="163">
        <v>221311.32</v>
      </c>
      <c r="AP157" s="163">
        <v>221311.32</v>
      </c>
      <c r="AQ157" s="163">
        <v>221311.32</v>
      </c>
      <c r="AR157" s="163">
        <v>221311.32</v>
      </c>
      <c r="AS157" s="163">
        <v>221311.32</v>
      </c>
      <c r="AT157" s="163">
        <v>221311.32</v>
      </c>
      <c r="AU157" s="163">
        <v>221311.32</v>
      </c>
      <c r="AV157" s="163">
        <v>221311.32</v>
      </c>
      <c r="AW157" s="163">
        <v>221311.32</v>
      </c>
      <c r="AX157" s="163">
        <v>221311.32</v>
      </c>
      <c r="AY157" s="163">
        <v>221311.32</v>
      </c>
      <c r="AZ157" s="163">
        <v>254375.84</v>
      </c>
      <c r="BA157" s="163">
        <v>254375.84</v>
      </c>
      <c r="BB157" s="163">
        <v>254375.84</v>
      </c>
      <c r="BC157" s="163">
        <v>254375.84</v>
      </c>
      <c r="BD157" s="163">
        <v>254375.84</v>
      </c>
      <c r="BE157" s="163">
        <v>254375.84</v>
      </c>
      <c r="BF157" s="163">
        <v>254375.84</v>
      </c>
      <c r="BG157" s="163">
        <v>254375.84</v>
      </c>
      <c r="BH157" s="163">
        <v>254375.84</v>
      </c>
      <c r="BI157" s="163">
        <v>254375.84</v>
      </c>
      <c r="BJ157" s="163">
        <v>254375.84</v>
      </c>
      <c r="BK157" s="163">
        <v>278220.05</v>
      </c>
      <c r="BL157" s="163">
        <v>278220.05</v>
      </c>
      <c r="BM157" s="163">
        <v>278220.05</v>
      </c>
      <c r="BN157" s="163">
        <v>278220.05</v>
      </c>
      <c r="BO157" s="163">
        <v>278220.05</v>
      </c>
      <c r="BP157" s="163">
        <v>278220.05</v>
      </c>
      <c r="BQ157" s="163">
        <v>278220.05</v>
      </c>
      <c r="BR157" s="163">
        <v>278220.05</v>
      </c>
      <c r="BS157" s="163">
        <v>278220.05</v>
      </c>
      <c r="BT157" s="163">
        <v>278220.05</v>
      </c>
      <c r="BU157" s="163">
        <v>278220.05</v>
      </c>
      <c r="BV157" s="163">
        <v>278220.05</v>
      </c>
      <c r="BW157" s="163">
        <v>278220.05</v>
      </c>
      <c r="BX157" s="163">
        <v>278220.05</v>
      </c>
      <c r="BY157" s="163">
        <v>278220.05</v>
      </c>
      <c r="BZ157" s="163">
        <v>278220.05</v>
      </c>
      <c r="CA157" s="163">
        <v>278220.05</v>
      </c>
      <c r="CB157" s="163">
        <v>278220.05</v>
      </c>
      <c r="CC157" s="163">
        <v>278220.05</v>
      </c>
      <c r="CD157" s="163">
        <v>278220.05</v>
      </c>
      <c r="CE157" s="163">
        <v>278220.05</v>
      </c>
      <c r="CF157" s="163">
        <v>278220.05</v>
      </c>
      <c r="CG157" s="163">
        <v>278220.05</v>
      </c>
      <c r="CH157" s="163">
        <v>278220.05</v>
      </c>
      <c r="CI157" s="163">
        <v>278220.05</v>
      </c>
      <c r="CJ157" s="163">
        <v>278220.05</v>
      </c>
      <c r="CK157" s="163">
        <v>278220.05</v>
      </c>
      <c r="CL157" s="163">
        <v>278220.05</v>
      </c>
      <c r="CM157" s="163">
        <v>278220.05</v>
      </c>
      <c r="CN157" s="163">
        <v>278220.05</v>
      </c>
      <c r="CO157" s="163">
        <v>278220.05</v>
      </c>
      <c r="CP157" s="163">
        <v>278220.05</v>
      </c>
      <c r="CQ157" s="163">
        <v>278220.05</v>
      </c>
      <c r="CR157" s="163">
        <v>278220.05</v>
      </c>
      <c r="CS157" s="163">
        <v>278220.05</v>
      </c>
      <c r="CT157" s="163">
        <v>278220.05</v>
      </c>
      <c r="CU157" s="163">
        <v>278220.05</v>
      </c>
      <c r="CV157" s="163">
        <v>278220.05</v>
      </c>
      <c r="CW157" s="163">
        <v>278220.05</v>
      </c>
      <c r="CX157" s="163">
        <v>278220.05</v>
      </c>
      <c r="CY157" s="163">
        <v>278220.05</v>
      </c>
      <c r="CZ157" s="163">
        <v>278220.05</v>
      </c>
      <c r="DA157" s="163">
        <v>278220.05</v>
      </c>
      <c r="DB157" s="163">
        <v>278220.05</v>
      </c>
      <c r="DC157" s="163">
        <v>278220.05</v>
      </c>
      <c r="DD157" s="163">
        <v>278220.05</v>
      </c>
      <c r="DE157" s="163">
        <v>278220.05</v>
      </c>
      <c r="DF157" s="163">
        <f>VLOOKUP($C157,'[3]BS ACC'!$C$5:$DH$1006,108,FALSE)</f>
        <v>278220.05</v>
      </c>
      <c r="DG157" s="163">
        <f>VLOOKUP($C157,'[3]BS ACC'!$C$5:$DH$1006,109,FALSE)</f>
        <v>278220.05</v>
      </c>
      <c r="DH157" s="163">
        <f>VLOOKUP($C157,'[3]BS ACC'!$C$5:$DH$1006,110,FALSE)</f>
        <v>278220.05</v>
      </c>
    </row>
    <row r="158" spans="1:112">
      <c r="A158" s="350" t="str">
        <f t="shared" si="2"/>
        <v>1900405</v>
      </c>
      <c r="B158" s="350" t="s">
        <v>1750</v>
      </c>
      <c r="C158" s="335" t="s">
        <v>1749</v>
      </c>
      <c r="D158" s="340"/>
      <c r="E158" s="340"/>
      <c r="F158" s="340"/>
      <c r="G158" s="340"/>
      <c r="H158" s="340"/>
      <c r="I158" s="340"/>
      <c r="J158" s="340"/>
      <c r="K158" s="340"/>
      <c r="L158" s="340"/>
      <c r="M158" s="340"/>
      <c r="N158" s="340"/>
      <c r="O158" s="340"/>
      <c r="P158" s="341"/>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c r="AL158" s="163">
        <v>0</v>
      </c>
      <c r="AM158" s="163">
        <v>0</v>
      </c>
      <c r="AN158" s="163">
        <v>1.05</v>
      </c>
      <c r="AO158" s="163">
        <v>1.05</v>
      </c>
      <c r="AP158" s="163">
        <v>1.05</v>
      </c>
      <c r="AQ158" s="163">
        <v>0</v>
      </c>
      <c r="AR158" s="163">
        <v>0</v>
      </c>
      <c r="AS158" s="163">
        <v>0</v>
      </c>
      <c r="AT158" s="163">
        <v>0</v>
      </c>
      <c r="AU158" s="163">
        <v>0</v>
      </c>
      <c r="AV158" s="163">
        <v>0</v>
      </c>
      <c r="AW158" s="163">
        <v>0</v>
      </c>
      <c r="AX158" s="163">
        <v>-3.13</v>
      </c>
      <c r="AY158" s="163">
        <v>0</v>
      </c>
      <c r="AZ158" s="163">
        <v>0</v>
      </c>
      <c r="BA158" s="163">
        <v>0</v>
      </c>
      <c r="BB158" s="163">
        <v>0</v>
      </c>
      <c r="BC158" s="163">
        <v>0</v>
      </c>
      <c r="BD158" s="163">
        <v>0</v>
      </c>
      <c r="BE158" s="163">
        <v>0</v>
      </c>
      <c r="BF158" s="163">
        <v>0</v>
      </c>
      <c r="BG158" s="163">
        <v>0</v>
      </c>
      <c r="BH158" s="163">
        <v>0</v>
      </c>
      <c r="BI158" s="163">
        <v>0</v>
      </c>
      <c r="BJ158" s="163">
        <v>0</v>
      </c>
      <c r="BK158" s="163">
        <v>0</v>
      </c>
      <c r="BL158" s="163">
        <v>0</v>
      </c>
      <c r="BM158" s="163">
        <v>0</v>
      </c>
      <c r="BN158" s="163">
        <v>0</v>
      </c>
      <c r="BO158" s="163">
        <v>0</v>
      </c>
      <c r="BP158" s="163">
        <v>0</v>
      </c>
      <c r="BQ158" s="163">
        <v>0</v>
      </c>
      <c r="BR158" s="163">
        <v>0</v>
      </c>
      <c r="BS158" s="163">
        <v>0</v>
      </c>
      <c r="BT158" s="163">
        <v>0</v>
      </c>
      <c r="BU158" s="163">
        <v>0</v>
      </c>
      <c r="BV158" s="163">
        <v>0</v>
      </c>
      <c r="BW158" s="163">
        <v>0</v>
      </c>
      <c r="BX158" s="163">
        <v>0</v>
      </c>
      <c r="BY158" s="163">
        <v>0</v>
      </c>
      <c r="BZ158" s="163">
        <v>0</v>
      </c>
      <c r="CA158" s="163">
        <v>0</v>
      </c>
      <c r="CB158" s="163">
        <v>0</v>
      </c>
      <c r="CC158" s="163">
        <v>0</v>
      </c>
      <c r="CD158" s="163">
        <v>0</v>
      </c>
      <c r="CE158" s="163">
        <v>0</v>
      </c>
      <c r="CF158" s="163">
        <v>0</v>
      </c>
      <c r="CG158" s="163">
        <v>0</v>
      </c>
      <c r="CH158" s="163">
        <v>0</v>
      </c>
      <c r="CI158" s="163">
        <v>0</v>
      </c>
      <c r="CJ158" s="163">
        <v>0</v>
      </c>
      <c r="CK158" s="163">
        <v>0</v>
      </c>
      <c r="CL158" s="163">
        <v>0</v>
      </c>
      <c r="CM158" s="163">
        <v>0</v>
      </c>
      <c r="CN158" s="163">
        <v>0</v>
      </c>
      <c r="CO158" s="163">
        <v>0</v>
      </c>
      <c r="CP158" s="163">
        <v>0</v>
      </c>
      <c r="CQ158" s="163">
        <v>0</v>
      </c>
      <c r="CR158" s="163">
        <v>0</v>
      </c>
      <c r="CS158" s="163">
        <v>0</v>
      </c>
      <c r="CT158" s="163">
        <v>0</v>
      </c>
      <c r="CU158" s="163">
        <v>0</v>
      </c>
      <c r="CV158" s="163">
        <v>0</v>
      </c>
      <c r="CW158" s="163">
        <v>0</v>
      </c>
      <c r="CX158" s="163">
        <v>0</v>
      </c>
      <c r="CY158" s="163">
        <v>0</v>
      </c>
      <c r="CZ158" s="163">
        <v>0</v>
      </c>
      <c r="DA158" s="163">
        <v>0</v>
      </c>
      <c r="DB158" s="163">
        <v>0</v>
      </c>
      <c r="DC158" s="163">
        <v>0</v>
      </c>
      <c r="DD158" s="163">
        <v>0</v>
      </c>
      <c r="DE158" s="163">
        <v>0</v>
      </c>
      <c r="DF158" s="163">
        <f>VLOOKUP($C158,'[3]BS ACC'!$C$5:$DH$1006,108,FALSE)</f>
        <v>0</v>
      </c>
      <c r="DG158" s="163">
        <f>VLOOKUP($C158,'[3]BS ACC'!$C$5:$DH$1006,109,FALSE)</f>
        <v>0</v>
      </c>
      <c r="DH158" s="163">
        <f>VLOOKUP($C158,'[3]BS ACC'!$C$5:$DH$1006,110,FALSE)</f>
        <v>0</v>
      </c>
    </row>
    <row r="159" spans="1:112">
      <c r="A159" s="350" t="str">
        <f t="shared" si="2"/>
        <v>1900406</v>
      </c>
      <c r="B159" s="350" t="s">
        <v>1534</v>
      </c>
      <c r="C159" s="335" t="s">
        <v>700</v>
      </c>
      <c r="D159" s="340">
        <v>64395.26</v>
      </c>
      <c r="E159" s="340">
        <v>196970.01</v>
      </c>
      <c r="F159" s="340">
        <v>137538.10999999999</v>
      </c>
      <c r="G159" s="340">
        <v>83794.039999999994</v>
      </c>
      <c r="H159" s="340">
        <v>170004.34</v>
      </c>
      <c r="I159" s="340">
        <v>69756.11</v>
      </c>
      <c r="J159" s="340">
        <v>47596.34</v>
      </c>
      <c r="K159" s="340">
        <v>178673.99</v>
      </c>
      <c r="L159" s="340">
        <v>84192.24</v>
      </c>
      <c r="M159" s="340">
        <v>88981.36</v>
      </c>
      <c r="N159" s="340">
        <v>201239.11</v>
      </c>
      <c r="O159" s="340">
        <v>148671.21</v>
      </c>
      <c r="P159" s="341">
        <v>494201.56</v>
      </c>
      <c r="Q159" s="163">
        <v>498571.59</v>
      </c>
      <c r="R159" s="163">
        <v>408521.46</v>
      </c>
      <c r="S159" s="163">
        <v>397211.54</v>
      </c>
      <c r="T159" s="163">
        <v>346087.39</v>
      </c>
      <c r="U159" s="163">
        <v>346936.59</v>
      </c>
      <c r="V159" s="163">
        <v>285707.84000000003</v>
      </c>
      <c r="W159" s="163">
        <v>287014.09000000003</v>
      </c>
      <c r="X159" s="163">
        <v>305231.19</v>
      </c>
      <c r="Y159" s="163">
        <v>348279.69</v>
      </c>
      <c r="Z159" s="163">
        <v>442421.54</v>
      </c>
      <c r="AA159" s="163">
        <v>443604.04</v>
      </c>
      <c r="AB159" s="163">
        <v>349027.14</v>
      </c>
      <c r="AC159" s="163">
        <v>268710.64</v>
      </c>
      <c r="AD159" s="163">
        <v>298707.09000000003</v>
      </c>
      <c r="AE159" s="163">
        <v>190043.31</v>
      </c>
      <c r="AF159" s="163">
        <v>111543.74</v>
      </c>
      <c r="AG159" s="163">
        <v>97201.12</v>
      </c>
      <c r="AH159" s="163">
        <v>38622.82</v>
      </c>
      <c r="AI159" s="163">
        <v>37769.22</v>
      </c>
      <c r="AJ159" s="163">
        <v>28877.37</v>
      </c>
      <c r="AK159" s="163">
        <v>28740.42</v>
      </c>
      <c r="AL159" s="163">
        <v>30905.22</v>
      </c>
      <c r="AM159" s="163">
        <v>33490.769999999997</v>
      </c>
      <c r="AN159" s="163">
        <v>109407.82</v>
      </c>
      <c r="AO159" s="163">
        <v>32529.37</v>
      </c>
      <c r="AP159" s="163">
        <v>23155.72</v>
      </c>
      <c r="AQ159" s="163">
        <v>26790.94</v>
      </c>
      <c r="AR159" s="163">
        <v>29636.09</v>
      </c>
      <c r="AS159" s="163">
        <v>9539.09</v>
      </c>
      <c r="AT159" s="163">
        <v>6080.14</v>
      </c>
      <c r="AU159" s="163">
        <v>8165.74</v>
      </c>
      <c r="AV159" s="163">
        <v>5822.74</v>
      </c>
      <c r="AW159" s="163">
        <v>4893.24</v>
      </c>
      <c r="AX159" s="163">
        <v>7865.99</v>
      </c>
      <c r="AY159" s="163">
        <v>3727.79</v>
      </c>
      <c r="AZ159" s="163">
        <v>9958.19</v>
      </c>
      <c r="BA159" s="163">
        <v>4381.74</v>
      </c>
      <c r="BB159" s="163">
        <v>6221.49</v>
      </c>
      <c r="BC159" s="163">
        <v>1795.09</v>
      </c>
      <c r="BD159" s="163">
        <v>1524.76</v>
      </c>
      <c r="BE159" s="163">
        <v>1100.71</v>
      </c>
      <c r="BF159" s="163">
        <v>858.16</v>
      </c>
      <c r="BG159" s="163">
        <v>644.21</v>
      </c>
      <c r="BH159" s="163">
        <v>192.11</v>
      </c>
      <c r="BI159" s="163">
        <v>551.80999999999995</v>
      </c>
      <c r="BJ159" s="163">
        <v>805.36</v>
      </c>
      <c r="BK159" s="163">
        <v>-0.39</v>
      </c>
      <c r="BL159" s="163">
        <v>-0.39</v>
      </c>
      <c r="BM159" s="163">
        <v>-0.39</v>
      </c>
      <c r="BN159" s="163">
        <v>-0.39</v>
      </c>
      <c r="BO159" s="163">
        <v>-0.39</v>
      </c>
      <c r="BP159" s="163">
        <v>-0.39</v>
      </c>
      <c r="BQ159" s="163">
        <v>-0.39</v>
      </c>
      <c r="BR159" s="163">
        <v>-0.39</v>
      </c>
      <c r="BS159" s="163">
        <v>-0.39</v>
      </c>
      <c r="BT159" s="163">
        <v>-0.39</v>
      </c>
      <c r="BU159" s="163">
        <v>-0.39</v>
      </c>
      <c r="BV159" s="163">
        <v>-0.39</v>
      </c>
      <c r="BW159" s="163">
        <v>-0.39</v>
      </c>
      <c r="BX159" s="163">
        <v>-0.39</v>
      </c>
      <c r="BY159" s="163">
        <v>-0.39</v>
      </c>
      <c r="BZ159" s="163">
        <v>-0.39</v>
      </c>
      <c r="CA159" s="163">
        <v>-0.39</v>
      </c>
      <c r="CB159" s="163">
        <v>-0.39</v>
      </c>
      <c r="CC159" s="163">
        <v>-0.39</v>
      </c>
      <c r="CD159" s="163">
        <v>-0.39</v>
      </c>
      <c r="CE159" s="163">
        <v>-0.39</v>
      </c>
      <c r="CF159" s="163">
        <v>-0.39</v>
      </c>
      <c r="CG159" s="163">
        <v>-0.39</v>
      </c>
      <c r="CH159" s="163">
        <v>-0.39</v>
      </c>
      <c r="CI159" s="163">
        <v>-0.39</v>
      </c>
      <c r="CJ159" s="163">
        <v>-0.39</v>
      </c>
      <c r="CK159" s="163">
        <v>-0.39</v>
      </c>
      <c r="CL159" s="163">
        <v>-0.39</v>
      </c>
      <c r="CM159" s="163">
        <v>-0.39</v>
      </c>
      <c r="CN159" s="163">
        <v>-0.39</v>
      </c>
      <c r="CO159" s="163">
        <v>-0.39</v>
      </c>
      <c r="CP159" s="163">
        <v>-0.39</v>
      </c>
      <c r="CQ159" s="163">
        <v>-0.39</v>
      </c>
      <c r="CR159" s="163">
        <v>-0.39</v>
      </c>
      <c r="CS159" s="163">
        <v>-0.39</v>
      </c>
      <c r="CT159" s="163">
        <v>-0.39</v>
      </c>
      <c r="CU159" s="163">
        <v>-0.39</v>
      </c>
      <c r="CV159" s="163">
        <v>-0.39</v>
      </c>
      <c r="CW159" s="163">
        <v>-0.39</v>
      </c>
      <c r="CX159" s="163">
        <v>-0.39</v>
      </c>
      <c r="CY159" s="163">
        <v>-0.39</v>
      </c>
      <c r="CZ159" s="163">
        <v>-0.39</v>
      </c>
      <c r="DA159" s="163">
        <v>-0.39</v>
      </c>
      <c r="DB159" s="163">
        <v>-0.39</v>
      </c>
      <c r="DC159" s="163">
        <v>-0.39</v>
      </c>
      <c r="DD159" s="163">
        <v>-0.39</v>
      </c>
      <c r="DE159" s="163">
        <v>-0.39</v>
      </c>
      <c r="DF159" s="163">
        <f>VLOOKUP($C159,'[3]BS ACC'!$C$5:$DH$1006,108,FALSE)</f>
        <v>-0.39</v>
      </c>
      <c r="DG159" s="163">
        <f>VLOOKUP($C159,'[3]BS ACC'!$C$5:$DH$1006,109,FALSE)</f>
        <v>-0.39</v>
      </c>
      <c r="DH159" s="163">
        <f>VLOOKUP($C159,'[3]BS ACC'!$C$5:$DH$1006,110,FALSE)</f>
        <v>-0.39</v>
      </c>
    </row>
    <row r="160" spans="1:112">
      <c r="A160" s="350" t="str">
        <f t="shared" si="2"/>
        <v>1900407</v>
      </c>
      <c r="B160" s="350" t="s">
        <v>1535</v>
      </c>
      <c r="C160" s="335" t="s">
        <v>701</v>
      </c>
      <c r="D160" s="340">
        <v>163800</v>
      </c>
      <c r="E160" s="340">
        <v>161793.5</v>
      </c>
      <c r="F160" s="340">
        <v>159786.99</v>
      </c>
      <c r="G160" s="340">
        <v>157780.48000000001</v>
      </c>
      <c r="H160" s="340">
        <v>155642.87</v>
      </c>
      <c r="I160" s="340">
        <v>154336.24</v>
      </c>
      <c r="J160" s="340">
        <v>152328.15</v>
      </c>
      <c r="K160" s="340">
        <v>150320.06</v>
      </c>
      <c r="L160" s="340">
        <v>148311.97</v>
      </c>
      <c r="M160" s="340">
        <v>146303.88</v>
      </c>
      <c r="N160" s="340">
        <v>144295.79</v>
      </c>
      <c r="O160" s="340">
        <v>142287.70000000001</v>
      </c>
      <c r="P160" s="341">
        <v>140279.60999999999</v>
      </c>
      <c r="Q160" s="163">
        <v>138271.51999999999</v>
      </c>
      <c r="R160" s="163">
        <v>136263.43</v>
      </c>
      <c r="S160" s="163">
        <v>132741.51999999999</v>
      </c>
      <c r="T160" s="163">
        <v>121918.91</v>
      </c>
      <c r="U160" s="163">
        <v>111151.96</v>
      </c>
      <c r="V160" s="163">
        <v>109196.89</v>
      </c>
      <c r="W160" s="163">
        <v>107241.82</v>
      </c>
      <c r="X160" s="163">
        <v>105286.75</v>
      </c>
      <c r="Y160" s="163">
        <v>103331.68</v>
      </c>
      <c r="Z160" s="163">
        <v>101376.61</v>
      </c>
      <c r="AA160" s="163">
        <v>99421.54</v>
      </c>
      <c r="AB160" s="163">
        <v>97466.47</v>
      </c>
      <c r="AC160" s="163">
        <v>95511.4</v>
      </c>
      <c r="AD160" s="163">
        <v>93556.33</v>
      </c>
      <c r="AE160" s="163">
        <v>91601.26</v>
      </c>
      <c r="AF160" s="163">
        <v>89646.2</v>
      </c>
      <c r="AG160" s="163">
        <v>87691.13</v>
      </c>
      <c r="AH160" s="163">
        <v>85736.06</v>
      </c>
      <c r="AI160" s="163">
        <v>83780.990000000005</v>
      </c>
      <c r="AJ160" s="163">
        <v>81825.919999999998</v>
      </c>
      <c r="AK160" s="163">
        <v>79870.850000000006</v>
      </c>
      <c r="AL160" s="163">
        <v>77915.78</v>
      </c>
      <c r="AM160" s="163">
        <v>75960.710000000006</v>
      </c>
      <c r="AN160" s="163">
        <v>74005.64</v>
      </c>
      <c r="AO160" s="163">
        <v>72050.570000000007</v>
      </c>
      <c r="AP160" s="163">
        <v>70095.5</v>
      </c>
      <c r="AQ160" s="163">
        <v>68140.429999999993</v>
      </c>
      <c r="AR160" s="163">
        <v>66185.36</v>
      </c>
      <c r="AS160" s="163">
        <v>64230.29</v>
      </c>
      <c r="AT160" s="163">
        <v>62275.22</v>
      </c>
      <c r="AU160" s="163">
        <v>60320.15</v>
      </c>
      <c r="AV160" s="163">
        <v>58365.08</v>
      </c>
      <c r="AW160" s="163">
        <v>56410.01</v>
      </c>
      <c r="AX160" s="163">
        <v>54454.94</v>
      </c>
      <c r="AY160" s="163">
        <v>52499.87</v>
      </c>
      <c r="AZ160" s="163">
        <v>50544.800000000003</v>
      </c>
      <c r="BA160" s="163">
        <v>48589.73</v>
      </c>
      <c r="BB160" s="163">
        <v>46634.66</v>
      </c>
      <c r="BC160" s="163">
        <v>44679.59</v>
      </c>
      <c r="BD160" s="163">
        <v>42724.52</v>
      </c>
      <c r="BE160" s="163">
        <v>41671.4</v>
      </c>
      <c r="BF160" s="163">
        <v>41520.21</v>
      </c>
      <c r="BG160" s="163">
        <v>41369.01</v>
      </c>
      <c r="BH160" s="163">
        <v>41217.82</v>
      </c>
      <c r="BI160" s="163">
        <v>41066.629999999997</v>
      </c>
      <c r="BJ160" s="163">
        <v>40915.440000000002</v>
      </c>
      <c r="BK160" s="163">
        <v>40764.25</v>
      </c>
      <c r="BL160" s="163">
        <v>40613.06</v>
      </c>
      <c r="BM160" s="163">
        <v>40461.870000000003</v>
      </c>
      <c r="BN160" s="163">
        <v>40310.68</v>
      </c>
      <c r="BO160" s="163">
        <v>40159.480000000003</v>
      </c>
      <c r="BP160" s="163">
        <v>40008.29</v>
      </c>
      <c r="BQ160" s="163">
        <v>39857.1</v>
      </c>
      <c r="BR160" s="163">
        <v>39705.910000000003</v>
      </c>
      <c r="BS160" s="163">
        <v>39554.720000000001</v>
      </c>
      <c r="BT160" s="163">
        <v>39403.53</v>
      </c>
      <c r="BU160" s="163">
        <v>39252.33</v>
      </c>
      <c r="BV160" s="163">
        <v>39101.14</v>
      </c>
      <c r="BW160" s="163">
        <v>38949.949999999997</v>
      </c>
      <c r="BX160" s="163">
        <v>38798.76</v>
      </c>
      <c r="BY160" s="163">
        <v>38647.57</v>
      </c>
      <c r="BZ160" s="163">
        <v>38496.379999999997</v>
      </c>
      <c r="CA160" s="163">
        <v>38345.18</v>
      </c>
      <c r="CB160" s="163">
        <v>38193.99</v>
      </c>
      <c r="CC160" s="163">
        <v>38042.800000000003</v>
      </c>
      <c r="CD160" s="163">
        <v>37891.61</v>
      </c>
      <c r="CE160" s="163">
        <v>37740.42</v>
      </c>
      <c r="CF160" s="163">
        <v>37589.230000000003</v>
      </c>
      <c r="CG160" s="163">
        <v>37438.03</v>
      </c>
      <c r="CH160" s="163">
        <v>37286.839999999997</v>
      </c>
      <c r="CI160" s="163">
        <v>37135.65</v>
      </c>
      <c r="CJ160" s="163">
        <v>36984.46</v>
      </c>
      <c r="CK160" s="163">
        <v>36833.269999999997</v>
      </c>
      <c r="CL160" s="163">
        <v>36682.080000000002</v>
      </c>
      <c r="CM160" s="163">
        <v>36530.879999999997</v>
      </c>
      <c r="CN160" s="163">
        <v>36379.69</v>
      </c>
      <c r="CO160" s="163">
        <v>36228.5</v>
      </c>
      <c r="CP160" s="163">
        <v>36077.31</v>
      </c>
      <c r="CQ160" s="163">
        <v>35926.120000000003</v>
      </c>
      <c r="CR160" s="163">
        <v>35774.93</v>
      </c>
      <c r="CS160" s="163">
        <v>35623.730000000003</v>
      </c>
      <c r="CT160" s="163">
        <v>35472.54</v>
      </c>
      <c r="CU160" s="163">
        <v>35321.35</v>
      </c>
      <c r="CV160" s="163">
        <v>35170.160000000003</v>
      </c>
      <c r="CW160" s="163">
        <v>35018.97</v>
      </c>
      <c r="CX160" s="163">
        <v>34867.78</v>
      </c>
      <c r="CY160" s="163">
        <v>34716.58</v>
      </c>
      <c r="CZ160" s="163">
        <v>34565.39</v>
      </c>
      <c r="DA160" s="163">
        <v>34414.199999999997</v>
      </c>
      <c r="DB160" s="163">
        <v>34263.01</v>
      </c>
      <c r="DC160" s="163">
        <v>34111.82</v>
      </c>
      <c r="DD160" s="163">
        <v>33960.629999999997</v>
      </c>
      <c r="DE160" s="163">
        <v>33809.43</v>
      </c>
      <c r="DF160" s="163">
        <f>VLOOKUP($C160,'[3]BS ACC'!$C$5:$DH$1006,108,FALSE)</f>
        <v>33658.239999999998</v>
      </c>
      <c r="DG160" s="163">
        <f>VLOOKUP($C160,'[3]BS ACC'!$C$5:$DH$1006,109,FALSE)</f>
        <v>33507.050000000003</v>
      </c>
      <c r="DH160" s="163">
        <f>VLOOKUP($C160,'[3]BS ACC'!$C$5:$DH$1006,110,FALSE)</f>
        <v>33355.86</v>
      </c>
    </row>
    <row r="161" spans="1:112">
      <c r="A161" s="350" t="str">
        <f t="shared" si="2"/>
        <v>1900408</v>
      </c>
      <c r="B161" s="350" t="s">
        <v>1536</v>
      </c>
      <c r="C161" s="335" t="s">
        <v>702</v>
      </c>
      <c r="D161" s="340">
        <v>950350.38</v>
      </c>
      <c r="E161" s="340">
        <v>950350.38</v>
      </c>
      <c r="F161" s="340">
        <v>950350.38</v>
      </c>
      <c r="G161" s="340">
        <v>929445.33</v>
      </c>
      <c r="H161" s="340">
        <v>929445.33</v>
      </c>
      <c r="I161" s="340">
        <v>929445.33</v>
      </c>
      <c r="J161" s="340">
        <v>907928.77</v>
      </c>
      <c r="K161" s="340">
        <v>907928.77</v>
      </c>
      <c r="L161" s="340">
        <v>907928.77</v>
      </c>
      <c r="M161" s="340">
        <v>896588.37</v>
      </c>
      <c r="N161" s="340">
        <v>896588.37</v>
      </c>
      <c r="O161" s="340">
        <v>896588.37</v>
      </c>
      <c r="P161" s="341">
        <v>1063261.7</v>
      </c>
      <c r="Q161" s="163">
        <v>1063261.7</v>
      </c>
      <c r="R161" s="163">
        <v>1063261.7</v>
      </c>
      <c r="S161" s="163">
        <v>1083207.22</v>
      </c>
      <c r="T161" s="163">
        <v>1083207.22</v>
      </c>
      <c r="U161" s="163">
        <v>1083207.22</v>
      </c>
      <c r="V161" s="163">
        <v>1017713.34</v>
      </c>
      <c r="W161" s="163">
        <v>1017713.34</v>
      </c>
      <c r="X161" s="163">
        <v>1000854.58</v>
      </c>
      <c r="Y161" s="163">
        <v>978080.34</v>
      </c>
      <c r="Z161" s="163">
        <v>978080.34</v>
      </c>
      <c r="AA161" s="163">
        <v>978080.34</v>
      </c>
      <c r="AB161" s="163">
        <v>1381063.69</v>
      </c>
      <c r="AC161" s="163">
        <v>1381063.69</v>
      </c>
      <c r="AD161" s="163">
        <v>1381063.69</v>
      </c>
      <c r="AE161" s="163">
        <v>1361603.7</v>
      </c>
      <c r="AF161" s="163">
        <v>1361603.7</v>
      </c>
      <c r="AG161" s="163">
        <v>1362113.83</v>
      </c>
      <c r="AH161" s="163">
        <v>1336162.52</v>
      </c>
      <c r="AI161" s="163">
        <v>1336162.52</v>
      </c>
      <c r="AJ161" s="163">
        <v>1336162.52</v>
      </c>
      <c r="AK161" s="163">
        <v>1800409.1</v>
      </c>
      <c r="AL161" s="163">
        <v>1800409.1</v>
      </c>
      <c r="AM161" s="163">
        <v>1800409.1</v>
      </c>
      <c r="AN161" s="163">
        <v>1558133.78</v>
      </c>
      <c r="AO161" s="163">
        <v>1558133.78</v>
      </c>
      <c r="AP161" s="163">
        <v>1558133.78</v>
      </c>
      <c r="AQ161" s="163">
        <v>1534838.69</v>
      </c>
      <c r="AR161" s="163">
        <v>1534838.69</v>
      </c>
      <c r="AS161" s="163">
        <v>1534838.69</v>
      </c>
      <c r="AT161" s="163">
        <v>1576930.85</v>
      </c>
      <c r="AU161" s="163">
        <v>1576930.85</v>
      </c>
      <c r="AV161" s="163">
        <v>1576930.85</v>
      </c>
      <c r="AW161" s="163">
        <v>1551656.86</v>
      </c>
      <c r="AX161" s="163">
        <v>1551656.86</v>
      </c>
      <c r="AY161" s="163">
        <v>1551656.86</v>
      </c>
      <c r="AZ161" s="163">
        <v>1445718.72</v>
      </c>
      <c r="BA161" s="163">
        <v>1445718.72</v>
      </c>
      <c r="BB161" s="163">
        <v>1445718.72</v>
      </c>
      <c r="BC161" s="163">
        <v>1419144.98</v>
      </c>
      <c r="BD161" s="163">
        <v>1419144.98</v>
      </c>
      <c r="BE161" s="163">
        <v>1419144.98</v>
      </c>
      <c r="BF161" s="163">
        <v>1389559.47</v>
      </c>
      <c r="BG161" s="163">
        <v>1389559.47</v>
      </c>
      <c r="BH161" s="163">
        <v>1389559.47</v>
      </c>
      <c r="BI161" s="163">
        <v>1362761.05</v>
      </c>
      <c r="BJ161" s="163">
        <v>1362761.05</v>
      </c>
      <c r="BK161" s="163">
        <v>1362761.05</v>
      </c>
      <c r="BL161" s="163">
        <v>1690554.69</v>
      </c>
      <c r="BM161" s="163">
        <v>1690554.69</v>
      </c>
      <c r="BN161" s="163">
        <v>1690554.69</v>
      </c>
      <c r="BO161" s="163">
        <v>1668742.19</v>
      </c>
      <c r="BP161" s="163">
        <v>1668742.19</v>
      </c>
      <c r="BQ161" s="163">
        <v>1668742.19</v>
      </c>
      <c r="BR161" s="163">
        <v>1644821.03</v>
      </c>
      <c r="BS161" s="163">
        <v>1644821.03</v>
      </c>
      <c r="BT161" s="163">
        <v>1644821.03</v>
      </c>
      <c r="BU161" s="163">
        <v>1621954.17</v>
      </c>
      <c r="BV161" s="163">
        <v>1621954.17</v>
      </c>
      <c r="BW161" s="163">
        <v>1621954.17</v>
      </c>
      <c r="BX161" s="163">
        <v>1633781.48</v>
      </c>
      <c r="BY161" s="163">
        <v>1633781.48</v>
      </c>
      <c r="BZ161" s="163">
        <v>1633781.48</v>
      </c>
      <c r="CA161" s="163">
        <v>1605185.21</v>
      </c>
      <c r="CB161" s="163">
        <v>1605185.21</v>
      </c>
      <c r="CC161" s="163">
        <v>1605185.21</v>
      </c>
      <c r="CD161" s="163">
        <v>1575000.39</v>
      </c>
      <c r="CE161" s="163">
        <v>1575000.39</v>
      </c>
      <c r="CF161" s="163">
        <v>1575000.39</v>
      </c>
      <c r="CG161" s="163">
        <v>1545609.82</v>
      </c>
      <c r="CH161" s="163">
        <v>1545609.82</v>
      </c>
      <c r="CI161" s="163">
        <v>1545609.82</v>
      </c>
      <c r="CJ161" s="163">
        <v>1888253.51</v>
      </c>
      <c r="CK161" s="163">
        <v>1888253.51</v>
      </c>
      <c r="CL161" s="163">
        <v>1888253.51</v>
      </c>
      <c r="CM161" s="163">
        <v>1849978.39</v>
      </c>
      <c r="CN161" s="163">
        <v>1849978.39</v>
      </c>
      <c r="CO161" s="163">
        <v>1849978.39</v>
      </c>
      <c r="CP161" s="163">
        <v>1811703.3</v>
      </c>
      <c r="CQ161" s="163">
        <v>1811703.3</v>
      </c>
      <c r="CR161" s="163">
        <v>1811703.3</v>
      </c>
      <c r="CS161" s="163">
        <v>1752318.47</v>
      </c>
      <c r="CT161" s="163">
        <v>1752318.47</v>
      </c>
      <c r="CU161" s="163">
        <v>1752318.47</v>
      </c>
      <c r="CV161" s="163">
        <v>1400125.04</v>
      </c>
      <c r="CW161" s="163">
        <v>1400125.04</v>
      </c>
      <c r="CX161" s="163">
        <v>1400125.04</v>
      </c>
      <c r="CY161" s="163">
        <v>1369637.21</v>
      </c>
      <c r="CZ161" s="163">
        <v>1369637.21</v>
      </c>
      <c r="DA161" s="163">
        <v>1369637.21</v>
      </c>
      <c r="DB161" s="163">
        <v>1275702.7</v>
      </c>
      <c r="DC161" s="163">
        <v>1275702.7</v>
      </c>
      <c r="DD161" s="163">
        <v>1275702.7</v>
      </c>
      <c r="DE161" s="163">
        <v>1244934.6200000001</v>
      </c>
      <c r="DF161" s="163">
        <f>VLOOKUP($C161,'[3]BS ACC'!$C$5:$DH$1006,108,FALSE)</f>
        <v>1244934.6200000001</v>
      </c>
      <c r="DG161" s="163">
        <f>VLOOKUP($C161,'[3]BS ACC'!$C$5:$DH$1006,109,FALSE)</f>
        <v>1244934.6200000001</v>
      </c>
      <c r="DH161" s="163">
        <f>VLOOKUP($C161,'[3]BS ACC'!$C$5:$DH$1006,110,FALSE)</f>
        <v>1661619.46</v>
      </c>
    </row>
    <row r="162" spans="1:112">
      <c r="A162" s="350" t="str">
        <f t="shared" si="2"/>
        <v>1900409</v>
      </c>
      <c r="B162" s="350" t="s">
        <v>1537</v>
      </c>
      <c r="C162" s="335" t="s">
        <v>703</v>
      </c>
      <c r="D162" s="340">
        <v>5320</v>
      </c>
      <c r="E162" s="340">
        <v>5320</v>
      </c>
      <c r="F162" s="340">
        <v>5320</v>
      </c>
      <c r="G162" s="340">
        <v>5320</v>
      </c>
      <c r="H162" s="340">
        <v>5320</v>
      </c>
      <c r="I162" s="340">
        <v>5320</v>
      </c>
      <c r="J162" s="340">
        <v>5320</v>
      </c>
      <c r="K162" s="340">
        <v>5320</v>
      </c>
      <c r="L162" s="340">
        <v>5320</v>
      </c>
      <c r="M162" s="340">
        <v>5320</v>
      </c>
      <c r="N162" s="340">
        <v>5320</v>
      </c>
      <c r="O162" s="340">
        <v>5320</v>
      </c>
      <c r="P162" s="341">
        <v>5320</v>
      </c>
      <c r="Q162" s="163">
        <v>5320</v>
      </c>
      <c r="R162" s="163">
        <v>5320</v>
      </c>
      <c r="S162" s="163">
        <v>5320</v>
      </c>
      <c r="T162" s="163">
        <v>5320</v>
      </c>
      <c r="U162" s="163">
        <v>5320</v>
      </c>
      <c r="V162" s="163">
        <v>5320</v>
      </c>
      <c r="W162" s="163">
        <v>5320</v>
      </c>
      <c r="X162" s="163">
        <v>5320</v>
      </c>
      <c r="Y162" s="163">
        <v>5320</v>
      </c>
      <c r="Z162" s="163">
        <v>5320</v>
      </c>
      <c r="AA162" s="163">
        <v>5320</v>
      </c>
      <c r="AB162" s="163">
        <v>5320</v>
      </c>
      <c r="AC162" s="163">
        <v>5320</v>
      </c>
      <c r="AD162" s="163">
        <v>5320</v>
      </c>
      <c r="AE162" s="163">
        <v>5320</v>
      </c>
      <c r="AF162" s="163">
        <v>5320</v>
      </c>
      <c r="AG162" s="163">
        <v>5320</v>
      </c>
      <c r="AH162" s="163">
        <v>5320</v>
      </c>
      <c r="AI162" s="163">
        <v>5320</v>
      </c>
      <c r="AJ162" s="163">
        <v>5320</v>
      </c>
      <c r="AK162" s="163">
        <v>5320</v>
      </c>
      <c r="AL162" s="163">
        <v>5320</v>
      </c>
      <c r="AM162" s="163">
        <v>5320</v>
      </c>
      <c r="AN162" s="163">
        <v>5320</v>
      </c>
      <c r="AO162" s="163">
        <v>5320</v>
      </c>
      <c r="AP162" s="163">
        <v>5320</v>
      </c>
      <c r="AQ162" s="163">
        <v>5320</v>
      </c>
      <c r="AR162" s="163">
        <v>5320</v>
      </c>
      <c r="AS162" s="163">
        <v>5320</v>
      </c>
      <c r="AT162" s="163">
        <v>5320</v>
      </c>
      <c r="AU162" s="163">
        <v>5320</v>
      </c>
      <c r="AV162" s="163">
        <v>5320</v>
      </c>
      <c r="AW162" s="163">
        <v>5320</v>
      </c>
      <c r="AX162" s="163">
        <v>5320</v>
      </c>
      <c r="AY162" s="163">
        <v>5320</v>
      </c>
      <c r="AZ162" s="163">
        <v>5320</v>
      </c>
      <c r="BA162" s="163">
        <v>5320</v>
      </c>
      <c r="BB162" s="163">
        <v>5320</v>
      </c>
      <c r="BC162" s="163">
        <v>5320</v>
      </c>
      <c r="BD162" s="163">
        <v>5320</v>
      </c>
      <c r="BE162" s="163">
        <v>5320</v>
      </c>
      <c r="BF162" s="163">
        <v>5320</v>
      </c>
      <c r="BG162" s="163">
        <v>5320</v>
      </c>
      <c r="BH162" s="163">
        <v>5320</v>
      </c>
      <c r="BI162" s="163">
        <v>5320</v>
      </c>
      <c r="BJ162" s="163">
        <v>5320</v>
      </c>
      <c r="BK162" s="163">
        <v>5320</v>
      </c>
      <c r="BL162" s="163">
        <v>5320</v>
      </c>
      <c r="BM162" s="163">
        <v>5320</v>
      </c>
      <c r="BN162" s="163">
        <v>5320</v>
      </c>
      <c r="BO162" s="163">
        <v>5320</v>
      </c>
      <c r="BP162" s="163">
        <v>5320</v>
      </c>
      <c r="BQ162" s="163">
        <v>5320</v>
      </c>
      <c r="BR162" s="163">
        <v>5320</v>
      </c>
      <c r="BS162" s="163">
        <v>5320</v>
      </c>
      <c r="BT162" s="163">
        <v>5320</v>
      </c>
      <c r="BU162" s="163">
        <v>5320</v>
      </c>
      <c r="BV162" s="163">
        <v>5320</v>
      </c>
      <c r="BW162" s="163">
        <v>5320</v>
      </c>
      <c r="BX162" s="163">
        <v>5320</v>
      </c>
      <c r="BY162" s="163">
        <v>5320</v>
      </c>
      <c r="BZ162" s="163">
        <v>5320</v>
      </c>
      <c r="CA162" s="163">
        <v>5320</v>
      </c>
      <c r="CB162" s="163">
        <v>5320</v>
      </c>
      <c r="CC162" s="163">
        <v>5320</v>
      </c>
      <c r="CD162" s="163">
        <v>5320</v>
      </c>
      <c r="CE162" s="163">
        <v>5320</v>
      </c>
      <c r="CF162" s="163">
        <v>5320</v>
      </c>
      <c r="CG162" s="163">
        <v>5320</v>
      </c>
      <c r="CH162" s="163">
        <v>5320</v>
      </c>
      <c r="CI162" s="163">
        <v>5320</v>
      </c>
      <c r="CJ162" s="163">
        <v>5320</v>
      </c>
      <c r="CK162" s="163">
        <v>5320</v>
      </c>
      <c r="CL162" s="163">
        <v>5320</v>
      </c>
      <c r="CM162" s="163">
        <v>5320</v>
      </c>
      <c r="CN162" s="163">
        <v>5320</v>
      </c>
      <c r="CO162" s="163">
        <v>5320</v>
      </c>
      <c r="CP162" s="163">
        <v>5320</v>
      </c>
      <c r="CQ162" s="163">
        <v>5320</v>
      </c>
      <c r="CR162" s="163">
        <v>5320</v>
      </c>
      <c r="CS162" s="163">
        <v>5320</v>
      </c>
      <c r="CT162" s="163">
        <v>5320</v>
      </c>
      <c r="CU162" s="163">
        <v>5320</v>
      </c>
      <c r="CV162" s="163">
        <v>5320</v>
      </c>
      <c r="CW162" s="163">
        <v>5320</v>
      </c>
      <c r="CX162" s="163">
        <v>5320</v>
      </c>
      <c r="CY162" s="163">
        <v>5320</v>
      </c>
      <c r="CZ162" s="163">
        <v>5320</v>
      </c>
      <c r="DA162" s="163">
        <v>5320</v>
      </c>
      <c r="DB162" s="163">
        <v>5320</v>
      </c>
      <c r="DC162" s="163">
        <v>5320</v>
      </c>
      <c r="DD162" s="163">
        <v>5320</v>
      </c>
      <c r="DE162" s="163">
        <v>5320</v>
      </c>
      <c r="DF162" s="163">
        <f>VLOOKUP($C162,'[3]BS ACC'!$C$5:$DH$1006,108,FALSE)</f>
        <v>5320</v>
      </c>
      <c r="DG162" s="163">
        <f>VLOOKUP($C162,'[3]BS ACC'!$C$5:$DH$1006,109,FALSE)</f>
        <v>5320</v>
      </c>
      <c r="DH162" s="163">
        <f>VLOOKUP($C162,'[3]BS ACC'!$C$5:$DH$1006,110,FALSE)</f>
        <v>5320</v>
      </c>
    </row>
    <row r="163" spans="1:112">
      <c r="A163" s="350" t="str">
        <f t="shared" si="2"/>
        <v>1900410</v>
      </c>
      <c r="B163" s="350" t="s">
        <v>1607</v>
      </c>
      <c r="C163" s="335" t="s">
        <v>1468</v>
      </c>
      <c r="D163" s="340"/>
      <c r="E163" s="340"/>
      <c r="F163" s="340"/>
      <c r="G163" s="340"/>
      <c r="H163" s="340"/>
      <c r="I163" s="340"/>
      <c r="J163" s="340"/>
      <c r="K163" s="340"/>
      <c r="L163" s="340"/>
      <c r="M163" s="340"/>
      <c r="N163" s="340"/>
      <c r="O163" s="340"/>
      <c r="P163" s="341"/>
      <c r="Q163" s="163"/>
      <c r="R163" s="163"/>
      <c r="S163" s="163"/>
      <c r="T163" s="163"/>
      <c r="U163" s="163"/>
      <c r="V163" s="163"/>
      <c r="W163" s="163"/>
      <c r="X163" s="163"/>
      <c r="Y163" s="163"/>
      <c r="Z163" s="163"/>
      <c r="AA163" s="163"/>
      <c r="AB163" s="163"/>
      <c r="AC163" s="163"/>
      <c r="AD163" s="163"/>
      <c r="AE163" s="163"/>
      <c r="AF163" s="163">
        <v>786467</v>
      </c>
      <c r="AG163" s="163">
        <v>786467</v>
      </c>
      <c r="AH163" s="163">
        <v>511203.55</v>
      </c>
      <c r="AI163" s="163">
        <v>511203.55</v>
      </c>
      <c r="AJ163" s="163">
        <v>511203.55</v>
      </c>
      <c r="AK163" s="163">
        <v>511203.55</v>
      </c>
      <c r="AL163" s="163">
        <v>511203.55</v>
      </c>
      <c r="AM163" s="163">
        <v>511203.55</v>
      </c>
      <c r="AN163" s="163">
        <v>511203.55</v>
      </c>
      <c r="AO163" s="163">
        <v>511203.55</v>
      </c>
      <c r="AP163" s="163">
        <v>0</v>
      </c>
      <c r="AQ163" s="163">
        <v>0</v>
      </c>
      <c r="AR163" s="163">
        <v>0</v>
      </c>
      <c r="AS163" s="163">
        <v>0</v>
      </c>
      <c r="AT163" s="163">
        <v>0</v>
      </c>
      <c r="AU163" s="163">
        <v>0</v>
      </c>
      <c r="AV163" s="163">
        <v>0</v>
      </c>
      <c r="AW163" s="163">
        <v>0</v>
      </c>
      <c r="AX163" s="163">
        <v>0</v>
      </c>
      <c r="AY163" s="163">
        <v>0</v>
      </c>
      <c r="AZ163" s="163">
        <v>0</v>
      </c>
      <c r="BA163" s="163">
        <v>0</v>
      </c>
      <c r="BB163" s="163">
        <v>0</v>
      </c>
      <c r="BC163" s="163">
        <v>0</v>
      </c>
      <c r="BD163" s="163">
        <v>0</v>
      </c>
      <c r="BE163" s="163">
        <v>0</v>
      </c>
      <c r="BF163" s="163">
        <v>0</v>
      </c>
      <c r="BG163" s="163">
        <v>0</v>
      </c>
      <c r="BH163" s="163">
        <v>0</v>
      </c>
      <c r="BI163" s="163">
        <v>0</v>
      </c>
      <c r="BJ163" s="163">
        <v>0</v>
      </c>
      <c r="BK163" s="163">
        <v>0</v>
      </c>
      <c r="BL163" s="163">
        <v>0</v>
      </c>
      <c r="BM163" s="163">
        <v>0</v>
      </c>
      <c r="BN163" s="163">
        <v>0</v>
      </c>
      <c r="BO163" s="163">
        <v>0</v>
      </c>
      <c r="BP163" s="163">
        <v>0</v>
      </c>
      <c r="BQ163" s="163">
        <v>0</v>
      </c>
      <c r="BR163" s="163">
        <v>0</v>
      </c>
      <c r="BS163" s="163">
        <v>0</v>
      </c>
      <c r="BT163" s="163">
        <v>0</v>
      </c>
      <c r="BU163" s="163">
        <v>0</v>
      </c>
      <c r="BV163" s="163">
        <v>0</v>
      </c>
      <c r="BW163" s="163">
        <v>0</v>
      </c>
      <c r="BX163" s="163">
        <v>0</v>
      </c>
      <c r="BY163" s="163">
        <v>0</v>
      </c>
      <c r="BZ163" s="163">
        <v>0</v>
      </c>
      <c r="CA163" s="163">
        <v>0</v>
      </c>
      <c r="CB163" s="163">
        <v>0</v>
      </c>
      <c r="CC163" s="163">
        <v>0</v>
      </c>
      <c r="CD163" s="163">
        <v>0</v>
      </c>
      <c r="CE163" s="163">
        <v>0</v>
      </c>
      <c r="CF163" s="163">
        <v>0</v>
      </c>
      <c r="CG163" s="163">
        <v>0</v>
      </c>
      <c r="CH163" s="163">
        <v>0</v>
      </c>
      <c r="CI163" s="163">
        <v>0</v>
      </c>
      <c r="CJ163" s="163">
        <v>0</v>
      </c>
      <c r="CK163" s="163">
        <v>0</v>
      </c>
      <c r="CL163" s="163">
        <v>0</v>
      </c>
      <c r="CM163" s="163">
        <v>0</v>
      </c>
      <c r="CN163" s="163">
        <v>0</v>
      </c>
      <c r="CO163" s="163">
        <v>0</v>
      </c>
      <c r="CP163" s="163">
        <v>0</v>
      </c>
      <c r="CQ163" s="163">
        <v>0</v>
      </c>
      <c r="CR163" s="163">
        <v>0</v>
      </c>
      <c r="CS163" s="163">
        <v>0</v>
      </c>
      <c r="CT163" s="163">
        <v>0</v>
      </c>
      <c r="CU163" s="163">
        <v>0</v>
      </c>
      <c r="CV163" s="163">
        <v>0</v>
      </c>
      <c r="CW163" s="163">
        <v>0</v>
      </c>
      <c r="CX163" s="163">
        <v>0</v>
      </c>
      <c r="CY163" s="163">
        <v>0</v>
      </c>
      <c r="CZ163" s="163">
        <v>0</v>
      </c>
      <c r="DA163" s="163">
        <v>0</v>
      </c>
      <c r="DB163" s="163">
        <v>0</v>
      </c>
      <c r="DC163" s="163">
        <v>0</v>
      </c>
      <c r="DD163" s="163">
        <v>0</v>
      </c>
      <c r="DE163" s="163">
        <v>0</v>
      </c>
      <c r="DF163" s="163">
        <f>VLOOKUP($C163,'[3]BS ACC'!$C$5:$DH$1006,108,FALSE)</f>
        <v>0</v>
      </c>
      <c r="DG163" s="163">
        <f>VLOOKUP($C163,'[3]BS ACC'!$C$5:$DH$1006,109,FALSE)</f>
        <v>0</v>
      </c>
      <c r="DH163" s="163">
        <f>VLOOKUP($C163,'[3]BS ACC'!$C$5:$DH$1006,110,FALSE)</f>
        <v>0</v>
      </c>
    </row>
    <row r="164" spans="1:112">
      <c r="A164" s="350" t="str">
        <f t="shared" si="2"/>
        <v>1900600</v>
      </c>
      <c r="B164" s="350" t="s">
        <v>1538</v>
      </c>
      <c r="C164" s="335" t="s">
        <v>1469</v>
      </c>
      <c r="D164" s="340"/>
      <c r="E164" s="340"/>
      <c r="F164" s="340"/>
      <c r="G164" s="340"/>
      <c r="H164" s="340"/>
      <c r="I164" s="340"/>
      <c r="J164" s="340"/>
      <c r="K164" s="340"/>
      <c r="L164" s="340"/>
      <c r="M164" s="340"/>
      <c r="N164" s="340"/>
      <c r="O164" s="340"/>
      <c r="P164" s="341"/>
      <c r="Q164" s="163"/>
      <c r="R164" s="163"/>
      <c r="S164" s="163"/>
      <c r="T164" s="163"/>
      <c r="U164" s="163"/>
      <c r="V164" s="163"/>
      <c r="W164" s="163"/>
      <c r="X164" s="163"/>
      <c r="Y164" s="163"/>
      <c r="Z164" s="163"/>
      <c r="AA164" s="163"/>
      <c r="AB164" s="163"/>
      <c r="AC164" s="163"/>
      <c r="AD164" s="163"/>
      <c r="AE164" s="163"/>
      <c r="AF164" s="163">
        <v>0</v>
      </c>
      <c r="AG164" s="163">
        <v>0</v>
      </c>
      <c r="AH164" s="163">
        <v>-61344.4</v>
      </c>
      <c r="AI164" s="163">
        <v>-61344.4</v>
      </c>
      <c r="AJ164" s="163">
        <v>-61344.4</v>
      </c>
      <c r="AK164" s="163">
        <v>-61344.4</v>
      </c>
      <c r="AL164" s="163">
        <v>-61344.4</v>
      </c>
      <c r="AM164" s="163">
        <v>-61344.4</v>
      </c>
      <c r="AN164" s="163">
        <v>-61344.4</v>
      </c>
      <c r="AO164" s="163">
        <v>-61344.4</v>
      </c>
      <c r="AP164" s="163">
        <v>0</v>
      </c>
      <c r="AQ164" s="163">
        <v>0</v>
      </c>
      <c r="AR164" s="163">
        <v>0</v>
      </c>
      <c r="AS164" s="163">
        <v>0</v>
      </c>
      <c r="AT164" s="163">
        <v>0</v>
      </c>
      <c r="AU164" s="163">
        <v>0</v>
      </c>
      <c r="AV164" s="163">
        <v>0</v>
      </c>
      <c r="AW164" s="163">
        <v>0</v>
      </c>
      <c r="AX164" s="163">
        <v>0</v>
      </c>
      <c r="AY164" s="163">
        <v>0</v>
      </c>
      <c r="AZ164" s="163">
        <v>0</v>
      </c>
      <c r="BA164" s="163">
        <v>0</v>
      </c>
      <c r="BB164" s="163">
        <v>0</v>
      </c>
      <c r="BC164" s="163">
        <v>0</v>
      </c>
      <c r="BD164" s="163">
        <v>0</v>
      </c>
      <c r="BE164" s="163">
        <v>0</v>
      </c>
      <c r="BF164" s="163">
        <v>0</v>
      </c>
      <c r="BG164" s="163">
        <v>0</v>
      </c>
      <c r="BH164" s="163">
        <v>0</v>
      </c>
      <c r="BI164" s="163">
        <v>0</v>
      </c>
      <c r="BJ164" s="163">
        <v>0</v>
      </c>
      <c r="BK164" s="163">
        <v>0</v>
      </c>
      <c r="BL164" s="163">
        <v>0</v>
      </c>
      <c r="BM164" s="163">
        <v>0</v>
      </c>
      <c r="BN164" s="163">
        <v>0</v>
      </c>
      <c r="BO164" s="163">
        <v>0</v>
      </c>
      <c r="BP164" s="163">
        <v>0</v>
      </c>
      <c r="BQ164" s="163">
        <v>0</v>
      </c>
      <c r="BR164" s="163">
        <v>0</v>
      </c>
      <c r="BS164" s="163">
        <v>0</v>
      </c>
      <c r="BT164" s="163">
        <v>0</v>
      </c>
      <c r="BU164" s="163">
        <v>0</v>
      </c>
      <c r="BV164" s="163">
        <v>0</v>
      </c>
      <c r="BW164" s="163">
        <v>0</v>
      </c>
      <c r="BX164" s="163">
        <v>0</v>
      </c>
      <c r="BY164" s="163">
        <v>0</v>
      </c>
      <c r="BZ164" s="163">
        <v>0</v>
      </c>
      <c r="CA164" s="163">
        <v>0</v>
      </c>
      <c r="CB164" s="163">
        <v>0</v>
      </c>
      <c r="CC164" s="163">
        <v>0</v>
      </c>
      <c r="CD164" s="163">
        <v>0</v>
      </c>
      <c r="CE164" s="163">
        <v>0</v>
      </c>
      <c r="CF164" s="163">
        <v>0</v>
      </c>
      <c r="CG164" s="163">
        <v>0</v>
      </c>
      <c r="CH164" s="163">
        <v>0</v>
      </c>
      <c r="CI164" s="163">
        <v>0</v>
      </c>
      <c r="CJ164" s="163">
        <v>0</v>
      </c>
      <c r="CK164" s="163">
        <v>0</v>
      </c>
      <c r="CL164" s="163">
        <v>0</v>
      </c>
      <c r="CM164" s="163">
        <v>0</v>
      </c>
      <c r="CN164" s="163">
        <v>0</v>
      </c>
      <c r="CO164" s="163">
        <v>0</v>
      </c>
      <c r="CP164" s="163">
        <v>0</v>
      </c>
      <c r="CQ164" s="163">
        <v>0</v>
      </c>
      <c r="CR164" s="163">
        <v>0</v>
      </c>
      <c r="CS164" s="163">
        <v>0</v>
      </c>
      <c r="CT164" s="163">
        <v>0</v>
      </c>
      <c r="CU164" s="163">
        <v>0</v>
      </c>
      <c r="CV164" s="163">
        <v>0</v>
      </c>
      <c r="CW164" s="163">
        <v>0</v>
      </c>
      <c r="CX164" s="163">
        <v>0</v>
      </c>
      <c r="CY164" s="163">
        <v>0</v>
      </c>
      <c r="CZ164" s="163">
        <v>0</v>
      </c>
      <c r="DA164" s="163">
        <v>0</v>
      </c>
      <c r="DB164" s="163">
        <v>0</v>
      </c>
      <c r="DC164" s="163">
        <v>0</v>
      </c>
      <c r="DD164" s="163">
        <v>0</v>
      </c>
      <c r="DE164" s="163">
        <v>0</v>
      </c>
      <c r="DF164" s="163">
        <f>VLOOKUP($C164,'[3]BS ACC'!$C$5:$DH$1006,108,FALSE)</f>
        <v>0</v>
      </c>
      <c r="DG164" s="163">
        <f>VLOOKUP($C164,'[3]BS ACC'!$C$5:$DH$1006,109,FALSE)</f>
        <v>0</v>
      </c>
      <c r="DH164" s="163">
        <f>VLOOKUP($C164,'[3]BS ACC'!$C$5:$DH$1006,110,FALSE)</f>
        <v>0</v>
      </c>
    </row>
    <row r="165" spans="1:112">
      <c r="A165" s="350" t="str">
        <f t="shared" si="2"/>
        <v>1910100</v>
      </c>
      <c r="B165" s="350" t="s">
        <v>1608</v>
      </c>
      <c r="C165" s="335" t="s">
        <v>704</v>
      </c>
      <c r="D165" s="340">
        <v>-96106223.920000002</v>
      </c>
      <c r="E165" s="340">
        <v>-96394532.439999998</v>
      </c>
      <c r="F165" s="340">
        <v>-99828320.439999998</v>
      </c>
      <c r="G165" s="340">
        <v>-98512647.439999998</v>
      </c>
      <c r="H165" s="340">
        <v>-100061166.2</v>
      </c>
      <c r="I165" s="340">
        <v>-97764840.200000003</v>
      </c>
      <c r="J165" s="340">
        <v>-99400115.129999995</v>
      </c>
      <c r="K165" s="340">
        <v>-100056751.18000001</v>
      </c>
      <c r="L165" s="340">
        <v>-100443908.18000001</v>
      </c>
      <c r="M165" s="340">
        <v>-100322514.18000001</v>
      </c>
      <c r="N165" s="340">
        <v>-98457434.180000007</v>
      </c>
      <c r="O165" s="340">
        <v>-93170295.180000007</v>
      </c>
      <c r="P165" s="341">
        <v>-95671733.079999998</v>
      </c>
      <c r="Q165" s="163">
        <v>-97818951.079999998</v>
      </c>
      <c r="R165" s="163">
        <v>-98769599.079999998</v>
      </c>
      <c r="S165" s="163">
        <v>-101256492.08</v>
      </c>
      <c r="T165" s="163">
        <v>-100332145.08</v>
      </c>
      <c r="U165" s="163">
        <v>-100412482.08</v>
      </c>
      <c r="V165" s="163">
        <v>-103136454.08</v>
      </c>
      <c r="W165" s="163">
        <v>-102453662.08</v>
      </c>
      <c r="X165" s="163">
        <v>-103265220.08</v>
      </c>
      <c r="Y165" s="163">
        <v>-103307102.08</v>
      </c>
      <c r="Z165" s="163">
        <v>-101491686.08</v>
      </c>
      <c r="AA165" s="163">
        <v>-100274678.08</v>
      </c>
      <c r="AB165" s="163">
        <v>-101425799.06999999</v>
      </c>
      <c r="AC165" s="163">
        <v>-104182998.06999999</v>
      </c>
      <c r="AD165" s="163">
        <v>-110531518.27</v>
      </c>
      <c r="AE165" s="163">
        <v>-113125774.27</v>
      </c>
      <c r="AF165" s="163">
        <v>-114438345.27</v>
      </c>
      <c r="AG165" s="163">
        <v>-116374299.27</v>
      </c>
      <c r="AH165" s="163">
        <v>-118691714.27</v>
      </c>
      <c r="AI165" s="163">
        <v>-119986027.59999999</v>
      </c>
      <c r="AJ165" s="163">
        <v>-120886961.59999999</v>
      </c>
      <c r="AK165" s="163">
        <v>-120415701.59999999</v>
      </c>
      <c r="AL165" s="163">
        <v>-117749437.59999999</v>
      </c>
      <c r="AM165" s="163">
        <v>-115012916.59999999</v>
      </c>
      <c r="AN165" s="163">
        <v>-114552574.54000001</v>
      </c>
      <c r="AO165" s="163">
        <v>-114567801.54000001</v>
      </c>
      <c r="AP165" s="163">
        <v>-117692525.55</v>
      </c>
      <c r="AQ165" s="163">
        <v>-114430444.55</v>
      </c>
      <c r="AR165" s="163">
        <v>-115333953.55</v>
      </c>
      <c r="AS165" s="163">
        <v>-115302898.55</v>
      </c>
      <c r="AT165" s="163">
        <v>-114351282.55</v>
      </c>
      <c r="AU165" s="163">
        <v>-113167939.91</v>
      </c>
      <c r="AV165" s="163">
        <v>-111983976.91</v>
      </c>
      <c r="AW165" s="163">
        <v>-113177314.91</v>
      </c>
      <c r="AX165" s="163">
        <v>-109761241.91</v>
      </c>
      <c r="AY165" s="163">
        <v>-108607491.91</v>
      </c>
      <c r="AZ165" s="163">
        <v>-109278934.06999999</v>
      </c>
      <c r="BA165" s="163">
        <v>-114575765.06999999</v>
      </c>
      <c r="BB165" s="163">
        <v>-120659536.06999999</v>
      </c>
      <c r="BC165" s="163">
        <v>-118040921.06999999</v>
      </c>
      <c r="BD165" s="163">
        <v>-121708933.06999999</v>
      </c>
      <c r="BE165" s="163">
        <v>-121584129.06999999</v>
      </c>
      <c r="BF165" s="163">
        <v>-122137109.06999999</v>
      </c>
      <c r="BG165" s="163">
        <v>-122271981.34</v>
      </c>
      <c r="BH165" s="163">
        <v>-121868162.34</v>
      </c>
      <c r="BI165" s="163">
        <v>-122380938.34</v>
      </c>
      <c r="BJ165" s="163">
        <v>-119323885.39</v>
      </c>
      <c r="BK165" s="163">
        <v>-112994846.39</v>
      </c>
      <c r="BL165" s="163">
        <v>-109747687.8</v>
      </c>
      <c r="BM165" s="163">
        <v>-111530054.95</v>
      </c>
      <c r="BN165" s="163">
        <v>-114924164.95</v>
      </c>
      <c r="BO165" s="163">
        <v>-115966382.95</v>
      </c>
      <c r="BP165" s="163">
        <v>-118894174.95</v>
      </c>
      <c r="BQ165" s="163">
        <v>-121312929.95</v>
      </c>
      <c r="BR165" s="163">
        <v>-122461259.95</v>
      </c>
      <c r="BS165" s="163">
        <v>-122621523.95</v>
      </c>
      <c r="BT165" s="163">
        <v>-121061920.95</v>
      </c>
      <c r="BU165" s="163">
        <v>-121615677.61</v>
      </c>
      <c r="BV165" s="163">
        <v>-118995406.61</v>
      </c>
      <c r="BW165" s="163">
        <v>-116667471.61</v>
      </c>
      <c r="BX165" s="163">
        <v>-117770364.61</v>
      </c>
      <c r="BY165" s="163">
        <v>-121160462.61</v>
      </c>
      <c r="BZ165" s="163">
        <v>-124245125.78</v>
      </c>
      <c r="CA165" s="163">
        <v>-125475141.78</v>
      </c>
      <c r="CB165" s="163">
        <v>-126115777.78</v>
      </c>
      <c r="CC165" s="163">
        <v>-125579668.78</v>
      </c>
      <c r="CD165" s="163">
        <v>-126229763.78</v>
      </c>
      <c r="CE165" s="163">
        <v>-125646219.78</v>
      </c>
      <c r="CF165" s="163">
        <v>-123137797.78</v>
      </c>
      <c r="CG165" s="163">
        <v>-122343773.94</v>
      </c>
      <c r="CH165" s="163">
        <v>-118327958.94</v>
      </c>
      <c r="CI165" s="163">
        <v>-114832209.13</v>
      </c>
      <c r="CJ165" s="163">
        <v>-114047246.16</v>
      </c>
      <c r="CK165" s="163">
        <v>-117674224.16</v>
      </c>
      <c r="CL165" s="163">
        <v>-115144037.5</v>
      </c>
      <c r="CM165" s="163">
        <v>-113837467.5</v>
      </c>
      <c r="CN165" s="163">
        <v>-117659334.5</v>
      </c>
      <c r="CO165" s="163">
        <v>-118055349.5</v>
      </c>
      <c r="CP165" s="163">
        <v>-117314832.5</v>
      </c>
      <c r="CQ165" s="163">
        <v>-117625812.5</v>
      </c>
      <c r="CR165" s="163">
        <v>-116615187.5</v>
      </c>
      <c r="CS165" s="163">
        <v>-115139066.68000001</v>
      </c>
      <c r="CT165" s="163">
        <v>-107422458.68000001</v>
      </c>
      <c r="CU165" s="163">
        <v>-99629730.189999998</v>
      </c>
      <c r="CV165" s="163">
        <v>-100110911.19</v>
      </c>
      <c r="CW165" s="163">
        <v>-104672602.19</v>
      </c>
      <c r="CX165" s="163">
        <v>-110039088.2</v>
      </c>
      <c r="CY165" s="163">
        <v>-109475913.64</v>
      </c>
      <c r="CZ165" s="163">
        <v>-114118512.94</v>
      </c>
      <c r="DA165" s="163">
        <v>-112536098.94</v>
      </c>
      <c r="DB165" s="163">
        <v>-112835867.94</v>
      </c>
      <c r="DC165" s="163">
        <v>-113597568.94</v>
      </c>
      <c r="DD165" s="163">
        <v>-117167764.39</v>
      </c>
      <c r="DE165" s="163">
        <v>-122367926.56</v>
      </c>
      <c r="DF165" s="163">
        <f>VLOOKUP($C165,'[3]BS ACC'!$C$5:$DH$1006,108,FALSE)</f>
        <v>-125506772.56</v>
      </c>
      <c r="DG165" s="163">
        <f>VLOOKUP($C165,'[3]BS ACC'!$C$5:$DH$1006,109,FALSE)</f>
        <v>-115559908.56</v>
      </c>
      <c r="DH165" s="163">
        <f>VLOOKUP($C165,'[3]BS ACC'!$C$5:$DH$1006,110,FALSE)</f>
        <v>-110077972.56</v>
      </c>
    </row>
    <row r="166" spans="1:112">
      <c r="A166" s="350" t="str">
        <f t="shared" si="2"/>
        <v>1910110</v>
      </c>
      <c r="B166" s="350" t="s">
        <v>1609</v>
      </c>
      <c r="C166" s="335" t="s">
        <v>705</v>
      </c>
      <c r="D166" s="340">
        <v>99135200.140000001</v>
      </c>
      <c r="E166" s="340">
        <v>98722850.140000001</v>
      </c>
      <c r="F166" s="340">
        <v>97137940.140000001</v>
      </c>
      <c r="G166" s="340">
        <v>96641460.140000001</v>
      </c>
      <c r="H166" s="340">
        <v>96235685.140000001</v>
      </c>
      <c r="I166" s="340">
        <v>95893455.140000001</v>
      </c>
      <c r="J166" s="340">
        <v>95668535.140000001</v>
      </c>
      <c r="K166" s="340">
        <v>95561065.140000001</v>
      </c>
      <c r="L166" s="340">
        <v>95758605.140000001</v>
      </c>
      <c r="M166" s="340">
        <v>95906895.140000001</v>
      </c>
      <c r="N166" s="340">
        <v>96030895.140000001</v>
      </c>
      <c r="O166" s="340">
        <v>96432405.140000001</v>
      </c>
      <c r="P166" s="341">
        <v>96494455.140000001</v>
      </c>
      <c r="Q166" s="163">
        <v>97819350.140000001</v>
      </c>
      <c r="R166" s="163">
        <v>99294180.140000001</v>
      </c>
      <c r="S166" s="163">
        <v>100140360.14</v>
      </c>
      <c r="T166" s="163">
        <v>100888430.14</v>
      </c>
      <c r="U166" s="163">
        <v>101465100.14</v>
      </c>
      <c r="V166" s="163">
        <v>101894990.14</v>
      </c>
      <c r="W166" s="163">
        <v>102347520.14</v>
      </c>
      <c r="X166" s="163">
        <v>102678190.14</v>
      </c>
      <c r="Y166" s="163">
        <v>103141990.14</v>
      </c>
      <c r="Z166" s="163">
        <v>103742890.14</v>
      </c>
      <c r="AA166" s="163">
        <v>104841160.14</v>
      </c>
      <c r="AB166" s="163">
        <v>106243330.14</v>
      </c>
      <c r="AC166" s="163">
        <v>108059660.14</v>
      </c>
      <c r="AD166" s="163">
        <v>109407050.14</v>
      </c>
      <c r="AE166" s="163">
        <v>110445060.14</v>
      </c>
      <c r="AF166" s="163">
        <v>111046550.14</v>
      </c>
      <c r="AG166" s="163">
        <v>111456145.14</v>
      </c>
      <c r="AH166" s="163">
        <v>111866685.14</v>
      </c>
      <c r="AI166" s="163">
        <v>111934325.14</v>
      </c>
      <c r="AJ166" s="163">
        <v>112064995.14</v>
      </c>
      <c r="AK166" s="163">
        <v>112131775.14</v>
      </c>
      <c r="AL166" s="163">
        <v>112203715.14</v>
      </c>
      <c r="AM166" s="163">
        <v>112354875.14</v>
      </c>
      <c r="AN166" s="163">
        <v>112375905.14</v>
      </c>
      <c r="AO166" s="163">
        <v>111925455.14</v>
      </c>
      <c r="AP166" s="163">
        <v>111887535.14</v>
      </c>
      <c r="AQ166" s="163">
        <v>112135590.14</v>
      </c>
      <c r="AR166" s="163">
        <v>112082620.14</v>
      </c>
      <c r="AS166" s="163">
        <v>112043480.14</v>
      </c>
      <c r="AT166" s="163">
        <v>112017500.14</v>
      </c>
      <c r="AU166" s="163">
        <v>112027580.14</v>
      </c>
      <c r="AV166" s="163">
        <v>112046830.14</v>
      </c>
      <c r="AW166" s="163">
        <v>112052030.14</v>
      </c>
      <c r="AX166" s="163">
        <v>112054680.14</v>
      </c>
      <c r="AY166" s="163">
        <v>112113300.14</v>
      </c>
      <c r="AZ166" s="163">
        <v>112113600.14</v>
      </c>
      <c r="BA166" s="163">
        <v>112191700.14</v>
      </c>
      <c r="BB166" s="163">
        <v>112113980.14</v>
      </c>
      <c r="BC166" s="163">
        <v>112172800.14</v>
      </c>
      <c r="BD166" s="163">
        <v>112185955.14</v>
      </c>
      <c r="BE166" s="163">
        <v>112183915.14</v>
      </c>
      <c r="BF166" s="163">
        <v>112183915.14</v>
      </c>
      <c r="BG166" s="163">
        <v>112177555.14</v>
      </c>
      <c r="BH166" s="163">
        <v>112179865.14</v>
      </c>
      <c r="BI166" s="163">
        <v>112178755.14</v>
      </c>
      <c r="BJ166" s="163">
        <v>112174515.14</v>
      </c>
      <c r="BK166" s="163">
        <v>112159865.14</v>
      </c>
      <c r="BL166" s="163">
        <v>112159865.14</v>
      </c>
      <c r="BM166" s="163">
        <v>112159865.14</v>
      </c>
      <c r="BN166" s="163">
        <v>112159865.14</v>
      </c>
      <c r="BO166" s="163">
        <v>112159865.14</v>
      </c>
      <c r="BP166" s="163">
        <v>112159865.14</v>
      </c>
      <c r="BQ166" s="163">
        <v>112159865.14</v>
      </c>
      <c r="BR166" s="163">
        <v>112159865.14</v>
      </c>
      <c r="BS166" s="163">
        <v>112159865.14</v>
      </c>
      <c r="BT166" s="163">
        <v>112159865.14</v>
      </c>
      <c r="BU166" s="163">
        <v>112159865.14</v>
      </c>
      <c r="BV166" s="163">
        <v>112159865.14</v>
      </c>
      <c r="BW166" s="163">
        <v>112159865.14</v>
      </c>
      <c r="BX166" s="163">
        <v>112159865.14</v>
      </c>
      <c r="BY166" s="163">
        <v>112159865.14</v>
      </c>
      <c r="BZ166" s="163">
        <v>112159865.14</v>
      </c>
      <c r="CA166" s="163">
        <v>112159865.14</v>
      </c>
      <c r="CB166" s="163">
        <v>112159865.14</v>
      </c>
      <c r="CC166" s="163">
        <v>112159865.14</v>
      </c>
      <c r="CD166" s="163">
        <v>112159865.14</v>
      </c>
      <c r="CE166" s="163">
        <v>112159865.14</v>
      </c>
      <c r="CF166" s="163">
        <v>112159865.14</v>
      </c>
      <c r="CG166" s="163">
        <v>112159865.14</v>
      </c>
      <c r="CH166" s="163">
        <v>112159865.14</v>
      </c>
      <c r="CI166" s="163">
        <v>112159865.14</v>
      </c>
      <c r="CJ166" s="163">
        <v>112159865.14</v>
      </c>
      <c r="CK166" s="163">
        <v>112159865.14</v>
      </c>
      <c r="CL166" s="163">
        <v>112159865.14</v>
      </c>
      <c r="CM166" s="163">
        <v>112159865.14</v>
      </c>
      <c r="CN166" s="163">
        <v>112159865.14</v>
      </c>
      <c r="CO166" s="163">
        <v>112159865.14</v>
      </c>
      <c r="CP166" s="163">
        <v>112159865.14</v>
      </c>
      <c r="CQ166" s="163">
        <v>112159865.14</v>
      </c>
      <c r="CR166" s="163">
        <v>112159865.14</v>
      </c>
      <c r="CS166" s="163">
        <v>112159865.14</v>
      </c>
      <c r="CT166" s="163">
        <v>112159865.14</v>
      </c>
      <c r="CU166" s="163">
        <v>112159865.14</v>
      </c>
      <c r="CV166" s="163">
        <v>112159865.14</v>
      </c>
      <c r="CW166" s="163">
        <v>112159865.14</v>
      </c>
      <c r="CX166" s="163">
        <v>112159865.14</v>
      </c>
      <c r="CY166" s="163">
        <v>112159865.14</v>
      </c>
      <c r="CZ166" s="163">
        <v>112159865.14</v>
      </c>
      <c r="DA166" s="163">
        <v>112159865.14</v>
      </c>
      <c r="DB166" s="163">
        <v>112159865.14</v>
      </c>
      <c r="DC166" s="163">
        <v>112159865.14</v>
      </c>
      <c r="DD166" s="163">
        <v>112159865.14</v>
      </c>
      <c r="DE166" s="163">
        <v>112159865.14</v>
      </c>
      <c r="DF166" s="163">
        <f>VLOOKUP($C166,'[3]BS ACC'!$C$5:$DH$1006,108,FALSE)</f>
        <v>112159865.14</v>
      </c>
      <c r="DG166" s="163">
        <f>VLOOKUP($C166,'[3]BS ACC'!$C$5:$DH$1006,109,FALSE)</f>
        <v>112159865.14</v>
      </c>
      <c r="DH166" s="163">
        <f>VLOOKUP($C166,'[3]BS ACC'!$C$5:$DH$1006,110,FALSE)</f>
        <v>112159865.14</v>
      </c>
    </row>
    <row r="167" spans="1:112">
      <c r="A167" s="350" t="str">
        <f t="shared" si="2"/>
        <v>1910160</v>
      </c>
      <c r="B167" s="350" t="s">
        <v>1610</v>
      </c>
      <c r="C167" s="335" t="s">
        <v>706</v>
      </c>
      <c r="D167" s="340">
        <v>0</v>
      </c>
      <c r="E167" s="340">
        <v>0</v>
      </c>
      <c r="F167" s="340">
        <v>2690380.3</v>
      </c>
      <c r="G167" s="340">
        <v>1871187.3</v>
      </c>
      <c r="H167" s="340">
        <v>3825481.06</v>
      </c>
      <c r="I167" s="340">
        <v>1871385.06</v>
      </c>
      <c r="J167" s="340">
        <v>3731579.99</v>
      </c>
      <c r="K167" s="340">
        <v>4495686.04</v>
      </c>
      <c r="L167" s="340">
        <v>4685303.04</v>
      </c>
      <c r="M167" s="340">
        <v>4415619.04</v>
      </c>
      <c r="N167" s="340">
        <v>2426539.04</v>
      </c>
      <c r="O167" s="340">
        <v>0</v>
      </c>
      <c r="P167" s="341">
        <v>0</v>
      </c>
      <c r="Q167" s="163">
        <v>0</v>
      </c>
      <c r="R167" s="163">
        <v>0</v>
      </c>
      <c r="S167" s="163">
        <v>1116132</v>
      </c>
      <c r="T167" s="163">
        <v>0</v>
      </c>
      <c r="U167" s="163">
        <v>0</v>
      </c>
      <c r="V167" s="163">
        <v>1241464</v>
      </c>
      <c r="W167" s="163">
        <v>106142</v>
      </c>
      <c r="X167" s="163">
        <v>587030</v>
      </c>
      <c r="Y167" s="163">
        <v>165112</v>
      </c>
      <c r="Z167" s="163">
        <v>0</v>
      </c>
      <c r="AA167" s="163">
        <v>0</v>
      </c>
      <c r="AB167" s="163">
        <v>0</v>
      </c>
      <c r="AC167" s="163">
        <v>0</v>
      </c>
      <c r="AD167" s="163">
        <v>1124468.1299999999</v>
      </c>
      <c r="AE167" s="163">
        <v>2680714.13</v>
      </c>
      <c r="AF167" s="163">
        <v>3391795.13</v>
      </c>
      <c r="AG167" s="163">
        <v>4918154.13</v>
      </c>
      <c r="AH167" s="163">
        <v>6825029.1299999999</v>
      </c>
      <c r="AI167" s="163">
        <v>8051702.46</v>
      </c>
      <c r="AJ167" s="163">
        <v>8821966.4600000009</v>
      </c>
      <c r="AK167" s="163">
        <v>8283926.46</v>
      </c>
      <c r="AL167" s="163">
        <v>5545722.46</v>
      </c>
      <c r="AM167" s="163">
        <v>2658041.46</v>
      </c>
      <c r="AN167" s="163">
        <v>2176669.4</v>
      </c>
      <c r="AO167" s="163">
        <v>2642346.4</v>
      </c>
      <c r="AP167" s="163">
        <v>5804990.4100000001</v>
      </c>
      <c r="AQ167" s="163">
        <v>2294854.41</v>
      </c>
      <c r="AR167" s="163">
        <v>3251333.41</v>
      </c>
      <c r="AS167" s="163">
        <v>3259418.41</v>
      </c>
      <c r="AT167" s="163">
        <v>2333782.41</v>
      </c>
      <c r="AU167" s="163">
        <v>1140359.77</v>
      </c>
      <c r="AV167" s="163">
        <v>0</v>
      </c>
      <c r="AW167" s="163">
        <v>1125284.77</v>
      </c>
      <c r="AX167" s="163">
        <v>0</v>
      </c>
      <c r="AY167" s="163">
        <v>0</v>
      </c>
      <c r="AZ167" s="163">
        <v>0</v>
      </c>
      <c r="BA167" s="163">
        <v>2384064.9300000002</v>
      </c>
      <c r="BB167" s="163">
        <v>8545555.9299999997</v>
      </c>
      <c r="BC167" s="163">
        <v>5868120.9299999997</v>
      </c>
      <c r="BD167" s="163">
        <v>9522977.9299999997</v>
      </c>
      <c r="BE167" s="163">
        <v>9400213.9299999997</v>
      </c>
      <c r="BF167" s="163">
        <v>9953193.9299999997</v>
      </c>
      <c r="BG167" s="163">
        <v>10094432.93</v>
      </c>
      <c r="BH167" s="163">
        <v>9688297.1999999993</v>
      </c>
      <c r="BI167" s="163">
        <v>10202183.199999999</v>
      </c>
      <c r="BJ167" s="163">
        <v>7149370.25</v>
      </c>
      <c r="BK167" s="163">
        <v>834981.25</v>
      </c>
      <c r="BL167" s="163">
        <v>0</v>
      </c>
      <c r="BM167" s="163">
        <v>0</v>
      </c>
      <c r="BN167" s="163">
        <v>2764299.81</v>
      </c>
      <c r="BO167" s="163">
        <v>3806517.81</v>
      </c>
      <c r="BP167" s="163">
        <v>6734309.8099999996</v>
      </c>
      <c r="BQ167" s="163">
        <v>9153064.8100000005</v>
      </c>
      <c r="BR167" s="163">
        <v>10301394.810000001</v>
      </c>
      <c r="BS167" s="163">
        <v>10461658.810000001</v>
      </c>
      <c r="BT167" s="163">
        <v>8902055.8100000005</v>
      </c>
      <c r="BU167" s="163">
        <v>9455812.4700000007</v>
      </c>
      <c r="BV167" s="163">
        <v>6835541.4699999997</v>
      </c>
      <c r="BW167" s="163">
        <v>4507606.47</v>
      </c>
      <c r="BX167" s="163">
        <v>5610499.4699999997</v>
      </c>
      <c r="BY167" s="163">
        <v>9000597.4700000007</v>
      </c>
      <c r="BZ167" s="163">
        <v>12085260.640000001</v>
      </c>
      <c r="CA167" s="163">
        <v>13315276.640000001</v>
      </c>
      <c r="CB167" s="163">
        <v>13955912.640000001</v>
      </c>
      <c r="CC167" s="163">
        <v>13419803.640000001</v>
      </c>
      <c r="CD167" s="163">
        <v>14069898.640000001</v>
      </c>
      <c r="CE167" s="163">
        <v>13486354.640000001</v>
      </c>
      <c r="CF167" s="163">
        <v>10977932.640000001</v>
      </c>
      <c r="CG167" s="163">
        <v>10183908.800000001</v>
      </c>
      <c r="CH167" s="163">
        <v>6168093.7999999998</v>
      </c>
      <c r="CI167" s="163">
        <v>2672343.9900000002</v>
      </c>
      <c r="CJ167" s="163">
        <v>1887381.02</v>
      </c>
      <c r="CK167" s="163">
        <v>5514359.0199999996</v>
      </c>
      <c r="CL167" s="163">
        <v>2984172.36</v>
      </c>
      <c r="CM167" s="163">
        <v>1677602.36</v>
      </c>
      <c r="CN167" s="163">
        <v>5499469.3600000003</v>
      </c>
      <c r="CO167" s="163">
        <v>5895484.3600000003</v>
      </c>
      <c r="CP167" s="163">
        <v>5154967.3600000003</v>
      </c>
      <c r="CQ167" s="163">
        <v>5465947.3600000003</v>
      </c>
      <c r="CR167" s="163">
        <v>4455322.3600000003</v>
      </c>
      <c r="CS167" s="163">
        <v>2979201.54</v>
      </c>
      <c r="CT167" s="163">
        <v>0</v>
      </c>
      <c r="CU167" s="163">
        <v>0</v>
      </c>
      <c r="CV167" s="163">
        <v>0</v>
      </c>
      <c r="CW167" s="163">
        <v>0</v>
      </c>
      <c r="CX167" s="163">
        <v>0</v>
      </c>
      <c r="CY167" s="163">
        <v>0</v>
      </c>
      <c r="CZ167" s="163">
        <v>1958647.8</v>
      </c>
      <c r="DA167" s="163">
        <v>376233.8</v>
      </c>
      <c r="DB167" s="163">
        <v>676002.8</v>
      </c>
      <c r="DC167" s="163">
        <v>1437703.8</v>
      </c>
      <c r="DD167" s="163">
        <v>5007899.25</v>
      </c>
      <c r="DE167" s="163">
        <v>10208061.42</v>
      </c>
      <c r="DF167" s="163">
        <f>VLOOKUP($C167,'[3]BS ACC'!$C$5:$DH$1006,108,FALSE)</f>
        <v>13346907.42</v>
      </c>
      <c r="DG167" s="163">
        <f>VLOOKUP($C167,'[3]BS ACC'!$C$5:$DH$1006,109,FALSE)</f>
        <v>3400043.42</v>
      </c>
      <c r="DH167" s="163">
        <f>VLOOKUP($C167,'[3]BS ACC'!$C$5:$DH$1006,110,FALSE)</f>
        <v>0</v>
      </c>
    </row>
    <row r="168" spans="1:112">
      <c r="A168" s="350" t="str">
        <f t="shared" si="2"/>
        <v>1910165</v>
      </c>
      <c r="B168" s="350" t="s">
        <v>1611</v>
      </c>
      <c r="C168" s="335" t="s">
        <v>707</v>
      </c>
      <c r="D168" s="340">
        <v>0</v>
      </c>
      <c r="E168" s="340">
        <v>0</v>
      </c>
      <c r="F168" s="340">
        <v>-2690380.3</v>
      </c>
      <c r="G168" s="340">
        <v>-1871187.3</v>
      </c>
      <c r="H168" s="340">
        <v>-3825481.06</v>
      </c>
      <c r="I168" s="340">
        <v>-1871385.06</v>
      </c>
      <c r="J168" s="340">
        <v>-3731579.99</v>
      </c>
      <c r="K168" s="340">
        <v>-4495686.04</v>
      </c>
      <c r="L168" s="340">
        <v>-4685303.04</v>
      </c>
      <c r="M168" s="340">
        <v>-4415619.04</v>
      </c>
      <c r="N168" s="340">
        <v>-2426539.04</v>
      </c>
      <c r="O168" s="340">
        <v>0</v>
      </c>
      <c r="P168" s="341">
        <v>0</v>
      </c>
      <c r="Q168" s="163">
        <v>0</v>
      </c>
      <c r="R168" s="163">
        <v>0</v>
      </c>
      <c r="S168" s="163">
        <v>-1116132</v>
      </c>
      <c r="T168" s="163">
        <v>0</v>
      </c>
      <c r="U168" s="163">
        <v>0</v>
      </c>
      <c r="V168" s="163">
        <v>-1241464</v>
      </c>
      <c r="W168" s="163">
        <v>-106142</v>
      </c>
      <c r="X168" s="163">
        <v>-587030</v>
      </c>
      <c r="Y168" s="163">
        <v>-165112</v>
      </c>
      <c r="Z168" s="163">
        <v>0</v>
      </c>
      <c r="AA168" s="163">
        <v>0</v>
      </c>
      <c r="AB168" s="163">
        <v>0</v>
      </c>
      <c r="AC168" s="163">
        <v>0</v>
      </c>
      <c r="AD168" s="163">
        <v>-1124468.1299999999</v>
      </c>
      <c r="AE168" s="163">
        <v>-2680714.13</v>
      </c>
      <c r="AF168" s="163">
        <v>-3391795.13</v>
      </c>
      <c r="AG168" s="163">
        <v>-4918154.13</v>
      </c>
      <c r="AH168" s="163">
        <v>-6825029.1299999999</v>
      </c>
      <c r="AI168" s="163">
        <v>-8051702.46</v>
      </c>
      <c r="AJ168" s="163">
        <v>-8821966.4600000009</v>
      </c>
      <c r="AK168" s="163">
        <v>-8283926.46</v>
      </c>
      <c r="AL168" s="163">
        <v>-5545722.46</v>
      </c>
      <c r="AM168" s="163">
        <v>-2658041.46</v>
      </c>
      <c r="AN168" s="163">
        <v>-2176669.4</v>
      </c>
      <c r="AO168" s="163">
        <v>-2642346.4</v>
      </c>
      <c r="AP168" s="163">
        <v>-5804990.4100000001</v>
      </c>
      <c r="AQ168" s="163">
        <v>-2294854.41</v>
      </c>
      <c r="AR168" s="163">
        <v>-3251333.41</v>
      </c>
      <c r="AS168" s="163">
        <v>-3259418.41</v>
      </c>
      <c r="AT168" s="163">
        <v>-2333782.41</v>
      </c>
      <c r="AU168" s="163">
        <v>-1140359.77</v>
      </c>
      <c r="AV168" s="163">
        <v>0</v>
      </c>
      <c r="AW168" s="163">
        <v>-1125284.77</v>
      </c>
      <c r="AX168" s="163">
        <v>0</v>
      </c>
      <c r="AY168" s="163">
        <v>0</v>
      </c>
      <c r="AZ168" s="163">
        <v>0</v>
      </c>
      <c r="BA168" s="163">
        <v>-2384064.9300000002</v>
      </c>
      <c r="BB168" s="163">
        <v>-8545555.9299999997</v>
      </c>
      <c r="BC168" s="163">
        <v>-5868120.9299999997</v>
      </c>
      <c r="BD168" s="163">
        <v>-9522977.9299999997</v>
      </c>
      <c r="BE168" s="163">
        <v>-9400213.9299999997</v>
      </c>
      <c r="BF168" s="163">
        <v>-9953193.9299999997</v>
      </c>
      <c r="BG168" s="163">
        <v>-10094432.93</v>
      </c>
      <c r="BH168" s="163">
        <v>-9688297.1999999993</v>
      </c>
      <c r="BI168" s="163">
        <v>-10202183.199999999</v>
      </c>
      <c r="BJ168" s="163">
        <v>-7149370.25</v>
      </c>
      <c r="BK168" s="163">
        <v>-834981.25</v>
      </c>
      <c r="BL168" s="163">
        <v>0</v>
      </c>
      <c r="BM168" s="163">
        <v>0</v>
      </c>
      <c r="BN168" s="163">
        <v>-2764299.81</v>
      </c>
      <c r="BO168" s="163">
        <v>-3806517.81</v>
      </c>
      <c r="BP168" s="163">
        <v>-6734309.8099999996</v>
      </c>
      <c r="BQ168" s="163">
        <v>-9153064.8100000005</v>
      </c>
      <c r="BR168" s="163">
        <v>-10301394.810000001</v>
      </c>
      <c r="BS168" s="163">
        <v>-10461658.810000001</v>
      </c>
      <c r="BT168" s="163">
        <v>-8902055.8100000005</v>
      </c>
      <c r="BU168" s="163">
        <v>-9455812.4700000007</v>
      </c>
      <c r="BV168" s="163">
        <v>-6835541.4699999997</v>
      </c>
      <c r="BW168" s="163">
        <v>-4507606.47</v>
      </c>
      <c r="BX168" s="163">
        <v>-5610499.4699999997</v>
      </c>
      <c r="BY168" s="163">
        <v>-9000597.4700000007</v>
      </c>
      <c r="BZ168" s="163">
        <v>-12085260.640000001</v>
      </c>
      <c r="CA168" s="163">
        <v>-13315276.640000001</v>
      </c>
      <c r="CB168" s="163">
        <v>-13955912.640000001</v>
      </c>
      <c r="CC168" s="163">
        <v>-13419803.640000001</v>
      </c>
      <c r="CD168" s="163">
        <v>-14069898.640000001</v>
      </c>
      <c r="CE168" s="163">
        <v>-13486354.640000001</v>
      </c>
      <c r="CF168" s="163">
        <v>-10977932.640000001</v>
      </c>
      <c r="CG168" s="163">
        <v>-10183908.800000001</v>
      </c>
      <c r="CH168" s="163">
        <v>-6168093.7999999998</v>
      </c>
      <c r="CI168" s="163">
        <v>-2672343.9900000002</v>
      </c>
      <c r="CJ168" s="163">
        <v>-1887381.02</v>
      </c>
      <c r="CK168" s="163">
        <v>-5514359.0199999996</v>
      </c>
      <c r="CL168" s="163">
        <v>-2984172.36</v>
      </c>
      <c r="CM168" s="163">
        <v>-1677602.36</v>
      </c>
      <c r="CN168" s="163">
        <v>-5499469.3600000003</v>
      </c>
      <c r="CO168" s="163">
        <v>-5895484.3600000003</v>
      </c>
      <c r="CP168" s="163">
        <v>-5154967.3600000003</v>
      </c>
      <c r="CQ168" s="163">
        <v>-5465947.3600000003</v>
      </c>
      <c r="CR168" s="163">
        <v>-4455322.3600000003</v>
      </c>
      <c r="CS168" s="163">
        <v>-2979201.54</v>
      </c>
      <c r="CT168" s="163">
        <v>0</v>
      </c>
      <c r="CU168" s="163">
        <v>0</v>
      </c>
      <c r="CV168" s="163">
        <v>0</v>
      </c>
      <c r="CW168" s="163">
        <v>0</v>
      </c>
      <c r="CX168" s="163">
        <v>0</v>
      </c>
      <c r="CY168" s="163">
        <v>0</v>
      </c>
      <c r="CZ168" s="163">
        <v>-1958647.8</v>
      </c>
      <c r="DA168" s="163">
        <v>-376233.8</v>
      </c>
      <c r="DB168" s="163">
        <v>-676002.8</v>
      </c>
      <c r="DC168" s="163">
        <v>-1437703.8</v>
      </c>
      <c r="DD168" s="163">
        <v>-5007899.25</v>
      </c>
      <c r="DE168" s="163">
        <v>-10208061.42</v>
      </c>
      <c r="DF168" s="163">
        <f>VLOOKUP($C168,'[3]BS ACC'!$C$5:$DH$1006,108,FALSE)</f>
        <v>-13346907.42</v>
      </c>
      <c r="DG168" s="163">
        <f>VLOOKUP($C168,'[3]BS ACC'!$C$5:$DH$1006,109,FALSE)</f>
        <v>-3400043.42</v>
      </c>
      <c r="DH168" s="163">
        <f>VLOOKUP($C168,'[3]BS ACC'!$C$5:$DH$1006,110,FALSE)</f>
        <v>0</v>
      </c>
    </row>
    <row r="169" spans="1:112">
      <c r="A169" s="350" t="str">
        <f t="shared" si="2"/>
        <v>1990900</v>
      </c>
      <c r="B169" s="350" t="s">
        <v>1539</v>
      </c>
      <c r="C169" s="335" t="s">
        <v>708</v>
      </c>
      <c r="D169" s="340">
        <v>0</v>
      </c>
      <c r="E169" s="340">
        <v>0</v>
      </c>
      <c r="F169" s="340">
        <v>0</v>
      </c>
      <c r="G169" s="340">
        <v>0</v>
      </c>
      <c r="H169" s="340">
        <v>0</v>
      </c>
      <c r="I169" s="340">
        <v>0</v>
      </c>
      <c r="J169" s="340">
        <v>0</v>
      </c>
      <c r="K169" s="340">
        <v>0</v>
      </c>
      <c r="L169" s="340">
        <v>0</v>
      </c>
      <c r="M169" s="340">
        <v>0</v>
      </c>
      <c r="N169" s="340">
        <v>0</v>
      </c>
      <c r="O169" s="340">
        <v>0</v>
      </c>
      <c r="P169" s="341">
        <v>0</v>
      </c>
      <c r="Q169" s="163">
        <v>0</v>
      </c>
      <c r="R169" s="163">
        <v>0</v>
      </c>
      <c r="S169" s="163">
        <v>0</v>
      </c>
      <c r="T169" s="163">
        <v>0</v>
      </c>
      <c r="U169" s="163">
        <v>0</v>
      </c>
      <c r="V169" s="163">
        <v>0</v>
      </c>
      <c r="W169" s="163">
        <v>0</v>
      </c>
      <c r="X169" s="163">
        <v>0</v>
      </c>
      <c r="Y169" s="163">
        <v>0</v>
      </c>
      <c r="Z169" s="163">
        <v>0</v>
      </c>
      <c r="AA169" s="163">
        <v>0</v>
      </c>
      <c r="AB169" s="163">
        <v>0</v>
      </c>
      <c r="AC169" s="163">
        <v>0</v>
      </c>
      <c r="AD169" s="163">
        <v>0</v>
      </c>
      <c r="AE169" s="163">
        <v>0</v>
      </c>
      <c r="AF169" s="163">
        <v>0</v>
      </c>
      <c r="AG169" s="163">
        <v>0</v>
      </c>
      <c r="AH169" s="163">
        <v>0</v>
      </c>
      <c r="AI169" s="163">
        <v>0</v>
      </c>
      <c r="AJ169" s="163">
        <v>0</v>
      </c>
      <c r="AK169" s="163">
        <v>0</v>
      </c>
      <c r="AL169" s="163">
        <v>0</v>
      </c>
      <c r="AM169" s="163">
        <v>0</v>
      </c>
      <c r="AN169" s="163">
        <v>0</v>
      </c>
      <c r="AO169" s="163">
        <v>0</v>
      </c>
      <c r="AP169" s="163">
        <v>0</v>
      </c>
      <c r="AQ169" s="163">
        <v>0</v>
      </c>
      <c r="AR169" s="163">
        <v>0</v>
      </c>
      <c r="AS169" s="163">
        <v>0</v>
      </c>
      <c r="AT169" s="163">
        <v>0</v>
      </c>
      <c r="AU169" s="163">
        <v>0</v>
      </c>
      <c r="AV169" s="163">
        <v>0</v>
      </c>
      <c r="AW169" s="163">
        <v>0</v>
      </c>
      <c r="AX169" s="163">
        <v>0</v>
      </c>
      <c r="AY169" s="163">
        <v>0</v>
      </c>
      <c r="AZ169" s="163">
        <v>0</v>
      </c>
      <c r="BA169" s="163">
        <v>0</v>
      </c>
      <c r="BB169" s="163">
        <v>0</v>
      </c>
      <c r="BC169" s="163">
        <v>0</v>
      </c>
      <c r="BD169" s="163">
        <v>0</v>
      </c>
      <c r="BE169" s="163">
        <v>0</v>
      </c>
      <c r="BF169" s="163">
        <v>0</v>
      </c>
      <c r="BG169" s="163">
        <v>0</v>
      </c>
      <c r="BH169" s="163">
        <v>0</v>
      </c>
      <c r="BI169" s="163">
        <v>0</v>
      </c>
      <c r="BJ169" s="163">
        <v>0</v>
      </c>
      <c r="BK169" s="163">
        <v>0</v>
      </c>
      <c r="BL169" s="163">
        <v>0</v>
      </c>
      <c r="BM169" s="163">
        <v>0</v>
      </c>
      <c r="BN169" s="163">
        <v>0</v>
      </c>
      <c r="BO169" s="163">
        <v>0</v>
      </c>
      <c r="BP169" s="163">
        <v>0</v>
      </c>
      <c r="BQ169" s="163">
        <v>0</v>
      </c>
      <c r="BR169" s="163">
        <v>0</v>
      </c>
      <c r="BS169" s="163">
        <v>0</v>
      </c>
      <c r="BT169" s="163">
        <v>0</v>
      </c>
      <c r="BU169" s="163">
        <v>0</v>
      </c>
      <c r="BV169" s="163">
        <v>0</v>
      </c>
      <c r="BW169" s="163">
        <v>0</v>
      </c>
      <c r="BX169" s="163">
        <v>0</v>
      </c>
      <c r="BY169" s="163">
        <v>0</v>
      </c>
      <c r="BZ169" s="163">
        <v>0</v>
      </c>
      <c r="CA169" s="163">
        <v>0</v>
      </c>
      <c r="CB169" s="163">
        <v>0</v>
      </c>
      <c r="CC169" s="163">
        <v>0</v>
      </c>
      <c r="CD169" s="163">
        <v>0</v>
      </c>
      <c r="CE169" s="163">
        <v>0</v>
      </c>
      <c r="CF169" s="163">
        <v>0</v>
      </c>
      <c r="CG169" s="163">
        <v>0</v>
      </c>
      <c r="CH169" s="163">
        <v>0</v>
      </c>
      <c r="CI169" s="163">
        <v>0</v>
      </c>
      <c r="CJ169" s="163">
        <v>0</v>
      </c>
      <c r="CK169" s="163">
        <v>0</v>
      </c>
      <c r="CL169" s="163">
        <v>0</v>
      </c>
      <c r="CM169" s="163">
        <v>0</v>
      </c>
      <c r="CN169" s="163">
        <v>0</v>
      </c>
      <c r="CO169" s="163">
        <v>0</v>
      </c>
      <c r="CP169" s="163">
        <v>0</v>
      </c>
      <c r="CQ169" s="163">
        <v>0</v>
      </c>
      <c r="CR169" s="163">
        <v>0</v>
      </c>
      <c r="CS169" s="163">
        <v>0</v>
      </c>
      <c r="CT169" s="163">
        <v>0</v>
      </c>
      <c r="CU169" s="163">
        <v>0</v>
      </c>
      <c r="CV169" s="163">
        <v>0</v>
      </c>
      <c r="CW169" s="163">
        <v>0</v>
      </c>
      <c r="CX169" s="163">
        <v>0</v>
      </c>
      <c r="CY169" s="163">
        <v>0</v>
      </c>
      <c r="CZ169" s="163">
        <v>0</v>
      </c>
      <c r="DA169" s="163">
        <v>0</v>
      </c>
      <c r="DB169" s="163">
        <v>0</v>
      </c>
      <c r="DC169" s="163">
        <v>0</v>
      </c>
      <c r="DD169" s="163">
        <v>0</v>
      </c>
      <c r="DE169" s="163">
        <v>0</v>
      </c>
      <c r="DF169" s="163">
        <f>VLOOKUP($C169,'[3]BS ACC'!$C$5:$DH$1006,108,FALSE)</f>
        <v>0</v>
      </c>
      <c r="DG169" s="163">
        <f>VLOOKUP($C169,'[3]BS ACC'!$C$5:$DH$1006,109,FALSE)</f>
        <v>0</v>
      </c>
      <c r="DH169" s="163">
        <f>VLOOKUP($C169,'[3]BS ACC'!$C$5:$DH$1006,110,FALSE)</f>
        <v>0</v>
      </c>
    </row>
    <row r="170" spans="1:112">
      <c r="A170" s="350" t="str">
        <f t="shared" si="2"/>
        <v>1990910</v>
      </c>
      <c r="B170" s="350" t="s">
        <v>1612</v>
      </c>
      <c r="C170" s="335" t="s">
        <v>709</v>
      </c>
      <c r="D170" s="340">
        <v>0</v>
      </c>
      <c r="E170" s="340">
        <v>0</v>
      </c>
      <c r="F170" s="340">
        <v>0</v>
      </c>
      <c r="G170" s="340">
        <v>0</v>
      </c>
      <c r="H170" s="340">
        <v>0</v>
      </c>
      <c r="I170" s="340">
        <v>0</v>
      </c>
      <c r="J170" s="340">
        <v>0</v>
      </c>
      <c r="K170" s="340">
        <v>0</v>
      </c>
      <c r="L170" s="340">
        <v>0</v>
      </c>
      <c r="M170" s="340">
        <v>0</v>
      </c>
      <c r="N170" s="340">
        <v>0</v>
      </c>
      <c r="O170" s="340">
        <v>0</v>
      </c>
      <c r="P170" s="341">
        <v>0</v>
      </c>
      <c r="Q170" s="163">
        <v>0</v>
      </c>
      <c r="R170" s="163">
        <v>0</v>
      </c>
      <c r="S170" s="163">
        <v>0</v>
      </c>
      <c r="T170" s="163">
        <v>0</v>
      </c>
      <c r="U170" s="163">
        <v>0</v>
      </c>
      <c r="V170" s="163">
        <v>0</v>
      </c>
      <c r="W170" s="163">
        <v>0</v>
      </c>
      <c r="X170" s="163">
        <v>0</v>
      </c>
      <c r="Y170" s="163">
        <v>0</v>
      </c>
      <c r="Z170" s="163">
        <v>0</v>
      </c>
      <c r="AA170" s="163">
        <v>0</v>
      </c>
      <c r="AB170" s="163">
        <v>0</v>
      </c>
      <c r="AC170" s="163">
        <v>0</v>
      </c>
      <c r="AD170" s="163">
        <v>0</v>
      </c>
      <c r="AE170" s="163">
        <v>0</v>
      </c>
      <c r="AF170" s="163">
        <v>0</v>
      </c>
      <c r="AG170" s="163">
        <v>0</v>
      </c>
      <c r="AH170" s="163">
        <v>0</v>
      </c>
      <c r="AI170" s="163">
        <v>0</v>
      </c>
      <c r="AJ170" s="163">
        <v>0</v>
      </c>
      <c r="AK170" s="163">
        <v>0</v>
      </c>
      <c r="AL170" s="163">
        <v>0</v>
      </c>
      <c r="AM170" s="163">
        <v>0</v>
      </c>
      <c r="AN170" s="163">
        <v>0</v>
      </c>
      <c r="AO170" s="163">
        <v>0</v>
      </c>
      <c r="AP170" s="163">
        <v>0</v>
      </c>
      <c r="AQ170" s="163">
        <v>0</v>
      </c>
      <c r="AR170" s="163">
        <v>0</v>
      </c>
      <c r="AS170" s="163">
        <v>0</v>
      </c>
      <c r="AT170" s="163">
        <v>0</v>
      </c>
      <c r="AU170" s="163">
        <v>0</v>
      </c>
      <c r="AV170" s="163">
        <v>0</v>
      </c>
      <c r="AW170" s="163">
        <v>0</v>
      </c>
      <c r="AX170" s="163">
        <v>0</v>
      </c>
      <c r="AY170" s="163">
        <v>0</v>
      </c>
      <c r="AZ170" s="163">
        <v>0</v>
      </c>
      <c r="BA170" s="163">
        <v>0</v>
      </c>
      <c r="BB170" s="163">
        <v>0</v>
      </c>
      <c r="BC170" s="163">
        <v>0</v>
      </c>
      <c r="BD170" s="163">
        <v>0</v>
      </c>
      <c r="BE170" s="163">
        <v>0</v>
      </c>
      <c r="BF170" s="163">
        <v>0</v>
      </c>
      <c r="BG170" s="163">
        <v>0</v>
      </c>
      <c r="BH170" s="163">
        <v>0</v>
      </c>
      <c r="BI170" s="163">
        <v>0</v>
      </c>
      <c r="BJ170" s="163">
        <v>0</v>
      </c>
      <c r="BK170" s="163">
        <v>0</v>
      </c>
      <c r="BL170" s="163">
        <v>0</v>
      </c>
      <c r="BM170" s="163">
        <v>0</v>
      </c>
      <c r="BN170" s="163">
        <v>0</v>
      </c>
      <c r="BO170" s="163">
        <v>0</v>
      </c>
      <c r="BP170" s="163">
        <v>0</v>
      </c>
      <c r="BQ170" s="163">
        <v>0</v>
      </c>
      <c r="BR170" s="163">
        <v>0</v>
      </c>
      <c r="BS170" s="163">
        <v>0</v>
      </c>
      <c r="BT170" s="163">
        <v>0</v>
      </c>
      <c r="BU170" s="163">
        <v>0</v>
      </c>
      <c r="BV170" s="163">
        <v>0</v>
      </c>
      <c r="BW170" s="163">
        <v>0</v>
      </c>
      <c r="BX170" s="163">
        <v>0</v>
      </c>
      <c r="BY170" s="163">
        <v>0</v>
      </c>
      <c r="BZ170" s="163">
        <v>0</v>
      </c>
      <c r="CA170" s="163">
        <v>0</v>
      </c>
      <c r="CB170" s="163">
        <v>0</v>
      </c>
      <c r="CC170" s="163">
        <v>0</v>
      </c>
      <c r="CD170" s="163">
        <v>0</v>
      </c>
      <c r="CE170" s="163">
        <v>0</v>
      </c>
      <c r="CF170" s="163">
        <v>0</v>
      </c>
      <c r="CG170" s="163">
        <v>0</v>
      </c>
      <c r="CH170" s="163">
        <v>0</v>
      </c>
      <c r="CI170" s="163">
        <v>0</v>
      </c>
      <c r="CJ170" s="163">
        <v>0</v>
      </c>
      <c r="CK170" s="163">
        <v>0</v>
      </c>
      <c r="CL170" s="163">
        <v>0</v>
      </c>
      <c r="CM170" s="163">
        <v>0</v>
      </c>
      <c r="CN170" s="163">
        <v>0</v>
      </c>
      <c r="CO170" s="163">
        <v>0</v>
      </c>
      <c r="CP170" s="163">
        <v>0</v>
      </c>
      <c r="CQ170" s="163">
        <v>0</v>
      </c>
      <c r="CR170" s="163">
        <v>0</v>
      </c>
      <c r="CS170" s="163">
        <v>0</v>
      </c>
      <c r="CT170" s="163">
        <v>0</v>
      </c>
      <c r="CU170" s="163">
        <v>0</v>
      </c>
      <c r="CV170" s="163">
        <v>0</v>
      </c>
      <c r="CW170" s="163">
        <v>0</v>
      </c>
      <c r="CX170" s="163">
        <v>0</v>
      </c>
      <c r="CY170" s="163">
        <v>0</v>
      </c>
      <c r="CZ170" s="163">
        <v>0</v>
      </c>
      <c r="DA170" s="163">
        <v>0</v>
      </c>
      <c r="DB170" s="163">
        <v>0</v>
      </c>
      <c r="DC170" s="163">
        <v>0</v>
      </c>
      <c r="DD170" s="163">
        <v>0</v>
      </c>
      <c r="DE170" s="163">
        <v>0</v>
      </c>
      <c r="DF170" s="163">
        <f>VLOOKUP($C170,'[3]BS ACC'!$C$5:$DH$1006,108,FALSE)</f>
        <v>0</v>
      </c>
      <c r="DG170" s="163">
        <f>VLOOKUP($C170,'[3]BS ACC'!$C$5:$DH$1006,109,FALSE)</f>
        <v>0</v>
      </c>
      <c r="DH170" s="163">
        <f>VLOOKUP($C170,'[3]BS ACC'!$C$5:$DH$1006,110,FALSE)</f>
        <v>0</v>
      </c>
    </row>
    <row r="171" spans="1:112">
      <c r="A171" s="350" t="str">
        <f t="shared" si="2"/>
        <v>1990920</v>
      </c>
      <c r="B171" s="350" t="s">
        <v>1796</v>
      </c>
      <c r="C171" s="335" t="s">
        <v>1795</v>
      </c>
      <c r="D171" s="340"/>
      <c r="E171" s="340"/>
      <c r="F171" s="340"/>
      <c r="G171" s="340"/>
      <c r="H171" s="340"/>
      <c r="I171" s="340"/>
      <c r="J171" s="340"/>
      <c r="K171" s="340"/>
      <c r="L171" s="340"/>
      <c r="M171" s="340"/>
      <c r="N171" s="340"/>
      <c r="O171" s="340"/>
      <c r="P171" s="341"/>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c r="AL171" s="163"/>
      <c r="AM171" s="163"/>
      <c r="AN171" s="163"/>
      <c r="AO171" s="163">
        <v>0</v>
      </c>
      <c r="AP171" s="163">
        <v>0</v>
      </c>
      <c r="AQ171" s="163">
        <v>0</v>
      </c>
      <c r="AR171" s="163">
        <v>0</v>
      </c>
      <c r="AS171" s="163">
        <v>0</v>
      </c>
      <c r="AT171" s="163">
        <v>0</v>
      </c>
      <c r="AU171" s="163">
        <v>0</v>
      </c>
      <c r="AV171" s="163">
        <v>0</v>
      </c>
      <c r="AW171" s="163">
        <v>0</v>
      </c>
      <c r="AX171" s="163">
        <v>0</v>
      </c>
      <c r="AY171" s="163">
        <v>0</v>
      </c>
      <c r="AZ171" s="163">
        <v>0</v>
      </c>
      <c r="BA171" s="163">
        <v>0</v>
      </c>
      <c r="BB171" s="163">
        <v>0</v>
      </c>
      <c r="BC171" s="163">
        <v>0</v>
      </c>
      <c r="BD171" s="163">
        <v>0</v>
      </c>
      <c r="BE171" s="163">
        <v>0</v>
      </c>
      <c r="BF171" s="163">
        <v>0</v>
      </c>
      <c r="BG171" s="163">
        <v>0</v>
      </c>
      <c r="BH171" s="163">
        <v>0</v>
      </c>
      <c r="BI171" s="163">
        <v>0</v>
      </c>
      <c r="BJ171" s="163">
        <v>0</v>
      </c>
      <c r="BK171" s="163">
        <v>0</v>
      </c>
      <c r="BL171" s="163">
        <v>0</v>
      </c>
      <c r="BM171" s="163">
        <v>0</v>
      </c>
      <c r="BN171" s="163">
        <v>0</v>
      </c>
      <c r="BO171" s="163">
        <v>0</v>
      </c>
      <c r="BP171" s="163">
        <v>0</v>
      </c>
      <c r="BQ171" s="163">
        <v>0</v>
      </c>
      <c r="BR171" s="163">
        <v>0</v>
      </c>
      <c r="BS171" s="163">
        <v>0</v>
      </c>
      <c r="BT171" s="163">
        <v>0</v>
      </c>
      <c r="BU171" s="163">
        <v>0</v>
      </c>
      <c r="BV171" s="163">
        <v>0</v>
      </c>
      <c r="BW171" s="163">
        <v>0</v>
      </c>
      <c r="BX171" s="163">
        <v>0</v>
      </c>
      <c r="BY171" s="163">
        <v>0</v>
      </c>
      <c r="BZ171" s="163">
        <v>0</v>
      </c>
      <c r="CA171" s="163">
        <v>0</v>
      </c>
      <c r="CB171" s="163">
        <v>0</v>
      </c>
      <c r="CC171" s="163">
        <v>0</v>
      </c>
      <c r="CD171" s="163">
        <v>0</v>
      </c>
      <c r="CE171" s="163">
        <v>0</v>
      </c>
      <c r="CF171" s="163">
        <v>0</v>
      </c>
      <c r="CG171" s="163">
        <v>0</v>
      </c>
      <c r="CH171" s="163">
        <v>0</v>
      </c>
      <c r="CI171" s="163">
        <v>0</v>
      </c>
      <c r="CJ171" s="163">
        <v>0</v>
      </c>
      <c r="CK171" s="163">
        <v>0</v>
      </c>
      <c r="CL171" s="163">
        <v>0</v>
      </c>
      <c r="CM171" s="163">
        <v>0</v>
      </c>
      <c r="CN171" s="163">
        <v>0</v>
      </c>
      <c r="CO171" s="163">
        <v>0</v>
      </c>
      <c r="CP171" s="163">
        <v>0</v>
      </c>
      <c r="CQ171" s="163">
        <v>0</v>
      </c>
      <c r="CR171" s="163">
        <v>0</v>
      </c>
      <c r="CS171" s="163">
        <v>0</v>
      </c>
      <c r="CT171" s="163">
        <v>0</v>
      </c>
      <c r="CU171" s="163">
        <v>0</v>
      </c>
      <c r="CV171" s="163">
        <v>0</v>
      </c>
      <c r="CW171" s="163">
        <v>0</v>
      </c>
      <c r="CX171" s="163">
        <v>0</v>
      </c>
      <c r="CY171" s="163">
        <v>0</v>
      </c>
      <c r="CZ171" s="163">
        <v>0</v>
      </c>
      <c r="DA171" s="163">
        <v>0</v>
      </c>
      <c r="DB171" s="163">
        <v>0</v>
      </c>
      <c r="DC171" s="163">
        <v>0</v>
      </c>
      <c r="DD171" s="163">
        <v>0</v>
      </c>
      <c r="DE171" s="163">
        <v>0</v>
      </c>
      <c r="DF171" s="163">
        <f>VLOOKUP($C171,'[3]BS ACC'!$C$5:$DH$1006,108,FALSE)</f>
        <v>0</v>
      </c>
      <c r="DG171" s="163">
        <f>VLOOKUP($C171,'[3]BS ACC'!$C$5:$DH$1006,109,FALSE)</f>
        <v>0</v>
      </c>
      <c r="DH171" s="163">
        <f>VLOOKUP($C171,'[3]BS ACC'!$C$5:$DH$1006,110,FALSE)</f>
        <v>0</v>
      </c>
    </row>
    <row r="172" spans="1:112">
      <c r="A172" s="350" t="str">
        <f t="shared" si="2"/>
        <v>2070000</v>
      </c>
      <c r="B172" s="350" t="s">
        <v>1613</v>
      </c>
      <c r="C172" s="335" t="s">
        <v>710</v>
      </c>
      <c r="D172" s="340">
        <v>-5575333.3300000001</v>
      </c>
      <c r="E172" s="340">
        <v>-5575333.3300000001</v>
      </c>
      <c r="F172" s="340">
        <v>-5575333.3300000001</v>
      </c>
      <c r="G172" s="340">
        <v>-5575333.3300000001</v>
      </c>
      <c r="H172" s="340">
        <v>-5575333.3300000001</v>
      </c>
      <c r="I172" s="340">
        <v>-5575333.3300000001</v>
      </c>
      <c r="J172" s="340">
        <v>-5575333.3300000001</v>
      </c>
      <c r="K172" s="340">
        <v>-5575333.3300000001</v>
      </c>
      <c r="L172" s="340">
        <v>-5575333.3300000001</v>
      </c>
      <c r="M172" s="340">
        <v>-5575333.3300000001</v>
      </c>
      <c r="N172" s="340">
        <v>-5575333.3300000001</v>
      </c>
      <c r="O172" s="340">
        <v>-5575333.3300000001</v>
      </c>
      <c r="P172" s="341">
        <v>-5575333.3300000001</v>
      </c>
      <c r="Q172" s="163">
        <v>-5575333.3300000001</v>
      </c>
      <c r="R172" s="163">
        <v>-5575333.3300000001</v>
      </c>
      <c r="S172" s="163">
        <v>-5575333.3300000001</v>
      </c>
      <c r="T172" s="163">
        <v>-5575333.3300000001</v>
      </c>
      <c r="U172" s="163">
        <v>-5575333.3300000001</v>
      </c>
      <c r="V172" s="163">
        <v>-5575333.3300000001</v>
      </c>
      <c r="W172" s="163">
        <v>-5575333.3300000001</v>
      </c>
      <c r="X172" s="163">
        <v>-5575333.3300000001</v>
      </c>
      <c r="Y172" s="163">
        <v>-5575333.3300000001</v>
      </c>
      <c r="Z172" s="163">
        <v>-5575333.3300000001</v>
      </c>
      <c r="AA172" s="163">
        <v>-5575333.3300000001</v>
      </c>
      <c r="AB172" s="163">
        <v>-5575333.3300000001</v>
      </c>
      <c r="AC172" s="163">
        <v>-5575333.3300000001</v>
      </c>
      <c r="AD172" s="163">
        <v>-5575333.3300000001</v>
      </c>
      <c r="AE172" s="163">
        <v>-5575333.3300000001</v>
      </c>
      <c r="AF172" s="163">
        <v>-5575333.3300000001</v>
      </c>
      <c r="AG172" s="163">
        <v>-5575333.3300000001</v>
      </c>
      <c r="AH172" s="163">
        <v>-5575333.3300000001</v>
      </c>
      <c r="AI172" s="163">
        <v>-5575333.3300000001</v>
      </c>
      <c r="AJ172" s="163">
        <v>-5575333.3300000001</v>
      </c>
      <c r="AK172" s="163">
        <v>-5575333.3300000001</v>
      </c>
      <c r="AL172" s="163">
        <v>-5575333.3300000001</v>
      </c>
      <c r="AM172" s="163">
        <v>-5575333.3300000001</v>
      </c>
      <c r="AN172" s="163">
        <v>-5575333.3300000001</v>
      </c>
      <c r="AO172" s="163">
        <v>-5575333.3300000001</v>
      </c>
      <c r="AP172" s="163">
        <v>-5575333.3300000001</v>
      </c>
      <c r="AQ172" s="163">
        <v>-5575333.3300000001</v>
      </c>
      <c r="AR172" s="163">
        <v>-5575333.3300000001</v>
      </c>
      <c r="AS172" s="163">
        <v>-5575333.3300000001</v>
      </c>
      <c r="AT172" s="163">
        <v>-5575333.3300000001</v>
      </c>
      <c r="AU172" s="163">
        <v>-5575333.3300000001</v>
      </c>
      <c r="AV172" s="163">
        <v>-5575333.3300000001</v>
      </c>
      <c r="AW172" s="163">
        <v>-5575333.3300000001</v>
      </c>
      <c r="AX172" s="163">
        <v>-5575333.3300000001</v>
      </c>
      <c r="AY172" s="163">
        <v>-5575333.3300000001</v>
      </c>
      <c r="AZ172" s="163">
        <v>-5575333.3300000001</v>
      </c>
      <c r="BA172" s="163">
        <v>-5575333.3300000001</v>
      </c>
      <c r="BB172" s="163">
        <v>-5575333.3300000001</v>
      </c>
      <c r="BC172" s="163">
        <v>-5575333.3300000001</v>
      </c>
      <c r="BD172" s="163">
        <v>-5575333.3300000001</v>
      </c>
      <c r="BE172" s="163">
        <v>-5575333.3300000001</v>
      </c>
      <c r="BF172" s="163">
        <v>-5575333.3300000001</v>
      </c>
      <c r="BG172" s="163">
        <v>-5575333.3300000001</v>
      </c>
      <c r="BH172" s="163">
        <v>-5575333.3300000001</v>
      </c>
      <c r="BI172" s="163">
        <v>-5575333.3300000001</v>
      </c>
      <c r="BJ172" s="163">
        <v>-5575333.3300000001</v>
      </c>
      <c r="BK172" s="163">
        <v>-5575333.3300000001</v>
      </c>
      <c r="BL172" s="163">
        <v>-5575333.3300000001</v>
      </c>
      <c r="BM172" s="163">
        <v>-5575333.3300000001</v>
      </c>
      <c r="BN172" s="163">
        <v>-5575333.3300000001</v>
      </c>
      <c r="BO172" s="163">
        <v>-5575333.3300000001</v>
      </c>
      <c r="BP172" s="163">
        <v>-5575333.3300000001</v>
      </c>
      <c r="BQ172" s="163">
        <v>-5575333.3300000001</v>
      </c>
      <c r="BR172" s="163">
        <v>-5575333.3300000001</v>
      </c>
      <c r="BS172" s="163">
        <v>-5575333.3300000001</v>
      </c>
      <c r="BT172" s="163">
        <v>-5575333.3300000001</v>
      </c>
      <c r="BU172" s="163">
        <v>-5575333.3300000001</v>
      </c>
      <c r="BV172" s="163">
        <v>-5575333.3300000001</v>
      </c>
      <c r="BW172" s="163">
        <v>-5575333.3300000001</v>
      </c>
      <c r="BX172" s="163">
        <v>-5575333.3300000001</v>
      </c>
      <c r="BY172" s="163">
        <v>-5575333.3300000001</v>
      </c>
      <c r="BZ172" s="163">
        <v>-5575333.3300000001</v>
      </c>
      <c r="CA172" s="163">
        <v>-5575333.3300000001</v>
      </c>
      <c r="CB172" s="163">
        <v>-5575333.3300000001</v>
      </c>
      <c r="CC172" s="163">
        <v>-5575333.3300000001</v>
      </c>
      <c r="CD172" s="163">
        <v>-5575333.3300000001</v>
      </c>
      <c r="CE172" s="163">
        <v>-5575333.3300000001</v>
      </c>
      <c r="CF172" s="163">
        <v>-5575333.3300000001</v>
      </c>
      <c r="CG172" s="163">
        <v>-5575333.3300000001</v>
      </c>
      <c r="CH172" s="163">
        <v>-5575333.3300000001</v>
      </c>
      <c r="CI172" s="163">
        <v>-5575333.3300000001</v>
      </c>
      <c r="CJ172" s="163">
        <v>-5575333.3300000001</v>
      </c>
      <c r="CK172" s="163">
        <v>-5575333.3300000001</v>
      </c>
      <c r="CL172" s="163">
        <v>-5575333.3300000001</v>
      </c>
      <c r="CM172" s="163">
        <v>-5575333.3300000001</v>
      </c>
      <c r="CN172" s="163">
        <v>-5575333.3300000001</v>
      </c>
      <c r="CO172" s="163">
        <v>-5575333.3300000001</v>
      </c>
      <c r="CP172" s="163">
        <v>-5575333.3300000001</v>
      </c>
      <c r="CQ172" s="163">
        <v>-5575333.3300000001</v>
      </c>
      <c r="CR172" s="163">
        <v>-5575333.3300000001</v>
      </c>
      <c r="CS172" s="163">
        <v>-5575333.3300000001</v>
      </c>
      <c r="CT172" s="163">
        <v>-5575333.3300000001</v>
      </c>
      <c r="CU172" s="163">
        <v>-5575333.3300000001</v>
      </c>
      <c r="CV172" s="163">
        <v>-5575333.3300000001</v>
      </c>
      <c r="CW172" s="163">
        <v>-5575333.3300000001</v>
      </c>
      <c r="CX172" s="163">
        <v>-5575333.3300000001</v>
      </c>
      <c r="CY172" s="163">
        <v>-5575333.3300000001</v>
      </c>
      <c r="CZ172" s="163">
        <v>-5575333.3300000001</v>
      </c>
      <c r="DA172" s="163">
        <v>-5575333.3300000001</v>
      </c>
      <c r="DB172" s="163">
        <v>-5575333.3300000001</v>
      </c>
      <c r="DC172" s="163">
        <v>-5575333.3300000001</v>
      </c>
      <c r="DD172" s="163">
        <v>-5575333.3300000001</v>
      </c>
      <c r="DE172" s="163">
        <v>-5575333.3300000001</v>
      </c>
      <c r="DF172" s="163">
        <f>VLOOKUP($C172,'[3]BS ACC'!$C$5:$DH$1006,108,FALSE)</f>
        <v>-5575333.3300000001</v>
      </c>
      <c r="DG172" s="163">
        <f>VLOOKUP($C172,'[3]BS ACC'!$C$5:$DH$1006,109,FALSE)</f>
        <v>-5575333.3300000001</v>
      </c>
      <c r="DH172" s="163">
        <f>VLOOKUP($C172,'[3]BS ACC'!$C$5:$DH$1006,110,FALSE)</f>
        <v>-5575333.3300000001</v>
      </c>
    </row>
    <row r="173" spans="1:112">
      <c r="A173" s="350" t="str">
        <f t="shared" si="2"/>
        <v>2110000</v>
      </c>
      <c r="B173" s="350" t="s">
        <v>1614</v>
      </c>
      <c r="C173" s="335" t="s">
        <v>711</v>
      </c>
      <c r="D173" s="340">
        <v>-179974835.86000001</v>
      </c>
      <c r="E173" s="340">
        <v>-179974835.86000001</v>
      </c>
      <c r="F173" s="340">
        <v>-186974835.86000001</v>
      </c>
      <c r="G173" s="340">
        <v>-186974835.86000001</v>
      </c>
      <c r="H173" s="340">
        <v>-186974835.86000001</v>
      </c>
      <c r="I173" s="340">
        <v>-196974835.86000001</v>
      </c>
      <c r="J173" s="340">
        <v>-196974835.86000001</v>
      </c>
      <c r="K173" s="340">
        <v>-196974835.86000001</v>
      </c>
      <c r="L173" s="340">
        <v>-199474835.86000001</v>
      </c>
      <c r="M173" s="340">
        <v>-199474835.86000001</v>
      </c>
      <c r="N173" s="340">
        <v>-199474835.86000001</v>
      </c>
      <c r="O173" s="340">
        <v>-204974835.86000001</v>
      </c>
      <c r="P173" s="341">
        <v>-204974835.86000001</v>
      </c>
      <c r="Q173" s="163">
        <v>-204974835.86000001</v>
      </c>
      <c r="R173" s="163">
        <v>-204974835.86000001</v>
      </c>
      <c r="S173" s="163">
        <v>-204974835.86000001</v>
      </c>
      <c r="T173" s="163">
        <v>-204974835.86000001</v>
      </c>
      <c r="U173" s="163">
        <v>-214974835.86000001</v>
      </c>
      <c r="V173" s="163">
        <v>-214974835.86000001</v>
      </c>
      <c r="W173" s="163">
        <v>-214974835.86000001</v>
      </c>
      <c r="X173" s="163">
        <v>-222974835.86000001</v>
      </c>
      <c r="Y173" s="163">
        <v>-222974835.86000001</v>
      </c>
      <c r="Z173" s="163">
        <v>-222974835.86000001</v>
      </c>
      <c r="AA173" s="163">
        <v>-229974835.86000001</v>
      </c>
      <c r="AB173" s="163">
        <v>-229974835.86000001</v>
      </c>
      <c r="AC173" s="163">
        <v>-229974835.86000001</v>
      </c>
      <c r="AD173" s="163">
        <v>-229974835.86000001</v>
      </c>
      <c r="AE173" s="163">
        <v>-229974835.86000001</v>
      </c>
      <c r="AF173" s="163">
        <v>-229974835.86000001</v>
      </c>
      <c r="AG173" s="163">
        <v>-229974835.86000001</v>
      </c>
      <c r="AH173" s="163">
        <v>-229974835.86000001</v>
      </c>
      <c r="AI173" s="163">
        <v>-229974835.86000001</v>
      </c>
      <c r="AJ173" s="163">
        <v>-229974835.86000001</v>
      </c>
      <c r="AK173" s="163">
        <v>-229974835.86000001</v>
      </c>
      <c r="AL173" s="163">
        <v>-229974835.86000001</v>
      </c>
      <c r="AM173" s="163">
        <v>-229974835.86000001</v>
      </c>
      <c r="AN173" s="163">
        <v>-229974835.86000001</v>
      </c>
      <c r="AO173" s="163">
        <v>-229974835.86000001</v>
      </c>
      <c r="AP173" s="163">
        <v>-236974835.86000001</v>
      </c>
      <c r="AQ173" s="163">
        <v>-236974835.86000001</v>
      </c>
      <c r="AR173" s="163">
        <v>-236974835.86000001</v>
      </c>
      <c r="AS173" s="163">
        <v>-252974835.86000001</v>
      </c>
      <c r="AT173" s="163">
        <v>-252974835.86000001</v>
      </c>
      <c r="AU173" s="163">
        <v>-252974835.86000001</v>
      </c>
      <c r="AV173" s="163">
        <v>-262974835.86000001</v>
      </c>
      <c r="AW173" s="163">
        <v>-262974835.86000001</v>
      </c>
      <c r="AX173" s="163">
        <v>-262974835.86000001</v>
      </c>
      <c r="AY173" s="163">
        <v>-269974835.86000001</v>
      </c>
      <c r="AZ173" s="163">
        <v>-269974835.86000001</v>
      </c>
      <c r="BA173" s="163">
        <v>-269974835.86000001</v>
      </c>
      <c r="BB173" s="163">
        <v>-279974835.86000001</v>
      </c>
      <c r="BC173" s="163">
        <v>-279974835.86000001</v>
      </c>
      <c r="BD173" s="163">
        <v>-279974835.86000001</v>
      </c>
      <c r="BE173" s="163">
        <v>-294974835.86000001</v>
      </c>
      <c r="BF173" s="163">
        <v>-294974835.86000001</v>
      </c>
      <c r="BG173" s="163">
        <v>-294974835.86000001</v>
      </c>
      <c r="BH173" s="163">
        <v>-304974835.86000001</v>
      </c>
      <c r="BI173" s="163">
        <v>-304974835.86000001</v>
      </c>
      <c r="BJ173" s="163">
        <v>-304974835.86000001</v>
      </c>
      <c r="BK173" s="163">
        <v>-314974835.86000001</v>
      </c>
      <c r="BL173" s="163">
        <v>-314974835.86000001</v>
      </c>
      <c r="BM173" s="163">
        <v>-314974835.86000001</v>
      </c>
      <c r="BN173" s="163">
        <v>-349974835.86000001</v>
      </c>
      <c r="BO173" s="163">
        <v>-349974835.86000001</v>
      </c>
      <c r="BP173" s="163">
        <v>-349974835.86000001</v>
      </c>
      <c r="BQ173" s="163">
        <v>-384974835.86000001</v>
      </c>
      <c r="BR173" s="163">
        <v>-384974835.86000001</v>
      </c>
      <c r="BS173" s="163">
        <v>-384974835.86000001</v>
      </c>
      <c r="BT173" s="163">
        <v>-384974835.86000001</v>
      </c>
      <c r="BU173" s="163">
        <v>-409974835.86000001</v>
      </c>
      <c r="BV173" s="163">
        <v>-409974835.86000001</v>
      </c>
      <c r="BW173" s="163">
        <v>-409974835.86000001</v>
      </c>
      <c r="BX173" s="163">
        <v>-409974835.86000001</v>
      </c>
      <c r="BY173" s="163">
        <v>-409974835.86000001</v>
      </c>
      <c r="BZ173" s="163">
        <v>-449974835.86000001</v>
      </c>
      <c r="CA173" s="163">
        <v>-449974835.86000001</v>
      </c>
      <c r="CB173" s="163">
        <v>-449974835.86000001</v>
      </c>
      <c r="CC173" s="163">
        <v>-479974835.86000001</v>
      </c>
      <c r="CD173" s="163">
        <v>-479974835.86000001</v>
      </c>
      <c r="CE173" s="163">
        <v>-479974835.86000001</v>
      </c>
      <c r="CF173" s="163">
        <v>-524974835.86000001</v>
      </c>
      <c r="CG173" s="163">
        <v>-524974835.86000001</v>
      </c>
      <c r="CH173" s="163">
        <v>-524974835.86000001</v>
      </c>
      <c r="CI173" s="163">
        <v>-539974835.86000001</v>
      </c>
      <c r="CJ173" s="163">
        <v>-539974835.86000001</v>
      </c>
      <c r="CK173" s="163">
        <v>-539974835.86000001</v>
      </c>
      <c r="CL173" s="163">
        <v>-579974835.86000001</v>
      </c>
      <c r="CM173" s="163">
        <v>-579974835.86000001</v>
      </c>
      <c r="CN173" s="163">
        <v>-579974835.86000001</v>
      </c>
      <c r="CO173" s="163">
        <v>-599974835.86000001</v>
      </c>
      <c r="CP173" s="163">
        <v>-599974835.86000001</v>
      </c>
      <c r="CQ173" s="163">
        <v>-599974835.86000001</v>
      </c>
      <c r="CR173" s="163">
        <v>-634974835.86000001</v>
      </c>
      <c r="CS173" s="163">
        <v>-634974835.86000001</v>
      </c>
      <c r="CT173" s="163">
        <v>-634974835.86000001</v>
      </c>
      <c r="CU173" s="163">
        <v>-659974835.86000001</v>
      </c>
      <c r="CV173" s="163">
        <v>-659974835.86000001</v>
      </c>
      <c r="CW173" s="163">
        <v>-659974835.86000001</v>
      </c>
      <c r="CX173" s="163">
        <v>-734974835.86000001</v>
      </c>
      <c r="CY173" s="163">
        <v>-734974835.86000001</v>
      </c>
      <c r="CZ173" s="163">
        <v>-734974835.86000001</v>
      </c>
      <c r="DA173" s="163">
        <v>-764974835.86000001</v>
      </c>
      <c r="DB173" s="163">
        <v>-764974835.86000001</v>
      </c>
      <c r="DC173" s="163">
        <v>-764974835.86000001</v>
      </c>
      <c r="DD173" s="163">
        <v>-804974835.86000001</v>
      </c>
      <c r="DE173" s="163">
        <v>-804974835.86000001</v>
      </c>
      <c r="DF173" s="163">
        <f>VLOOKUP($C173,'[3]BS ACC'!$C$5:$DH$1006,108,FALSE)</f>
        <v>-804974835.86000001</v>
      </c>
      <c r="DG173" s="163">
        <f>VLOOKUP($C173,'[3]BS ACC'!$C$5:$DH$1006,109,FALSE)</f>
        <v>-829974835.86000001</v>
      </c>
      <c r="DH173" s="163">
        <f>VLOOKUP($C173,'[3]BS ACC'!$C$5:$DH$1006,110,FALSE)</f>
        <v>-864974835.86000001</v>
      </c>
    </row>
    <row r="174" spans="1:112">
      <c r="A174" s="350" t="str">
        <f t="shared" si="2"/>
        <v>2160000</v>
      </c>
      <c r="B174" s="350" t="s">
        <v>1615</v>
      </c>
      <c r="C174" s="335" t="s">
        <v>712</v>
      </c>
      <c r="D174" s="340">
        <v>-112751746.77</v>
      </c>
      <c r="E174" s="340">
        <v>-110952205.43000001</v>
      </c>
      <c r="F174" s="340">
        <v>-115124241.33</v>
      </c>
      <c r="G174" s="340">
        <v>-119799633.63</v>
      </c>
      <c r="H174" s="340">
        <v>-111564858.44</v>
      </c>
      <c r="I174" s="340">
        <v>-113200545.61</v>
      </c>
      <c r="J174" s="340">
        <v>-115416639.97</v>
      </c>
      <c r="K174" s="340">
        <v>-107554579.37</v>
      </c>
      <c r="L174" s="340">
        <v>-109067808.43000001</v>
      </c>
      <c r="M174" s="340">
        <v>-110333721.84999999</v>
      </c>
      <c r="N174" s="340">
        <v>-107285782.06</v>
      </c>
      <c r="O174" s="340">
        <v>-110110889.66</v>
      </c>
      <c r="P174" s="341">
        <v>-113647895.56999999</v>
      </c>
      <c r="Q174" s="163">
        <v>-118802797.55</v>
      </c>
      <c r="R174" s="163">
        <v>-117504527.31999999</v>
      </c>
      <c r="S174" s="163">
        <v>-121475246.72</v>
      </c>
      <c r="T174" s="163">
        <v>-110287568.98999999</v>
      </c>
      <c r="U174" s="163">
        <v>-112407027.02</v>
      </c>
      <c r="V174" s="163">
        <v>-114986553.63</v>
      </c>
      <c r="W174" s="163">
        <v>-108323066.45999999</v>
      </c>
      <c r="X174" s="163">
        <v>-110663699.53</v>
      </c>
      <c r="Y174" s="163">
        <v>-112300808.7</v>
      </c>
      <c r="Z174" s="163">
        <v>-114335585.09999999</v>
      </c>
      <c r="AA174" s="163">
        <v>-109351454.22</v>
      </c>
      <c r="AB174" s="163">
        <v>-111596653.5</v>
      </c>
      <c r="AC174" s="163">
        <v>-116597753.33</v>
      </c>
      <c r="AD174" s="163">
        <v>-116398348.61</v>
      </c>
      <c r="AE174" s="163">
        <v>-118668858.11</v>
      </c>
      <c r="AF174" s="163">
        <v>-121492806.76000001</v>
      </c>
      <c r="AG174" s="163">
        <v>-111639873.68000001</v>
      </c>
      <c r="AH174" s="163">
        <v>-105236370.94</v>
      </c>
      <c r="AI174" s="163">
        <v>-107637597.34</v>
      </c>
      <c r="AJ174" s="163">
        <v>-109379707.72</v>
      </c>
      <c r="AK174" s="163">
        <v>-111158412.81</v>
      </c>
      <c r="AL174" s="163">
        <v>-113332997.3</v>
      </c>
      <c r="AM174" s="163">
        <v>-110917535.06</v>
      </c>
      <c r="AN174" s="163">
        <v>-112749467.06999999</v>
      </c>
      <c r="AO174" s="163">
        <v>-117760363.55</v>
      </c>
      <c r="AP174" s="163">
        <v>-114776913.91</v>
      </c>
      <c r="AQ174" s="163">
        <v>-119026536.19</v>
      </c>
      <c r="AR174" s="163">
        <v>-122710535.67</v>
      </c>
      <c r="AS174" s="163">
        <v>-115691041.48999999</v>
      </c>
      <c r="AT174" s="163">
        <v>-117926021.73</v>
      </c>
      <c r="AU174" s="163">
        <v>-120083512.84</v>
      </c>
      <c r="AV174" s="163">
        <v>-111138566.63</v>
      </c>
      <c r="AW174" s="163">
        <v>-113846485.06</v>
      </c>
      <c r="AX174" s="163">
        <v>-116231024.20999999</v>
      </c>
      <c r="AY174" s="163">
        <v>-112278072.45</v>
      </c>
      <c r="AZ174" s="163">
        <v>-117313122.59999999</v>
      </c>
      <c r="BA174" s="163">
        <v>-126187963.14</v>
      </c>
      <c r="BB174" s="163">
        <v>-117345565.77</v>
      </c>
      <c r="BC174" s="163">
        <v>-118883531.98999999</v>
      </c>
      <c r="BD174" s="163">
        <v>-123682154.91</v>
      </c>
      <c r="BE174" s="163">
        <v>-111606549.43000001</v>
      </c>
      <c r="BF174" s="163">
        <v>-114480264.23999999</v>
      </c>
      <c r="BG174" s="163">
        <v>-117295990.61</v>
      </c>
      <c r="BH174" s="163">
        <v>-109540020.92</v>
      </c>
      <c r="BI174" s="163">
        <v>-113063498.97</v>
      </c>
      <c r="BJ174" s="163">
        <v>-115613095.17</v>
      </c>
      <c r="BK174" s="163">
        <v>-110210539.77</v>
      </c>
      <c r="BL174" s="163">
        <v>-115286558.36</v>
      </c>
      <c r="BM174" s="163">
        <v>-121647855.66</v>
      </c>
      <c r="BN174" s="163">
        <v>-116324247.79000001</v>
      </c>
      <c r="BO174" s="163">
        <v>-121359169.36</v>
      </c>
      <c r="BP174" s="163">
        <v>-126168992.53</v>
      </c>
      <c r="BQ174" s="163">
        <v>-113450977.5</v>
      </c>
      <c r="BR174" s="163">
        <v>-116981616.55</v>
      </c>
      <c r="BS174" s="163">
        <v>-119701501.81</v>
      </c>
      <c r="BT174" s="163">
        <v>-110484117.76000001</v>
      </c>
      <c r="BU174" s="163">
        <v>-113948813.06</v>
      </c>
      <c r="BV174" s="163">
        <v>-117176831.29000001</v>
      </c>
      <c r="BW174" s="163">
        <v>-111817281.34999999</v>
      </c>
      <c r="BX174" s="163">
        <v>-115649892.59999999</v>
      </c>
      <c r="BY174" s="163">
        <v>-123199237.58</v>
      </c>
      <c r="BZ174" s="163">
        <v>-117446726.44</v>
      </c>
      <c r="CA174" s="163">
        <v>-122197610.2</v>
      </c>
      <c r="CB174" s="163">
        <v>-125573891.23999999</v>
      </c>
      <c r="CC174" s="163">
        <v>-110956104.92</v>
      </c>
      <c r="CD174" s="163">
        <v>-113941556.62</v>
      </c>
      <c r="CE174" s="163">
        <v>-116849250.12</v>
      </c>
      <c r="CF174" s="163">
        <v>-110735988.48</v>
      </c>
      <c r="CG174" s="163">
        <v>-113912115.83</v>
      </c>
      <c r="CH174" s="163">
        <v>-116508199.70999999</v>
      </c>
      <c r="CI174" s="163">
        <v>-111858761.63</v>
      </c>
      <c r="CJ174" s="163">
        <v>-116111278.3</v>
      </c>
      <c r="CK174" s="163">
        <v>-127172630.66</v>
      </c>
      <c r="CL174" s="163">
        <v>-123064941.83</v>
      </c>
      <c r="CM174" s="163">
        <v>-130480380.98</v>
      </c>
      <c r="CN174" s="163">
        <v>-111744075.12</v>
      </c>
      <c r="CO174" s="163">
        <v>-116876984.18000001</v>
      </c>
      <c r="CP174" s="163">
        <v>-122048111.78</v>
      </c>
      <c r="CQ174" s="163">
        <v>-126208593.48999999</v>
      </c>
      <c r="CR174" s="163">
        <v>-112972753.8</v>
      </c>
      <c r="CS174" s="163">
        <v>-118232854.02</v>
      </c>
      <c r="CT174" s="163">
        <v>-123024793.39</v>
      </c>
      <c r="CU174" s="163">
        <v>-114701526.48</v>
      </c>
      <c r="CV174" s="163">
        <v>-120404681.34999999</v>
      </c>
      <c r="CW174" s="163">
        <v>-130047622.41</v>
      </c>
      <c r="CX174" s="163">
        <v>-122619869.13</v>
      </c>
      <c r="CY174" s="163">
        <v>-133052877.31</v>
      </c>
      <c r="CZ174" s="163">
        <v>-110833577.27</v>
      </c>
      <c r="DA174" s="163">
        <v>-116812916.17</v>
      </c>
      <c r="DB174" s="163">
        <v>-123248501.63</v>
      </c>
      <c r="DC174" s="163">
        <v>-127207087.25</v>
      </c>
      <c r="DD174" s="163">
        <v>-112614571.16</v>
      </c>
      <c r="DE174" s="163">
        <v>-119547023.81999999</v>
      </c>
      <c r="DF174" s="163">
        <f>VLOOKUP($C174,'[3]BS ACC'!$C$5:$DH$1006,108,FALSE)</f>
        <v>-108934379.69</v>
      </c>
      <c r="DG174" s="163">
        <f>VLOOKUP($C174,'[3]BS ACC'!$C$5:$DH$1006,109,FALSE)</f>
        <v>-114567294.52</v>
      </c>
      <c r="DH174" s="163">
        <f>VLOOKUP($C174,'[3]BS ACC'!$C$5:$DH$1006,110,FALSE)</f>
        <v>-120661285.5</v>
      </c>
    </row>
    <row r="175" spans="1:112">
      <c r="A175" s="350" t="str">
        <f t="shared" si="2"/>
        <v>2161000</v>
      </c>
      <c r="B175" s="350" t="s">
        <v>1616</v>
      </c>
      <c r="C175" s="335" t="s">
        <v>713</v>
      </c>
      <c r="D175" s="340">
        <v>-1089914.58</v>
      </c>
      <c r="E175" s="340">
        <v>-708365.88</v>
      </c>
      <c r="F175" s="340">
        <v>-1038956.82</v>
      </c>
      <c r="G175" s="340">
        <v>-1245448.08</v>
      </c>
      <c r="H175" s="340">
        <v>-807415.1</v>
      </c>
      <c r="I175" s="340">
        <v>-985942.33</v>
      </c>
      <c r="J175" s="340">
        <v>-1248390.05</v>
      </c>
      <c r="K175" s="340">
        <v>-823090.47</v>
      </c>
      <c r="L175" s="340">
        <v>-1020922.51</v>
      </c>
      <c r="M175" s="340">
        <v>-1089675.83</v>
      </c>
      <c r="N175" s="340">
        <v>-683066.78</v>
      </c>
      <c r="O175" s="340">
        <v>-683066.78</v>
      </c>
      <c r="P175" s="341">
        <v>-875947.35</v>
      </c>
      <c r="Q175" s="163">
        <v>-1266722.42</v>
      </c>
      <c r="R175" s="163">
        <v>-946260.42</v>
      </c>
      <c r="S175" s="163">
        <v>-1097023.71</v>
      </c>
      <c r="T175" s="163">
        <v>-419556.3</v>
      </c>
      <c r="U175" s="163">
        <v>-643916</v>
      </c>
      <c r="V175" s="163">
        <v>-860210.17</v>
      </c>
      <c r="W175" s="163">
        <v>-520934.42</v>
      </c>
      <c r="X175" s="163">
        <v>-691978</v>
      </c>
      <c r="Y175" s="163">
        <v>-915316.24</v>
      </c>
      <c r="Z175" s="163">
        <v>-1045549.72</v>
      </c>
      <c r="AA175" s="163">
        <v>-695638.65</v>
      </c>
      <c r="AB175" s="163">
        <v>-1399472.66</v>
      </c>
      <c r="AC175" s="163">
        <v>-1695753.12</v>
      </c>
      <c r="AD175" s="163">
        <v>-1514763.27</v>
      </c>
      <c r="AE175" s="163">
        <v>-1617419.24</v>
      </c>
      <c r="AF175" s="163">
        <v>-1739485.05</v>
      </c>
      <c r="AG175" s="163">
        <v>-666978.23</v>
      </c>
      <c r="AH175" s="163">
        <v>-300552.07</v>
      </c>
      <c r="AI175" s="163">
        <v>-515423.32</v>
      </c>
      <c r="AJ175" s="163">
        <v>-793188.72</v>
      </c>
      <c r="AK175" s="163">
        <v>-973459.71</v>
      </c>
      <c r="AL175" s="163">
        <v>-1742856.08</v>
      </c>
      <c r="AM175" s="163">
        <v>-1304371.94</v>
      </c>
      <c r="AN175" s="163">
        <v>-1525688.98</v>
      </c>
      <c r="AO175" s="163">
        <v>-1879621.38</v>
      </c>
      <c r="AP175" s="163">
        <v>-726969.53</v>
      </c>
      <c r="AQ175" s="163">
        <v>-1014138.68</v>
      </c>
      <c r="AR175" s="163">
        <v>-1161107.23</v>
      </c>
      <c r="AS175" s="163">
        <v>-609685.12</v>
      </c>
      <c r="AT175" s="163">
        <v>-456323.95</v>
      </c>
      <c r="AU175" s="163">
        <v>-1057716.6000000001</v>
      </c>
      <c r="AV175" s="163">
        <v>-413438.25</v>
      </c>
      <c r="AW175" s="163">
        <v>-413438.25</v>
      </c>
      <c r="AX175" s="163">
        <v>-659049.01</v>
      </c>
      <c r="AY175" s="163">
        <v>-717920.59</v>
      </c>
      <c r="AZ175" s="163">
        <v>-1266989.51</v>
      </c>
      <c r="BA175" s="163">
        <v>-1694255.26</v>
      </c>
      <c r="BB175" s="163">
        <v>-674603.32</v>
      </c>
      <c r="BC175" s="163">
        <v>-787205.82</v>
      </c>
      <c r="BD175" s="163">
        <v>-1293484.54</v>
      </c>
      <c r="BE175" s="163">
        <v>-601110.72</v>
      </c>
      <c r="BF175" s="163">
        <v>-823770.91</v>
      </c>
      <c r="BG175" s="163">
        <v>-1113314.74</v>
      </c>
      <c r="BH175" s="163">
        <v>-311947.07</v>
      </c>
      <c r="BI175" s="163">
        <v>-486419.53</v>
      </c>
      <c r="BJ175" s="163">
        <v>-740096.56</v>
      </c>
      <c r="BK175" s="163">
        <v>-329191.28999999998</v>
      </c>
      <c r="BL175" s="163">
        <v>-746528.46</v>
      </c>
      <c r="BM175" s="163">
        <v>-1003177.05</v>
      </c>
      <c r="BN175" s="163">
        <v>-374954.42</v>
      </c>
      <c r="BO175" s="163">
        <v>-836083.16</v>
      </c>
      <c r="BP175" s="163">
        <v>-1253190.18</v>
      </c>
      <c r="BQ175" s="163">
        <v>-573708.28</v>
      </c>
      <c r="BR175" s="163">
        <v>-808242.6</v>
      </c>
      <c r="BS175" s="163">
        <v>-1147172.72</v>
      </c>
      <c r="BT175" s="163">
        <v>-631175.93000000005</v>
      </c>
      <c r="BU175" s="163">
        <v>-850340.26</v>
      </c>
      <c r="BV175" s="163">
        <v>-1047931.12</v>
      </c>
      <c r="BW175" s="163">
        <v>-224561.77</v>
      </c>
      <c r="BX175" s="163">
        <v>-453354.21</v>
      </c>
      <c r="BY175" s="163">
        <v>-579626.85</v>
      </c>
      <c r="BZ175" s="163">
        <v>-383953.91</v>
      </c>
      <c r="CA175" s="163">
        <v>-477853.33</v>
      </c>
      <c r="CB175" s="163">
        <v>-812300.57</v>
      </c>
      <c r="CC175" s="163">
        <v>-577565.73</v>
      </c>
      <c r="CD175" s="163">
        <v>-801907.17</v>
      </c>
      <c r="CE175" s="163">
        <v>-990347.09</v>
      </c>
      <c r="CF175" s="163">
        <v>-332563.58</v>
      </c>
      <c r="CG175" s="163">
        <v>-571793.88</v>
      </c>
      <c r="CH175" s="163">
        <v>-922587.3</v>
      </c>
      <c r="CI175" s="163">
        <v>-392608.46</v>
      </c>
      <c r="CJ175" s="163">
        <v>-759656.77</v>
      </c>
      <c r="CK175" s="163">
        <v>-1093791.74</v>
      </c>
      <c r="CL175" s="163">
        <v>-554779.67000000004</v>
      </c>
      <c r="CM175" s="163">
        <v>-830140.99</v>
      </c>
      <c r="CN175" s="163">
        <v>-164253.96</v>
      </c>
      <c r="CO175" s="163">
        <v>-554767.04</v>
      </c>
      <c r="CP175" s="163">
        <v>-826257.62</v>
      </c>
      <c r="CQ175" s="163">
        <v>-1100378.3700000001</v>
      </c>
      <c r="CR175" s="163">
        <v>-443971.49</v>
      </c>
      <c r="CS175" s="163">
        <v>-739799.14</v>
      </c>
      <c r="CT175" s="163">
        <v>-1053546.92</v>
      </c>
      <c r="CU175" s="163">
        <v>-419642.6</v>
      </c>
      <c r="CV175" s="163">
        <v>-579087.52</v>
      </c>
      <c r="CW175" s="163">
        <v>-724083.92</v>
      </c>
      <c r="CX175" s="163">
        <v>-231097.56</v>
      </c>
      <c r="CY175" s="163">
        <v>-704721.25</v>
      </c>
      <c r="CZ175" s="163">
        <v>-90158.62</v>
      </c>
      <c r="DA175" s="163">
        <v>-366164.03</v>
      </c>
      <c r="DB175" s="163">
        <v>-589138.4</v>
      </c>
      <c r="DC175" s="163">
        <v>-1025751.13</v>
      </c>
      <c r="DD175" s="163">
        <v>-557382.72</v>
      </c>
      <c r="DE175" s="163">
        <v>-894938.49</v>
      </c>
      <c r="DF175" s="163">
        <f>VLOOKUP($C175,'[3]BS ACC'!$C$5:$DH$1006,108,FALSE)</f>
        <v>-84282.14</v>
      </c>
      <c r="DG175" s="163">
        <f>VLOOKUP($C175,'[3]BS ACC'!$C$5:$DH$1006,109,FALSE)</f>
        <v>-384386.37</v>
      </c>
      <c r="DH175" s="163">
        <f>VLOOKUP($C175,'[3]BS ACC'!$C$5:$DH$1006,110,FALSE)</f>
        <v>-397515.32</v>
      </c>
    </row>
    <row r="176" spans="1:112">
      <c r="A176" s="350" t="str">
        <f t="shared" si="2"/>
        <v>2190000</v>
      </c>
      <c r="B176" s="350" t="s">
        <v>1617</v>
      </c>
      <c r="C176" s="335" t="s">
        <v>714</v>
      </c>
      <c r="D176" s="340">
        <v>0</v>
      </c>
      <c r="E176" s="340">
        <v>0</v>
      </c>
      <c r="F176" s="340">
        <v>0</v>
      </c>
      <c r="G176" s="340">
        <v>0</v>
      </c>
      <c r="H176" s="340">
        <v>0</v>
      </c>
      <c r="I176" s="340">
        <v>0</v>
      </c>
      <c r="J176" s="340">
        <v>0</v>
      </c>
      <c r="K176" s="340">
        <v>0</v>
      </c>
      <c r="L176" s="340">
        <v>0</v>
      </c>
      <c r="M176" s="340">
        <v>0</v>
      </c>
      <c r="N176" s="340">
        <v>0</v>
      </c>
      <c r="O176" s="340">
        <v>0</v>
      </c>
      <c r="P176" s="341">
        <v>0</v>
      </c>
      <c r="Q176" s="163">
        <v>0</v>
      </c>
      <c r="R176" s="163">
        <v>0</v>
      </c>
      <c r="S176" s="163">
        <v>0</v>
      </c>
      <c r="T176" s="163">
        <v>0</v>
      </c>
      <c r="U176" s="163">
        <v>0</v>
      </c>
      <c r="V176" s="163">
        <v>0</v>
      </c>
      <c r="W176" s="163">
        <v>0</v>
      </c>
      <c r="X176" s="163">
        <v>0</v>
      </c>
      <c r="Y176" s="163">
        <v>0</v>
      </c>
      <c r="Z176" s="163">
        <v>0</v>
      </c>
      <c r="AA176" s="163">
        <v>0</v>
      </c>
      <c r="AB176" s="163">
        <v>0</v>
      </c>
      <c r="AC176" s="163">
        <v>0</v>
      </c>
      <c r="AD176" s="163">
        <v>0</v>
      </c>
      <c r="AE176" s="163">
        <v>0</v>
      </c>
      <c r="AF176" s="163">
        <v>0</v>
      </c>
      <c r="AG176" s="163">
        <v>0</v>
      </c>
      <c r="AH176" s="163">
        <v>0</v>
      </c>
      <c r="AI176" s="163">
        <v>0</v>
      </c>
      <c r="AJ176" s="163">
        <v>0</v>
      </c>
      <c r="AK176" s="163">
        <v>0</v>
      </c>
      <c r="AL176" s="163">
        <v>0</v>
      </c>
      <c r="AM176" s="163">
        <v>0</v>
      </c>
      <c r="AN176" s="163">
        <v>0</v>
      </c>
      <c r="AO176" s="163">
        <v>0</v>
      </c>
      <c r="AP176" s="163">
        <v>0</v>
      </c>
      <c r="AQ176" s="163">
        <v>0</v>
      </c>
      <c r="AR176" s="163">
        <v>0</v>
      </c>
      <c r="AS176" s="163">
        <v>0</v>
      </c>
      <c r="AT176" s="163">
        <v>0</v>
      </c>
      <c r="AU176" s="163">
        <v>0</v>
      </c>
      <c r="AV176" s="163">
        <v>0</v>
      </c>
      <c r="AW176" s="163">
        <v>0</v>
      </c>
      <c r="AX176" s="163">
        <v>0</v>
      </c>
      <c r="AY176" s="163">
        <v>0</v>
      </c>
      <c r="AZ176" s="163">
        <v>0</v>
      </c>
      <c r="BA176" s="163">
        <v>0</v>
      </c>
      <c r="BB176" s="163">
        <v>0</v>
      </c>
      <c r="BC176" s="163">
        <v>0</v>
      </c>
      <c r="BD176" s="163">
        <v>0</v>
      </c>
      <c r="BE176" s="163">
        <v>0</v>
      </c>
      <c r="BF176" s="163">
        <v>0</v>
      </c>
      <c r="BG176" s="163">
        <v>0</v>
      </c>
      <c r="BH176" s="163">
        <v>0</v>
      </c>
      <c r="BI176" s="163">
        <v>0</v>
      </c>
      <c r="BJ176" s="163">
        <v>0</v>
      </c>
      <c r="BK176" s="163">
        <v>0</v>
      </c>
      <c r="BL176" s="163">
        <v>0</v>
      </c>
      <c r="BM176" s="163">
        <v>0</v>
      </c>
      <c r="BN176" s="163">
        <v>0</v>
      </c>
      <c r="BO176" s="163">
        <v>0</v>
      </c>
      <c r="BP176" s="163">
        <v>0</v>
      </c>
      <c r="BQ176" s="163">
        <v>0</v>
      </c>
      <c r="BR176" s="163">
        <v>0</v>
      </c>
      <c r="BS176" s="163">
        <v>0</v>
      </c>
      <c r="BT176" s="163">
        <v>0</v>
      </c>
      <c r="BU176" s="163">
        <v>0</v>
      </c>
      <c r="BV176" s="163">
        <v>0</v>
      </c>
      <c r="BW176" s="163">
        <v>0</v>
      </c>
      <c r="BX176" s="163">
        <v>0</v>
      </c>
      <c r="BY176" s="163">
        <v>0</v>
      </c>
      <c r="BZ176" s="163">
        <v>0</v>
      </c>
      <c r="CA176" s="163">
        <v>0</v>
      </c>
      <c r="CB176" s="163">
        <v>0</v>
      </c>
      <c r="CC176" s="163">
        <v>0</v>
      </c>
      <c r="CD176" s="163">
        <v>0</v>
      </c>
      <c r="CE176" s="163">
        <v>0</v>
      </c>
      <c r="CF176" s="163">
        <v>0</v>
      </c>
      <c r="CG176" s="163">
        <v>0</v>
      </c>
      <c r="CH176" s="163">
        <v>0</v>
      </c>
      <c r="CI176" s="163">
        <v>0</v>
      </c>
      <c r="CJ176" s="163">
        <v>0</v>
      </c>
      <c r="CK176" s="163">
        <v>0</v>
      </c>
      <c r="CL176" s="163">
        <v>0</v>
      </c>
      <c r="CM176" s="163">
        <v>0</v>
      </c>
      <c r="CN176" s="163">
        <v>0</v>
      </c>
      <c r="CO176" s="163">
        <v>0</v>
      </c>
      <c r="CP176" s="163">
        <v>0</v>
      </c>
      <c r="CQ176" s="163">
        <v>0</v>
      </c>
      <c r="CR176" s="163">
        <v>0</v>
      </c>
      <c r="CS176" s="163">
        <v>0</v>
      </c>
      <c r="CT176" s="163">
        <v>0</v>
      </c>
      <c r="CU176" s="163">
        <v>0</v>
      </c>
      <c r="CV176" s="163">
        <v>0</v>
      </c>
      <c r="CW176" s="163">
        <v>0</v>
      </c>
      <c r="CX176" s="163">
        <v>0</v>
      </c>
      <c r="CY176" s="163">
        <v>0</v>
      </c>
      <c r="CZ176" s="163">
        <v>0</v>
      </c>
      <c r="DA176" s="163">
        <v>0</v>
      </c>
      <c r="DB176" s="163">
        <v>0</v>
      </c>
      <c r="DC176" s="163">
        <v>0</v>
      </c>
      <c r="DD176" s="163">
        <v>0</v>
      </c>
      <c r="DE176" s="163">
        <v>0</v>
      </c>
      <c r="DF176" s="163">
        <f>VLOOKUP($C176,'[3]BS ACC'!$C$5:$DH$1006,108,FALSE)</f>
        <v>0</v>
      </c>
      <c r="DG176" s="163">
        <f>VLOOKUP($C176,'[3]BS ACC'!$C$5:$DH$1006,109,FALSE)</f>
        <v>0</v>
      </c>
      <c r="DH176" s="163">
        <f>VLOOKUP($C176,'[3]BS ACC'!$C$5:$DH$1006,110,FALSE)</f>
        <v>0</v>
      </c>
    </row>
    <row r="177" spans="1:112">
      <c r="A177" s="350" t="str">
        <f t="shared" si="2"/>
        <v>2190001</v>
      </c>
      <c r="B177" s="350" t="s">
        <v>1618</v>
      </c>
      <c r="C177" s="335" t="s">
        <v>715</v>
      </c>
      <c r="D177" s="340"/>
      <c r="E177" s="340">
        <v>0</v>
      </c>
      <c r="F177" s="340">
        <v>0</v>
      </c>
      <c r="G177" s="340">
        <v>0</v>
      </c>
      <c r="H177" s="340">
        <v>919.51</v>
      </c>
      <c r="I177" s="340">
        <v>0</v>
      </c>
      <c r="J177" s="340">
        <v>0</v>
      </c>
      <c r="K177" s="340">
        <v>0</v>
      </c>
      <c r="L177" s="340">
        <v>0</v>
      </c>
      <c r="M177" s="340">
        <v>0</v>
      </c>
      <c r="N177" s="340">
        <v>0</v>
      </c>
      <c r="O177" s="340">
        <v>0</v>
      </c>
      <c r="P177" s="341">
        <v>0</v>
      </c>
      <c r="Q177" s="163">
        <v>0</v>
      </c>
      <c r="R177" s="163">
        <v>0</v>
      </c>
      <c r="S177" s="163">
        <v>10617.35</v>
      </c>
      <c r="T177" s="163">
        <v>0</v>
      </c>
      <c r="U177" s="163">
        <v>-72439.19</v>
      </c>
      <c r="V177" s="163">
        <v>0</v>
      </c>
      <c r="W177" s="163">
        <v>0</v>
      </c>
      <c r="X177" s="163">
        <v>0</v>
      </c>
      <c r="Y177" s="163">
        <v>0</v>
      </c>
      <c r="Z177" s="163">
        <v>0</v>
      </c>
      <c r="AA177" s="163">
        <v>0</v>
      </c>
      <c r="AB177" s="163">
        <v>0</v>
      </c>
      <c r="AC177" s="163">
        <v>0</v>
      </c>
      <c r="AD177" s="163">
        <v>0</v>
      </c>
      <c r="AE177" s="163">
        <v>0</v>
      </c>
      <c r="AF177" s="163">
        <v>0</v>
      </c>
      <c r="AG177" s="163">
        <v>0</v>
      </c>
      <c r="AH177" s="163">
        <v>0</v>
      </c>
      <c r="AI177" s="163">
        <v>0</v>
      </c>
      <c r="AJ177" s="163">
        <v>0</v>
      </c>
      <c r="AK177" s="163">
        <v>0</v>
      </c>
      <c r="AL177" s="163">
        <v>0</v>
      </c>
      <c r="AM177" s="163">
        <v>0</v>
      </c>
      <c r="AN177" s="163">
        <v>0</v>
      </c>
      <c r="AO177" s="163">
        <v>0</v>
      </c>
      <c r="AP177" s="163">
        <v>0</v>
      </c>
      <c r="AQ177" s="163">
        <v>0</v>
      </c>
      <c r="AR177" s="163">
        <v>0</v>
      </c>
      <c r="AS177" s="163">
        <v>0</v>
      </c>
      <c r="AT177" s="163">
        <v>0</v>
      </c>
      <c r="AU177" s="163">
        <v>0</v>
      </c>
      <c r="AV177" s="163">
        <v>0</v>
      </c>
      <c r="AW177" s="163">
        <v>0</v>
      </c>
      <c r="AX177" s="163">
        <v>0</v>
      </c>
      <c r="AY177" s="163">
        <v>0</v>
      </c>
      <c r="AZ177" s="163">
        <v>0</v>
      </c>
      <c r="BA177" s="163">
        <v>0</v>
      </c>
      <c r="BB177" s="163">
        <v>0</v>
      </c>
      <c r="BC177" s="163">
        <v>0</v>
      </c>
      <c r="BD177" s="163">
        <v>0</v>
      </c>
      <c r="BE177" s="163">
        <v>0</v>
      </c>
      <c r="BF177" s="163">
        <v>0</v>
      </c>
      <c r="BG177" s="163">
        <v>0</v>
      </c>
      <c r="BH177" s="163">
        <v>0</v>
      </c>
      <c r="BI177" s="163">
        <v>0</v>
      </c>
      <c r="BJ177" s="163">
        <v>0</v>
      </c>
      <c r="BK177" s="163">
        <v>0</v>
      </c>
      <c r="BL177" s="163">
        <v>0</v>
      </c>
      <c r="BM177" s="163">
        <v>0</v>
      </c>
      <c r="BN177" s="163">
        <v>0</v>
      </c>
      <c r="BO177" s="163">
        <v>0</v>
      </c>
      <c r="BP177" s="163">
        <v>0</v>
      </c>
      <c r="BQ177" s="163">
        <v>0</v>
      </c>
      <c r="BR177" s="163">
        <v>0</v>
      </c>
      <c r="BS177" s="163">
        <v>0</v>
      </c>
      <c r="BT177" s="163">
        <v>0</v>
      </c>
      <c r="BU177" s="163">
        <v>0</v>
      </c>
      <c r="BV177" s="163">
        <v>0</v>
      </c>
      <c r="BW177" s="163">
        <v>0</v>
      </c>
      <c r="BX177" s="163">
        <v>0</v>
      </c>
      <c r="BY177" s="163">
        <v>0</v>
      </c>
      <c r="BZ177" s="163">
        <v>0</v>
      </c>
      <c r="CA177" s="163">
        <v>0</v>
      </c>
      <c r="CB177" s="163">
        <v>0</v>
      </c>
      <c r="CC177" s="163">
        <v>0</v>
      </c>
      <c r="CD177" s="163">
        <v>0</v>
      </c>
      <c r="CE177" s="163">
        <v>0</v>
      </c>
      <c r="CF177" s="163">
        <v>0</v>
      </c>
      <c r="CG177" s="163">
        <v>0</v>
      </c>
      <c r="CH177" s="163">
        <v>0</v>
      </c>
      <c r="CI177" s="163">
        <v>0</v>
      </c>
      <c r="CJ177" s="163">
        <v>0</v>
      </c>
      <c r="CK177" s="163">
        <v>0</v>
      </c>
      <c r="CL177" s="163">
        <v>0</v>
      </c>
      <c r="CM177" s="163">
        <v>0</v>
      </c>
      <c r="CN177" s="163">
        <v>0</v>
      </c>
      <c r="CO177" s="163">
        <v>0</v>
      </c>
      <c r="CP177" s="163">
        <v>0</v>
      </c>
      <c r="CQ177" s="163">
        <v>0</v>
      </c>
      <c r="CR177" s="163">
        <v>0</v>
      </c>
      <c r="CS177" s="163">
        <v>0</v>
      </c>
      <c r="CT177" s="163">
        <v>0</v>
      </c>
      <c r="CU177" s="163">
        <v>0</v>
      </c>
      <c r="CV177" s="163">
        <v>0</v>
      </c>
      <c r="CW177" s="163">
        <v>0</v>
      </c>
      <c r="CX177" s="163">
        <v>0</v>
      </c>
      <c r="CY177" s="163">
        <v>0</v>
      </c>
      <c r="CZ177" s="163">
        <v>0</v>
      </c>
      <c r="DA177" s="163">
        <v>0</v>
      </c>
      <c r="DB177" s="163">
        <v>0</v>
      </c>
      <c r="DC177" s="163">
        <v>0</v>
      </c>
      <c r="DD177" s="163">
        <v>0</v>
      </c>
      <c r="DE177" s="163">
        <v>0</v>
      </c>
      <c r="DF177" s="163">
        <f>VLOOKUP($C177,'[3]BS ACC'!$C$5:$DH$1006,108,FALSE)</f>
        <v>0</v>
      </c>
      <c r="DG177" s="163">
        <f>VLOOKUP($C177,'[3]BS ACC'!$C$5:$DH$1006,109,FALSE)</f>
        <v>0</v>
      </c>
      <c r="DH177" s="163">
        <f>VLOOKUP($C177,'[3]BS ACC'!$C$5:$DH$1006,110,FALSE)</f>
        <v>0</v>
      </c>
    </row>
    <row r="178" spans="1:112">
      <c r="A178" s="350" t="str">
        <f t="shared" si="2"/>
        <v>2190010</v>
      </c>
      <c r="B178" s="350" t="s">
        <v>1619</v>
      </c>
      <c r="C178" s="335" t="s">
        <v>716</v>
      </c>
      <c r="D178" s="340">
        <v>0</v>
      </c>
      <c r="E178" s="340">
        <v>0</v>
      </c>
      <c r="F178" s="340">
        <v>0</v>
      </c>
      <c r="G178" s="340">
        <v>0</v>
      </c>
      <c r="H178" s="340">
        <v>0</v>
      </c>
      <c r="I178" s="340">
        <v>0</v>
      </c>
      <c r="J178" s="340">
        <v>0</v>
      </c>
      <c r="K178" s="340">
        <v>0</v>
      </c>
      <c r="L178" s="340">
        <v>0</v>
      </c>
      <c r="M178" s="340">
        <v>0</v>
      </c>
      <c r="N178" s="340">
        <v>0</v>
      </c>
      <c r="O178" s="340">
        <v>0</v>
      </c>
      <c r="P178" s="341">
        <v>0</v>
      </c>
      <c r="Q178" s="163">
        <v>0</v>
      </c>
      <c r="R178" s="163">
        <v>0</v>
      </c>
      <c r="S178" s="163">
        <v>0</v>
      </c>
      <c r="T178" s="163">
        <v>0</v>
      </c>
      <c r="U178" s="163">
        <v>0</v>
      </c>
      <c r="V178" s="163">
        <v>0</v>
      </c>
      <c r="W178" s="163">
        <v>0</v>
      </c>
      <c r="X178" s="163">
        <v>0</v>
      </c>
      <c r="Y178" s="163">
        <v>0</v>
      </c>
      <c r="Z178" s="163">
        <v>0</v>
      </c>
      <c r="AA178" s="163">
        <v>0</v>
      </c>
      <c r="AB178" s="163">
        <v>0</v>
      </c>
      <c r="AC178" s="163">
        <v>0</v>
      </c>
      <c r="AD178" s="163">
        <v>0</v>
      </c>
      <c r="AE178" s="163">
        <v>0</v>
      </c>
      <c r="AF178" s="163">
        <v>0</v>
      </c>
      <c r="AG178" s="163">
        <v>0</v>
      </c>
      <c r="AH178" s="163">
        <v>0</v>
      </c>
      <c r="AI178" s="163">
        <v>0</v>
      </c>
      <c r="AJ178" s="163">
        <v>0</v>
      </c>
      <c r="AK178" s="163">
        <v>0</v>
      </c>
      <c r="AL178" s="163">
        <v>0</v>
      </c>
      <c r="AM178" s="163">
        <v>0</v>
      </c>
      <c r="AN178" s="163">
        <v>0</v>
      </c>
      <c r="AO178" s="163">
        <v>0</v>
      </c>
      <c r="AP178" s="163">
        <v>0</v>
      </c>
      <c r="AQ178" s="163">
        <v>0</v>
      </c>
      <c r="AR178" s="163">
        <v>0</v>
      </c>
      <c r="AS178" s="163">
        <v>0</v>
      </c>
      <c r="AT178" s="163">
        <v>0</v>
      </c>
      <c r="AU178" s="163">
        <v>0</v>
      </c>
      <c r="AV178" s="163">
        <v>0</v>
      </c>
      <c r="AW178" s="163">
        <v>0</v>
      </c>
      <c r="AX178" s="163">
        <v>0</v>
      </c>
      <c r="AY178" s="163">
        <v>0</v>
      </c>
      <c r="AZ178" s="163">
        <v>0</v>
      </c>
      <c r="BA178" s="163">
        <v>0</v>
      </c>
      <c r="BB178" s="163">
        <v>0</v>
      </c>
      <c r="BC178" s="163">
        <v>0</v>
      </c>
      <c r="BD178" s="163">
        <v>0</v>
      </c>
      <c r="BE178" s="163">
        <v>0</v>
      </c>
      <c r="BF178" s="163">
        <v>0</v>
      </c>
      <c r="BG178" s="163">
        <v>0</v>
      </c>
      <c r="BH178" s="163">
        <v>0</v>
      </c>
      <c r="BI178" s="163">
        <v>0</v>
      </c>
      <c r="BJ178" s="163">
        <v>0</v>
      </c>
      <c r="BK178" s="163">
        <v>0</v>
      </c>
      <c r="BL178" s="163">
        <v>0</v>
      </c>
      <c r="BM178" s="163">
        <v>0</v>
      </c>
      <c r="BN178" s="163">
        <v>0</v>
      </c>
      <c r="BO178" s="163">
        <v>0</v>
      </c>
      <c r="BP178" s="163">
        <v>0</v>
      </c>
      <c r="BQ178" s="163">
        <v>0</v>
      </c>
      <c r="BR178" s="163">
        <v>0</v>
      </c>
      <c r="BS178" s="163">
        <v>0</v>
      </c>
      <c r="BT178" s="163">
        <v>0</v>
      </c>
      <c r="BU178" s="163">
        <v>0</v>
      </c>
      <c r="BV178" s="163">
        <v>0</v>
      </c>
      <c r="BW178" s="163">
        <v>0</v>
      </c>
      <c r="BX178" s="163">
        <v>0</v>
      </c>
      <c r="BY178" s="163">
        <v>0</v>
      </c>
      <c r="BZ178" s="163">
        <v>0</v>
      </c>
      <c r="CA178" s="163">
        <v>0</v>
      </c>
      <c r="CB178" s="163">
        <v>0</v>
      </c>
      <c r="CC178" s="163">
        <v>0</v>
      </c>
      <c r="CD178" s="163">
        <v>0</v>
      </c>
      <c r="CE178" s="163">
        <v>0</v>
      </c>
      <c r="CF178" s="163">
        <v>0</v>
      </c>
      <c r="CG178" s="163">
        <v>0</v>
      </c>
      <c r="CH178" s="163">
        <v>0</v>
      </c>
      <c r="CI178" s="163">
        <v>0</v>
      </c>
      <c r="CJ178" s="163">
        <v>0</v>
      </c>
      <c r="CK178" s="163">
        <v>0</v>
      </c>
      <c r="CL178" s="163">
        <v>0</v>
      </c>
      <c r="CM178" s="163">
        <v>0</v>
      </c>
      <c r="CN178" s="163">
        <v>0</v>
      </c>
      <c r="CO178" s="163">
        <v>0</v>
      </c>
      <c r="CP178" s="163">
        <v>0</v>
      </c>
      <c r="CQ178" s="163">
        <v>0</v>
      </c>
      <c r="CR178" s="163">
        <v>0</v>
      </c>
      <c r="CS178" s="163">
        <v>0</v>
      </c>
      <c r="CT178" s="163">
        <v>0</v>
      </c>
      <c r="CU178" s="163">
        <v>0</v>
      </c>
      <c r="CV178" s="163">
        <v>0</v>
      </c>
      <c r="CW178" s="163">
        <v>0</v>
      </c>
      <c r="CX178" s="163">
        <v>0</v>
      </c>
      <c r="CY178" s="163">
        <v>0</v>
      </c>
      <c r="CZ178" s="163">
        <v>0</v>
      </c>
      <c r="DA178" s="163">
        <v>0</v>
      </c>
      <c r="DB178" s="163">
        <v>0</v>
      </c>
      <c r="DC178" s="163">
        <v>0</v>
      </c>
      <c r="DD178" s="163">
        <v>0</v>
      </c>
      <c r="DE178" s="163">
        <v>0</v>
      </c>
      <c r="DF178" s="163">
        <f>VLOOKUP($C178,'[3]BS ACC'!$C$5:$DH$1006,108,FALSE)</f>
        <v>0</v>
      </c>
      <c r="DG178" s="163">
        <f>VLOOKUP($C178,'[3]BS ACC'!$C$5:$DH$1006,109,FALSE)</f>
        <v>0</v>
      </c>
      <c r="DH178" s="163">
        <f>VLOOKUP($C178,'[3]BS ACC'!$C$5:$DH$1006,110,FALSE)</f>
        <v>0</v>
      </c>
    </row>
    <row r="179" spans="1:112">
      <c r="A179" s="350" t="str">
        <f t="shared" si="2"/>
        <v>2190011</v>
      </c>
      <c r="B179" s="350" t="s">
        <v>1620</v>
      </c>
      <c r="C179" s="335" t="s">
        <v>717</v>
      </c>
      <c r="D179" s="340">
        <v>0</v>
      </c>
      <c r="E179" s="340">
        <v>0</v>
      </c>
      <c r="F179" s="340">
        <v>0</v>
      </c>
      <c r="G179" s="340">
        <v>0</v>
      </c>
      <c r="H179" s="340">
        <v>0</v>
      </c>
      <c r="I179" s="340">
        <v>0</v>
      </c>
      <c r="J179" s="340">
        <v>0</v>
      </c>
      <c r="K179" s="340">
        <v>0</v>
      </c>
      <c r="L179" s="340">
        <v>0</v>
      </c>
      <c r="M179" s="340">
        <v>0</v>
      </c>
      <c r="N179" s="340">
        <v>0</v>
      </c>
      <c r="O179" s="340">
        <v>0</v>
      </c>
      <c r="P179" s="341">
        <v>0</v>
      </c>
      <c r="Q179" s="163">
        <v>0</v>
      </c>
      <c r="R179" s="163">
        <v>0</v>
      </c>
      <c r="S179" s="163">
        <v>0</v>
      </c>
      <c r="T179" s="163">
        <v>0</v>
      </c>
      <c r="U179" s="163">
        <v>0</v>
      </c>
      <c r="V179" s="163">
        <v>0</v>
      </c>
      <c r="W179" s="163">
        <v>0</v>
      </c>
      <c r="X179" s="163">
        <v>0</v>
      </c>
      <c r="Y179" s="163">
        <v>0</v>
      </c>
      <c r="Z179" s="163">
        <v>0</v>
      </c>
      <c r="AA179" s="163">
        <v>0</v>
      </c>
      <c r="AB179" s="163">
        <v>0</v>
      </c>
      <c r="AC179" s="163">
        <v>0</v>
      </c>
      <c r="AD179" s="163">
        <v>0</v>
      </c>
      <c r="AE179" s="163">
        <v>0</v>
      </c>
      <c r="AF179" s="163">
        <v>0</v>
      </c>
      <c r="AG179" s="163">
        <v>0</v>
      </c>
      <c r="AH179" s="163">
        <v>0</v>
      </c>
      <c r="AI179" s="163">
        <v>0</v>
      </c>
      <c r="AJ179" s="163">
        <v>0</v>
      </c>
      <c r="AK179" s="163">
        <v>0</v>
      </c>
      <c r="AL179" s="163">
        <v>0</v>
      </c>
      <c r="AM179" s="163">
        <v>0</v>
      </c>
      <c r="AN179" s="163">
        <v>0</v>
      </c>
      <c r="AO179" s="163">
        <v>0</v>
      </c>
      <c r="AP179" s="163">
        <v>0</v>
      </c>
      <c r="AQ179" s="163">
        <v>0</v>
      </c>
      <c r="AR179" s="163">
        <v>0</v>
      </c>
      <c r="AS179" s="163">
        <v>0</v>
      </c>
      <c r="AT179" s="163">
        <v>0</v>
      </c>
      <c r="AU179" s="163">
        <v>0</v>
      </c>
      <c r="AV179" s="163">
        <v>0</v>
      </c>
      <c r="AW179" s="163">
        <v>0</v>
      </c>
      <c r="AX179" s="163">
        <v>0</v>
      </c>
      <c r="AY179" s="163">
        <v>0</v>
      </c>
      <c r="AZ179" s="163">
        <v>0</v>
      </c>
      <c r="BA179" s="163">
        <v>0</v>
      </c>
      <c r="BB179" s="163">
        <v>0</v>
      </c>
      <c r="BC179" s="163">
        <v>0</v>
      </c>
      <c r="BD179" s="163">
        <v>0</v>
      </c>
      <c r="BE179" s="163">
        <v>0</v>
      </c>
      <c r="BF179" s="163">
        <v>0</v>
      </c>
      <c r="BG179" s="163">
        <v>0</v>
      </c>
      <c r="BH179" s="163">
        <v>0</v>
      </c>
      <c r="BI179" s="163">
        <v>0</v>
      </c>
      <c r="BJ179" s="163">
        <v>0</v>
      </c>
      <c r="BK179" s="163">
        <v>0</v>
      </c>
      <c r="BL179" s="163">
        <v>0</v>
      </c>
      <c r="BM179" s="163">
        <v>0</v>
      </c>
      <c r="BN179" s="163">
        <v>0</v>
      </c>
      <c r="BO179" s="163">
        <v>0</v>
      </c>
      <c r="BP179" s="163">
        <v>0</v>
      </c>
      <c r="BQ179" s="163">
        <v>0</v>
      </c>
      <c r="BR179" s="163">
        <v>0</v>
      </c>
      <c r="BS179" s="163">
        <v>0</v>
      </c>
      <c r="BT179" s="163">
        <v>0</v>
      </c>
      <c r="BU179" s="163">
        <v>0</v>
      </c>
      <c r="BV179" s="163">
        <v>0</v>
      </c>
      <c r="BW179" s="163">
        <v>0</v>
      </c>
      <c r="BX179" s="163">
        <v>0</v>
      </c>
      <c r="BY179" s="163">
        <v>0</v>
      </c>
      <c r="BZ179" s="163">
        <v>0</v>
      </c>
      <c r="CA179" s="163">
        <v>0</v>
      </c>
      <c r="CB179" s="163">
        <v>0</v>
      </c>
      <c r="CC179" s="163">
        <v>0</v>
      </c>
      <c r="CD179" s="163">
        <v>0</v>
      </c>
      <c r="CE179" s="163">
        <v>0</v>
      </c>
      <c r="CF179" s="163">
        <v>0</v>
      </c>
      <c r="CG179" s="163">
        <v>0</v>
      </c>
      <c r="CH179" s="163">
        <v>0</v>
      </c>
      <c r="CI179" s="163">
        <v>0</v>
      </c>
      <c r="CJ179" s="163">
        <v>0</v>
      </c>
      <c r="CK179" s="163">
        <v>0</v>
      </c>
      <c r="CL179" s="163">
        <v>0</v>
      </c>
      <c r="CM179" s="163">
        <v>0</v>
      </c>
      <c r="CN179" s="163">
        <v>0</v>
      </c>
      <c r="CO179" s="163">
        <v>0</v>
      </c>
      <c r="CP179" s="163">
        <v>0</v>
      </c>
      <c r="CQ179" s="163">
        <v>0</v>
      </c>
      <c r="CR179" s="163">
        <v>0</v>
      </c>
      <c r="CS179" s="163">
        <v>0</v>
      </c>
      <c r="CT179" s="163">
        <v>0</v>
      </c>
      <c r="CU179" s="163">
        <v>0</v>
      </c>
      <c r="CV179" s="163">
        <v>0</v>
      </c>
      <c r="CW179" s="163">
        <v>0</v>
      </c>
      <c r="CX179" s="163">
        <v>0</v>
      </c>
      <c r="CY179" s="163">
        <v>0</v>
      </c>
      <c r="CZ179" s="163">
        <v>0</v>
      </c>
      <c r="DA179" s="163">
        <v>0</v>
      </c>
      <c r="DB179" s="163">
        <v>0</v>
      </c>
      <c r="DC179" s="163">
        <v>0</v>
      </c>
      <c r="DD179" s="163">
        <v>0</v>
      </c>
      <c r="DE179" s="163">
        <v>0</v>
      </c>
      <c r="DF179" s="163">
        <f>VLOOKUP($C179,'[3]BS ACC'!$C$5:$DH$1006,108,FALSE)</f>
        <v>0</v>
      </c>
      <c r="DG179" s="163">
        <f>VLOOKUP($C179,'[3]BS ACC'!$C$5:$DH$1006,109,FALSE)</f>
        <v>0</v>
      </c>
      <c r="DH179" s="163">
        <f>VLOOKUP($C179,'[3]BS ACC'!$C$5:$DH$1006,110,FALSE)</f>
        <v>0</v>
      </c>
    </row>
    <row r="180" spans="1:112">
      <c r="A180" s="350" t="str">
        <f t="shared" si="2"/>
        <v>2190020</v>
      </c>
      <c r="B180" s="350" t="s">
        <v>1621</v>
      </c>
      <c r="C180" s="335" t="s">
        <v>718</v>
      </c>
      <c r="D180" s="340">
        <v>0</v>
      </c>
      <c r="E180" s="340">
        <v>0</v>
      </c>
      <c r="F180" s="340">
        <v>0</v>
      </c>
      <c r="G180" s="340">
        <v>0</v>
      </c>
      <c r="H180" s="340">
        <v>0</v>
      </c>
      <c r="I180" s="340">
        <v>0</v>
      </c>
      <c r="J180" s="340">
        <v>0</v>
      </c>
      <c r="K180" s="340">
        <v>0</v>
      </c>
      <c r="L180" s="340">
        <v>0</v>
      </c>
      <c r="M180" s="340">
        <v>0</v>
      </c>
      <c r="N180" s="340">
        <v>0</v>
      </c>
      <c r="O180" s="340">
        <v>0</v>
      </c>
      <c r="P180" s="341">
        <v>0</v>
      </c>
      <c r="Q180" s="163">
        <v>0</v>
      </c>
      <c r="R180" s="163">
        <v>0</v>
      </c>
      <c r="S180" s="163">
        <v>0</v>
      </c>
      <c r="T180" s="163">
        <v>0</v>
      </c>
      <c r="U180" s="163">
        <v>0</v>
      </c>
      <c r="V180" s="163">
        <v>0</v>
      </c>
      <c r="W180" s="163">
        <v>0</v>
      </c>
      <c r="X180" s="163">
        <v>0</v>
      </c>
      <c r="Y180" s="163">
        <v>0</v>
      </c>
      <c r="Z180" s="163">
        <v>0</v>
      </c>
      <c r="AA180" s="163">
        <v>0</v>
      </c>
      <c r="AB180" s="163">
        <v>0</v>
      </c>
      <c r="AC180" s="163">
        <v>0</v>
      </c>
      <c r="AD180" s="163">
        <v>0</v>
      </c>
      <c r="AE180" s="163">
        <v>0</v>
      </c>
      <c r="AF180" s="163">
        <v>0</v>
      </c>
      <c r="AG180" s="163">
        <v>0</v>
      </c>
      <c r="AH180" s="163">
        <v>0</v>
      </c>
      <c r="AI180" s="163">
        <v>0</v>
      </c>
      <c r="AJ180" s="163">
        <v>0</v>
      </c>
      <c r="AK180" s="163">
        <v>0</v>
      </c>
      <c r="AL180" s="163">
        <v>0</v>
      </c>
      <c r="AM180" s="163">
        <v>0</v>
      </c>
      <c r="AN180" s="163">
        <v>0</v>
      </c>
      <c r="AO180" s="163">
        <v>0</v>
      </c>
      <c r="AP180" s="163">
        <v>0</v>
      </c>
      <c r="AQ180" s="163">
        <v>0</v>
      </c>
      <c r="AR180" s="163">
        <v>0</v>
      </c>
      <c r="AS180" s="163">
        <v>0</v>
      </c>
      <c r="AT180" s="163">
        <v>0</v>
      </c>
      <c r="AU180" s="163">
        <v>0</v>
      </c>
      <c r="AV180" s="163">
        <v>0</v>
      </c>
      <c r="AW180" s="163">
        <v>0</v>
      </c>
      <c r="AX180" s="163">
        <v>0</v>
      </c>
      <c r="AY180" s="163">
        <v>0</v>
      </c>
      <c r="AZ180" s="163">
        <v>0</v>
      </c>
      <c r="BA180" s="163">
        <v>0</v>
      </c>
      <c r="BB180" s="163">
        <v>0</v>
      </c>
      <c r="BC180" s="163">
        <v>0</v>
      </c>
      <c r="BD180" s="163">
        <v>0</v>
      </c>
      <c r="BE180" s="163">
        <v>0</v>
      </c>
      <c r="BF180" s="163">
        <v>0</v>
      </c>
      <c r="BG180" s="163">
        <v>0</v>
      </c>
      <c r="BH180" s="163">
        <v>0</v>
      </c>
      <c r="BI180" s="163">
        <v>0</v>
      </c>
      <c r="BJ180" s="163">
        <v>0</v>
      </c>
      <c r="BK180" s="163">
        <v>0</v>
      </c>
      <c r="BL180" s="163">
        <v>0</v>
      </c>
      <c r="BM180" s="163">
        <v>0</v>
      </c>
      <c r="BN180" s="163">
        <v>0</v>
      </c>
      <c r="BO180" s="163">
        <v>0</v>
      </c>
      <c r="BP180" s="163">
        <v>0</v>
      </c>
      <c r="BQ180" s="163">
        <v>0</v>
      </c>
      <c r="BR180" s="163">
        <v>0</v>
      </c>
      <c r="BS180" s="163">
        <v>0</v>
      </c>
      <c r="BT180" s="163">
        <v>0</v>
      </c>
      <c r="BU180" s="163">
        <v>0</v>
      </c>
      <c r="BV180" s="163">
        <v>0</v>
      </c>
      <c r="BW180" s="163">
        <v>0</v>
      </c>
      <c r="BX180" s="163">
        <v>0</v>
      </c>
      <c r="BY180" s="163">
        <v>0</v>
      </c>
      <c r="BZ180" s="163">
        <v>0</v>
      </c>
      <c r="CA180" s="163">
        <v>0</v>
      </c>
      <c r="CB180" s="163">
        <v>0</v>
      </c>
      <c r="CC180" s="163">
        <v>0</v>
      </c>
      <c r="CD180" s="163">
        <v>0</v>
      </c>
      <c r="CE180" s="163">
        <v>0</v>
      </c>
      <c r="CF180" s="163">
        <v>0</v>
      </c>
      <c r="CG180" s="163">
        <v>0</v>
      </c>
      <c r="CH180" s="163">
        <v>0</v>
      </c>
      <c r="CI180" s="163">
        <v>0</v>
      </c>
      <c r="CJ180" s="163">
        <v>0</v>
      </c>
      <c r="CK180" s="163">
        <v>0</v>
      </c>
      <c r="CL180" s="163">
        <v>0</v>
      </c>
      <c r="CM180" s="163">
        <v>0</v>
      </c>
      <c r="CN180" s="163">
        <v>0</v>
      </c>
      <c r="CO180" s="163">
        <v>0</v>
      </c>
      <c r="CP180" s="163">
        <v>0</v>
      </c>
      <c r="CQ180" s="163">
        <v>0</v>
      </c>
      <c r="CR180" s="163">
        <v>0</v>
      </c>
      <c r="CS180" s="163">
        <v>0</v>
      </c>
      <c r="CT180" s="163">
        <v>0</v>
      </c>
      <c r="CU180" s="163">
        <v>0</v>
      </c>
      <c r="CV180" s="163">
        <v>0</v>
      </c>
      <c r="CW180" s="163">
        <v>0</v>
      </c>
      <c r="CX180" s="163">
        <v>0</v>
      </c>
      <c r="CY180" s="163">
        <v>0</v>
      </c>
      <c r="CZ180" s="163">
        <v>0</v>
      </c>
      <c r="DA180" s="163">
        <v>0</v>
      </c>
      <c r="DB180" s="163">
        <v>0</v>
      </c>
      <c r="DC180" s="163">
        <v>0</v>
      </c>
      <c r="DD180" s="163">
        <v>0</v>
      </c>
      <c r="DE180" s="163">
        <v>0</v>
      </c>
      <c r="DF180" s="163">
        <f>VLOOKUP($C180,'[3]BS ACC'!$C$5:$DH$1006,108,FALSE)</f>
        <v>0</v>
      </c>
      <c r="DG180" s="163">
        <f>VLOOKUP($C180,'[3]BS ACC'!$C$5:$DH$1006,109,FALSE)</f>
        <v>0</v>
      </c>
      <c r="DH180" s="163">
        <f>VLOOKUP($C180,'[3]BS ACC'!$C$5:$DH$1006,110,FALSE)</f>
        <v>0</v>
      </c>
    </row>
    <row r="181" spans="1:112">
      <c r="A181" s="350" t="str">
        <f t="shared" si="2"/>
        <v>2190030</v>
      </c>
      <c r="B181" s="350" t="s">
        <v>1622</v>
      </c>
      <c r="C181" s="335" t="s">
        <v>719</v>
      </c>
      <c r="D181" s="340">
        <v>0</v>
      </c>
      <c r="E181" s="340">
        <v>0</v>
      </c>
      <c r="F181" s="340">
        <v>0</v>
      </c>
      <c r="G181" s="340">
        <v>0</v>
      </c>
      <c r="H181" s="340">
        <v>0</v>
      </c>
      <c r="I181" s="340">
        <v>0</v>
      </c>
      <c r="J181" s="340">
        <v>0</v>
      </c>
      <c r="K181" s="340">
        <v>0</v>
      </c>
      <c r="L181" s="340">
        <v>0</v>
      </c>
      <c r="M181" s="340">
        <v>0</v>
      </c>
      <c r="N181" s="340">
        <v>0</v>
      </c>
      <c r="O181" s="340">
        <v>0</v>
      </c>
      <c r="P181" s="341">
        <v>0</v>
      </c>
      <c r="Q181" s="163">
        <v>0</v>
      </c>
      <c r="R181" s="163">
        <v>0</v>
      </c>
      <c r="S181" s="163">
        <v>0</v>
      </c>
      <c r="T181" s="163">
        <v>0</v>
      </c>
      <c r="U181" s="163">
        <v>0</v>
      </c>
      <c r="V181" s="163">
        <v>0</v>
      </c>
      <c r="W181" s="163">
        <v>0</v>
      </c>
      <c r="X181" s="163">
        <v>0</v>
      </c>
      <c r="Y181" s="163">
        <v>0</v>
      </c>
      <c r="Z181" s="163">
        <v>0</v>
      </c>
      <c r="AA181" s="163">
        <v>0</v>
      </c>
      <c r="AB181" s="163">
        <v>0</v>
      </c>
      <c r="AC181" s="163">
        <v>0</v>
      </c>
      <c r="AD181" s="163">
        <v>0</v>
      </c>
      <c r="AE181" s="163">
        <v>0</v>
      </c>
      <c r="AF181" s="163">
        <v>0</v>
      </c>
      <c r="AG181" s="163">
        <v>0</v>
      </c>
      <c r="AH181" s="163">
        <v>0</v>
      </c>
      <c r="AI181" s="163">
        <v>0</v>
      </c>
      <c r="AJ181" s="163">
        <v>0</v>
      </c>
      <c r="AK181" s="163">
        <v>0</v>
      </c>
      <c r="AL181" s="163">
        <v>0</v>
      </c>
      <c r="AM181" s="163">
        <v>0</v>
      </c>
      <c r="AN181" s="163">
        <v>0</v>
      </c>
      <c r="AO181" s="163">
        <v>0</v>
      </c>
      <c r="AP181" s="163">
        <v>0</v>
      </c>
      <c r="AQ181" s="163">
        <v>0</v>
      </c>
      <c r="AR181" s="163">
        <v>0</v>
      </c>
      <c r="AS181" s="163">
        <v>0</v>
      </c>
      <c r="AT181" s="163">
        <v>0</v>
      </c>
      <c r="AU181" s="163">
        <v>0</v>
      </c>
      <c r="AV181" s="163">
        <v>0</v>
      </c>
      <c r="AW181" s="163">
        <v>0</v>
      </c>
      <c r="AX181" s="163">
        <v>0</v>
      </c>
      <c r="AY181" s="163">
        <v>0</v>
      </c>
      <c r="AZ181" s="163">
        <v>0</v>
      </c>
      <c r="BA181" s="163">
        <v>0</v>
      </c>
      <c r="BB181" s="163">
        <v>0</v>
      </c>
      <c r="BC181" s="163">
        <v>0</v>
      </c>
      <c r="BD181" s="163">
        <v>0</v>
      </c>
      <c r="BE181" s="163">
        <v>0</v>
      </c>
      <c r="BF181" s="163">
        <v>0</v>
      </c>
      <c r="BG181" s="163">
        <v>0</v>
      </c>
      <c r="BH181" s="163">
        <v>0</v>
      </c>
      <c r="BI181" s="163">
        <v>0</v>
      </c>
      <c r="BJ181" s="163">
        <v>0</v>
      </c>
      <c r="BK181" s="163">
        <v>0</v>
      </c>
      <c r="BL181" s="163">
        <v>0</v>
      </c>
      <c r="BM181" s="163">
        <v>0</v>
      </c>
      <c r="BN181" s="163">
        <v>0</v>
      </c>
      <c r="BO181" s="163">
        <v>0</v>
      </c>
      <c r="BP181" s="163">
        <v>0</v>
      </c>
      <c r="BQ181" s="163">
        <v>0</v>
      </c>
      <c r="BR181" s="163">
        <v>0</v>
      </c>
      <c r="BS181" s="163">
        <v>0</v>
      </c>
      <c r="BT181" s="163">
        <v>0</v>
      </c>
      <c r="BU181" s="163">
        <v>0</v>
      </c>
      <c r="BV181" s="163">
        <v>0</v>
      </c>
      <c r="BW181" s="163">
        <v>0</v>
      </c>
      <c r="BX181" s="163">
        <v>0</v>
      </c>
      <c r="BY181" s="163">
        <v>0</v>
      </c>
      <c r="BZ181" s="163">
        <v>0</v>
      </c>
      <c r="CA181" s="163">
        <v>0</v>
      </c>
      <c r="CB181" s="163">
        <v>0</v>
      </c>
      <c r="CC181" s="163">
        <v>0</v>
      </c>
      <c r="CD181" s="163">
        <v>0</v>
      </c>
      <c r="CE181" s="163">
        <v>0</v>
      </c>
      <c r="CF181" s="163">
        <v>0</v>
      </c>
      <c r="CG181" s="163">
        <v>0</v>
      </c>
      <c r="CH181" s="163">
        <v>0</v>
      </c>
      <c r="CI181" s="163">
        <v>0</v>
      </c>
      <c r="CJ181" s="163">
        <v>0</v>
      </c>
      <c r="CK181" s="163">
        <v>0</v>
      </c>
      <c r="CL181" s="163">
        <v>0</v>
      </c>
      <c r="CM181" s="163">
        <v>0</v>
      </c>
      <c r="CN181" s="163">
        <v>0</v>
      </c>
      <c r="CO181" s="163">
        <v>0</v>
      </c>
      <c r="CP181" s="163">
        <v>0</v>
      </c>
      <c r="CQ181" s="163">
        <v>0</v>
      </c>
      <c r="CR181" s="163">
        <v>0</v>
      </c>
      <c r="CS181" s="163">
        <v>0</v>
      </c>
      <c r="CT181" s="163">
        <v>0</v>
      </c>
      <c r="CU181" s="163">
        <v>0</v>
      </c>
      <c r="CV181" s="163">
        <v>0</v>
      </c>
      <c r="CW181" s="163">
        <v>0</v>
      </c>
      <c r="CX181" s="163">
        <v>0</v>
      </c>
      <c r="CY181" s="163">
        <v>0</v>
      </c>
      <c r="CZ181" s="163">
        <v>0</v>
      </c>
      <c r="DA181" s="163">
        <v>0</v>
      </c>
      <c r="DB181" s="163">
        <v>0</v>
      </c>
      <c r="DC181" s="163">
        <v>0</v>
      </c>
      <c r="DD181" s="163">
        <v>0</v>
      </c>
      <c r="DE181" s="163">
        <v>0</v>
      </c>
      <c r="DF181" s="163">
        <f>VLOOKUP($C181,'[3]BS ACC'!$C$5:$DH$1006,108,FALSE)</f>
        <v>0</v>
      </c>
      <c r="DG181" s="163">
        <f>VLOOKUP($C181,'[3]BS ACC'!$C$5:$DH$1006,109,FALSE)</f>
        <v>0</v>
      </c>
      <c r="DH181" s="163">
        <f>VLOOKUP($C181,'[3]BS ACC'!$C$5:$DH$1006,110,FALSE)</f>
        <v>0</v>
      </c>
    </row>
    <row r="182" spans="1:112">
      <c r="A182" s="350" t="str">
        <f t="shared" si="2"/>
        <v>2190031</v>
      </c>
      <c r="B182" s="350" t="s">
        <v>1623</v>
      </c>
      <c r="C182" s="335" t="s">
        <v>720</v>
      </c>
      <c r="D182" s="340">
        <v>0</v>
      </c>
      <c r="E182" s="340">
        <v>0</v>
      </c>
      <c r="F182" s="340">
        <v>0</v>
      </c>
      <c r="G182" s="340">
        <v>0</v>
      </c>
      <c r="H182" s="340">
        <v>0</v>
      </c>
      <c r="I182" s="340">
        <v>0</v>
      </c>
      <c r="J182" s="340">
        <v>0</v>
      </c>
      <c r="K182" s="340">
        <v>0</v>
      </c>
      <c r="L182" s="340">
        <v>0</v>
      </c>
      <c r="M182" s="340">
        <v>0</v>
      </c>
      <c r="N182" s="340">
        <v>0</v>
      </c>
      <c r="O182" s="340">
        <v>0</v>
      </c>
      <c r="P182" s="341">
        <v>0</v>
      </c>
      <c r="Q182" s="163">
        <v>0</v>
      </c>
      <c r="R182" s="163">
        <v>0</v>
      </c>
      <c r="S182" s="163">
        <v>0</v>
      </c>
      <c r="T182" s="163">
        <v>0</v>
      </c>
      <c r="U182" s="163">
        <v>0</v>
      </c>
      <c r="V182" s="163">
        <v>0</v>
      </c>
      <c r="W182" s="163">
        <v>0</v>
      </c>
      <c r="X182" s="163">
        <v>0</v>
      </c>
      <c r="Y182" s="163">
        <v>0</v>
      </c>
      <c r="Z182" s="163">
        <v>0</v>
      </c>
      <c r="AA182" s="163">
        <v>0</v>
      </c>
      <c r="AB182" s="163">
        <v>0</v>
      </c>
      <c r="AC182" s="163">
        <v>0</v>
      </c>
      <c r="AD182" s="163">
        <v>0</v>
      </c>
      <c r="AE182" s="163">
        <v>0</v>
      </c>
      <c r="AF182" s="163">
        <v>0</v>
      </c>
      <c r="AG182" s="163">
        <v>0</v>
      </c>
      <c r="AH182" s="163">
        <v>0</v>
      </c>
      <c r="AI182" s="163">
        <v>0</v>
      </c>
      <c r="AJ182" s="163">
        <v>0</v>
      </c>
      <c r="AK182" s="163">
        <v>0</v>
      </c>
      <c r="AL182" s="163">
        <v>0</v>
      </c>
      <c r="AM182" s="163">
        <v>0</v>
      </c>
      <c r="AN182" s="163">
        <v>0</v>
      </c>
      <c r="AO182" s="163">
        <v>0</v>
      </c>
      <c r="AP182" s="163">
        <v>0</v>
      </c>
      <c r="AQ182" s="163">
        <v>0</v>
      </c>
      <c r="AR182" s="163">
        <v>0</v>
      </c>
      <c r="AS182" s="163">
        <v>0</v>
      </c>
      <c r="AT182" s="163">
        <v>0</v>
      </c>
      <c r="AU182" s="163">
        <v>0</v>
      </c>
      <c r="AV182" s="163">
        <v>0</v>
      </c>
      <c r="AW182" s="163">
        <v>0</v>
      </c>
      <c r="AX182" s="163">
        <v>0</v>
      </c>
      <c r="AY182" s="163">
        <v>0</v>
      </c>
      <c r="AZ182" s="163">
        <v>0</v>
      </c>
      <c r="BA182" s="163">
        <v>0</v>
      </c>
      <c r="BB182" s="163">
        <v>0</v>
      </c>
      <c r="BC182" s="163">
        <v>0</v>
      </c>
      <c r="BD182" s="163">
        <v>0</v>
      </c>
      <c r="BE182" s="163">
        <v>0</v>
      </c>
      <c r="BF182" s="163">
        <v>0</v>
      </c>
      <c r="BG182" s="163">
        <v>0</v>
      </c>
      <c r="BH182" s="163">
        <v>0</v>
      </c>
      <c r="BI182" s="163">
        <v>0</v>
      </c>
      <c r="BJ182" s="163">
        <v>0</v>
      </c>
      <c r="BK182" s="163">
        <v>0</v>
      </c>
      <c r="BL182" s="163">
        <v>0</v>
      </c>
      <c r="BM182" s="163">
        <v>0</v>
      </c>
      <c r="BN182" s="163">
        <v>0</v>
      </c>
      <c r="BO182" s="163">
        <v>0</v>
      </c>
      <c r="BP182" s="163">
        <v>0</v>
      </c>
      <c r="BQ182" s="163">
        <v>0</v>
      </c>
      <c r="BR182" s="163">
        <v>0</v>
      </c>
      <c r="BS182" s="163">
        <v>0</v>
      </c>
      <c r="BT182" s="163">
        <v>0</v>
      </c>
      <c r="BU182" s="163">
        <v>0</v>
      </c>
      <c r="BV182" s="163">
        <v>0</v>
      </c>
      <c r="BW182" s="163">
        <v>0</v>
      </c>
      <c r="BX182" s="163">
        <v>0</v>
      </c>
      <c r="BY182" s="163">
        <v>0</v>
      </c>
      <c r="BZ182" s="163">
        <v>0</v>
      </c>
      <c r="CA182" s="163">
        <v>0</v>
      </c>
      <c r="CB182" s="163">
        <v>0</v>
      </c>
      <c r="CC182" s="163">
        <v>0</v>
      </c>
      <c r="CD182" s="163">
        <v>0</v>
      </c>
      <c r="CE182" s="163">
        <v>0</v>
      </c>
      <c r="CF182" s="163">
        <v>0</v>
      </c>
      <c r="CG182" s="163">
        <v>0</v>
      </c>
      <c r="CH182" s="163">
        <v>0</v>
      </c>
      <c r="CI182" s="163">
        <v>0</v>
      </c>
      <c r="CJ182" s="163">
        <v>0</v>
      </c>
      <c r="CK182" s="163">
        <v>0</v>
      </c>
      <c r="CL182" s="163">
        <v>0</v>
      </c>
      <c r="CM182" s="163">
        <v>0</v>
      </c>
      <c r="CN182" s="163">
        <v>0</v>
      </c>
      <c r="CO182" s="163">
        <v>0</v>
      </c>
      <c r="CP182" s="163">
        <v>0</v>
      </c>
      <c r="CQ182" s="163">
        <v>0</v>
      </c>
      <c r="CR182" s="163">
        <v>0</v>
      </c>
      <c r="CS182" s="163">
        <v>0</v>
      </c>
      <c r="CT182" s="163">
        <v>0</v>
      </c>
      <c r="CU182" s="163">
        <v>0</v>
      </c>
      <c r="CV182" s="163">
        <v>0</v>
      </c>
      <c r="CW182" s="163">
        <v>0</v>
      </c>
      <c r="CX182" s="163">
        <v>0</v>
      </c>
      <c r="CY182" s="163">
        <v>0</v>
      </c>
      <c r="CZ182" s="163">
        <v>0</v>
      </c>
      <c r="DA182" s="163">
        <v>0</v>
      </c>
      <c r="DB182" s="163">
        <v>0</v>
      </c>
      <c r="DC182" s="163">
        <v>0</v>
      </c>
      <c r="DD182" s="163">
        <v>0</v>
      </c>
      <c r="DE182" s="163">
        <v>0</v>
      </c>
      <c r="DF182" s="163">
        <f>VLOOKUP($C182,'[3]BS ACC'!$C$5:$DH$1006,108,FALSE)</f>
        <v>0</v>
      </c>
      <c r="DG182" s="163">
        <f>VLOOKUP($C182,'[3]BS ACC'!$C$5:$DH$1006,109,FALSE)</f>
        <v>0</v>
      </c>
      <c r="DH182" s="163">
        <f>VLOOKUP($C182,'[3]BS ACC'!$C$5:$DH$1006,110,FALSE)</f>
        <v>0</v>
      </c>
    </row>
    <row r="183" spans="1:112">
      <c r="A183" s="350" t="str">
        <f t="shared" si="2"/>
        <v>2190040</v>
      </c>
      <c r="B183" s="350" t="s">
        <v>1369</v>
      </c>
      <c r="C183" s="335" t="s">
        <v>721</v>
      </c>
      <c r="D183" s="340">
        <v>2978184.09</v>
      </c>
      <c r="E183" s="340">
        <v>2941702.14</v>
      </c>
      <c r="F183" s="340">
        <v>2905220.19</v>
      </c>
      <c r="G183" s="340">
        <v>2868738.24</v>
      </c>
      <c r="H183" s="340">
        <v>2829872.61</v>
      </c>
      <c r="I183" s="340">
        <v>2806115.56</v>
      </c>
      <c r="J183" s="340">
        <v>2769604.84</v>
      </c>
      <c r="K183" s="340">
        <v>2733094.12</v>
      </c>
      <c r="L183" s="340">
        <v>2696583.4</v>
      </c>
      <c r="M183" s="340">
        <v>2660072.6800000002</v>
      </c>
      <c r="N183" s="340">
        <v>2623561.96</v>
      </c>
      <c r="O183" s="340">
        <v>2587051.2400000002</v>
      </c>
      <c r="P183" s="341">
        <v>2550540.52</v>
      </c>
      <c r="Q183" s="163">
        <v>2514029.7999999998</v>
      </c>
      <c r="R183" s="163">
        <v>2477519.08</v>
      </c>
      <c r="S183" s="163">
        <v>2413484.44</v>
      </c>
      <c r="T183" s="163">
        <v>2216709.7200000002</v>
      </c>
      <c r="U183" s="163">
        <v>2020946.92</v>
      </c>
      <c r="V183" s="163">
        <v>1985400.2</v>
      </c>
      <c r="W183" s="163">
        <v>1949853.48</v>
      </c>
      <c r="X183" s="163">
        <v>1914306.76</v>
      </c>
      <c r="Y183" s="163">
        <v>1878760.04</v>
      </c>
      <c r="Z183" s="163">
        <v>1843213.32</v>
      </c>
      <c r="AA183" s="163">
        <v>1807666.6</v>
      </c>
      <c r="AB183" s="163">
        <v>1772119.88</v>
      </c>
      <c r="AC183" s="163">
        <v>1736573.16</v>
      </c>
      <c r="AD183" s="163">
        <v>1701026.44</v>
      </c>
      <c r="AE183" s="163">
        <v>1665479.72</v>
      </c>
      <c r="AF183" s="163">
        <v>1629933</v>
      </c>
      <c r="AG183" s="163">
        <v>1594386.28</v>
      </c>
      <c r="AH183" s="163">
        <v>1558839.56</v>
      </c>
      <c r="AI183" s="163">
        <v>1523292.84</v>
      </c>
      <c r="AJ183" s="163">
        <v>1487746.12</v>
      </c>
      <c r="AK183" s="163">
        <v>1452199.4</v>
      </c>
      <c r="AL183" s="163">
        <v>1416652.68</v>
      </c>
      <c r="AM183" s="163">
        <v>1381105.96</v>
      </c>
      <c r="AN183" s="163">
        <v>1345559.24</v>
      </c>
      <c r="AO183" s="163">
        <v>1310012.52</v>
      </c>
      <c r="AP183" s="163">
        <v>1274465.8</v>
      </c>
      <c r="AQ183" s="163">
        <v>1238919.08</v>
      </c>
      <c r="AR183" s="163">
        <v>1203372.3600000001</v>
      </c>
      <c r="AS183" s="163">
        <v>1167825.6399999999</v>
      </c>
      <c r="AT183" s="163">
        <v>1132278.92</v>
      </c>
      <c r="AU183" s="163">
        <v>1096732.2</v>
      </c>
      <c r="AV183" s="163">
        <v>1061185.48</v>
      </c>
      <c r="AW183" s="163">
        <v>1025638.76</v>
      </c>
      <c r="AX183" s="163">
        <v>990092.04</v>
      </c>
      <c r="AY183" s="163">
        <v>954545.32</v>
      </c>
      <c r="AZ183" s="163">
        <v>918998.6</v>
      </c>
      <c r="BA183" s="163">
        <v>883451.88</v>
      </c>
      <c r="BB183" s="163">
        <v>847905.16</v>
      </c>
      <c r="BC183" s="163">
        <v>812358.44</v>
      </c>
      <c r="BD183" s="163">
        <v>776811.72</v>
      </c>
      <c r="BE183" s="163">
        <v>757664.02</v>
      </c>
      <c r="BF183" s="163">
        <v>754915.08</v>
      </c>
      <c r="BG183" s="163">
        <v>752166.14</v>
      </c>
      <c r="BH183" s="163">
        <v>749417.2</v>
      </c>
      <c r="BI183" s="163">
        <v>746668.26</v>
      </c>
      <c r="BJ183" s="163">
        <v>743919.32</v>
      </c>
      <c r="BK183" s="163">
        <v>741170.38</v>
      </c>
      <c r="BL183" s="163">
        <v>738421.44</v>
      </c>
      <c r="BM183" s="163">
        <v>735672.5</v>
      </c>
      <c r="BN183" s="163">
        <v>732923.56</v>
      </c>
      <c r="BO183" s="163">
        <v>730174.62</v>
      </c>
      <c r="BP183" s="163">
        <v>727425.68</v>
      </c>
      <c r="BQ183" s="163">
        <v>724676.74</v>
      </c>
      <c r="BR183" s="163">
        <v>721927.8</v>
      </c>
      <c r="BS183" s="163">
        <v>719178.86</v>
      </c>
      <c r="BT183" s="163">
        <v>716429.92</v>
      </c>
      <c r="BU183" s="163">
        <v>713680.98</v>
      </c>
      <c r="BV183" s="163">
        <v>710932.04</v>
      </c>
      <c r="BW183" s="163">
        <v>708183.1</v>
      </c>
      <c r="BX183" s="163">
        <v>705434.16</v>
      </c>
      <c r="BY183" s="163">
        <v>702685.22</v>
      </c>
      <c r="BZ183" s="163">
        <v>699936.28</v>
      </c>
      <c r="CA183" s="163">
        <v>697187.34</v>
      </c>
      <c r="CB183" s="163">
        <v>694438.40000000002</v>
      </c>
      <c r="CC183" s="163">
        <v>691689.46</v>
      </c>
      <c r="CD183" s="163">
        <v>688940.52</v>
      </c>
      <c r="CE183" s="163">
        <v>686191.58</v>
      </c>
      <c r="CF183" s="163">
        <v>683442.64</v>
      </c>
      <c r="CG183" s="163">
        <v>680693.7</v>
      </c>
      <c r="CH183" s="163">
        <v>677944.76</v>
      </c>
      <c r="CI183" s="163">
        <v>675195.82</v>
      </c>
      <c r="CJ183" s="163">
        <v>672446.88</v>
      </c>
      <c r="CK183" s="163">
        <v>669697.93999999994</v>
      </c>
      <c r="CL183" s="163">
        <v>666949</v>
      </c>
      <c r="CM183" s="163">
        <v>664200.06000000006</v>
      </c>
      <c r="CN183" s="163">
        <v>661438.32999999996</v>
      </c>
      <c r="CO183" s="163">
        <v>658689.39</v>
      </c>
      <c r="CP183" s="163">
        <v>655940.44999999995</v>
      </c>
      <c r="CQ183" s="163">
        <v>653191.51</v>
      </c>
      <c r="CR183" s="163">
        <v>650442.56999999995</v>
      </c>
      <c r="CS183" s="163">
        <v>647693.63</v>
      </c>
      <c r="CT183" s="163">
        <v>644944.68999999994</v>
      </c>
      <c r="CU183" s="163">
        <v>642195.75</v>
      </c>
      <c r="CV183" s="163">
        <v>639446.81000000006</v>
      </c>
      <c r="CW183" s="163">
        <v>636697.87</v>
      </c>
      <c r="CX183" s="163">
        <v>633948.93000000005</v>
      </c>
      <c r="CY183" s="163">
        <v>631199.99</v>
      </c>
      <c r="CZ183" s="163">
        <v>628451.05000000005</v>
      </c>
      <c r="DA183" s="163">
        <v>625702.11</v>
      </c>
      <c r="DB183" s="163">
        <v>622953.17000000004</v>
      </c>
      <c r="DC183" s="163">
        <v>620204.23</v>
      </c>
      <c r="DD183" s="163">
        <v>617455.29</v>
      </c>
      <c r="DE183" s="163">
        <v>614706.35</v>
      </c>
      <c r="DF183" s="163">
        <f>VLOOKUP($C183,'[3]BS ACC'!$C$5:$DH$1006,108,FALSE)</f>
        <v>611957.41</v>
      </c>
      <c r="DG183" s="163">
        <f>VLOOKUP($C183,'[3]BS ACC'!$C$5:$DH$1006,109,FALSE)</f>
        <v>609208.47</v>
      </c>
      <c r="DH183" s="163">
        <f>VLOOKUP($C183,'[3]BS ACC'!$C$5:$DH$1006,110,FALSE)</f>
        <v>606459.53</v>
      </c>
    </row>
    <row r="184" spans="1:112">
      <c r="A184" s="350" t="str">
        <f t="shared" si="2"/>
        <v>2190041</v>
      </c>
      <c r="B184" s="350" t="s">
        <v>1370</v>
      </c>
      <c r="C184" s="335" t="s">
        <v>722</v>
      </c>
      <c r="D184" s="340">
        <v>-1148834.5900000001</v>
      </c>
      <c r="E184" s="340">
        <v>-1134761.68</v>
      </c>
      <c r="F184" s="340">
        <v>-1120688.77</v>
      </c>
      <c r="G184" s="340">
        <v>-1106615.8500000001</v>
      </c>
      <c r="H184" s="340">
        <v>-1091623.43</v>
      </c>
      <c r="I184" s="340">
        <v>-1082459.17</v>
      </c>
      <c r="J184" s="340">
        <v>-1068375.1499999999</v>
      </c>
      <c r="K184" s="340">
        <v>-1054291.1399999999</v>
      </c>
      <c r="L184" s="340">
        <v>-1040207.13</v>
      </c>
      <c r="M184" s="340">
        <v>-1026123.12</v>
      </c>
      <c r="N184" s="340">
        <v>-1012039.11</v>
      </c>
      <c r="O184" s="340">
        <v>-997955.09</v>
      </c>
      <c r="P184" s="341">
        <v>-983871.08</v>
      </c>
      <c r="Q184" s="163">
        <v>-969787.08</v>
      </c>
      <c r="R184" s="163">
        <v>-955703.07</v>
      </c>
      <c r="S184" s="163">
        <v>-931001.69</v>
      </c>
      <c r="T184" s="163">
        <v>-855095.85</v>
      </c>
      <c r="U184" s="163">
        <v>-779580.35</v>
      </c>
      <c r="V184" s="163">
        <v>-765868.21</v>
      </c>
      <c r="W184" s="163">
        <v>-752156.06</v>
      </c>
      <c r="X184" s="163">
        <v>-738443.91</v>
      </c>
      <c r="Y184" s="163">
        <v>-724731.76</v>
      </c>
      <c r="Z184" s="163">
        <v>-711019.61</v>
      </c>
      <c r="AA184" s="163">
        <v>-697307.47</v>
      </c>
      <c r="AB184" s="163">
        <v>-683595.32</v>
      </c>
      <c r="AC184" s="163">
        <v>-669883.18000000005</v>
      </c>
      <c r="AD184" s="163">
        <v>-656171.02</v>
      </c>
      <c r="AE184" s="163">
        <v>-642458.88</v>
      </c>
      <c r="AF184" s="163">
        <v>-628746.74</v>
      </c>
      <c r="AG184" s="163">
        <v>-615034.59</v>
      </c>
      <c r="AH184" s="163">
        <v>-601322.44999999995</v>
      </c>
      <c r="AI184" s="163">
        <v>-587610.29</v>
      </c>
      <c r="AJ184" s="163">
        <v>-573898.15</v>
      </c>
      <c r="AK184" s="163">
        <v>-560186</v>
      </c>
      <c r="AL184" s="163">
        <v>-546473.86</v>
      </c>
      <c r="AM184" s="163">
        <v>-532761.71</v>
      </c>
      <c r="AN184" s="163">
        <v>-519049.55</v>
      </c>
      <c r="AO184" s="163">
        <v>-505337.41</v>
      </c>
      <c r="AP184" s="163">
        <v>-491625.26</v>
      </c>
      <c r="AQ184" s="163">
        <v>-477913.12</v>
      </c>
      <c r="AR184" s="163">
        <v>-464200.97</v>
      </c>
      <c r="AS184" s="163">
        <v>-450488.82</v>
      </c>
      <c r="AT184" s="163">
        <v>-436776.67</v>
      </c>
      <c r="AU184" s="163">
        <v>-423064.53</v>
      </c>
      <c r="AV184" s="163">
        <v>-409352.38</v>
      </c>
      <c r="AW184" s="163">
        <v>-395640.23</v>
      </c>
      <c r="AX184" s="163">
        <v>-381928.08</v>
      </c>
      <c r="AY184" s="163">
        <v>-368215.93</v>
      </c>
      <c r="AZ184" s="163">
        <v>-410937.76</v>
      </c>
      <c r="BA184" s="163">
        <v>-401928.44</v>
      </c>
      <c r="BB184" s="163">
        <v>-392919.13</v>
      </c>
      <c r="BC184" s="163">
        <v>-383909.81</v>
      </c>
      <c r="BD184" s="163">
        <v>-374900.5</v>
      </c>
      <c r="BE184" s="163">
        <v>-370047.51</v>
      </c>
      <c r="BF184" s="163">
        <v>-369350.79</v>
      </c>
      <c r="BG184" s="163">
        <v>-368654.06</v>
      </c>
      <c r="BH184" s="163">
        <v>-367957.36</v>
      </c>
      <c r="BI184" s="163">
        <v>-367260.64</v>
      </c>
      <c r="BJ184" s="163">
        <v>-366563.92</v>
      </c>
      <c r="BK184" s="163">
        <v>-365867.2</v>
      </c>
      <c r="BL184" s="163">
        <v>-365170.49</v>
      </c>
      <c r="BM184" s="163">
        <v>-364473.77</v>
      </c>
      <c r="BN184" s="163">
        <v>-363777.06</v>
      </c>
      <c r="BO184" s="163">
        <v>-363080.33</v>
      </c>
      <c r="BP184" s="163">
        <v>-362383.61</v>
      </c>
      <c r="BQ184" s="163">
        <v>-361686.89</v>
      </c>
      <c r="BR184" s="163">
        <v>-360990.18</v>
      </c>
      <c r="BS184" s="163">
        <v>-360293.46</v>
      </c>
      <c r="BT184" s="163">
        <v>-359596.74</v>
      </c>
      <c r="BU184" s="163">
        <v>-358900.01</v>
      </c>
      <c r="BV184" s="163">
        <v>-358203.3</v>
      </c>
      <c r="BW184" s="163">
        <v>-357506.58</v>
      </c>
      <c r="BX184" s="163">
        <v>-356809.86</v>
      </c>
      <c r="BY184" s="163">
        <v>-356113.14</v>
      </c>
      <c r="BZ184" s="163">
        <v>-355416.43</v>
      </c>
      <c r="CA184" s="163">
        <v>-354719.7</v>
      </c>
      <c r="CB184" s="163">
        <v>-354022.98</v>
      </c>
      <c r="CC184" s="163">
        <v>-353326.26</v>
      </c>
      <c r="CD184" s="163">
        <v>-352629.55</v>
      </c>
      <c r="CE184" s="163">
        <v>-351932.83</v>
      </c>
      <c r="CF184" s="163">
        <v>-351236.11</v>
      </c>
      <c r="CG184" s="163">
        <v>-350539.38</v>
      </c>
      <c r="CH184" s="163">
        <v>-349842.67</v>
      </c>
      <c r="CI184" s="163">
        <v>-349145.95</v>
      </c>
      <c r="CJ184" s="163">
        <v>-348449.23</v>
      </c>
      <c r="CK184" s="163">
        <v>-347752.51</v>
      </c>
      <c r="CL184" s="163">
        <v>-347055.8</v>
      </c>
      <c r="CM184" s="163">
        <v>-346359.07</v>
      </c>
      <c r="CN184" s="163">
        <v>-345662.35</v>
      </c>
      <c r="CO184" s="163">
        <v>-344965.63</v>
      </c>
      <c r="CP184" s="163">
        <v>-344268.92</v>
      </c>
      <c r="CQ184" s="163">
        <v>-343572.2</v>
      </c>
      <c r="CR184" s="163">
        <v>-342875.48</v>
      </c>
      <c r="CS184" s="163">
        <v>-342178.75</v>
      </c>
      <c r="CT184" s="163">
        <v>-341482.04</v>
      </c>
      <c r="CU184" s="163">
        <v>-340785.32</v>
      </c>
      <c r="CV184" s="163">
        <v>-340088.6</v>
      </c>
      <c r="CW184" s="163">
        <v>-339391.88</v>
      </c>
      <c r="CX184" s="163">
        <v>-338695.17</v>
      </c>
      <c r="CY184" s="163">
        <v>-337998.44</v>
      </c>
      <c r="CZ184" s="163">
        <v>-337301.72</v>
      </c>
      <c r="DA184" s="163">
        <v>-336605</v>
      </c>
      <c r="DB184" s="163">
        <v>-335908.29</v>
      </c>
      <c r="DC184" s="163">
        <v>-335211.57</v>
      </c>
      <c r="DD184" s="163">
        <v>-334514.84999999998</v>
      </c>
      <c r="DE184" s="163">
        <v>-333818.12</v>
      </c>
      <c r="DF184" s="163">
        <f>VLOOKUP($C184,'[3]BS ACC'!$C$5:$DH$1006,108,FALSE)</f>
        <v>-333121.40999999997</v>
      </c>
      <c r="DG184" s="163">
        <f>VLOOKUP($C184,'[3]BS ACC'!$C$5:$DH$1006,109,FALSE)</f>
        <v>-332424.69</v>
      </c>
      <c r="DH184" s="163">
        <f>VLOOKUP($C184,'[3]BS ACC'!$C$5:$DH$1006,110,FALSE)</f>
        <v>-331727.96999999997</v>
      </c>
    </row>
    <row r="185" spans="1:112">
      <c r="A185" s="350" t="str">
        <f t="shared" si="2"/>
        <v>2190050</v>
      </c>
      <c r="B185" s="350" t="s">
        <v>1624</v>
      </c>
      <c r="C185" s="335" t="s">
        <v>1470</v>
      </c>
      <c r="D185" s="340"/>
      <c r="E185" s="340"/>
      <c r="F185" s="340"/>
      <c r="G185" s="340"/>
      <c r="H185" s="340"/>
      <c r="I185" s="340"/>
      <c r="J185" s="340"/>
      <c r="K185" s="340"/>
      <c r="L185" s="340"/>
      <c r="M185" s="340"/>
      <c r="N185" s="340"/>
      <c r="O185" s="340"/>
      <c r="P185" s="341"/>
      <c r="Q185" s="163"/>
      <c r="R185" s="163"/>
      <c r="S185" s="163"/>
      <c r="T185" s="163"/>
      <c r="U185" s="163"/>
      <c r="V185" s="163"/>
      <c r="W185" s="163"/>
      <c r="X185" s="163"/>
      <c r="Y185" s="163"/>
      <c r="Z185" s="163"/>
      <c r="AA185" s="163"/>
      <c r="AB185" s="163"/>
      <c r="AC185" s="163"/>
      <c r="AD185" s="163"/>
      <c r="AE185" s="163"/>
      <c r="AF185" s="163">
        <v>0</v>
      </c>
      <c r="AG185" s="163">
        <v>0</v>
      </c>
      <c r="AH185" s="163">
        <v>0</v>
      </c>
      <c r="AI185" s="163">
        <v>0</v>
      </c>
      <c r="AJ185" s="163">
        <v>0</v>
      </c>
      <c r="AK185" s="163">
        <v>0</v>
      </c>
      <c r="AL185" s="163">
        <v>0</v>
      </c>
      <c r="AM185" s="163">
        <v>0</v>
      </c>
      <c r="AN185" s="163">
        <v>0</v>
      </c>
      <c r="AO185" s="163">
        <v>0</v>
      </c>
      <c r="AP185" s="163">
        <v>0</v>
      </c>
      <c r="AQ185" s="163">
        <v>0</v>
      </c>
      <c r="AR185" s="163">
        <v>0</v>
      </c>
      <c r="AS185" s="163">
        <v>0</v>
      </c>
      <c r="AT185" s="163">
        <v>0</v>
      </c>
      <c r="AU185" s="163">
        <v>0</v>
      </c>
      <c r="AV185" s="163">
        <v>0</v>
      </c>
      <c r="AW185" s="163">
        <v>0</v>
      </c>
      <c r="AX185" s="163">
        <v>0</v>
      </c>
      <c r="AY185" s="163">
        <v>0</v>
      </c>
      <c r="AZ185" s="163">
        <v>0</v>
      </c>
      <c r="BA185" s="163">
        <v>0</v>
      </c>
      <c r="BB185" s="163">
        <v>0</v>
      </c>
      <c r="BC185" s="163">
        <v>0</v>
      </c>
      <c r="BD185" s="163">
        <v>0</v>
      </c>
      <c r="BE185" s="163">
        <v>0</v>
      </c>
      <c r="BF185" s="163">
        <v>0</v>
      </c>
      <c r="BG185" s="163">
        <v>0</v>
      </c>
      <c r="BH185" s="163">
        <v>0</v>
      </c>
      <c r="BI185" s="163">
        <v>0</v>
      </c>
      <c r="BJ185" s="163">
        <v>0</v>
      </c>
      <c r="BK185" s="163">
        <v>0</v>
      </c>
      <c r="BL185" s="163">
        <v>0</v>
      </c>
      <c r="BM185" s="163">
        <v>0</v>
      </c>
      <c r="BN185" s="163">
        <v>0</v>
      </c>
      <c r="BO185" s="163">
        <v>0</v>
      </c>
      <c r="BP185" s="163">
        <v>0</v>
      </c>
      <c r="BQ185" s="163">
        <v>0</v>
      </c>
      <c r="BR185" s="163">
        <v>0</v>
      </c>
      <c r="BS185" s="163">
        <v>0</v>
      </c>
      <c r="BT185" s="163">
        <v>0</v>
      </c>
      <c r="BU185" s="163">
        <v>0</v>
      </c>
      <c r="BV185" s="163">
        <v>0</v>
      </c>
      <c r="BW185" s="163">
        <v>0</v>
      </c>
      <c r="BX185" s="163">
        <v>0</v>
      </c>
      <c r="BY185" s="163">
        <v>0</v>
      </c>
      <c r="BZ185" s="163">
        <v>0</v>
      </c>
      <c r="CA185" s="163">
        <v>0</v>
      </c>
      <c r="CB185" s="163">
        <v>0</v>
      </c>
      <c r="CC185" s="163">
        <v>0</v>
      </c>
      <c r="CD185" s="163">
        <v>0</v>
      </c>
      <c r="CE185" s="163">
        <v>0</v>
      </c>
      <c r="CF185" s="163">
        <v>0</v>
      </c>
      <c r="CG185" s="163">
        <v>0</v>
      </c>
      <c r="CH185" s="163">
        <v>0</v>
      </c>
      <c r="CI185" s="163">
        <v>0</v>
      </c>
      <c r="CJ185" s="163">
        <v>0</v>
      </c>
      <c r="CK185" s="163">
        <v>0</v>
      </c>
      <c r="CL185" s="163">
        <v>0</v>
      </c>
      <c r="CM185" s="163">
        <v>0</v>
      </c>
      <c r="CN185" s="163">
        <v>0</v>
      </c>
      <c r="CO185" s="163">
        <v>0</v>
      </c>
      <c r="CP185" s="163">
        <v>0</v>
      </c>
      <c r="CQ185" s="163">
        <v>0</v>
      </c>
      <c r="CR185" s="163">
        <v>0</v>
      </c>
      <c r="CS185" s="163">
        <v>0</v>
      </c>
      <c r="CT185" s="163">
        <v>0</v>
      </c>
      <c r="CU185" s="163">
        <v>0</v>
      </c>
      <c r="CV185" s="163">
        <v>0</v>
      </c>
      <c r="CW185" s="163">
        <v>0</v>
      </c>
      <c r="CX185" s="163">
        <v>0</v>
      </c>
      <c r="CY185" s="163">
        <v>0</v>
      </c>
      <c r="CZ185" s="163">
        <v>0</v>
      </c>
      <c r="DA185" s="163">
        <v>0</v>
      </c>
      <c r="DB185" s="163">
        <v>0</v>
      </c>
      <c r="DC185" s="163">
        <v>0</v>
      </c>
      <c r="DD185" s="163">
        <v>0</v>
      </c>
      <c r="DE185" s="163">
        <v>0</v>
      </c>
      <c r="DF185" s="163">
        <f>VLOOKUP($C185,'[3]BS ACC'!$C$5:$DH$1006,108,FALSE)</f>
        <v>0</v>
      </c>
      <c r="DG185" s="163">
        <f>VLOOKUP($C185,'[3]BS ACC'!$C$5:$DH$1006,109,FALSE)</f>
        <v>0</v>
      </c>
      <c r="DH185" s="163">
        <f>VLOOKUP($C185,'[3]BS ACC'!$C$5:$DH$1006,110,FALSE)</f>
        <v>0</v>
      </c>
    </row>
    <row r="186" spans="1:112">
      <c r="A186" s="350" t="str">
        <f t="shared" si="2"/>
        <v>2240100</v>
      </c>
      <c r="B186" s="350" t="s">
        <v>1819</v>
      </c>
      <c r="C186" s="335" t="s">
        <v>1820</v>
      </c>
      <c r="D186" s="340"/>
      <c r="E186" s="340"/>
      <c r="F186" s="340"/>
      <c r="G186" s="340"/>
      <c r="H186" s="340"/>
      <c r="I186" s="340"/>
      <c r="J186" s="340"/>
      <c r="K186" s="340"/>
      <c r="L186" s="340"/>
      <c r="M186" s="340"/>
      <c r="N186" s="340"/>
      <c r="O186" s="340"/>
      <c r="P186" s="341"/>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c r="AL186" s="163"/>
      <c r="AM186" s="163"/>
      <c r="AN186" s="163"/>
      <c r="AO186" s="163"/>
      <c r="AP186" s="163"/>
      <c r="AQ186" s="163"/>
      <c r="AR186" s="163">
        <v>0</v>
      </c>
      <c r="AS186" s="163">
        <v>-50000000</v>
      </c>
      <c r="AT186" s="163">
        <v>-50000000</v>
      </c>
      <c r="AU186" s="163">
        <v>-50000000</v>
      </c>
      <c r="AV186" s="163">
        <v>-50000000</v>
      </c>
      <c r="AW186" s="163">
        <v>-50000000</v>
      </c>
      <c r="AX186" s="163">
        <v>-50000000</v>
      </c>
      <c r="AY186" s="163">
        <v>-50000000</v>
      </c>
      <c r="AZ186" s="163">
        <v>-50000000</v>
      </c>
      <c r="BA186" s="163">
        <v>-50000000</v>
      </c>
      <c r="BB186" s="163">
        <v>-50000000</v>
      </c>
      <c r="BC186" s="163">
        <v>-50000000</v>
      </c>
      <c r="BD186" s="163">
        <v>-50000000</v>
      </c>
      <c r="BE186" s="163">
        <v>0</v>
      </c>
      <c r="BF186" s="163">
        <v>0</v>
      </c>
      <c r="BG186" s="163">
        <v>0</v>
      </c>
      <c r="BH186" s="163">
        <v>0</v>
      </c>
      <c r="BI186" s="163">
        <v>0</v>
      </c>
      <c r="BJ186" s="163">
        <v>0</v>
      </c>
      <c r="BK186" s="163">
        <v>0</v>
      </c>
      <c r="BL186" s="163">
        <v>0</v>
      </c>
      <c r="BM186" s="163">
        <v>0</v>
      </c>
      <c r="BN186" s="163">
        <v>0</v>
      </c>
      <c r="BO186" s="163">
        <v>0</v>
      </c>
      <c r="BP186" s="163">
        <v>0</v>
      </c>
      <c r="BQ186" s="163">
        <v>0</v>
      </c>
      <c r="BR186" s="163">
        <v>0</v>
      </c>
      <c r="BS186" s="163">
        <v>0</v>
      </c>
      <c r="BT186" s="163">
        <v>0</v>
      </c>
      <c r="BU186" s="163">
        <v>0</v>
      </c>
      <c r="BV186" s="163">
        <v>0</v>
      </c>
      <c r="BW186" s="163">
        <v>0</v>
      </c>
      <c r="BX186" s="163">
        <v>0</v>
      </c>
      <c r="BY186" s="163">
        <v>0</v>
      </c>
      <c r="BZ186" s="163">
        <v>0</v>
      </c>
      <c r="CA186" s="163">
        <v>0</v>
      </c>
      <c r="CB186" s="163">
        <v>0</v>
      </c>
      <c r="CC186" s="163">
        <v>-46764680</v>
      </c>
      <c r="CD186" s="163">
        <v>-46764680</v>
      </c>
      <c r="CE186" s="163">
        <v>-46764680</v>
      </c>
      <c r="CF186" s="163">
        <v>-46764680</v>
      </c>
      <c r="CG186" s="163">
        <v>-46764680</v>
      </c>
      <c r="CH186" s="163">
        <v>-46764680</v>
      </c>
      <c r="CI186" s="163">
        <v>-46764680</v>
      </c>
      <c r="CJ186" s="163">
        <v>-46764680</v>
      </c>
      <c r="CK186" s="163">
        <v>-46764680</v>
      </c>
      <c r="CL186" s="163">
        <v>-46764680</v>
      </c>
      <c r="CM186" s="163">
        <v>-46764680</v>
      </c>
      <c r="CN186" s="163">
        <v>-46764680</v>
      </c>
      <c r="CO186" s="163">
        <v>0</v>
      </c>
      <c r="CP186" s="163">
        <v>0</v>
      </c>
      <c r="CQ186" s="163">
        <v>0</v>
      </c>
      <c r="CR186" s="163">
        <v>0</v>
      </c>
      <c r="CS186" s="163">
        <v>-25000000</v>
      </c>
      <c r="CT186" s="163">
        <v>-25000000</v>
      </c>
      <c r="CU186" s="163">
        <v>-25000000</v>
      </c>
      <c r="CV186" s="163">
        <v>-25000000</v>
      </c>
      <c r="CW186" s="163">
        <v>-25000000</v>
      </c>
      <c r="CX186" s="163">
        <v>-25000000</v>
      </c>
      <c r="CY186" s="163">
        <v>-25000000</v>
      </c>
      <c r="CZ186" s="163">
        <v>-25000000</v>
      </c>
      <c r="DA186" s="163">
        <v>-25000000</v>
      </c>
      <c r="DB186" s="163">
        <v>-25000000</v>
      </c>
      <c r="DC186" s="163">
        <v>-25000000</v>
      </c>
      <c r="DD186" s="163">
        <v>-25000000</v>
      </c>
      <c r="DE186" s="163">
        <v>0</v>
      </c>
      <c r="DF186" s="163">
        <f>VLOOKUP($C186,'[3]BS ACC'!$C$5:$DH$1006,108,FALSE)</f>
        <v>0</v>
      </c>
      <c r="DG186" s="163">
        <f>VLOOKUP($C186,'[3]BS ACC'!$C$5:$DH$1006,109,FALSE)</f>
        <v>0</v>
      </c>
      <c r="DH186" s="163">
        <f>VLOOKUP($C186,'[3]BS ACC'!$C$5:$DH$1006,110,FALSE)</f>
        <v>0</v>
      </c>
    </row>
    <row r="187" spans="1:112">
      <c r="A187" s="350" t="str">
        <f t="shared" si="2"/>
        <v>2240200</v>
      </c>
      <c r="B187" s="350" t="s">
        <v>1625</v>
      </c>
      <c r="C187" s="335" t="s">
        <v>723</v>
      </c>
      <c r="D187" s="340">
        <v>-231764680</v>
      </c>
      <c r="E187" s="340">
        <v>-231764680</v>
      </c>
      <c r="F187" s="340">
        <v>-231764680</v>
      </c>
      <c r="G187" s="340">
        <v>-231764680</v>
      </c>
      <c r="H187" s="340">
        <v>-231764680</v>
      </c>
      <c r="I187" s="340">
        <v>-241764680</v>
      </c>
      <c r="J187" s="340">
        <v>-241764680</v>
      </c>
      <c r="K187" s="340">
        <v>-241764680</v>
      </c>
      <c r="L187" s="340">
        <v>-241764680</v>
      </c>
      <c r="M187" s="340">
        <v>-241764680</v>
      </c>
      <c r="N187" s="340">
        <v>-241764680</v>
      </c>
      <c r="O187" s="340">
        <v>-241764680</v>
      </c>
      <c r="P187" s="341">
        <v>-241764680</v>
      </c>
      <c r="Q187" s="163">
        <v>-241764680</v>
      </c>
      <c r="R187" s="163">
        <v>-241764680</v>
      </c>
      <c r="S187" s="163">
        <v>-241764680</v>
      </c>
      <c r="T187" s="163">
        <v>-241764680</v>
      </c>
      <c r="U187" s="163">
        <v>-261764680</v>
      </c>
      <c r="V187" s="163">
        <v>-261764680</v>
      </c>
      <c r="W187" s="163">
        <v>-261764680</v>
      </c>
      <c r="X187" s="163">
        <v>-261764680</v>
      </c>
      <c r="Y187" s="163">
        <v>-261764680</v>
      </c>
      <c r="Z187" s="163">
        <v>-261764680</v>
      </c>
      <c r="AA187" s="163">
        <v>-261764680</v>
      </c>
      <c r="AB187" s="163">
        <v>-261764680</v>
      </c>
      <c r="AC187" s="163">
        <v>-261764680</v>
      </c>
      <c r="AD187" s="163">
        <v>-261764680</v>
      </c>
      <c r="AE187" s="163">
        <v>-261764680</v>
      </c>
      <c r="AF187" s="163">
        <v>-261764680</v>
      </c>
      <c r="AG187" s="163">
        <v>-261764680</v>
      </c>
      <c r="AH187" s="163">
        <v>-261764680</v>
      </c>
      <c r="AI187" s="163">
        <v>-261764680</v>
      </c>
      <c r="AJ187" s="163">
        <v>-261764680</v>
      </c>
      <c r="AK187" s="163">
        <v>-261764680</v>
      </c>
      <c r="AL187" s="163">
        <v>-261764680</v>
      </c>
      <c r="AM187" s="163">
        <v>-261764680</v>
      </c>
      <c r="AN187" s="163">
        <v>-261764680</v>
      </c>
      <c r="AO187" s="163">
        <v>-261764680</v>
      </c>
      <c r="AP187" s="163">
        <v>-261764680</v>
      </c>
      <c r="AQ187" s="163">
        <v>-261764680</v>
      </c>
      <c r="AR187" s="163">
        <v>-261764680</v>
      </c>
      <c r="AS187" s="163">
        <v>-211764680</v>
      </c>
      <c r="AT187" s="163">
        <v>-211764680</v>
      </c>
      <c r="AU187" s="163">
        <v>-211764680</v>
      </c>
      <c r="AV187" s="163">
        <v>-211764680</v>
      </c>
      <c r="AW187" s="163">
        <v>-211764680</v>
      </c>
      <c r="AX187" s="163">
        <v>-211764680</v>
      </c>
      <c r="AY187" s="163">
        <v>-211764680</v>
      </c>
      <c r="AZ187" s="163">
        <v>-211764680</v>
      </c>
      <c r="BA187" s="163">
        <v>-211764680</v>
      </c>
      <c r="BB187" s="163">
        <v>-211764680</v>
      </c>
      <c r="BC187" s="163">
        <v>-211764680</v>
      </c>
      <c r="BD187" s="163">
        <v>-211764680</v>
      </c>
      <c r="BE187" s="163">
        <v>-211764680</v>
      </c>
      <c r="BF187" s="163">
        <v>-286764680</v>
      </c>
      <c r="BG187" s="163">
        <v>-286764680</v>
      </c>
      <c r="BH187" s="163">
        <v>-286764680</v>
      </c>
      <c r="BI187" s="163">
        <v>-286764680</v>
      </c>
      <c r="BJ187" s="163">
        <v>-311764680</v>
      </c>
      <c r="BK187" s="163">
        <v>-311764680</v>
      </c>
      <c r="BL187" s="163">
        <v>-311764680</v>
      </c>
      <c r="BM187" s="163">
        <v>-311764680</v>
      </c>
      <c r="BN187" s="163">
        <v>-311764680</v>
      </c>
      <c r="BO187" s="163">
        <v>-311764680</v>
      </c>
      <c r="BP187" s="163">
        <v>-311764680</v>
      </c>
      <c r="BQ187" s="163">
        <v>-311764680</v>
      </c>
      <c r="BR187" s="163">
        <v>-311764680</v>
      </c>
      <c r="BS187" s="163">
        <v>-336764680</v>
      </c>
      <c r="BT187" s="163">
        <v>-336764680</v>
      </c>
      <c r="BU187" s="163">
        <v>-336764680</v>
      </c>
      <c r="BV187" s="163">
        <v>-336764680</v>
      </c>
      <c r="BW187" s="163">
        <v>-336764680</v>
      </c>
      <c r="BX187" s="163">
        <v>-336764680</v>
      </c>
      <c r="BY187" s="163">
        <v>-336764680</v>
      </c>
      <c r="BZ187" s="163">
        <v>-336764680</v>
      </c>
      <c r="CA187" s="163">
        <v>-336764680</v>
      </c>
      <c r="CB187" s="163">
        <v>-336764680</v>
      </c>
      <c r="CC187" s="163">
        <v>-290000000</v>
      </c>
      <c r="CD187" s="163">
        <v>-290000000</v>
      </c>
      <c r="CE187" s="163">
        <v>-290000000</v>
      </c>
      <c r="CF187" s="163">
        <v>-290000000</v>
      </c>
      <c r="CG187" s="163">
        <v>-290000000</v>
      </c>
      <c r="CH187" s="163">
        <v>-290000000</v>
      </c>
      <c r="CI187" s="163">
        <v>-290000000</v>
      </c>
      <c r="CJ187" s="163">
        <v>-290000000</v>
      </c>
      <c r="CK187" s="163">
        <v>-290000000</v>
      </c>
      <c r="CL187" s="163">
        <v>-290000000</v>
      </c>
      <c r="CM187" s="163">
        <v>-520000000</v>
      </c>
      <c r="CN187" s="163">
        <v>-520000000</v>
      </c>
      <c r="CO187" s="163">
        <v>-520000000</v>
      </c>
      <c r="CP187" s="163">
        <v>-520000000</v>
      </c>
      <c r="CQ187" s="163">
        <v>-520000000</v>
      </c>
      <c r="CR187" s="163">
        <v>-520000000</v>
      </c>
      <c r="CS187" s="163">
        <v>-495000000</v>
      </c>
      <c r="CT187" s="163">
        <v>-495000000</v>
      </c>
      <c r="CU187" s="163">
        <v>-495000000</v>
      </c>
      <c r="CV187" s="163">
        <v>-495000000</v>
      </c>
      <c r="CW187" s="163">
        <v>-495000000</v>
      </c>
      <c r="CX187" s="163">
        <v>-495000000</v>
      </c>
      <c r="CY187" s="163">
        <v>-495000000</v>
      </c>
      <c r="CZ187" s="163">
        <v>-495000000</v>
      </c>
      <c r="DA187" s="163">
        <v>-495000000</v>
      </c>
      <c r="DB187" s="163">
        <v>-495000000</v>
      </c>
      <c r="DC187" s="163">
        <v>-570000000</v>
      </c>
      <c r="DD187" s="163">
        <v>-570000000</v>
      </c>
      <c r="DE187" s="163">
        <v>-570000000</v>
      </c>
      <c r="DF187" s="163">
        <f>VLOOKUP($C187,'[3]BS ACC'!$C$5:$DH$1006,108,FALSE)</f>
        <v>-570000000</v>
      </c>
      <c r="DG187" s="163">
        <f>VLOOKUP($C187,'[3]BS ACC'!$C$5:$DH$1006,109,FALSE)</f>
        <v>-570000000</v>
      </c>
      <c r="DH187" s="163">
        <f>VLOOKUP($C187,'[3]BS ACC'!$C$5:$DH$1006,110,FALSE)</f>
        <v>-570000000</v>
      </c>
    </row>
    <row r="188" spans="1:112">
      <c r="A188" s="350" t="str">
        <f t="shared" si="2"/>
        <v>2260200</v>
      </c>
      <c r="B188" s="350" t="s">
        <v>1626</v>
      </c>
      <c r="C188" s="335" t="s">
        <v>724</v>
      </c>
      <c r="D188" s="340">
        <v>422760.18</v>
      </c>
      <c r="E188" s="340">
        <v>421177.68</v>
      </c>
      <c r="F188" s="340">
        <v>419595.18</v>
      </c>
      <c r="G188" s="340">
        <v>418012.68</v>
      </c>
      <c r="H188" s="340">
        <v>416430.18</v>
      </c>
      <c r="I188" s="340">
        <v>421547.68</v>
      </c>
      <c r="J188" s="340">
        <v>419937.26</v>
      </c>
      <c r="K188" s="340">
        <v>418336.15</v>
      </c>
      <c r="L188" s="340">
        <v>416735.04</v>
      </c>
      <c r="M188" s="340">
        <v>415133.93</v>
      </c>
      <c r="N188" s="340">
        <v>413532.82</v>
      </c>
      <c r="O188" s="340">
        <v>411931.71</v>
      </c>
      <c r="P188" s="341">
        <v>410330.6</v>
      </c>
      <c r="Q188" s="163">
        <v>408729.49</v>
      </c>
      <c r="R188" s="163">
        <v>407128.38</v>
      </c>
      <c r="S188" s="163">
        <v>405527.27</v>
      </c>
      <c r="T188" s="163">
        <v>403926.16</v>
      </c>
      <c r="U188" s="163">
        <v>439525.05</v>
      </c>
      <c r="V188" s="163">
        <v>437819.41</v>
      </c>
      <c r="W188" s="163">
        <v>436114.97</v>
      </c>
      <c r="X188" s="163">
        <v>434410.53</v>
      </c>
      <c r="Y188" s="163">
        <v>432706.09</v>
      </c>
      <c r="Z188" s="163">
        <v>431001.65</v>
      </c>
      <c r="AA188" s="163">
        <v>429297.21</v>
      </c>
      <c r="AB188" s="163">
        <v>427592.77</v>
      </c>
      <c r="AC188" s="163">
        <v>425888.33</v>
      </c>
      <c r="AD188" s="163">
        <v>424183.89</v>
      </c>
      <c r="AE188" s="163">
        <v>422479.45</v>
      </c>
      <c r="AF188" s="163">
        <v>420775.01</v>
      </c>
      <c r="AG188" s="163">
        <v>419070.57</v>
      </c>
      <c r="AH188" s="163">
        <v>417366.13</v>
      </c>
      <c r="AI188" s="163">
        <v>415661.69</v>
      </c>
      <c r="AJ188" s="163">
        <v>413957.25</v>
      </c>
      <c r="AK188" s="163">
        <v>412252.81</v>
      </c>
      <c r="AL188" s="163">
        <v>410548.37</v>
      </c>
      <c r="AM188" s="163">
        <v>408843.93</v>
      </c>
      <c r="AN188" s="163">
        <v>407139.49</v>
      </c>
      <c r="AO188" s="163">
        <v>405435.05</v>
      </c>
      <c r="AP188" s="163">
        <v>403730.61</v>
      </c>
      <c r="AQ188" s="163">
        <v>402026.17</v>
      </c>
      <c r="AR188" s="163">
        <v>400321.73</v>
      </c>
      <c r="AS188" s="163">
        <v>398617.29</v>
      </c>
      <c r="AT188" s="163">
        <v>396912.85</v>
      </c>
      <c r="AU188" s="163">
        <v>395208.41</v>
      </c>
      <c r="AV188" s="163">
        <v>393503.97</v>
      </c>
      <c r="AW188" s="163">
        <v>391799.53</v>
      </c>
      <c r="AX188" s="163">
        <v>390095.09</v>
      </c>
      <c r="AY188" s="163">
        <v>388390.65</v>
      </c>
      <c r="AZ188" s="163">
        <v>386686.21</v>
      </c>
      <c r="BA188" s="163">
        <v>384981.77</v>
      </c>
      <c r="BB188" s="163">
        <v>383277.33</v>
      </c>
      <c r="BC188" s="163">
        <v>381572.89</v>
      </c>
      <c r="BD188" s="163">
        <v>379868.45</v>
      </c>
      <c r="BE188" s="163">
        <v>378164.01</v>
      </c>
      <c r="BF188" s="163">
        <v>571302.51</v>
      </c>
      <c r="BG188" s="163">
        <v>774522.99</v>
      </c>
      <c r="BH188" s="163">
        <v>771701.88</v>
      </c>
      <c r="BI188" s="163">
        <v>768880.77</v>
      </c>
      <c r="BJ188" s="163">
        <v>893463.71</v>
      </c>
      <c r="BK188" s="163">
        <v>890295.45</v>
      </c>
      <c r="BL188" s="163">
        <v>887127.19</v>
      </c>
      <c r="BM188" s="163">
        <v>883958.93</v>
      </c>
      <c r="BN188" s="163">
        <v>880790.67</v>
      </c>
      <c r="BO188" s="163">
        <v>877622.41</v>
      </c>
      <c r="BP188" s="163">
        <v>874454.15</v>
      </c>
      <c r="BQ188" s="163">
        <v>871285.89</v>
      </c>
      <c r="BR188" s="163">
        <v>868117.63</v>
      </c>
      <c r="BS188" s="163">
        <v>1171449.3700000001</v>
      </c>
      <c r="BT188" s="163">
        <v>1167456.6100000001</v>
      </c>
      <c r="BU188" s="163">
        <v>1163462.2</v>
      </c>
      <c r="BV188" s="163">
        <v>1159467.79</v>
      </c>
      <c r="BW188" s="163">
        <v>1155473.3799999999</v>
      </c>
      <c r="BX188" s="163">
        <v>1151478.97</v>
      </c>
      <c r="BY188" s="163">
        <v>1147484.56</v>
      </c>
      <c r="BZ188" s="163">
        <v>1143490.1499999999</v>
      </c>
      <c r="CA188" s="163">
        <v>1139495.74</v>
      </c>
      <c r="CB188" s="163">
        <v>1135501.33</v>
      </c>
      <c r="CC188" s="163">
        <v>1131506.92</v>
      </c>
      <c r="CD188" s="163">
        <v>1127512.51</v>
      </c>
      <c r="CE188" s="163">
        <v>1123518.1000000001</v>
      </c>
      <c r="CF188" s="163">
        <v>1119523.69</v>
      </c>
      <c r="CG188" s="163">
        <v>1115529.28</v>
      </c>
      <c r="CH188" s="163">
        <v>1111534.8700000001</v>
      </c>
      <c r="CI188" s="163">
        <v>1107540.46</v>
      </c>
      <c r="CJ188" s="163">
        <v>1103546.05</v>
      </c>
      <c r="CK188" s="163">
        <v>1099551.6399999999</v>
      </c>
      <c r="CL188" s="163">
        <v>1095557.23</v>
      </c>
      <c r="CM188" s="163">
        <v>1719076.29</v>
      </c>
      <c r="CN188" s="163">
        <v>1711423.85</v>
      </c>
      <c r="CO188" s="163">
        <v>1703592.91</v>
      </c>
      <c r="CP188" s="163">
        <v>1695761.97</v>
      </c>
      <c r="CQ188" s="163">
        <v>1687931.03</v>
      </c>
      <c r="CR188" s="163">
        <v>1680100.09</v>
      </c>
      <c r="CS188" s="163">
        <v>1672269.15</v>
      </c>
      <c r="CT188" s="163">
        <v>1664438.21</v>
      </c>
      <c r="CU188" s="163">
        <v>1656607.27</v>
      </c>
      <c r="CV188" s="163">
        <v>1648776.33</v>
      </c>
      <c r="CW188" s="163">
        <v>1640945.39</v>
      </c>
      <c r="CX188" s="163">
        <v>1633114.45</v>
      </c>
      <c r="CY188" s="163">
        <v>1625283.51</v>
      </c>
      <c r="CZ188" s="163">
        <v>1617452.57</v>
      </c>
      <c r="DA188" s="163">
        <v>1609621.63</v>
      </c>
      <c r="DB188" s="163">
        <v>1601790.69</v>
      </c>
      <c r="DC188" s="163">
        <v>1654047.7</v>
      </c>
      <c r="DD188" s="163">
        <v>1645491.83</v>
      </c>
      <c r="DE188" s="163">
        <v>1636935.96</v>
      </c>
      <c r="DF188" s="163">
        <f>VLOOKUP($C188,'[3]BS ACC'!$C$5:$DH$1006,108,FALSE)</f>
        <v>1628634.26</v>
      </c>
      <c r="DG188" s="163">
        <f>VLOOKUP($C188,'[3]BS ACC'!$C$5:$DH$1006,109,FALSE)</f>
        <v>1620332.56</v>
      </c>
      <c r="DH188" s="163">
        <f>VLOOKUP($C188,'[3]BS ACC'!$C$5:$DH$1006,110,FALSE)</f>
        <v>1612030.86</v>
      </c>
    </row>
    <row r="189" spans="1:112">
      <c r="A189" s="350" t="str">
        <f t="shared" si="2"/>
        <v>2281081</v>
      </c>
      <c r="B189" s="350" t="s">
        <v>906</v>
      </c>
      <c r="C189" s="335" t="s">
        <v>725</v>
      </c>
      <c r="D189" s="340">
        <v>-263541.84999999998</v>
      </c>
      <c r="E189" s="340">
        <v>-268333.52</v>
      </c>
      <c r="F189" s="340">
        <v>-273125.19</v>
      </c>
      <c r="G189" s="340">
        <v>-277916.86</v>
      </c>
      <c r="H189" s="340">
        <v>-282708.53000000003</v>
      </c>
      <c r="I189" s="340">
        <v>-287500.2</v>
      </c>
      <c r="J189" s="340">
        <v>-292291.87</v>
      </c>
      <c r="K189" s="340">
        <v>-297083.53999999998</v>
      </c>
      <c r="L189" s="340">
        <v>-301875.21000000002</v>
      </c>
      <c r="M189" s="340">
        <v>-306666.88</v>
      </c>
      <c r="N189" s="340">
        <v>-311458.55</v>
      </c>
      <c r="O189" s="340">
        <v>-316250.21999999997</v>
      </c>
      <c r="P189" s="341">
        <v>-321041.89</v>
      </c>
      <c r="Q189" s="163">
        <v>-325833.56</v>
      </c>
      <c r="R189" s="163">
        <v>-330625.23</v>
      </c>
      <c r="S189" s="163">
        <v>-335416.90000000002</v>
      </c>
      <c r="T189" s="163">
        <v>-340208.57</v>
      </c>
      <c r="U189" s="163">
        <v>-345000.24</v>
      </c>
      <c r="V189" s="163">
        <v>-349791.91</v>
      </c>
      <c r="W189" s="163">
        <v>-354583.58</v>
      </c>
      <c r="X189" s="163">
        <v>-359375.25</v>
      </c>
      <c r="Y189" s="163">
        <v>-364166.92</v>
      </c>
      <c r="Z189" s="163">
        <v>-368958.59</v>
      </c>
      <c r="AA189" s="163">
        <v>-373750.26</v>
      </c>
      <c r="AB189" s="163">
        <v>-378541.93</v>
      </c>
      <c r="AC189" s="163">
        <v>-383333.6</v>
      </c>
      <c r="AD189" s="163">
        <v>-388125.27</v>
      </c>
      <c r="AE189" s="163">
        <v>-392916.94</v>
      </c>
      <c r="AF189" s="163">
        <v>-397708.61</v>
      </c>
      <c r="AG189" s="163">
        <v>-402500.28</v>
      </c>
      <c r="AH189" s="163">
        <v>-407291.95</v>
      </c>
      <c r="AI189" s="163">
        <v>-412083.62</v>
      </c>
      <c r="AJ189" s="163">
        <v>-416875.29</v>
      </c>
      <c r="AK189" s="163">
        <v>-421666.96</v>
      </c>
      <c r="AL189" s="163">
        <v>-426458.63</v>
      </c>
      <c r="AM189" s="163">
        <v>-431250.3</v>
      </c>
      <c r="AN189" s="163">
        <v>-333019</v>
      </c>
      <c r="AO189" s="163">
        <v>-337810.67</v>
      </c>
      <c r="AP189" s="163">
        <v>-342602.34</v>
      </c>
      <c r="AQ189" s="163">
        <v>-347394.01</v>
      </c>
      <c r="AR189" s="163">
        <v>-352185.68</v>
      </c>
      <c r="AS189" s="163">
        <v>-356977.35</v>
      </c>
      <c r="AT189" s="163">
        <v>-361769.02</v>
      </c>
      <c r="AU189" s="163">
        <v>-366560.69</v>
      </c>
      <c r="AV189" s="163">
        <v>-371352.36</v>
      </c>
      <c r="AW189" s="163">
        <v>-79066.149999999994</v>
      </c>
      <c r="AX189" s="163">
        <v>-22974.18</v>
      </c>
      <c r="AY189" s="163">
        <v>24467.759999999998</v>
      </c>
      <c r="AZ189" s="163">
        <v>-35999.49</v>
      </c>
      <c r="BA189" s="163">
        <v>-40791.160000000003</v>
      </c>
      <c r="BB189" s="163">
        <v>-45582.83</v>
      </c>
      <c r="BC189" s="163">
        <v>-50374.5</v>
      </c>
      <c r="BD189" s="163">
        <v>-55166.17</v>
      </c>
      <c r="BE189" s="163">
        <v>-59957.84</v>
      </c>
      <c r="BF189" s="163">
        <v>-64749.51</v>
      </c>
      <c r="BG189" s="163">
        <v>-69541.179999999993</v>
      </c>
      <c r="BH189" s="163">
        <v>-74332.850000000006</v>
      </c>
      <c r="BI189" s="163">
        <v>-79124.52</v>
      </c>
      <c r="BJ189" s="163">
        <v>-83916.19</v>
      </c>
      <c r="BK189" s="163">
        <v>-88707.86</v>
      </c>
      <c r="BL189" s="163">
        <v>0</v>
      </c>
      <c r="BM189" s="163">
        <v>0</v>
      </c>
      <c r="BN189" s="163">
        <v>-0.49</v>
      </c>
      <c r="BO189" s="163">
        <v>-4792.16</v>
      </c>
      <c r="BP189" s="163">
        <v>-9583.83</v>
      </c>
      <c r="BQ189" s="163">
        <v>-14375.5</v>
      </c>
      <c r="BR189" s="163">
        <v>-19167.169999999998</v>
      </c>
      <c r="BS189" s="163">
        <v>-23958.84</v>
      </c>
      <c r="BT189" s="163">
        <v>-28750.51</v>
      </c>
      <c r="BU189" s="163">
        <v>-33542.18</v>
      </c>
      <c r="BV189" s="163">
        <v>-38333.85</v>
      </c>
      <c r="BW189" s="163">
        <v>-43125.52</v>
      </c>
      <c r="BX189" s="163">
        <v>-84356.22</v>
      </c>
      <c r="BY189" s="163">
        <v>-89147.89</v>
      </c>
      <c r="BZ189" s="163">
        <v>-93939.56</v>
      </c>
      <c r="CA189" s="163">
        <v>-214598.23</v>
      </c>
      <c r="CB189" s="163">
        <v>-103522.9</v>
      </c>
      <c r="CC189" s="163">
        <v>-108314.57</v>
      </c>
      <c r="CD189" s="163">
        <v>-113106.24000000001</v>
      </c>
      <c r="CE189" s="163">
        <v>-117897.91</v>
      </c>
      <c r="CF189" s="163">
        <v>-122689.58</v>
      </c>
      <c r="CG189" s="163">
        <v>-127481.25</v>
      </c>
      <c r="CH189" s="163">
        <v>-132272.92000000001</v>
      </c>
      <c r="CI189" s="163">
        <v>-137064.59</v>
      </c>
      <c r="CJ189" s="163">
        <v>-141856.26</v>
      </c>
      <c r="CK189" s="163">
        <v>-173522.93</v>
      </c>
      <c r="CL189" s="163">
        <v>-205189.6</v>
      </c>
      <c r="CM189" s="163">
        <v>-236856.27</v>
      </c>
      <c r="CN189" s="163">
        <v>-268522.94</v>
      </c>
      <c r="CO189" s="163">
        <v>-300189.61</v>
      </c>
      <c r="CP189" s="163">
        <v>-331856.28000000003</v>
      </c>
      <c r="CQ189" s="163">
        <v>-363522.95</v>
      </c>
      <c r="CR189" s="163">
        <v>-395189.62</v>
      </c>
      <c r="CS189" s="163">
        <v>-426856.29</v>
      </c>
      <c r="CT189" s="163">
        <v>-458522.96</v>
      </c>
      <c r="CU189" s="163">
        <v>-490189.63</v>
      </c>
      <c r="CV189" s="163">
        <v>-521856.3</v>
      </c>
      <c r="CW189" s="163">
        <v>-553522.97</v>
      </c>
      <c r="CX189" s="163">
        <v>-585189.64</v>
      </c>
      <c r="CY189" s="163">
        <v>-616856.31000000006</v>
      </c>
      <c r="CZ189" s="163">
        <v>-648522.98</v>
      </c>
      <c r="DA189" s="163">
        <v>-680189.65</v>
      </c>
      <c r="DB189" s="163">
        <v>-711856.32</v>
      </c>
      <c r="DC189" s="163">
        <v>-743522.99</v>
      </c>
      <c r="DD189" s="163">
        <v>-775189.66</v>
      </c>
      <c r="DE189" s="163">
        <v>-455977.33</v>
      </c>
      <c r="DF189" s="163">
        <f>VLOOKUP($C189,'[3]BS ACC'!$C$5:$DH$1006,108,FALSE)</f>
        <v>0</v>
      </c>
      <c r="DG189" s="163">
        <f>VLOOKUP($C189,'[3]BS ACC'!$C$5:$DH$1006,109,FALSE)</f>
        <v>0</v>
      </c>
      <c r="DH189" s="163">
        <f>VLOOKUP($C189,'[3]BS ACC'!$C$5:$DH$1006,110,FALSE)</f>
        <v>0</v>
      </c>
    </row>
    <row r="190" spans="1:112">
      <c r="A190" s="350" t="str">
        <f>+B190</f>
        <v>2281100</v>
      </c>
      <c r="B190" s="350" t="s">
        <v>2254</v>
      </c>
      <c r="C190" s="335" t="s">
        <v>2255</v>
      </c>
      <c r="D190" s="340"/>
      <c r="E190" s="340"/>
      <c r="F190" s="340"/>
      <c r="G190" s="340"/>
      <c r="H190" s="340"/>
      <c r="I190" s="340"/>
      <c r="J190" s="340"/>
      <c r="K190" s="340"/>
      <c r="L190" s="340"/>
      <c r="M190" s="340"/>
      <c r="N190" s="340"/>
      <c r="O190" s="340"/>
      <c r="P190" s="341"/>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c r="BI190" s="163"/>
      <c r="BJ190" s="163">
        <v>0</v>
      </c>
      <c r="BK190" s="163">
        <v>0</v>
      </c>
      <c r="BL190" s="163">
        <v>3038523.24</v>
      </c>
      <c r="BM190" s="163">
        <v>3059430.59</v>
      </c>
      <c r="BN190" s="163">
        <v>3181714.13</v>
      </c>
      <c r="BO190" s="163">
        <v>3181714.13</v>
      </c>
      <c r="BP190" s="163">
        <v>3181714.13</v>
      </c>
      <c r="BQ190" s="163">
        <v>3181714.13</v>
      </c>
      <c r="BR190" s="163">
        <v>3181714.13</v>
      </c>
      <c r="BS190" s="163">
        <v>3181714.13</v>
      </c>
      <c r="BT190" s="163">
        <v>2606793.09</v>
      </c>
      <c r="BU190" s="163">
        <v>2000824.87</v>
      </c>
      <c r="BV190" s="163">
        <v>1396771.82</v>
      </c>
      <c r="BW190" s="163">
        <v>712832.44</v>
      </c>
      <c r="BX190" s="163">
        <v>0</v>
      </c>
      <c r="BY190" s="163">
        <v>0</v>
      </c>
      <c r="BZ190" s="163">
        <v>0</v>
      </c>
      <c r="CA190" s="163">
        <v>53720</v>
      </c>
      <c r="CB190" s="163">
        <v>0</v>
      </c>
      <c r="CC190" s="163">
        <v>0</v>
      </c>
      <c r="CD190" s="163">
        <v>0</v>
      </c>
      <c r="CE190" s="163">
        <v>0</v>
      </c>
      <c r="CF190" s="163">
        <v>0</v>
      </c>
      <c r="CG190" s="163">
        <v>0</v>
      </c>
      <c r="CH190" s="163">
        <v>0</v>
      </c>
      <c r="CI190" s="163">
        <v>0</v>
      </c>
      <c r="CJ190" s="163">
        <v>0</v>
      </c>
      <c r="CK190" s="163">
        <v>0</v>
      </c>
      <c r="CL190" s="163">
        <v>0</v>
      </c>
      <c r="CM190" s="163">
        <v>0</v>
      </c>
      <c r="CN190" s="163">
        <v>0</v>
      </c>
      <c r="CO190" s="163">
        <v>0</v>
      </c>
      <c r="CP190" s="163">
        <v>0</v>
      </c>
      <c r="CQ190" s="163">
        <v>0</v>
      </c>
      <c r="CR190" s="163">
        <v>0</v>
      </c>
      <c r="CS190" s="163">
        <v>0</v>
      </c>
      <c r="CT190" s="163">
        <v>0</v>
      </c>
      <c r="CU190" s="163">
        <v>0</v>
      </c>
      <c r="CV190" s="163">
        <v>0</v>
      </c>
      <c r="CW190" s="163">
        <v>0</v>
      </c>
      <c r="CX190" s="163">
        <v>0</v>
      </c>
      <c r="CY190" s="163">
        <v>0</v>
      </c>
      <c r="CZ190" s="163">
        <v>0</v>
      </c>
      <c r="DA190" s="163">
        <v>0</v>
      </c>
      <c r="DB190" s="163">
        <v>0</v>
      </c>
      <c r="DC190" s="163">
        <v>0</v>
      </c>
      <c r="DD190" s="163">
        <v>0</v>
      </c>
      <c r="DE190" s="163">
        <v>0</v>
      </c>
      <c r="DF190" s="163">
        <f>VLOOKUP($C190,'[3]BS ACC'!$C$5:$DH$1006,108,FALSE)</f>
        <v>688616.24</v>
      </c>
      <c r="DG190" s="163">
        <f>VLOOKUP($C190,'[3]BS ACC'!$C$5:$DH$1006,109,FALSE)</f>
        <v>837442.4</v>
      </c>
      <c r="DH190" s="163">
        <f>VLOOKUP($C190,'[3]BS ACC'!$C$5:$DH$1006,110,FALSE)</f>
        <v>0</v>
      </c>
    </row>
    <row r="191" spans="1:112">
      <c r="A191" s="350" t="str">
        <f>+B191</f>
        <v>2282001</v>
      </c>
      <c r="B191" s="350" t="s">
        <v>2303</v>
      </c>
      <c r="C191" s="335" t="s">
        <v>2292</v>
      </c>
      <c r="D191" s="340">
        <v>0</v>
      </c>
      <c r="E191" s="340">
        <v>0</v>
      </c>
      <c r="F191" s="340">
        <v>0</v>
      </c>
      <c r="G191" s="340">
        <v>0</v>
      </c>
      <c r="H191" s="340">
        <v>0</v>
      </c>
      <c r="I191" s="340">
        <v>0</v>
      </c>
      <c r="J191" s="340">
        <v>0</v>
      </c>
      <c r="K191" s="340">
        <v>0</v>
      </c>
      <c r="L191" s="340">
        <v>0</v>
      </c>
      <c r="M191" s="340">
        <v>0</v>
      </c>
      <c r="N191" s="340">
        <v>0</v>
      </c>
      <c r="O191" s="340">
        <v>0</v>
      </c>
      <c r="P191" s="341">
        <v>0</v>
      </c>
      <c r="Q191" s="163">
        <v>0</v>
      </c>
      <c r="R191" s="163">
        <v>0</v>
      </c>
      <c r="S191" s="163">
        <v>0</v>
      </c>
      <c r="T191" s="163">
        <v>0</v>
      </c>
      <c r="U191" s="163">
        <v>0</v>
      </c>
      <c r="V191" s="163">
        <v>0</v>
      </c>
      <c r="W191" s="163">
        <v>0</v>
      </c>
      <c r="X191" s="163">
        <v>0</v>
      </c>
      <c r="Y191" s="163">
        <v>0</v>
      </c>
      <c r="Z191" s="163">
        <v>0</v>
      </c>
      <c r="AA191" s="163">
        <v>0</v>
      </c>
      <c r="AB191" s="163">
        <v>0</v>
      </c>
      <c r="AC191" s="163">
        <v>0</v>
      </c>
      <c r="AD191" s="163">
        <v>0</v>
      </c>
      <c r="AE191" s="163">
        <v>0</v>
      </c>
      <c r="AF191" s="163">
        <v>0</v>
      </c>
      <c r="AG191" s="163">
        <v>0</v>
      </c>
      <c r="AH191" s="163">
        <v>0</v>
      </c>
      <c r="AI191" s="163">
        <v>0</v>
      </c>
      <c r="AJ191" s="163">
        <v>0</v>
      </c>
      <c r="AK191" s="163">
        <v>0</v>
      </c>
      <c r="AL191" s="163">
        <v>0</v>
      </c>
      <c r="AM191" s="163">
        <v>0</v>
      </c>
      <c r="AN191" s="163">
        <v>0</v>
      </c>
      <c r="AO191" s="163">
        <v>0</v>
      </c>
      <c r="AP191" s="163">
        <v>0</v>
      </c>
      <c r="AQ191" s="163">
        <v>0</v>
      </c>
      <c r="AR191" s="163">
        <v>0</v>
      </c>
      <c r="AS191" s="163">
        <v>0</v>
      </c>
      <c r="AT191" s="163">
        <v>0</v>
      </c>
      <c r="AU191" s="163">
        <v>0</v>
      </c>
      <c r="AV191" s="163">
        <v>0</v>
      </c>
      <c r="AW191" s="163">
        <v>0</v>
      </c>
      <c r="AX191" s="163">
        <v>0</v>
      </c>
      <c r="AY191" s="163">
        <v>0</v>
      </c>
      <c r="AZ191" s="163">
        <v>0</v>
      </c>
      <c r="BA191" s="163">
        <v>0</v>
      </c>
      <c r="BB191" s="163">
        <v>0</v>
      </c>
      <c r="BC191" s="163">
        <v>0</v>
      </c>
      <c r="BD191" s="163">
        <v>0</v>
      </c>
      <c r="BE191" s="163">
        <v>0</v>
      </c>
      <c r="BF191" s="163">
        <v>0</v>
      </c>
      <c r="BG191" s="163">
        <v>0</v>
      </c>
      <c r="BH191" s="163">
        <v>0</v>
      </c>
      <c r="BI191" s="163">
        <v>0</v>
      </c>
      <c r="BJ191" s="163">
        <v>0</v>
      </c>
      <c r="BK191" s="163">
        <v>0</v>
      </c>
      <c r="BL191" s="163">
        <v>0</v>
      </c>
      <c r="BM191" s="163">
        <v>0</v>
      </c>
      <c r="BN191" s="163">
        <v>0</v>
      </c>
      <c r="BO191" s="163">
        <v>0</v>
      </c>
      <c r="BP191" s="163">
        <v>0</v>
      </c>
      <c r="BQ191" s="163">
        <v>0</v>
      </c>
      <c r="BR191" s="163">
        <v>0</v>
      </c>
      <c r="BS191" s="163">
        <v>0</v>
      </c>
      <c r="BT191" s="163">
        <v>0</v>
      </c>
      <c r="BU191" s="163">
        <v>-607500</v>
      </c>
      <c r="BV191" s="163">
        <v>-607500</v>
      </c>
      <c r="BW191" s="163">
        <v>-742500</v>
      </c>
      <c r="BX191" s="163">
        <v>0</v>
      </c>
      <c r="BY191" s="163">
        <v>0</v>
      </c>
      <c r="BZ191" s="163">
        <v>0</v>
      </c>
      <c r="CA191" s="163">
        <v>0</v>
      </c>
      <c r="CB191" s="163">
        <v>0</v>
      </c>
      <c r="CC191" s="163">
        <v>0</v>
      </c>
      <c r="CD191" s="163">
        <v>0</v>
      </c>
      <c r="CE191" s="163">
        <v>0</v>
      </c>
      <c r="CF191" s="163">
        <v>0</v>
      </c>
      <c r="CG191" s="163">
        <v>0</v>
      </c>
      <c r="CH191" s="163">
        <v>0</v>
      </c>
      <c r="CI191" s="163">
        <v>0</v>
      </c>
      <c r="CJ191" s="163">
        <v>0</v>
      </c>
      <c r="CK191" s="163">
        <v>0</v>
      </c>
      <c r="CL191" s="163">
        <v>0</v>
      </c>
      <c r="CM191" s="163">
        <v>0</v>
      </c>
      <c r="CN191" s="163">
        <v>0</v>
      </c>
      <c r="CO191" s="163">
        <v>0</v>
      </c>
      <c r="CP191" s="163">
        <v>0</v>
      </c>
      <c r="CQ191" s="163">
        <v>0</v>
      </c>
      <c r="CR191" s="163">
        <v>0</v>
      </c>
      <c r="CS191" s="163">
        <v>0</v>
      </c>
      <c r="CT191" s="163">
        <v>0</v>
      </c>
      <c r="CU191" s="163">
        <v>0</v>
      </c>
      <c r="CV191" s="163">
        <v>-1800000</v>
      </c>
      <c r="CW191" s="163">
        <v>-1800000</v>
      </c>
      <c r="CX191" s="163">
        <v>-1800000</v>
      </c>
      <c r="CY191" s="163">
        <v>0</v>
      </c>
      <c r="CZ191" s="163">
        <v>0</v>
      </c>
      <c r="DA191" s="163">
        <v>0</v>
      </c>
      <c r="DB191" s="163">
        <v>0</v>
      </c>
      <c r="DC191" s="163">
        <v>0</v>
      </c>
      <c r="DD191" s="163">
        <v>0</v>
      </c>
      <c r="DE191" s="163">
        <v>0</v>
      </c>
      <c r="DF191" s="163">
        <f>VLOOKUP($C191,'[3]BS ACC'!$C$5:$DH$1006,108,FALSE)</f>
        <v>0</v>
      </c>
      <c r="DG191" s="163">
        <f>VLOOKUP($C191,'[3]BS ACC'!$C$5:$DH$1006,109,FALSE)</f>
        <v>0</v>
      </c>
      <c r="DH191" s="163">
        <f>VLOOKUP($C191,'[3]BS ACC'!$C$5:$DH$1006,110,FALSE)</f>
        <v>0</v>
      </c>
    </row>
    <row r="192" spans="1:112">
      <c r="A192" s="350" t="str">
        <f t="shared" si="2"/>
        <v>2282010</v>
      </c>
      <c r="B192" s="350" t="s">
        <v>936</v>
      </c>
      <c r="C192" s="335" t="s">
        <v>726</v>
      </c>
      <c r="D192" s="340">
        <v>-2977012</v>
      </c>
      <c r="E192" s="340">
        <v>-3127012</v>
      </c>
      <c r="F192" s="340">
        <v>-3277012</v>
      </c>
      <c r="G192" s="340">
        <v>-3284830</v>
      </c>
      <c r="H192" s="340">
        <v>-3434830</v>
      </c>
      <c r="I192" s="340">
        <v>-3584830</v>
      </c>
      <c r="J192" s="340">
        <v>-4252841</v>
      </c>
      <c r="K192" s="340">
        <v>-4402841</v>
      </c>
      <c r="L192" s="340">
        <v>-4552841</v>
      </c>
      <c r="M192" s="340">
        <v>-4374096</v>
      </c>
      <c r="N192" s="340">
        <v>-4524096</v>
      </c>
      <c r="O192" s="340">
        <v>-4674096</v>
      </c>
      <c r="P192" s="341">
        <v>-4913010</v>
      </c>
      <c r="Q192" s="163">
        <v>-4913010</v>
      </c>
      <c r="R192" s="163">
        <v>-4913010</v>
      </c>
      <c r="S192" s="163">
        <v>-4428902</v>
      </c>
      <c r="T192" s="163">
        <v>-4426359</v>
      </c>
      <c r="U192" s="163">
        <v>-4426359</v>
      </c>
      <c r="V192" s="163">
        <v>-4045175</v>
      </c>
      <c r="W192" s="163">
        <v>-4045175</v>
      </c>
      <c r="X192" s="163">
        <v>-4045175</v>
      </c>
      <c r="Y192" s="163">
        <v>-3557213</v>
      </c>
      <c r="Z192" s="163">
        <v>-3557213</v>
      </c>
      <c r="AA192" s="163">
        <v>-3557213</v>
      </c>
      <c r="AB192" s="163">
        <v>-3936382</v>
      </c>
      <c r="AC192" s="163">
        <v>-3936382</v>
      </c>
      <c r="AD192" s="163">
        <v>-3936382</v>
      </c>
      <c r="AE192" s="163">
        <v>-3338502</v>
      </c>
      <c r="AF192" s="163">
        <v>-3338502</v>
      </c>
      <c r="AG192" s="163">
        <v>-3338502</v>
      </c>
      <c r="AH192" s="163">
        <v>-3583536</v>
      </c>
      <c r="AI192" s="163">
        <v>-3583536</v>
      </c>
      <c r="AJ192" s="163">
        <v>-3583536</v>
      </c>
      <c r="AK192" s="163">
        <v>-3284669</v>
      </c>
      <c r="AL192" s="163">
        <v>-3284669</v>
      </c>
      <c r="AM192" s="163">
        <v>-3284669</v>
      </c>
      <c r="AN192" s="163">
        <v>-3317709</v>
      </c>
      <c r="AO192" s="163">
        <v>-3317709</v>
      </c>
      <c r="AP192" s="163">
        <v>-3317709</v>
      </c>
      <c r="AQ192" s="163">
        <v>-2645511</v>
      </c>
      <c r="AR192" s="163">
        <v>-2645511</v>
      </c>
      <c r="AS192" s="163">
        <v>-2645511</v>
      </c>
      <c r="AT192" s="163">
        <v>-5916760</v>
      </c>
      <c r="AU192" s="163">
        <v>-5916760</v>
      </c>
      <c r="AV192" s="163">
        <v>-5894260</v>
      </c>
      <c r="AW192" s="163">
        <v>-2661674</v>
      </c>
      <c r="AX192" s="163">
        <v>-2661674</v>
      </c>
      <c r="AY192" s="163">
        <v>-2661674</v>
      </c>
      <c r="AZ192" s="163">
        <v>-2777927</v>
      </c>
      <c r="BA192" s="163">
        <v>-2777927</v>
      </c>
      <c r="BB192" s="163">
        <v>-2777927</v>
      </c>
      <c r="BC192" s="163">
        <v>-2753888</v>
      </c>
      <c r="BD192" s="163">
        <v>-2753888</v>
      </c>
      <c r="BE192" s="163">
        <v>-2753888</v>
      </c>
      <c r="BF192" s="163">
        <v>-2741302</v>
      </c>
      <c r="BG192" s="163">
        <v>-2741302</v>
      </c>
      <c r="BH192" s="163">
        <v>-2741302</v>
      </c>
      <c r="BI192" s="163">
        <v>-2700808</v>
      </c>
      <c r="BJ192" s="163">
        <v>-2700808</v>
      </c>
      <c r="BK192" s="163">
        <v>-2700808</v>
      </c>
      <c r="BL192" s="163">
        <v>-2833204</v>
      </c>
      <c r="BM192" s="163">
        <v>-2833204</v>
      </c>
      <c r="BN192" s="163">
        <v>-2833204</v>
      </c>
      <c r="BO192" s="163">
        <v>-2833204</v>
      </c>
      <c r="BP192" s="163">
        <v>-3627465</v>
      </c>
      <c r="BQ192" s="163">
        <v>-3627465</v>
      </c>
      <c r="BR192" s="163">
        <v>-3840485</v>
      </c>
      <c r="BS192" s="163">
        <v>-4840485</v>
      </c>
      <c r="BT192" s="163">
        <v>-4840485</v>
      </c>
      <c r="BU192" s="163">
        <v>-3453036</v>
      </c>
      <c r="BV192" s="163">
        <v>-3453036</v>
      </c>
      <c r="BW192" s="163">
        <v>-3453036</v>
      </c>
      <c r="BX192" s="163">
        <v>-4267723</v>
      </c>
      <c r="BY192" s="163">
        <v>-4267723</v>
      </c>
      <c r="BZ192" s="163">
        <v>-4267723</v>
      </c>
      <c r="CA192" s="163">
        <v>-3911280</v>
      </c>
      <c r="CB192" s="163">
        <v>-3910890</v>
      </c>
      <c r="CC192" s="163">
        <v>-3910890</v>
      </c>
      <c r="CD192" s="163">
        <v>-4199570</v>
      </c>
      <c r="CE192" s="163">
        <v>-4199570</v>
      </c>
      <c r="CF192" s="163">
        <v>-4199570</v>
      </c>
      <c r="CG192" s="163">
        <v>-7812307</v>
      </c>
      <c r="CH192" s="163">
        <v>-7812307</v>
      </c>
      <c r="CI192" s="163">
        <v>-7812307</v>
      </c>
      <c r="CJ192" s="163">
        <v>-8586727</v>
      </c>
      <c r="CK192" s="163">
        <v>-8586727</v>
      </c>
      <c r="CL192" s="163">
        <v>-8586727</v>
      </c>
      <c r="CM192" s="163">
        <v>-8517781</v>
      </c>
      <c r="CN192" s="163">
        <v>-8517302.0099999998</v>
      </c>
      <c r="CO192" s="163">
        <v>-8517302.0099999998</v>
      </c>
      <c r="CP192" s="163">
        <v>-10573742</v>
      </c>
      <c r="CQ192" s="163">
        <v>-10573742</v>
      </c>
      <c r="CR192" s="163">
        <v>-10573742</v>
      </c>
      <c r="CS192" s="163">
        <v>-17542979</v>
      </c>
      <c r="CT192" s="163">
        <v>-13048511</v>
      </c>
      <c r="CU192" s="163">
        <v>-15625446.68</v>
      </c>
      <c r="CV192" s="163">
        <v>-25972093</v>
      </c>
      <c r="CW192" s="163">
        <v>-24472093</v>
      </c>
      <c r="CX192" s="163">
        <v>-25972093</v>
      </c>
      <c r="CY192" s="163">
        <v>-23083613</v>
      </c>
      <c r="CZ192" s="163">
        <v>-22395613</v>
      </c>
      <c r="DA192" s="163">
        <v>-22117976</v>
      </c>
      <c r="DB192" s="163">
        <v>-22983340</v>
      </c>
      <c r="DC192" s="163">
        <v>-21683340</v>
      </c>
      <c r="DD192" s="163">
        <v>-19853983.199999999</v>
      </c>
      <c r="DE192" s="163">
        <v>-17775923</v>
      </c>
      <c r="DF192" s="163">
        <f>VLOOKUP($C192,'[3]BS ACC'!$C$5:$DH$1006,108,FALSE)</f>
        <v>-17775923</v>
      </c>
      <c r="DG192" s="163">
        <f>VLOOKUP($C192,'[3]BS ACC'!$C$5:$DH$1006,109,FALSE)</f>
        <v>-17775923</v>
      </c>
      <c r="DH192" s="163">
        <f>VLOOKUP($C192,'[3]BS ACC'!$C$5:$DH$1006,110,FALSE)</f>
        <v>-15167624</v>
      </c>
    </row>
    <row r="193" spans="1:112">
      <c r="A193" s="350" t="str">
        <f t="shared" si="2"/>
        <v>2282020</v>
      </c>
      <c r="B193" s="350" t="s">
        <v>1425</v>
      </c>
      <c r="C193" s="335" t="s">
        <v>1424</v>
      </c>
      <c r="D193" s="340"/>
      <c r="E193" s="340"/>
      <c r="F193" s="340"/>
      <c r="G193" s="340"/>
      <c r="H193" s="340"/>
      <c r="I193" s="340"/>
      <c r="J193" s="340"/>
      <c r="K193" s="340"/>
      <c r="L193" s="340"/>
      <c r="M193" s="340"/>
      <c r="N193" s="340"/>
      <c r="O193" s="340"/>
      <c r="P193" s="341"/>
      <c r="Q193" s="163"/>
      <c r="R193" s="163"/>
      <c r="S193" s="163"/>
      <c r="T193" s="163"/>
      <c r="U193" s="163"/>
      <c r="V193" s="163"/>
      <c r="W193" s="163"/>
      <c r="X193" s="163"/>
      <c r="Y193" s="163"/>
      <c r="Z193" s="163"/>
      <c r="AA193" s="163"/>
      <c r="AB193" s="163"/>
      <c r="AC193" s="163">
        <v>35</v>
      </c>
      <c r="AD193" s="163">
        <v>35</v>
      </c>
      <c r="AE193" s="163">
        <v>35</v>
      </c>
      <c r="AF193" s="163">
        <v>35</v>
      </c>
      <c r="AG193" s="163">
        <v>35</v>
      </c>
      <c r="AH193" s="163">
        <v>35</v>
      </c>
      <c r="AI193" s="163">
        <v>35</v>
      </c>
      <c r="AJ193" s="163">
        <v>35</v>
      </c>
      <c r="AK193" s="163">
        <v>120</v>
      </c>
      <c r="AL193" s="163">
        <v>154</v>
      </c>
      <c r="AM193" s="163">
        <v>1140.5</v>
      </c>
      <c r="AN193" s="163">
        <v>4888.6000000000004</v>
      </c>
      <c r="AO193" s="163">
        <v>6979.4</v>
      </c>
      <c r="AP193" s="163">
        <v>8118.5</v>
      </c>
      <c r="AQ193" s="163">
        <v>-442495</v>
      </c>
      <c r="AR193" s="163">
        <v>-442495</v>
      </c>
      <c r="AS193" s="163">
        <v>-440950.3</v>
      </c>
      <c r="AT193" s="163">
        <v>-475505</v>
      </c>
      <c r="AU193" s="163">
        <v>-475505</v>
      </c>
      <c r="AV193" s="163">
        <v>-471295.58</v>
      </c>
      <c r="AW193" s="163">
        <v>-448380</v>
      </c>
      <c r="AX193" s="163">
        <v>-442501.12</v>
      </c>
      <c r="AY193" s="163">
        <v>-442501.12</v>
      </c>
      <c r="AZ193" s="163">
        <v>-528120</v>
      </c>
      <c r="BA193" s="163">
        <v>-528120</v>
      </c>
      <c r="BB193" s="163">
        <v>-527071.31999999995</v>
      </c>
      <c r="BC193" s="163">
        <v>-415922</v>
      </c>
      <c r="BD193" s="163">
        <v>-415675.3</v>
      </c>
      <c r="BE193" s="163">
        <v>-415675.3</v>
      </c>
      <c r="BF193" s="163">
        <v>-470941.7</v>
      </c>
      <c r="BG193" s="163">
        <v>-470767.5</v>
      </c>
      <c r="BH193" s="163">
        <v>-470695</v>
      </c>
      <c r="BI193" s="163">
        <v>-530687</v>
      </c>
      <c r="BJ193" s="163">
        <v>-530599</v>
      </c>
      <c r="BK193" s="163">
        <v>-530599</v>
      </c>
      <c r="BL193" s="163">
        <v>-287151</v>
      </c>
      <c r="BM193" s="163">
        <v>-287151</v>
      </c>
      <c r="BN193" s="163">
        <v>-287151</v>
      </c>
      <c r="BO193" s="163">
        <v>-303615</v>
      </c>
      <c r="BP193" s="163">
        <v>-303615</v>
      </c>
      <c r="BQ193" s="163">
        <v>-303615</v>
      </c>
      <c r="BR193" s="163">
        <v>-303447</v>
      </c>
      <c r="BS193" s="163">
        <v>-303447</v>
      </c>
      <c r="BT193" s="163">
        <v>-303447</v>
      </c>
      <c r="BU193" s="163">
        <v>-189856</v>
      </c>
      <c r="BV193" s="163">
        <v>-189856</v>
      </c>
      <c r="BW193" s="163">
        <v>-189856</v>
      </c>
      <c r="BX193" s="163">
        <v>-222241</v>
      </c>
      <c r="BY193" s="163">
        <v>-221961</v>
      </c>
      <c r="BZ193" s="163">
        <v>-221961</v>
      </c>
      <c r="CA193" s="163">
        <v>-242751</v>
      </c>
      <c r="CB193" s="163">
        <v>-242751</v>
      </c>
      <c r="CC193" s="163">
        <v>-242751</v>
      </c>
      <c r="CD193" s="163">
        <v>-260472</v>
      </c>
      <c r="CE193" s="163">
        <v>-260472</v>
      </c>
      <c r="CF193" s="163">
        <v>-260472</v>
      </c>
      <c r="CG193" s="163">
        <v>-259282</v>
      </c>
      <c r="CH193" s="163">
        <v>-259282</v>
      </c>
      <c r="CI193" s="163">
        <v>-259282</v>
      </c>
      <c r="CJ193" s="163">
        <v>-173606</v>
      </c>
      <c r="CK193" s="163">
        <v>-173606</v>
      </c>
      <c r="CL193" s="163">
        <v>-173606</v>
      </c>
      <c r="CM193" s="163">
        <v>-184879</v>
      </c>
      <c r="CN193" s="163">
        <v>-184879</v>
      </c>
      <c r="CO193" s="163">
        <v>-184879</v>
      </c>
      <c r="CP193" s="163">
        <v>-245056</v>
      </c>
      <c r="CQ193" s="163">
        <v>-243602.4</v>
      </c>
      <c r="CR193" s="163">
        <v>-243602.4</v>
      </c>
      <c r="CS193" s="163">
        <v>-211795</v>
      </c>
      <c r="CT193" s="163">
        <v>-211795</v>
      </c>
      <c r="CU193" s="163">
        <v>-211795</v>
      </c>
      <c r="CV193" s="163">
        <v>-202973</v>
      </c>
      <c r="CW193" s="163">
        <v>-202973</v>
      </c>
      <c r="CX193" s="163">
        <v>-202973</v>
      </c>
      <c r="CY193" s="163">
        <v>-220715</v>
      </c>
      <c r="CZ193" s="163">
        <v>-220715</v>
      </c>
      <c r="DA193" s="163">
        <v>-220715</v>
      </c>
      <c r="DB193" s="163">
        <v>-232080</v>
      </c>
      <c r="DC193" s="163">
        <v>-232080</v>
      </c>
      <c r="DD193" s="163">
        <v>-232080</v>
      </c>
      <c r="DE193" s="163">
        <v>-268637</v>
      </c>
      <c r="DF193" s="163">
        <f>VLOOKUP($C193,'[3]BS ACC'!$C$5:$DH$1006,108,FALSE)</f>
        <v>-268637</v>
      </c>
      <c r="DG193" s="163">
        <f>VLOOKUP($C193,'[3]BS ACC'!$C$5:$DH$1006,109,FALSE)</f>
        <v>-268637</v>
      </c>
      <c r="DH193" s="163">
        <f>VLOOKUP($C193,'[3]BS ACC'!$C$5:$DH$1006,110,FALSE)</f>
        <v>-276223</v>
      </c>
    </row>
    <row r="194" spans="1:112">
      <c r="A194" s="350" t="str">
        <f t="shared" si="2"/>
        <v>2282110</v>
      </c>
      <c r="B194" s="350" t="s">
        <v>939</v>
      </c>
      <c r="C194" s="335" t="s">
        <v>727</v>
      </c>
      <c r="D194" s="340"/>
      <c r="E194" s="340">
        <v>0</v>
      </c>
      <c r="F194" s="340">
        <v>0</v>
      </c>
      <c r="G194" s="340">
        <v>0</v>
      </c>
      <c r="H194" s="340">
        <v>0</v>
      </c>
      <c r="I194" s="340">
        <v>0</v>
      </c>
      <c r="J194" s="340">
        <v>965548</v>
      </c>
      <c r="K194" s="340">
        <v>965548</v>
      </c>
      <c r="L194" s="340">
        <v>965548</v>
      </c>
      <c r="M194" s="340">
        <v>884065</v>
      </c>
      <c r="N194" s="340">
        <v>884065</v>
      </c>
      <c r="O194" s="340">
        <v>884065</v>
      </c>
      <c r="P194" s="341">
        <v>1561309</v>
      </c>
      <c r="Q194" s="163">
        <v>1561309</v>
      </c>
      <c r="R194" s="163">
        <v>1561309</v>
      </c>
      <c r="S194" s="163">
        <v>1505526</v>
      </c>
      <c r="T194" s="163">
        <v>1505526</v>
      </c>
      <c r="U194" s="163">
        <v>1505526</v>
      </c>
      <c r="V194" s="163">
        <v>1400612</v>
      </c>
      <c r="W194" s="163">
        <v>1400612</v>
      </c>
      <c r="X194" s="163">
        <v>1400612</v>
      </c>
      <c r="Y194" s="163">
        <v>1146619</v>
      </c>
      <c r="Z194" s="163">
        <v>1146619</v>
      </c>
      <c r="AA194" s="163">
        <v>1146619</v>
      </c>
      <c r="AB194" s="163">
        <v>1139255</v>
      </c>
      <c r="AC194" s="163">
        <v>1139255</v>
      </c>
      <c r="AD194" s="163">
        <v>1139255</v>
      </c>
      <c r="AE194" s="163">
        <v>965765</v>
      </c>
      <c r="AF194" s="163">
        <v>965765</v>
      </c>
      <c r="AG194" s="163">
        <v>965765</v>
      </c>
      <c r="AH194" s="163">
        <v>816969</v>
      </c>
      <c r="AI194" s="163">
        <v>816969</v>
      </c>
      <c r="AJ194" s="163">
        <v>816969</v>
      </c>
      <c r="AK194" s="163">
        <v>619034</v>
      </c>
      <c r="AL194" s="163">
        <v>619034</v>
      </c>
      <c r="AM194" s="163">
        <v>619034</v>
      </c>
      <c r="AN194" s="163">
        <v>395451</v>
      </c>
      <c r="AO194" s="163">
        <v>395451</v>
      </c>
      <c r="AP194" s="163">
        <v>395451</v>
      </c>
      <c r="AQ194" s="163">
        <v>170265</v>
      </c>
      <c r="AR194" s="163">
        <v>170265</v>
      </c>
      <c r="AS194" s="163">
        <v>170265</v>
      </c>
      <c r="AT194" s="163">
        <v>3635693</v>
      </c>
      <c r="AU194" s="163">
        <v>3635693</v>
      </c>
      <c r="AV194" s="163">
        <v>3635693</v>
      </c>
      <c r="AW194" s="163">
        <v>0</v>
      </c>
      <c r="AX194" s="163">
        <v>0</v>
      </c>
      <c r="AY194" s="163">
        <v>0</v>
      </c>
      <c r="AZ194" s="163">
        <v>621882</v>
      </c>
      <c r="BA194" s="163">
        <v>621882</v>
      </c>
      <c r="BB194" s="163">
        <v>621882</v>
      </c>
      <c r="BC194" s="163">
        <v>608697</v>
      </c>
      <c r="BD194" s="163">
        <v>608697</v>
      </c>
      <c r="BE194" s="163">
        <v>608697</v>
      </c>
      <c r="BF194" s="163">
        <v>562064</v>
      </c>
      <c r="BG194" s="163">
        <v>562064</v>
      </c>
      <c r="BH194" s="163">
        <v>562064</v>
      </c>
      <c r="BI194" s="163">
        <v>547823</v>
      </c>
      <c r="BJ194" s="163">
        <v>547823</v>
      </c>
      <c r="BK194" s="163">
        <v>547823</v>
      </c>
      <c r="BL194" s="163">
        <v>498949</v>
      </c>
      <c r="BM194" s="163">
        <v>498949</v>
      </c>
      <c r="BN194" s="163">
        <v>498949</v>
      </c>
      <c r="BO194" s="163">
        <v>-295312</v>
      </c>
      <c r="BP194" s="163">
        <v>498949</v>
      </c>
      <c r="BQ194" s="163">
        <v>498949</v>
      </c>
      <c r="BR194" s="163">
        <v>498949</v>
      </c>
      <c r="BS194" s="163">
        <v>498949</v>
      </c>
      <c r="BT194" s="163">
        <v>498949</v>
      </c>
      <c r="BU194" s="163">
        <v>160000</v>
      </c>
      <c r="BV194" s="163">
        <v>160000</v>
      </c>
      <c r="BW194" s="163">
        <v>160000</v>
      </c>
      <c r="BX194" s="163">
        <v>160000</v>
      </c>
      <c r="BY194" s="163">
        <v>160000</v>
      </c>
      <c r="BZ194" s="163">
        <v>160000</v>
      </c>
      <c r="CA194" s="163">
        <v>160000</v>
      </c>
      <c r="CB194" s="163">
        <v>160000</v>
      </c>
      <c r="CC194" s="163">
        <v>160000</v>
      </c>
      <c r="CD194" s="163">
        <v>160000</v>
      </c>
      <c r="CE194" s="163">
        <v>160000</v>
      </c>
      <c r="CF194" s="163">
        <v>160000</v>
      </c>
      <c r="CG194" s="163">
        <v>3862000</v>
      </c>
      <c r="CH194" s="163">
        <v>3862000</v>
      </c>
      <c r="CI194" s="163">
        <v>3862000</v>
      </c>
      <c r="CJ194" s="163">
        <v>3904599</v>
      </c>
      <c r="CK194" s="163">
        <v>3904599</v>
      </c>
      <c r="CL194" s="163">
        <v>3904599</v>
      </c>
      <c r="CM194" s="163">
        <v>3703243</v>
      </c>
      <c r="CN194" s="163">
        <v>3703243</v>
      </c>
      <c r="CO194" s="163">
        <v>3703243</v>
      </c>
      <c r="CP194" s="163">
        <v>5917066</v>
      </c>
      <c r="CQ194" s="163">
        <v>5917066</v>
      </c>
      <c r="CR194" s="163">
        <v>5917066</v>
      </c>
      <c r="CS194" s="163">
        <v>12542012</v>
      </c>
      <c r="CT194" s="163">
        <v>12542012</v>
      </c>
      <c r="CU194" s="163">
        <v>12542012</v>
      </c>
      <c r="CV194" s="163">
        <v>1000000</v>
      </c>
      <c r="CW194" s="163">
        <v>1000000</v>
      </c>
      <c r="CX194" s="163">
        <v>1000000</v>
      </c>
      <c r="CY194" s="163">
        <v>0</v>
      </c>
      <c r="CZ194" s="163">
        <v>0</v>
      </c>
      <c r="DA194" s="163">
        <v>0</v>
      </c>
      <c r="DB194" s="163">
        <v>0</v>
      </c>
      <c r="DC194" s="163">
        <v>0</v>
      </c>
      <c r="DD194" s="163">
        <v>0</v>
      </c>
      <c r="DE194" s="163">
        <v>0</v>
      </c>
      <c r="DF194" s="163">
        <f>VLOOKUP($C194,'[3]BS ACC'!$C$5:$DH$1006,108,FALSE)</f>
        <v>0</v>
      </c>
      <c r="DG194" s="163">
        <f>VLOOKUP($C194,'[3]BS ACC'!$C$5:$DH$1006,109,FALSE)</f>
        <v>0</v>
      </c>
      <c r="DH194" s="163">
        <f>VLOOKUP($C194,'[3]BS ACC'!$C$5:$DH$1006,110,FALSE)</f>
        <v>0</v>
      </c>
    </row>
    <row r="195" spans="1:112">
      <c r="A195" s="350" t="str">
        <f t="shared" si="2"/>
        <v>2282210</v>
      </c>
      <c r="B195" s="350" t="s">
        <v>2753</v>
      </c>
      <c r="C195" s="335" t="s">
        <v>2752</v>
      </c>
      <c r="D195" s="340"/>
      <c r="E195" s="340"/>
      <c r="F195" s="340"/>
      <c r="G195" s="340"/>
      <c r="H195" s="340"/>
      <c r="I195" s="340"/>
      <c r="J195" s="340"/>
      <c r="K195" s="340"/>
      <c r="L195" s="340"/>
      <c r="M195" s="340"/>
      <c r="N195" s="340"/>
      <c r="O195" s="340"/>
      <c r="P195" s="341"/>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c r="BI195" s="163"/>
      <c r="BJ195" s="163"/>
      <c r="BK195" s="163"/>
      <c r="BL195" s="163"/>
      <c r="BM195" s="163"/>
      <c r="BN195" s="163"/>
      <c r="BO195" s="163"/>
      <c r="BP195" s="163"/>
      <c r="BQ195" s="163"/>
      <c r="BR195" s="163"/>
      <c r="BS195" s="163"/>
      <c r="BT195" s="163"/>
      <c r="BU195" s="163"/>
      <c r="BV195" s="163"/>
      <c r="BW195" s="163"/>
      <c r="BX195" s="163"/>
      <c r="BY195" s="163"/>
      <c r="BZ195" s="163"/>
      <c r="CA195" s="163"/>
      <c r="CB195" s="163"/>
      <c r="CC195" s="163"/>
      <c r="CD195" s="163"/>
      <c r="CE195" s="163"/>
      <c r="CF195" s="163"/>
      <c r="CG195" s="163"/>
      <c r="CH195" s="163"/>
      <c r="CI195" s="163"/>
      <c r="CJ195" s="163">
        <v>0</v>
      </c>
      <c r="CK195" s="163">
        <v>0</v>
      </c>
      <c r="CL195" s="163">
        <v>0</v>
      </c>
      <c r="CM195" s="163">
        <v>0</v>
      </c>
      <c r="CN195" s="163">
        <v>0</v>
      </c>
      <c r="CO195" s="163">
        <v>0</v>
      </c>
      <c r="CP195" s="163">
        <v>0</v>
      </c>
      <c r="CQ195" s="163">
        <v>0</v>
      </c>
      <c r="CR195" s="163">
        <v>0</v>
      </c>
      <c r="CS195" s="163">
        <v>0</v>
      </c>
      <c r="CT195" s="163">
        <v>0</v>
      </c>
      <c r="CU195" s="163">
        <v>0</v>
      </c>
      <c r="CV195" s="163">
        <v>20670478</v>
      </c>
      <c r="CW195" s="163">
        <v>20670478</v>
      </c>
      <c r="CX195" s="163">
        <v>20670478</v>
      </c>
      <c r="CY195" s="163">
        <v>17520008</v>
      </c>
      <c r="CZ195" s="163">
        <v>17520008</v>
      </c>
      <c r="DA195" s="163">
        <v>17520008</v>
      </c>
      <c r="DB195" s="163">
        <v>17458982</v>
      </c>
      <c r="DC195" s="163">
        <v>17458982</v>
      </c>
      <c r="DD195" s="163">
        <v>17458982</v>
      </c>
      <c r="DE195" s="163">
        <v>13448848</v>
      </c>
      <c r="DF195" s="163">
        <f>VLOOKUP($C195,'[3]BS ACC'!$C$5:$DH$1006,108,FALSE)</f>
        <v>13448848</v>
      </c>
      <c r="DG195" s="163">
        <f>VLOOKUP($C195,'[3]BS ACC'!$C$5:$DH$1006,109,FALSE)</f>
        <v>13448848</v>
      </c>
      <c r="DH195" s="163">
        <f>VLOOKUP($C195,'[3]BS ACC'!$C$5:$DH$1006,110,FALSE)</f>
        <v>11720200</v>
      </c>
    </row>
    <row r="196" spans="1:112">
      <c r="A196" s="350" t="str">
        <f t="shared" si="2"/>
        <v>2283200</v>
      </c>
      <c r="B196" s="350" t="s">
        <v>930</v>
      </c>
      <c r="C196" s="335" t="s">
        <v>728</v>
      </c>
      <c r="D196" s="340">
        <v>10238592.390000001</v>
      </c>
      <c r="E196" s="340">
        <v>11113342.390000001</v>
      </c>
      <c r="F196" s="340">
        <v>10965092.390000001</v>
      </c>
      <c r="G196" s="340">
        <v>11595162.390000001</v>
      </c>
      <c r="H196" s="340">
        <v>12636298.390000001</v>
      </c>
      <c r="I196" s="340">
        <v>12489295.390000001</v>
      </c>
      <c r="J196" s="340">
        <v>12342292.390000001</v>
      </c>
      <c r="K196" s="340">
        <v>13319289.390000001</v>
      </c>
      <c r="L196" s="340">
        <v>13172286.390000001</v>
      </c>
      <c r="M196" s="340">
        <v>14161868.390000001</v>
      </c>
      <c r="N196" s="340">
        <v>14027450.390000001</v>
      </c>
      <c r="O196" s="340">
        <v>13893032.390000001</v>
      </c>
      <c r="P196" s="341">
        <v>13758614.390000001</v>
      </c>
      <c r="Q196" s="163">
        <v>14821655.390000001</v>
      </c>
      <c r="R196" s="163">
        <v>14678803.390000001</v>
      </c>
      <c r="S196" s="163">
        <v>14855837.390000001</v>
      </c>
      <c r="T196" s="163">
        <v>15381871.390000001</v>
      </c>
      <c r="U196" s="163">
        <v>15125175.390000001</v>
      </c>
      <c r="V196" s="163">
        <v>14978663.390000001</v>
      </c>
      <c r="W196" s="163">
        <v>15588151.390000001</v>
      </c>
      <c r="X196" s="163">
        <v>15197481.390000001</v>
      </c>
      <c r="Y196" s="163">
        <v>16696969.390000001</v>
      </c>
      <c r="Z196" s="163">
        <v>16550457.390000001</v>
      </c>
      <c r="AA196" s="163">
        <v>16403945.390000001</v>
      </c>
      <c r="AB196" s="163">
        <v>16257433.390000001</v>
      </c>
      <c r="AC196" s="163">
        <v>16126312.390000001</v>
      </c>
      <c r="AD196" s="163">
        <v>15995191.390000001</v>
      </c>
      <c r="AE196" s="163">
        <v>16288070.390000001</v>
      </c>
      <c r="AF196" s="163">
        <v>17112497.390000001</v>
      </c>
      <c r="AG196" s="163">
        <v>16975263.390000001</v>
      </c>
      <c r="AH196" s="163">
        <v>16838029.390000001</v>
      </c>
      <c r="AI196" s="163">
        <v>17680795.390000001</v>
      </c>
      <c r="AJ196" s="163">
        <v>17543561.390000001</v>
      </c>
      <c r="AK196" s="163">
        <v>18356205.390000001</v>
      </c>
      <c r="AL196" s="163">
        <v>18215624.390000001</v>
      </c>
      <c r="AM196" s="163">
        <v>18075043.390000001</v>
      </c>
      <c r="AN196" s="163">
        <v>17934462.390000001</v>
      </c>
      <c r="AO196" s="163">
        <v>18777571.390000001</v>
      </c>
      <c r="AP196" s="163">
        <v>18650259.390000001</v>
      </c>
      <c r="AQ196" s="163">
        <v>18977832.390000001</v>
      </c>
      <c r="AR196" s="163">
        <v>19918520.390000001</v>
      </c>
      <c r="AS196" s="163">
        <v>19791208.390000001</v>
      </c>
      <c r="AT196" s="163">
        <v>19590161.390000001</v>
      </c>
      <c r="AU196" s="163">
        <v>20518125.390000001</v>
      </c>
      <c r="AV196" s="163">
        <v>20378524.390000001</v>
      </c>
      <c r="AW196" s="163">
        <v>21306487.390000001</v>
      </c>
      <c r="AX196" s="163">
        <v>21166886.390000001</v>
      </c>
      <c r="AY196" s="163">
        <v>21027285.390000001</v>
      </c>
      <c r="AZ196" s="163">
        <v>20887684.390000001</v>
      </c>
      <c r="BA196" s="163">
        <v>21678143.390000001</v>
      </c>
      <c r="BB196" s="163">
        <v>21548754.390000001</v>
      </c>
      <c r="BC196" s="163">
        <v>21419365.390000001</v>
      </c>
      <c r="BD196" s="163">
        <v>21289976.390000001</v>
      </c>
      <c r="BE196" s="163">
        <v>21030394.390000001</v>
      </c>
      <c r="BF196" s="163">
        <v>20874966.390000001</v>
      </c>
      <c r="BG196" s="163">
        <v>20719538.390000001</v>
      </c>
      <c r="BH196" s="163">
        <v>20564110.390000001</v>
      </c>
      <c r="BI196" s="163">
        <v>20408682.390000001</v>
      </c>
      <c r="BJ196" s="163">
        <v>20253254.390000001</v>
      </c>
      <c r="BK196" s="163">
        <v>20097826.390000001</v>
      </c>
      <c r="BL196" s="163">
        <v>19942398.390000001</v>
      </c>
      <c r="BM196" s="163">
        <v>19808286.390000001</v>
      </c>
      <c r="BN196" s="163">
        <v>19674174.390000001</v>
      </c>
      <c r="BO196" s="163">
        <v>19540062.390000001</v>
      </c>
      <c r="BP196" s="163">
        <v>20244950.390000001</v>
      </c>
      <c r="BQ196" s="163">
        <v>20110838.390000001</v>
      </c>
      <c r="BR196" s="163">
        <v>20051012.390000001</v>
      </c>
      <c r="BS196" s="163">
        <v>20768280.390000001</v>
      </c>
      <c r="BT196" s="163">
        <v>20646548.390000001</v>
      </c>
      <c r="BU196" s="163">
        <v>21363816.390000001</v>
      </c>
      <c r="BV196" s="163">
        <v>21242084.390000001</v>
      </c>
      <c r="BW196" s="163">
        <v>21096376.390000001</v>
      </c>
      <c r="BX196" s="163">
        <v>20912147.390000001</v>
      </c>
      <c r="BY196" s="163">
        <v>21424731.390000001</v>
      </c>
      <c r="BZ196" s="163">
        <v>21277315.390000001</v>
      </c>
      <c r="CA196" s="163">
        <v>21129899.390000001</v>
      </c>
      <c r="CB196" s="163">
        <v>21642483.390000001</v>
      </c>
      <c r="CC196" s="163">
        <v>21495067.390000001</v>
      </c>
      <c r="CD196" s="163">
        <v>21276473.390000001</v>
      </c>
      <c r="CE196" s="163">
        <v>21777193.390000001</v>
      </c>
      <c r="CF196" s="163">
        <v>21617913.390000001</v>
      </c>
      <c r="CG196" s="163">
        <v>22118633.390000001</v>
      </c>
      <c r="CH196" s="163">
        <v>21959353.390000001</v>
      </c>
      <c r="CI196" s="163">
        <v>21800073.390000001</v>
      </c>
      <c r="CJ196" s="163">
        <v>21640793.390000001</v>
      </c>
      <c r="CK196" s="163">
        <v>22289760.390000001</v>
      </c>
      <c r="CL196" s="163">
        <v>22137727.390000001</v>
      </c>
      <c r="CM196" s="163">
        <v>21985550.390000001</v>
      </c>
      <c r="CN196" s="163">
        <v>22634517.390000001</v>
      </c>
      <c r="CO196" s="163">
        <v>22482484.390000001</v>
      </c>
      <c r="CP196" s="163">
        <v>22330451.390000001</v>
      </c>
      <c r="CQ196" s="163">
        <v>22795460.390000001</v>
      </c>
      <c r="CR196" s="163">
        <v>22617148.390000001</v>
      </c>
      <c r="CS196" s="163">
        <v>23239836.390000001</v>
      </c>
      <c r="CT196" s="163">
        <v>23061524.390000001</v>
      </c>
      <c r="CU196" s="163">
        <v>22883212.390000001</v>
      </c>
      <c r="CV196" s="163">
        <v>22704900.390000001</v>
      </c>
      <c r="CW196" s="163">
        <v>-2208277.61</v>
      </c>
      <c r="CX196" s="163">
        <v>0</v>
      </c>
      <c r="CY196" s="163">
        <v>0</v>
      </c>
      <c r="CZ196" s="163">
        <v>0</v>
      </c>
      <c r="DA196" s="163">
        <v>0</v>
      </c>
      <c r="DB196" s="163">
        <v>0</v>
      </c>
      <c r="DC196" s="163">
        <v>0</v>
      </c>
      <c r="DD196" s="163">
        <v>0</v>
      </c>
      <c r="DE196" s="163">
        <v>0</v>
      </c>
      <c r="DF196" s="163">
        <f>VLOOKUP($C196,'[3]BS ACC'!$C$5:$DH$1006,108,FALSE)</f>
        <v>0</v>
      </c>
      <c r="DG196" s="163">
        <f>VLOOKUP($C196,'[3]BS ACC'!$C$5:$DH$1006,109,FALSE)</f>
        <v>0</v>
      </c>
      <c r="DH196" s="163">
        <f>VLOOKUP($C196,'[3]BS ACC'!$C$5:$DH$1006,110,FALSE)</f>
        <v>27332089</v>
      </c>
    </row>
    <row r="197" spans="1:112">
      <c r="A197" s="350" t="str">
        <f t="shared" si="2"/>
        <v>2283201</v>
      </c>
      <c r="B197" s="1234" t="s">
        <v>907</v>
      </c>
      <c r="C197" s="335" t="s">
        <v>729</v>
      </c>
      <c r="D197" s="340">
        <v>-15209123</v>
      </c>
      <c r="E197" s="340">
        <v>-15209123</v>
      </c>
      <c r="F197" s="340">
        <v>-15209123</v>
      </c>
      <c r="G197" s="340">
        <v>-14877501</v>
      </c>
      <c r="H197" s="340">
        <v>-14877501</v>
      </c>
      <c r="I197" s="340">
        <v>-14877501</v>
      </c>
      <c r="J197" s="340">
        <v>-14551549</v>
      </c>
      <c r="K197" s="340">
        <v>-14551549</v>
      </c>
      <c r="L197" s="340">
        <v>-14551549</v>
      </c>
      <c r="M197" s="340">
        <v>-14402706</v>
      </c>
      <c r="N197" s="340">
        <v>-14402706</v>
      </c>
      <c r="O197" s="340">
        <v>-14402706</v>
      </c>
      <c r="P197" s="341">
        <v>-17295637</v>
      </c>
      <c r="Q197" s="163">
        <v>-17295637</v>
      </c>
      <c r="R197" s="163">
        <v>-17295637</v>
      </c>
      <c r="S197" s="163">
        <v>-17631988</v>
      </c>
      <c r="T197" s="163">
        <v>-17631988</v>
      </c>
      <c r="U197" s="163">
        <v>-17631988</v>
      </c>
      <c r="V197" s="163">
        <v>-16532273</v>
      </c>
      <c r="W197" s="163">
        <v>-16532273</v>
      </c>
      <c r="X197" s="163">
        <v>-16231131</v>
      </c>
      <c r="Y197" s="163">
        <v>-15849449</v>
      </c>
      <c r="Z197" s="163">
        <v>-15849449</v>
      </c>
      <c r="AA197" s="163">
        <v>-15849449</v>
      </c>
      <c r="AB197" s="163">
        <v>-24128551</v>
      </c>
      <c r="AC197" s="163">
        <v>-24128551</v>
      </c>
      <c r="AD197" s="163">
        <v>-24128551</v>
      </c>
      <c r="AE197" s="163">
        <v>-23800263</v>
      </c>
      <c r="AF197" s="163">
        <v>-23800263</v>
      </c>
      <c r="AG197" s="163">
        <v>-23800263</v>
      </c>
      <c r="AH197" s="163">
        <v>-23362148</v>
      </c>
      <c r="AI197" s="163">
        <v>-23362148</v>
      </c>
      <c r="AJ197" s="163">
        <v>-23362148</v>
      </c>
      <c r="AK197" s="163">
        <v>-30003693</v>
      </c>
      <c r="AL197" s="163">
        <v>-30003693</v>
      </c>
      <c r="AM197" s="163">
        <v>-30003693</v>
      </c>
      <c r="AN197" s="163">
        <v>-27730283</v>
      </c>
      <c r="AO197" s="163">
        <v>-27730283</v>
      </c>
      <c r="AP197" s="163">
        <v>-27730283</v>
      </c>
      <c r="AQ197" s="163">
        <v>-27367286</v>
      </c>
      <c r="AR197" s="163">
        <v>-27367286</v>
      </c>
      <c r="AS197" s="163">
        <v>-27367286</v>
      </c>
      <c r="AT197" s="163">
        <v>-27134155</v>
      </c>
      <c r="AU197" s="163">
        <v>-27134155</v>
      </c>
      <c r="AV197" s="163">
        <v>-27134155</v>
      </c>
      <c r="AW197" s="163">
        <v>-26763244</v>
      </c>
      <c r="AX197" s="163">
        <v>-26763244</v>
      </c>
      <c r="AY197" s="163">
        <v>-26763244</v>
      </c>
      <c r="AZ197" s="163">
        <v>-24001040</v>
      </c>
      <c r="BA197" s="163">
        <v>-24001040</v>
      </c>
      <c r="BB197" s="163">
        <v>-24001040</v>
      </c>
      <c r="BC197" s="163">
        <v>-23590858</v>
      </c>
      <c r="BD197" s="163">
        <v>-23590858</v>
      </c>
      <c r="BE197" s="163">
        <v>-23590858</v>
      </c>
      <c r="BF197" s="163">
        <v>-23181591</v>
      </c>
      <c r="BG197" s="163">
        <v>-23181591</v>
      </c>
      <c r="BH197" s="163">
        <v>-23181591</v>
      </c>
      <c r="BI197" s="163">
        <v>-22771866</v>
      </c>
      <c r="BJ197" s="163">
        <v>-22771866</v>
      </c>
      <c r="BK197" s="163">
        <v>-22771866</v>
      </c>
      <c r="BL197" s="163">
        <v>-29661162</v>
      </c>
      <c r="BM197" s="163">
        <v>-29661162</v>
      </c>
      <c r="BN197" s="163">
        <v>-29661162</v>
      </c>
      <c r="BO197" s="163">
        <v>-29317732</v>
      </c>
      <c r="BP197" s="163">
        <v>-29317732</v>
      </c>
      <c r="BQ197" s="163">
        <v>-29317732</v>
      </c>
      <c r="BR197" s="163">
        <v>-28959087</v>
      </c>
      <c r="BS197" s="163">
        <v>-28959087</v>
      </c>
      <c r="BT197" s="163">
        <v>-28959087</v>
      </c>
      <c r="BU197" s="163">
        <v>-28608049</v>
      </c>
      <c r="BV197" s="163">
        <v>-28608049</v>
      </c>
      <c r="BW197" s="163">
        <v>-28608049</v>
      </c>
      <c r="BX197" s="163">
        <v>-26318985</v>
      </c>
      <c r="BY197" s="163">
        <v>-26318985</v>
      </c>
      <c r="BZ197" s="163">
        <v>-26318985</v>
      </c>
      <c r="CA197" s="163">
        <v>-25845254</v>
      </c>
      <c r="CB197" s="163">
        <v>-25845254</v>
      </c>
      <c r="CC197" s="163">
        <v>-25845254</v>
      </c>
      <c r="CD197" s="163">
        <v>-25377809</v>
      </c>
      <c r="CE197" s="163">
        <v>-25377809</v>
      </c>
      <c r="CF197" s="163">
        <v>-25377809</v>
      </c>
      <c r="CG197" s="163">
        <v>-24907221</v>
      </c>
      <c r="CH197" s="163">
        <v>-24907221</v>
      </c>
      <c r="CI197" s="163">
        <v>-24907221</v>
      </c>
      <c r="CJ197" s="163">
        <v>-23895817</v>
      </c>
      <c r="CK197" s="163">
        <v>-23895817</v>
      </c>
      <c r="CL197" s="163">
        <v>-23895817</v>
      </c>
      <c r="CM197" s="163">
        <v>-23351930</v>
      </c>
      <c r="CN197" s="163">
        <v>-23351930</v>
      </c>
      <c r="CO197" s="163">
        <v>-23351930</v>
      </c>
      <c r="CP197" s="163">
        <v>-22808043</v>
      </c>
      <c r="CQ197" s="163">
        <v>-22808043</v>
      </c>
      <c r="CR197" s="163">
        <v>-22808043</v>
      </c>
      <c r="CS197" s="163">
        <v>-21990611</v>
      </c>
      <c r="CT197" s="163">
        <v>-21990611</v>
      </c>
      <c r="CU197" s="163">
        <v>-21990611</v>
      </c>
      <c r="CV197" s="163">
        <v>-16179024</v>
      </c>
      <c r="CW197" s="163">
        <v>0</v>
      </c>
      <c r="CX197" s="163">
        <v>0</v>
      </c>
      <c r="CY197" s="163">
        <v>0</v>
      </c>
      <c r="CZ197" s="163">
        <v>0</v>
      </c>
      <c r="DA197" s="163">
        <v>0</v>
      </c>
      <c r="DB197" s="163">
        <v>0</v>
      </c>
      <c r="DC197" s="163">
        <v>0</v>
      </c>
      <c r="DD197" s="163">
        <v>0</v>
      </c>
      <c r="DE197" s="163">
        <v>0</v>
      </c>
      <c r="DF197" s="163">
        <f>VLOOKUP($C197,'[3]BS ACC'!$C$5:$DH$1006,108,FALSE)</f>
        <v>0</v>
      </c>
      <c r="DG197" s="163">
        <f>VLOOKUP($C197,'[3]BS ACC'!$C$5:$DH$1006,109,FALSE)</f>
        <v>0</v>
      </c>
      <c r="DH197" s="163">
        <f>VLOOKUP($C197,'[3]BS ACC'!$C$5:$DH$1006,110,FALSE)</f>
        <v>-28878544</v>
      </c>
    </row>
    <row r="198" spans="1:112">
      <c r="A198" s="350" t="str">
        <f t="shared" si="2"/>
        <v>2283202</v>
      </c>
      <c r="B198" s="1235" t="s">
        <v>2851</v>
      </c>
      <c r="C198" s="335" t="s">
        <v>2849</v>
      </c>
      <c r="D198" s="340"/>
      <c r="E198" s="340"/>
      <c r="F198" s="340"/>
      <c r="G198" s="340"/>
      <c r="H198" s="340"/>
      <c r="I198" s="340"/>
      <c r="J198" s="340"/>
      <c r="K198" s="340"/>
      <c r="L198" s="340"/>
      <c r="M198" s="340"/>
      <c r="N198" s="340"/>
      <c r="O198" s="340"/>
      <c r="P198" s="341"/>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c r="BI198" s="163"/>
      <c r="BJ198" s="163"/>
      <c r="BK198" s="163"/>
      <c r="BL198" s="163"/>
      <c r="BM198" s="163"/>
      <c r="BN198" s="163"/>
      <c r="BO198" s="163"/>
      <c r="BP198" s="163"/>
      <c r="BQ198" s="163"/>
      <c r="BR198" s="163"/>
      <c r="BS198" s="163"/>
      <c r="BT198" s="163"/>
      <c r="BU198" s="163"/>
      <c r="BV198" s="163"/>
      <c r="BW198" s="163"/>
      <c r="BX198" s="163"/>
      <c r="BY198" s="163"/>
      <c r="BZ198" s="163"/>
      <c r="CA198" s="163"/>
      <c r="CB198" s="163"/>
      <c r="CC198" s="163"/>
      <c r="CD198" s="163"/>
      <c r="CE198" s="163"/>
      <c r="CF198" s="163"/>
      <c r="CG198" s="163"/>
      <c r="CH198" s="163"/>
      <c r="CI198" s="163"/>
      <c r="CJ198" s="163">
        <v>0</v>
      </c>
      <c r="CK198" s="163">
        <v>0</v>
      </c>
      <c r="CL198" s="163">
        <v>0</v>
      </c>
      <c r="CM198" s="163">
        <v>0</v>
      </c>
      <c r="CN198" s="163">
        <v>0</v>
      </c>
      <c r="CO198" s="163">
        <v>0</v>
      </c>
      <c r="CP198" s="163">
        <v>0</v>
      </c>
      <c r="CQ198" s="163">
        <v>0</v>
      </c>
      <c r="CR198" s="163">
        <v>0</v>
      </c>
      <c r="CS198" s="163">
        <v>0</v>
      </c>
      <c r="CT198" s="163">
        <v>0</v>
      </c>
      <c r="CU198" s="163">
        <v>0</v>
      </c>
      <c r="CV198" s="163">
        <v>0</v>
      </c>
      <c r="CW198" s="163">
        <v>25566831</v>
      </c>
      <c r="CX198" s="163">
        <v>23248206.390000001</v>
      </c>
      <c r="CY198" s="163">
        <v>23137859.390000001</v>
      </c>
      <c r="CZ198" s="163">
        <v>23791512.390000001</v>
      </c>
      <c r="DA198" s="163">
        <v>23681165.390000001</v>
      </c>
      <c r="DB198" s="163">
        <v>23504541.390000001</v>
      </c>
      <c r="DC198" s="163">
        <v>24146607.390000001</v>
      </c>
      <c r="DD198" s="163">
        <v>24024673.390000001</v>
      </c>
      <c r="DE198" s="163">
        <v>24666739.390000001</v>
      </c>
      <c r="DF198" s="163">
        <f>VLOOKUP($C198,'[3]BS ACC'!$C$5:$DH$1006,108,FALSE)</f>
        <v>24546965.390000001</v>
      </c>
      <c r="DG198" s="163">
        <f>VLOOKUP($C198,'[3]BS ACC'!$C$5:$DH$1006,109,FALSE)</f>
        <v>24425571.390000001</v>
      </c>
      <c r="DH198" s="163">
        <f>VLOOKUP($C198,'[3]BS ACC'!$C$5:$DH$1006,110,FALSE)</f>
        <v>-3027911.61</v>
      </c>
    </row>
    <row r="199" spans="1:112">
      <c r="A199" s="350" t="str">
        <f t="shared" si="2"/>
        <v>2283203</v>
      </c>
      <c r="B199" s="1236" t="s">
        <v>2852</v>
      </c>
      <c r="C199" s="335" t="s">
        <v>2850</v>
      </c>
      <c r="D199" s="340"/>
      <c r="E199" s="340"/>
      <c r="F199" s="340"/>
      <c r="G199" s="340"/>
      <c r="H199" s="340"/>
      <c r="I199" s="340"/>
      <c r="J199" s="340"/>
      <c r="K199" s="340"/>
      <c r="L199" s="340"/>
      <c r="M199" s="340"/>
      <c r="N199" s="340"/>
      <c r="O199" s="340"/>
      <c r="P199" s="341"/>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c r="BI199" s="163"/>
      <c r="BJ199" s="163"/>
      <c r="BK199" s="163"/>
      <c r="BL199" s="163"/>
      <c r="BM199" s="163"/>
      <c r="BN199" s="163"/>
      <c r="BO199" s="163"/>
      <c r="BP199" s="163"/>
      <c r="BQ199" s="163"/>
      <c r="BR199" s="163"/>
      <c r="BS199" s="163"/>
      <c r="BT199" s="163"/>
      <c r="BU199" s="163"/>
      <c r="BV199" s="163"/>
      <c r="BW199" s="163"/>
      <c r="BX199" s="163"/>
      <c r="BY199" s="163"/>
      <c r="BZ199" s="163"/>
      <c r="CA199" s="163"/>
      <c r="CB199" s="163"/>
      <c r="CC199" s="163"/>
      <c r="CD199" s="163"/>
      <c r="CE199" s="163"/>
      <c r="CF199" s="163"/>
      <c r="CG199" s="163"/>
      <c r="CH199" s="163"/>
      <c r="CI199" s="163"/>
      <c r="CJ199" s="163">
        <v>0</v>
      </c>
      <c r="CK199" s="163">
        <v>0</v>
      </c>
      <c r="CL199" s="163">
        <v>0</v>
      </c>
      <c r="CM199" s="163">
        <v>0</v>
      </c>
      <c r="CN199" s="163">
        <v>0</v>
      </c>
      <c r="CO199" s="163">
        <v>0</v>
      </c>
      <c r="CP199" s="163">
        <v>0</v>
      </c>
      <c r="CQ199" s="163">
        <v>0</v>
      </c>
      <c r="CR199" s="163">
        <v>0</v>
      </c>
      <c r="CS199" s="163">
        <v>0</v>
      </c>
      <c r="CT199" s="163">
        <v>0</v>
      </c>
      <c r="CU199" s="163">
        <v>0</v>
      </c>
      <c r="CV199" s="163">
        <v>0</v>
      </c>
      <c r="CW199" s="163">
        <v>-16179024</v>
      </c>
      <c r="CX199" s="163">
        <v>-16179024</v>
      </c>
      <c r="CY199" s="163">
        <v>-15755447</v>
      </c>
      <c r="CZ199" s="163">
        <v>-15755447</v>
      </c>
      <c r="DA199" s="163">
        <v>-15755447</v>
      </c>
      <c r="DB199" s="163">
        <v>-15298969</v>
      </c>
      <c r="DC199" s="163">
        <v>-15298969</v>
      </c>
      <c r="DD199" s="163">
        <v>-15298969</v>
      </c>
      <c r="DE199" s="163">
        <v>-14858942</v>
      </c>
      <c r="DF199" s="163">
        <f>VLOOKUP($C199,'[3]BS ACC'!$C$5:$DH$1006,108,FALSE)</f>
        <v>-14858942</v>
      </c>
      <c r="DG199" s="163">
        <f>VLOOKUP($C199,'[3]BS ACC'!$C$5:$DH$1006,109,FALSE)</f>
        <v>-14858942</v>
      </c>
      <c r="DH199" s="163">
        <f>VLOOKUP($C199,'[3]BS ACC'!$C$5:$DH$1006,110,FALSE)</f>
        <v>0</v>
      </c>
    </row>
    <row r="200" spans="1:112">
      <c r="A200" s="350" t="str">
        <f t="shared" si="2"/>
        <v>2283210</v>
      </c>
      <c r="B200" s="350" t="s">
        <v>911</v>
      </c>
      <c r="C200" s="335" t="s">
        <v>730</v>
      </c>
      <c r="D200" s="340">
        <v>-1160296.98</v>
      </c>
      <c r="E200" s="340">
        <v>-1133441.3400000001</v>
      </c>
      <c r="F200" s="340">
        <v>-652840.81999999995</v>
      </c>
      <c r="G200" s="340">
        <v>-450838</v>
      </c>
      <c r="H200" s="340">
        <v>-478347.18</v>
      </c>
      <c r="I200" s="340">
        <v>-500297.36</v>
      </c>
      <c r="J200" s="340">
        <v>-522247.54</v>
      </c>
      <c r="K200" s="340">
        <v>-544197.72</v>
      </c>
      <c r="L200" s="340">
        <v>-206354.2</v>
      </c>
      <c r="M200" s="340">
        <v>-234652.48</v>
      </c>
      <c r="N200" s="340">
        <v>-262950.76</v>
      </c>
      <c r="O200" s="340">
        <v>-291249.03999999998</v>
      </c>
      <c r="P200" s="341">
        <v>-319547.32</v>
      </c>
      <c r="Q200" s="163">
        <v>-350097.84</v>
      </c>
      <c r="R200" s="163">
        <v>-359835.36</v>
      </c>
      <c r="S200" s="163">
        <v>-336310.88</v>
      </c>
      <c r="T200" s="163">
        <v>-356457.4</v>
      </c>
      <c r="U200" s="163">
        <v>-388456.92</v>
      </c>
      <c r="V200" s="163">
        <v>-410974.44</v>
      </c>
      <c r="W200" s="163">
        <v>-433491.96</v>
      </c>
      <c r="X200" s="163">
        <v>-456009.48</v>
      </c>
      <c r="Y200" s="163">
        <v>-478527</v>
      </c>
      <c r="Z200" s="163">
        <v>-501044.52</v>
      </c>
      <c r="AA200" s="163">
        <v>-523562.04</v>
      </c>
      <c r="AB200" s="163">
        <v>-546079.56000000006</v>
      </c>
      <c r="AC200" s="163">
        <v>-566461.07999999996</v>
      </c>
      <c r="AD200" s="163">
        <v>-586842.6</v>
      </c>
      <c r="AE200" s="163">
        <v>-607224.12</v>
      </c>
      <c r="AF200" s="163">
        <v>-631075.64</v>
      </c>
      <c r="AG200" s="163">
        <v>-652324.16</v>
      </c>
      <c r="AH200" s="163">
        <v>-673572.68</v>
      </c>
      <c r="AI200" s="163">
        <v>-694821.2</v>
      </c>
      <c r="AJ200" s="163">
        <v>-716069.72</v>
      </c>
      <c r="AK200" s="163">
        <v>-667829.24</v>
      </c>
      <c r="AL200" s="163">
        <v>-698518.76</v>
      </c>
      <c r="AM200" s="163">
        <v>-729208.28</v>
      </c>
      <c r="AN200" s="163">
        <v>-759897.8</v>
      </c>
      <c r="AO200" s="163">
        <v>-1371147.32</v>
      </c>
      <c r="AP200" s="163">
        <v>-813824.84</v>
      </c>
      <c r="AQ200" s="163">
        <v>-840788.36</v>
      </c>
      <c r="AR200" s="163">
        <v>-867751.88</v>
      </c>
      <c r="AS200" s="163">
        <v>-894715.4</v>
      </c>
      <c r="AT200" s="163">
        <v>-961897.92</v>
      </c>
      <c r="AU200" s="163">
        <v>-995564.44</v>
      </c>
      <c r="AV200" s="163">
        <v>-1032263.44</v>
      </c>
      <c r="AW200" s="163">
        <v>-1062897.48</v>
      </c>
      <c r="AX200" s="163">
        <v>-1096564</v>
      </c>
      <c r="AY200" s="163">
        <v>-1130230.52</v>
      </c>
      <c r="AZ200" s="163">
        <v>-1163897.04</v>
      </c>
      <c r="BA200" s="163">
        <v>-1470566.56</v>
      </c>
      <c r="BB200" s="163">
        <v>-1210632.08</v>
      </c>
      <c r="BC200" s="163">
        <v>-1233999.6000000001</v>
      </c>
      <c r="BD200" s="163">
        <v>-1257367.1200000001</v>
      </c>
      <c r="BE200" s="163">
        <v>-1214115.6399999999</v>
      </c>
      <c r="BF200" s="163">
        <v>-1261059.1599999999</v>
      </c>
      <c r="BG200" s="163">
        <v>-1285507.68</v>
      </c>
      <c r="BH200" s="163">
        <v>-1309613.8400000001</v>
      </c>
      <c r="BI200" s="163">
        <v>-1334062.3600000001</v>
      </c>
      <c r="BJ200" s="163">
        <v>-1358510.88</v>
      </c>
      <c r="BK200" s="163">
        <v>-1383301.76</v>
      </c>
      <c r="BL200" s="163">
        <v>-1407750.28</v>
      </c>
      <c r="BM200" s="163">
        <v>-1430350.28</v>
      </c>
      <c r="BN200" s="163">
        <v>-1452950.28</v>
      </c>
      <c r="BO200" s="163">
        <v>-1475550.28</v>
      </c>
      <c r="BP200" s="163">
        <v>-1498150.28</v>
      </c>
      <c r="BQ200" s="163">
        <v>-1520750.28</v>
      </c>
      <c r="BR200" s="163">
        <v>-1564731.28</v>
      </c>
      <c r="BS200" s="163">
        <v>-1590894.28</v>
      </c>
      <c r="BT200" s="163">
        <v>-1617057.28</v>
      </c>
      <c r="BU200" s="163">
        <v>-1643220.28</v>
      </c>
      <c r="BV200" s="163">
        <v>-1669383.28</v>
      </c>
      <c r="BW200" s="163">
        <v>-1695546.28</v>
      </c>
      <c r="BX200" s="163">
        <v>-1721709.28</v>
      </c>
      <c r="BY200" s="163">
        <v>-1732455.28</v>
      </c>
      <c r="BZ200" s="163">
        <v>-1743201.28</v>
      </c>
      <c r="CA200" s="163">
        <v>-1753947.28</v>
      </c>
      <c r="CB200" s="163">
        <v>-1764693.28</v>
      </c>
      <c r="CC200" s="163">
        <v>-1775439.28</v>
      </c>
      <c r="CD200" s="163">
        <v>-1791996.28</v>
      </c>
      <c r="CE200" s="163">
        <v>-1803711.28</v>
      </c>
      <c r="CF200" s="163">
        <v>-1815426.28</v>
      </c>
      <c r="CG200" s="163">
        <v>-1827141.28</v>
      </c>
      <c r="CH200" s="163">
        <v>-1838856.28</v>
      </c>
      <c r="CI200" s="163">
        <v>-1850571.28</v>
      </c>
      <c r="CJ200" s="163">
        <v>-1862286.28</v>
      </c>
      <c r="CK200" s="163">
        <v>-1873443.28</v>
      </c>
      <c r="CL200" s="163">
        <v>-1884600.28</v>
      </c>
      <c r="CM200" s="163">
        <v>-760796.28</v>
      </c>
      <c r="CN200" s="163">
        <v>-771953.28</v>
      </c>
      <c r="CO200" s="163">
        <v>-783110.28</v>
      </c>
      <c r="CP200" s="163">
        <v>-794267.28</v>
      </c>
      <c r="CQ200" s="163">
        <v>-814077.28</v>
      </c>
      <c r="CR200" s="163">
        <v>-826471.28</v>
      </c>
      <c r="CS200" s="163">
        <v>-838865.28</v>
      </c>
      <c r="CT200" s="163">
        <v>-851259.28</v>
      </c>
      <c r="CU200" s="163">
        <v>-863653.28</v>
      </c>
      <c r="CV200" s="163">
        <v>-876047.28</v>
      </c>
      <c r="CW200" s="163">
        <v>-887956.28</v>
      </c>
      <c r="CX200" s="163">
        <v>-899865.28</v>
      </c>
      <c r="CY200" s="163">
        <v>-911774.28</v>
      </c>
      <c r="CZ200" s="163">
        <v>-923683.28</v>
      </c>
      <c r="DA200" s="163">
        <v>-935592.28</v>
      </c>
      <c r="DB200" s="163">
        <v>-943940.28</v>
      </c>
      <c r="DC200" s="163">
        <v>-955256.28</v>
      </c>
      <c r="DD200" s="163">
        <v>-966572.28</v>
      </c>
      <c r="DE200" s="163">
        <v>-977888.28</v>
      </c>
      <c r="DF200" s="163">
        <f>VLOOKUP($C200,'[3]BS ACC'!$C$5:$DH$1006,108,FALSE)</f>
        <v>-989204.28</v>
      </c>
      <c r="DG200" s="163">
        <f>VLOOKUP($C200,'[3]BS ACC'!$C$5:$DH$1006,109,FALSE)</f>
        <v>-1000520.28</v>
      </c>
      <c r="DH200" s="163">
        <f>VLOOKUP($C200,'[3]BS ACC'!$C$5:$DH$1006,110,FALSE)</f>
        <v>-1012965.28</v>
      </c>
    </row>
    <row r="201" spans="1:112">
      <c r="A201" s="350" t="str">
        <f t="shared" si="2"/>
        <v>2283211</v>
      </c>
      <c r="B201" s="350" t="s">
        <v>908</v>
      </c>
      <c r="C201" s="335" t="s">
        <v>731</v>
      </c>
      <c r="D201" s="340">
        <v>-2750624</v>
      </c>
      <c r="E201" s="340">
        <v>-2750624</v>
      </c>
      <c r="F201" s="340">
        <v>-2750624</v>
      </c>
      <c r="G201" s="340">
        <v>-2701597</v>
      </c>
      <c r="H201" s="340">
        <v>-2701597</v>
      </c>
      <c r="I201" s="340">
        <v>-2701597</v>
      </c>
      <c r="J201" s="340">
        <v>-2640592</v>
      </c>
      <c r="K201" s="340">
        <v>-2640592</v>
      </c>
      <c r="L201" s="340">
        <v>-2640592</v>
      </c>
      <c r="M201" s="340">
        <v>-2585576</v>
      </c>
      <c r="N201" s="340">
        <v>-2585576</v>
      </c>
      <c r="O201" s="340">
        <v>-2585576</v>
      </c>
      <c r="P201" s="341">
        <v>-2779984</v>
      </c>
      <c r="Q201" s="163">
        <v>-2779984</v>
      </c>
      <c r="R201" s="163">
        <v>-2779984</v>
      </c>
      <c r="S201" s="163">
        <v>-2813932</v>
      </c>
      <c r="T201" s="163">
        <v>-2813932</v>
      </c>
      <c r="U201" s="163">
        <v>-2813932</v>
      </c>
      <c r="V201" s="163">
        <v>-2699889</v>
      </c>
      <c r="W201" s="163">
        <v>-2699889</v>
      </c>
      <c r="X201" s="163">
        <v>-2699889</v>
      </c>
      <c r="Y201" s="163">
        <v>-2659841</v>
      </c>
      <c r="Z201" s="163">
        <v>-2659841</v>
      </c>
      <c r="AA201" s="163">
        <v>-2659841</v>
      </c>
      <c r="AB201" s="163">
        <v>-2360028</v>
      </c>
      <c r="AC201" s="163">
        <v>-2360028</v>
      </c>
      <c r="AD201" s="163">
        <v>-2360028</v>
      </c>
      <c r="AE201" s="163">
        <v>-2326845</v>
      </c>
      <c r="AF201" s="163">
        <v>-2326845</v>
      </c>
      <c r="AG201" s="163">
        <v>-2326845</v>
      </c>
      <c r="AH201" s="163">
        <v>-2285965</v>
      </c>
      <c r="AI201" s="163">
        <v>-2285965</v>
      </c>
      <c r="AJ201" s="163">
        <v>-2285965</v>
      </c>
      <c r="AK201" s="163">
        <v>-2491380</v>
      </c>
      <c r="AL201" s="163">
        <v>-2491380</v>
      </c>
      <c r="AM201" s="163">
        <v>-2491380</v>
      </c>
      <c r="AN201" s="163">
        <v>-1703277</v>
      </c>
      <c r="AO201" s="163">
        <v>-1703277</v>
      </c>
      <c r="AP201" s="163">
        <v>-1703277</v>
      </c>
      <c r="AQ201" s="163">
        <v>-1635333</v>
      </c>
      <c r="AR201" s="163">
        <v>-1635333</v>
      </c>
      <c r="AS201" s="163">
        <v>-1635333</v>
      </c>
      <c r="AT201" s="163">
        <v>-1681611</v>
      </c>
      <c r="AU201" s="163">
        <v>-1681611</v>
      </c>
      <c r="AV201" s="163">
        <v>-1681611</v>
      </c>
      <c r="AW201" s="163">
        <v>-1590499</v>
      </c>
      <c r="AX201" s="163">
        <v>-1590499</v>
      </c>
      <c r="AY201" s="163">
        <v>-1590499</v>
      </c>
      <c r="AZ201" s="163">
        <v>-912301</v>
      </c>
      <c r="BA201" s="163">
        <v>-912301</v>
      </c>
      <c r="BB201" s="163">
        <v>-912301</v>
      </c>
      <c r="BC201" s="163">
        <v>-845129</v>
      </c>
      <c r="BD201" s="163">
        <v>-845129</v>
      </c>
      <c r="BE201" s="163">
        <v>-845129</v>
      </c>
      <c r="BF201" s="163">
        <v>-760943</v>
      </c>
      <c r="BG201" s="163">
        <v>-760943</v>
      </c>
      <c r="BH201" s="163">
        <v>-760943</v>
      </c>
      <c r="BI201" s="163">
        <v>-698906</v>
      </c>
      <c r="BJ201" s="163">
        <v>-698906</v>
      </c>
      <c r="BK201" s="163">
        <v>-698906</v>
      </c>
      <c r="BL201" s="163">
        <v>-458297</v>
      </c>
      <c r="BM201" s="163">
        <v>-458297</v>
      </c>
      <c r="BN201" s="163">
        <v>-458297</v>
      </c>
      <c r="BO201" s="163">
        <v>-410557</v>
      </c>
      <c r="BP201" s="163">
        <v>-410557</v>
      </c>
      <c r="BQ201" s="163">
        <v>-410557</v>
      </c>
      <c r="BR201" s="163">
        <v>-340694</v>
      </c>
      <c r="BS201" s="163">
        <v>-340694</v>
      </c>
      <c r="BT201" s="163">
        <v>-340694</v>
      </c>
      <c r="BU201" s="163">
        <v>-281893</v>
      </c>
      <c r="BV201" s="163">
        <v>-281893</v>
      </c>
      <c r="BW201" s="163">
        <v>-281893</v>
      </c>
      <c r="BX201" s="163">
        <v>-27318</v>
      </c>
      <c r="BY201" s="163">
        <v>-27318</v>
      </c>
      <c r="BZ201" s="163">
        <v>-27318</v>
      </c>
      <c r="CA201" s="163">
        <v>-8104</v>
      </c>
      <c r="CB201" s="163">
        <v>-8104</v>
      </c>
      <c r="CC201" s="163">
        <v>-8104</v>
      </c>
      <c r="CD201" s="163">
        <v>16204</v>
      </c>
      <c r="CE201" s="163">
        <v>16204</v>
      </c>
      <c r="CF201" s="163">
        <v>16204</v>
      </c>
      <c r="CG201" s="163">
        <v>37965</v>
      </c>
      <c r="CH201" s="163">
        <v>37965</v>
      </c>
      <c r="CI201" s="163">
        <v>37965</v>
      </c>
      <c r="CJ201" s="163">
        <v>-969808</v>
      </c>
      <c r="CK201" s="163">
        <v>-969808</v>
      </c>
      <c r="CL201" s="163">
        <v>-969808</v>
      </c>
      <c r="CM201" s="163">
        <v>-944717</v>
      </c>
      <c r="CN201" s="163">
        <v>-944717</v>
      </c>
      <c r="CO201" s="163">
        <v>-944717</v>
      </c>
      <c r="CP201" s="163">
        <v>-919626</v>
      </c>
      <c r="CQ201" s="163">
        <v>-919626</v>
      </c>
      <c r="CR201" s="163">
        <v>-919626</v>
      </c>
      <c r="CS201" s="163">
        <v>-885061</v>
      </c>
      <c r="CT201" s="163">
        <v>-885061</v>
      </c>
      <c r="CU201" s="163">
        <v>-885061</v>
      </c>
      <c r="CV201" s="163">
        <v>-966416</v>
      </c>
      <c r="CW201" s="163">
        <v>-966416</v>
      </c>
      <c r="CX201" s="163">
        <v>-966416</v>
      </c>
      <c r="CY201" s="163">
        <v>-940680</v>
      </c>
      <c r="CZ201" s="163">
        <v>-940680</v>
      </c>
      <c r="DA201" s="163">
        <v>-940680</v>
      </c>
      <c r="DB201" s="163">
        <v>-918687</v>
      </c>
      <c r="DC201" s="163">
        <v>-918687</v>
      </c>
      <c r="DD201" s="163">
        <v>-918687</v>
      </c>
      <c r="DE201" s="163">
        <v>-894822</v>
      </c>
      <c r="DF201" s="163">
        <f>VLOOKUP($C201,'[3]BS ACC'!$C$5:$DH$1006,108,FALSE)</f>
        <v>-894822</v>
      </c>
      <c r="DG201" s="163">
        <f>VLOOKUP($C201,'[3]BS ACC'!$C$5:$DH$1006,109,FALSE)</f>
        <v>-894822</v>
      </c>
      <c r="DH201" s="163">
        <f>VLOOKUP($C201,'[3]BS ACC'!$C$5:$DH$1006,110,FALSE)</f>
        <v>-660363</v>
      </c>
    </row>
    <row r="202" spans="1:112">
      <c r="A202" s="350" t="str">
        <f t="shared" si="2"/>
        <v>2283220</v>
      </c>
      <c r="B202" s="350" t="s">
        <v>1478</v>
      </c>
      <c r="C202" s="335" t="s">
        <v>1471</v>
      </c>
      <c r="D202" s="340"/>
      <c r="E202" s="340"/>
      <c r="F202" s="340"/>
      <c r="G202" s="340"/>
      <c r="H202" s="340"/>
      <c r="I202" s="340"/>
      <c r="J202" s="340"/>
      <c r="K202" s="340"/>
      <c r="L202" s="340"/>
      <c r="M202" s="340"/>
      <c r="N202" s="340"/>
      <c r="O202" s="340"/>
      <c r="P202" s="341"/>
      <c r="Q202" s="163"/>
      <c r="R202" s="163"/>
      <c r="S202" s="163"/>
      <c r="T202" s="163"/>
      <c r="U202" s="163"/>
      <c r="V202" s="163"/>
      <c r="W202" s="163"/>
      <c r="X202" s="163"/>
      <c r="Y202" s="163"/>
      <c r="Z202" s="163"/>
      <c r="AA202" s="163"/>
      <c r="AB202" s="163"/>
      <c r="AC202" s="163"/>
      <c r="AD202" s="163"/>
      <c r="AE202" s="163"/>
      <c r="AF202" s="163">
        <v>0</v>
      </c>
      <c r="AG202" s="163">
        <v>-828.75</v>
      </c>
      <c r="AH202" s="163">
        <v>-994.5</v>
      </c>
      <c r="AI202" s="163">
        <v>-1160.25</v>
      </c>
      <c r="AJ202" s="163">
        <v>-1326</v>
      </c>
      <c r="AK202" s="163">
        <v>-1498</v>
      </c>
      <c r="AL202" s="163">
        <v>-1666</v>
      </c>
      <c r="AM202" s="163">
        <v>-1834</v>
      </c>
      <c r="AN202" s="163">
        <v>-2002</v>
      </c>
      <c r="AO202" s="163">
        <v>-2176</v>
      </c>
      <c r="AP202" s="163">
        <v>-2350</v>
      </c>
      <c r="AQ202" s="163">
        <v>-2524</v>
      </c>
      <c r="AR202" s="163">
        <v>-2698</v>
      </c>
      <c r="AS202" s="163">
        <v>-2872</v>
      </c>
      <c r="AT202" s="163">
        <v>-21798</v>
      </c>
      <c r="AU202" s="163">
        <v>-25097</v>
      </c>
      <c r="AV202" s="163">
        <v>-28396</v>
      </c>
      <c r="AW202" s="163">
        <v>-31695</v>
      </c>
      <c r="AX202" s="163">
        <v>-34994</v>
      </c>
      <c r="AY202" s="163">
        <v>-38293</v>
      </c>
      <c r="AZ202" s="163">
        <v>-41592</v>
      </c>
      <c r="BA202" s="163">
        <v>-45174</v>
      </c>
      <c r="BB202" s="163">
        <v>-48856</v>
      </c>
      <c r="BC202" s="163">
        <v>-52488</v>
      </c>
      <c r="BD202" s="163">
        <v>-56120</v>
      </c>
      <c r="BE202" s="163">
        <v>-73826.75</v>
      </c>
      <c r="BF202" s="163">
        <v>-84457.75</v>
      </c>
      <c r="BG202" s="163">
        <v>-95088.75</v>
      </c>
      <c r="BH202" s="163">
        <v>-105428.75</v>
      </c>
      <c r="BI202" s="163">
        <v>-115768.75</v>
      </c>
      <c r="BJ202" s="163">
        <v>-126108.75</v>
      </c>
      <c r="BK202" s="163">
        <v>-136448.75</v>
      </c>
      <c r="BL202" s="163">
        <v>-146788.75</v>
      </c>
      <c r="BM202" s="163">
        <v>-156101.75</v>
      </c>
      <c r="BN202" s="163">
        <v>-165414.75</v>
      </c>
      <c r="BO202" s="163">
        <v>-174727.75</v>
      </c>
      <c r="BP202" s="163">
        <v>-184040.75</v>
      </c>
      <c r="BQ202" s="163">
        <v>-193353.75</v>
      </c>
      <c r="BR202" s="163">
        <v>-199557.75</v>
      </c>
      <c r="BS202" s="163">
        <v>-208351.75</v>
      </c>
      <c r="BT202" s="163">
        <v>-217145.75</v>
      </c>
      <c r="BU202" s="163">
        <v>-225939.75</v>
      </c>
      <c r="BV202" s="163">
        <v>-234733.75</v>
      </c>
      <c r="BW202" s="163">
        <v>-243527.75</v>
      </c>
      <c r="BX202" s="163">
        <v>-252321.75</v>
      </c>
      <c r="BY202" s="163">
        <v>-263762.75</v>
      </c>
      <c r="BZ202" s="163">
        <v>-275203.75</v>
      </c>
      <c r="CA202" s="163">
        <v>-286644.75</v>
      </c>
      <c r="CB202" s="163">
        <v>-298085.75</v>
      </c>
      <c r="CC202" s="163">
        <v>-309526.75</v>
      </c>
      <c r="CD202" s="163">
        <v>-362811.75</v>
      </c>
      <c r="CE202" s="163">
        <v>-381226.75</v>
      </c>
      <c r="CF202" s="163">
        <v>-399641.75</v>
      </c>
      <c r="CG202" s="163">
        <v>-418056.75</v>
      </c>
      <c r="CH202" s="163">
        <v>-436471.75</v>
      </c>
      <c r="CI202" s="163">
        <v>-454886.75</v>
      </c>
      <c r="CJ202" s="163">
        <v>-473301.75</v>
      </c>
      <c r="CK202" s="163">
        <v>-493208.75</v>
      </c>
      <c r="CL202" s="163">
        <v>-513115.75</v>
      </c>
      <c r="CM202" s="163">
        <v>-532732.75</v>
      </c>
      <c r="CN202" s="163">
        <v>-552639.75</v>
      </c>
      <c r="CO202" s="163">
        <v>-572546.75</v>
      </c>
      <c r="CP202" s="163">
        <v>-592453.75</v>
      </c>
      <c r="CQ202" s="163">
        <v>-635709.75</v>
      </c>
      <c r="CR202" s="163">
        <v>-658951.75</v>
      </c>
      <c r="CS202" s="163">
        <v>-682193.75</v>
      </c>
      <c r="CT202" s="163">
        <v>-705435.75</v>
      </c>
      <c r="CU202" s="163">
        <v>-728677.75</v>
      </c>
      <c r="CV202" s="163">
        <v>-751919.75</v>
      </c>
      <c r="CW202" s="163">
        <v>-761845.75</v>
      </c>
      <c r="CX202" s="163">
        <v>-771771.75</v>
      </c>
      <c r="CY202" s="163">
        <v>-781697.75</v>
      </c>
      <c r="CZ202" s="163">
        <v>-791623.75</v>
      </c>
      <c r="DA202" s="163">
        <v>-801549.75</v>
      </c>
      <c r="DB202" s="163">
        <v>29011.71</v>
      </c>
      <c r="DC202" s="163">
        <v>15837.71</v>
      </c>
      <c r="DD202" s="163">
        <v>2663.71</v>
      </c>
      <c r="DE202" s="163">
        <v>-10510.29</v>
      </c>
      <c r="DF202" s="163">
        <f>VLOOKUP($C202,'[3]BS ACC'!$C$5:$DH$1006,108,FALSE)</f>
        <v>-23684.29</v>
      </c>
      <c r="DG202" s="163">
        <f>VLOOKUP($C202,'[3]BS ACC'!$C$5:$DH$1006,109,FALSE)</f>
        <v>-36858.29</v>
      </c>
      <c r="DH202" s="163">
        <f>VLOOKUP($C202,'[3]BS ACC'!$C$5:$DH$1006,110,FALSE)</f>
        <v>-50032.29</v>
      </c>
    </row>
    <row r="203" spans="1:112">
      <c r="A203" s="350" t="str">
        <f t="shared" si="2"/>
        <v>2283221</v>
      </c>
      <c r="B203" s="350" t="s">
        <v>1479</v>
      </c>
      <c r="C203" s="335" t="s">
        <v>1475</v>
      </c>
      <c r="D203" s="340"/>
      <c r="E203" s="340"/>
      <c r="F203" s="340"/>
      <c r="G203" s="340"/>
      <c r="H203" s="340"/>
      <c r="I203" s="340"/>
      <c r="J203" s="340"/>
      <c r="K203" s="340"/>
      <c r="L203" s="340"/>
      <c r="M203" s="340"/>
      <c r="N203" s="340"/>
      <c r="O203" s="340"/>
      <c r="P203" s="341"/>
      <c r="Q203" s="163"/>
      <c r="R203" s="163"/>
      <c r="S203" s="163"/>
      <c r="T203" s="163"/>
      <c r="U203" s="163"/>
      <c r="V203" s="163"/>
      <c r="W203" s="163"/>
      <c r="X203" s="163"/>
      <c r="Y203" s="163"/>
      <c r="Z203" s="163"/>
      <c r="AA203" s="163"/>
      <c r="AB203" s="163"/>
      <c r="AC203" s="163"/>
      <c r="AD203" s="163"/>
      <c r="AE203" s="163"/>
      <c r="AF203" s="163">
        <v>0</v>
      </c>
      <c r="AG203" s="163">
        <v>-9275</v>
      </c>
      <c r="AH203" s="163">
        <v>-8775</v>
      </c>
      <c r="AI203" s="163">
        <v>-8775</v>
      </c>
      <c r="AJ203" s="163">
        <v>-8775</v>
      </c>
      <c r="AK203" s="163">
        <v>-9440</v>
      </c>
      <c r="AL203" s="163">
        <v>-9440</v>
      </c>
      <c r="AM203" s="163">
        <v>-9440</v>
      </c>
      <c r="AN203" s="163">
        <v>-9102</v>
      </c>
      <c r="AO203" s="163">
        <v>-9102</v>
      </c>
      <c r="AP203" s="163">
        <v>-9102</v>
      </c>
      <c r="AQ203" s="163">
        <v>-8843</v>
      </c>
      <c r="AR203" s="163">
        <v>-8843</v>
      </c>
      <c r="AS203" s="163">
        <v>-8843</v>
      </c>
      <c r="AT203" s="163">
        <v>-255836</v>
      </c>
      <c r="AU203" s="163">
        <v>-255836</v>
      </c>
      <c r="AV203" s="163">
        <v>-255836</v>
      </c>
      <c r="AW203" s="163">
        <v>-250396</v>
      </c>
      <c r="AX203" s="163">
        <v>-250396</v>
      </c>
      <c r="AY203" s="163">
        <v>-250396</v>
      </c>
      <c r="AZ203" s="163">
        <v>-277585</v>
      </c>
      <c r="BA203" s="163">
        <v>-277585</v>
      </c>
      <c r="BB203" s="163">
        <v>-277585</v>
      </c>
      <c r="BC203" s="163">
        <v>-271647</v>
      </c>
      <c r="BD203" s="163">
        <v>-271647</v>
      </c>
      <c r="BE203" s="163">
        <v>-271647</v>
      </c>
      <c r="BF203" s="163">
        <v>-253149</v>
      </c>
      <c r="BG203" s="163">
        <v>-253149</v>
      </c>
      <c r="BH203" s="163">
        <v>-253149</v>
      </c>
      <c r="BI203" s="163">
        <v>-235997</v>
      </c>
      <c r="BJ203" s="163">
        <v>-235997</v>
      </c>
      <c r="BK203" s="163">
        <v>-235997</v>
      </c>
      <c r="BL203" s="163">
        <v>-679574</v>
      </c>
      <c r="BM203" s="163">
        <v>-679574</v>
      </c>
      <c r="BN203" s="163">
        <v>-679574</v>
      </c>
      <c r="BO203" s="163">
        <v>-666028</v>
      </c>
      <c r="BP203" s="163">
        <v>-666028</v>
      </c>
      <c r="BQ203" s="163">
        <v>-666028</v>
      </c>
      <c r="BR203" s="163">
        <v>-653080</v>
      </c>
      <c r="BS203" s="163">
        <v>-653080</v>
      </c>
      <c r="BT203" s="163">
        <v>-653080</v>
      </c>
      <c r="BU203" s="163">
        <v>-639833</v>
      </c>
      <c r="BV203" s="163">
        <v>-639833</v>
      </c>
      <c r="BW203" s="163">
        <v>-639833</v>
      </c>
      <c r="BX203" s="163">
        <v>-889665</v>
      </c>
      <c r="BY203" s="163">
        <v>-889665</v>
      </c>
      <c r="BZ203" s="163">
        <v>-889665</v>
      </c>
      <c r="CA203" s="163">
        <v>-870905</v>
      </c>
      <c r="CB203" s="163">
        <v>-870905</v>
      </c>
      <c r="CC203" s="163">
        <v>-870905</v>
      </c>
      <c r="CD203" s="163">
        <v>-826136</v>
      </c>
      <c r="CE203" s="163">
        <v>-826136</v>
      </c>
      <c r="CF203" s="163">
        <v>-826136</v>
      </c>
      <c r="CG203" s="163">
        <v>-794371</v>
      </c>
      <c r="CH203" s="163">
        <v>-794371</v>
      </c>
      <c r="CI203" s="163">
        <v>-794371</v>
      </c>
      <c r="CJ203" s="163">
        <v>-1540996</v>
      </c>
      <c r="CK203" s="163">
        <v>-1540996</v>
      </c>
      <c r="CL203" s="163">
        <v>-1540996</v>
      </c>
      <c r="CM203" s="163">
        <v>-1503634</v>
      </c>
      <c r="CN203" s="163">
        <v>-1503634</v>
      </c>
      <c r="CO203" s="163">
        <v>-1503634</v>
      </c>
      <c r="CP203" s="163">
        <v>-1466272</v>
      </c>
      <c r="CQ203" s="163">
        <v>-1466272</v>
      </c>
      <c r="CR203" s="163">
        <v>-1466272</v>
      </c>
      <c r="CS203" s="163">
        <v>-1400188</v>
      </c>
      <c r="CT203" s="163">
        <v>-1400188</v>
      </c>
      <c r="CU203" s="163">
        <v>-1400188</v>
      </c>
      <c r="CV203" s="163">
        <v>549582</v>
      </c>
      <c r="CW203" s="163">
        <v>549582</v>
      </c>
      <c r="CX203" s="163">
        <v>549582</v>
      </c>
      <c r="CY203" s="163">
        <v>571471</v>
      </c>
      <c r="CZ203" s="163">
        <v>571471</v>
      </c>
      <c r="DA203" s="163">
        <v>571471</v>
      </c>
      <c r="DB203" s="163">
        <v>604816</v>
      </c>
      <c r="DC203" s="163">
        <v>604816</v>
      </c>
      <c r="DD203" s="163">
        <v>604816</v>
      </c>
      <c r="DE203" s="163">
        <v>632433</v>
      </c>
      <c r="DF203" s="163">
        <f>VLOOKUP($C203,'[3]BS ACC'!$C$5:$DH$1006,108,FALSE)</f>
        <v>632433</v>
      </c>
      <c r="DG203" s="163">
        <f>VLOOKUP($C203,'[3]BS ACC'!$C$5:$DH$1006,109,FALSE)</f>
        <v>632433</v>
      </c>
      <c r="DH203" s="163">
        <f>VLOOKUP($C203,'[3]BS ACC'!$C$5:$DH$1006,110,FALSE)</f>
        <v>-336617</v>
      </c>
    </row>
    <row r="204" spans="1:112">
      <c r="A204" s="350" t="str">
        <f t="shared" si="2"/>
        <v>2283230</v>
      </c>
      <c r="B204" s="350" t="s">
        <v>931</v>
      </c>
      <c r="C204" s="335" t="s">
        <v>932</v>
      </c>
      <c r="D204" s="340"/>
      <c r="E204" s="340"/>
      <c r="F204" s="340"/>
      <c r="G204" s="340"/>
      <c r="H204" s="340"/>
      <c r="I204" s="340"/>
      <c r="J204" s="340"/>
      <c r="K204" s="340"/>
      <c r="L204" s="340"/>
      <c r="M204" s="340"/>
      <c r="N204" s="340"/>
      <c r="O204" s="340"/>
      <c r="P204" s="341"/>
      <c r="Q204" s="163">
        <v>0</v>
      </c>
      <c r="R204" s="163">
        <v>0</v>
      </c>
      <c r="S204" s="163">
        <v>0</v>
      </c>
      <c r="T204" s="163">
        <v>0</v>
      </c>
      <c r="U204" s="163">
        <v>0</v>
      </c>
      <c r="V204" s="163">
        <v>0</v>
      </c>
      <c r="W204" s="163">
        <v>0</v>
      </c>
      <c r="X204" s="163">
        <v>0</v>
      </c>
      <c r="Y204" s="163">
        <v>0</v>
      </c>
      <c r="Z204" s="163">
        <v>0</v>
      </c>
      <c r="AA204" s="163">
        <v>0</v>
      </c>
      <c r="AB204" s="163">
        <v>0</v>
      </c>
      <c r="AC204" s="163">
        <v>0</v>
      </c>
      <c r="AD204" s="163">
        <v>0</v>
      </c>
      <c r="AE204" s="163">
        <v>0</v>
      </c>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c r="BI204" s="163"/>
      <c r="BJ204" s="163"/>
      <c r="BK204" s="163"/>
      <c r="BL204" s="163"/>
      <c r="BM204" s="163"/>
      <c r="BN204" s="163"/>
      <c r="BO204" s="163"/>
      <c r="BP204" s="163"/>
      <c r="BQ204" s="163"/>
      <c r="BR204" s="163"/>
      <c r="BS204" s="163"/>
      <c r="BT204" s="163"/>
      <c r="BU204" s="163"/>
      <c r="BV204" s="163"/>
      <c r="BW204" s="163"/>
      <c r="BX204" s="163"/>
      <c r="BY204" s="163"/>
      <c r="BZ204" s="163"/>
      <c r="CA204" s="163"/>
      <c r="CB204" s="163"/>
      <c r="CC204" s="163"/>
      <c r="CD204" s="163"/>
      <c r="CE204" s="163"/>
      <c r="CF204" s="163"/>
      <c r="CG204" s="163"/>
      <c r="CH204" s="163"/>
      <c r="CI204" s="163"/>
      <c r="CJ204" s="163"/>
      <c r="CK204" s="163"/>
      <c r="CL204" s="163"/>
      <c r="CM204" s="163"/>
      <c r="CN204" s="163"/>
      <c r="CO204" s="163"/>
      <c r="CP204" s="163"/>
      <c r="CQ204" s="163"/>
      <c r="CR204" s="163"/>
      <c r="CS204" s="163"/>
      <c r="CT204" s="163"/>
      <c r="CU204" s="163"/>
      <c r="CV204" s="163"/>
      <c r="CW204" s="163"/>
      <c r="CX204" s="163"/>
      <c r="CY204" s="163"/>
      <c r="CZ204" s="163"/>
      <c r="DA204" s="163"/>
      <c r="DB204" s="163"/>
      <c r="DC204" s="163"/>
      <c r="DD204" s="163"/>
      <c r="DE204" s="163"/>
      <c r="DF204" s="163"/>
      <c r="DG204" s="163"/>
      <c r="DH204" s="163"/>
    </row>
    <row r="205" spans="1:112">
      <c r="A205" s="350" t="str">
        <f t="shared" si="2"/>
        <v>2283231</v>
      </c>
      <c r="B205" s="350" t="s">
        <v>909</v>
      </c>
      <c r="C205" s="335" t="s">
        <v>732</v>
      </c>
      <c r="D205" s="340">
        <v>2064535</v>
      </c>
      <c r="E205" s="340">
        <v>2064535</v>
      </c>
      <c r="F205" s="340">
        <v>2064535</v>
      </c>
      <c r="G205" s="340">
        <v>2063978</v>
      </c>
      <c r="H205" s="340">
        <v>2063978</v>
      </c>
      <c r="I205" s="340">
        <v>2063978</v>
      </c>
      <c r="J205" s="340">
        <v>2068231</v>
      </c>
      <c r="K205" s="340">
        <v>2068231</v>
      </c>
      <c r="L205" s="340">
        <v>2068231</v>
      </c>
      <c r="M205" s="340">
        <v>2070561</v>
      </c>
      <c r="N205" s="340">
        <v>2070561</v>
      </c>
      <c r="O205" s="340">
        <v>2070561</v>
      </c>
      <c r="P205" s="341">
        <v>1854438</v>
      </c>
      <c r="Q205" s="163">
        <v>1854438</v>
      </c>
      <c r="R205" s="163">
        <v>1854438</v>
      </c>
      <c r="S205" s="163">
        <v>1862091</v>
      </c>
      <c r="T205" s="163">
        <v>1862091</v>
      </c>
      <c r="U205" s="163">
        <v>1862091</v>
      </c>
      <c r="V205" s="163">
        <v>1839131</v>
      </c>
      <c r="W205" s="163">
        <v>1839131</v>
      </c>
      <c r="X205" s="163">
        <v>1844512</v>
      </c>
      <c r="Y205" s="163">
        <v>1836859</v>
      </c>
      <c r="Z205" s="163">
        <v>1836859</v>
      </c>
      <c r="AA205" s="163">
        <v>1836859</v>
      </c>
      <c r="AB205" s="163">
        <v>2513106</v>
      </c>
      <c r="AC205" s="163">
        <v>2513106</v>
      </c>
      <c r="AD205" s="163">
        <v>2513106</v>
      </c>
      <c r="AE205" s="163">
        <v>2505453</v>
      </c>
      <c r="AF205" s="163">
        <v>2505453</v>
      </c>
      <c r="AG205" s="163">
        <v>2505453</v>
      </c>
      <c r="AH205" s="163">
        <v>2497800</v>
      </c>
      <c r="AI205" s="163">
        <v>2497800</v>
      </c>
      <c r="AJ205" s="163">
        <v>2497800</v>
      </c>
      <c r="AK205" s="163">
        <v>924977</v>
      </c>
      <c r="AL205" s="163">
        <v>924977</v>
      </c>
      <c r="AM205" s="163">
        <v>924977</v>
      </c>
      <c r="AN205" s="163">
        <v>2236870</v>
      </c>
      <c r="AO205" s="163">
        <v>2236870</v>
      </c>
      <c r="AP205" s="163">
        <v>2236870</v>
      </c>
      <c r="AQ205" s="163">
        <v>2229217</v>
      </c>
      <c r="AR205" s="163">
        <v>2229217</v>
      </c>
      <c r="AS205" s="163">
        <v>2229217</v>
      </c>
      <c r="AT205" s="163">
        <v>1524045</v>
      </c>
      <c r="AU205" s="163">
        <v>1524045</v>
      </c>
      <c r="AV205" s="163">
        <v>1524045</v>
      </c>
      <c r="AW205" s="163">
        <v>1516109</v>
      </c>
      <c r="AX205" s="163">
        <v>1516109</v>
      </c>
      <c r="AY205" s="163">
        <v>1516109</v>
      </c>
      <c r="AZ205" s="163">
        <v>123630</v>
      </c>
      <c r="BA205" s="163">
        <v>123630</v>
      </c>
      <c r="BB205" s="163">
        <v>123630</v>
      </c>
      <c r="BC205" s="163">
        <v>123497</v>
      </c>
      <c r="BD205" s="163">
        <v>123497</v>
      </c>
      <c r="BE205" s="163">
        <v>123497</v>
      </c>
      <c r="BF205" s="163">
        <v>126969</v>
      </c>
      <c r="BG205" s="163">
        <v>126969</v>
      </c>
      <c r="BH205" s="163">
        <v>126969</v>
      </c>
      <c r="BI205" s="163">
        <v>125299</v>
      </c>
      <c r="BJ205" s="163">
        <v>125299</v>
      </c>
      <c r="BK205" s="163">
        <v>125299</v>
      </c>
      <c r="BL205" s="163">
        <v>1193888</v>
      </c>
      <c r="BM205" s="163">
        <v>1193888</v>
      </c>
      <c r="BN205" s="163">
        <v>1193888</v>
      </c>
      <c r="BO205" s="163">
        <v>1185763</v>
      </c>
      <c r="BP205" s="163">
        <v>1185763</v>
      </c>
      <c r="BQ205" s="163">
        <v>1185763</v>
      </c>
      <c r="BR205" s="163">
        <v>1179237</v>
      </c>
      <c r="BS205" s="163">
        <v>1179237</v>
      </c>
      <c r="BT205" s="163">
        <v>1179237</v>
      </c>
      <c r="BU205" s="163">
        <v>1171912</v>
      </c>
      <c r="BV205" s="163">
        <v>1171912</v>
      </c>
      <c r="BW205" s="163">
        <v>1171912</v>
      </c>
      <c r="BX205" s="163">
        <v>-1302058</v>
      </c>
      <c r="BY205" s="163">
        <v>-1302058</v>
      </c>
      <c r="BZ205" s="163">
        <v>-1302058</v>
      </c>
      <c r="CA205" s="163">
        <v>-1293831</v>
      </c>
      <c r="CB205" s="163">
        <v>-1293831</v>
      </c>
      <c r="CC205" s="163">
        <v>-1293831</v>
      </c>
      <c r="CD205" s="163">
        <v>-1281538</v>
      </c>
      <c r="CE205" s="163">
        <v>-1281538</v>
      </c>
      <c r="CF205" s="163">
        <v>-1281538</v>
      </c>
      <c r="CG205" s="163">
        <v>-1271278</v>
      </c>
      <c r="CH205" s="163">
        <v>-1271278</v>
      </c>
      <c r="CI205" s="163">
        <v>-1271278</v>
      </c>
      <c r="CJ205" s="163">
        <v>-6585426</v>
      </c>
      <c r="CK205" s="163">
        <v>-6585426</v>
      </c>
      <c r="CL205" s="163">
        <v>-6585426</v>
      </c>
      <c r="CM205" s="163">
        <v>-6495855</v>
      </c>
      <c r="CN205" s="163">
        <v>-6495855</v>
      </c>
      <c r="CO205" s="163">
        <v>-6495855</v>
      </c>
      <c r="CP205" s="163">
        <v>-6406284</v>
      </c>
      <c r="CQ205" s="163">
        <v>-6406284</v>
      </c>
      <c r="CR205" s="163">
        <v>-6406284</v>
      </c>
      <c r="CS205" s="163">
        <v>-6244641</v>
      </c>
      <c r="CT205" s="163">
        <v>-6244641</v>
      </c>
      <c r="CU205" s="163">
        <v>-6244641</v>
      </c>
      <c r="CV205" s="163">
        <v>-5453261</v>
      </c>
      <c r="CW205" s="163">
        <v>-5453261</v>
      </c>
      <c r="CX205" s="163">
        <v>-5453261</v>
      </c>
      <c r="CY205" s="163">
        <v>-5370139</v>
      </c>
      <c r="CZ205" s="163">
        <v>-5370139</v>
      </c>
      <c r="DA205" s="163">
        <v>-5370139</v>
      </c>
      <c r="DB205" s="163">
        <v>-5317438</v>
      </c>
      <c r="DC205" s="163">
        <v>-5317438</v>
      </c>
      <c r="DD205" s="163">
        <v>-5317438</v>
      </c>
      <c r="DE205" s="163">
        <v>-5249527</v>
      </c>
      <c r="DF205" s="163">
        <f>VLOOKUP($C205,'[3]BS ACC'!$C$5:$DH$1006,108,FALSE)</f>
        <v>-5249527</v>
      </c>
      <c r="DG205" s="163">
        <f>VLOOKUP($C205,'[3]BS ACC'!$C$5:$DH$1006,109,FALSE)</f>
        <v>-5249527</v>
      </c>
      <c r="DH205" s="163">
        <f>VLOOKUP($C205,'[3]BS ACC'!$C$5:$DH$1006,110,FALSE)</f>
        <v>1237339</v>
      </c>
    </row>
    <row r="206" spans="1:112">
      <c r="A206" s="350" t="str">
        <f t="shared" si="2"/>
        <v>2283232</v>
      </c>
      <c r="B206" s="350" t="s">
        <v>933</v>
      </c>
      <c r="C206" s="335" t="s">
        <v>733</v>
      </c>
      <c r="D206" s="340">
        <v>-15170213.300000001</v>
      </c>
      <c r="E206" s="340">
        <v>-15183137.619999999</v>
      </c>
      <c r="F206" s="340">
        <v>-15194410.949999999</v>
      </c>
      <c r="G206" s="340">
        <v>-15241500.85</v>
      </c>
      <c r="H206" s="340">
        <v>-15323744.880000001</v>
      </c>
      <c r="I206" s="340">
        <v>-15355021.68</v>
      </c>
      <c r="J206" s="340">
        <v>-15391404.35</v>
      </c>
      <c r="K206" s="340">
        <v>-15464298.24</v>
      </c>
      <c r="L206" s="340">
        <v>-15500379.84</v>
      </c>
      <c r="M206" s="340">
        <v>-15526075.48</v>
      </c>
      <c r="N206" s="340">
        <v>-15528609.84</v>
      </c>
      <c r="O206" s="340">
        <v>-15558116.15</v>
      </c>
      <c r="P206" s="341">
        <v>-15497365.67</v>
      </c>
      <c r="Q206" s="163">
        <v>-15563018.060000001</v>
      </c>
      <c r="R206" s="163">
        <v>-15628782.699999999</v>
      </c>
      <c r="S206" s="163">
        <v>-15636661.18</v>
      </c>
      <c r="T206" s="163">
        <v>-15706868.1</v>
      </c>
      <c r="U206" s="163">
        <v>-15640297.67</v>
      </c>
      <c r="V206" s="163">
        <v>-15642145.800000001</v>
      </c>
      <c r="W206" s="163">
        <v>-15717409.75</v>
      </c>
      <c r="X206" s="163">
        <v>-15499508.380000001</v>
      </c>
      <c r="Y206" s="163">
        <v>-15489476.01</v>
      </c>
      <c r="Z206" s="163">
        <v>-15478728.460000001</v>
      </c>
      <c r="AA206" s="163">
        <v>-15479003.9</v>
      </c>
      <c r="AB206" s="163">
        <v>-15447557.300000001</v>
      </c>
      <c r="AC206" s="163">
        <v>-15498743.369999999</v>
      </c>
      <c r="AD206" s="163">
        <v>-15530307.41</v>
      </c>
      <c r="AE206" s="163">
        <v>-15517497.34</v>
      </c>
      <c r="AF206" s="163">
        <v>-15559797.23</v>
      </c>
      <c r="AG206" s="163">
        <v>-15559596.76</v>
      </c>
      <c r="AH206" s="163">
        <v>-15621272.140000001</v>
      </c>
      <c r="AI206" s="163">
        <v>-15567372.9</v>
      </c>
      <c r="AJ206" s="163">
        <v>-15543289.23</v>
      </c>
      <c r="AK206" s="163">
        <v>-15588779.77</v>
      </c>
      <c r="AL206" s="163">
        <v>-15546389.720000001</v>
      </c>
      <c r="AM206" s="163">
        <v>-15591349.189999999</v>
      </c>
      <c r="AN206" s="163">
        <v>-15627612.24</v>
      </c>
      <c r="AO206" s="163">
        <v>-15626889.26</v>
      </c>
      <c r="AP206" s="163">
        <v>-15637765.630000001</v>
      </c>
      <c r="AQ206" s="163">
        <v>-15567386.630000001</v>
      </c>
      <c r="AR206" s="163">
        <v>-15677793.029999999</v>
      </c>
      <c r="AS206" s="163">
        <v>-15728806.73</v>
      </c>
      <c r="AT206" s="163">
        <v>-15738643.09</v>
      </c>
      <c r="AU206" s="163">
        <v>-15704282.92</v>
      </c>
      <c r="AV206" s="163">
        <v>-15732410.92</v>
      </c>
      <c r="AW206" s="163">
        <v>-15743292.369999999</v>
      </c>
      <c r="AX206" s="163">
        <v>-15762731.439999999</v>
      </c>
      <c r="AY206" s="163">
        <v>-15733742.84</v>
      </c>
      <c r="AZ206" s="163">
        <v>-15742627.17</v>
      </c>
      <c r="BA206" s="163">
        <v>-15693895.439999999</v>
      </c>
      <c r="BB206" s="163">
        <v>-15655559.220000001</v>
      </c>
      <c r="BC206" s="163">
        <v>-15779550.91</v>
      </c>
      <c r="BD206" s="163">
        <v>-15723964.25</v>
      </c>
      <c r="BE206" s="163">
        <v>-15695077.34</v>
      </c>
      <c r="BF206" s="163">
        <v>-15643596.52</v>
      </c>
      <c r="BG206" s="163">
        <v>-15692099.58</v>
      </c>
      <c r="BH206" s="163">
        <v>-15602195.42</v>
      </c>
      <c r="BI206" s="163">
        <v>-15612731.550000001</v>
      </c>
      <c r="BJ206" s="163">
        <v>-15552058.17</v>
      </c>
      <c r="BK206" s="163">
        <v>-15516335.85</v>
      </c>
      <c r="BL206" s="163">
        <v>-15538048.33</v>
      </c>
      <c r="BM206" s="163">
        <v>-15543057.970000001</v>
      </c>
      <c r="BN206" s="163">
        <v>-15534551.91</v>
      </c>
      <c r="BO206" s="163">
        <v>-15545771.24</v>
      </c>
      <c r="BP206" s="163">
        <v>-15595514.189999999</v>
      </c>
      <c r="BQ206" s="163">
        <v>-15676214.17</v>
      </c>
      <c r="BR206" s="163">
        <v>-15703605.369999999</v>
      </c>
      <c r="BS206" s="163">
        <v>-15723629.92</v>
      </c>
      <c r="BT206" s="163">
        <v>-15696295.560000001</v>
      </c>
      <c r="BU206" s="163">
        <v>-15728448.380000001</v>
      </c>
      <c r="BV206" s="163">
        <v>-15741201.74</v>
      </c>
      <c r="BW206" s="163">
        <v>-15759136.34</v>
      </c>
      <c r="BX206" s="163">
        <v>-15705884.439999999</v>
      </c>
      <c r="BY206" s="163">
        <v>-15732190.939999999</v>
      </c>
      <c r="BZ206" s="163">
        <v>-15732391.199999999</v>
      </c>
      <c r="CA206" s="163">
        <v>-15634568.77</v>
      </c>
      <c r="CB206" s="163">
        <v>-15541239.460000001</v>
      </c>
      <c r="CC206" s="163">
        <v>-15549537.529999999</v>
      </c>
      <c r="CD206" s="163">
        <v>-15543316.01</v>
      </c>
      <c r="CE206" s="163">
        <v>-15536461.9</v>
      </c>
      <c r="CF206" s="163">
        <v>-15501143.4</v>
      </c>
      <c r="CG206" s="163">
        <v>-15554230.92</v>
      </c>
      <c r="CH206" s="163">
        <v>-15529433.17</v>
      </c>
      <c r="CI206" s="163">
        <v>-15452402.029999999</v>
      </c>
      <c r="CJ206" s="163">
        <v>-15429582.390000001</v>
      </c>
      <c r="CK206" s="163">
        <v>-15505354.699999999</v>
      </c>
      <c r="CL206" s="163">
        <v>-15541129.02</v>
      </c>
      <c r="CM206" s="163">
        <v>-15571237.41</v>
      </c>
      <c r="CN206" s="163">
        <v>-15644315</v>
      </c>
      <c r="CO206" s="163">
        <v>-15652513.550000001</v>
      </c>
      <c r="CP206" s="163">
        <v>-15658947.109999999</v>
      </c>
      <c r="CQ206" s="163">
        <v>-15696750.15</v>
      </c>
      <c r="CR206" s="163">
        <v>-15478682.779999999</v>
      </c>
      <c r="CS206" s="163">
        <v>-15519952.51</v>
      </c>
      <c r="CT206" s="163">
        <v>-15612010.1</v>
      </c>
      <c r="CU206" s="163">
        <v>-15554453.92</v>
      </c>
      <c r="CV206" s="163">
        <v>-15636487.9</v>
      </c>
      <c r="CW206" s="163">
        <v>-15744164.07</v>
      </c>
      <c r="CX206" s="163">
        <v>-15779198.359999999</v>
      </c>
      <c r="CY206" s="163">
        <v>-15724591.41</v>
      </c>
      <c r="CZ206" s="163">
        <v>-15775176.4</v>
      </c>
      <c r="DA206" s="163">
        <v>-15836315.039999999</v>
      </c>
      <c r="DB206" s="163">
        <v>-15719993.140000001</v>
      </c>
      <c r="DC206" s="163">
        <v>-15581009.93</v>
      </c>
      <c r="DD206" s="163">
        <v>-15588217.08</v>
      </c>
      <c r="DE206" s="163">
        <v>-15516743.710000001</v>
      </c>
      <c r="DF206" s="163">
        <f>VLOOKUP($C206,'[3]BS ACC'!$C$5:$DH$1006,108,FALSE)</f>
        <v>-15473891.51</v>
      </c>
      <c r="DG206" s="163">
        <f>VLOOKUP($C206,'[3]BS ACC'!$C$5:$DH$1006,109,FALSE)</f>
        <v>-15298994.640000001</v>
      </c>
      <c r="DH206" s="163">
        <f>VLOOKUP($C206,'[3]BS ACC'!$C$5:$DH$1006,110,FALSE)</f>
        <v>-15380047.59</v>
      </c>
    </row>
    <row r="207" spans="1:112">
      <c r="A207" s="350" t="str">
        <f t="shared" si="2"/>
        <v>2283240</v>
      </c>
      <c r="B207" s="350" t="s">
        <v>910</v>
      </c>
      <c r="C207" s="335" t="s">
        <v>734</v>
      </c>
      <c r="D207" s="340">
        <v>-1338121</v>
      </c>
      <c r="E207" s="340">
        <v>-1342047.96</v>
      </c>
      <c r="F207" s="340">
        <v>-1353779.74</v>
      </c>
      <c r="G207" s="340">
        <v>-1343537.84</v>
      </c>
      <c r="H207" s="340">
        <v>-1318969.94</v>
      </c>
      <c r="I207" s="340">
        <v>-1334934.1499999999</v>
      </c>
      <c r="J207" s="340">
        <v>-1339111.1399999999</v>
      </c>
      <c r="K207" s="340">
        <v>-1343816.81</v>
      </c>
      <c r="L207" s="340">
        <v>-1604647.16</v>
      </c>
      <c r="M207" s="340">
        <v>-1574592.06</v>
      </c>
      <c r="N207" s="340">
        <v>-1575247.96</v>
      </c>
      <c r="O207" s="340">
        <v>-1571355.25</v>
      </c>
      <c r="P207" s="341">
        <v>-1911757</v>
      </c>
      <c r="Q207" s="163">
        <v>-1912262.67</v>
      </c>
      <c r="R207" s="163">
        <v>-1752357.55</v>
      </c>
      <c r="S207" s="163">
        <v>-1761196.77</v>
      </c>
      <c r="T207" s="163">
        <v>-1784892.37</v>
      </c>
      <c r="U207" s="163">
        <v>-1775223.39</v>
      </c>
      <c r="V207" s="163">
        <v>-1795685.76</v>
      </c>
      <c r="W207" s="163">
        <v>-1887459.46</v>
      </c>
      <c r="X207" s="163">
        <v>-1900807.76</v>
      </c>
      <c r="Y207" s="163">
        <v>-2235756.48</v>
      </c>
      <c r="Z207" s="163">
        <v>-2236968.9500000002</v>
      </c>
      <c r="AA207" s="163">
        <v>-2249140.7999999998</v>
      </c>
      <c r="AB207" s="163">
        <v>-1967200</v>
      </c>
      <c r="AC207" s="163">
        <v>-2019059.19</v>
      </c>
      <c r="AD207" s="163">
        <v>-2021944.97</v>
      </c>
      <c r="AE207" s="163">
        <v>-2031316.75</v>
      </c>
      <c r="AF207" s="163">
        <v>-2047242.39</v>
      </c>
      <c r="AG207" s="163">
        <v>-2035948.63</v>
      </c>
      <c r="AH207" s="163">
        <v>-2027731.35</v>
      </c>
      <c r="AI207" s="163">
        <v>-2020046.32</v>
      </c>
      <c r="AJ207" s="163">
        <v>-1984507.35</v>
      </c>
      <c r="AK207" s="163">
        <v>-2483978.2000000002</v>
      </c>
      <c r="AL207" s="163">
        <v>-2521539.06</v>
      </c>
      <c r="AM207" s="163">
        <v>-2564991.33</v>
      </c>
      <c r="AN207" s="163">
        <v>-2443017</v>
      </c>
      <c r="AO207" s="163">
        <v>-2491644.75</v>
      </c>
      <c r="AP207" s="163">
        <v>-2526428.9300000002</v>
      </c>
      <c r="AQ207" s="163">
        <v>-2559312.2400000002</v>
      </c>
      <c r="AR207" s="163">
        <v>-2608376.88</v>
      </c>
      <c r="AS207" s="163">
        <v>-2651148.9900000002</v>
      </c>
      <c r="AT207" s="163">
        <v>-2611342.3199999998</v>
      </c>
      <c r="AU207" s="163">
        <v>-2648060.27</v>
      </c>
      <c r="AV207" s="163">
        <v>-2660358.5299999998</v>
      </c>
      <c r="AW207" s="163">
        <v>-3231275.47</v>
      </c>
      <c r="AX207" s="163">
        <v>-3323599.17</v>
      </c>
      <c r="AY207" s="163">
        <v>-3382118.23</v>
      </c>
      <c r="AZ207" s="163">
        <v>-3049962</v>
      </c>
      <c r="BA207" s="163">
        <v>-3034124.41</v>
      </c>
      <c r="BB207" s="163">
        <v>-3072298.79</v>
      </c>
      <c r="BC207" s="163">
        <v>-3115771.87</v>
      </c>
      <c r="BD207" s="163">
        <v>-3135950.88</v>
      </c>
      <c r="BE207" s="163">
        <v>-3124484.7</v>
      </c>
      <c r="BF207" s="163">
        <v>-3133368.11</v>
      </c>
      <c r="BG207" s="163">
        <v>-3178562.16</v>
      </c>
      <c r="BH207" s="163">
        <v>-3189388.08</v>
      </c>
      <c r="BI207" s="163">
        <v>-2832231.31</v>
      </c>
      <c r="BJ207" s="163">
        <v>-2840557.24</v>
      </c>
      <c r="BK207" s="163">
        <v>-2839091.82</v>
      </c>
      <c r="BL207" s="163">
        <v>-2098347.48</v>
      </c>
      <c r="BM207" s="163">
        <v>-2156196.23</v>
      </c>
      <c r="BN207" s="163">
        <v>-2295418.42</v>
      </c>
      <c r="BO207" s="163">
        <v>-2304061.61</v>
      </c>
      <c r="BP207" s="163">
        <v>-2366828.69</v>
      </c>
      <c r="BQ207" s="163">
        <v>-2388681.67</v>
      </c>
      <c r="BR207" s="163">
        <v>-2413436.4700000002</v>
      </c>
      <c r="BS207" s="163">
        <v>-2477931.9</v>
      </c>
      <c r="BT207" s="163">
        <v>-2526636.39</v>
      </c>
      <c r="BU207" s="163">
        <v>-2504244.7000000002</v>
      </c>
      <c r="BV207" s="163">
        <v>-2558136.44</v>
      </c>
      <c r="BW207" s="163">
        <v>-2612221.9500000002</v>
      </c>
      <c r="BX207" s="163">
        <v>-2679850</v>
      </c>
      <c r="BY207" s="163">
        <v>-2766667.74</v>
      </c>
      <c r="BZ207" s="163">
        <v>-2834115.54</v>
      </c>
      <c r="CA207" s="163">
        <v>-2882191.85</v>
      </c>
      <c r="CB207" s="163">
        <v>-2922972.75</v>
      </c>
      <c r="CC207" s="163">
        <v>-3017035.97</v>
      </c>
      <c r="CD207" s="163">
        <v>-2998797.04</v>
      </c>
      <c r="CE207" s="163">
        <v>-3074388.5</v>
      </c>
      <c r="CF207" s="163">
        <v>-3054840.8</v>
      </c>
      <c r="CG207" s="163">
        <v>-3102481.75</v>
      </c>
      <c r="CH207" s="163">
        <v>-3163325.57</v>
      </c>
      <c r="CI207" s="163">
        <v>-3277403.02</v>
      </c>
      <c r="CJ207" s="163">
        <v>-3694346</v>
      </c>
      <c r="CK207" s="163">
        <v>-3849097.19</v>
      </c>
      <c r="CL207" s="163">
        <v>-3911248.43</v>
      </c>
      <c r="CM207" s="163">
        <v>-4066973.23</v>
      </c>
      <c r="CN207" s="163">
        <v>-4113457.24</v>
      </c>
      <c r="CO207" s="163">
        <v>-4159027.64</v>
      </c>
      <c r="CP207" s="163">
        <v>-4222723.63</v>
      </c>
      <c r="CQ207" s="163">
        <v>-4456788</v>
      </c>
      <c r="CR207" s="163">
        <v>-4470146.67</v>
      </c>
      <c r="CS207" s="163">
        <v>-5155989.0999999996</v>
      </c>
      <c r="CT207" s="163">
        <v>-5327284.99</v>
      </c>
      <c r="CU207" s="163">
        <v>-5415986.3300000001</v>
      </c>
      <c r="CV207" s="163">
        <v>-3047263.04</v>
      </c>
      <c r="CW207" s="163">
        <v>-3136258.33</v>
      </c>
      <c r="CX207" s="163">
        <v>-3175516.49</v>
      </c>
      <c r="CY207" s="163">
        <v>-3423080.19</v>
      </c>
      <c r="CZ207" s="163">
        <v>-3479570.18</v>
      </c>
      <c r="DA207" s="163">
        <v>-3322606.19</v>
      </c>
      <c r="DB207" s="163">
        <v>-3341333.44</v>
      </c>
      <c r="DC207" s="163">
        <v>-3660010.39</v>
      </c>
      <c r="DD207" s="163">
        <v>-3121737.58</v>
      </c>
      <c r="DE207" s="163">
        <v>-3167313.21</v>
      </c>
      <c r="DF207" s="163">
        <f>VLOOKUP($C207,'[3]BS ACC'!$C$5:$DH$1006,108,FALSE)</f>
        <v>-3208330.1</v>
      </c>
      <c r="DG207" s="163">
        <f>VLOOKUP($C207,'[3]BS ACC'!$C$5:$DH$1006,109,FALSE)</f>
        <v>-3253337.88</v>
      </c>
      <c r="DH207" s="163">
        <f>VLOOKUP($C207,'[3]BS ACC'!$C$5:$DH$1006,110,FALSE)</f>
        <v>-2784737.22</v>
      </c>
    </row>
    <row r="208" spans="1:112">
      <c r="A208" s="350" t="str">
        <f t="shared" si="2"/>
        <v>2284020</v>
      </c>
      <c r="B208" s="350" t="s">
        <v>934</v>
      </c>
      <c r="C208" s="335" t="s">
        <v>735</v>
      </c>
      <c r="D208" s="340">
        <v>0</v>
      </c>
      <c r="E208" s="340">
        <v>0</v>
      </c>
      <c r="F208" s="340">
        <v>0</v>
      </c>
      <c r="G208" s="340">
        <v>0</v>
      </c>
      <c r="H208" s="340">
        <v>0</v>
      </c>
      <c r="I208" s="340">
        <v>0</v>
      </c>
      <c r="J208" s="340">
        <v>0</v>
      </c>
      <c r="K208" s="340">
        <v>0</v>
      </c>
      <c r="L208" s="340">
        <v>0</v>
      </c>
      <c r="M208" s="340">
        <v>0</v>
      </c>
      <c r="N208" s="340">
        <v>0</v>
      </c>
      <c r="O208" s="340">
        <v>0</v>
      </c>
      <c r="P208" s="341">
        <v>0</v>
      </c>
      <c r="Q208" s="163">
        <v>0</v>
      </c>
      <c r="R208" s="163">
        <v>0</v>
      </c>
      <c r="S208" s="163">
        <v>0</v>
      </c>
      <c r="T208" s="163">
        <v>0</v>
      </c>
      <c r="U208" s="163">
        <v>0</v>
      </c>
      <c r="V208" s="163">
        <v>0</v>
      </c>
      <c r="W208" s="163">
        <v>0</v>
      </c>
      <c r="X208" s="163">
        <v>0</v>
      </c>
      <c r="Y208" s="163">
        <v>0</v>
      </c>
      <c r="Z208" s="163">
        <v>0</v>
      </c>
      <c r="AA208" s="163">
        <v>0</v>
      </c>
      <c r="AB208" s="163">
        <v>-43288.91</v>
      </c>
      <c r="AC208" s="163">
        <v>-43288.91</v>
      </c>
      <c r="AD208" s="163">
        <v>-43288.91</v>
      </c>
      <c r="AE208" s="163">
        <v>-27900.82</v>
      </c>
      <c r="AF208" s="163">
        <v>-27900.82</v>
      </c>
      <c r="AG208" s="163">
        <v>-27900.82</v>
      </c>
      <c r="AH208" s="163">
        <v>-69825.119999999995</v>
      </c>
      <c r="AI208" s="163">
        <v>-69825.119999999995</v>
      </c>
      <c r="AJ208" s="163">
        <v>-69825.119999999995</v>
      </c>
      <c r="AK208" s="163">
        <v>-56043.47</v>
      </c>
      <c r="AL208" s="163">
        <v>-56043.47</v>
      </c>
      <c r="AM208" s="163">
        <v>-56043.47</v>
      </c>
      <c r="AN208" s="163">
        <v>0</v>
      </c>
      <c r="AO208" s="163">
        <v>0</v>
      </c>
      <c r="AP208" s="163">
        <v>0</v>
      </c>
      <c r="AQ208" s="163">
        <v>0</v>
      </c>
      <c r="AR208" s="163">
        <v>0</v>
      </c>
      <c r="AS208" s="163">
        <v>0</v>
      </c>
      <c r="AT208" s="163">
        <v>0</v>
      </c>
      <c r="AU208" s="163">
        <v>0</v>
      </c>
      <c r="AV208" s="163">
        <v>0</v>
      </c>
      <c r="AW208" s="163">
        <v>0</v>
      </c>
      <c r="AX208" s="163">
        <v>0</v>
      </c>
      <c r="AY208" s="163">
        <v>0</v>
      </c>
      <c r="AZ208" s="163">
        <v>0</v>
      </c>
      <c r="BA208" s="163">
        <v>0</v>
      </c>
      <c r="BB208" s="163">
        <v>0</v>
      </c>
      <c r="BC208" s="163">
        <v>0</v>
      </c>
      <c r="BD208" s="163">
        <v>0</v>
      </c>
      <c r="BE208" s="163">
        <v>0</v>
      </c>
      <c r="BF208" s="163">
        <v>0</v>
      </c>
      <c r="BG208" s="163">
        <v>0</v>
      </c>
      <c r="BH208" s="163">
        <v>0</v>
      </c>
      <c r="BI208" s="163">
        <v>0</v>
      </c>
      <c r="BJ208" s="163">
        <v>0</v>
      </c>
      <c r="BK208" s="163">
        <v>0</v>
      </c>
      <c r="BL208" s="163">
        <v>0</v>
      </c>
      <c r="BM208" s="163">
        <v>0</v>
      </c>
      <c r="BN208" s="163">
        <v>0</v>
      </c>
      <c r="BO208" s="163">
        <v>0</v>
      </c>
      <c r="BP208" s="163">
        <v>0</v>
      </c>
      <c r="BQ208" s="163">
        <v>0</v>
      </c>
      <c r="BR208" s="163">
        <v>0</v>
      </c>
      <c r="BS208" s="163">
        <v>0</v>
      </c>
      <c r="BT208" s="163">
        <v>0</v>
      </c>
      <c r="BU208" s="163">
        <v>0</v>
      </c>
      <c r="BV208" s="163">
        <v>0</v>
      </c>
      <c r="BW208" s="163">
        <v>0</v>
      </c>
      <c r="BX208" s="163">
        <v>0</v>
      </c>
      <c r="BY208" s="163">
        <v>0</v>
      </c>
      <c r="BZ208" s="163">
        <v>0</v>
      </c>
      <c r="CA208" s="163">
        <v>0</v>
      </c>
      <c r="CB208" s="163">
        <v>0</v>
      </c>
      <c r="CC208" s="163">
        <v>0</v>
      </c>
      <c r="CD208" s="163">
        <v>0</v>
      </c>
      <c r="CE208" s="163">
        <v>0</v>
      </c>
      <c r="CF208" s="163">
        <v>0</v>
      </c>
      <c r="CG208" s="163">
        <v>0</v>
      </c>
      <c r="CH208" s="163">
        <v>0</v>
      </c>
      <c r="CI208" s="163">
        <v>0</v>
      </c>
      <c r="CJ208" s="163">
        <v>0</v>
      </c>
      <c r="CK208" s="163">
        <v>0</v>
      </c>
      <c r="CL208" s="163">
        <v>0</v>
      </c>
      <c r="CM208" s="163">
        <v>0</v>
      </c>
      <c r="CN208" s="163">
        <v>0</v>
      </c>
      <c r="CO208" s="163">
        <v>0</v>
      </c>
      <c r="CP208" s="163">
        <v>0</v>
      </c>
      <c r="CQ208" s="163">
        <v>0</v>
      </c>
      <c r="CR208" s="163">
        <v>0</v>
      </c>
      <c r="CS208" s="163">
        <v>0</v>
      </c>
      <c r="CT208" s="163">
        <v>0</v>
      </c>
      <c r="CU208" s="163">
        <v>0</v>
      </c>
      <c r="CV208" s="163">
        <v>0</v>
      </c>
      <c r="CW208" s="163">
        <v>0</v>
      </c>
      <c r="CX208" s="163">
        <v>0</v>
      </c>
      <c r="CY208" s="163">
        <v>0</v>
      </c>
      <c r="CZ208" s="163">
        <v>0</v>
      </c>
      <c r="DA208" s="163">
        <v>0</v>
      </c>
      <c r="DB208" s="163">
        <v>0</v>
      </c>
      <c r="DC208" s="163">
        <v>0</v>
      </c>
      <c r="DD208" s="163">
        <v>0</v>
      </c>
      <c r="DE208" s="163">
        <v>0</v>
      </c>
      <c r="DF208" s="163">
        <f>VLOOKUP($C208,'[3]BS ACC'!$C$5:$DH$1006,108,FALSE)</f>
        <v>0</v>
      </c>
      <c r="DG208" s="163">
        <f>VLOOKUP($C208,'[3]BS ACC'!$C$5:$DH$1006,109,FALSE)</f>
        <v>0</v>
      </c>
      <c r="DH208" s="163">
        <f>VLOOKUP($C208,'[3]BS ACC'!$C$5:$DH$1006,110,FALSE)</f>
        <v>0</v>
      </c>
    </row>
    <row r="209" spans="1:112">
      <c r="A209" s="350" t="str">
        <f t="shared" si="2"/>
        <v>2284030</v>
      </c>
      <c r="B209" s="350" t="s">
        <v>935</v>
      </c>
      <c r="C209" s="335" t="s">
        <v>736</v>
      </c>
      <c r="D209" s="340">
        <v>-115338.93</v>
      </c>
      <c r="E209" s="340">
        <v>-115338.93</v>
      </c>
      <c r="F209" s="340">
        <v>-106141.35</v>
      </c>
      <c r="G209" s="340">
        <v>-89064.28</v>
      </c>
      <c r="H209" s="340">
        <v>-100380.07</v>
      </c>
      <c r="I209" s="340">
        <v>-123276.81</v>
      </c>
      <c r="J209" s="340">
        <v>-104594.18</v>
      </c>
      <c r="K209" s="340">
        <v>-130704.09</v>
      </c>
      <c r="L209" s="340">
        <v>-129411.8</v>
      </c>
      <c r="M209" s="340">
        <v>-129411.8</v>
      </c>
      <c r="N209" s="340">
        <v>-129411.8</v>
      </c>
      <c r="O209" s="340">
        <v>-129411.8</v>
      </c>
      <c r="P209" s="341">
        <v>-155253.72</v>
      </c>
      <c r="Q209" s="163">
        <v>-155253.72</v>
      </c>
      <c r="R209" s="163">
        <v>-193312.6</v>
      </c>
      <c r="S209" s="163">
        <v>-161338.35</v>
      </c>
      <c r="T209" s="163">
        <v>-161338.35</v>
      </c>
      <c r="U209" s="163">
        <v>-161338.35</v>
      </c>
      <c r="V209" s="163">
        <v>-152857.57999999999</v>
      </c>
      <c r="W209" s="163">
        <v>-152857.57999999999</v>
      </c>
      <c r="X209" s="163">
        <v>-152857.57999999999</v>
      </c>
      <c r="Y209" s="163">
        <v>-140258.88</v>
      </c>
      <c r="Z209" s="163">
        <v>-140258.88</v>
      </c>
      <c r="AA209" s="163">
        <v>-140258.88</v>
      </c>
      <c r="AB209" s="163">
        <v>-73349.679999999993</v>
      </c>
      <c r="AC209" s="163">
        <v>-73349.679999999993</v>
      </c>
      <c r="AD209" s="163">
        <v>-73349.679999999993</v>
      </c>
      <c r="AE209" s="163">
        <v>-81893.59</v>
      </c>
      <c r="AF209" s="163">
        <v>-81893.59</v>
      </c>
      <c r="AG209" s="163">
        <v>-81893.59</v>
      </c>
      <c r="AH209" s="163">
        <v>-81893.59</v>
      </c>
      <c r="AI209" s="163">
        <v>-81893.59</v>
      </c>
      <c r="AJ209" s="163">
        <v>-81893.59</v>
      </c>
      <c r="AK209" s="163">
        <v>-81893.59</v>
      </c>
      <c r="AL209" s="163">
        <v>-47680.06</v>
      </c>
      <c r="AM209" s="163">
        <v>-47680.06</v>
      </c>
      <c r="AN209" s="163">
        <v>-47680.06</v>
      </c>
      <c r="AO209" s="163">
        <v>-47680.06</v>
      </c>
      <c r="AP209" s="163">
        <v>-47680.06</v>
      </c>
      <c r="AQ209" s="163">
        <v>-47680.06</v>
      </c>
      <c r="AR209" s="163">
        <v>-47680.06</v>
      </c>
      <c r="AS209" s="163">
        <v>-47680.06</v>
      </c>
      <c r="AT209" s="163">
        <v>-47680.06</v>
      </c>
      <c r="AU209" s="163">
        <v>-47680.06</v>
      </c>
      <c r="AV209" s="163">
        <v>-47680.06</v>
      </c>
      <c r="AW209" s="163">
        <v>-47680.06</v>
      </c>
      <c r="AX209" s="163">
        <v>-47680.06</v>
      </c>
      <c r="AY209" s="163">
        <v>-47680.06</v>
      </c>
      <c r="AZ209" s="163">
        <v>-47680.06</v>
      </c>
      <c r="BA209" s="163">
        <v>-47680.06</v>
      </c>
      <c r="BB209" s="163">
        <v>-47680.06</v>
      </c>
      <c r="BC209" s="163">
        <v>-47680.06</v>
      </c>
      <c r="BD209" s="163">
        <v>-103220.62</v>
      </c>
      <c r="BE209" s="163">
        <v>-91699.86</v>
      </c>
      <c r="BF209" s="163">
        <v>-107404.3</v>
      </c>
      <c r="BG209" s="163">
        <v>-107404.3</v>
      </c>
      <c r="BH209" s="163">
        <v>-216452.99</v>
      </c>
      <c r="BI209" s="163">
        <v>-207913.4</v>
      </c>
      <c r="BJ209" s="163">
        <v>-205400.7</v>
      </c>
      <c r="BK209" s="163">
        <v>-131114.10999999999</v>
      </c>
      <c r="BL209" s="163">
        <v>-64341.54</v>
      </c>
      <c r="BM209" s="163">
        <v>-86007.99</v>
      </c>
      <c r="BN209" s="163">
        <v>-73442.399999999994</v>
      </c>
      <c r="BO209" s="163">
        <v>-98801.95</v>
      </c>
      <c r="BP209" s="163">
        <v>-76479.8</v>
      </c>
      <c r="BQ209" s="163">
        <v>-86168.3</v>
      </c>
      <c r="BR209" s="163">
        <v>-99853.82</v>
      </c>
      <c r="BS209" s="163">
        <v>-99853.82</v>
      </c>
      <c r="BT209" s="163">
        <v>-111834.4</v>
      </c>
      <c r="BU209" s="163">
        <v>-109235.92</v>
      </c>
      <c r="BV209" s="163">
        <v>-94434.37</v>
      </c>
      <c r="BW209" s="163">
        <v>-124983.74</v>
      </c>
      <c r="BX209" s="163">
        <v>-88500.800000000003</v>
      </c>
      <c r="BY209" s="163">
        <v>-111748.17</v>
      </c>
      <c r="BZ209" s="163">
        <v>-141017.21</v>
      </c>
      <c r="CA209" s="163">
        <v>-166204.94</v>
      </c>
      <c r="CB209" s="163">
        <v>-266476.05</v>
      </c>
      <c r="CC209" s="163">
        <v>-378020.19</v>
      </c>
      <c r="CD209" s="163">
        <v>-446300.59</v>
      </c>
      <c r="CE209" s="163">
        <v>-514943.01</v>
      </c>
      <c r="CF209" s="163">
        <v>-412036.57</v>
      </c>
      <c r="CG209" s="163">
        <v>-379469.83</v>
      </c>
      <c r="CH209" s="163">
        <v>-184210.75</v>
      </c>
      <c r="CI209" s="163">
        <v>-221360.07</v>
      </c>
      <c r="CJ209" s="163">
        <v>-152994.60999999999</v>
      </c>
      <c r="CK209" s="163">
        <v>-93391.51</v>
      </c>
      <c r="CL209" s="163">
        <v>-146412.39000000001</v>
      </c>
      <c r="CM209" s="163">
        <v>-114930.05</v>
      </c>
      <c r="CN209" s="163">
        <v>-173807.9</v>
      </c>
      <c r="CO209" s="163">
        <v>-136640.75</v>
      </c>
      <c r="CP209" s="163">
        <v>-165841.16</v>
      </c>
      <c r="CQ209" s="163">
        <v>-207208.9</v>
      </c>
      <c r="CR209" s="163">
        <v>-252220.57</v>
      </c>
      <c r="CS209" s="163">
        <v>-284539.48</v>
      </c>
      <c r="CT209" s="163">
        <v>-209201.05</v>
      </c>
      <c r="CU209" s="163">
        <v>-163198.39999999999</v>
      </c>
      <c r="CV209" s="163">
        <v>-124971.54</v>
      </c>
      <c r="CW209" s="163">
        <v>-139769.93</v>
      </c>
      <c r="CX209" s="163">
        <v>-169758.28</v>
      </c>
      <c r="CY209" s="163">
        <v>-239641.27</v>
      </c>
      <c r="CZ209" s="163">
        <v>-210070.87</v>
      </c>
      <c r="DA209" s="163">
        <v>-206511.54</v>
      </c>
      <c r="DB209" s="163">
        <v>-202469.29</v>
      </c>
      <c r="DC209" s="163">
        <v>-234614.18</v>
      </c>
      <c r="DD209" s="163">
        <v>-271758.46000000002</v>
      </c>
      <c r="DE209" s="163">
        <v>-306326.07</v>
      </c>
      <c r="DF209" s="163">
        <f>VLOOKUP($C209,'[3]BS ACC'!$C$5:$DH$1006,108,FALSE)</f>
        <v>-244594.81</v>
      </c>
      <c r="DG209" s="163">
        <f>VLOOKUP($C209,'[3]BS ACC'!$C$5:$DH$1006,109,FALSE)</f>
        <v>-229330.54</v>
      </c>
      <c r="DH209" s="163">
        <f>VLOOKUP($C209,'[3]BS ACC'!$C$5:$DH$1006,110,FALSE)</f>
        <v>-201166.61</v>
      </c>
    </row>
    <row r="210" spans="1:112">
      <c r="A210" s="350" t="str">
        <f t="shared" si="2"/>
        <v>2310000</v>
      </c>
      <c r="B210" s="350" t="s">
        <v>1627</v>
      </c>
      <c r="C210" s="335" t="s">
        <v>737</v>
      </c>
      <c r="D210" s="340">
        <v>-15600000</v>
      </c>
      <c r="E210" s="340">
        <v>-16500000</v>
      </c>
      <c r="F210" s="340">
        <v>-12200000</v>
      </c>
      <c r="G210" s="340">
        <v>0</v>
      </c>
      <c r="H210" s="340">
        <v>0</v>
      </c>
      <c r="I210" s="340">
        <v>0</v>
      </c>
      <c r="J210" s="340">
        <v>0</v>
      </c>
      <c r="K210" s="340">
        <v>0</v>
      </c>
      <c r="L210" s="340">
        <v>0</v>
      </c>
      <c r="M210" s="340">
        <v>0</v>
      </c>
      <c r="N210" s="340">
        <v>0</v>
      </c>
      <c r="O210" s="340">
        <v>0</v>
      </c>
      <c r="P210" s="341">
        <v>-12900000</v>
      </c>
      <c r="Q210" s="163">
        <v>-8350000</v>
      </c>
      <c r="R210" s="163">
        <v>-5800000</v>
      </c>
      <c r="S210" s="163">
        <v>0</v>
      </c>
      <c r="T210" s="163">
        <v>0</v>
      </c>
      <c r="U210" s="163">
        <v>0</v>
      </c>
      <c r="V210" s="163">
        <v>0</v>
      </c>
      <c r="W210" s="163">
        <v>0</v>
      </c>
      <c r="X210" s="163">
        <v>0</v>
      </c>
      <c r="Y210" s="163">
        <v>0</v>
      </c>
      <c r="Z210" s="163">
        <v>0</v>
      </c>
      <c r="AA210" s="163">
        <v>0</v>
      </c>
      <c r="AB210" s="163">
        <v>0</v>
      </c>
      <c r="AC210" s="163">
        <v>0</v>
      </c>
      <c r="AD210" s="163">
        <v>-2300000</v>
      </c>
      <c r="AE210" s="163">
        <v>0</v>
      </c>
      <c r="AF210" s="163">
        <v>0</v>
      </c>
      <c r="AG210" s="163">
        <v>0</v>
      </c>
      <c r="AH210" s="163">
        <v>0</v>
      </c>
      <c r="AI210" s="163">
        <v>-1800000</v>
      </c>
      <c r="AJ210" s="163">
        <v>-3150000</v>
      </c>
      <c r="AK210" s="163">
        <v>-700000</v>
      </c>
      <c r="AL210" s="163">
        <v>0</v>
      </c>
      <c r="AM210" s="163">
        <v>-9750000</v>
      </c>
      <c r="AN210" s="163">
        <v>-30050000</v>
      </c>
      <c r="AO210" s="163">
        <v>-41225800</v>
      </c>
      <c r="AP210" s="163">
        <v>-40506800</v>
      </c>
      <c r="AQ210" s="163">
        <v>-41810800</v>
      </c>
      <c r="AR210" s="163">
        <v>-37148300</v>
      </c>
      <c r="AS210" s="163">
        <v>-30142100</v>
      </c>
      <c r="AT210" s="163">
        <v>-36126700</v>
      </c>
      <c r="AU210" s="163">
        <v>-33325400</v>
      </c>
      <c r="AV210" s="163">
        <v>-46233900</v>
      </c>
      <c r="AW210" s="163">
        <v>-48013800</v>
      </c>
      <c r="AX210" s="163">
        <v>-43884100</v>
      </c>
      <c r="AY210" s="163">
        <v>0</v>
      </c>
      <c r="AZ210" s="163">
        <v>-5000000</v>
      </c>
      <c r="BA210" s="163">
        <v>-5000000</v>
      </c>
      <c r="BB210" s="163">
        <v>-58203643.530000001</v>
      </c>
      <c r="BC210" s="163">
        <v>-53438296.759999998</v>
      </c>
      <c r="BD210" s="163">
        <v>-53973759.039999999</v>
      </c>
      <c r="BE210" s="163">
        <v>-86871593.75</v>
      </c>
      <c r="BF210" s="163">
        <v>-32647326.449999999</v>
      </c>
      <c r="BG210" s="163">
        <v>-32403666.739999998</v>
      </c>
      <c r="BH210" s="163">
        <v>-36635669.780000001</v>
      </c>
      <c r="BI210" s="163">
        <v>-44924345.579999998</v>
      </c>
      <c r="BJ210" s="163">
        <v>0</v>
      </c>
      <c r="BK210" s="163">
        <v>-35033765.530000001</v>
      </c>
      <c r="BL210" s="163">
        <v>-53651642.840000004</v>
      </c>
      <c r="BM210" s="163">
        <v>-70274100.799999997</v>
      </c>
      <c r="BN210" s="163">
        <v>-51017831.979999997</v>
      </c>
      <c r="BO210" s="163">
        <v>-43526147.640000001</v>
      </c>
      <c r="BP210" s="163">
        <v>-47854030.259999998</v>
      </c>
      <c r="BQ210" s="163">
        <v>-32302624.949999999</v>
      </c>
      <c r="BR210" s="163">
        <v>-43946027.359999999</v>
      </c>
      <c r="BS210" s="163">
        <v>-30168533.420000002</v>
      </c>
      <c r="BT210" s="163">
        <v>-48717414.859999999</v>
      </c>
      <c r="BU210" s="163">
        <v>-44435200.189999998</v>
      </c>
      <c r="BV210" s="163">
        <v>-47028283.420000002</v>
      </c>
      <c r="BW210" s="163">
        <v>-77517735.260000005</v>
      </c>
      <c r="BX210" s="163">
        <v>-91138979.060000002</v>
      </c>
      <c r="BY210" s="163">
        <v>-104160102.78</v>
      </c>
      <c r="BZ210" s="163">
        <v>-90190820</v>
      </c>
      <c r="CA210" s="163">
        <v>-91778966.859999999</v>
      </c>
      <c r="CB210" s="163">
        <v>-99145211.670000002</v>
      </c>
      <c r="CC210" s="163">
        <v>-104893603</v>
      </c>
      <c r="CD210" s="163">
        <v>-127591365</v>
      </c>
      <c r="CE210" s="163">
        <v>-145194423.19</v>
      </c>
      <c r="CF210" s="163">
        <v>-133998437.38</v>
      </c>
      <c r="CG210" s="163">
        <v>-144415739.19999999</v>
      </c>
      <c r="CH210" s="163">
        <v>-162258206.69999999</v>
      </c>
      <c r="CI210" s="163">
        <v>-179528111.31999999</v>
      </c>
      <c r="CJ210" s="163">
        <v>-214352134.94</v>
      </c>
      <c r="CK210" s="163">
        <v>-236511398.25999999</v>
      </c>
      <c r="CL210" s="163">
        <v>-221147725.66</v>
      </c>
      <c r="CM210" s="163">
        <v>-10000000</v>
      </c>
      <c r="CN210" s="163">
        <v>-17122357</v>
      </c>
      <c r="CO210" s="163">
        <v>-87741525.890000001</v>
      </c>
      <c r="CP210" s="163">
        <v>-99244299.810000002</v>
      </c>
      <c r="CQ210" s="163">
        <v>-111939289</v>
      </c>
      <c r="CR210" s="163">
        <v>-101333505</v>
      </c>
      <c r="CS210" s="163">
        <v>-115219002</v>
      </c>
      <c r="CT210" s="163">
        <v>-136200897</v>
      </c>
      <c r="CU210" s="163">
        <v>-144763516</v>
      </c>
      <c r="CV210" s="163">
        <v>-189522084</v>
      </c>
      <c r="CW210" s="163">
        <v>-210398800</v>
      </c>
      <c r="CX210" s="163">
        <v>-158200102.47999999</v>
      </c>
      <c r="CY210" s="163">
        <v>-166329492.08000001</v>
      </c>
      <c r="CZ210" s="163">
        <v>-174483977.78</v>
      </c>
      <c r="DA210" s="163">
        <v>-177717844.08000001</v>
      </c>
      <c r="DB210" s="163">
        <v>-198344903.18000001</v>
      </c>
      <c r="DC210" s="163">
        <v>-100000000</v>
      </c>
      <c r="DD210" s="163">
        <v>-100000000</v>
      </c>
      <c r="DE210" s="163">
        <v>-156383680.47999999</v>
      </c>
      <c r="DF210" s="163">
        <f>VLOOKUP($C210,'[3]BS ACC'!$C$5:$DH$1006,108,FALSE)</f>
        <v>-159112874.97999999</v>
      </c>
      <c r="DG210" s="163">
        <f>VLOOKUP($C210,'[3]BS ACC'!$C$5:$DH$1006,109,FALSE)</f>
        <v>-161937357.08000001</v>
      </c>
      <c r="DH210" s="163">
        <f>VLOOKUP($C210,'[3]BS ACC'!$C$5:$DH$1006,110,FALSE)</f>
        <v>-166097150.09999999</v>
      </c>
    </row>
    <row r="211" spans="1:112">
      <c r="A211" s="350" t="str">
        <f t="shared" si="2"/>
        <v>2320000</v>
      </c>
      <c r="B211" s="350" t="s">
        <v>1628</v>
      </c>
      <c r="C211" s="335" t="s">
        <v>738</v>
      </c>
      <c r="D211" s="340">
        <v>-3184397.72</v>
      </c>
      <c r="E211" s="340">
        <v>-740849.1</v>
      </c>
      <c r="F211" s="340">
        <v>-1497949.02</v>
      </c>
      <c r="G211" s="340">
        <v>-1000926.22</v>
      </c>
      <c r="H211" s="340">
        <v>-1308814.8</v>
      </c>
      <c r="I211" s="340">
        <v>-836891.07</v>
      </c>
      <c r="J211" s="340">
        <v>-1911021.26</v>
      </c>
      <c r="K211" s="340">
        <v>-2044211.58</v>
      </c>
      <c r="L211" s="340">
        <v>-1220048.04</v>
      </c>
      <c r="M211" s="340">
        <v>-1432517</v>
      </c>
      <c r="N211" s="340">
        <v>-977075.08</v>
      </c>
      <c r="O211" s="340">
        <v>-409756.51</v>
      </c>
      <c r="P211" s="341">
        <v>-1722820.56</v>
      </c>
      <c r="Q211" s="163">
        <v>-1060830.73</v>
      </c>
      <c r="R211" s="163">
        <v>-574520.71</v>
      </c>
      <c r="S211" s="163">
        <v>-1276694.08</v>
      </c>
      <c r="T211" s="163">
        <v>-1229136.94</v>
      </c>
      <c r="U211" s="163">
        <v>-1416357.64</v>
      </c>
      <c r="V211" s="163">
        <v>-2849186.9</v>
      </c>
      <c r="W211" s="163">
        <v>-1486442.65</v>
      </c>
      <c r="X211" s="163">
        <v>-2084990.99</v>
      </c>
      <c r="Y211" s="163">
        <v>-1406290.84</v>
      </c>
      <c r="Z211" s="163">
        <v>-1179775.95</v>
      </c>
      <c r="AA211" s="163">
        <v>-1501843.93</v>
      </c>
      <c r="AB211" s="163">
        <v>-1310185.71</v>
      </c>
      <c r="AC211" s="163">
        <v>-892053.01</v>
      </c>
      <c r="AD211" s="163">
        <v>-2428530.02</v>
      </c>
      <c r="AE211" s="163">
        <v>-2441225.33</v>
      </c>
      <c r="AF211" s="163">
        <v>-1518030.5</v>
      </c>
      <c r="AG211" s="163">
        <v>-1390650.19</v>
      </c>
      <c r="AH211" s="163">
        <v>-2371173.4</v>
      </c>
      <c r="AI211" s="163">
        <v>-1175030.1399999999</v>
      </c>
      <c r="AJ211" s="163">
        <v>-1655078.38</v>
      </c>
      <c r="AK211" s="163">
        <v>-1798185.64</v>
      </c>
      <c r="AL211" s="163">
        <v>-2831476.58</v>
      </c>
      <c r="AM211" s="163">
        <v>-1426032.02</v>
      </c>
      <c r="AN211" s="163">
        <v>-2700314.35</v>
      </c>
      <c r="AO211" s="163">
        <v>-852478.8</v>
      </c>
      <c r="AP211" s="163">
        <v>-2009418.18</v>
      </c>
      <c r="AQ211" s="163">
        <v>-1533682.42</v>
      </c>
      <c r="AR211" s="163">
        <v>-1124234.94</v>
      </c>
      <c r="AS211" s="163">
        <v>-2487243.08</v>
      </c>
      <c r="AT211" s="163">
        <v>-1307447.8500000001</v>
      </c>
      <c r="AU211" s="163">
        <v>-1770144.56</v>
      </c>
      <c r="AV211" s="163">
        <v>-3092338</v>
      </c>
      <c r="AW211" s="163">
        <v>-1601378.58</v>
      </c>
      <c r="AX211" s="163">
        <v>-2118362.2999999998</v>
      </c>
      <c r="AY211" s="163">
        <v>-1562049.97</v>
      </c>
      <c r="AZ211" s="163">
        <v>-4842419.4000000004</v>
      </c>
      <c r="BA211" s="163">
        <v>-1598781.54</v>
      </c>
      <c r="BB211" s="163">
        <v>-1379947.66</v>
      </c>
      <c r="BC211" s="163">
        <v>-2407141.14</v>
      </c>
      <c r="BD211" s="163">
        <v>-2451014.39</v>
      </c>
      <c r="BE211" s="163">
        <v>-2938867.7</v>
      </c>
      <c r="BF211" s="163">
        <v>-2642953.38</v>
      </c>
      <c r="BG211" s="163">
        <v>-2871589.07</v>
      </c>
      <c r="BH211" s="163">
        <v>-3896340.93</v>
      </c>
      <c r="BI211" s="163">
        <v>-2962818.52</v>
      </c>
      <c r="BJ211" s="163">
        <v>-4566334.28</v>
      </c>
      <c r="BK211" s="163">
        <v>-2059321.92</v>
      </c>
      <c r="BL211" s="163">
        <v>-8451893.4199999999</v>
      </c>
      <c r="BM211" s="163">
        <v>-2527412.5299999998</v>
      </c>
      <c r="BN211" s="163">
        <v>-4887135.2300000004</v>
      </c>
      <c r="BO211" s="163">
        <v>-3633207.11</v>
      </c>
      <c r="BP211" s="163">
        <v>-4305534.9400000004</v>
      </c>
      <c r="BQ211" s="163">
        <v>-2697708.21</v>
      </c>
      <c r="BR211" s="163">
        <v>-2193080.15</v>
      </c>
      <c r="BS211" s="163">
        <v>-2392763.04</v>
      </c>
      <c r="BT211" s="163">
        <v>-3192070.45</v>
      </c>
      <c r="BU211" s="163">
        <v>-3924777.21</v>
      </c>
      <c r="BV211" s="163">
        <v>-5316389.84</v>
      </c>
      <c r="BW211" s="163">
        <v>-4128527.38</v>
      </c>
      <c r="BX211" s="163">
        <v>-9614501.4100000001</v>
      </c>
      <c r="BY211" s="163">
        <v>-2698142.37</v>
      </c>
      <c r="BZ211" s="163">
        <v>-5636327.5999999996</v>
      </c>
      <c r="CA211" s="163">
        <v>-5562861.2800000003</v>
      </c>
      <c r="CB211" s="163">
        <v>-8209555.5499999998</v>
      </c>
      <c r="CC211" s="163">
        <v>-4981080.79</v>
      </c>
      <c r="CD211" s="163">
        <v>-4009397.01</v>
      </c>
      <c r="CE211" s="163">
        <v>-3496423.66</v>
      </c>
      <c r="CF211" s="163">
        <v>-3408221.18</v>
      </c>
      <c r="CG211" s="163">
        <v>-4916209.79</v>
      </c>
      <c r="CH211" s="163">
        <v>-3570287.07</v>
      </c>
      <c r="CI211" s="163">
        <v>-3612930.79</v>
      </c>
      <c r="CJ211" s="163">
        <v>-3202415.83</v>
      </c>
      <c r="CK211" s="163">
        <v>-8159079.9500000002</v>
      </c>
      <c r="CL211" s="163">
        <v>-6720217.7800000003</v>
      </c>
      <c r="CM211" s="163">
        <v>-3944590.89</v>
      </c>
      <c r="CN211" s="163">
        <v>-7815532.8899999997</v>
      </c>
      <c r="CO211" s="163">
        <v>-6982893.3899999997</v>
      </c>
      <c r="CP211" s="163">
        <v>-6290207.3200000003</v>
      </c>
      <c r="CQ211" s="163">
        <v>-8313331.1299999999</v>
      </c>
      <c r="CR211" s="163">
        <v>-5473028.3099999996</v>
      </c>
      <c r="CS211" s="163">
        <v>-4163505.2</v>
      </c>
      <c r="CT211" s="163">
        <v>-6640519.7699999996</v>
      </c>
      <c r="CU211" s="163">
        <v>-5221517.03</v>
      </c>
      <c r="CV211" s="163">
        <v>-15323568.119999999</v>
      </c>
      <c r="CW211" s="163">
        <v>-7971984.5700000003</v>
      </c>
      <c r="CX211" s="163">
        <v>-10334435.16</v>
      </c>
      <c r="CY211" s="163">
        <v>-9155467.4100000001</v>
      </c>
      <c r="CZ211" s="163">
        <v>-8994049.4600000009</v>
      </c>
      <c r="DA211" s="163">
        <v>-8599966.3000000007</v>
      </c>
      <c r="DB211" s="163">
        <v>-8480826.0800000001</v>
      </c>
      <c r="DC211" s="163">
        <v>-9630762.4299999997</v>
      </c>
      <c r="DD211" s="163">
        <v>-15177466.17</v>
      </c>
      <c r="DE211" s="163">
        <v>-10281087.99</v>
      </c>
      <c r="DF211" s="163">
        <f>VLOOKUP($C211,'[3]BS ACC'!$C$5:$DH$1006,108,FALSE)</f>
        <v>-9671525.9399999995</v>
      </c>
      <c r="DG211" s="163">
        <f>VLOOKUP($C211,'[3]BS ACC'!$C$5:$DH$1006,109,FALSE)</f>
        <v>-9131398.3000000007</v>
      </c>
      <c r="DH211" s="163">
        <f>VLOOKUP($C211,'[3]BS ACC'!$C$5:$DH$1006,110,FALSE)</f>
        <v>-8070802.5800000001</v>
      </c>
    </row>
    <row r="212" spans="1:112">
      <c r="A212" s="350" t="str">
        <f t="shared" si="2"/>
        <v>2320001</v>
      </c>
      <c r="B212" s="350" t="s">
        <v>1629</v>
      </c>
      <c r="C212" s="335" t="s">
        <v>739</v>
      </c>
      <c r="D212" s="340">
        <v>-3453451.31</v>
      </c>
      <c r="E212" s="340">
        <v>-2819439.69</v>
      </c>
      <c r="F212" s="340">
        <v>-3930007.09</v>
      </c>
      <c r="G212" s="340">
        <v>-3814215.33</v>
      </c>
      <c r="H212" s="340">
        <v>-1528903.06</v>
      </c>
      <c r="I212" s="340">
        <v>-701052.49</v>
      </c>
      <c r="J212" s="340">
        <v>-1260754.52</v>
      </c>
      <c r="K212" s="340">
        <v>-741509.76</v>
      </c>
      <c r="L212" s="340">
        <v>-5054576.4800000004</v>
      </c>
      <c r="M212" s="340">
        <v>-2462144.14</v>
      </c>
      <c r="N212" s="340">
        <v>-116162.61</v>
      </c>
      <c r="O212" s="340">
        <v>-5356339.6900000004</v>
      </c>
      <c r="P212" s="341">
        <v>-4942991.16</v>
      </c>
      <c r="Q212" s="163">
        <v>-3987683.77</v>
      </c>
      <c r="R212" s="163">
        <v>-3632853.47</v>
      </c>
      <c r="S212" s="163">
        <v>-3814560.02</v>
      </c>
      <c r="T212" s="163">
        <v>-3180504.78</v>
      </c>
      <c r="U212" s="163">
        <v>-623474.99</v>
      </c>
      <c r="V212" s="163">
        <v>-694808.48</v>
      </c>
      <c r="W212" s="163">
        <v>-1861614.33</v>
      </c>
      <c r="X212" s="163">
        <v>-904402.84</v>
      </c>
      <c r="Y212" s="163">
        <v>-731212.58</v>
      </c>
      <c r="Z212" s="163">
        <v>-822378.33</v>
      </c>
      <c r="AA212" s="163">
        <v>-4558947.1500000004</v>
      </c>
      <c r="AB212" s="163">
        <v>-5208767.45</v>
      </c>
      <c r="AC212" s="163">
        <v>-4225830.3099999996</v>
      </c>
      <c r="AD212" s="163">
        <v>-3539957.93</v>
      </c>
      <c r="AE212" s="163">
        <v>-731090.65</v>
      </c>
      <c r="AF212" s="163">
        <v>-4455622.01</v>
      </c>
      <c r="AG212" s="163">
        <v>-3939960.35</v>
      </c>
      <c r="AH212" s="163">
        <v>-6884671.4500000002</v>
      </c>
      <c r="AI212" s="163">
        <v>-6692520.3099999996</v>
      </c>
      <c r="AJ212" s="163">
        <v>-3346956.1</v>
      </c>
      <c r="AK212" s="163">
        <v>-4555547.12</v>
      </c>
      <c r="AL212" s="163">
        <v>-3659633.33</v>
      </c>
      <c r="AM212" s="163">
        <v>-12688578.65</v>
      </c>
      <c r="AN212" s="163">
        <v>-6900685.4500000002</v>
      </c>
      <c r="AO212" s="163">
        <v>-4373303.43</v>
      </c>
      <c r="AP212" s="163">
        <v>-4702395.62</v>
      </c>
      <c r="AQ212" s="163">
        <v>-2943224.93</v>
      </c>
      <c r="AR212" s="163">
        <v>-3980366.25</v>
      </c>
      <c r="AS212" s="163">
        <v>-3848053.51</v>
      </c>
      <c r="AT212" s="163">
        <v>-3268809.6</v>
      </c>
      <c r="AU212" s="163">
        <v>-4378193.01</v>
      </c>
      <c r="AV212" s="163">
        <v>-5036232.18</v>
      </c>
      <c r="AW212" s="163">
        <v>-2881148.28</v>
      </c>
      <c r="AX212" s="163">
        <v>-3676158.34</v>
      </c>
      <c r="AY212" s="163">
        <v>-12570547.470000001</v>
      </c>
      <c r="AZ212" s="163">
        <v>-6951546.7199999997</v>
      </c>
      <c r="BA212" s="163">
        <v>-5762580.0300000003</v>
      </c>
      <c r="BB212" s="163">
        <v>-8678822.25</v>
      </c>
      <c r="BC212" s="163">
        <v>-4437380.91</v>
      </c>
      <c r="BD212" s="163">
        <v>-6430479.7400000002</v>
      </c>
      <c r="BE212" s="163">
        <v>-6113605.3300000001</v>
      </c>
      <c r="BF212" s="163">
        <v>-7736263.2999999998</v>
      </c>
      <c r="BG212" s="163">
        <v>-8365029.8300000001</v>
      </c>
      <c r="BH212" s="163">
        <v>-9268914.8200000003</v>
      </c>
      <c r="BI212" s="163">
        <v>-9460726.5</v>
      </c>
      <c r="BJ212" s="163">
        <v>-9455322.1500000004</v>
      </c>
      <c r="BK212" s="163">
        <v>-24748264.780000001</v>
      </c>
      <c r="BL212" s="163">
        <v>-8820386.4900000002</v>
      </c>
      <c r="BM212" s="163">
        <v>-13036248.85</v>
      </c>
      <c r="BN212" s="163">
        <v>-10020984.43</v>
      </c>
      <c r="BO212" s="163">
        <v>-15229265.93</v>
      </c>
      <c r="BP212" s="163">
        <v>-11202396.869999999</v>
      </c>
      <c r="BQ212" s="163">
        <v>-11554410.75</v>
      </c>
      <c r="BR212" s="163">
        <v>-13234833.880000001</v>
      </c>
      <c r="BS212" s="163">
        <v>-11519252.289999999</v>
      </c>
      <c r="BT212" s="163">
        <v>-14608673.09</v>
      </c>
      <c r="BU212" s="163">
        <v>-11099185.119999999</v>
      </c>
      <c r="BV212" s="163">
        <v>-10661296.039999999</v>
      </c>
      <c r="BW212" s="163">
        <v>-16929852.219999999</v>
      </c>
      <c r="BX212" s="163">
        <v>-18218410.109999999</v>
      </c>
      <c r="BY212" s="163">
        <v>-23950973.390000001</v>
      </c>
      <c r="BZ212" s="163">
        <v>-23025163.100000001</v>
      </c>
      <c r="CA212" s="163">
        <v>-17891765.07</v>
      </c>
      <c r="CB212" s="163">
        <v>-24084554.809999999</v>
      </c>
      <c r="CC212" s="163">
        <v>-22047623.010000002</v>
      </c>
      <c r="CD212" s="163">
        <v>-13307261.869999999</v>
      </c>
      <c r="CE212" s="163">
        <v>-15536345.49</v>
      </c>
      <c r="CF212" s="163">
        <v>-20910382.91</v>
      </c>
      <c r="CG212" s="163">
        <v>-20130593.370000001</v>
      </c>
      <c r="CH212" s="163">
        <v>-26406269.690000001</v>
      </c>
      <c r="CI212" s="163">
        <v>-31320550.359999999</v>
      </c>
      <c r="CJ212" s="163">
        <v>-22360196.82</v>
      </c>
      <c r="CK212" s="163">
        <v>-22856131.789999999</v>
      </c>
      <c r="CL212" s="163">
        <v>-25626003.949999999</v>
      </c>
      <c r="CM212" s="163">
        <v>-24058776.890000001</v>
      </c>
      <c r="CN212" s="163">
        <v>-18948183.300000001</v>
      </c>
      <c r="CO212" s="163">
        <v>-13855295.08</v>
      </c>
      <c r="CP212" s="163">
        <v>-14799978.59</v>
      </c>
      <c r="CQ212" s="163">
        <v>-18260978.640000001</v>
      </c>
      <c r="CR212" s="163">
        <v>-17736604.18</v>
      </c>
      <c r="CS212" s="163">
        <v>-17900411.149999999</v>
      </c>
      <c r="CT212" s="163">
        <v>-22772647.559999999</v>
      </c>
      <c r="CU212" s="163">
        <v>-35115082.060000002</v>
      </c>
      <c r="CV212" s="163">
        <v>-13929648.75</v>
      </c>
      <c r="CW212" s="163">
        <v>-19621005.41</v>
      </c>
      <c r="CX212" s="163">
        <v>-14984731.27</v>
      </c>
      <c r="CY212" s="163">
        <v>-14427055.970000001</v>
      </c>
      <c r="CZ212" s="163">
        <v>-13714855.02</v>
      </c>
      <c r="DA212" s="163">
        <v>-17711385.699999999</v>
      </c>
      <c r="DB212" s="163">
        <v>-16474450.529999999</v>
      </c>
      <c r="DC212" s="163">
        <v>-13510604.060000001</v>
      </c>
      <c r="DD212" s="163">
        <v>-10398224.77</v>
      </c>
      <c r="DE212" s="163">
        <v>-10449315.84</v>
      </c>
      <c r="DF212" s="163">
        <f>VLOOKUP($C212,'[3]BS ACC'!$C$5:$DH$1006,108,FALSE)</f>
        <v>-8765228.9900000002</v>
      </c>
      <c r="DG212" s="163">
        <f>VLOOKUP($C212,'[3]BS ACC'!$C$5:$DH$1006,109,FALSE)</f>
        <v>-27558984.329999998</v>
      </c>
      <c r="DH212" s="163">
        <f>VLOOKUP($C212,'[3]BS ACC'!$C$5:$DH$1006,110,FALSE)</f>
        <v>-22452424.489999998</v>
      </c>
    </row>
    <row r="213" spans="1:112">
      <c r="A213" s="350" t="str">
        <f t="shared" si="2"/>
        <v>2320002</v>
      </c>
      <c r="B213" s="350" t="s">
        <v>1630</v>
      </c>
      <c r="C213" s="335" t="s">
        <v>740</v>
      </c>
      <c r="D213" s="340">
        <v>-3301131.96</v>
      </c>
      <c r="E213" s="340">
        <v>-1917989.26</v>
      </c>
      <c r="F213" s="340">
        <v>-2141320.5699999998</v>
      </c>
      <c r="G213" s="340">
        <v>-2791632.59</v>
      </c>
      <c r="H213" s="340">
        <v>-3452582</v>
      </c>
      <c r="I213" s="340">
        <v>-1657415.22</v>
      </c>
      <c r="J213" s="340">
        <v>-2436107.31</v>
      </c>
      <c r="K213" s="340">
        <v>-2215640.83</v>
      </c>
      <c r="L213" s="340">
        <v>-2187923.41</v>
      </c>
      <c r="M213" s="340">
        <v>-2632156.04</v>
      </c>
      <c r="N213" s="340">
        <v>-2527220.7400000002</v>
      </c>
      <c r="O213" s="340">
        <v>-3177372.86</v>
      </c>
      <c r="P213" s="341">
        <v>-1693450.82</v>
      </c>
      <c r="Q213" s="163">
        <v>-1917790.1</v>
      </c>
      <c r="R213" s="163">
        <v>-1555172.27</v>
      </c>
      <c r="S213" s="163">
        <v>-1719355.23</v>
      </c>
      <c r="T213" s="163">
        <v>-2092143.57</v>
      </c>
      <c r="U213" s="163">
        <v>-2354632.25</v>
      </c>
      <c r="V213" s="163">
        <v>-1293879.01</v>
      </c>
      <c r="W213" s="163">
        <v>-2550152.09</v>
      </c>
      <c r="X213" s="163">
        <v>-2356300.39</v>
      </c>
      <c r="Y213" s="163">
        <v>-2266581.38</v>
      </c>
      <c r="Z213" s="163">
        <v>-3132244.53</v>
      </c>
      <c r="AA213" s="163">
        <v>-2554939.9900000002</v>
      </c>
      <c r="AB213" s="163">
        <v>-3165327.1</v>
      </c>
      <c r="AC213" s="163">
        <v>-2362960</v>
      </c>
      <c r="AD213" s="163">
        <v>-2043161.22</v>
      </c>
      <c r="AE213" s="163">
        <v>-2099831.06</v>
      </c>
      <c r="AF213" s="163">
        <v>-3371604.43</v>
      </c>
      <c r="AG213" s="163">
        <v>-2299297.27</v>
      </c>
      <c r="AH213" s="163">
        <v>-4200123.4400000004</v>
      </c>
      <c r="AI213" s="163">
        <v>-3575150.1</v>
      </c>
      <c r="AJ213" s="163">
        <v>-3629903.98</v>
      </c>
      <c r="AK213" s="163">
        <v>-2633979.02</v>
      </c>
      <c r="AL213" s="163">
        <v>-4148161.56</v>
      </c>
      <c r="AM213" s="163">
        <v>-4344244.95</v>
      </c>
      <c r="AN213" s="163">
        <v>-3930108.29</v>
      </c>
      <c r="AO213" s="163">
        <v>-2377833.86</v>
      </c>
      <c r="AP213" s="163">
        <v>-2340302.2999999998</v>
      </c>
      <c r="AQ213" s="163">
        <v>-2691321.37</v>
      </c>
      <c r="AR213" s="163">
        <v>-2386332.52</v>
      </c>
      <c r="AS213" s="163">
        <v>-2175827.21</v>
      </c>
      <c r="AT213" s="163">
        <v>-3129363.6</v>
      </c>
      <c r="AU213" s="163">
        <v>-3378353.67</v>
      </c>
      <c r="AV213" s="163">
        <v>-3580233.82</v>
      </c>
      <c r="AW213" s="163">
        <v>-3128538.41</v>
      </c>
      <c r="AX213" s="163">
        <v>-3213928.87</v>
      </c>
      <c r="AY213" s="163">
        <v>-3527473.85</v>
      </c>
      <c r="AZ213" s="163">
        <v>-3633050.89</v>
      </c>
      <c r="BA213" s="163">
        <v>-5387990.9900000002</v>
      </c>
      <c r="BB213" s="163">
        <v>-3793515.92</v>
      </c>
      <c r="BC213" s="163">
        <v>-5276612.16</v>
      </c>
      <c r="BD213" s="163">
        <v>-3844373.01</v>
      </c>
      <c r="BE213" s="163">
        <v>-6678611.5</v>
      </c>
      <c r="BF213" s="163">
        <v>-3849373.86</v>
      </c>
      <c r="BG213" s="163">
        <v>-4802570.75</v>
      </c>
      <c r="BH213" s="163">
        <v>-4058366.83</v>
      </c>
      <c r="BI213" s="163">
        <v>-6513091.0199999996</v>
      </c>
      <c r="BJ213" s="163">
        <v>-4906871.1100000003</v>
      </c>
      <c r="BK213" s="163">
        <v>-5104624.6900000004</v>
      </c>
      <c r="BL213" s="163">
        <v>-4417950.99</v>
      </c>
      <c r="BM213" s="163">
        <v>-4871466.04</v>
      </c>
      <c r="BN213" s="163">
        <v>-4513984.25</v>
      </c>
      <c r="BO213" s="163">
        <v>-4393445.84</v>
      </c>
      <c r="BP213" s="163">
        <v>-4761087.9800000004</v>
      </c>
      <c r="BQ213" s="163">
        <v>-8518311.2200000007</v>
      </c>
      <c r="BR213" s="163">
        <v>-7280614.3799999999</v>
      </c>
      <c r="BS213" s="163">
        <v>-6055981.21</v>
      </c>
      <c r="BT213" s="163">
        <v>-5639959.3099999996</v>
      </c>
      <c r="BU213" s="163">
        <v>-4079611.67</v>
      </c>
      <c r="BV213" s="163">
        <v>-6914829.0999999996</v>
      </c>
      <c r="BW213" s="163">
        <v>-7139324.3099999996</v>
      </c>
      <c r="BX213" s="163">
        <v>-9643715.8499999996</v>
      </c>
      <c r="BY213" s="163">
        <v>-11945900.07</v>
      </c>
      <c r="BZ213" s="163">
        <v>-8902251.6600000001</v>
      </c>
      <c r="CA213" s="163">
        <v>-12733679.6</v>
      </c>
      <c r="CB213" s="163">
        <v>-11008884.43</v>
      </c>
      <c r="CC213" s="163">
        <v>-12806753.779999999</v>
      </c>
      <c r="CD213" s="163">
        <v>-14488846.130000001</v>
      </c>
      <c r="CE213" s="163">
        <v>-14620200.23</v>
      </c>
      <c r="CF213" s="163">
        <v>-15897090.24</v>
      </c>
      <c r="CG213" s="163">
        <v>-19564867.399999999</v>
      </c>
      <c r="CH213" s="163">
        <v>-20799338.16</v>
      </c>
      <c r="CI213" s="163">
        <v>-24740284.739999998</v>
      </c>
      <c r="CJ213" s="163">
        <v>-31219966.530000001</v>
      </c>
      <c r="CK213" s="163">
        <v>-18815989.390000001</v>
      </c>
      <c r="CL213" s="163">
        <v>-16215563.1</v>
      </c>
      <c r="CM213" s="163">
        <v>-21933750.079999998</v>
      </c>
      <c r="CN213" s="163">
        <v>-18048300.399999999</v>
      </c>
      <c r="CO213" s="163">
        <v>-14153545.09</v>
      </c>
      <c r="CP213" s="163">
        <v>-13290470.810000001</v>
      </c>
      <c r="CQ213" s="163">
        <v>-14121136.98</v>
      </c>
      <c r="CR213" s="163">
        <v>-21672715.5</v>
      </c>
      <c r="CS213" s="163">
        <v>-25240111.579999998</v>
      </c>
      <c r="CT213" s="163">
        <v>-20606567.23</v>
      </c>
      <c r="CU213" s="163">
        <v>-17109285.359999999</v>
      </c>
      <c r="CV213" s="163">
        <v>-17682048.309999999</v>
      </c>
      <c r="CW213" s="163">
        <v>-12299793.060000001</v>
      </c>
      <c r="CX213" s="163">
        <v>-11404201.26</v>
      </c>
      <c r="CY213" s="163">
        <v>-8693325.0399999991</v>
      </c>
      <c r="CZ213" s="163">
        <v>-7679241.0800000001</v>
      </c>
      <c r="DA213" s="163">
        <v>-7758918.9400000004</v>
      </c>
      <c r="DB213" s="163">
        <v>-8977280.4000000004</v>
      </c>
      <c r="DC213" s="163">
        <v>-8580768.8699999992</v>
      </c>
      <c r="DD213" s="163">
        <v>-9155647.4399999995</v>
      </c>
      <c r="DE213" s="163">
        <v>-7410483.0099999998</v>
      </c>
      <c r="DF213" s="163">
        <f>VLOOKUP($C213,'[3]BS ACC'!$C$5:$DH$1006,108,FALSE)</f>
        <v>-11608029.4</v>
      </c>
      <c r="DG213" s="163">
        <f>VLOOKUP($C213,'[3]BS ACC'!$C$5:$DH$1006,109,FALSE)</f>
        <v>-9538416.3900000006</v>
      </c>
      <c r="DH213" s="163">
        <f>VLOOKUP($C213,'[3]BS ACC'!$C$5:$DH$1006,110,FALSE)</f>
        <v>-8835893.6999999993</v>
      </c>
    </row>
    <row r="214" spans="1:112">
      <c r="A214" s="350" t="str">
        <f t="shared" si="2"/>
        <v>2320003</v>
      </c>
      <c r="B214" s="350" t="s">
        <v>1631</v>
      </c>
      <c r="C214" s="335" t="s">
        <v>741</v>
      </c>
      <c r="D214" s="340">
        <v>-116243.16</v>
      </c>
      <c r="E214" s="340">
        <v>0</v>
      </c>
      <c r="F214" s="340">
        <v>0</v>
      </c>
      <c r="G214" s="340">
        <v>0</v>
      </c>
      <c r="H214" s="340">
        <v>0</v>
      </c>
      <c r="I214" s="340">
        <v>0</v>
      </c>
      <c r="J214" s="340">
        <v>0</v>
      </c>
      <c r="K214" s="340">
        <v>15</v>
      </c>
      <c r="L214" s="340">
        <v>15</v>
      </c>
      <c r="M214" s="340">
        <v>15</v>
      </c>
      <c r="N214" s="340">
        <v>-411.93</v>
      </c>
      <c r="O214" s="340">
        <v>15</v>
      </c>
      <c r="P214" s="341">
        <v>-74229.91</v>
      </c>
      <c r="Q214" s="163">
        <v>220.38</v>
      </c>
      <c r="R214" s="163">
        <v>0</v>
      </c>
      <c r="S214" s="163">
        <v>0</v>
      </c>
      <c r="T214" s="163">
        <v>1.02</v>
      </c>
      <c r="U214" s="163">
        <v>1.02</v>
      </c>
      <c r="V214" s="163">
        <v>1.02</v>
      </c>
      <c r="W214" s="163">
        <v>1.02</v>
      </c>
      <c r="X214" s="163">
        <v>1.02</v>
      </c>
      <c r="Y214" s="163">
        <v>1.02</v>
      </c>
      <c r="Z214" s="163">
        <v>898.99</v>
      </c>
      <c r="AA214" s="163">
        <v>898.99</v>
      </c>
      <c r="AB214" s="163">
        <v>-108254.28</v>
      </c>
      <c r="AC214" s="163">
        <v>898.99</v>
      </c>
      <c r="AD214" s="163">
        <v>898.99</v>
      </c>
      <c r="AE214" s="163">
        <v>898.99</v>
      </c>
      <c r="AF214" s="163">
        <v>898.99</v>
      </c>
      <c r="AG214" s="163">
        <v>898.99</v>
      </c>
      <c r="AH214" s="163">
        <v>898.99</v>
      </c>
      <c r="AI214" s="163">
        <v>898.99</v>
      </c>
      <c r="AJ214" s="163">
        <v>898.99</v>
      </c>
      <c r="AK214" s="163">
        <v>886.89</v>
      </c>
      <c r="AL214" s="163">
        <v>874.63</v>
      </c>
      <c r="AM214" s="163">
        <v>874.63</v>
      </c>
      <c r="AN214" s="163">
        <v>-147343.85999999999</v>
      </c>
      <c r="AO214" s="163">
        <v>874.63</v>
      </c>
      <c r="AP214" s="163">
        <v>874.63</v>
      </c>
      <c r="AQ214" s="163">
        <v>874.63</v>
      </c>
      <c r="AR214" s="163">
        <v>2250.3000000000002</v>
      </c>
      <c r="AS214" s="163">
        <v>2250.3000000000002</v>
      </c>
      <c r="AT214" s="163">
        <v>2250.3000000000002</v>
      </c>
      <c r="AU214" s="163">
        <v>2250.3000000000002</v>
      </c>
      <c r="AV214" s="163">
        <v>2250.3000000000002</v>
      </c>
      <c r="AW214" s="163">
        <v>2250.3000000000002</v>
      </c>
      <c r="AX214" s="163">
        <v>2250.3000000000002</v>
      </c>
      <c r="AY214" s="163">
        <v>2250.3000000000002</v>
      </c>
      <c r="AZ214" s="163">
        <v>-142692.73000000001</v>
      </c>
      <c r="BA214" s="163">
        <v>2250.3000000000002</v>
      </c>
      <c r="BB214" s="163">
        <v>2250.3000000000002</v>
      </c>
      <c r="BC214" s="163">
        <v>2250.3000000000002</v>
      </c>
      <c r="BD214" s="163">
        <v>2250.3000000000002</v>
      </c>
      <c r="BE214" s="163">
        <v>2250.3000000000002</v>
      </c>
      <c r="BF214" s="163">
        <v>2250.3000000000002</v>
      </c>
      <c r="BG214" s="163">
        <v>2250.3000000000002</v>
      </c>
      <c r="BH214" s="163">
        <v>2250.3000000000002</v>
      </c>
      <c r="BI214" s="163">
        <v>2204.84</v>
      </c>
      <c r="BJ214" s="163">
        <v>2253.44</v>
      </c>
      <c r="BK214" s="163">
        <v>2256.58</v>
      </c>
      <c r="BL214" s="163">
        <v>-155958.54999999999</v>
      </c>
      <c r="BM214" s="163">
        <v>6.28</v>
      </c>
      <c r="BN214" s="163">
        <v>-4.6399999999999997</v>
      </c>
      <c r="BO214" s="163">
        <v>0</v>
      </c>
      <c r="BP214" s="163">
        <v>0</v>
      </c>
      <c r="BQ214" s="163">
        <v>-10.7</v>
      </c>
      <c r="BR214" s="163">
        <v>-10.7</v>
      </c>
      <c r="BS214" s="163">
        <v>0</v>
      </c>
      <c r="BT214" s="163">
        <v>-48.05</v>
      </c>
      <c r="BU214" s="163">
        <v>0</v>
      </c>
      <c r="BV214" s="163">
        <v>0</v>
      </c>
      <c r="BW214" s="163">
        <v>0</v>
      </c>
      <c r="BX214" s="163">
        <v>-176744.79</v>
      </c>
      <c r="BY214" s="163">
        <v>0</v>
      </c>
      <c r="BZ214" s="163">
        <v>0</v>
      </c>
      <c r="CA214" s="163">
        <v>0</v>
      </c>
      <c r="CB214" s="163">
        <v>-37.31</v>
      </c>
      <c r="CC214" s="163">
        <v>-36.78</v>
      </c>
      <c r="CD214" s="163">
        <v>-36.78</v>
      </c>
      <c r="CE214" s="163">
        <v>-8968.7199999999993</v>
      </c>
      <c r="CF214" s="163">
        <v>-80875.839999999997</v>
      </c>
      <c r="CG214" s="163">
        <v>-53706.16</v>
      </c>
      <c r="CH214" s="163">
        <v>-41311.769999999997</v>
      </c>
      <c r="CI214" s="163">
        <v>-48944.639999999999</v>
      </c>
      <c r="CJ214" s="163">
        <v>-101934.11</v>
      </c>
      <c r="CK214" s="163">
        <v>-31816.77</v>
      </c>
      <c r="CL214" s="163">
        <v>-19959.759999999998</v>
      </c>
      <c r="CM214" s="163">
        <v>-29094.91</v>
      </c>
      <c r="CN214" s="163">
        <v>-38452.58</v>
      </c>
      <c r="CO214" s="163">
        <v>-42801.95</v>
      </c>
      <c r="CP214" s="163">
        <v>-38260.32</v>
      </c>
      <c r="CQ214" s="163">
        <v>-29891.48</v>
      </c>
      <c r="CR214" s="163">
        <v>-57539.71</v>
      </c>
      <c r="CS214" s="163">
        <v>-8747.2999999999993</v>
      </c>
      <c r="CT214" s="163">
        <v>-5525.62</v>
      </c>
      <c r="CU214" s="163">
        <v>37628.29</v>
      </c>
      <c r="CV214" s="163">
        <v>-105578.99</v>
      </c>
      <c r="CW214" s="163">
        <v>-36836.800000000003</v>
      </c>
      <c r="CX214" s="163">
        <v>-35070.04</v>
      </c>
      <c r="CY214" s="163">
        <v>-272430.73</v>
      </c>
      <c r="CZ214" s="163">
        <v>-14383.26</v>
      </c>
      <c r="DA214" s="163">
        <v>11092.13</v>
      </c>
      <c r="DB214" s="163">
        <v>79999.53</v>
      </c>
      <c r="DC214" s="163">
        <v>174492.23</v>
      </c>
      <c r="DD214" s="163">
        <v>20875.07</v>
      </c>
      <c r="DE214" s="163">
        <v>59672.22</v>
      </c>
      <c r="DF214" s="163">
        <f>VLOOKUP($C214,'[3]BS ACC'!$C$5:$DH$1006,108,FALSE)</f>
        <v>76663.89</v>
      </c>
      <c r="DG214" s="163">
        <f>VLOOKUP($C214,'[3]BS ACC'!$C$5:$DH$1006,109,FALSE)</f>
        <v>82761.58</v>
      </c>
      <c r="DH214" s="163">
        <f>VLOOKUP($C214,'[3]BS ACC'!$C$5:$DH$1006,110,FALSE)</f>
        <v>20394.439999999999</v>
      </c>
    </row>
    <row r="215" spans="1:112">
      <c r="A215" s="350" t="str">
        <f t="shared" si="2"/>
        <v>2320005</v>
      </c>
      <c r="B215" s="350" t="s">
        <v>1632</v>
      </c>
      <c r="C215" s="335" t="s">
        <v>742</v>
      </c>
      <c r="D215" s="340">
        <v>-822.41</v>
      </c>
      <c r="E215" s="340">
        <v>0</v>
      </c>
      <c r="F215" s="340">
        <v>-6169.87</v>
      </c>
      <c r="G215" s="340">
        <v>-116.48</v>
      </c>
      <c r="H215" s="340">
        <v>-1187.2</v>
      </c>
      <c r="I215" s="340">
        <v>-106.71</v>
      </c>
      <c r="J215" s="340">
        <v>-380.64</v>
      </c>
      <c r="K215" s="340">
        <v>-117.4</v>
      </c>
      <c r="L215" s="340">
        <v>0</v>
      </c>
      <c r="M215" s="340">
        <v>-3364.25</v>
      </c>
      <c r="N215" s="340">
        <v>-30</v>
      </c>
      <c r="O215" s="340">
        <v>-30</v>
      </c>
      <c r="P215" s="341">
        <v>-167.24</v>
      </c>
      <c r="Q215" s="163">
        <v>0</v>
      </c>
      <c r="R215" s="163">
        <v>-157.75</v>
      </c>
      <c r="S215" s="163">
        <v>-30.1</v>
      </c>
      <c r="T215" s="163">
        <v>-1102.93</v>
      </c>
      <c r="U215" s="163">
        <v>-3146.69</v>
      </c>
      <c r="V215" s="163">
        <v>-4736.12</v>
      </c>
      <c r="W215" s="163">
        <v>0</v>
      </c>
      <c r="X215" s="163">
        <v>0</v>
      </c>
      <c r="Y215" s="163">
        <v>-5776.65</v>
      </c>
      <c r="Z215" s="163">
        <v>-3430.93</v>
      </c>
      <c r="AA215" s="163">
        <v>-718.29</v>
      </c>
      <c r="AB215" s="163">
        <v>0</v>
      </c>
      <c r="AC215" s="163">
        <v>-1209.8</v>
      </c>
      <c r="AD215" s="163">
        <v>0</v>
      </c>
      <c r="AE215" s="163">
        <v>0</v>
      </c>
      <c r="AF215" s="163">
        <v>-58.18</v>
      </c>
      <c r="AG215" s="163">
        <v>0</v>
      </c>
      <c r="AH215" s="163">
        <v>-23565.85</v>
      </c>
      <c r="AI215" s="163">
        <v>-7706.12</v>
      </c>
      <c r="AJ215" s="163">
        <v>-17287.689999999999</v>
      </c>
      <c r="AK215" s="163">
        <v>-6755.63</v>
      </c>
      <c r="AL215" s="163">
        <v>-9920.91</v>
      </c>
      <c r="AM215" s="163">
        <v>-3918.07</v>
      </c>
      <c r="AN215" s="163">
        <v>-7251.83</v>
      </c>
      <c r="AO215" s="163">
        <v>-9342.25</v>
      </c>
      <c r="AP215" s="163">
        <v>-6333.74</v>
      </c>
      <c r="AQ215" s="163">
        <v>-7678.57</v>
      </c>
      <c r="AR215" s="163">
        <v>-9836.8700000000008</v>
      </c>
      <c r="AS215" s="163">
        <v>-7325.15</v>
      </c>
      <c r="AT215" s="163">
        <v>-3307.45</v>
      </c>
      <c r="AU215" s="163">
        <v>-12706.1</v>
      </c>
      <c r="AV215" s="163">
        <v>-8866.59</v>
      </c>
      <c r="AW215" s="163">
        <v>-1529.55</v>
      </c>
      <c r="AX215" s="163">
        <v>-3263.44</v>
      </c>
      <c r="AY215" s="163">
        <v>-3636.75</v>
      </c>
      <c r="AZ215" s="163">
        <v>-1200.51</v>
      </c>
      <c r="BA215" s="163">
        <v>-14266.91</v>
      </c>
      <c r="BB215" s="163">
        <v>-12260.46</v>
      </c>
      <c r="BC215" s="163">
        <v>-5727.5</v>
      </c>
      <c r="BD215" s="163">
        <v>-3476.55</v>
      </c>
      <c r="BE215" s="163">
        <v>-5870.9</v>
      </c>
      <c r="BF215" s="163">
        <v>-15603.25</v>
      </c>
      <c r="BG215" s="163">
        <v>-6749.29</v>
      </c>
      <c r="BH215" s="163">
        <v>-8857.2000000000007</v>
      </c>
      <c r="BI215" s="163">
        <v>-10741.27</v>
      </c>
      <c r="BJ215" s="163">
        <v>-6020.77</v>
      </c>
      <c r="BK215" s="163">
        <v>-12019.45</v>
      </c>
      <c r="BL215" s="163">
        <v>-5773.25</v>
      </c>
      <c r="BM215" s="163">
        <v>-11040.5</v>
      </c>
      <c r="BN215" s="163">
        <v>-4721.29</v>
      </c>
      <c r="BO215" s="163">
        <v>-6686.13</v>
      </c>
      <c r="BP215" s="163">
        <v>-3886.5</v>
      </c>
      <c r="BQ215" s="163">
        <v>-7282.56</v>
      </c>
      <c r="BR215" s="163">
        <v>-9613.7000000000007</v>
      </c>
      <c r="BS215" s="163">
        <v>-11178.19</v>
      </c>
      <c r="BT215" s="163">
        <v>-35713.449999999997</v>
      </c>
      <c r="BU215" s="163">
        <v>-8447.23</v>
      </c>
      <c r="BV215" s="163">
        <v>-5548.91</v>
      </c>
      <c r="BW215" s="163">
        <v>-9750.2999999999993</v>
      </c>
      <c r="BX215" s="163">
        <v>-10323.98</v>
      </c>
      <c r="BY215" s="163">
        <v>-11898.88</v>
      </c>
      <c r="BZ215" s="163">
        <v>-9570.7000000000007</v>
      </c>
      <c r="CA215" s="163">
        <v>-3862</v>
      </c>
      <c r="CB215" s="163">
        <v>-2260.36</v>
      </c>
      <c r="CC215" s="163">
        <v>-1104.58</v>
      </c>
      <c r="CD215" s="163">
        <v>-372.31</v>
      </c>
      <c r="CE215" s="163">
        <v>-2998.79</v>
      </c>
      <c r="CF215" s="163">
        <v>-7510.58</v>
      </c>
      <c r="CG215" s="163">
        <v>-1915.67</v>
      </c>
      <c r="CH215" s="163">
        <v>-7588.2</v>
      </c>
      <c r="CI215" s="163">
        <v>-2998.44</v>
      </c>
      <c r="CJ215" s="163">
        <v>-2114.4499999999998</v>
      </c>
      <c r="CK215" s="163">
        <v>-3229.03</v>
      </c>
      <c r="CL215" s="163">
        <v>-10962.34</v>
      </c>
      <c r="CM215" s="163">
        <v>-3667.46</v>
      </c>
      <c r="CN215" s="163">
        <v>-3543.1</v>
      </c>
      <c r="CO215" s="163">
        <v>-2834.41</v>
      </c>
      <c r="CP215" s="163">
        <v>-6302.87</v>
      </c>
      <c r="CQ215" s="163">
        <v>-4107.09</v>
      </c>
      <c r="CR215" s="163">
        <v>-3449.78</v>
      </c>
      <c r="CS215" s="163">
        <v>-5092.8599999999997</v>
      </c>
      <c r="CT215" s="163">
        <v>-5942.71</v>
      </c>
      <c r="CU215" s="163">
        <v>-14437.79</v>
      </c>
      <c r="CV215" s="163">
        <v>-17696.18</v>
      </c>
      <c r="CW215" s="163">
        <v>-5119.28</v>
      </c>
      <c r="CX215" s="163">
        <v>-7334.3</v>
      </c>
      <c r="CY215" s="163">
        <v>-6808.1</v>
      </c>
      <c r="CZ215" s="163">
        <v>-12879.84</v>
      </c>
      <c r="DA215" s="163">
        <v>-10980.25</v>
      </c>
      <c r="DB215" s="163">
        <v>-9420.09</v>
      </c>
      <c r="DC215" s="163">
        <v>-2465.7199999999998</v>
      </c>
      <c r="DD215" s="163">
        <v>-4234.34</v>
      </c>
      <c r="DE215" s="163">
        <v>-5642.24</v>
      </c>
      <c r="DF215" s="163">
        <f>VLOOKUP($C215,'[3]BS ACC'!$C$5:$DH$1006,108,FALSE)</f>
        <v>-9408.18</v>
      </c>
      <c r="DG215" s="163">
        <f>VLOOKUP($C215,'[3]BS ACC'!$C$5:$DH$1006,109,FALSE)</f>
        <v>-9083.24</v>
      </c>
      <c r="DH215" s="163">
        <f>VLOOKUP($C215,'[3]BS ACC'!$C$5:$DH$1006,110,FALSE)</f>
        <v>-8290.09</v>
      </c>
    </row>
    <row r="216" spans="1:112">
      <c r="A216" s="350" t="str">
        <f t="shared" si="2"/>
        <v>2320006</v>
      </c>
      <c r="B216" s="350" t="s">
        <v>1633</v>
      </c>
      <c r="C216" s="335" t="s">
        <v>743</v>
      </c>
      <c r="D216" s="340">
        <v>-350</v>
      </c>
      <c r="E216" s="340">
        <v>-9700</v>
      </c>
      <c r="F216" s="340">
        <v>-33670.720000000001</v>
      </c>
      <c r="G216" s="340">
        <v>-47530</v>
      </c>
      <c r="H216" s="340">
        <v>-106422.94</v>
      </c>
      <c r="I216" s="340">
        <v>-5243.58</v>
      </c>
      <c r="J216" s="340">
        <v>-24683.78</v>
      </c>
      <c r="K216" s="340">
        <v>-121910</v>
      </c>
      <c r="L216" s="340">
        <v>-16600</v>
      </c>
      <c r="M216" s="340">
        <v>-106825</v>
      </c>
      <c r="N216" s="340">
        <v>0</v>
      </c>
      <c r="O216" s="340">
        <v>-157875</v>
      </c>
      <c r="P216" s="341">
        <v>0</v>
      </c>
      <c r="Q216" s="163">
        <v>-55725</v>
      </c>
      <c r="R216" s="163">
        <v>-47775</v>
      </c>
      <c r="S216" s="163">
        <v>-91093.8</v>
      </c>
      <c r="T216" s="163">
        <v>-8625</v>
      </c>
      <c r="U216" s="163">
        <v>-133387.34</v>
      </c>
      <c r="V216" s="163">
        <v>-86390.32</v>
      </c>
      <c r="W216" s="163">
        <v>-30790.26</v>
      </c>
      <c r="X216" s="163">
        <v>-30774.5</v>
      </c>
      <c r="Y216" s="163">
        <v>-39825</v>
      </c>
      <c r="Z216" s="163">
        <v>-55250</v>
      </c>
      <c r="AA216" s="163">
        <v>-140250</v>
      </c>
      <c r="AB216" s="163">
        <v>-30250</v>
      </c>
      <c r="AC216" s="163">
        <v>-79560.240000000005</v>
      </c>
      <c r="AD216" s="163">
        <v>-34690</v>
      </c>
      <c r="AE216" s="163">
        <v>-51192</v>
      </c>
      <c r="AF216" s="163">
        <v>-450</v>
      </c>
      <c r="AG216" s="163">
        <v>-177125</v>
      </c>
      <c r="AH216" s="163">
        <v>-137715</v>
      </c>
      <c r="AI216" s="163">
        <v>-32025</v>
      </c>
      <c r="AJ216" s="163">
        <v>-133481.76</v>
      </c>
      <c r="AK216" s="163">
        <v>-14050</v>
      </c>
      <c r="AL216" s="163">
        <v>-95503</v>
      </c>
      <c r="AM216" s="163">
        <v>-19750</v>
      </c>
      <c r="AN216" s="163">
        <v>0</v>
      </c>
      <c r="AO216" s="163">
        <v>-608.67999999999995</v>
      </c>
      <c r="AP216" s="163">
        <v>-1049.75</v>
      </c>
      <c r="AQ216" s="163">
        <v>-1235.3599999999999</v>
      </c>
      <c r="AR216" s="163">
        <v>-516.42999999999995</v>
      </c>
      <c r="AS216" s="163">
        <v>-844.6</v>
      </c>
      <c r="AT216" s="163">
        <v>-307.47000000000003</v>
      </c>
      <c r="AU216" s="163">
        <v>-94.96</v>
      </c>
      <c r="AV216" s="163">
        <v>0</v>
      </c>
      <c r="AW216" s="163">
        <v>0</v>
      </c>
      <c r="AX216" s="163">
        <v>0</v>
      </c>
      <c r="AY216" s="163">
        <v>0</v>
      </c>
      <c r="AZ216" s="163">
        <v>0</v>
      </c>
      <c r="BA216" s="163">
        <v>0</v>
      </c>
      <c r="BB216" s="163">
        <v>0</v>
      </c>
      <c r="BC216" s="163">
        <v>0</v>
      </c>
      <c r="BD216" s="163">
        <v>0</v>
      </c>
      <c r="BE216" s="163">
        <v>0</v>
      </c>
      <c r="BF216" s="163">
        <v>0</v>
      </c>
      <c r="BG216" s="163">
        <v>0</v>
      </c>
      <c r="BH216" s="163">
        <v>0</v>
      </c>
      <c r="BI216" s="163">
        <v>0</v>
      </c>
      <c r="BJ216" s="163">
        <v>0</v>
      </c>
      <c r="BK216" s="163">
        <v>0</v>
      </c>
      <c r="BL216" s="163">
        <v>0</v>
      </c>
      <c r="BM216" s="163">
        <v>0</v>
      </c>
      <c r="BN216" s="163">
        <v>0</v>
      </c>
      <c r="BO216" s="163">
        <v>0</v>
      </c>
      <c r="BP216" s="163">
        <v>0</v>
      </c>
      <c r="BQ216" s="163">
        <v>0</v>
      </c>
      <c r="BR216" s="163">
        <v>0</v>
      </c>
      <c r="BS216" s="163">
        <v>0</v>
      </c>
      <c r="BT216" s="163">
        <v>0</v>
      </c>
      <c r="BU216" s="163">
        <v>0</v>
      </c>
      <c r="BV216" s="163">
        <v>0</v>
      </c>
      <c r="BW216" s="163">
        <v>0</v>
      </c>
      <c r="BX216" s="163">
        <v>0</v>
      </c>
      <c r="BY216" s="163">
        <v>0</v>
      </c>
      <c r="BZ216" s="163">
        <v>0</v>
      </c>
      <c r="CA216" s="163">
        <v>0</v>
      </c>
      <c r="CB216" s="163">
        <v>0</v>
      </c>
      <c r="CC216" s="163">
        <v>0</v>
      </c>
      <c r="CD216" s="163">
        <v>-50</v>
      </c>
      <c r="CE216" s="163">
        <v>0</v>
      </c>
      <c r="CF216" s="163">
        <v>0</v>
      </c>
      <c r="CG216" s="163">
        <v>0</v>
      </c>
      <c r="CH216" s="163">
        <v>0</v>
      </c>
      <c r="CI216" s="163">
        <v>0</v>
      </c>
      <c r="CJ216" s="163">
        <v>0</v>
      </c>
      <c r="CK216" s="163">
        <v>0</v>
      </c>
      <c r="CL216" s="163">
        <v>0</v>
      </c>
      <c r="CM216" s="163">
        <v>0</v>
      </c>
      <c r="CN216" s="163">
        <v>0</v>
      </c>
      <c r="CO216" s="163">
        <v>0</v>
      </c>
      <c r="CP216" s="163">
        <v>0</v>
      </c>
      <c r="CQ216" s="163">
        <v>0</v>
      </c>
      <c r="CR216" s="163">
        <v>0</v>
      </c>
      <c r="CS216" s="163">
        <v>0</v>
      </c>
      <c r="CT216" s="163">
        <v>0</v>
      </c>
      <c r="CU216" s="163">
        <v>0</v>
      </c>
      <c r="CV216" s="163">
        <v>0</v>
      </c>
      <c r="CW216" s="163">
        <v>0</v>
      </c>
      <c r="CX216" s="163">
        <v>0</v>
      </c>
      <c r="CY216" s="163">
        <v>0</v>
      </c>
      <c r="CZ216" s="163">
        <v>0</v>
      </c>
      <c r="DA216" s="163">
        <v>0</v>
      </c>
      <c r="DB216" s="163">
        <v>0</v>
      </c>
      <c r="DC216" s="163">
        <v>0</v>
      </c>
      <c r="DD216" s="163">
        <v>0</v>
      </c>
      <c r="DE216" s="163">
        <v>0</v>
      </c>
      <c r="DF216" s="163">
        <f>VLOOKUP($C216,'[3]BS ACC'!$C$5:$DH$1006,108,FALSE)</f>
        <v>0</v>
      </c>
      <c r="DG216" s="163">
        <f>VLOOKUP($C216,'[3]BS ACC'!$C$5:$DH$1006,109,FALSE)</f>
        <v>0</v>
      </c>
      <c r="DH216" s="163">
        <f>VLOOKUP($C216,'[3]BS ACC'!$C$5:$DH$1006,110,FALSE)</f>
        <v>0</v>
      </c>
    </row>
    <row r="217" spans="1:112">
      <c r="A217" s="350" t="str">
        <f t="shared" ref="A217:A284" si="3">+B217</f>
        <v>2320007</v>
      </c>
      <c r="B217" s="350" t="s">
        <v>1634</v>
      </c>
      <c r="C217" s="335" t="s">
        <v>744</v>
      </c>
      <c r="D217" s="340">
        <v>-832646.19</v>
      </c>
      <c r="E217" s="340">
        <v>-1173355.49</v>
      </c>
      <c r="F217" s="340">
        <v>-1153015.58</v>
      </c>
      <c r="G217" s="340">
        <v>-1377601.36</v>
      </c>
      <c r="H217" s="340">
        <v>-1602049.68</v>
      </c>
      <c r="I217" s="340">
        <v>-598362.04</v>
      </c>
      <c r="J217" s="340">
        <v>-751011.74</v>
      </c>
      <c r="K217" s="340">
        <v>-1064662.26</v>
      </c>
      <c r="L217" s="340">
        <v>-1293795.01</v>
      </c>
      <c r="M217" s="340">
        <v>-1510796.8</v>
      </c>
      <c r="N217" s="340">
        <v>-539250.44999999995</v>
      </c>
      <c r="O217" s="340">
        <v>-658720.46</v>
      </c>
      <c r="P217" s="341">
        <v>-964594.12</v>
      </c>
      <c r="Q217" s="163">
        <v>-1252522.69</v>
      </c>
      <c r="R217" s="163">
        <v>-1244701.52</v>
      </c>
      <c r="S217" s="163">
        <v>-1507232.15</v>
      </c>
      <c r="T217" s="163">
        <v>-465162.49</v>
      </c>
      <c r="U217" s="163">
        <v>-675496.58</v>
      </c>
      <c r="V217" s="163">
        <v>-882340.63</v>
      </c>
      <c r="W217" s="163">
        <v>-1189384.58</v>
      </c>
      <c r="X217" s="163">
        <v>-1404243.46</v>
      </c>
      <c r="Y217" s="163">
        <v>-1635624.92</v>
      </c>
      <c r="Z217" s="163">
        <v>-644096.93000000005</v>
      </c>
      <c r="AA217" s="163">
        <v>-813448.55</v>
      </c>
      <c r="AB217" s="163">
        <v>-1165462.3999999999</v>
      </c>
      <c r="AC217" s="163">
        <v>-1503734.33</v>
      </c>
      <c r="AD217" s="163">
        <v>-1522508.18</v>
      </c>
      <c r="AE217" s="163">
        <v>-487938.44</v>
      </c>
      <c r="AF217" s="163">
        <v>-660089.55000000005</v>
      </c>
      <c r="AG217" s="163">
        <v>-945591.92</v>
      </c>
      <c r="AH217" s="163">
        <v>-1182544.1399999999</v>
      </c>
      <c r="AI217" s="163">
        <v>-1415122.22</v>
      </c>
      <c r="AJ217" s="163">
        <v>-1775525.9</v>
      </c>
      <c r="AK217" s="163">
        <v>-642832.84</v>
      </c>
      <c r="AL217" s="163">
        <v>-845521.8</v>
      </c>
      <c r="AM217" s="163">
        <v>-1102025.22</v>
      </c>
      <c r="AN217" s="163">
        <v>-1400138.51</v>
      </c>
      <c r="AO217" s="163">
        <v>-1770255.26</v>
      </c>
      <c r="AP217" s="163">
        <v>-1720422.24</v>
      </c>
      <c r="AQ217" s="163">
        <v>-632974.62</v>
      </c>
      <c r="AR217" s="163">
        <v>-712914.87</v>
      </c>
      <c r="AS217" s="163">
        <v>-1073200.2</v>
      </c>
      <c r="AT217" s="163">
        <v>-1316773.3600000001</v>
      </c>
      <c r="AU217" s="163">
        <v>-1531483.6</v>
      </c>
      <c r="AV217" s="163">
        <v>-508859.11</v>
      </c>
      <c r="AW217" s="163">
        <v>-731823.52</v>
      </c>
      <c r="AX217" s="163">
        <v>-985282.79</v>
      </c>
      <c r="AY217" s="163">
        <v>-1273409.31</v>
      </c>
      <c r="AZ217" s="163">
        <v>-1494217.91</v>
      </c>
      <c r="BA217" s="163">
        <v>-1957714.55</v>
      </c>
      <c r="BB217" s="163">
        <v>-1907503.82</v>
      </c>
      <c r="BC217" s="163">
        <v>-705381.16</v>
      </c>
      <c r="BD217" s="163">
        <v>-886587.34</v>
      </c>
      <c r="BE217" s="163">
        <v>-1293518.97</v>
      </c>
      <c r="BF217" s="163">
        <v>-1489445.54</v>
      </c>
      <c r="BG217" s="163">
        <v>-1778435.59</v>
      </c>
      <c r="BH217" s="163">
        <v>-694065.89</v>
      </c>
      <c r="BI217" s="163">
        <v>-788273.59</v>
      </c>
      <c r="BJ217" s="163">
        <v>-1477882.9</v>
      </c>
      <c r="BK217" s="163">
        <v>-1542808.49</v>
      </c>
      <c r="BL217" s="163">
        <v>-1776482.85</v>
      </c>
      <c r="BM217" s="163">
        <v>-587056.71</v>
      </c>
      <c r="BN217" s="163">
        <v>-588142.55000000005</v>
      </c>
      <c r="BO217" s="163">
        <v>-817319.55</v>
      </c>
      <c r="BP217" s="163">
        <v>-1106067.49</v>
      </c>
      <c r="BQ217" s="163">
        <v>-1564116.43</v>
      </c>
      <c r="BR217" s="163">
        <v>-1638946.29</v>
      </c>
      <c r="BS217" s="163">
        <v>-2115300.5699999998</v>
      </c>
      <c r="BT217" s="163">
        <v>-818799.74</v>
      </c>
      <c r="BU217" s="163">
        <v>-1011142.63</v>
      </c>
      <c r="BV217" s="163">
        <v>-1497233.57</v>
      </c>
      <c r="BW217" s="163">
        <v>-1703812.2</v>
      </c>
      <c r="BX217" s="163">
        <v>-2084839.57</v>
      </c>
      <c r="BY217" s="163">
        <v>-825320.39</v>
      </c>
      <c r="BZ217" s="163">
        <v>-842725.08</v>
      </c>
      <c r="CA217" s="163">
        <v>-1232648.2</v>
      </c>
      <c r="CB217" s="163">
        <v>-1513381.11</v>
      </c>
      <c r="CC217" s="163">
        <v>-1752525.59</v>
      </c>
      <c r="CD217" s="163">
        <v>-2091433.96</v>
      </c>
      <c r="CE217" s="163">
        <v>-851866.6</v>
      </c>
      <c r="CF217" s="163">
        <v>-1082781.69</v>
      </c>
      <c r="CG217" s="163">
        <v>-1439562.16</v>
      </c>
      <c r="CH217" s="163">
        <v>-1822236.99</v>
      </c>
      <c r="CI217" s="163">
        <v>-2019610.95</v>
      </c>
      <c r="CJ217" s="163">
        <v>-711453.5</v>
      </c>
      <c r="CK217" s="163">
        <v>-952988.75</v>
      </c>
      <c r="CL217" s="163">
        <v>-940885.43</v>
      </c>
      <c r="CM217" s="163">
        <v>-1708962.39</v>
      </c>
      <c r="CN217" s="163">
        <v>-1862467.4</v>
      </c>
      <c r="CO217" s="163">
        <v>-2051243.7</v>
      </c>
      <c r="CP217" s="163">
        <v>-2409935.7200000002</v>
      </c>
      <c r="CQ217" s="163">
        <v>-952731.76</v>
      </c>
      <c r="CR217" s="163">
        <v>-1315623.19</v>
      </c>
      <c r="CS217" s="163">
        <v>-1726164.74</v>
      </c>
      <c r="CT217" s="163">
        <v>-1923555.81</v>
      </c>
      <c r="CU217" s="163">
        <v>-2351602.5</v>
      </c>
      <c r="CV217" s="163">
        <v>-953795.11</v>
      </c>
      <c r="CW217" s="163">
        <v>-1219203.08</v>
      </c>
      <c r="CX217" s="163">
        <v>-1209944.8</v>
      </c>
      <c r="CY217" s="163">
        <v>-1806145.56</v>
      </c>
      <c r="CZ217" s="163">
        <v>-2031082.32</v>
      </c>
      <c r="DA217" s="163">
        <v>-2482749.73</v>
      </c>
      <c r="DB217" s="163">
        <v>-873985.01</v>
      </c>
      <c r="DC217" s="163">
        <v>-1108622.95</v>
      </c>
      <c r="DD217" s="163">
        <v>-1754540.85</v>
      </c>
      <c r="DE217" s="163">
        <v>-2237280.6</v>
      </c>
      <c r="DF217" s="163">
        <f>VLOOKUP($C217,'[3]BS ACC'!$C$5:$DH$1006,108,FALSE)</f>
        <v>-2599981.6800000002</v>
      </c>
      <c r="DG217" s="163">
        <f>VLOOKUP($C217,'[3]BS ACC'!$C$5:$DH$1006,109,FALSE)</f>
        <v>-2979655.57</v>
      </c>
      <c r="DH217" s="163">
        <f>VLOOKUP($C217,'[3]BS ACC'!$C$5:$DH$1006,110,FALSE)</f>
        <v>-1166848.97</v>
      </c>
    </row>
    <row r="218" spans="1:112">
      <c r="A218" s="350" t="str">
        <f t="shared" si="3"/>
        <v>2320008</v>
      </c>
      <c r="B218" s="350" t="s">
        <v>916</v>
      </c>
      <c r="C218" s="335" t="s">
        <v>745</v>
      </c>
      <c r="D218" s="340">
        <v>720.56</v>
      </c>
      <c r="E218" s="340">
        <v>720.56</v>
      </c>
      <c r="F218" s="340">
        <v>705.15</v>
      </c>
      <c r="G218" s="340">
        <v>720.56</v>
      </c>
      <c r="H218" s="340">
        <v>720.56</v>
      </c>
      <c r="I218" s="340">
        <v>720.56</v>
      </c>
      <c r="J218" s="340">
        <v>720.56</v>
      </c>
      <c r="K218" s="340">
        <v>720.56</v>
      </c>
      <c r="L218" s="340">
        <v>623.05999999999995</v>
      </c>
      <c r="M218" s="340">
        <v>720.56</v>
      </c>
      <c r="N218" s="340">
        <v>720.56</v>
      </c>
      <c r="O218" s="340">
        <v>720.56</v>
      </c>
      <c r="P218" s="341">
        <v>-30656.02</v>
      </c>
      <c r="Q218" s="163">
        <v>-30656.02</v>
      </c>
      <c r="R218" s="163">
        <v>123.61</v>
      </c>
      <c r="S218" s="163">
        <v>720.56</v>
      </c>
      <c r="T218" s="163">
        <v>720.56</v>
      </c>
      <c r="U218" s="163">
        <v>720.56</v>
      </c>
      <c r="V218" s="163">
        <v>720.56</v>
      </c>
      <c r="W218" s="163">
        <v>707.29</v>
      </c>
      <c r="X218" s="163">
        <v>614.01</v>
      </c>
      <c r="Y218" s="163">
        <v>-1232.9000000000001</v>
      </c>
      <c r="Z218" s="163">
        <v>659.56</v>
      </c>
      <c r="AA218" s="163">
        <v>720.56</v>
      </c>
      <c r="AB218" s="163">
        <v>710.4</v>
      </c>
      <c r="AC218" s="163">
        <v>644.03</v>
      </c>
      <c r="AD218" s="163">
        <v>628.16</v>
      </c>
      <c r="AE218" s="163">
        <v>720.56</v>
      </c>
      <c r="AF218" s="163">
        <v>720.56</v>
      </c>
      <c r="AG218" s="163">
        <v>720.56</v>
      </c>
      <c r="AH218" s="163">
        <v>720.56</v>
      </c>
      <c r="AI218" s="163">
        <v>720.56</v>
      </c>
      <c r="AJ218" s="163">
        <v>720.56</v>
      </c>
      <c r="AK218" s="163">
        <v>720.56</v>
      </c>
      <c r="AL218" s="163">
        <v>720.56</v>
      </c>
      <c r="AM218" s="163">
        <v>720.56</v>
      </c>
      <c r="AN218" s="163">
        <v>720.56</v>
      </c>
      <c r="AO218" s="163">
        <v>-124.78</v>
      </c>
      <c r="AP218" s="163">
        <v>720.56</v>
      </c>
      <c r="AQ218" s="163">
        <v>720.56</v>
      </c>
      <c r="AR218" s="163">
        <v>720.56</v>
      </c>
      <c r="AS218" s="163">
        <v>720.56</v>
      </c>
      <c r="AT218" s="163">
        <v>720.56</v>
      </c>
      <c r="AU218" s="163">
        <v>720.56</v>
      </c>
      <c r="AV218" s="163">
        <v>720.56</v>
      </c>
      <c r="AW218" s="163">
        <v>720.56</v>
      </c>
      <c r="AX218" s="163">
        <v>720.56</v>
      </c>
      <c r="AY218" s="163">
        <v>0</v>
      </c>
      <c r="AZ218" s="163">
        <v>0</v>
      </c>
      <c r="BA218" s="163">
        <v>0</v>
      </c>
      <c r="BB218" s="163">
        <v>0</v>
      </c>
      <c r="BC218" s="163">
        <v>256.41000000000003</v>
      </c>
      <c r="BD218" s="163">
        <v>-584.85</v>
      </c>
      <c r="BE218" s="163">
        <v>0</v>
      </c>
      <c r="BF218" s="163">
        <v>0</v>
      </c>
      <c r="BG218" s="163">
        <v>0</v>
      </c>
      <c r="BH218" s="163">
        <v>0</v>
      </c>
      <c r="BI218" s="163">
        <v>0</v>
      </c>
      <c r="BJ218" s="163">
        <v>0</v>
      </c>
      <c r="BK218" s="163">
        <v>0</v>
      </c>
      <c r="BL218" s="163">
        <v>0</v>
      </c>
      <c r="BM218" s="163">
        <v>0</v>
      </c>
      <c r="BN218" s="163">
        <v>-14.4</v>
      </c>
      <c r="BO218" s="163">
        <v>-14.4</v>
      </c>
      <c r="BP218" s="163">
        <v>-14.4</v>
      </c>
      <c r="BQ218" s="163">
        <v>-14.4</v>
      </c>
      <c r="BR218" s="163">
        <v>-14.4</v>
      </c>
      <c r="BS218" s="163">
        <v>-14.4</v>
      </c>
      <c r="BT218" s="163">
        <v>-14.4</v>
      </c>
      <c r="BU218" s="163">
        <v>0</v>
      </c>
      <c r="BV218" s="163">
        <v>0</v>
      </c>
      <c r="BW218" s="163">
        <v>0</v>
      </c>
      <c r="BX218" s="163">
        <v>-147166</v>
      </c>
      <c r="BY218" s="163">
        <v>-147208.85</v>
      </c>
      <c r="BZ218" s="163">
        <v>0</v>
      </c>
      <c r="CA218" s="163">
        <v>0</v>
      </c>
      <c r="CB218" s="163">
        <v>0</v>
      </c>
      <c r="CC218" s="163">
        <v>-125.81</v>
      </c>
      <c r="CD218" s="163">
        <v>-83.72</v>
      </c>
      <c r="CE218" s="163">
        <v>0</v>
      </c>
      <c r="CF218" s="163">
        <v>0</v>
      </c>
      <c r="CG218" s="163">
        <v>0</v>
      </c>
      <c r="CH218" s="163">
        <v>0</v>
      </c>
      <c r="CI218" s="163">
        <v>0</v>
      </c>
      <c r="CJ218" s="163">
        <v>0</v>
      </c>
      <c r="CK218" s="163">
        <v>-78.08</v>
      </c>
      <c r="CL218" s="163">
        <v>-78.08</v>
      </c>
      <c r="CM218" s="163">
        <v>-9278.35</v>
      </c>
      <c r="CN218" s="163">
        <v>-9278.35</v>
      </c>
      <c r="CO218" s="163">
        <v>-9319.44</v>
      </c>
      <c r="CP218" s="163">
        <v>-9278.35</v>
      </c>
      <c r="CQ218" s="163">
        <v>-9278.35</v>
      </c>
      <c r="CR218" s="163">
        <v>-9513.91</v>
      </c>
      <c r="CS218" s="163">
        <v>-147.1</v>
      </c>
      <c r="CT218" s="163">
        <v>-124382.92</v>
      </c>
      <c r="CU218" s="163">
        <v>-136794.53</v>
      </c>
      <c r="CV218" s="163">
        <v>-195415.35</v>
      </c>
      <c r="CW218" s="163">
        <v>-255911.9</v>
      </c>
      <c r="CX218" s="163">
        <v>-316277.34999999998</v>
      </c>
      <c r="CY218" s="163">
        <v>-121382.3</v>
      </c>
      <c r="CZ218" s="163">
        <v>-121453.3</v>
      </c>
      <c r="DA218" s="163">
        <v>-121416.22</v>
      </c>
      <c r="DB218" s="163">
        <v>-121638.99</v>
      </c>
      <c r="DC218" s="163">
        <v>-121633.63</v>
      </c>
      <c r="DD218" s="163">
        <v>-121726.55</v>
      </c>
      <c r="DE218" s="163">
        <v>-121633.63</v>
      </c>
      <c r="DF218" s="163">
        <f>VLOOKUP($C218,'[3]BS ACC'!$C$5:$DH$1006,108,FALSE)</f>
        <v>-131732.35</v>
      </c>
      <c r="DG218" s="163">
        <f>VLOOKUP($C218,'[3]BS ACC'!$C$5:$DH$1006,109,FALSE)</f>
        <v>-141691.09</v>
      </c>
      <c r="DH218" s="163">
        <f>VLOOKUP($C218,'[3]BS ACC'!$C$5:$DH$1006,110,FALSE)</f>
        <v>-152703.07</v>
      </c>
    </row>
    <row r="219" spans="1:112">
      <c r="A219" s="350" t="str">
        <f t="shared" si="3"/>
        <v>2320009</v>
      </c>
      <c r="B219" s="350" t="s">
        <v>1635</v>
      </c>
      <c r="C219" s="335" t="s">
        <v>746</v>
      </c>
      <c r="D219" s="340">
        <v>-280000</v>
      </c>
      <c r="E219" s="340">
        <v>-280000</v>
      </c>
      <c r="F219" s="340">
        <v>0</v>
      </c>
      <c r="G219" s="340">
        <v>0</v>
      </c>
      <c r="H219" s="340">
        <v>0</v>
      </c>
      <c r="I219" s="340">
        <v>0</v>
      </c>
      <c r="J219" s="340">
        <v>0</v>
      </c>
      <c r="K219" s="340">
        <v>0</v>
      </c>
      <c r="L219" s="340">
        <v>0</v>
      </c>
      <c r="M219" s="340">
        <v>-152000</v>
      </c>
      <c r="N219" s="340">
        <v>-152000</v>
      </c>
      <c r="O219" s="340">
        <v>-152000</v>
      </c>
      <c r="P219" s="341">
        <v>-322000</v>
      </c>
      <c r="Q219" s="163">
        <v>-322000</v>
      </c>
      <c r="R219" s="163">
        <v>0</v>
      </c>
      <c r="S219" s="163">
        <v>-170996.87</v>
      </c>
      <c r="T219" s="163">
        <v>-213000</v>
      </c>
      <c r="U219" s="163">
        <v>-184000</v>
      </c>
      <c r="V219" s="163">
        <v>-214000</v>
      </c>
      <c r="W219" s="163">
        <v>-190000</v>
      </c>
      <c r="X219" s="163">
        <v>-194000</v>
      </c>
      <c r="Y219" s="163">
        <v>-142000</v>
      </c>
      <c r="Z219" s="163">
        <v>-135000</v>
      </c>
      <c r="AA219" s="163">
        <v>-219000</v>
      </c>
      <c r="AB219" s="163">
        <v>-58125</v>
      </c>
      <c r="AC219" s="163">
        <v>-58125</v>
      </c>
      <c r="AD219" s="163">
        <v>0</v>
      </c>
      <c r="AE219" s="163">
        <v>0</v>
      </c>
      <c r="AF219" s="163">
        <v>0</v>
      </c>
      <c r="AG219" s="163">
        <v>0</v>
      </c>
      <c r="AH219" s="163">
        <v>0</v>
      </c>
      <c r="AI219" s="163">
        <v>0</v>
      </c>
      <c r="AJ219" s="163">
        <v>0</v>
      </c>
      <c r="AK219" s="163">
        <v>-252000</v>
      </c>
      <c r="AL219" s="163">
        <v>-248000</v>
      </c>
      <c r="AM219" s="163">
        <v>-108000</v>
      </c>
      <c r="AN219" s="163">
        <v>-52000</v>
      </c>
      <c r="AO219" s="163">
        <v>-52000</v>
      </c>
      <c r="AP219" s="163">
        <v>19432.189999999999</v>
      </c>
      <c r="AQ219" s="163">
        <v>1904.09</v>
      </c>
      <c r="AR219" s="163">
        <v>0</v>
      </c>
      <c r="AS219" s="163">
        <v>0</v>
      </c>
      <c r="AT219" s="163">
        <v>0</v>
      </c>
      <c r="AU219" s="163">
        <v>0</v>
      </c>
      <c r="AV219" s="163">
        <v>0</v>
      </c>
      <c r="AW219" s="163">
        <v>0</v>
      </c>
      <c r="AX219" s="163">
        <v>0</v>
      </c>
      <c r="AY219" s="163">
        <v>0</v>
      </c>
      <c r="AZ219" s="163">
        <v>0</v>
      </c>
      <c r="BA219" s="163">
        <v>0</v>
      </c>
      <c r="BB219" s="163">
        <v>0</v>
      </c>
      <c r="BC219" s="163">
        <v>0</v>
      </c>
      <c r="BD219" s="163">
        <v>0</v>
      </c>
      <c r="BE219" s="163">
        <v>-783.24</v>
      </c>
      <c r="BF219" s="163">
        <v>-45</v>
      </c>
      <c r="BG219" s="163">
        <v>0</v>
      </c>
      <c r="BH219" s="163">
        <v>0</v>
      </c>
      <c r="BI219" s="163">
        <v>0</v>
      </c>
      <c r="BJ219" s="163">
        <v>0</v>
      </c>
      <c r="BK219" s="163">
        <v>0</v>
      </c>
      <c r="BL219" s="163">
        <v>0</v>
      </c>
      <c r="BM219" s="163">
        <v>0</v>
      </c>
      <c r="BN219" s="163">
        <v>0</v>
      </c>
      <c r="BO219" s="163">
        <v>0</v>
      </c>
      <c r="BP219" s="163">
        <v>0</v>
      </c>
      <c r="BQ219" s="163">
        <v>0</v>
      </c>
      <c r="BR219" s="163">
        <v>0</v>
      </c>
      <c r="BS219" s="163">
        <v>0</v>
      </c>
      <c r="BT219" s="163">
        <v>0</v>
      </c>
      <c r="BU219" s="163">
        <v>0</v>
      </c>
      <c r="BV219" s="163">
        <v>0</v>
      </c>
      <c r="BW219" s="163">
        <v>0</v>
      </c>
      <c r="BX219" s="163">
        <v>-256702.48</v>
      </c>
      <c r="BY219" s="163">
        <v>-256702.48</v>
      </c>
      <c r="BZ219" s="163">
        <v>0</v>
      </c>
      <c r="CA219" s="163">
        <v>0</v>
      </c>
      <c r="CB219" s="163">
        <v>0</v>
      </c>
      <c r="CC219" s="163">
        <v>0</v>
      </c>
      <c r="CD219" s="163">
        <v>0</v>
      </c>
      <c r="CE219" s="163">
        <v>0</v>
      </c>
      <c r="CF219" s="163">
        <v>0</v>
      </c>
      <c r="CG219" s="163">
        <v>0</v>
      </c>
      <c r="CH219" s="163">
        <v>0</v>
      </c>
      <c r="CI219" s="163">
        <v>0</v>
      </c>
      <c r="CJ219" s="163">
        <v>0</v>
      </c>
      <c r="CK219" s="163">
        <v>0</v>
      </c>
      <c r="CL219" s="163">
        <v>0</v>
      </c>
      <c r="CM219" s="163">
        <v>-5240.9399999999996</v>
      </c>
      <c r="CN219" s="163">
        <v>-3030.9</v>
      </c>
      <c r="CO219" s="163">
        <v>-3030.9</v>
      </c>
      <c r="CP219" s="163">
        <v>-3030.9</v>
      </c>
      <c r="CQ219" s="163">
        <v>-3030.9</v>
      </c>
      <c r="CR219" s="163">
        <v>-3030.9</v>
      </c>
      <c r="CS219" s="163">
        <v>0</v>
      </c>
      <c r="CT219" s="163">
        <v>-366666.67</v>
      </c>
      <c r="CU219" s="163">
        <v>-403333.34</v>
      </c>
      <c r="CV219" s="163">
        <v>-733333.01</v>
      </c>
      <c r="CW219" s="163">
        <v>-733333.01</v>
      </c>
      <c r="CX219" s="163">
        <v>-733333.01</v>
      </c>
      <c r="CY219" s="163">
        <v>-1440.82</v>
      </c>
      <c r="CZ219" s="163">
        <v>-1440.82</v>
      </c>
      <c r="DA219" s="163">
        <v>-1440.82</v>
      </c>
      <c r="DB219" s="163">
        <v>-1440.82</v>
      </c>
      <c r="DC219" s="163">
        <v>-1440.82</v>
      </c>
      <c r="DD219" s="163">
        <v>-1440.82</v>
      </c>
      <c r="DE219" s="163">
        <v>-1440.82</v>
      </c>
      <c r="DF219" s="163">
        <f>VLOOKUP($C219,'[3]BS ACC'!$C$5:$DH$1006,108,FALSE)</f>
        <v>-1440.82</v>
      </c>
      <c r="DG219" s="163">
        <f>VLOOKUP($C219,'[3]BS ACC'!$C$5:$DH$1006,109,FALSE)</f>
        <v>-1440.82</v>
      </c>
      <c r="DH219" s="163">
        <f>VLOOKUP($C219,'[3]BS ACC'!$C$5:$DH$1006,110,FALSE)</f>
        <v>-200955.82</v>
      </c>
    </row>
    <row r="220" spans="1:112">
      <c r="A220" s="350" t="str">
        <f t="shared" si="3"/>
        <v>2320010</v>
      </c>
      <c r="B220" s="350" t="s">
        <v>1636</v>
      </c>
      <c r="C220" s="335" t="s">
        <v>747</v>
      </c>
      <c r="D220" s="340">
        <v>224.02</v>
      </c>
      <c r="E220" s="340">
        <v>224.02</v>
      </c>
      <c r="F220" s="340">
        <v>200.31</v>
      </c>
      <c r="G220" s="340">
        <v>224.02</v>
      </c>
      <c r="H220" s="340">
        <v>224.02</v>
      </c>
      <c r="I220" s="340">
        <v>224.02</v>
      </c>
      <c r="J220" s="340">
        <v>224.02</v>
      </c>
      <c r="K220" s="340">
        <v>224.02</v>
      </c>
      <c r="L220" s="340">
        <v>74.02</v>
      </c>
      <c r="M220" s="340">
        <v>224.02</v>
      </c>
      <c r="N220" s="340">
        <v>224.02</v>
      </c>
      <c r="O220" s="340">
        <v>224.02</v>
      </c>
      <c r="P220" s="341">
        <v>224.02</v>
      </c>
      <c r="Q220" s="163">
        <v>224.02</v>
      </c>
      <c r="R220" s="163">
        <v>-985.65</v>
      </c>
      <c r="S220" s="163">
        <v>224.02</v>
      </c>
      <c r="T220" s="163">
        <v>224.02</v>
      </c>
      <c r="U220" s="163">
        <v>224.02</v>
      </c>
      <c r="V220" s="163">
        <v>224.02</v>
      </c>
      <c r="W220" s="163">
        <v>205.07</v>
      </c>
      <c r="X220" s="163">
        <v>71.8</v>
      </c>
      <c r="Y220" s="163">
        <v>-2906.03</v>
      </c>
      <c r="Z220" s="163">
        <v>136.87</v>
      </c>
      <c r="AA220" s="163">
        <v>224.02</v>
      </c>
      <c r="AB220" s="163">
        <v>199.82</v>
      </c>
      <c r="AC220" s="163">
        <v>114.69</v>
      </c>
      <c r="AD220" s="163">
        <v>-105.98</v>
      </c>
      <c r="AE220" s="163">
        <v>224.02</v>
      </c>
      <c r="AF220" s="163">
        <v>224.02</v>
      </c>
      <c r="AG220" s="163">
        <v>224.02</v>
      </c>
      <c r="AH220" s="163">
        <v>224.02</v>
      </c>
      <c r="AI220" s="163">
        <v>224.02</v>
      </c>
      <c r="AJ220" s="163">
        <v>224.02</v>
      </c>
      <c r="AK220" s="163">
        <v>224.02</v>
      </c>
      <c r="AL220" s="163">
        <v>224.02</v>
      </c>
      <c r="AM220" s="163">
        <v>224.02</v>
      </c>
      <c r="AN220" s="163">
        <v>224.02</v>
      </c>
      <c r="AO220" s="163">
        <v>-1422.12</v>
      </c>
      <c r="AP220" s="163">
        <v>224.02</v>
      </c>
      <c r="AQ220" s="163">
        <v>224.02</v>
      </c>
      <c r="AR220" s="163">
        <v>224.02</v>
      </c>
      <c r="AS220" s="163">
        <v>224.02</v>
      </c>
      <c r="AT220" s="163">
        <v>224.02</v>
      </c>
      <c r="AU220" s="163">
        <v>224.02</v>
      </c>
      <c r="AV220" s="163">
        <v>224.02</v>
      </c>
      <c r="AW220" s="163">
        <v>224.02</v>
      </c>
      <c r="AX220" s="163">
        <v>224.02</v>
      </c>
      <c r="AY220" s="163">
        <v>224.02</v>
      </c>
      <c r="AZ220" s="163">
        <v>224.02</v>
      </c>
      <c r="BA220" s="163">
        <v>224.02</v>
      </c>
      <c r="BB220" s="163">
        <v>224.02</v>
      </c>
      <c r="BC220" s="163">
        <v>1363.64</v>
      </c>
      <c r="BD220" s="163">
        <v>-1583</v>
      </c>
      <c r="BE220" s="163">
        <v>224.02</v>
      </c>
      <c r="BF220" s="163">
        <v>224.02</v>
      </c>
      <c r="BG220" s="163">
        <v>0</v>
      </c>
      <c r="BH220" s="163">
        <v>0</v>
      </c>
      <c r="BI220" s="163">
        <v>0</v>
      </c>
      <c r="BJ220" s="163">
        <v>0</v>
      </c>
      <c r="BK220" s="163">
        <v>0</v>
      </c>
      <c r="BL220" s="163">
        <v>0</v>
      </c>
      <c r="BM220" s="163">
        <v>0</v>
      </c>
      <c r="BN220" s="163">
        <v>0</v>
      </c>
      <c r="BO220" s="163">
        <v>0</v>
      </c>
      <c r="BP220" s="163">
        <v>0</v>
      </c>
      <c r="BQ220" s="163">
        <v>0</v>
      </c>
      <c r="BR220" s="163">
        <v>0</v>
      </c>
      <c r="BS220" s="163">
        <v>0</v>
      </c>
      <c r="BT220" s="163">
        <v>0</v>
      </c>
      <c r="BU220" s="163">
        <v>0</v>
      </c>
      <c r="BV220" s="163">
        <v>0</v>
      </c>
      <c r="BW220" s="163">
        <v>0</v>
      </c>
      <c r="BX220" s="163">
        <v>0</v>
      </c>
      <c r="BY220" s="163">
        <v>-57.13</v>
      </c>
      <c r="BZ220" s="163">
        <v>0</v>
      </c>
      <c r="CA220" s="163">
        <v>0</v>
      </c>
      <c r="CB220" s="163">
        <v>0</v>
      </c>
      <c r="CC220" s="163">
        <v>-167.74</v>
      </c>
      <c r="CD220" s="163">
        <v>-176.31</v>
      </c>
      <c r="CE220" s="163">
        <v>0</v>
      </c>
      <c r="CF220" s="163">
        <v>0</v>
      </c>
      <c r="CG220" s="163">
        <v>0</v>
      </c>
      <c r="CH220" s="163">
        <v>0</v>
      </c>
      <c r="CI220" s="163">
        <v>0</v>
      </c>
      <c r="CJ220" s="163">
        <v>0</v>
      </c>
      <c r="CK220" s="163">
        <v>104.9</v>
      </c>
      <c r="CL220" s="163">
        <v>104.9</v>
      </c>
      <c r="CM220" s="163">
        <v>-20399.55</v>
      </c>
      <c r="CN220" s="163">
        <v>-20399.55</v>
      </c>
      <c r="CO220" s="163">
        <v>-20454.34</v>
      </c>
      <c r="CP220" s="163">
        <v>-20399.55</v>
      </c>
      <c r="CQ220" s="163">
        <v>-20399.55</v>
      </c>
      <c r="CR220" s="163">
        <v>-20766.310000000001</v>
      </c>
      <c r="CS220" s="163">
        <v>-40.090000000000003</v>
      </c>
      <c r="CT220" s="163">
        <v>0</v>
      </c>
      <c r="CU220" s="163">
        <v>23.3</v>
      </c>
      <c r="CV220" s="163">
        <v>-423.38</v>
      </c>
      <c r="CW220" s="163">
        <v>-510.78</v>
      </c>
      <c r="CX220" s="163">
        <v>-423.38</v>
      </c>
      <c r="CY220" s="163">
        <v>-517.9</v>
      </c>
      <c r="CZ220" s="163">
        <v>-702.32</v>
      </c>
      <c r="DA220" s="163">
        <v>-542.82000000000005</v>
      </c>
      <c r="DB220" s="163">
        <v>-753.68</v>
      </c>
      <c r="DC220" s="163">
        <v>-741.76</v>
      </c>
      <c r="DD220" s="163">
        <v>-865.65</v>
      </c>
      <c r="DE220" s="163">
        <v>-741.76</v>
      </c>
      <c r="DF220" s="163">
        <f>VLOOKUP($C220,'[3]BS ACC'!$C$5:$DH$1006,108,FALSE)</f>
        <v>-905.53</v>
      </c>
      <c r="DG220" s="163">
        <f>VLOOKUP($C220,'[3]BS ACC'!$C$5:$DH$1006,109,FALSE)</f>
        <v>-850.51</v>
      </c>
      <c r="DH220" s="163">
        <f>VLOOKUP($C220,'[3]BS ACC'!$C$5:$DH$1006,110,FALSE)</f>
        <v>3695.51</v>
      </c>
    </row>
    <row r="221" spans="1:112">
      <c r="A221" s="350" t="str">
        <f t="shared" si="3"/>
        <v>2320011</v>
      </c>
      <c r="B221" s="350" t="s">
        <v>1637</v>
      </c>
      <c r="C221" s="335" t="s">
        <v>748</v>
      </c>
      <c r="D221" s="340">
        <v>2427</v>
      </c>
      <c r="E221" s="340">
        <v>20</v>
      </c>
      <c r="F221" s="340">
        <v>20</v>
      </c>
      <c r="G221" s="340">
        <v>20</v>
      </c>
      <c r="H221" s="340">
        <v>20</v>
      </c>
      <c r="I221" s="340">
        <v>7.5</v>
      </c>
      <c r="J221" s="340">
        <v>170</v>
      </c>
      <c r="K221" s="340">
        <v>170</v>
      </c>
      <c r="L221" s="340">
        <v>170</v>
      </c>
      <c r="M221" s="340">
        <v>170</v>
      </c>
      <c r="N221" s="340">
        <v>170</v>
      </c>
      <c r="O221" s="340">
        <v>170</v>
      </c>
      <c r="P221" s="341">
        <v>195</v>
      </c>
      <c r="Q221" s="163">
        <v>100</v>
      </c>
      <c r="R221" s="163">
        <v>10</v>
      </c>
      <c r="S221" s="163">
        <v>10</v>
      </c>
      <c r="T221" s="163">
        <v>10</v>
      </c>
      <c r="U221" s="163">
        <v>10</v>
      </c>
      <c r="V221" s="163">
        <v>10</v>
      </c>
      <c r="W221" s="163">
        <v>22.5</v>
      </c>
      <c r="X221" s="163">
        <v>25</v>
      </c>
      <c r="Y221" s="163">
        <v>50</v>
      </c>
      <c r="Z221" s="163">
        <v>112.5</v>
      </c>
      <c r="AA221" s="163">
        <v>145</v>
      </c>
      <c r="AB221" s="163">
        <v>165</v>
      </c>
      <c r="AC221" s="163">
        <v>145</v>
      </c>
      <c r="AD221" s="163">
        <v>45</v>
      </c>
      <c r="AE221" s="163">
        <v>695</v>
      </c>
      <c r="AF221" s="163">
        <v>680</v>
      </c>
      <c r="AG221" s="163">
        <v>2427</v>
      </c>
      <c r="AH221" s="163">
        <v>2427</v>
      </c>
      <c r="AI221" s="163">
        <v>2427</v>
      </c>
      <c r="AJ221" s="163">
        <v>2427</v>
      </c>
      <c r="AK221" s="163">
        <v>2427</v>
      </c>
      <c r="AL221" s="163">
        <v>2427</v>
      </c>
      <c r="AM221" s="163">
        <v>2427</v>
      </c>
      <c r="AN221" s="163">
        <v>2427</v>
      </c>
      <c r="AO221" s="163">
        <v>2427</v>
      </c>
      <c r="AP221" s="163">
        <v>2427</v>
      </c>
      <c r="AQ221" s="163">
        <v>2427</v>
      </c>
      <c r="AR221" s="163">
        <v>2427</v>
      </c>
      <c r="AS221" s="163">
        <v>2427</v>
      </c>
      <c r="AT221" s="163">
        <v>0</v>
      </c>
      <c r="AU221" s="163">
        <v>0</v>
      </c>
      <c r="AV221" s="163">
        <v>0</v>
      </c>
      <c r="AW221" s="163">
        <v>0</v>
      </c>
      <c r="AX221" s="163">
        <v>0</v>
      </c>
      <c r="AY221" s="163">
        <v>0</v>
      </c>
      <c r="AZ221" s="163">
        <v>0</v>
      </c>
      <c r="BA221" s="163">
        <v>0</v>
      </c>
      <c r="BB221" s="163">
        <v>0</v>
      </c>
      <c r="BC221" s="163">
        <v>0</v>
      </c>
      <c r="BD221" s="163">
        <v>0</v>
      </c>
      <c r="BE221" s="163">
        <v>0</v>
      </c>
      <c r="BF221" s="163">
        <v>0</v>
      </c>
      <c r="BG221" s="163">
        <v>0</v>
      </c>
      <c r="BH221" s="163">
        <v>0</v>
      </c>
      <c r="BI221" s="163">
        <v>0</v>
      </c>
      <c r="BJ221" s="163">
        <v>0</v>
      </c>
      <c r="BK221" s="163">
        <v>0</v>
      </c>
      <c r="BL221" s="163">
        <v>0</v>
      </c>
      <c r="BM221" s="163">
        <v>0</v>
      </c>
      <c r="BN221" s="163">
        <v>0</v>
      </c>
      <c r="BO221" s="163">
        <v>0</v>
      </c>
      <c r="BP221" s="163">
        <v>0</v>
      </c>
      <c r="BQ221" s="163">
        <v>0</v>
      </c>
      <c r="BR221" s="163">
        <v>0</v>
      </c>
      <c r="BS221" s="163">
        <v>0</v>
      </c>
      <c r="BT221" s="163">
        <v>0</v>
      </c>
      <c r="BU221" s="163">
        <v>0</v>
      </c>
      <c r="BV221" s="163">
        <v>0</v>
      </c>
      <c r="BW221" s="163">
        <v>0</v>
      </c>
      <c r="BX221" s="163">
        <v>0</v>
      </c>
      <c r="BY221" s="163">
        <v>0</v>
      </c>
      <c r="BZ221" s="163">
        <v>0</v>
      </c>
      <c r="CA221" s="163">
        <v>0</v>
      </c>
      <c r="CB221" s="163">
        <v>0</v>
      </c>
      <c r="CC221" s="163">
        <v>0</v>
      </c>
      <c r="CD221" s="163">
        <v>0</v>
      </c>
      <c r="CE221" s="163">
        <v>0</v>
      </c>
      <c r="CF221" s="163">
        <v>0</v>
      </c>
      <c r="CG221" s="163">
        <v>0</v>
      </c>
      <c r="CH221" s="163">
        <v>0</v>
      </c>
      <c r="CI221" s="163">
        <v>0</v>
      </c>
      <c r="CJ221" s="163">
        <v>0</v>
      </c>
      <c r="CK221" s="163">
        <v>0</v>
      </c>
      <c r="CL221" s="163">
        <v>0</v>
      </c>
      <c r="CM221" s="163">
        <v>35360</v>
      </c>
      <c r="CN221" s="163">
        <v>0</v>
      </c>
      <c r="CO221" s="163">
        <v>0</v>
      </c>
      <c r="CP221" s="163">
        <v>0</v>
      </c>
      <c r="CQ221" s="163">
        <v>0</v>
      </c>
      <c r="CR221" s="163">
        <v>0</v>
      </c>
      <c r="CS221" s="163">
        <v>0</v>
      </c>
      <c r="CT221" s="163">
        <v>0</v>
      </c>
      <c r="CU221" s="163">
        <v>0</v>
      </c>
      <c r="CV221" s="163">
        <v>0</v>
      </c>
      <c r="CW221" s="163">
        <v>0</v>
      </c>
      <c r="CX221" s="163">
        <v>0</v>
      </c>
      <c r="CY221" s="163">
        <v>0</v>
      </c>
      <c r="CZ221" s="163">
        <v>0</v>
      </c>
      <c r="DA221" s="163">
        <v>0</v>
      </c>
      <c r="DB221" s="163">
        <v>12.5</v>
      </c>
      <c r="DC221" s="163">
        <v>12.5</v>
      </c>
      <c r="DD221" s="163">
        <v>706.95</v>
      </c>
      <c r="DE221" s="163">
        <v>706.95</v>
      </c>
      <c r="DF221" s="163">
        <f>VLOOKUP($C221,'[3]BS ACC'!$C$5:$DH$1006,108,FALSE)</f>
        <v>706.95</v>
      </c>
      <c r="DG221" s="163">
        <f>VLOOKUP($C221,'[3]BS ACC'!$C$5:$DH$1006,109,FALSE)</f>
        <v>706.95</v>
      </c>
      <c r="DH221" s="163">
        <f>VLOOKUP($C221,'[3]BS ACC'!$C$5:$DH$1006,110,FALSE)</f>
        <v>706.95</v>
      </c>
    </row>
    <row r="222" spans="1:112">
      <c r="A222" s="350" t="str">
        <f t="shared" si="3"/>
        <v>2320012</v>
      </c>
      <c r="B222" s="350" t="s">
        <v>1638</v>
      </c>
      <c r="C222" s="335" t="s">
        <v>749</v>
      </c>
      <c r="D222" s="340">
        <v>-3168464</v>
      </c>
      <c r="E222" s="340">
        <v>-208317.12</v>
      </c>
      <c r="F222" s="340">
        <v>-341892</v>
      </c>
      <c r="G222" s="340">
        <v>-512838</v>
      </c>
      <c r="H222" s="340">
        <v>-683784</v>
      </c>
      <c r="I222" s="340">
        <v>-854730</v>
      </c>
      <c r="J222" s="340">
        <v>-1025676</v>
      </c>
      <c r="K222" s="340">
        <v>-1196622</v>
      </c>
      <c r="L222" s="340">
        <v>-1367568</v>
      </c>
      <c r="M222" s="340">
        <v>-2309514</v>
      </c>
      <c r="N222" s="340">
        <v>-2480460</v>
      </c>
      <c r="O222" s="340">
        <v>-2651406</v>
      </c>
      <c r="P222" s="341">
        <v>-3076048.44</v>
      </c>
      <c r="Q222" s="163">
        <v>-3248375.59</v>
      </c>
      <c r="R222" s="163">
        <v>-344654.3</v>
      </c>
      <c r="S222" s="163">
        <v>-1269981.45</v>
      </c>
      <c r="T222" s="163">
        <v>-1627308.6</v>
      </c>
      <c r="U222" s="163">
        <v>-1673635.75</v>
      </c>
      <c r="V222" s="163">
        <v>-1978962.9</v>
      </c>
      <c r="W222" s="163">
        <v>-2042290.05</v>
      </c>
      <c r="X222" s="163">
        <v>-2235617.2000000002</v>
      </c>
      <c r="Y222" s="163">
        <v>-2196603.5</v>
      </c>
      <c r="Z222" s="163">
        <v>-2335930.65</v>
      </c>
      <c r="AA222" s="163">
        <v>-2884257.8</v>
      </c>
      <c r="AB222" s="163">
        <v>-2099616</v>
      </c>
      <c r="AC222" s="163">
        <v>-2268782.67</v>
      </c>
      <c r="AD222" s="163">
        <v>-338333.34</v>
      </c>
      <c r="AE222" s="163">
        <v>-507500.01</v>
      </c>
      <c r="AF222" s="163">
        <v>-676666.68</v>
      </c>
      <c r="AG222" s="163">
        <v>-845833.35</v>
      </c>
      <c r="AH222" s="163">
        <v>-1015000.02</v>
      </c>
      <c r="AI222" s="163">
        <v>-1444166.69</v>
      </c>
      <c r="AJ222" s="163">
        <v>-2437333.36</v>
      </c>
      <c r="AK222" s="163">
        <v>-2645500.0299999998</v>
      </c>
      <c r="AL222" s="163">
        <v>-2794666.7</v>
      </c>
      <c r="AM222" s="163">
        <v>-2341833.37</v>
      </c>
      <c r="AN222" s="163">
        <v>-2518000.04</v>
      </c>
      <c r="AO222" s="163">
        <v>-2703416.71</v>
      </c>
      <c r="AP222" s="163">
        <v>-266307.89</v>
      </c>
      <c r="AQ222" s="163">
        <v>-556250.01</v>
      </c>
      <c r="AR222" s="163">
        <v>-741666.68</v>
      </c>
      <c r="AS222" s="163">
        <v>-927083.35</v>
      </c>
      <c r="AT222" s="163">
        <v>-1187500.02</v>
      </c>
      <c r="AU222" s="163">
        <v>-1385416.69</v>
      </c>
      <c r="AV222" s="163">
        <v>-1583333.36</v>
      </c>
      <c r="AW222" s="163">
        <v>-1781250.03</v>
      </c>
      <c r="AX222" s="163">
        <v>-1722069.03</v>
      </c>
      <c r="AY222" s="163">
        <v>-1894276.03</v>
      </c>
      <c r="AZ222" s="163">
        <v>-2291483.0299999998</v>
      </c>
      <c r="BA222" s="163">
        <v>-2526310.3999999999</v>
      </c>
      <c r="BB222" s="163">
        <v>-469654.74</v>
      </c>
      <c r="BC222" s="163">
        <v>-704482.11</v>
      </c>
      <c r="BD222" s="163">
        <v>-939309.48</v>
      </c>
      <c r="BE222" s="163">
        <v>-1168438.77</v>
      </c>
      <c r="BF222" s="163">
        <v>-1408964.22</v>
      </c>
      <c r="BG222" s="163">
        <v>-1766319.38</v>
      </c>
      <c r="BH222" s="163">
        <v>-2418650.7200000002</v>
      </c>
      <c r="BI222" s="163">
        <v>-2776068.76</v>
      </c>
      <c r="BJ222" s="163">
        <v>-3084520.86</v>
      </c>
      <c r="BK222" s="163">
        <v>-3392972.96</v>
      </c>
      <c r="BL222" s="163">
        <v>-3779472</v>
      </c>
      <c r="BM222" s="163">
        <v>-4103473.25</v>
      </c>
      <c r="BN222" s="163">
        <v>-648002.5</v>
      </c>
      <c r="BO222" s="163">
        <v>-972033.75</v>
      </c>
      <c r="BP222" s="163">
        <v>-1296035</v>
      </c>
      <c r="BQ222" s="163">
        <v>-1620036.25</v>
      </c>
      <c r="BR222" s="163">
        <v>-1944037.5</v>
      </c>
      <c r="BS222" s="163">
        <v>-2268038.75</v>
      </c>
      <c r="BT222" s="163">
        <v>-2592040</v>
      </c>
      <c r="BU222" s="163">
        <v>-3043991.25</v>
      </c>
      <c r="BV222" s="163">
        <v>-3382209.17</v>
      </c>
      <c r="BW222" s="163">
        <v>-4470427.09</v>
      </c>
      <c r="BX222" s="163">
        <v>-4897075.1900000004</v>
      </c>
      <c r="BY222" s="163">
        <v>-5275251.1900000004</v>
      </c>
      <c r="BZ222" s="163">
        <v>-743427.8</v>
      </c>
      <c r="CA222" s="163">
        <v>-1096157.06</v>
      </c>
      <c r="CB222" s="163">
        <v>-1455789.01</v>
      </c>
      <c r="CC222" s="163">
        <v>-1815420.96</v>
      </c>
      <c r="CD222" s="163">
        <v>-2022869.17</v>
      </c>
      <c r="CE222" s="163">
        <v>-2357137.17</v>
      </c>
      <c r="CF222" s="163">
        <v>-2691405.17</v>
      </c>
      <c r="CG222" s="163">
        <v>-3319307.5</v>
      </c>
      <c r="CH222" s="163">
        <v>-3686201.5</v>
      </c>
      <c r="CI222" s="163">
        <v>-4053095.5</v>
      </c>
      <c r="CJ222" s="163">
        <v>-4620834.5</v>
      </c>
      <c r="CK222" s="163">
        <v>-4995672.5</v>
      </c>
      <c r="CL222" s="163">
        <v>-5370510.5</v>
      </c>
      <c r="CM222" s="163">
        <v>-1124514</v>
      </c>
      <c r="CN222" s="163">
        <v>-1361880</v>
      </c>
      <c r="CO222" s="163">
        <v>-1702350.17</v>
      </c>
      <c r="CP222" s="163">
        <v>-2042820.34</v>
      </c>
      <c r="CQ222" s="163">
        <v>-2383290.5099999998</v>
      </c>
      <c r="CR222" s="163">
        <v>-2723760.68</v>
      </c>
      <c r="CS222" s="163">
        <v>-3064230.85</v>
      </c>
      <c r="CT222" s="163">
        <v>-4142196.37</v>
      </c>
      <c r="CU222" s="163">
        <v>-4556416.01</v>
      </c>
      <c r="CV222" s="163">
        <v>-6213252.9299999997</v>
      </c>
      <c r="CW222" s="163">
        <v>-6709669.5999999996</v>
      </c>
      <c r="CX222" s="163">
        <v>-7206086.2699999996</v>
      </c>
      <c r="CY222" s="163">
        <v>-1489250.01</v>
      </c>
      <c r="CZ222" s="163">
        <v>-1985666.68</v>
      </c>
      <c r="DA222" s="163">
        <v>-2482083.35</v>
      </c>
      <c r="DB222" s="163">
        <v>-2976708.29</v>
      </c>
      <c r="DC222" s="163">
        <v>-3473124.96</v>
      </c>
      <c r="DD222" s="163">
        <v>-4012041.63</v>
      </c>
      <c r="DE222" s="163">
        <v>-4529708.3</v>
      </c>
      <c r="DF222" s="163">
        <f>VLOOKUP($C222,'[3]BS ACC'!$C$5:$DH$1006,108,FALSE)</f>
        <v>-5047374.97</v>
      </c>
      <c r="DG222" s="163">
        <f>VLOOKUP($C222,'[3]BS ACC'!$C$5:$DH$1006,109,FALSE)</f>
        <v>-6217062.9699999997</v>
      </c>
      <c r="DH222" s="163">
        <f>VLOOKUP($C222,'[3]BS ACC'!$C$5:$DH$1006,110,FALSE)</f>
        <v>-7203447.9699999997</v>
      </c>
    </row>
    <row r="223" spans="1:112">
      <c r="A223" s="350" t="str">
        <f t="shared" si="3"/>
        <v>2320013</v>
      </c>
      <c r="B223" s="350" t="s">
        <v>1639</v>
      </c>
      <c r="C223" s="335" t="s">
        <v>750</v>
      </c>
      <c r="D223" s="340">
        <v>0</v>
      </c>
      <c r="E223" s="340">
        <v>0</v>
      </c>
      <c r="F223" s="340">
        <v>0</v>
      </c>
      <c r="G223" s="340">
        <v>0</v>
      </c>
      <c r="H223" s="340">
        <v>0</v>
      </c>
      <c r="I223" s="340">
        <v>0</v>
      </c>
      <c r="J223" s="340">
        <v>0</v>
      </c>
      <c r="K223" s="340">
        <v>0</v>
      </c>
      <c r="L223" s="340">
        <v>0</v>
      </c>
      <c r="M223" s="340">
        <v>0</v>
      </c>
      <c r="N223" s="340">
        <v>0</v>
      </c>
      <c r="O223" s="340">
        <v>0</v>
      </c>
      <c r="P223" s="341">
        <v>0</v>
      </c>
      <c r="Q223" s="163">
        <v>0</v>
      </c>
      <c r="R223" s="163">
        <v>0</v>
      </c>
      <c r="S223" s="163">
        <v>0</v>
      </c>
      <c r="T223" s="163">
        <v>0</v>
      </c>
      <c r="U223" s="163">
        <v>0</v>
      </c>
      <c r="V223" s="163">
        <v>0</v>
      </c>
      <c r="W223" s="163">
        <v>-386.49</v>
      </c>
      <c r="X223" s="163">
        <v>0</v>
      </c>
      <c r="Y223" s="163">
        <v>0</v>
      </c>
      <c r="Z223" s="163">
        <v>0</v>
      </c>
      <c r="AA223" s="163">
        <v>0</v>
      </c>
      <c r="AB223" s="163">
        <v>0</v>
      </c>
      <c r="AC223" s="163">
        <v>0</v>
      </c>
      <c r="AD223" s="163">
        <v>-210.35</v>
      </c>
      <c r="AE223" s="163">
        <v>-210.35</v>
      </c>
      <c r="AF223" s="163">
        <v>-210.35</v>
      </c>
      <c r="AG223" s="163">
        <v>-210.35</v>
      </c>
      <c r="AH223" s="163">
        <v>-210.35</v>
      </c>
      <c r="AI223" s="163">
        <v>-210.35</v>
      </c>
      <c r="AJ223" s="163">
        <v>1354.89</v>
      </c>
      <c r="AK223" s="163">
        <v>-210.35</v>
      </c>
      <c r="AL223" s="163">
        <v>-210.35</v>
      </c>
      <c r="AM223" s="163">
        <v>-210.35</v>
      </c>
      <c r="AN223" s="163">
        <v>-210.35</v>
      </c>
      <c r="AO223" s="163">
        <v>-210.35</v>
      </c>
      <c r="AP223" s="163">
        <v>-210.35</v>
      </c>
      <c r="AQ223" s="163">
        <v>-210.35</v>
      </c>
      <c r="AR223" s="163">
        <v>-210.35</v>
      </c>
      <c r="AS223" s="163">
        <v>-210.35</v>
      </c>
      <c r="AT223" s="163">
        <v>-210.35</v>
      </c>
      <c r="AU223" s="163">
        <v>0</v>
      </c>
      <c r="AV223" s="163">
        <v>0</v>
      </c>
      <c r="AW223" s="163">
        <v>0</v>
      </c>
      <c r="AX223" s="163">
        <v>0</v>
      </c>
      <c r="AY223" s="163">
        <v>0</v>
      </c>
      <c r="AZ223" s="163">
        <v>0</v>
      </c>
      <c r="BA223" s="163">
        <v>0</v>
      </c>
      <c r="BB223" s="163">
        <v>0</v>
      </c>
      <c r="BC223" s="163">
        <v>-342.66</v>
      </c>
      <c r="BD223" s="163">
        <v>-1033.71</v>
      </c>
      <c r="BE223" s="163">
        <v>-2115.61</v>
      </c>
      <c r="BF223" s="163">
        <v>-1173.6500000000001</v>
      </c>
      <c r="BG223" s="163">
        <v>0</v>
      </c>
      <c r="BH223" s="163">
        <v>0</v>
      </c>
      <c r="BI223" s="163">
        <v>0</v>
      </c>
      <c r="BJ223" s="163">
        <v>0</v>
      </c>
      <c r="BK223" s="163">
        <v>0</v>
      </c>
      <c r="BL223" s="163">
        <v>0</v>
      </c>
      <c r="BM223" s="163">
        <v>0</v>
      </c>
      <c r="BN223" s="163">
        <v>0</v>
      </c>
      <c r="BO223" s="163">
        <v>0</v>
      </c>
      <c r="BP223" s="163">
        <v>-1106.4100000000001</v>
      </c>
      <c r="BQ223" s="163">
        <v>-2062.5500000000002</v>
      </c>
      <c r="BR223" s="163">
        <v>0</v>
      </c>
      <c r="BS223" s="163">
        <v>0</v>
      </c>
      <c r="BT223" s="163">
        <v>0</v>
      </c>
      <c r="BU223" s="163">
        <v>0</v>
      </c>
      <c r="BV223" s="163">
        <v>0</v>
      </c>
      <c r="BW223" s="163">
        <v>0</v>
      </c>
      <c r="BX223" s="163">
        <v>0</v>
      </c>
      <c r="BY223" s="163">
        <v>0</v>
      </c>
      <c r="BZ223" s="163">
        <v>0</v>
      </c>
      <c r="CA223" s="163">
        <v>0</v>
      </c>
      <c r="CB223" s="163">
        <v>0</v>
      </c>
      <c r="CC223" s="163">
        <v>0</v>
      </c>
      <c r="CD223" s="163">
        <v>0</v>
      </c>
      <c r="CE223" s="163">
        <v>0</v>
      </c>
      <c r="CF223" s="163">
        <v>0</v>
      </c>
      <c r="CG223" s="163">
        <v>0</v>
      </c>
      <c r="CH223" s="163">
        <v>0</v>
      </c>
      <c r="CI223" s="163">
        <v>0</v>
      </c>
      <c r="CJ223" s="163">
        <v>0</v>
      </c>
      <c r="CK223" s="163">
        <v>0</v>
      </c>
      <c r="CL223" s="163">
        <v>0</v>
      </c>
      <c r="CM223" s="163">
        <v>0</v>
      </c>
      <c r="CN223" s="163">
        <v>0</v>
      </c>
      <c r="CO223" s="163">
        <v>0</v>
      </c>
      <c r="CP223" s="163">
        <v>0</v>
      </c>
      <c r="CQ223" s="163">
        <v>0</v>
      </c>
      <c r="CR223" s="163">
        <v>0</v>
      </c>
      <c r="CS223" s="163">
        <v>0</v>
      </c>
      <c r="CT223" s="163">
        <v>0</v>
      </c>
      <c r="CU223" s="163">
        <v>0</v>
      </c>
      <c r="CV223" s="163">
        <v>0</v>
      </c>
      <c r="CW223" s="163">
        <v>0</v>
      </c>
      <c r="CX223" s="163">
        <v>0</v>
      </c>
      <c r="CY223" s="163">
        <v>0</v>
      </c>
      <c r="CZ223" s="163">
        <v>0</v>
      </c>
      <c r="DA223" s="163">
        <v>0</v>
      </c>
      <c r="DB223" s="163">
        <v>0</v>
      </c>
      <c r="DC223" s="163">
        <v>-735.23</v>
      </c>
      <c r="DD223" s="163">
        <v>0</v>
      </c>
      <c r="DE223" s="163">
        <v>0</v>
      </c>
      <c r="DF223" s="163">
        <f>VLOOKUP($C223,'[3]BS ACC'!$C$5:$DH$1006,108,FALSE)</f>
        <v>0</v>
      </c>
      <c r="DG223" s="163">
        <f>VLOOKUP($C223,'[3]BS ACC'!$C$5:$DH$1006,109,FALSE)</f>
        <v>0</v>
      </c>
      <c r="DH223" s="163">
        <f>VLOOKUP($C223,'[3]BS ACC'!$C$5:$DH$1006,110,FALSE)</f>
        <v>0</v>
      </c>
    </row>
    <row r="224" spans="1:112">
      <c r="A224" s="350" t="str">
        <f>+B224</f>
        <v>2320014</v>
      </c>
      <c r="B224" s="350" t="s">
        <v>2304</v>
      </c>
      <c r="C224" s="335" t="s">
        <v>2291</v>
      </c>
      <c r="D224" s="340">
        <v>0</v>
      </c>
      <c r="E224" s="340">
        <v>0</v>
      </c>
      <c r="F224" s="340">
        <v>0</v>
      </c>
      <c r="G224" s="340">
        <v>0</v>
      </c>
      <c r="H224" s="340">
        <v>0</v>
      </c>
      <c r="I224" s="340">
        <v>0</v>
      </c>
      <c r="J224" s="340">
        <v>0</v>
      </c>
      <c r="K224" s="340">
        <v>0</v>
      </c>
      <c r="L224" s="340">
        <v>0</v>
      </c>
      <c r="M224" s="340">
        <v>0</v>
      </c>
      <c r="N224" s="340">
        <v>0</v>
      </c>
      <c r="O224" s="340">
        <v>0</v>
      </c>
      <c r="P224" s="341">
        <v>0</v>
      </c>
      <c r="Q224" s="163">
        <v>0</v>
      </c>
      <c r="R224" s="163">
        <v>0</v>
      </c>
      <c r="S224" s="163">
        <v>0</v>
      </c>
      <c r="T224" s="163">
        <v>0</v>
      </c>
      <c r="U224" s="163">
        <v>0</v>
      </c>
      <c r="V224" s="163">
        <v>0</v>
      </c>
      <c r="W224" s="163">
        <v>0</v>
      </c>
      <c r="X224" s="163">
        <v>0</v>
      </c>
      <c r="Y224" s="163">
        <v>0</v>
      </c>
      <c r="Z224" s="163">
        <v>0</v>
      </c>
      <c r="AA224" s="163">
        <v>0</v>
      </c>
      <c r="AB224" s="163">
        <v>0</v>
      </c>
      <c r="AC224" s="163">
        <v>0</v>
      </c>
      <c r="AD224" s="163">
        <v>0</v>
      </c>
      <c r="AE224" s="163">
        <v>0</v>
      </c>
      <c r="AF224" s="163">
        <v>0</v>
      </c>
      <c r="AG224" s="163">
        <v>0</v>
      </c>
      <c r="AH224" s="163">
        <v>0</v>
      </c>
      <c r="AI224" s="163">
        <v>0</v>
      </c>
      <c r="AJ224" s="163">
        <v>0</v>
      </c>
      <c r="AK224" s="163">
        <v>0</v>
      </c>
      <c r="AL224" s="163">
        <v>0</v>
      </c>
      <c r="AM224" s="163">
        <v>0</v>
      </c>
      <c r="AN224" s="163">
        <v>0</v>
      </c>
      <c r="AO224" s="163">
        <v>0</v>
      </c>
      <c r="AP224" s="163">
        <v>0</v>
      </c>
      <c r="AQ224" s="163">
        <v>0</v>
      </c>
      <c r="AR224" s="163">
        <v>0</v>
      </c>
      <c r="AS224" s="163">
        <v>0</v>
      </c>
      <c r="AT224" s="163">
        <v>0</v>
      </c>
      <c r="AU224" s="163">
        <v>0</v>
      </c>
      <c r="AV224" s="163">
        <v>0</v>
      </c>
      <c r="AW224" s="163">
        <v>0</v>
      </c>
      <c r="AX224" s="163">
        <v>0</v>
      </c>
      <c r="AY224" s="163">
        <v>0</v>
      </c>
      <c r="AZ224" s="163">
        <v>0</v>
      </c>
      <c r="BA224" s="163">
        <v>0</v>
      </c>
      <c r="BB224" s="163">
        <v>0</v>
      </c>
      <c r="BC224" s="163">
        <v>0</v>
      </c>
      <c r="BD224" s="163">
        <v>0</v>
      </c>
      <c r="BE224" s="163">
        <v>0</v>
      </c>
      <c r="BF224" s="163">
        <v>0</v>
      </c>
      <c r="BG224" s="163">
        <v>0</v>
      </c>
      <c r="BH224" s="163">
        <v>0</v>
      </c>
      <c r="BI224" s="163">
        <v>0</v>
      </c>
      <c r="BJ224" s="163">
        <v>0</v>
      </c>
      <c r="BK224" s="163">
        <v>0</v>
      </c>
      <c r="BL224" s="163">
        <v>0</v>
      </c>
      <c r="BM224" s="163">
        <v>0</v>
      </c>
      <c r="BN224" s="163">
        <v>0</v>
      </c>
      <c r="BO224" s="163">
        <v>0</v>
      </c>
      <c r="BP224" s="163">
        <v>0</v>
      </c>
      <c r="BQ224" s="163">
        <v>0</v>
      </c>
      <c r="BR224" s="163">
        <v>0</v>
      </c>
      <c r="BS224" s="163">
        <v>-63</v>
      </c>
      <c r="BT224" s="163">
        <v>0</v>
      </c>
      <c r="BU224" s="163">
        <v>0</v>
      </c>
      <c r="BV224" s="163">
        <v>0</v>
      </c>
      <c r="BW224" s="163">
        <v>-63</v>
      </c>
      <c r="BX224" s="163">
        <v>0</v>
      </c>
      <c r="BY224" s="163">
        <v>0</v>
      </c>
      <c r="BZ224" s="163">
        <v>0</v>
      </c>
      <c r="CA224" s="163">
        <v>0</v>
      </c>
      <c r="CB224" s="163">
        <v>0</v>
      </c>
      <c r="CC224" s="163">
        <v>-31.5</v>
      </c>
      <c r="CD224" s="163">
        <v>-31.5</v>
      </c>
      <c r="CE224" s="163">
        <v>-31.5</v>
      </c>
      <c r="CF224" s="163">
        <v>-31.5</v>
      </c>
      <c r="CG224" s="163">
        <v>-31.5</v>
      </c>
      <c r="CH224" s="163">
        <v>-31.5</v>
      </c>
      <c r="CI224" s="163">
        <v>-31.5</v>
      </c>
      <c r="CJ224" s="163">
        <v>-31.5</v>
      </c>
      <c r="CK224" s="163">
        <v>-31.5</v>
      </c>
      <c r="CL224" s="163">
        <v>-31.5</v>
      </c>
      <c r="CM224" s="163">
        <v>0</v>
      </c>
      <c r="CN224" s="163">
        <v>-31.5</v>
      </c>
      <c r="CO224" s="163">
        <v>-31.5</v>
      </c>
      <c r="CP224" s="163">
        <v>0</v>
      </c>
      <c r="CQ224" s="163">
        <v>-31.5</v>
      </c>
      <c r="CR224" s="163">
        <v>-31.5</v>
      </c>
      <c r="CS224" s="163">
        <v>-31.5</v>
      </c>
      <c r="CT224" s="163">
        <v>-31.5</v>
      </c>
      <c r="CU224" s="163">
        <v>0</v>
      </c>
      <c r="CV224" s="163">
        <v>-31.5</v>
      </c>
      <c r="CW224" s="163">
        <v>-31.5</v>
      </c>
      <c r="CX224" s="163">
        <v>-31.5</v>
      </c>
      <c r="CY224" s="163">
        <v>-31.5</v>
      </c>
      <c r="CZ224" s="163">
        <v>-31.5</v>
      </c>
      <c r="DA224" s="163">
        <v>-31.5</v>
      </c>
      <c r="DB224" s="163">
        <v>-39.369999999999997</v>
      </c>
      <c r="DC224" s="163">
        <v>-47.25</v>
      </c>
      <c r="DD224" s="163">
        <v>0</v>
      </c>
      <c r="DE224" s="163">
        <v>0</v>
      </c>
      <c r="DF224" s="163">
        <f>VLOOKUP($C224,'[3]BS ACC'!$C$5:$DH$1006,108,FALSE)</f>
        <v>-47.25</v>
      </c>
      <c r="DG224" s="163">
        <f>VLOOKUP($C224,'[3]BS ACC'!$C$5:$DH$1006,109,FALSE)</f>
        <v>-37.5</v>
      </c>
      <c r="DH224" s="163">
        <f>VLOOKUP($C224,'[3]BS ACC'!$C$5:$DH$1006,110,FALSE)</f>
        <v>-27.75</v>
      </c>
    </row>
    <row r="225" spans="1:112">
      <c r="A225" s="350" t="str">
        <f t="shared" si="3"/>
        <v>2320015</v>
      </c>
      <c r="B225" s="350" t="s">
        <v>917</v>
      </c>
      <c r="C225" s="335" t="s">
        <v>751</v>
      </c>
      <c r="D225" s="340">
        <v>28.58</v>
      </c>
      <c r="E225" s="340">
        <v>17.68</v>
      </c>
      <c r="F225" s="340">
        <v>6.77</v>
      </c>
      <c r="G225" s="340">
        <v>-6.35</v>
      </c>
      <c r="H225" s="340">
        <v>-3.31</v>
      </c>
      <c r="I225" s="340">
        <v>-14.24</v>
      </c>
      <c r="J225" s="340">
        <v>-19.670000000000002</v>
      </c>
      <c r="K225" s="340">
        <v>-24.64</v>
      </c>
      <c r="L225" s="340">
        <v>-43.3</v>
      </c>
      <c r="M225" s="340">
        <v>-59.88</v>
      </c>
      <c r="N225" s="340">
        <v>152.77000000000001</v>
      </c>
      <c r="O225" s="340">
        <v>16.96</v>
      </c>
      <c r="P225" s="341">
        <v>0</v>
      </c>
      <c r="Q225" s="163">
        <v>-20.010000000000002</v>
      </c>
      <c r="R225" s="163">
        <v>-56.53</v>
      </c>
      <c r="S225" s="163">
        <v>-93.06</v>
      </c>
      <c r="T225" s="163">
        <v>-135.6</v>
      </c>
      <c r="U225" s="163">
        <v>-197.95</v>
      </c>
      <c r="V225" s="163">
        <v>-237.24</v>
      </c>
      <c r="W225" s="163">
        <v>-259.58</v>
      </c>
      <c r="X225" s="163">
        <v>-375.56</v>
      </c>
      <c r="Y225" s="163">
        <v>-622.33000000000004</v>
      </c>
      <c r="Z225" s="163">
        <v>-14073.63</v>
      </c>
      <c r="AA225" s="163">
        <v>-760.3</v>
      </c>
      <c r="AB225" s="163">
        <v>-806.03</v>
      </c>
      <c r="AC225" s="163">
        <v>-849.81</v>
      </c>
      <c r="AD225" s="163">
        <v>-854.22</v>
      </c>
      <c r="AE225" s="163">
        <v>-915.33</v>
      </c>
      <c r="AF225" s="163">
        <v>-1007.9</v>
      </c>
      <c r="AG225" s="163">
        <v>-973.87</v>
      </c>
      <c r="AH225" s="163">
        <v>-1045.4100000000001</v>
      </c>
      <c r="AI225" s="163">
        <v>-1083.99</v>
      </c>
      <c r="AJ225" s="163">
        <v>-1122.57</v>
      </c>
      <c r="AK225" s="163">
        <v>-1155.25</v>
      </c>
      <c r="AL225" s="163">
        <v>-1216.6199999999999</v>
      </c>
      <c r="AM225" s="163">
        <v>-1339.04</v>
      </c>
      <c r="AN225" s="163">
        <v>-1377.59</v>
      </c>
      <c r="AO225" s="163">
        <v>-1417.8</v>
      </c>
      <c r="AP225" s="163">
        <v>-1462.9</v>
      </c>
      <c r="AQ225" s="163">
        <v>-1525.95</v>
      </c>
      <c r="AR225" s="163">
        <v>-1551.41</v>
      </c>
      <c r="AS225" s="163">
        <v>-1601.13</v>
      </c>
      <c r="AT225" s="163">
        <v>-1660.5</v>
      </c>
      <c r="AU225" s="163">
        <v>-1721.09</v>
      </c>
      <c r="AV225" s="163">
        <v>-1701.82</v>
      </c>
      <c r="AW225" s="163">
        <v>-1745.87</v>
      </c>
      <c r="AX225" s="163">
        <v>-1791.02</v>
      </c>
      <c r="AY225" s="163">
        <v>-1835.06</v>
      </c>
      <c r="AZ225" s="163">
        <v>-1874.06</v>
      </c>
      <c r="BA225" s="163">
        <v>-1935.24</v>
      </c>
      <c r="BB225" s="163">
        <v>-1997.66</v>
      </c>
      <c r="BC225" s="163">
        <v>-2115.19</v>
      </c>
      <c r="BD225" s="163">
        <v>-2132.1799999999998</v>
      </c>
      <c r="BE225" s="163">
        <v>-2180.4499999999998</v>
      </c>
      <c r="BF225" s="163">
        <v>-2095.5500000000002</v>
      </c>
      <c r="BG225" s="163">
        <v>-2227.87</v>
      </c>
      <c r="BH225" s="163">
        <v>-2350.52</v>
      </c>
      <c r="BI225" s="163">
        <v>-2478.9699999999998</v>
      </c>
      <c r="BJ225" s="163">
        <v>-2509.46</v>
      </c>
      <c r="BK225" s="163">
        <v>-2482.2399999999998</v>
      </c>
      <c r="BL225" s="163">
        <v>-65.25</v>
      </c>
      <c r="BM225" s="163">
        <v>-15357.31</v>
      </c>
      <c r="BN225" s="163">
        <v>-15424.89</v>
      </c>
      <c r="BO225" s="163">
        <v>-14891.34</v>
      </c>
      <c r="BP225" s="163">
        <v>-14943.49</v>
      </c>
      <c r="BQ225" s="163">
        <v>-14927.12</v>
      </c>
      <c r="BR225" s="163">
        <v>-14972.53</v>
      </c>
      <c r="BS225" s="163">
        <v>-14768.6</v>
      </c>
      <c r="BT225" s="163">
        <v>-14820.78</v>
      </c>
      <c r="BU225" s="163">
        <v>-14844.12</v>
      </c>
      <c r="BV225" s="163">
        <v>-29292.59</v>
      </c>
      <c r="BW225" s="163">
        <v>-14964.21</v>
      </c>
      <c r="BX225" s="163">
        <v>478.45</v>
      </c>
      <c r="BY225" s="163">
        <v>-14776.58</v>
      </c>
      <c r="BZ225" s="163">
        <v>329.9</v>
      </c>
      <c r="CA225" s="163">
        <v>0</v>
      </c>
      <c r="CB225" s="163">
        <v>-15426.59</v>
      </c>
      <c r="CC225" s="163">
        <v>-73</v>
      </c>
      <c r="CD225" s="163">
        <v>0</v>
      </c>
      <c r="CE225" s="163">
        <v>-69.16</v>
      </c>
      <c r="CF225" s="163">
        <v>-124.77</v>
      </c>
      <c r="CG225" s="163">
        <v>0</v>
      </c>
      <c r="CH225" s="163">
        <v>-40.46</v>
      </c>
      <c r="CI225" s="163">
        <v>-106.81</v>
      </c>
      <c r="CJ225" s="163">
        <v>0</v>
      </c>
      <c r="CK225" s="163">
        <v>-6.18</v>
      </c>
      <c r="CL225" s="163">
        <v>-41.48</v>
      </c>
      <c r="CM225" s="163">
        <v>0</v>
      </c>
      <c r="CN225" s="163">
        <v>26.68</v>
      </c>
      <c r="CO225" s="163">
        <v>51.16</v>
      </c>
      <c r="CP225" s="163">
        <v>71.23</v>
      </c>
      <c r="CQ225" s="163">
        <v>97.9</v>
      </c>
      <c r="CR225" s="163">
        <v>170.8</v>
      </c>
      <c r="CS225" s="163">
        <v>65.03</v>
      </c>
      <c r="CT225" s="163">
        <v>-14389.96</v>
      </c>
      <c r="CU225" s="163">
        <v>-14269.9</v>
      </c>
      <c r="CV225" s="163">
        <v>434.73</v>
      </c>
      <c r="CW225" s="163">
        <v>-17565.66</v>
      </c>
      <c r="CX225" s="163">
        <v>-34995.379999999997</v>
      </c>
      <c r="CY225" s="163">
        <v>-52774.8</v>
      </c>
      <c r="CZ225" s="163">
        <v>-70382.92</v>
      </c>
      <c r="DA225" s="163">
        <v>-17364.259999999998</v>
      </c>
      <c r="DB225" s="163">
        <v>-17333.740000000002</v>
      </c>
      <c r="DC225" s="163">
        <v>477.52</v>
      </c>
      <c r="DD225" s="163">
        <v>627.21</v>
      </c>
      <c r="DE225" s="163">
        <v>-17226.11</v>
      </c>
      <c r="DF225" s="163">
        <f>VLOOKUP($C225,'[3]BS ACC'!$C$5:$DH$1006,108,FALSE)</f>
        <v>-35185.01</v>
      </c>
      <c r="DG225" s="163">
        <f>VLOOKUP($C225,'[3]BS ACC'!$C$5:$DH$1006,109,FALSE)</f>
        <v>-17279.62</v>
      </c>
      <c r="DH225" s="163">
        <f>VLOOKUP($C225,'[3]BS ACC'!$C$5:$DH$1006,110,FALSE)</f>
        <v>-17234.8</v>
      </c>
    </row>
    <row r="226" spans="1:112">
      <c r="A226" s="350" t="str">
        <f t="shared" si="3"/>
        <v>2320016</v>
      </c>
      <c r="B226" s="350" t="s">
        <v>1640</v>
      </c>
      <c r="C226" s="335" t="s">
        <v>752</v>
      </c>
      <c r="D226" s="340">
        <v>13.2</v>
      </c>
      <c r="E226" s="340">
        <v>26.4</v>
      </c>
      <c r="F226" s="340">
        <v>39.6</v>
      </c>
      <c r="G226" s="340">
        <v>39.6</v>
      </c>
      <c r="H226" s="340">
        <v>39.6</v>
      </c>
      <c r="I226" s="340">
        <v>-586</v>
      </c>
      <c r="J226" s="340">
        <v>39.6</v>
      </c>
      <c r="K226" s="340">
        <v>39.6</v>
      </c>
      <c r="L226" s="340">
        <v>39.6</v>
      </c>
      <c r="M226" s="340">
        <v>39.6</v>
      </c>
      <c r="N226" s="340">
        <v>39.6</v>
      </c>
      <c r="O226" s="340">
        <v>-586</v>
      </c>
      <c r="P226" s="341">
        <v>0</v>
      </c>
      <c r="Q226" s="163">
        <v>36.4</v>
      </c>
      <c r="R226" s="163">
        <v>112.4</v>
      </c>
      <c r="S226" s="163">
        <v>112.4</v>
      </c>
      <c r="T226" s="163">
        <v>112.4</v>
      </c>
      <c r="U226" s="163">
        <v>124.4</v>
      </c>
      <c r="V226" s="163">
        <v>136.4</v>
      </c>
      <c r="W226" s="163">
        <v>-385.4</v>
      </c>
      <c r="X226" s="163">
        <v>112.4</v>
      </c>
      <c r="Y226" s="163">
        <v>128</v>
      </c>
      <c r="Z226" s="163">
        <v>128</v>
      </c>
      <c r="AA226" s="163">
        <v>-409.4</v>
      </c>
      <c r="AB226" s="163">
        <v>96.8</v>
      </c>
      <c r="AC226" s="163">
        <v>-425</v>
      </c>
      <c r="AD226" s="163">
        <v>46.8</v>
      </c>
      <c r="AE226" s="163">
        <v>99.7</v>
      </c>
      <c r="AF226" s="163">
        <v>99.7</v>
      </c>
      <c r="AG226" s="163">
        <v>99.7</v>
      </c>
      <c r="AH226" s="163">
        <v>99.7</v>
      </c>
      <c r="AI226" s="163">
        <v>99.7</v>
      </c>
      <c r="AJ226" s="163">
        <v>142.69999999999999</v>
      </c>
      <c r="AK226" s="163">
        <v>185.7</v>
      </c>
      <c r="AL226" s="163">
        <v>-343.1</v>
      </c>
      <c r="AM226" s="163">
        <v>-413.3</v>
      </c>
      <c r="AN226" s="163">
        <v>-372.4</v>
      </c>
      <c r="AO226" s="163">
        <v>-372.4</v>
      </c>
      <c r="AP226" s="163">
        <v>-367.6</v>
      </c>
      <c r="AQ226" s="163">
        <v>-372.4</v>
      </c>
      <c r="AR226" s="163">
        <v>-351.1</v>
      </c>
      <c r="AS226" s="163">
        <v>-372.4</v>
      </c>
      <c r="AT226" s="163">
        <v>-372.4</v>
      </c>
      <c r="AU226" s="163">
        <v>-803.1</v>
      </c>
      <c r="AV226" s="163">
        <v>-772</v>
      </c>
      <c r="AW226" s="163">
        <v>-1202.7</v>
      </c>
      <c r="AX226" s="163">
        <v>-1218.4000000000001</v>
      </c>
      <c r="AY226" s="163">
        <v>-341.3</v>
      </c>
      <c r="AZ226" s="163">
        <v>-314.5</v>
      </c>
      <c r="BA226" s="163">
        <v>-283.2</v>
      </c>
      <c r="BB226" s="163">
        <v>-283.2</v>
      </c>
      <c r="BC226" s="163">
        <v>-283.2</v>
      </c>
      <c r="BD226" s="163">
        <v>-283.2</v>
      </c>
      <c r="BE226" s="163">
        <v>-283.2</v>
      </c>
      <c r="BF226" s="163">
        <v>-283.2</v>
      </c>
      <c r="BG226" s="163">
        <v>-309.14999999999998</v>
      </c>
      <c r="BH226" s="163">
        <v>-361.05</v>
      </c>
      <c r="BI226" s="163">
        <v>-331.45</v>
      </c>
      <c r="BJ226" s="163">
        <v>-331.45</v>
      </c>
      <c r="BK226" s="163">
        <v>-331.45</v>
      </c>
      <c r="BL226" s="163">
        <v>0</v>
      </c>
      <c r="BM226" s="163">
        <v>0</v>
      </c>
      <c r="BN226" s="163">
        <v>0</v>
      </c>
      <c r="BO226" s="163">
        <v>0</v>
      </c>
      <c r="BP226" s="163">
        <v>0</v>
      </c>
      <c r="BQ226" s="163">
        <v>0</v>
      </c>
      <c r="BR226" s="163">
        <v>-489.3</v>
      </c>
      <c r="BS226" s="163">
        <v>0</v>
      </c>
      <c r="BT226" s="163">
        <v>0</v>
      </c>
      <c r="BU226" s="163">
        <v>-64.7</v>
      </c>
      <c r="BV226" s="163">
        <v>-27.2</v>
      </c>
      <c r="BW226" s="163">
        <v>-27.2</v>
      </c>
      <c r="BX226" s="163">
        <v>0</v>
      </c>
      <c r="BY226" s="163">
        <v>0</v>
      </c>
      <c r="BZ226" s="163">
        <v>0</v>
      </c>
      <c r="CA226" s="163">
        <v>-647.5</v>
      </c>
      <c r="CB226" s="163">
        <v>-647.5</v>
      </c>
      <c r="CC226" s="163">
        <v>-591.6</v>
      </c>
      <c r="CD226" s="163">
        <v>-591.6</v>
      </c>
      <c r="CE226" s="163">
        <v>-591.6</v>
      </c>
      <c r="CF226" s="163">
        <v>-591.6</v>
      </c>
      <c r="CG226" s="163">
        <v>-591.6</v>
      </c>
      <c r="CH226" s="163">
        <v>-1291.9000000000001</v>
      </c>
      <c r="CI226" s="163">
        <v>-1275.7</v>
      </c>
      <c r="CJ226" s="163">
        <v>-606.5</v>
      </c>
      <c r="CK226" s="163">
        <v>-1290.5999999999999</v>
      </c>
      <c r="CL226" s="163">
        <v>-1238.4000000000001</v>
      </c>
      <c r="CM226" s="163">
        <v>-585.9</v>
      </c>
      <c r="CN226" s="163">
        <v>-1244.0999999999999</v>
      </c>
      <c r="CO226" s="163">
        <v>-1244.0999999999999</v>
      </c>
      <c r="CP226" s="163">
        <v>-1244.0999999999999</v>
      </c>
      <c r="CQ226" s="163">
        <v>-596.6</v>
      </c>
      <c r="CR226" s="163">
        <v>-1254.8</v>
      </c>
      <c r="CS226" s="163">
        <v>-1254.8</v>
      </c>
      <c r="CT226" s="163">
        <v>-1254.8</v>
      </c>
      <c r="CU226" s="163">
        <v>-1913</v>
      </c>
      <c r="CV226" s="163">
        <v>-1171.5</v>
      </c>
      <c r="CW226" s="163">
        <v>-1088.2</v>
      </c>
      <c r="CX226" s="163">
        <v>-1004.9</v>
      </c>
      <c r="CY226" s="163">
        <v>4182.6000000000004</v>
      </c>
      <c r="CZ226" s="163">
        <v>4182.6000000000004</v>
      </c>
      <c r="DA226" s="163">
        <v>4182.6000000000004</v>
      </c>
      <c r="DB226" s="163">
        <v>5907.3</v>
      </c>
      <c r="DC226" s="163">
        <v>5332.4</v>
      </c>
      <c r="DD226" s="163">
        <v>4757.5</v>
      </c>
      <c r="DE226" s="163">
        <v>4182.6000000000004</v>
      </c>
      <c r="DF226" s="163">
        <f>VLOOKUP($C226,'[3]BS ACC'!$C$5:$DH$1006,108,FALSE)</f>
        <v>3607.7</v>
      </c>
      <c r="DG226" s="163">
        <f>VLOOKUP($C226,'[3]BS ACC'!$C$5:$DH$1006,109,FALSE)</f>
        <v>4182.6000000000004</v>
      </c>
      <c r="DH226" s="163">
        <f>VLOOKUP($C226,'[3]BS ACC'!$C$5:$DH$1006,110,FALSE)</f>
        <v>4182.6000000000004</v>
      </c>
    </row>
    <row r="227" spans="1:112">
      <c r="A227" s="350" t="str">
        <f t="shared" si="3"/>
        <v>2320017</v>
      </c>
      <c r="B227" s="350" t="s">
        <v>1641</v>
      </c>
      <c r="C227" s="335" t="s">
        <v>753</v>
      </c>
      <c r="D227" s="340">
        <v>0</v>
      </c>
      <c r="E227" s="340">
        <v>-2053.34</v>
      </c>
      <c r="F227" s="340">
        <v>-3581.68</v>
      </c>
      <c r="G227" s="340">
        <v>0</v>
      </c>
      <c r="H227" s="340">
        <v>-1514.2</v>
      </c>
      <c r="I227" s="340">
        <v>-3030.9</v>
      </c>
      <c r="J227" s="340">
        <v>0</v>
      </c>
      <c r="K227" s="340">
        <v>-1493.7</v>
      </c>
      <c r="L227" s="340">
        <v>-2979.4</v>
      </c>
      <c r="M227" s="340">
        <v>0</v>
      </c>
      <c r="N227" s="340">
        <v>-1478.7</v>
      </c>
      <c r="O227" s="340">
        <v>-2946.99</v>
      </c>
      <c r="P227" s="341">
        <v>0</v>
      </c>
      <c r="Q227" s="163">
        <v>0</v>
      </c>
      <c r="R227" s="163">
        <v>0</v>
      </c>
      <c r="S227" s="163">
        <v>0</v>
      </c>
      <c r="T227" s="163">
        <v>0</v>
      </c>
      <c r="U227" s="163">
        <v>0</v>
      </c>
      <c r="V227" s="163">
        <v>0</v>
      </c>
      <c r="W227" s="163">
        <v>0</v>
      </c>
      <c r="X227" s="163">
        <v>0</v>
      </c>
      <c r="Y227" s="163">
        <v>0</v>
      </c>
      <c r="Z227" s="163">
        <v>0</v>
      </c>
      <c r="AA227" s="163">
        <v>0</v>
      </c>
      <c r="AB227" s="163">
        <v>0</v>
      </c>
      <c r="AC227" s="163">
        <v>0</v>
      </c>
      <c r="AD227" s="163">
        <v>0</v>
      </c>
      <c r="AE227" s="163">
        <v>0</v>
      </c>
      <c r="AF227" s="163">
        <v>0</v>
      </c>
      <c r="AG227" s="163">
        <v>0</v>
      </c>
      <c r="AH227" s="163">
        <v>0</v>
      </c>
      <c r="AI227" s="163">
        <v>0</v>
      </c>
      <c r="AJ227" s="163">
        <v>0</v>
      </c>
      <c r="AK227" s="163">
        <v>0</v>
      </c>
      <c r="AL227" s="163">
        <v>0</v>
      </c>
      <c r="AM227" s="163">
        <v>0</v>
      </c>
      <c r="AN227" s="163">
        <v>0</v>
      </c>
      <c r="AO227" s="163">
        <v>0</v>
      </c>
      <c r="AP227" s="163">
        <v>0</v>
      </c>
      <c r="AQ227" s="163">
        <v>0</v>
      </c>
      <c r="AR227" s="163">
        <v>0</v>
      </c>
      <c r="AS227" s="163">
        <v>0</v>
      </c>
      <c r="AT227" s="163">
        <v>0</v>
      </c>
      <c r="AU227" s="163">
        <v>0</v>
      </c>
      <c r="AV227" s="163">
        <v>0</v>
      </c>
      <c r="AW227" s="163">
        <v>0</v>
      </c>
      <c r="AX227" s="163">
        <v>0</v>
      </c>
      <c r="AY227" s="163">
        <v>0</v>
      </c>
      <c r="AZ227" s="163">
        <v>0</v>
      </c>
      <c r="BA227" s="163">
        <v>0</v>
      </c>
      <c r="BB227" s="163">
        <v>0</v>
      </c>
      <c r="BC227" s="163">
        <v>0</v>
      </c>
      <c r="BD227" s="163">
        <v>0</v>
      </c>
      <c r="BE227" s="163">
        <v>0</v>
      </c>
      <c r="BF227" s="163">
        <v>0</v>
      </c>
      <c r="BG227" s="163">
        <v>0</v>
      </c>
      <c r="BH227" s="163">
        <v>0</v>
      </c>
      <c r="BI227" s="163">
        <v>0</v>
      </c>
      <c r="BJ227" s="163">
        <v>0</v>
      </c>
      <c r="BK227" s="163">
        <v>0</v>
      </c>
      <c r="BL227" s="163">
        <v>0</v>
      </c>
      <c r="BM227" s="163">
        <v>0</v>
      </c>
      <c r="BN227" s="163">
        <v>0</v>
      </c>
      <c r="BO227" s="163">
        <v>0</v>
      </c>
      <c r="BP227" s="163">
        <v>0</v>
      </c>
      <c r="BQ227" s="163">
        <v>0</v>
      </c>
      <c r="BR227" s="163">
        <v>0</v>
      </c>
      <c r="BS227" s="163">
        <v>0</v>
      </c>
      <c r="BT227" s="163">
        <v>0</v>
      </c>
      <c r="BU227" s="163">
        <v>0</v>
      </c>
      <c r="BV227" s="163">
        <v>0</v>
      </c>
      <c r="BW227" s="163">
        <v>0</v>
      </c>
      <c r="BX227" s="163">
        <v>0</v>
      </c>
      <c r="BY227" s="163">
        <v>0</v>
      </c>
      <c r="BZ227" s="163">
        <v>0</v>
      </c>
      <c r="CA227" s="163">
        <v>0</v>
      </c>
      <c r="CB227" s="163">
        <v>0</v>
      </c>
      <c r="CC227" s="163">
        <v>0</v>
      </c>
      <c r="CD227" s="163">
        <v>0</v>
      </c>
      <c r="CE227" s="163">
        <v>0</v>
      </c>
      <c r="CF227" s="163">
        <v>0</v>
      </c>
      <c r="CG227" s="163">
        <v>0</v>
      </c>
      <c r="CH227" s="163">
        <v>0</v>
      </c>
      <c r="CI227" s="163">
        <v>0</v>
      </c>
      <c r="CJ227" s="163">
        <v>0</v>
      </c>
      <c r="CK227" s="163">
        <v>0</v>
      </c>
      <c r="CL227" s="163">
        <v>0</v>
      </c>
      <c r="CM227" s="163">
        <v>0</v>
      </c>
      <c r="CN227" s="163">
        <v>0</v>
      </c>
      <c r="CO227" s="163">
        <v>0</v>
      </c>
      <c r="CP227" s="163">
        <v>0</v>
      </c>
      <c r="CQ227" s="163">
        <v>0</v>
      </c>
      <c r="CR227" s="163">
        <v>0</v>
      </c>
      <c r="CS227" s="163">
        <v>0</v>
      </c>
      <c r="CT227" s="163">
        <v>0</v>
      </c>
      <c r="CU227" s="163">
        <v>0</v>
      </c>
      <c r="CV227" s="163">
        <v>0</v>
      </c>
      <c r="CW227" s="163">
        <v>0</v>
      </c>
      <c r="CX227" s="163">
        <v>0</v>
      </c>
      <c r="CY227" s="163">
        <v>0</v>
      </c>
      <c r="CZ227" s="163">
        <v>0</v>
      </c>
      <c r="DA227" s="163">
        <v>0</v>
      </c>
      <c r="DB227" s="163">
        <v>0</v>
      </c>
      <c r="DC227" s="163">
        <v>0</v>
      </c>
      <c r="DD227" s="163">
        <v>0</v>
      </c>
      <c r="DE227" s="163">
        <v>0</v>
      </c>
      <c r="DF227" s="163">
        <f>VLOOKUP($C227,'[3]BS ACC'!$C$5:$DH$1006,108,FALSE)</f>
        <v>0</v>
      </c>
      <c r="DG227" s="163">
        <f>VLOOKUP($C227,'[3]BS ACC'!$C$5:$DH$1006,109,FALSE)</f>
        <v>0</v>
      </c>
      <c r="DH227" s="163">
        <f>VLOOKUP($C227,'[3]BS ACC'!$C$5:$DH$1006,110,FALSE)</f>
        <v>0</v>
      </c>
    </row>
    <row r="228" spans="1:112">
      <c r="A228" s="350" t="str">
        <f t="shared" si="3"/>
        <v>2320018</v>
      </c>
      <c r="B228" s="350" t="s">
        <v>1642</v>
      </c>
      <c r="C228" s="335" t="s">
        <v>754</v>
      </c>
      <c r="D228" s="340">
        <v>0</v>
      </c>
      <c r="E228" s="340">
        <v>0</v>
      </c>
      <c r="F228" s="340">
        <v>0</v>
      </c>
      <c r="G228" s="340">
        <v>0</v>
      </c>
      <c r="H228" s="340">
        <v>0</v>
      </c>
      <c r="I228" s="340">
        <v>0</v>
      </c>
      <c r="J228" s="340">
        <v>0</v>
      </c>
      <c r="K228" s="340">
        <v>0</v>
      </c>
      <c r="L228" s="340">
        <v>0</v>
      </c>
      <c r="M228" s="340">
        <v>0</v>
      </c>
      <c r="N228" s="340">
        <v>0</v>
      </c>
      <c r="O228" s="340">
        <v>0</v>
      </c>
      <c r="P228" s="341">
        <v>0</v>
      </c>
      <c r="Q228" s="163">
        <v>0</v>
      </c>
      <c r="R228" s="163">
        <v>0</v>
      </c>
      <c r="S228" s="163">
        <v>0</v>
      </c>
      <c r="T228" s="163">
        <v>0</v>
      </c>
      <c r="U228" s="163">
        <v>-219.87</v>
      </c>
      <c r="V228" s="163">
        <v>0</v>
      </c>
      <c r="W228" s="163">
        <v>0</v>
      </c>
      <c r="X228" s="163">
        <v>0</v>
      </c>
      <c r="Y228" s="163">
        <v>0</v>
      </c>
      <c r="Z228" s="163">
        <v>0</v>
      </c>
      <c r="AA228" s="163">
        <v>0</v>
      </c>
      <c r="AB228" s="163">
        <v>0</v>
      </c>
      <c r="AC228" s="163">
        <v>0</v>
      </c>
      <c r="AD228" s="163">
        <v>0</v>
      </c>
      <c r="AE228" s="163">
        <v>0</v>
      </c>
      <c r="AF228" s="163">
        <v>0</v>
      </c>
      <c r="AG228" s="163">
        <v>0</v>
      </c>
      <c r="AH228" s="163">
        <v>0</v>
      </c>
      <c r="AI228" s="163">
        <v>0</v>
      </c>
      <c r="AJ228" s="163">
        <v>0</v>
      </c>
      <c r="AK228" s="163">
        <v>0</v>
      </c>
      <c r="AL228" s="163">
        <v>0</v>
      </c>
      <c r="AM228" s="163">
        <v>0</v>
      </c>
      <c r="AN228" s="163">
        <v>0</v>
      </c>
      <c r="AO228" s="163">
        <v>0</v>
      </c>
      <c r="AP228" s="163">
        <v>0</v>
      </c>
      <c r="AQ228" s="163">
        <v>0</v>
      </c>
      <c r="AR228" s="163">
        <v>0</v>
      </c>
      <c r="AS228" s="163">
        <v>0</v>
      </c>
      <c r="AT228" s="163">
        <v>0</v>
      </c>
      <c r="AU228" s="163">
        <v>0</v>
      </c>
      <c r="AV228" s="163">
        <v>0</v>
      </c>
      <c r="AW228" s="163">
        <v>0</v>
      </c>
      <c r="AX228" s="163">
        <v>0</v>
      </c>
      <c r="AY228" s="163">
        <v>0</v>
      </c>
      <c r="AZ228" s="163">
        <v>0</v>
      </c>
      <c r="BA228" s="163">
        <v>0</v>
      </c>
      <c r="BB228" s="163">
        <v>0</v>
      </c>
      <c r="BC228" s="163">
        <v>0</v>
      </c>
      <c r="BD228" s="163">
        <v>0</v>
      </c>
      <c r="BE228" s="163">
        <v>0</v>
      </c>
      <c r="BF228" s="163">
        <v>0</v>
      </c>
      <c r="BG228" s="163">
        <v>0</v>
      </c>
      <c r="BH228" s="163">
        <v>0</v>
      </c>
      <c r="BI228" s="163">
        <v>0</v>
      </c>
      <c r="BJ228" s="163">
        <v>0</v>
      </c>
      <c r="BK228" s="163">
        <v>0</v>
      </c>
      <c r="BL228" s="163">
        <v>0</v>
      </c>
      <c r="BM228" s="163">
        <v>0</v>
      </c>
      <c r="BN228" s="163">
        <v>0</v>
      </c>
      <c r="BO228" s="163">
        <v>0</v>
      </c>
      <c r="BP228" s="163">
        <v>0</v>
      </c>
      <c r="BQ228" s="163">
        <v>0</v>
      </c>
      <c r="BR228" s="163">
        <v>0</v>
      </c>
      <c r="BS228" s="163">
        <v>0</v>
      </c>
      <c r="BT228" s="163">
        <v>0</v>
      </c>
      <c r="BU228" s="163">
        <v>0</v>
      </c>
      <c r="BV228" s="163">
        <v>0</v>
      </c>
      <c r="BW228" s="163">
        <v>0</v>
      </c>
      <c r="BX228" s="163">
        <v>0</v>
      </c>
      <c r="BY228" s="163">
        <v>0</v>
      </c>
      <c r="BZ228" s="163">
        <v>-723.76</v>
      </c>
      <c r="CA228" s="163">
        <v>0</v>
      </c>
      <c r="CB228" s="163">
        <v>0</v>
      </c>
      <c r="CC228" s="163">
        <v>0</v>
      </c>
      <c r="CD228" s="163">
        <v>0</v>
      </c>
      <c r="CE228" s="163">
        <v>0</v>
      </c>
      <c r="CF228" s="163">
        <v>0</v>
      </c>
      <c r="CG228" s="163">
        <v>0</v>
      </c>
      <c r="CH228" s="163">
        <v>0</v>
      </c>
      <c r="CI228" s="163">
        <v>0</v>
      </c>
      <c r="CJ228" s="163">
        <v>0</v>
      </c>
      <c r="CK228" s="163">
        <v>-355.28</v>
      </c>
      <c r="CL228" s="163">
        <v>0</v>
      </c>
      <c r="CM228" s="163">
        <v>0</v>
      </c>
      <c r="CN228" s="163">
        <v>0</v>
      </c>
      <c r="CO228" s="163">
        <v>0</v>
      </c>
      <c r="CP228" s="163">
        <v>0</v>
      </c>
      <c r="CQ228" s="163">
        <v>0</v>
      </c>
      <c r="CR228" s="163">
        <v>0</v>
      </c>
      <c r="CS228" s="163">
        <v>0</v>
      </c>
      <c r="CT228" s="163">
        <v>0</v>
      </c>
      <c r="CU228" s="163">
        <v>0</v>
      </c>
      <c r="CV228" s="163">
        <v>0</v>
      </c>
      <c r="CW228" s="163">
        <v>0</v>
      </c>
      <c r="CX228" s="163">
        <v>0</v>
      </c>
      <c r="CY228" s="163">
        <v>-202.54</v>
      </c>
      <c r="CZ228" s="163">
        <v>0</v>
      </c>
      <c r="DA228" s="163">
        <v>0</v>
      </c>
      <c r="DB228" s="163">
        <v>0</v>
      </c>
      <c r="DC228" s="163">
        <v>0</v>
      </c>
      <c r="DD228" s="163">
        <v>0</v>
      </c>
      <c r="DE228" s="163">
        <v>0</v>
      </c>
      <c r="DF228" s="163">
        <f>VLOOKUP($C228,'[3]BS ACC'!$C$5:$DH$1006,108,FALSE)</f>
        <v>0</v>
      </c>
      <c r="DG228" s="163">
        <f>VLOOKUP($C228,'[3]BS ACC'!$C$5:$DH$1006,109,FALSE)</f>
        <v>0</v>
      </c>
      <c r="DH228" s="163">
        <f>VLOOKUP($C228,'[3]BS ACC'!$C$5:$DH$1006,110,FALSE)</f>
        <v>0</v>
      </c>
    </row>
    <row r="229" spans="1:112">
      <c r="A229" s="350" t="str">
        <f t="shared" si="3"/>
        <v>2320019</v>
      </c>
      <c r="B229" s="350" t="s">
        <v>1643</v>
      </c>
      <c r="C229" s="335" t="s">
        <v>755</v>
      </c>
      <c r="D229" s="340">
        <v>0</v>
      </c>
      <c r="E229" s="340">
        <v>0</v>
      </c>
      <c r="F229" s="340">
        <v>0</v>
      </c>
      <c r="G229" s="340">
        <v>0</v>
      </c>
      <c r="H229" s="340">
        <v>0</v>
      </c>
      <c r="I229" s="340">
        <v>0</v>
      </c>
      <c r="J229" s="340">
        <v>0</v>
      </c>
      <c r="K229" s="340">
        <v>0</v>
      </c>
      <c r="L229" s="340">
        <v>0</v>
      </c>
      <c r="M229" s="340">
        <v>0</v>
      </c>
      <c r="N229" s="340">
        <v>0</v>
      </c>
      <c r="O229" s="340">
        <v>0</v>
      </c>
      <c r="P229" s="341">
        <v>0</v>
      </c>
      <c r="Q229" s="163">
        <v>0</v>
      </c>
      <c r="R229" s="163">
        <v>0</v>
      </c>
      <c r="S229" s="163">
        <v>0</v>
      </c>
      <c r="T229" s="163">
        <v>0</v>
      </c>
      <c r="U229" s="163">
        <v>0</v>
      </c>
      <c r="V229" s="163">
        <v>0</v>
      </c>
      <c r="W229" s="163">
        <v>0</v>
      </c>
      <c r="X229" s="163">
        <v>0</v>
      </c>
      <c r="Y229" s="163">
        <v>0</v>
      </c>
      <c r="Z229" s="163">
        <v>0</v>
      </c>
      <c r="AA229" s="163">
        <v>0</v>
      </c>
      <c r="AB229" s="163">
        <v>0</v>
      </c>
      <c r="AC229" s="163">
        <v>0</v>
      </c>
      <c r="AD229" s="163">
        <v>0</v>
      </c>
      <c r="AE229" s="163">
        <v>0</v>
      </c>
      <c r="AF229" s="163">
        <v>0</v>
      </c>
      <c r="AG229" s="163">
        <v>0</v>
      </c>
      <c r="AH229" s="163">
        <v>0</v>
      </c>
      <c r="AI229" s="163">
        <v>0</v>
      </c>
      <c r="AJ229" s="163">
        <v>0</v>
      </c>
      <c r="AK229" s="163">
        <v>0</v>
      </c>
      <c r="AL229" s="163">
        <v>0</v>
      </c>
      <c r="AM229" s="163">
        <v>0</v>
      </c>
      <c r="AN229" s="163">
        <v>0</v>
      </c>
      <c r="AO229" s="163">
        <v>0</v>
      </c>
      <c r="AP229" s="163">
        <v>0</v>
      </c>
      <c r="AQ229" s="163">
        <v>0</v>
      </c>
      <c r="AR229" s="163">
        <v>0</v>
      </c>
      <c r="AS229" s="163">
        <v>0</v>
      </c>
      <c r="AT229" s="163">
        <v>0</v>
      </c>
      <c r="AU229" s="163">
        <v>0</v>
      </c>
      <c r="AV229" s="163">
        <v>0</v>
      </c>
      <c r="AW229" s="163">
        <v>0</v>
      </c>
      <c r="AX229" s="163">
        <v>0</v>
      </c>
      <c r="AY229" s="163">
        <v>0</v>
      </c>
      <c r="AZ229" s="163">
        <v>0</v>
      </c>
      <c r="BA229" s="163">
        <v>0</v>
      </c>
      <c r="BB229" s="163">
        <v>0</v>
      </c>
      <c r="BC229" s="163">
        <v>0</v>
      </c>
      <c r="BD229" s="163">
        <v>0</v>
      </c>
      <c r="BE229" s="163">
        <v>0</v>
      </c>
      <c r="BF229" s="163">
        <v>0</v>
      </c>
      <c r="BG229" s="163">
        <v>0</v>
      </c>
      <c r="BH229" s="163">
        <v>0</v>
      </c>
      <c r="BI229" s="163">
        <v>0</v>
      </c>
      <c r="BJ229" s="163">
        <v>0</v>
      </c>
      <c r="BK229" s="163">
        <v>0</v>
      </c>
      <c r="BL229" s="163">
        <v>0</v>
      </c>
      <c r="BM229" s="163">
        <v>0</v>
      </c>
      <c r="BN229" s="163">
        <v>0</v>
      </c>
      <c r="BO229" s="163">
        <v>0</v>
      </c>
      <c r="BP229" s="163">
        <v>0</v>
      </c>
      <c r="BQ229" s="163">
        <v>0</v>
      </c>
      <c r="BR229" s="163">
        <v>0</v>
      </c>
      <c r="BS229" s="163">
        <v>0</v>
      </c>
      <c r="BT229" s="163">
        <v>0</v>
      </c>
      <c r="BU229" s="163">
        <v>0</v>
      </c>
      <c r="BV229" s="163">
        <v>0</v>
      </c>
      <c r="BW229" s="163">
        <v>0</v>
      </c>
      <c r="BX229" s="163">
        <v>0</v>
      </c>
      <c r="BY229" s="163">
        <v>-5</v>
      </c>
      <c r="BZ229" s="163">
        <v>0</v>
      </c>
      <c r="CA229" s="163">
        <v>0</v>
      </c>
      <c r="CB229" s="163">
        <v>0</v>
      </c>
      <c r="CC229" s="163">
        <v>0</v>
      </c>
      <c r="CD229" s="163">
        <v>0</v>
      </c>
      <c r="CE229" s="163">
        <v>0</v>
      </c>
      <c r="CF229" s="163">
        <v>0</v>
      </c>
      <c r="CG229" s="163">
        <v>0</v>
      </c>
      <c r="CH229" s="163">
        <v>0</v>
      </c>
      <c r="CI229" s="163">
        <v>0</v>
      </c>
      <c r="CJ229" s="163">
        <v>0</v>
      </c>
      <c r="CK229" s="163">
        <v>0</v>
      </c>
      <c r="CL229" s="163">
        <v>0</v>
      </c>
      <c r="CM229" s="163">
        <v>0</v>
      </c>
      <c r="CN229" s="163">
        <v>0</v>
      </c>
      <c r="CO229" s="163">
        <v>0</v>
      </c>
      <c r="CP229" s="163">
        <v>0</v>
      </c>
      <c r="CQ229" s="163">
        <v>0</v>
      </c>
      <c r="CR229" s="163">
        <v>0</v>
      </c>
      <c r="CS229" s="163">
        <v>0</v>
      </c>
      <c r="CT229" s="163">
        <v>0</v>
      </c>
      <c r="CU229" s="163">
        <v>0</v>
      </c>
      <c r="CV229" s="163">
        <v>0</v>
      </c>
      <c r="CW229" s="163">
        <v>0</v>
      </c>
      <c r="CX229" s="163">
        <v>0</v>
      </c>
      <c r="CY229" s="163">
        <v>0</v>
      </c>
      <c r="CZ229" s="163">
        <v>0</v>
      </c>
      <c r="DA229" s="163">
        <v>0</v>
      </c>
      <c r="DB229" s="163">
        <v>0</v>
      </c>
      <c r="DC229" s="163">
        <v>0</v>
      </c>
      <c r="DD229" s="163">
        <v>0</v>
      </c>
      <c r="DE229" s="163">
        <v>0</v>
      </c>
      <c r="DF229" s="163">
        <f>VLOOKUP($C229,'[3]BS ACC'!$C$5:$DH$1006,108,FALSE)</f>
        <v>0</v>
      </c>
      <c r="DG229" s="163">
        <f>VLOOKUP($C229,'[3]BS ACC'!$C$5:$DH$1006,109,FALSE)</f>
        <v>0</v>
      </c>
      <c r="DH229" s="163">
        <f>VLOOKUP($C229,'[3]BS ACC'!$C$5:$DH$1006,110,FALSE)</f>
        <v>0</v>
      </c>
    </row>
    <row r="230" spans="1:112">
      <c r="A230" s="350" t="str">
        <f t="shared" si="3"/>
        <v>2320020</v>
      </c>
      <c r="B230" s="350" t="s">
        <v>918</v>
      </c>
      <c r="C230" s="335" t="s">
        <v>756</v>
      </c>
      <c r="D230" s="340">
        <v>376.08</v>
      </c>
      <c r="E230" s="340">
        <v>376.08</v>
      </c>
      <c r="F230" s="340">
        <v>376.08</v>
      </c>
      <c r="G230" s="340">
        <v>376.08</v>
      </c>
      <c r="H230" s="340">
        <v>9199.58</v>
      </c>
      <c r="I230" s="340">
        <v>376.08</v>
      </c>
      <c r="J230" s="340">
        <v>376.08</v>
      </c>
      <c r="K230" s="340">
        <v>376.08</v>
      </c>
      <c r="L230" s="340">
        <v>409.41</v>
      </c>
      <c r="M230" s="340">
        <v>376.08</v>
      </c>
      <c r="N230" s="340">
        <v>376.08</v>
      </c>
      <c r="O230" s="340">
        <v>376.08</v>
      </c>
      <c r="P230" s="341">
        <v>376.08</v>
      </c>
      <c r="Q230" s="163">
        <v>376.08</v>
      </c>
      <c r="R230" s="163">
        <v>376.08</v>
      </c>
      <c r="S230" s="163">
        <v>376.08</v>
      </c>
      <c r="T230" s="163">
        <v>376.08</v>
      </c>
      <c r="U230" s="163">
        <v>376.08</v>
      </c>
      <c r="V230" s="163">
        <v>376.08</v>
      </c>
      <c r="W230" s="163">
        <v>376.08</v>
      </c>
      <c r="X230" s="163">
        <v>376.08</v>
      </c>
      <c r="Y230" s="163">
        <v>9368.15</v>
      </c>
      <c r="Z230" s="163">
        <v>376.08</v>
      </c>
      <c r="AA230" s="163">
        <v>376.08</v>
      </c>
      <c r="AB230" s="163">
        <v>376.08</v>
      </c>
      <c r="AC230" s="163">
        <v>376.08</v>
      </c>
      <c r="AD230" s="163">
        <v>376.08</v>
      </c>
      <c r="AE230" s="163">
        <v>376.08</v>
      </c>
      <c r="AF230" s="163">
        <v>376.08</v>
      </c>
      <c r="AG230" s="163">
        <v>376.08</v>
      </c>
      <c r="AH230" s="163">
        <v>376.08</v>
      </c>
      <c r="AI230" s="163">
        <v>376.08</v>
      </c>
      <c r="AJ230" s="163">
        <v>9786.98</v>
      </c>
      <c r="AK230" s="163">
        <v>376.08</v>
      </c>
      <c r="AL230" s="163">
        <v>376.08</v>
      </c>
      <c r="AM230" s="163">
        <v>376.08</v>
      </c>
      <c r="AN230" s="163">
        <v>376.08</v>
      </c>
      <c r="AO230" s="163">
        <v>376.08</v>
      </c>
      <c r="AP230" s="163">
        <v>376.08</v>
      </c>
      <c r="AQ230" s="163">
        <v>376.08</v>
      </c>
      <c r="AR230" s="163">
        <v>376.08</v>
      </c>
      <c r="AS230" s="163">
        <v>376.08</v>
      </c>
      <c r="AT230" s="163">
        <v>376.08</v>
      </c>
      <c r="AU230" s="163">
        <v>376.08</v>
      </c>
      <c r="AV230" s="163">
        <v>376.08</v>
      </c>
      <c r="AW230" s="163">
        <v>376.08</v>
      </c>
      <c r="AX230" s="163">
        <v>376.08</v>
      </c>
      <c r="AY230" s="163">
        <v>376.08</v>
      </c>
      <c r="AZ230" s="163">
        <v>376.08</v>
      </c>
      <c r="BA230" s="163">
        <v>11021.73</v>
      </c>
      <c r="BB230" s="163">
        <v>10901.74</v>
      </c>
      <c r="BC230" s="163">
        <v>326.08</v>
      </c>
      <c r="BD230" s="163">
        <v>326.08</v>
      </c>
      <c r="BE230" s="163">
        <v>326.08</v>
      </c>
      <c r="BF230" s="163">
        <v>326.08</v>
      </c>
      <c r="BG230" s="163">
        <v>326.08</v>
      </c>
      <c r="BH230" s="163">
        <v>-50</v>
      </c>
      <c r="BI230" s="163">
        <v>-50</v>
      </c>
      <c r="BJ230" s="163">
        <v>-50</v>
      </c>
      <c r="BK230" s="163">
        <v>-50</v>
      </c>
      <c r="BL230" s="163">
        <v>0</v>
      </c>
      <c r="BM230" s="163">
        <v>0</v>
      </c>
      <c r="BN230" s="163">
        <v>11768</v>
      </c>
      <c r="BO230" s="163">
        <v>0</v>
      </c>
      <c r="BP230" s="163">
        <v>23681.46</v>
      </c>
      <c r="BQ230" s="163">
        <v>0</v>
      </c>
      <c r="BR230" s="163">
        <v>9.4</v>
      </c>
      <c r="BS230" s="163">
        <v>-188.52</v>
      </c>
      <c r="BT230" s="163">
        <v>-971.85</v>
      </c>
      <c r="BU230" s="163">
        <v>102.5</v>
      </c>
      <c r="BV230" s="163">
        <v>-13231.9</v>
      </c>
      <c r="BW230" s="163">
        <v>185.83</v>
      </c>
      <c r="BX230" s="163">
        <v>185.83</v>
      </c>
      <c r="BY230" s="163">
        <v>-13901.1</v>
      </c>
      <c r="BZ230" s="163">
        <v>-27991.29</v>
      </c>
      <c r="CA230" s="163">
        <v>-13920.99</v>
      </c>
      <c r="CB230" s="163">
        <v>-13920.99</v>
      </c>
      <c r="CC230" s="163">
        <v>-13920.99</v>
      </c>
      <c r="CD230" s="163">
        <v>-27940.76</v>
      </c>
      <c r="CE230" s="163">
        <v>-14087.65</v>
      </c>
      <c r="CF230" s="163">
        <v>-28477.99</v>
      </c>
      <c r="CG230" s="163">
        <v>-57431.99</v>
      </c>
      <c r="CH230" s="163">
        <v>-28525.07</v>
      </c>
      <c r="CI230" s="163">
        <v>-13945.99</v>
      </c>
      <c r="CJ230" s="163">
        <v>-13945.99</v>
      </c>
      <c r="CK230" s="163">
        <v>-28709.17</v>
      </c>
      <c r="CL230" s="163">
        <v>-13945.99</v>
      </c>
      <c r="CM230" s="163">
        <v>-15156.01</v>
      </c>
      <c r="CN230" s="163">
        <v>-29758.3</v>
      </c>
      <c r="CO230" s="163">
        <v>-15073.68</v>
      </c>
      <c r="CP230" s="163">
        <v>-15073.68</v>
      </c>
      <c r="CQ230" s="163">
        <v>-15073.68</v>
      </c>
      <c r="CR230" s="163">
        <v>-15207.01</v>
      </c>
      <c r="CS230" s="163">
        <v>-16384.099999999999</v>
      </c>
      <c r="CT230" s="163">
        <v>-32957.18</v>
      </c>
      <c r="CU230" s="163">
        <v>-64770</v>
      </c>
      <c r="CV230" s="163">
        <v>-15384.1</v>
      </c>
      <c r="CW230" s="163">
        <v>-15384.1</v>
      </c>
      <c r="CX230" s="163">
        <v>-15384.1</v>
      </c>
      <c r="CY230" s="163">
        <v>-31689.21</v>
      </c>
      <c r="CZ230" s="163">
        <v>-49035.44</v>
      </c>
      <c r="DA230" s="163">
        <v>-16091.29</v>
      </c>
      <c r="DB230" s="163">
        <v>-16428.150000000001</v>
      </c>
      <c r="DC230" s="163">
        <v>-53110.89</v>
      </c>
      <c r="DD230" s="163">
        <v>-15317.46</v>
      </c>
      <c r="DE230" s="163">
        <v>-32660.14</v>
      </c>
      <c r="DF230" s="163">
        <f>VLOOKUP($C230,'[3]BS ACC'!$C$5:$DH$1006,108,FALSE)</f>
        <v>-14375.79</v>
      </c>
      <c r="DG230" s="163">
        <f>VLOOKUP($C230,'[3]BS ACC'!$C$5:$DH$1006,109,FALSE)</f>
        <v>-14692.46</v>
      </c>
      <c r="DH230" s="163">
        <f>VLOOKUP($C230,'[3]BS ACC'!$C$5:$DH$1006,110,FALSE)</f>
        <v>-14616.97</v>
      </c>
    </row>
    <row r="231" spans="1:112">
      <c r="A231" s="350" t="str">
        <f t="shared" si="3"/>
        <v>2320021</v>
      </c>
      <c r="B231" s="350" t="s">
        <v>1644</v>
      </c>
      <c r="C231" s="335" t="s">
        <v>757</v>
      </c>
      <c r="D231" s="340">
        <v>0</v>
      </c>
      <c r="E231" s="340">
        <v>500</v>
      </c>
      <c r="F231" s="340">
        <v>-0.09</v>
      </c>
      <c r="G231" s="340">
        <v>-0.09</v>
      </c>
      <c r="H231" s="340">
        <v>4341.0600000000004</v>
      </c>
      <c r="I231" s="340">
        <v>-0.09</v>
      </c>
      <c r="J231" s="340">
        <v>-0.09</v>
      </c>
      <c r="K231" s="340">
        <v>-0.09</v>
      </c>
      <c r="L231" s="340">
        <v>33.24</v>
      </c>
      <c r="M231" s="340">
        <v>-0.09</v>
      </c>
      <c r="N231" s="340">
        <v>-0.09</v>
      </c>
      <c r="O231" s="340">
        <v>-0.09</v>
      </c>
      <c r="P231" s="341">
        <v>-0.09</v>
      </c>
      <c r="Q231" s="163">
        <v>-0.09</v>
      </c>
      <c r="R231" s="163">
        <v>-0.09</v>
      </c>
      <c r="S231" s="163">
        <v>-0.09</v>
      </c>
      <c r="T231" s="163">
        <v>-0.09</v>
      </c>
      <c r="U231" s="163">
        <v>-0.09</v>
      </c>
      <c r="V231" s="163">
        <v>-0.09</v>
      </c>
      <c r="W231" s="163">
        <v>-0.09</v>
      </c>
      <c r="X231" s="163">
        <v>-0.09</v>
      </c>
      <c r="Y231" s="163">
        <v>4170.3100000000004</v>
      </c>
      <c r="Z231" s="163">
        <v>-0.09</v>
      </c>
      <c r="AA231" s="163">
        <v>-0.09</v>
      </c>
      <c r="AB231" s="163">
        <v>-0.09</v>
      </c>
      <c r="AC231" s="163">
        <v>-0.09</v>
      </c>
      <c r="AD231" s="163">
        <v>-0.09</v>
      </c>
      <c r="AE231" s="163">
        <v>-0.09</v>
      </c>
      <c r="AF231" s="163">
        <v>-0.09</v>
      </c>
      <c r="AG231" s="163">
        <v>-0.09</v>
      </c>
      <c r="AH231" s="163">
        <v>-0.09</v>
      </c>
      <c r="AI231" s="163">
        <v>-0.09</v>
      </c>
      <c r="AJ231" s="163">
        <v>5596.44</v>
      </c>
      <c r="AK231" s="163">
        <v>-0.09</v>
      </c>
      <c r="AL231" s="163">
        <v>-0.09</v>
      </c>
      <c r="AM231" s="163">
        <v>-0.09</v>
      </c>
      <c r="AN231" s="163">
        <v>-0.09</v>
      </c>
      <c r="AO231" s="163">
        <v>1199.9100000000001</v>
      </c>
      <c r="AP231" s="163">
        <v>1199.9100000000001</v>
      </c>
      <c r="AQ231" s="163">
        <v>1199.9100000000001</v>
      </c>
      <c r="AR231" s="163">
        <v>1199.9100000000001</v>
      </c>
      <c r="AS231" s="163">
        <v>-0.09</v>
      </c>
      <c r="AT231" s="163">
        <v>-0.09</v>
      </c>
      <c r="AU231" s="163">
        <v>-0.09</v>
      </c>
      <c r="AV231" s="163">
        <v>-0.09</v>
      </c>
      <c r="AW231" s="163">
        <v>-0.09</v>
      </c>
      <c r="AX231" s="163">
        <v>-0.09</v>
      </c>
      <c r="AY231" s="163">
        <v>-0.09</v>
      </c>
      <c r="AZ231" s="163">
        <v>-0.09</v>
      </c>
      <c r="BA231" s="163">
        <v>4262.09</v>
      </c>
      <c r="BB231" s="163">
        <v>4487.92</v>
      </c>
      <c r="BC231" s="163">
        <v>-33.43</v>
      </c>
      <c r="BD231" s="163">
        <v>-33.43</v>
      </c>
      <c r="BE231" s="163">
        <v>-33.43</v>
      </c>
      <c r="BF231" s="163">
        <v>-33.43</v>
      </c>
      <c r="BG231" s="163">
        <v>-33.43</v>
      </c>
      <c r="BH231" s="163">
        <v>0</v>
      </c>
      <c r="BI231" s="163">
        <v>0</v>
      </c>
      <c r="BJ231" s="163">
        <v>0</v>
      </c>
      <c r="BK231" s="163">
        <v>0</v>
      </c>
      <c r="BL231" s="163">
        <v>33.340000000000003</v>
      </c>
      <c r="BM231" s="163">
        <v>33.340000000000003</v>
      </c>
      <c r="BN231" s="163">
        <v>474.27</v>
      </c>
      <c r="BO231" s="163">
        <v>-4566.66</v>
      </c>
      <c r="BP231" s="163">
        <v>5748.53</v>
      </c>
      <c r="BQ231" s="163">
        <v>-4566.66</v>
      </c>
      <c r="BR231" s="163">
        <v>-2871.66</v>
      </c>
      <c r="BS231" s="163">
        <v>5407.51</v>
      </c>
      <c r="BT231" s="163">
        <v>5109.6000000000004</v>
      </c>
      <c r="BU231" s="163">
        <v>-7865.4</v>
      </c>
      <c r="BV231" s="163">
        <v>-12444.75</v>
      </c>
      <c r="BW231" s="163">
        <v>-7852.9</v>
      </c>
      <c r="BX231" s="163">
        <v>-7927.9</v>
      </c>
      <c r="BY231" s="163">
        <v>-14563.92</v>
      </c>
      <c r="BZ231" s="163">
        <v>-19231.29</v>
      </c>
      <c r="CA231" s="163">
        <v>-14526.42</v>
      </c>
      <c r="CB231" s="163">
        <v>-13626.42</v>
      </c>
      <c r="CC231" s="163">
        <v>-13626.42</v>
      </c>
      <c r="CD231" s="163">
        <v>-19018.41</v>
      </c>
      <c r="CE231" s="163">
        <v>-13751.42</v>
      </c>
      <c r="CF231" s="163">
        <v>-18726.740000000002</v>
      </c>
      <c r="CG231" s="163">
        <v>-28982.39</v>
      </c>
      <c r="CH231" s="163">
        <v>-18764.240000000002</v>
      </c>
      <c r="CI231" s="163">
        <v>-13251.42</v>
      </c>
      <c r="CJ231" s="163">
        <v>-13251.42</v>
      </c>
      <c r="CK231" s="163">
        <v>-19786.240000000002</v>
      </c>
      <c r="CL231" s="163">
        <v>-14084.76</v>
      </c>
      <c r="CM231" s="163">
        <v>-15113.93</v>
      </c>
      <c r="CN231" s="163">
        <v>-19924.57</v>
      </c>
      <c r="CO231" s="163">
        <v>-15022.27</v>
      </c>
      <c r="CP231" s="163">
        <v>-15288.93</v>
      </c>
      <c r="CQ231" s="163">
        <v>-15288.93</v>
      </c>
      <c r="CR231" s="163">
        <v>-15347.27</v>
      </c>
      <c r="CS231" s="163">
        <v>-15699.34</v>
      </c>
      <c r="CT231" s="163">
        <v>-20662.240000000002</v>
      </c>
      <c r="CU231" s="163">
        <v>-30571.38</v>
      </c>
      <c r="CV231" s="163">
        <v>-14936.85</v>
      </c>
      <c r="CW231" s="163">
        <v>-14536.85</v>
      </c>
      <c r="CX231" s="163">
        <v>-14536.85</v>
      </c>
      <c r="CY231" s="163">
        <v>-20365.87</v>
      </c>
      <c r="CZ231" s="163">
        <v>-26925.75</v>
      </c>
      <c r="DA231" s="163">
        <v>-16557.68</v>
      </c>
      <c r="DB231" s="163">
        <v>-16966.009999999998</v>
      </c>
      <c r="DC231" s="163">
        <v>-30795.09</v>
      </c>
      <c r="DD231" s="163">
        <v>-16576.86</v>
      </c>
      <c r="DE231" s="163">
        <v>-28185.42</v>
      </c>
      <c r="DF231" s="163">
        <f>VLOOKUP($C231,'[3]BS ACC'!$C$5:$DH$1006,108,FALSE)</f>
        <v>-22547.8</v>
      </c>
      <c r="DG231" s="163">
        <f>VLOOKUP($C231,'[3]BS ACC'!$C$5:$DH$1006,109,FALSE)</f>
        <v>-22018.63</v>
      </c>
      <c r="DH231" s="163">
        <f>VLOOKUP($C231,'[3]BS ACC'!$C$5:$DH$1006,110,FALSE)</f>
        <v>-22235.29</v>
      </c>
    </row>
    <row r="232" spans="1:112">
      <c r="A232" s="350" t="str">
        <f t="shared" si="3"/>
        <v>2320022</v>
      </c>
      <c r="B232" s="350" t="s">
        <v>912</v>
      </c>
      <c r="C232" s="335" t="s">
        <v>758</v>
      </c>
      <c r="D232" s="340">
        <v>-550000</v>
      </c>
      <c r="E232" s="340">
        <v>-584104.32999999996</v>
      </c>
      <c r="F232" s="340">
        <v>-499999.93</v>
      </c>
      <c r="G232" s="340">
        <v>-500000.02</v>
      </c>
      <c r="H232" s="340">
        <v>-499999.59</v>
      </c>
      <c r="I232" s="340">
        <v>-500000.1</v>
      </c>
      <c r="J232" s="340">
        <v>-499999.73</v>
      </c>
      <c r="K232" s="340">
        <v>-499999.7</v>
      </c>
      <c r="L232" s="340">
        <v>-480000.17</v>
      </c>
      <c r="M232" s="340">
        <v>-499999.59</v>
      </c>
      <c r="N232" s="340">
        <v>-499999.66</v>
      </c>
      <c r="O232" s="340">
        <v>-500000.39</v>
      </c>
      <c r="P232" s="341">
        <v>-699999.83</v>
      </c>
      <c r="Q232" s="163">
        <v>-600000.39</v>
      </c>
      <c r="R232" s="163">
        <v>-599999.97</v>
      </c>
      <c r="S232" s="163">
        <v>-599999.66</v>
      </c>
      <c r="T232" s="163">
        <v>-599999.57999999996</v>
      </c>
      <c r="U232" s="163">
        <v>-599999.96</v>
      </c>
      <c r="V232" s="163">
        <v>-599999.6</v>
      </c>
      <c r="W232" s="163">
        <v>-599999.5</v>
      </c>
      <c r="X232" s="163">
        <v>-599999.67000000004</v>
      </c>
      <c r="Y232" s="163">
        <v>-599999.51</v>
      </c>
      <c r="Z232" s="163">
        <v>-613214.12</v>
      </c>
      <c r="AA232" s="163">
        <v>-600000.01</v>
      </c>
      <c r="AB232" s="163">
        <v>-749999.86</v>
      </c>
      <c r="AC232" s="163">
        <v>-699999.91</v>
      </c>
      <c r="AD232" s="163">
        <v>-700000.19</v>
      </c>
      <c r="AE232" s="163">
        <v>-700000.11</v>
      </c>
      <c r="AF232" s="163">
        <v>-699999.88</v>
      </c>
      <c r="AG232" s="163">
        <v>-699999.65</v>
      </c>
      <c r="AH232" s="163">
        <v>-699999.84</v>
      </c>
      <c r="AI232" s="163">
        <v>-699999.67</v>
      </c>
      <c r="AJ232" s="163">
        <v>-700000.41</v>
      </c>
      <c r="AK232" s="163">
        <v>-699999.92</v>
      </c>
      <c r="AL232" s="163">
        <v>-699999.83</v>
      </c>
      <c r="AM232" s="163">
        <v>-699999.52</v>
      </c>
      <c r="AN232" s="163">
        <v>-800000.34</v>
      </c>
      <c r="AO232" s="163">
        <v>-700000.43</v>
      </c>
      <c r="AP232" s="163">
        <v>-799999.61</v>
      </c>
      <c r="AQ232" s="163">
        <v>-700000.08</v>
      </c>
      <c r="AR232" s="163">
        <v>-800000.15</v>
      </c>
      <c r="AS232" s="163">
        <v>-799999.66</v>
      </c>
      <c r="AT232" s="163">
        <v>-700673.37</v>
      </c>
      <c r="AU232" s="163">
        <v>-700000.2</v>
      </c>
      <c r="AV232" s="163">
        <v>-700000.44</v>
      </c>
      <c r="AW232" s="163">
        <v>-700000.3</v>
      </c>
      <c r="AX232" s="163">
        <v>-699999.58</v>
      </c>
      <c r="AY232" s="163">
        <v>-700000.31</v>
      </c>
      <c r="AZ232" s="163">
        <v>-600000.31000000006</v>
      </c>
      <c r="BA232" s="163">
        <v>-500000.49</v>
      </c>
      <c r="BB232" s="163">
        <v>-500000.35</v>
      </c>
      <c r="BC232" s="163">
        <v>-500000.29</v>
      </c>
      <c r="BD232" s="163">
        <v>-500000.25</v>
      </c>
      <c r="BE232" s="163">
        <v>-499999.86</v>
      </c>
      <c r="BF232" s="163">
        <v>-500000.08</v>
      </c>
      <c r="BG232" s="163">
        <v>-500000.07</v>
      </c>
      <c r="BH232" s="163">
        <v>-500000.44</v>
      </c>
      <c r="BI232" s="163">
        <v>-500000.46</v>
      </c>
      <c r="BJ232" s="163">
        <v>-499999.99</v>
      </c>
      <c r="BK232" s="163">
        <v>-499999.74</v>
      </c>
      <c r="BL232" s="163">
        <v>-1200000.08</v>
      </c>
      <c r="BM232" s="163">
        <v>-1100000.27</v>
      </c>
      <c r="BN232" s="163">
        <v>-1285517.6000000001</v>
      </c>
      <c r="BO232" s="163">
        <v>-1100000.5</v>
      </c>
      <c r="BP232" s="163">
        <v>-1101717.17</v>
      </c>
      <c r="BQ232" s="163">
        <v>-1100000.08</v>
      </c>
      <c r="BR232" s="163">
        <v>-1100000.1399999999</v>
      </c>
      <c r="BS232" s="163">
        <v>-1250000.2</v>
      </c>
      <c r="BT232" s="163">
        <v>-1099999.6399999999</v>
      </c>
      <c r="BU232" s="163">
        <v>-1099999.6599999999</v>
      </c>
      <c r="BV232" s="163">
        <v>-1099999.52</v>
      </c>
      <c r="BW232" s="163">
        <v>-1099999.52</v>
      </c>
      <c r="BX232" s="163">
        <v>-999999.87</v>
      </c>
      <c r="BY232" s="163">
        <v>-949999.63</v>
      </c>
      <c r="BZ232" s="163">
        <v>-950000.47</v>
      </c>
      <c r="CA232" s="163">
        <v>-949999.85</v>
      </c>
      <c r="CB232" s="163">
        <v>-949999.99</v>
      </c>
      <c r="CC232" s="163">
        <v>-950000.05</v>
      </c>
      <c r="CD232" s="163">
        <v>-949999.54</v>
      </c>
      <c r="CE232" s="163">
        <v>-949999.97</v>
      </c>
      <c r="CF232" s="163">
        <v>-950000.46</v>
      </c>
      <c r="CG232" s="163">
        <v>-949999.78</v>
      </c>
      <c r="CH232" s="163">
        <v>-949999.59</v>
      </c>
      <c r="CI232" s="163">
        <v>-950000.15</v>
      </c>
      <c r="CJ232" s="163">
        <v>-949999.86</v>
      </c>
      <c r="CK232" s="163">
        <v>-799999.79</v>
      </c>
      <c r="CL232" s="163">
        <v>-800000.38</v>
      </c>
      <c r="CM232" s="163">
        <v>-800000.3</v>
      </c>
      <c r="CN232" s="163">
        <v>-800000.16</v>
      </c>
      <c r="CO232" s="163">
        <v>-800000.43</v>
      </c>
      <c r="CP232" s="163">
        <v>-999999.56</v>
      </c>
      <c r="CQ232" s="163">
        <v>-800000.08</v>
      </c>
      <c r="CR232" s="163">
        <v>-800000.36</v>
      </c>
      <c r="CS232" s="163">
        <v>-800000</v>
      </c>
      <c r="CT232" s="163">
        <v>-800000.4</v>
      </c>
      <c r="CU232" s="163">
        <v>-800000.1</v>
      </c>
      <c r="CV232" s="163">
        <v>-1300000.45</v>
      </c>
      <c r="CW232" s="163">
        <v>-1199999.6100000001</v>
      </c>
      <c r="CX232" s="163">
        <v>-1199999.82</v>
      </c>
      <c r="CY232" s="163">
        <v>-1199999.6100000001</v>
      </c>
      <c r="CZ232" s="163">
        <v>-1199999.99</v>
      </c>
      <c r="DA232" s="163">
        <v>-1299999.98</v>
      </c>
      <c r="DB232" s="163">
        <v>-1199999.75</v>
      </c>
      <c r="DC232" s="163">
        <v>-1200000.18</v>
      </c>
      <c r="DD232" s="163">
        <v>-1199999.76</v>
      </c>
      <c r="DE232" s="163">
        <v>-1199999.53</v>
      </c>
      <c r="DF232" s="163">
        <f>VLOOKUP($C232,'[3]BS ACC'!$C$5:$DH$1006,108,FALSE)</f>
        <v>-1200000.33</v>
      </c>
      <c r="DG232" s="163">
        <f>VLOOKUP($C232,'[3]BS ACC'!$C$5:$DH$1006,109,FALSE)</f>
        <v>-972818.79</v>
      </c>
      <c r="DH232" s="163">
        <f>VLOOKUP($C232,'[3]BS ACC'!$C$5:$DH$1006,110,FALSE)</f>
        <v>-1200000.02</v>
      </c>
    </row>
    <row r="233" spans="1:112">
      <c r="A233" s="350" t="str">
        <f t="shared" si="3"/>
        <v>2320023</v>
      </c>
      <c r="B233" s="350" t="s">
        <v>1645</v>
      </c>
      <c r="C233" s="335" t="s">
        <v>759</v>
      </c>
      <c r="D233" s="340">
        <v>0</v>
      </c>
      <c r="E233" s="340">
        <v>0</v>
      </c>
      <c r="F233" s="340">
        <v>0</v>
      </c>
      <c r="G233" s="340">
        <v>0</v>
      </c>
      <c r="H233" s="340">
        <v>-450</v>
      </c>
      <c r="I233" s="340">
        <v>0</v>
      </c>
      <c r="J233" s="340">
        <v>0</v>
      </c>
      <c r="K233" s="340">
        <v>-420</v>
      </c>
      <c r="L233" s="340">
        <v>0</v>
      </c>
      <c r="M233" s="340">
        <v>0</v>
      </c>
      <c r="N233" s="340">
        <v>84</v>
      </c>
      <c r="O233" s="340">
        <v>0</v>
      </c>
      <c r="P233" s="341">
        <v>1040</v>
      </c>
      <c r="Q233" s="163">
        <v>660</v>
      </c>
      <c r="R233" s="163">
        <v>660</v>
      </c>
      <c r="S233" s="163">
        <v>1040</v>
      </c>
      <c r="T233" s="163">
        <v>1040</v>
      </c>
      <c r="U233" s="163">
        <v>640</v>
      </c>
      <c r="V233" s="163">
        <v>1040</v>
      </c>
      <c r="W233" s="163">
        <v>1040</v>
      </c>
      <c r="X233" s="163">
        <v>1040</v>
      </c>
      <c r="Y233" s="163">
        <v>640</v>
      </c>
      <c r="Z233" s="163">
        <v>1040</v>
      </c>
      <c r="AA233" s="163">
        <v>1040</v>
      </c>
      <c r="AB233" s="163">
        <v>1040</v>
      </c>
      <c r="AC233" s="163">
        <v>640</v>
      </c>
      <c r="AD233" s="163">
        <v>640</v>
      </c>
      <c r="AE233" s="163">
        <v>640</v>
      </c>
      <c r="AF233" s="163">
        <v>1040</v>
      </c>
      <c r="AG233" s="163">
        <v>1040</v>
      </c>
      <c r="AH233" s="163">
        <v>1040</v>
      </c>
      <c r="AI233" s="163">
        <v>1040</v>
      </c>
      <c r="AJ233" s="163">
        <v>1040</v>
      </c>
      <c r="AK233" s="163">
        <v>1040</v>
      </c>
      <c r="AL233" s="163">
        <v>1040</v>
      </c>
      <c r="AM233" s="163">
        <v>1040</v>
      </c>
      <c r="AN233" s="163">
        <v>1040</v>
      </c>
      <c r="AO233" s="163">
        <v>1040</v>
      </c>
      <c r="AP233" s="163">
        <v>1040</v>
      </c>
      <c r="AQ233" s="163">
        <v>1040</v>
      </c>
      <c r="AR233" s="163">
        <v>1040</v>
      </c>
      <c r="AS233" s="163">
        <v>-148.22</v>
      </c>
      <c r="AT233" s="163">
        <v>1040</v>
      </c>
      <c r="AU233" s="163">
        <v>1040</v>
      </c>
      <c r="AV233" s="163">
        <v>1040</v>
      </c>
      <c r="AW233" s="163">
        <v>1040</v>
      </c>
      <c r="AX233" s="163">
        <v>1040</v>
      </c>
      <c r="AY233" s="163">
        <v>0</v>
      </c>
      <c r="AZ233" s="163">
        <v>0</v>
      </c>
      <c r="BA233" s="163">
        <v>0</v>
      </c>
      <c r="BB233" s="163">
        <v>0</v>
      </c>
      <c r="BC233" s="163">
        <v>0</v>
      </c>
      <c r="BD233" s="163">
        <v>0</v>
      </c>
      <c r="BE233" s="163">
        <v>0</v>
      </c>
      <c r="BF233" s="163">
        <v>0</v>
      </c>
      <c r="BG233" s="163">
        <v>0</v>
      </c>
      <c r="BH233" s="163">
        <v>0</v>
      </c>
      <c r="BI233" s="163">
        <v>0</v>
      </c>
      <c r="BJ233" s="163">
        <v>0</v>
      </c>
      <c r="BK233" s="163">
        <v>0</v>
      </c>
      <c r="BL233" s="163">
        <v>0</v>
      </c>
      <c r="BM233" s="163">
        <v>0</v>
      </c>
      <c r="BN233" s="163">
        <v>0</v>
      </c>
      <c r="BO233" s="163">
        <v>0</v>
      </c>
      <c r="BP233" s="163">
        <v>0</v>
      </c>
      <c r="BQ233" s="163">
        <v>0</v>
      </c>
      <c r="BR233" s="163">
        <v>0</v>
      </c>
      <c r="BS233" s="163">
        <v>-1119.46</v>
      </c>
      <c r="BT233" s="163">
        <v>0</v>
      </c>
      <c r="BU233" s="163">
        <v>0</v>
      </c>
      <c r="BV233" s="163">
        <v>0</v>
      </c>
      <c r="BW233" s="163">
        <v>-1148.48</v>
      </c>
      <c r="BX233" s="163">
        <v>-888.48</v>
      </c>
      <c r="BY233" s="163">
        <v>0</v>
      </c>
      <c r="BZ233" s="163">
        <v>0</v>
      </c>
      <c r="CA233" s="163">
        <v>0</v>
      </c>
      <c r="CB233" s="163">
        <v>0</v>
      </c>
      <c r="CC233" s="163">
        <v>-1045.08</v>
      </c>
      <c r="CD233" s="163">
        <v>-1059.3800000000001</v>
      </c>
      <c r="CE233" s="163">
        <v>-1059.3800000000001</v>
      </c>
      <c r="CF233" s="163">
        <v>-1059.3800000000001</v>
      </c>
      <c r="CG233" s="163">
        <v>-1064.48</v>
      </c>
      <c r="CH233" s="163">
        <v>-914.62</v>
      </c>
      <c r="CI233" s="163">
        <v>-687.22</v>
      </c>
      <c r="CJ233" s="163">
        <v>-601.72</v>
      </c>
      <c r="CK233" s="163">
        <v>-601.72</v>
      </c>
      <c r="CL233" s="163">
        <v>-607.54</v>
      </c>
      <c r="CM233" s="163">
        <v>0</v>
      </c>
      <c r="CN233" s="163">
        <v>-804.22</v>
      </c>
      <c r="CO233" s="163">
        <v>-804.22</v>
      </c>
      <c r="CP233" s="163">
        <v>-260</v>
      </c>
      <c r="CQ233" s="163">
        <v>-830.98</v>
      </c>
      <c r="CR233" s="163">
        <v>-831.6</v>
      </c>
      <c r="CS233" s="163">
        <v>-832.22</v>
      </c>
      <c r="CT233" s="163">
        <v>-736.91</v>
      </c>
      <c r="CU233" s="163">
        <v>-260</v>
      </c>
      <c r="CV233" s="163">
        <v>-812.22</v>
      </c>
      <c r="CW233" s="163">
        <v>-792.22</v>
      </c>
      <c r="CX233" s="163">
        <v>-792.22</v>
      </c>
      <c r="CY233" s="163">
        <v>-803.63</v>
      </c>
      <c r="CZ233" s="163">
        <v>-812.22</v>
      </c>
      <c r="DA233" s="163">
        <v>-802.22</v>
      </c>
      <c r="DB233" s="163">
        <v>-850.16</v>
      </c>
      <c r="DC233" s="163">
        <v>-793.5</v>
      </c>
      <c r="DD233" s="163">
        <v>-265</v>
      </c>
      <c r="DE233" s="163">
        <v>-379.74</v>
      </c>
      <c r="DF233" s="163">
        <f>VLOOKUP($C233,'[3]BS ACC'!$C$5:$DH$1006,108,FALSE)</f>
        <v>-905.48</v>
      </c>
      <c r="DG233" s="163">
        <f>VLOOKUP($C233,'[3]BS ACC'!$C$5:$DH$1006,109,FALSE)</f>
        <v>-907.92</v>
      </c>
      <c r="DH233" s="163">
        <f>VLOOKUP($C233,'[3]BS ACC'!$C$5:$DH$1006,110,FALSE)</f>
        <v>-934.92</v>
      </c>
    </row>
    <row r="234" spans="1:112">
      <c r="A234" s="350" t="str">
        <f t="shared" si="3"/>
        <v>2320024</v>
      </c>
      <c r="B234" s="350" t="s">
        <v>1646</v>
      </c>
      <c r="C234" s="335" t="s">
        <v>760</v>
      </c>
      <c r="D234" s="340">
        <v>0</v>
      </c>
      <c r="E234" s="340">
        <v>0</v>
      </c>
      <c r="F234" s="340">
        <v>0</v>
      </c>
      <c r="G234" s="340">
        <v>0</v>
      </c>
      <c r="H234" s="340">
        <v>-432</v>
      </c>
      <c r="I234" s="340">
        <v>0</v>
      </c>
      <c r="J234" s="340">
        <v>0</v>
      </c>
      <c r="K234" s="340">
        <v>-408</v>
      </c>
      <c r="L234" s="340">
        <v>0</v>
      </c>
      <c r="M234" s="340">
        <v>0</v>
      </c>
      <c r="N234" s="340">
        <v>-84</v>
      </c>
      <c r="O234" s="340">
        <v>0</v>
      </c>
      <c r="P234" s="341">
        <v>0</v>
      </c>
      <c r="Q234" s="163">
        <v>-528</v>
      </c>
      <c r="R234" s="163">
        <v>-504</v>
      </c>
      <c r="S234" s="163">
        <v>0</v>
      </c>
      <c r="T234" s="163">
        <v>0</v>
      </c>
      <c r="U234" s="163">
        <v>-504</v>
      </c>
      <c r="V234" s="163">
        <v>0</v>
      </c>
      <c r="W234" s="163">
        <v>0</v>
      </c>
      <c r="X234" s="163">
        <v>0</v>
      </c>
      <c r="Y234" s="163">
        <v>-480</v>
      </c>
      <c r="Z234" s="163">
        <v>0</v>
      </c>
      <c r="AA234" s="163">
        <v>0</v>
      </c>
      <c r="AB234" s="163">
        <v>0</v>
      </c>
      <c r="AC234" s="163">
        <v>-408</v>
      </c>
      <c r="AD234" s="163">
        <v>-456</v>
      </c>
      <c r="AE234" s="163">
        <v>-492</v>
      </c>
      <c r="AF234" s="163">
        <v>0</v>
      </c>
      <c r="AG234" s="163">
        <v>0</v>
      </c>
      <c r="AH234" s="163">
        <v>0</v>
      </c>
      <c r="AI234" s="163">
        <v>0</v>
      </c>
      <c r="AJ234" s="163">
        <v>0</v>
      </c>
      <c r="AK234" s="163">
        <v>0</v>
      </c>
      <c r="AL234" s="163">
        <v>0</v>
      </c>
      <c r="AM234" s="163">
        <v>0</v>
      </c>
      <c r="AN234" s="163">
        <v>0</v>
      </c>
      <c r="AO234" s="163">
        <v>0</v>
      </c>
      <c r="AP234" s="163">
        <v>0</v>
      </c>
      <c r="AQ234" s="163">
        <v>0</v>
      </c>
      <c r="AR234" s="163">
        <v>0</v>
      </c>
      <c r="AS234" s="163">
        <v>-372</v>
      </c>
      <c r="AT234" s="163">
        <v>0</v>
      </c>
      <c r="AU234" s="163">
        <v>0</v>
      </c>
      <c r="AV234" s="163">
        <v>0</v>
      </c>
      <c r="AW234" s="163">
        <v>0</v>
      </c>
      <c r="AX234" s="163">
        <v>0</v>
      </c>
      <c r="AY234" s="163">
        <v>0</v>
      </c>
      <c r="AZ234" s="163">
        <v>0</v>
      </c>
      <c r="BA234" s="163">
        <v>0</v>
      </c>
      <c r="BB234" s="163">
        <v>0</v>
      </c>
      <c r="BC234" s="163">
        <v>0</v>
      </c>
      <c r="BD234" s="163">
        <v>0</v>
      </c>
      <c r="BE234" s="163">
        <v>0</v>
      </c>
      <c r="BF234" s="163">
        <v>0</v>
      </c>
      <c r="BG234" s="163">
        <v>0</v>
      </c>
      <c r="BH234" s="163">
        <v>0</v>
      </c>
      <c r="BI234" s="163">
        <v>0</v>
      </c>
      <c r="BJ234" s="163">
        <v>0</v>
      </c>
      <c r="BK234" s="163">
        <v>0</v>
      </c>
      <c r="BL234" s="163">
        <v>0</v>
      </c>
      <c r="BM234" s="163">
        <v>0</v>
      </c>
      <c r="BN234" s="163">
        <v>0</v>
      </c>
      <c r="BO234" s="163">
        <v>0</v>
      </c>
      <c r="BP234" s="163">
        <v>0</v>
      </c>
      <c r="BQ234" s="163">
        <v>0</v>
      </c>
      <c r="BR234" s="163">
        <v>0</v>
      </c>
      <c r="BS234" s="163">
        <v>-192</v>
      </c>
      <c r="BT234" s="163">
        <v>0</v>
      </c>
      <c r="BU234" s="163">
        <v>0</v>
      </c>
      <c r="BV234" s="163">
        <v>0</v>
      </c>
      <c r="BW234" s="163">
        <v>-204</v>
      </c>
      <c r="BX234" s="163">
        <v>0</v>
      </c>
      <c r="BY234" s="163">
        <v>0</v>
      </c>
      <c r="BZ234" s="163">
        <v>0</v>
      </c>
      <c r="CA234" s="163">
        <v>0</v>
      </c>
      <c r="CB234" s="163">
        <v>0</v>
      </c>
      <c r="CC234" s="163">
        <v>-180</v>
      </c>
      <c r="CD234" s="163">
        <v>-216</v>
      </c>
      <c r="CE234" s="163">
        <v>-216</v>
      </c>
      <c r="CF234" s="163">
        <v>-240</v>
      </c>
      <c r="CG234" s="163">
        <v>-240</v>
      </c>
      <c r="CH234" s="163">
        <v>-240</v>
      </c>
      <c r="CI234" s="163">
        <v>-240</v>
      </c>
      <c r="CJ234" s="163">
        <v>-240</v>
      </c>
      <c r="CK234" s="163">
        <v>-240</v>
      </c>
      <c r="CL234" s="163">
        <v>-240</v>
      </c>
      <c r="CM234" s="163">
        <v>0</v>
      </c>
      <c r="CN234" s="163">
        <v>-240</v>
      </c>
      <c r="CO234" s="163">
        <v>-240</v>
      </c>
      <c r="CP234" s="163">
        <v>0</v>
      </c>
      <c r="CQ234" s="163">
        <v>-264</v>
      </c>
      <c r="CR234" s="163">
        <v>-204</v>
      </c>
      <c r="CS234" s="163">
        <v>-228</v>
      </c>
      <c r="CT234" s="163">
        <v>-228</v>
      </c>
      <c r="CU234" s="163">
        <v>0</v>
      </c>
      <c r="CV234" s="163">
        <v>-288</v>
      </c>
      <c r="CW234" s="163">
        <v>-240</v>
      </c>
      <c r="CX234" s="163">
        <v>-240</v>
      </c>
      <c r="CY234" s="163">
        <v>-240</v>
      </c>
      <c r="CZ234" s="163">
        <v>-240</v>
      </c>
      <c r="DA234" s="163">
        <v>-240</v>
      </c>
      <c r="DB234" s="163">
        <v>-240</v>
      </c>
      <c r="DC234" s="163">
        <v>-240</v>
      </c>
      <c r="DD234" s="163">
        <v>0</v>
      </c>
      <c r="DE234" s="163">
        <v>0</v>
      </c>
      <c r="DF234" s="163">
        <f>VLOOKUP($C234,'[3]BS ACC'!$C$5:$DH$1006,108,FALSE)</f>
        <v>-240</v>
      </c>
      <c r="DG234" s="163">
        <f>VLOOKUP($C234,'[3]BS ACC'!$C$5:$DH$1006,109,FALSE)</f>
        <v>-228</v>
      </c>
      <c r="DH234" s="163">
        <f>VLOOKUP($C234,'[3]BS ACC'!$C$5:$DH$1006,110,FALSE)</f>
        <v>-216</v>
      </c>
    </row>
    <row r="235" spans="1:112">
      <c r="A235" s="350" t="str">
        <f t="shared" si="3"/>
        <v>2320025</v>
      </c>
      <c r="B235" s="350" t="s">
        <v>1647</v>
      </c>
      <c r="C235" s="335" t="s">
        <v>761</v>
      </c>
      <c r="D235" s="340">
        <v>0</v>
      </c>
      <c r="E235" s="340">
        <v>0</v>
      </c>
      <c r="F235" s="340">
        <v>0</v>
      </c>
      <c r="G235" s="340">
        <v>0</v>
      </c>
      <c r="H235" s="340">
        <v>-763.88</v>
      </c>
      <c r="I235" s="340">
        <v>0</v>
      </c>
      <c r="J235" s="340">
        <v>0</v>
      </c>
      <c r="K235" s="340">
        <v>-763.88</v>
      </c>
      <c r="L235" s="340">
        <v>0</v>
      </c>
      <c r="M235" s="340">
        <v>0</v>
      </c>
      <c r="N235" s="340">
        <v>0</v>
      </c>
      <c r="O235" s="340">
        <v>0</v>
      </c>
      <c r="P235" s="341">
        <v>0</v>
      </c>
      <c r="Q235" s="163">
        <v>-705.12</v>
      </c>
      <c r="R235" s="163">
        <v>-705.12</v>
      </c>
      <c r="S235" s="163">
        <v>0</v>
      </c>
      <c r="T235" s="163">
        <v>0</v>
      </c>
      <c r="U235" s="163">
        <v>-646.36</v>
      </c>
      <c r="V235" s="163">
        <v>0</v>
      </c>
      <c r="W235" s="163">
        <v>0</v>
      </c>
      <c r="X235" s="163">
        <v>0</v>
      </c>
      <c r="Y235" s="163">
        <v>-470.08</v>
      </c>
      <c r="Z235" s="163">
        <v>0</v>
      </c>
      <c r="AA235" s="163">
        <v>0</v>
      </c>
      <c r="AB235" s="163">
        <v>0</v>
      </c>
      <c r="AC235" s="163">
        <v>-470.08</v>
      </c>
      <c r="AD235" s="163">
        <v>-440.7</v>
      </c>
      <c r="AE235" s="163">
        <v>-411.32</v>
      </c>
      <c r="AF235" s="163">
        <v>0</v>
      </c>
      <c r="AG235" s="163">
        <v>0</v>
      </c>
      <c r="AH235" s="163">
        <v>0</v>
      </c>
      <c r="AI235" s="163">
        <v>0</v>
      </c>
      <c r="AJ235" s="163">
        <v>0</v>
      </c>
      <c r="AK235" s="163">
        <v>0</v>
      </c>
      <c r="AL235" s="163">
        <v>0</v>
      </c>
      <c r="AM235" s="163">
        <v>0</v>
      </c>
      <c r="AN235" s="163">
        <v>0</v>
      </c>
      <c r="AO235" s="163">
        <v>0</v>
      </c>
      <c r="AP235" s="163">
        <v>0</v>
      </c>
      <c r="AQ235" s="163">
        <v>0</v>
      </c>
      <c r="AR235" s="163">
        <v>0</v>
      </c>
      <c r="AS235" s="163">
        <v>-352.56</v>
      </c>
      <c r="AT235" s="163">
        <v>0</v>
      </c>
      <c r="AU235" s="163">
        <v>0</v>
      </c>
      <c r="AV235" s="163">
        <v>0</v>
      </c>
      <c r="AW235" s="163">
        <v>0</v>
      </c>
      <c r="AX235" s="163">
        <v>0</v>
      </c>
      <c r="AY235" s="163">
        <v>0</v>
      </c>
      <c r="AZ235" s="163">
        <v>0</v>
      </c>
      <c r="BA235" s="163">
        <v>0</v>
      </c>
      <c r="BB235" s="163">
        <v>0</v>
      </c>
      <c r="BC235" s="163">
        <v>0</v>
      </c>
      <c r="BD235" s="163">
        <v>0</v>
      </c>
      <c r="BE235" s="163">
        <v>0</v>
      </c>
      <c r="BF235" s="163">
        <v>0</v>
      </c>
      <c r="BG235" s="163">
        <v>0</v>
      </c>
      <c r="BH235" s="163">
        <v>0</v>
      </c>
      <c r="BI235" s="163">
        <v>0</v>
      </c>
      <c r="BJ235" s="163">
        <v>0</v>
      </c>
      <c r="BK235" s="163">
        <v>0</v>
      </c>
      <c r="BL235" s="163">
        <v>0</v>
      </c>
      <c r="BM235" s="163">
        <v>0</v>
      </c>
      <c r="BN235" s="163">
        <v>0</v>
      </c>
      <c r="BO235" s="163">
        <v>0</v>
      </c>
      <c r="BP235" s="163">
        <v>0</v>
      </c>
      <c r="BQ235" s="163">
        <v>0</v>
      </c>
      <c r="BR235" s="163">
        <v>0</v>
      </c>
      <c r="BS235" s="163">
        <v>-293.8</v>
      </c>
      <c r="BT235" s="163">
        <v>0</v>
      </c>
      <c r="BU235" s="163">
        <v>0</v>
      </c>
      <c r="BV235" s="163">
        <v>0</v>
      </c>
      <c r="BW235" s="163">
        <v>-646.36</v>
      </c>
      <c r="BX235" s="163">
        <v>0</v>
      </c>
      <c r="BY235" s="163">
        <v>0</v>
      </c>
      <c r="BZ235" s="163">
        <v>0</v>
      </c>
      <c r="CA235" s="163">
        <v>0</v>
      </c>
      <c r="CB235" s="163">
        <v>0</v>
      </c>
      <c r="CC235" s="163">
        <v>-881.4</v>
      </c>
      <c r="CD235" s="163">
        <v>-998.92</v>
      </c>
      <c r="CE235" s="163">
        <v>-1204.58</v>
      </c>
      <c r="CF235" s="163">
        <v>-998.92</v>
      </c>
      <c r="CG235" s="163">
        <v>-998.92</v>
      </c>
      <c r="CH235" s="163">
        <v>-734.5</v>
      </c>
      <c r="CI235" s="163">
        <v>-58.76</v>
      </c>
      <c r="CJ235" s="163">
        <v>0</v>
      </c>
      <c r="CK235" s="163">
        <v>0</v>
      </c>
      <c r="CL235" s="163">
        <v>0</v>
      </c>
      <c r="CM235" s="163">
        <v>0</v>
      </c>
      <c r="CN235" s="163">
        <v>0</v>
      </c>
      <c r="CO235" s="163">
        <v>0</v>
      </c>
      <c r="CP235" s="163">
        <v>0</v>
      </c>
      <c r="CQ235" s="163">
        <v>0</v>
      </c>
      <c r="CR235" s="163">
        <v>0</v>
      </c>
      <c r="CS235" s="163">
        <v>0</v>
      </c>
      <c r="CT235" s="163">
        <v>0</v>
      </c>
      <c r="CU235" s="163">
        <v>0</v>
      </c>
      <c r="CV235" s="163">
        <v>0</v>
      </c>
      <c r="CW235" s="163">
        <v>0</v>
      </c>
      <c r="CX235" s="163">
        <v>0</v>
      </c>
      <c r="CY235" s="163">
        <v>0</v>
      </c>
      <c r="CZ235" s="163">
        <v>0</v>
      </c>
      <c r="DA235" s="163">
        <v>0</v>
      </c>
      <c r="DB235" s="163">
        <v>0</v>
      </c>
      <c r="DC235" s="163">
        <v>0</v>
      </c>
      <c r="DD235" s="163">
        <v>0</v>
      </c>
      <c r="DE235" s="163">
        <v>0</v>
      </c>
      <c r="DF235" s="163">
        <f>VLOOKUP($C235,'[3]BS ACC'!$C$5:$DH$1006,108,FALSE)</f>
        <v>0</v>
      </c>
      <c r="DG235" s="163">
        <f>VLOOKUP($C235,'[3]BS ACC'!$C$5:$DH$1006,109,FALSE)</f>
        <v>0</v>
      </c>
      <c r="DH235" s="163">
        <f>VLOOKUP($C235,'[3]BS ACC'!$C$5:$DH$1006,110,FALSE)</f>
        <v>0</v>
      </c>
    </row>
    <row r="236" spans="1:112">
      <c r="A236" s="350" t="str">
        <f t="shared" si="3"/>
        <v>2320026</v>
      </c>
      <c r="B236" s="350" t="s">
        <v>1648</v>
      </c>
      <c r="C236" s="335" t="s">
        <v>762</v>
      </c>
      <c r="D236" s="340">
        <v>0</v>
      </c>
      <c r="E236" s="340">
        <v>0</v>
      </c>
      <c r="F236" s="340">
        <v>0</v>
      </c>
      <c r="G236" s="340">
        <v>0</v>
      </c>
      <c r="H236" s="340">
        <v>-924</v>
      </c>
      <c r="I236" s="340">
        <v>0</v>
      </c>
      <c r="J236" s="340">
        <v>0</v>
      </c>
      <c r="K236" s="340">
        <v>-924</v>
      </c>
      <c r="L236" s="340">
        <v>0</v>
      </c>
      <c r="M236" s="340">
        <v>0</v>
      </c>
      <c r="N236" s="340">
        <v>0</v>
      </c>
      <c r="O236" s="340">
        <v>0</v>
      </c>
      <c r="P236" s="341">
        <v>0</v>
      </c>
      <c r="Q236" s="163">
        <v>-924</v>
      </c>
      <c r="R236" s="163">
        <v>-907.5</v>
      </c>
      <c r="S236" s="163">
        <v>0</v>
      </c>
      <c r="T236" s="163">
        <v>0</v>
      </c>
      <c r="U236" s="163">
        <v>-891</v>
      </c>
      <c r="V236" s="163">
        <v>0</v>
      </c>
      <c r="W236" s="163">
        <v>0</v>
      </c>
      <c r="X236" s="163">
        <v>0</v>
      </c>
      <c r="Y236" s="163">
        <v>-858</v>
      </c>
      <c r="Z236" s="163">
        <v>0</v>
      </c>
      <c r="AA236" s="163">
        <v>0</v>
      </c>
      <c r="AB236" s="163">
        <v>0</v>
      </c>
      <c r="AC236" s="163">
        <v>-924</v>
      </c>
      <c r="AD236" s="163">
        <v>-924</v>
      </c>
      <c r="AE236" s="163">
        <v>-825</v>
      </c>
      <c r="AF236" s="163">
        <v>0</v>
      </c>
      <c r="AG236" s="163">
        <v>0</v>
      </c>
      <c r="AH236" s="163">
        <v>0</v>
      </c>
      <c r="AI236" s="163">
        <v>0</v>
      </c>
      <c r="AJ236" s="163">
        <v>0</v>
      </c>
      <c r="AK236" s="163">
        <v>0</v>
      </c>
      <c r="AL236" s="163">
        <v>0</v>
      </c>
      <c r="AM236" s="163">
        <v>0</v>
      </c>
      <c r="AN236" s="163">
        <v>0</v>
      </c>
      <c r="AO236" s="163">
        <v>0</v>
      </c>
      <c r="AP236" s="163">
        <v>0</v>
      </c>
      <c r="AQ236" s="163">
        <v>0</v>
      </c>
      <c r="AR236" s="163">
        <v>0</v>
      </c>
      <c r="AS236" s="163">
        <v>-792</v>
      </c>
      <c r="AT236" s="163">
        <v>0</v>
      </c>
      <c r="AU236" s="163">
        <v>0</v>
      </c>
      <c r="AV236" s="163">
        <v>0</v>
      </c>
      <c r="AW236" s="163">
        <v>0</v>
      </c>
      <c r="AX236" s="163">
        <v>0</v>
      </c>
      <c r="AY236" s="163">
        <v>0</v>
      </c>
      <c r="AZ236" s="163">
        <v>0</v>
      </c>
      <c r="BA236" s="163">
        <v>0</v>
      </c>
      <c r="BB236" s="163">
        <v>0</v>
      </c>
      <c r="BC236" s="163">
        <v>0</v>
      </c>
      <c r="BD236" s="163">
        <v>0</v>
      </c>
      <c r="BE236" s="163">
        <v>0</v>
      </c>
      <c r="BF236" s="163">
        <v>0</v>
      </c>
      <c r="BG236" s="163">
        <v>0</v>
      </c>
      <c r="BH236" s="163">
        <v>0</v>
      </c>
      <c r="BI236" s="163">
        <v>0</v>
      </c>
      <c r="BJ236" s="163">
        <v>0</v>
      </c>
      <c r="BK236" s="163">
        <v>0</v>
      </c>
      <c r="BL236" s="163">
        <v>0</v>
      </c>
      <c r="BM236" s="163">
        <v>0</v>
      </c>
      <c r="BN236" s="163">
        <v>0</v>
      </c>
      <c r="BO236" s="163">
        <v>0</v>
      </c>
      <c r="BP236" s="163">
        <v>0</v>
      </c>
      <c r="BQ236" s="163">
        <v>0</v>
      </c>
      <c r="BR236" s="163">
        <v>0</v>
      </c>
      <c r="BS236" s="163">
        <v>-805</v>
      </c>
      <c r="BT236" s="163">
        <v>0</v>
      </c>
      <c r="BU236" s="163">
        <v>0</v>
      </c>
      <c r="BV236" s="163">
        <v>0</v>
      </c>
      <c r="BW236" s="163">
        <v>-945</v>
      </c>
      <c r="BX236" s="163">
        <v>0</v>
      </c>
      <c r="BY236" s="163">
        <v>0</v>
      </c>
      <c r="BZ236" s="163">
        <v>0</v>
      </c>
      <c r="CA236" s="163">
        <v>0</v>
      </c>
      <c r="CB236" s="163">
        <v>0</v>
      </c>
      <c r="CC236" s="163">
        <v>-1015</v>
      </c>
      <c r="CD236" s="163">
        <v>-1015</v>
      </c>
      <c r="CE236" s="163">
        <v>-1015</v>
      </c>
      <c r="CF236" s="163">
        <v>-1015</v>
      </c>
      <c r="CG236" s="163">
        <v>-1015</v>
      </c>
      <c r="CH236" s="163">
        <v>-1015</v>
      </c>
      <c r="CI236" s="163">
        <v>-1015</v>
      </c>
      <c r="CJ236" s="163">
        <v>-1015</v>
      </c>
      <c r="CK236" s="163">
        <v>-1015</v>
      </c>
      <c r="CL236" s="163">
        <v>-1015</v>
      </c>
      <c r="CM236" s="163">
        <v>0</v>
      </c>
      <c r="CN236" s="163">
        <v>-1015</v>
      </c>
      <c r="CO236" s="163">
        <v>-1015</v>
      </c>
      <c r="CP236" s="163">
        <v>0</v>
      </c>
      <c r="CQ236" s="163">
        <v>-1015</v>
      </c>
      <c r="CR236" s="163">
        <v>-997.5</v>
      </c>
      <c r="CS236" s="163">
        <v>-1015</v>
      </c>
      <c r="CT236" s="163">
        <v>-1015</v>
      </c>
      <c r="CU236" s="163">
        <v>0</v>
      </c>
      <c r="CV236" s="163">
        <v>-1015</v>
      </c>
      <c r="CW236" s="163">
        <v>-945</v>
      </c>
      <c r="CX236" s="163">
        <v>-945</v>
      </c>
      <c r="CY236" s="163">
        <v>-945</v>
      </c>
      <c r="CZ236" s="163">
        <v>-945</v>
      </c>
      <c r="DA236" s="163">
        <v>-980</v>
      </c>
      <c r="DB236" s="163">
        <v>-1050</v>
      </c>
      <c r="DC236" s="163">
        <v>-1015</v>
      </c>
      <c r="DD236" s="163">
        <v>0</v>
      </c>
      <c r="DE236" s="163">
        <v>-315</v>
      </c>
      <c r="DF236" s="163">
        <f>VLOOKUP($C236,'[3]BS ACC'!$C$5:$DH$1006,108,FALSE)</f>
        <v>-1260</v>
      </c>
      <c r="DG236" s="163">
        <f>VLOOKUP($C236,'[3]BS ACC'!$C$5:$DH$1006,109,FALSE)</f>
        <v>-1260</v>
      </c>
      <c r="DH236" s="163">
        <f>VLOOKUP($C236,'[3]BS ACC'!$C$5:$DH$1006,110,FALSE)</f>
        <v>-1277.5</v>
      </c>
    </row>
    <row r="237" spans="1:112">
      <c r="A237" s="350" t="str">
        <f t="shared" si="3"/>
        <v>2320027</v>
      </c>
      <c r="B237" s="350" t="s">
        <v>1649</v>
      </c>
      <c r="C237" s="335" t="s">
        <v>763</v>
      </c>
      <c r="D237" s="340">
        <v>-18013.8</v>
      </c>
      <c r="E237" s="340">
        <v>-8093.46</v>
      </c>
      <c r="F237" s="340">
        <v>-8482.2099999999991</v>
      </c>
      <c r="G237" s="340">
        <v>-5937.19</v>
      </c>
      <c r="H237" s="340">
        <v>-5578.55</v>
      </c>
      <c r="I237" s="340">
        <v>-3741.06</v>
      </c>
      <c r="J237" s="340">
        <v>-7200.46</v>
      </c>
      <c r="K237" s="340">
        <v>-8123.58</v>
      </c>
      <c r="L237" s="340">
        <v>-13638.74</v>
      </c>
      <c r="M237" s="340">
        <v>-16829.73</v>
      </c>
      <c r="N237" s="340">
        <v>-20356.46</v>
      </c>
      <c r="O237" s="340">
        <v>-24436.560000000001</v>
      </c>
      <c r="P237" s="341">
        <v>-25861.45</v>
      </c>
      <c r="Q237" s="163">
        <v>-17915.650000000001</v>
      </c>
      <c r="R237" s="163">
        <v>-17682.23</v>
      </c>
      <c r="S237" s="163">
        <v>-17467.060000000001</v>
      </c>
      <c r="T237" s="163">
        <v>-13615.04</v>
      </c>
      <c r="U237" s="163">
        <v>-13303.2</v>
      </c>
      <c r="V237" s="163">
        <v>-13073.58</v>
      </c>
      <c r="W237" s="163">
        <v>-16132.62</v>
      </c>
      <c r="X237" s="163">
        <v>-20154.259999999998</v>
      </c>
      <c r="Y237" s="163">
        <v>-21200.61</v>
      </c>
      <c r="Z237" s="163">
        <v>-24166.62</v>
      </c>
      <c r="AA237" s="163">
        <v>-27091.47</v>
      </c>
      <c r="AB237" s="163">
        <v>-30117.86</v>
      </c>
      <c r="AC237" s="163">
        <v>-21448.7</v>
      </c>
      <c r="AD237" s="163">
        <v>-21808.959999999999</v>
      </c>
      <c r="AE237" s="163">
        <v>-20128.87</v>
      </c>
      <c r="AF237" s="163">
        <v>-21791.34</v>
      </c>
      <c r="AG237" s="163">
        <v>-22023.03</v>
      </c>
      <c r="AH237" s="163">
        <v>-24593.27</v>
      </c>
      <c r="AI237" s="163">
        <v>-26037.34</v>
      </c>
      <c r="AJ237" s="163">
        <v>-28239.91</v>
      </c>
      <c r="AK237" s="163">
        <v>-32764.58</v>
      </c>
      <c r="AL237" s="163">
        <v>-34276.639999999999</v>
      </c>
      <c r="AM237" s="163">
        <v>-36692.019999999997</v>
      </c>
      <c r="AN237" s="163">
        <v>-39837.26</v>
      </c>
      <c r="AO237" s="163">
        <v>-33833.43</v>
      </c>
      <c r="AP237" s="163">
        <v>-35240.589999999997</v>
      </c>
      <c r="AQ237" s="163">
        <v>-38343.25</v>
      </c>
      <c r="AR237" s="163">
        <v>-38546.160000000003</v>
      </c>
      <c r="AS237" s="163">
        <v>-40169.72</v>
      </c>
      <c r="AT237" s="163">
        <v>-40631.19</v>
      </c>
      <c r="AU237" s="163">
        <v>-45870.61</v>
      </c>
      <c r="AV237" s="163">
        <v>-48796.49</v>
      </c>
      <c r="AW237" s="163">
        <v>-50354.68</v>
      </c>
      <c r="AX237" s="163">
        <v>-51055.61</v>
      </c>
      <c r="AY237" s="163">
        <v>-54294.57</v>
      </c>
      <c r="AZ237" s="163">
        <v>-54393.35</v>
      </c>
      <c r="BA237" s="163">
        <v>-51173.84</v>
      </c>
      <c r="BB237" s="163">
        <v>-52553.79</v>
      </c>
      <c r="BC237" s="163">
        <v>-54366.61</v>
      </c>
      <c r="BD237" s="163">
        <v>-52745.54</v>
      </c>
      <c r="BE237" s="163">
        <v>-52968.68</v>
      </c>
      <c r="BF237" s="163">
        <v>-54425.11</v>
      </c>
      <c r="BG237" s="163">
        <v>-57139.45</v>
      </c>
      <c r="BH237" s="163">
        <v>-58317.14</v>
      </c>
      <c r="BI237" s="163">
        <v>-60741.78</v>
      </c>
      <c r="BJ237" s="163">
        <v>-68281.66</v>
      </c>
      <c r="BK237" s="163">
        <v>-65972.69</v>
      </c>
      <c r="BL237" s="163">
        <v>-63362.28</v>
      </c>
      <c r="BM237" s="163">
        <v>-60758.37</v>
      </c>
      <c r="BN237" s="163">
        <v>-57777.66</v>
      </c>
      <c r="BO237" s="163">
        <v>-55822.69</v>
      </c>
      <c r="BP237" s="163">
        <v>-53146.21</v>
      </c>
      <c r="BQ237" s="163">
        <v>-56981.53</v>
      </c>
      <c r="BR237" s="163">
        <v>-51471.93</v>
      </c>
      <c r="BS237" s="163">
        <v>-52120.78</v>
      </c>
      <c r="BT237" s="163">
        <v>-59325.440000000002</v>
      </c>
      <c r="BU237" s="163">
        <v>-64930.23</v>
      </c>
      <c r="BV237" s="163">
        <v>-71798.5</v>
      </c>
      <c r="BW237" s="163">
        <v>-76390.789999999994</v>
      </c>
      <c r="BX237" s="163">
        <v>-23556.03</v>
      </c>
      <c r="BY237" s="163">
        <v>-18884.54</v>
      </c>
      <c r="BZ237" s="163">
        <v>-23058.79</v>
      </c>
      <c r="CA237" s="163">
        <v>-15563.9</v>
      </c>
      <c r="CB237" s="163">
        <v>-17392.03</v>
      </c>
      <c r="CC237" s="163">
        <v>-18340.78</v>
      </c>
      <c r="CD237" s="163">
        <v>-23571.66</v>
      </c>
      <c r="CE237" s="163">
        <v>-20122.240000000002</v>
      </c>
      <c r="CF237" s="163">
        <v>-24367.69</v>
      </c>
      <c r="CG237" s="163">
        <v>-30654.959999999999</v>
      </c>
      <c r="CH237" s="163">
        <v>-30153.5</v>
      </c>
      <c r="CI237" s="163">
        <v>-33541.5</v>
      </c>
      <c r="CJ237" s="163">
        <v>-32303.53</v>
      </c>
      <c r="CK237" s="163">
        <v>-27280.19</v>
      </c>
      <c r="CL237" s="163">
        <v>-27535.77</v>
      </c>
      <c r="CM237" s="163">
        <v>-24927.9</v>
      </c>
      <c r="CN237" s="163">
        <v>-20918.04</v>
      </c>
      <c r="CO237" s="163">
        <v>-20892.36</v>
      </c>
      <c r="CP237" s="163">
        <v>-21093.14</v>
      </c>
      <c r="CQ237" s="163">
        <v>-23306.560000000001</v>
      </c>
      <c r="CR237" s="163">
        <v>-22544.99</v>
      </c>
      <c r="CS237" s="163">
        <v>-30170.77</v>
      </c>
      <c r="CT237" s="163">
        <v>-35287.620000000003</v>
      </c>
      <c r="CU237" s="163">
        <v>-36023.49</v>
      </c>
      <c r="CV237" s="163">
        <v>-37370.06</v>
      </c>
      <c r="CW237" s="163">
        <v>-36522.58</v>
      </c>
      <c r="CX237" s="163">
        <v>-39847.43</v>
      </c>
      <c r="CY237" s="163">
        <v>-39621.050000000003</v>
      </c>
      <c r="CZ237" s="163">
        <v>-35757.61</v>
      </c>
      <c r="DA237" s="163">
        <v>-36939.629999999997</v>
      </c>
      <c r="DB237" s="163">
        <v>-41910.019999999997</v>
      </c>
      <c r="DC237" s="163">
        <v>-38108.81</v>
      </c>
      <c r="DD237" s="163">
        <v>-42735.83</v>
      </c>
      <c r="DE237" s="163">
        <v>-46797.46</v>
      </c>
      <c r="DF237" s="163">
        <f>VLOOKUP($C237,'[3]BS ACC'!$C$5:$DH$1006,108,FALSE)</f>
        <v>-44258.36</v>
      </c>
      <c r="DG237" s="163">
        <f>VLOOKUP($C237,'[3]BS ACC'!$C$5:$DH$1006,109,FALSE)</f>
        <v>-45881.87</v>
      </c>
      <c r="DH237" s="163">
        <f>VLOOKUP($C237,'[3]BS ACC'!$C$5:$DH$1006,110,FALSE)</f>
        <v>-48920.27</v>
      </c>
    </row>
    <row r="238" spans="1:112">
      <c r="A238" s="350" t="str">
        <f t="shared" si="3"/>
        <v>2320028</v>
      </c>
      <c r="B238" s="350" t="s">
        <v>1650</v>
      </c>
      <c r="C238" s="335" t="s">
        <v>764</v>
      </c>
      <c r="D238" s="340">
        <v>1384.96</v>
      </c>
      <c r="E238" s="340">
        <v>824.94</v>
      </c>
      <c r="F238" s="340">
        <v>1308.3</v>
      </c>
      <c r="G238" s="340">
        <v>649.99</v>
      </c>
      <c r="H238" s="340">
        <v>1590.08</v>
      </c>
      <c r="I238" s="340">
        <v>1833.38</v>
      </c>
      <c r="J238" s="340">
        <v>2008.36</v>
      </c>
      <c r="K238" s="340">
        <v>1766.67</v>
      </c>
      <c r="L238" s="340">
        <v>1524.98</v>
      </c>
      <c r="M238" s="340">
        <v>1283.29</v>
      </c>
      <c r="N238" s="340">
        <v>1041.5999999999999</v>
      </c>
      <c r="O238" s="340">
        <v>799.95</v>
      </c>
      <c r="P238" s="341">
        <v>558.29999999999995</v>
      </c>
      <c r="Q238" s="163">
        <v>191.62</v>
      </c>
      <c r="R238" s="163">
        <v>2224.94</v>
      </c>
      <c r="S238" s="163">
        <v>2358.2600000000002</v>
      </c>
      <c r="T238" s="163">
        <v>1991.58</v>
      </c>
      <c r="U238" s="163">
        <v>1624.9</v>
      </c>
      <c r="V238" s="163">
        <v>1258.22</v>
      </c>
      <c r="W238" s="163">
        <v>891.54</v>
      </c>
      <c r="X238" s="163">
        <v>524.86</v>
      </c>
      <c r="Y238" s="163">
        <v>158.18</v>
      </c>
      <c r="Z238" s="163">
        <v>-208.5</v>
      </c>
      <c r="AA238" s="163">
        <v>-575.1</v>
      </c>
      <c r="AB238" s="163">
        <v>-941.7</v>
      </c>
      <c r="AC238" s="163">
        <v>-1324.96</v>
      </c>
      <c r="AD238" s="163">
        <v>491.74</v>
      </c>
      <c r="AE238" s="163">
        <v>308.39999999999998</v>
      </c>
      <c r="AF238" s="163">
        <v>925.02</v>
      </c>
      <c r="AG238" s="163">
        <v>541.67999999999995</v>
      </c>
      <c r="AH238" s="163">
        <v>-555.94000000000005</v>
      </c>
      <c r="AI238" s="163">
        <v>-1653.56</v>
      </c>
      <c r="AJ238" s="163">
        <v>-2751.18</v>
      </c>
      <c r="AK238" s="163">
        <v>-3175.46</v>
      </c>
      <c r="AL238" s="163">
        <v>-3205.83</v>
      </c>
      <c r="AM238" s="163">
        <v>-3705.17</v>
      </c>
      <c r="AN238" s="163">
        <v>-2479.5</v>
      </c>
      <c r="AO238" s="163">
        <v>-1732.96</v>
      </c>
      <c r="AP238" s="163">
        <v>-3362.91</v>
      </c>
      <c r="AQ238" s="163">
        <v>-3743.35</v>
      </c>
      <c r="AR238" s="163">
        <v>-3763.29</v>
      </c>
      <c r="AS238" s="163">
        <v>-4539.1099999999997</v>
      </c>
      <c r="AT238" s="163">
        <v>-4039.05</v>
      </c>
      <c r="AU238" s="163">
        <v>-4979.84</v>
      </c>
      <c r="AV238" s="163">
        <v>-2948.11</v>
      </c>
      <c r="AW238" s="163">
        <v>-4423.16</v>
      </c>
      <c r="AX238" s="163">
        <v>-4823.21</v>
      </c>
      <c r="AY238" s="163">
        <v>-4646.55</v>
      </c>
      <c r="AZ238" s="163">
        <v>-5563.38</v>
      </c>
      <c r="BA238" s="163">
        <v>-7274.26</v>
      </c>
      <c r="BB238" s="163">
        <v>-5211.8</v>
      </c>
      <c r="BC238" s="163">
        <v>-4432.58</v>
      </c>
      <c r="BD238" s="163">
        <v>-4928.43</v>
      </c>
      <c r="BE238" s="163">
        <v>-6039.23</v>
      </c>
      <c r="BF238" s="163">
        <v>-6430.02</v>
      </c>
      <c r="BG238" s="163">
        <v>-7086.66</v>
      </c>
      <c r="BH238" s="163">
        <v>-6263.3</v>
      </c>
      <c r="BI238" s="163">
        <v>-6872.53</v>
      </c>
      <c r="BJ238" s="163">
        <v>-8352.57</v>
      </c>
      <c r="BK238" s="163">
        <v>-7305.9</v>
      </c>
      <c r="BL238" s="163">
        <v>-7495.11</v>
      </c>
      <c r="BM238" s="163">
        <v>-9045.09</v>
      </c>
      <c r="BN238" s="163">
        <v>-10145.07</v>
      </c>
      <c r="BO238" s="163">
        <v>-9265.5400000000009</v>
      </c>
      <c r="BP238" s="163">
        <v>-8705.7800000000007</v>
      </c>
      <c r="BQ238" s="163">
        <v>-10446.51</v>
      </c>
      <c r="BR238" s="163">
        <v>-11724.41</v>
      </c>
      <c r="BS238" s="163">
        <v>-7188.39</v>
      </c>
      <c r="BT238" s="163">
        <v>-8573.42</v>
      </c>
      <c r="BU238" s="163">
        <v>-8301.9599999999991</v>
      </c>
      <c r="BV238" s="163">
        <v>-9918.66</v>
      </c>
      <c r="BW238" s="163">
        <v>-10006</v>
      </c>
      <c r="BX238" s="163">
        <v>-5504.27</v>
      </c>
      <c r="BY238" s="163">
        <v>1688.57</v>
      </c>
      <c r="BZ238" s="163">
        <v>192.37</v>
      </c>
      <c r="CA238" s="163">
        <v>-199.99</v>
      </c>
      <c r="CB238" s="163">
        <v>1313.56</v>
      </c>
      <c r="CC238" s="163">
        <v>83.61</v>
      </c>
      <c r="CD238" s="163">
        <v>-1177.0899999999999</v>
      </c>
      <c r="CE238" s="163">
        <v>-1772.79</v>
      </c>
      <c r="CF238" s="163">
        <v>236.59</v>
      </c>
      <c r="CG238" s="163">
        <v>-280.08999999999997</v>
      </c>
      <c r="CH238" s="163">
        <v>2106.0500000000002</v>
      </c>
      <c r="CI238" s="163">
        <v>2039.37</v>
      </c>
      <c r="CJ238" s="163">
        <v>2722.71</v>
      </c>
      <c r="CK238" s="163">
        <v>3956.09</v>
      </c>
      <c r="CL238" s="163">
        <v>3106.09</v>
      </c>
      <c r="CM238" s="163">
        <v>2894.61</v>
      </c>
      <c r="CN238" s="163">
        <v>2287.1999999999998</v>
      </c>
      <c r="CO238" s="163">
        <v>1303.8900000000001</v>
      </c>
      <c r="CP238" s="163">
        <v>417.59</v>
      </c>
      <c r="CQ238" s="163">
        <v>978.47</v>
      </c>
      <c r="CR238" s="163">
        <v>-84.21</v>
      </c>
      <c r="CS238" s="163">
        <v>-1045.93</v>
      </c>
      <c r="CT238" s="163">
        <v>-1969.81</v>
      </c>
      <c r="CU238" s="163">
        <v>3893.65</v>
      </c>
      <c r="CV238" s="163">
        <v>3284.63</v>
      </c>
      <c r="CW238" s="163">
        <v>6171.32</v>
      </c>
      <c r="CX238" s="163">
        <v>4279.67</v>
      </c>
      <c r="CY238" s="163">
        <v>3572.51</v>
      </c>
      <c r="CZ238" s="163">
        <v>2640.41</v>
      </c>
      <c r="DA238" s="163">
        <v>1548.97</v>
      </c>
      <c r="DB238" s="163">
        <v>107.93</v>
      </c>
      <c r="DC238" s="163">
        <v>455.29</v>
      </c>
      <c r="DD238" s="163">
        <v>-1700.37</v>
      </c>
      <c r="DE238" s="163">
        <v>-4298.99</v>
      </c>
      <c r="DF238" s="163">
        <f>VLOOKUP($C238,'[3]BS ACC'!$C$5:$DH$1006,108,FALSE)</f>
        <v>-3436.67</v>
      </c>
      <c r="DG238" s="163">
        <f>VLOOKUP($C238,'[3]BS ACC'!$C$5:$DH$1006,109,FALSE)</f>
        <v>3942.69</v>
      </c>
      <c r="DH238" s="163">
        <f>VLOOKUP($C238,'[3]BS ACC'!$C$5:$DH$1006,110,FALSE)</f>
        <v>2257.38</v>
      </c>
    </row>
    <row r="239" spans="1:112">
      <c r="A239" s="350" t="str">
        <f t="shared" si="3"/>
        <v>2320029</v>
      </c>
      <c r="B239" s="350" t="s">
        <v>1651</v>
      </c>
      <c r="C239" s="335" t="s">
        <v>765</v>
      </c>
      <c r="D239" s="340">
        <v>-2494.3000000000002</v>
      </c>
      <c r="E239" s="340">
        <v>-987.5</v>
      </c>
      <c r="F239" s="340">
        <v>-954.7</v>
      </c>
      <c r="G239" s="340">
        <v>-954.7</v>
      </c>
      <c r="H239" s="340">
        <v>-954.7</v>
      </c>
      <c r="I239" s="340">
        <v>-954.7</v>
      </c>
      <c r="J239" s="340">
        <v>-954.7</v>
      </c>
      <c r="K239" s="340">
        <v>-954.7</v>
      </c>
      <c r="L239" s="340">
        <v>-954.7</v>
      </c>
      <c r="M239" s="340">
        <v>-954.7</v>
      </c>
      <c r="N239" s="340">
        <v>-954.7</v>
      </c>
      <c r="O239" s="340">
        <v>-954.7</v>
      </c>
      <c r="P239" s="341">
        <v>-954.7</v>
      </c>
      <c r="Q239" s="163">
        <v>-743.5</v>
      </c>
      <c r="R239" s="163">
        <v>-743.5</v>
      </c>
      <c r="S239" s="163">
        <v>-626.5</v>
      </c>
      <c r="T239" s="163">
        <v>-445.3</v>
      </c>
      <c r="U239" s="163">
        <v>-328.3</v>
      </c>
      <c r="V239" s="163">
        <v>-211.3</v>
      </c>
      <c r="W239" s="163">
        <v>-94.3</v>
      </c>
      <c r="X239" s="163">
        <v>22.7</v>
      </c>
      <c r="Y239" s="163">
        <v>22.7</v>
      </c>
      <c r="Z239" s="163">
        <v>22.7</v>
      </c>
      <c r="AA239" s="163">
        <v>22.7</v>
      </c>
      <c r="AB239" s="163">
        <v>22.7</v>
      </c>
      <c r="AC239" s="163">
        <v>22.7</v>
      </c>
      <c r="AD239" s="163">
        <v>22.7</v>
      </c>
      <c r="AE239" s="163">
        <v>22.7</v>
      </c>
      <c r="AF239" s="163">
        <v>22.7</v>
      </c>
      <c r="AG239" s="163">
        <v>22.7</v>
      </c>
      <c r="AH239" s="163">
        <v>22.7</v>
      </c>
      <c r="AI239" s="163">
        <v>22.7</v>
      </c>
      <c r="AJ239" s="163">
        <v>-14.8</v>
      </c>
      <c r="AK239" s="163">
        <v>-52.3</v>
      </c>
      <c r="AL239" s="163">
        <v>-127.3</v>
      </c>
      <c r="AM239" s="163">
        <v>-127.3</v>
      </c>
      <c r="AN239" s="163">
        <v>-127.3</v>
      </c>
      <c r="AO239" s="163">
        <v>-127.3</v>
      </c>
      <c r="AP239" s="163">
        <v>-127.3</v>
      </c>
      <c r="AQ239" s="163">
        <v>-52.3</v>
      </c>
      <c r="AR239" s="163">
        <v>-52.3</v>
      </c>
      <c r="AS239" s="163">
        <v>-52.3</v>
      </c>
      <c r="AT239" s="163">
        <v>-124.3</v>
      </c>
      <c r="AU239" s="163">
        <v>99.9</v>
      </c>
      <c r="AV239" s="163">
        <v>174.9</v>
      </c>
      <c r="AW239" s="163">
        <v>174.9</v>
      </c>
      <c r="AX239" s="163">
        <v>-1271.02</v>
      </c>
      <c r="AY239" s="163">
        <v>33.85</v>
      </c>
      <c r="AZ239" s="163">
        <v>1479.77</v>
      </c>
      <c r="BA239" s="163">
        <v>33.85</v>
      </c>
      <c r="BB239" s="163">
        <v>33.85</v>
      </c>
      <c r="BC239" s="163">
        <v>-41.15</v>
      </c>
      <c r="BD239" s="163">
        <v>-41.15</v>
      </c>
      <c r="BE239" s="163">
        <v>-79.150000000000006</v>
      </c>
      <c r="BF239" s="163">
        <v>-79.150000000000006</v>
      </c>
      <c r="BG239" s="163">
        <v>-1378.07</v>
      </c>
      <c r="BH239" s="163">
        <v>-417.15</v>
      </c>
      <c r="BI239" s="163">
        <v>-518.85</v>
      </c>
      <c r="BJ239" s="163">
        <v>-2031.97</v>
      </c>
      <c r="BK239" s="163">
        <v>-593.85</v>
      </c>
      <c r="BL239" s="163">
        <v>-593.85</v>
      </c>
      <c r="BM239" s="163">
        <v>-1842.87</v>
      </c>
      <c r="BN239" s="163">
        <v>-2700.87</v>
      </c>
      <c r="BO239" s="163">
        <v>-3468.03</v>
      </c>
      <c r="BP239" s="163">
        <v>-3798.37</v>
      </c>
      <c r="BQ239" s="163">
        <v>-4310.34</v>
      </c>
      <c r="BR239" s="163">
        <v>-4110.0200000000004</v>
      </c>
      <c r="BS239" s="163">
        <v>-4109.8900000000003</v>
      </c>
      <c r="BT239" s="163">
        <v>-2951.3</v>
      </c>
      <c r="BU239" s="163">
        <v>-3280.89</v>
      </c>
      <c r="BV239" s="163">
        <v>-3604.92</v>
      </c>
      <c r="BW239" s="163">
        <v>-3129.28</v>
      </c>
      <c r="BX239" s="163">
        <v>-3188.8</v>
      </c>
      <c r="BY239" s="163">
        <v>-1953.54</v>
      </c>
      <c r="BZ239" s="163">
        <v>-2881.23</v>
      </c>
      <c r="CA239" s="163">
        <v>-3043.11</v>
      </c>
      <c r="CB239" s="163">
        <v>-2837.74</v>
      </c>
      <c r="CC239" s="163">
        <v>-2770.65</v>
      </c>
      <c r="CD239" s="163">
        <v>-3272.27</v>
      </c>
      <c r="CE239" s="163">
        <v>-2319.48</v>
      </c>
      <c r="CF239" s="163">
        <v>-2380.3000000000002</v>
      </c>
      <c r="CG239" s="163">
        <v>-3194.58</v>
      </c>
      <c r="CH239" s="163">
        <v>-2812.78</v>
      </c>
      <c r="CI239" s="163">
        <v>-2985.56</v>
      </c>
      <c r="CJ239" s="163">
        <v>-2627.68</v>
      </c>
      <c r="CK239" s="163">
        <v>-2558</v>
      </c>
      <c r="CL239" s="163">
        <v>-2909.85</v>
      </c>
      <c r="CM239" s="163">
        <v>-282.58</v>
      </c>
      <c r="CN239" s="163">
        <v>-2983.13</v>
      </c>
      <c r="CO239" s="163">
        <v>-3591.99</v>
      </c>
      <c r="CP239" s="163">
        <v>-4081.69</v>
      </c>
      <c r="CQ239" s="163">
        <v>-2861.35</v>
      </c>
      <c r="CR239" s="163">
        <v>-3358.99</v>
      </c>
      <c r="CS239" s="163">
        <v>-4099.63</v>
      </c>
      <c r="CT239" s="163">
        <v>-3990.67</v>
      </c>
      <c r="CU239" s="163">
        <v>-3634.8</v>
      </c>
      <c r="CV239" s="163">
        <v>-3286.02</v>
      </c>
      <c r="CW239" s="163">
        <v>-4167.26</v>
      </c>
      <c r="CX239" s="163">
        <v>-5339.19</v>
      </c>
      <c r="CY239" s="163">
        <v>-5589.59</v>
      </c>
      <c r="CZ239" s="163">
        <v>-5080.37</v>
      </c>
      <c r="DA239" s="163">
        <v>-5205.34</v>
      </c>
      <c r="DB239" s="163">
        <v>-5725.33</v>
      </c>
      <c r="DC239" s="163">
        <v>-5081.3999999999996</v>
      </c>
      <c r="DD239" s="163">
        <v>-5314.57</v>
      </c>
      <c r="DE239" s="163">
        <v>-6099.71</v>
      </c>
      <c r="DF239" s="163">
        <f>VLOOKUP($C239,'[3]BS ACC'!$C$5:$DH$1006,108,FALSE)</f>
        <v>-5891.25</v>
      </c>
      <c r="DG239" s="163">
        <f>VLOOKUP($C239,'[3]BS ACC'!$C$5:$DH$1006,109,FALSE)</f>
        <v>-6386.12</v>
      </c>
      <c r="DH239" s="163">
        <f>VLOOKUP($C239,'[3]BS ACC'!$C$5:$DH$1006,110,FALSE)</f>
        <v>-5664.04</v>
      </c>
    </row>
    <row r="240" spans="1:112">
      <c r="A240" s="350" t="str">
        <f t="shared" si="3"/>
        <v>2320030</v>
      </c>
      <c r="B240" s="350" t="s">
        <v>1652</v>
      </c>
      <c r="C240" s="335" t="s">
        <v>766</v>
      </c>
      <c r="D240" s="340">
        <v>0</v>
      </c>
      <c r="E240" s="340">
        <v>0</v>
      </c>
      <c r="F240" s="340">
        <v>0</v>
      </c>
      <c r="G240" s="340">
        <v>0</v>
      </c>
      <c r="H240" s="340">
        <v>-180</v>
      </c>
      <c r="I240" s="340">
        <v>0</v>
      </c>
      <c r="J240" s="340">
        <v>0</v>
      </c>
      <c r="K240" s="340">
        <v>-80</v>
      </c>
      <c r="L240" s="340">
        <v>0</v>
      </c>
      <c r="M240" s="340">
        <v>0</v>
      </c>
      <c r="N240" s="340">
        <v>0</v>
      </c>
      <c r="O240" s="340">
        <v>0</v>
      </c>
      <c r="P240" s="341">
        <v>0</v>
      </c>
      <c r="Q240" s="163">
        <v>-80</v>
      </c>
      <c r="R240" s="163">
        <v>-80</v>
      </c>
      <c r="S240" s="163">
        <v>0</v>
      </c>
      <c r="T240" s="163">
        <v>0</v>
      </c>
      <c r="U240" s="163">
        <v>-80</v>
      </c>
      <c r="V240" s="163">
        <v>0</v>
      </c>
      <c r="W240" s="163">
        <v>0</v>
      </c>
      <c r="X240" s="163">
        <v>0</v>
      </c>
      <c r="Y240" s="163">
        <v>-50</v>
      </c>
      <c r="Z240" s="163">
        <v>0</v>
      </c>
      <c r="AA240" s="163">
        <v>0</v>
      </c>
      <c r="AB240" s="163">
        <v>0</v>
      </c>
      <c r="AC240" s="163">
        <v>-50</v>
      </c>
      <c r="AD240" s="163">
        <v>-50</v>
      </c>
      <c r="AE240" s="163">
        <v>-50</v>
      </c>
      <c r="AF240" s="163">
        <v>0</v>
      </c>
      <c r="AG240" s="163">
        <v>0</v>
      </c>
      <c r="AH240" s="163">
        <v>0</v>
      </c>
      <c r="AI240" s="163">
        <v>0</v>
      </c>
      <c r="AJ240" s="163">
        <v>0</v>
      </c>
      <c r="AK240" s="163">
        <v>0</v>
      </c>
      <c r="AL240" s="163">
        <v>0</v>
      </c>
      <c r="AM240" s="163">
        <v>0</v>
      </c>
      <c r="AN240" s="163">
        <v>0</v>
      </c>
      <c r="AO240" s="163">
        <v>0</v>
      </c>
      <c r="AP240" s="163">
        <v>0</v>
      </c>
      <c r="AQ240" s="163">
        <v>0</v>
      </c>
      <c r="AR240" s="163">
        <v>0</v>
      </c>
      <c r="AS240" s="163">
        <v>-50</v>
      </c>
      <c r="AT240" s="163">
        <v>0</v>
      </c>
      <c r="AU240" s="163">
        <v>0</v>
      </c>
      <c r="AV240" s="163">
        <v>0</v>
      </c>
      <c r="AW240" s="163">
        <v>0</v>
      </c>
      <c r="AX240" s="163">
        <v>0</v>
      </c>
      <c r="AY240" s="163">
        <v>0</v>
      </c>
      <c r="AZ240" s="163">
        <v>0</v>
      </c>
      <c r="BA240" s="163">
        <v>0</v>
      </c>
      <c r="BB240" s="163">
        <v>0</v>
      </c>
      <c r="BC240" s="163">
        <v>0</v>
      </c>
      <c r="BD240" s="163">
        <v>0</v>
      </c>
      <c r="BE240" s="163">
        <v>0</v>
      </c>
      <c r="BF240" s="163">
        <v>0</v>
      </c>
      <c r="BG240" s="163">
        <v>0</v>
      </c>
      <c r="BH240" s="163">
        <v>0</v>
      </c>
      <c r="BI240" s="163">
        <v>0</v>
      </c>
      <c r="BJ240" s="163">
        <v>0</v>
      </c>
      <c r="BK240" s="163">
        <v>0</v>
      </c>
      <c r="BL240" s="163">
        <v>0</v>
      </c>
      <c r="BM240" s="163">
        <v>0</v>
      </c>
      <c r="BN240" s="163">
        <v>0</v>
      </c>
      <c r="BO240" s="163">
        <v>0</v>
      </c>
      <c r="BP240" s="163">
        <v>0</v>
      </c>
      <c r="BQ240" s="163">
        <v>0</v>
      </c>
      <c r="BR240" s="163">
        <v>0</v>
      </c>
      <c r="BS240" s="163">
        <v>-50</v>
      </c>
      <c r="BT240" s="163">
        <v>0</v>
      </c>
      <c r="BU240" s="163">
        <v>0</v>
      </c>
      <c r="BV240" s="163">
        <v>0</v>
      </c>
      <c r="BW240" s="163">
        <v>-20</v>
      </c>
      <c r="BX240" s="163">
        <v>888.48</v>
      </c>
      <c r="BY240" s="163">
        <v>0</v>
      </c>
      <c r="BZ240" s="163">
        <v>0</v>
      </c>
      <c r="CA240" s="163">
        <v>0</v>
      </c>
      <c r="CB240" s="163">
        <v>0</v>
      </c>
      <c r="CC240" s="163">
        <v>-20</v>
      </c>
      <c r="CD240" s="163">
        <v>-20</v>
      </c>
      <c r="CE240" s="163">
        <v>-20</v>
      </c>
      <c r="CF240" s="163">
        <v>-20</v>
      </c>
      <c r="CG240" s="163">
        <v>-20</v>
      </c>
      <c r="CH240" s="163">
        <v>-20</v>
      </c>
      <c r="CI240" s="163">
        <v>-20</v>
      </c>
      <c r="CJ240" s="163">
        <v>-20</v>
      </c>
      <c r="CK240" s="163">
        <v>-20</v>
      </c>
      <c r="CL240" s="163">
        <v>-20</v>
      </c>
      <c r="CM240" s="163">
        <v>0</v>
      </c>
      <c r="CN240" s="163">
        <v>-20</v>
      </c>
      <c r="CO240" s="163">
        <v>-20</v>
      </c>
      <c r="CP240" s="163">
        <v>0</v>
      </c>
      <c r="CQ240" s="163">
        <v>-20</v>
      </c>
      <c r="CR240" s="163">
        <v>-20</v>
      </c>
      <c r="CS240" s="163">
        <v>-20</v>
      </c>
      <c r="CT240" s="163">
        <v>-20</v>
      </c>
      <c r="CU240" s="163">
        <v>0</v>
      </c>
      <c r="CV240" s="163">
        <v>-20</v>
      </c>
      <c r="CW240" s="163">
        <v>-20</v>
      </c>
      <c r="CX240" s="163">
        <v>-20</v>
      </c>
      <c r="CY240" s="163">
        <v>-20</v>
      </c>
      <c r="CZ240" s="163">
        <v>-20</v>
      </c>
      <c r="DA240" s="163">
        <v>-20</v>
      </c>
      <c r="DB240" s="163">
        <v>-20</v>
      </c>
      <c r="DC240" s="163">
        <v>-20</v>
      </c>
      <c r="DD240" s="163">
        <v>0</v>
      </c>
      <c r="DE240" s="163">
        <v>0</v>
      </c>
      <c r="DF240" s="163">
        <f>VLOOKUP($C240,'[3]BS ACC'!$C$5:$DH$1006,108,FALSE)</f>
        <v>-20</v>
      </c>
      <c r="DG240" s="163">
        <f>VLOOKUP($C240,'[3]BS ACC'!$C$5:$DH$1006,109,FALSE)</f>
        <v>-20</v>
      </c>
      <c r="DH240" s="163">
        <f>VLOOKUP($C240,'[3]BS ACC'!$C$5:$DH$1006,110,FALSE)</f>
        <v>-20</v>
      </c>
    </row>
    <row r="241" spans="1:112">
      <c r="A241" s="350" t="str">
        <f t="shared" si="3"/>
        <v>2320031</v>
      </c>
      <c r="B241" s="350" t="s">
        <v>1653</v>
      </c>
      <c r="C241" s="335" t="s">
        <v>767</v>
      </c>
      <c r="D241" s="340">
        <v>-10299259.01</v>
      </c>
      <c r="E241" s="340">
        <v>-18120673.210000001</v>
      </c>
      <c r="F241" s="340">
        <v>-12008336.699999999</v>
      </c>
      <c r="G241" s="340">
        <v>-12588810.98</v>
      </c>
      <c r="H241" s="340">
        <v>-12205787.210000001</v>
      </c>
      <c r="I241" s="340">
        <v>-9095221.5399999991</v>
      </c>
      <c r="J241" s="340">
        <v>-5691557</v>
      </c>
      <c r="K241" s="340">
        <v>-7021194.8399999999</v>
      </c>
      <c r="L241" s="340">
        <v>-8849412.1099999994</v>
      </c>
      <c r="M241" s="340">
        <v>-6576475.2199999997</v>
      </c>
      <c r="N241" s="340">
        <v>-10153348.359999999</v>
      </c>
      <c r="O241" s="340">
        <v>-14812731.52</v>
      </c>
      <c r="P241" s="341">
        <v>-13311425.119999999</v>
      </c>
      <c r="Q241" s="163">
        <v>-13968134.609999999</v>
      </c>
      <c r="R241" s="163">
        <v>-13946595.470000001</v>
      </c>
      <c r="S241" s="163">
        <v>-10634221.83</v>
      </c>
      <c r="T241" s="163">
        <v>-12478793.33</v>
      </c>
      <c r="U241" s="163">
        <v>-7516979.6200000001</v>
      </c>
      <c r="V241" s="163">
        <v>-7673808.2400000002</v>
      </c>
      <c r="W241" s="163">
        <v>-6937659.8700000001</v>
      </c>
      <c r="X241" s="163">
        <v>-10398307.91</v>
      </c>
      <c r="Y241" s="163">
        <v>-9009122.5700000003</v>
      </c>
      <c r="Z241" s="163">
        <v>-12160172.43</v>
      </c>
      <c r="AA241" s="163">
        <v>-14761688.99</v>
      </c>
      <c r="AB241" s="163">
        <v>-9516607.5600000005</v>
      </c>
      <c r="AC241" s="163">
        <v>-14513866.48</v>
      </c>
      <c r="AD241" s="163">
        <v>-12287346.91</v>
      </c>
      <c r="AE241" s="163">
        <v>-11134718.73</v>
      </c>
      <c r="AF241" s="163">
        <v>-12469329.619999999</v>
      </c>
      <c r="AG241" s="163">
        <v>-8070094.7300000004</v>
      </c>
      <c r="AH241" s="163">
        <v>-8045701.3099999996</v>
      </c>
      <c r="AI241" s="163">
        <v>-12186605.6</v>
      </c>
      <c r="AJ241" s="163">
        <v>-12088507.65</v>
      </c>
      <c r="AK241" s="163">
        <v>-11507462.720000001</v>
      </c>
      <c r="AL241" s="163">
        <v>-15541368.18</v>
      </c>
      <c r="AM241" s="163">
        <v>-11270859.01</v>
      </c>
      <c r="AN241" s="163">
        <v>-12029381.470000001</v>
      </c>
      <c r="AO241" s="163">
        <v>-13529246.25</v>
      </c>
      <c r="AP241" s="163">
        <v>-9138589.4399999995</v>
      </c>
      <c r="AQ241" s="163">
        <v>-11182819.800000001</v>
      </c>
      <c r="AR241" s="163">
        <v>-13256574.01</v>
      </c>
      <c r="AS241" s="163">
        <v>-10596982.289999999</v>
      </c>
      <c r="AT241" s="163">
        <v>-9018465.9299999997</v>
      </c>
      <c r="AU241" s="163">
        <v>-11128576.289999999</v>
      </c>
      <c r="AV241" s="163">
        <v>-15996147.65</v>
      </c>
      <c r="AW241" s="163">
        <v>-14274879.720000001</v>
      </c>
      <c r="AX241" s="163">
        <v>-12657737.880000001</v>
      </c>
      <c r="AY241" s="163">
        <v>-12859263.51</v>
      </c>
      <c r="AZ241" s="163">
        <v>-15311363.380000001</v>
      </c>
      <c r="BA241" s="163">
        <v>-21963382.93</v>
      </c>
      <c r="BB241" s="163">
        <v>-9098061.4399999995</v>
      </c>
      <c r="BC241" s="163">
        <v>-10449599.630000001</v>
      </c>
      <c r="BD241" s="163">
        <v>-9088051.7400000002</v>
      </c>
      <c r="BE241" s="163">
        <v>-10095044.1</v>
      </c>
      <c r="BF241" s="163">
        <v>-11914581.42</v>
      </c>
      <c r="BG241" s="163">
        <v>-12191564.51</v>
      </c>
      <c r="BH241" s="163">
        <v>-9526288.3499999996</v>
      </c>
      <c r="BI241" s="163">
        <v>-10562727.51</v>
      </c>
      <c r="BJ241" s="163">
        <v>-17341511.120000001</v>
      </c>
      <c r="BK241" s="163">
        <v>-19216454.280000001</v>
      </c>
      <c r="BL241" s="163">
        <v>-19057481.73</v>
      </c>
      <c r="BM241" s="163">
        <v>-15322862.73</v>
      </c>
      <c r="BN241" s="163">
        <v>-9550740.4000000004</v>
      </c>
      <c r="BO241" s="163">
        <v>-12500576.08</v>
      </c>
      <c r="BP241" s="163">
        <v>-10689473.26</v>
      </c>
      <c r="BQ241" s="163">
        <v>-10765323.09</v>
      </c>
      <c r="BR241" s="163">
        <v>-6914615.3899999997</v>
      </c>
      <c r="BS241" s="163">
        <v>-8099316.6900000004</v>
      </c>
      <c r="BT241" s="163">
        <v>-9528941.0800000001</v>
      </c>
      <c r="BU241" s="163">
        <v>-11819406.4</v>
      </c>
      <c r="BV241" s="163">
        <v>-13081301.380000001</v>
      </c>
      <c r="BW241" s="163">
        <v>-13543392.970000001</v>
      </c>
      <c r="BX241" s="163">
        <v>-13595616.57</v>
      </c>
      <c r="BY241" s="163">
        <v>-13204175.65</v>
      </c>
      <c r="BZ241" s="163">
        <v>-10502683.15</v>
      </c>
      <c r="CA241" s="163">
        <v>-10148194.470000001</v>
      </c>
      <c r="CB241" s="163">
        <v>-6823930.6399999997</v>
      </c>
      <c r="CC241" s="163">
        <v>-7437657.6200000001</v>
      </c>
      <c r="CD241" s="163">
        <v>-8400238.2100000009</v>
      </c>
      <c r="CE241" s="163">
        <v>-8551543.1300000008</v>
      </c>
      <c r="CF241" s="163">
        <v>-8062293.8399999999</v>
      </c>
      <c r="CG241" s="163">
        <v>-8597906.0800000001</v>
      </c>
      <c r="CH241" s="163">
        <v>-10128411.1</v>
      </c>
      <c r="CI241" s="163">
        <v>-12370628.800000001</v>
      </c>
      <c r="CJ241" s="163">
        <v>-14934161.970000001</v>
      </c>
      <c r="CK241" s="163">
        <v>-12835097.720000001</v>
      </c>
      <c r="CL241" s="163">
        <v>-12966846.779999999</v>
      </c>
      <c r="CM241" s="163">
        <v>-10858803.529999999</v>
      </c>
      <c r="CN241" s="163">
        <v>-8567530.4499999993</v>
      </c>
      <c r="CO241" s="163">
        <v>-6807669.3399999999</v>
      </c>
      <c r="CP241" s="163">
        <v>-7766302.8899999997</v>
      </c>
      <c r="CQ241" s="163">
        <v>-9223554.6099999994</v>
      </c>
      <c r="CR241" s="163">
        <v>-9107415.1799999997</v>
      </c>
      <c r="CS241" s="163">
        <v>-7775918.3499999996</v>
      </c>
      <c r="CT241" s="163">
        <v>-15039112.32</v>
      </c>
      <c r="CU241" s="163">
        <v>-17715847.559999999</v>
      </c>
      <c r="CV241" s="163">
        <v>-14188892.109999999</v>
      </c>
      <c r="CW241" s="163">
        <v>-20294813.640000001</v>
      </c>
      <c r="CX241" s="163">
        <v>-15901185.630000001</v>
      </c>
      <c r="CY241" s="163">
        <v>-15507287.67</v>
      </c>
      <c r="CZ241" s="163">
        <v>-15561386.310000001</v>
      </c>
      <c r="DA241" s="163">
        <v>-21332300.960000001</v>
      </c>
      <c r="DB241" s="163">
        <v>-18775727.34</v>
      </c>
      <c r="DC241" s="163">
        <v>-19377629.609999999</v>
      </c>
      <c r="DD241" s="163">
        <v>-18573384.140000001</v>
      </c>
      <c r="DE241" s="163">
        <v>-21927929.199999999</v>
      </c>
      <c r="DF241" s="163">
        <f>VLOOKUP($C241,'[3]BS ACC'!$C$5:$DH$1006,108,FALSE)</f>
        <v>-21428221.91</v>
      </c>
      <c r="DG241" s="163">
        <f>VLOOKUP($C241,'[3]BS ACC'!$C$5:$DH$1006,109,FALSE)</f>
        <v>-21738994.91</v>
      </c>
      <c r="DH241" s="163">
        <f>VLOOKUP($C241,'[3]BS ACC'!$C$5:$DH$1006,110,FALSE)</f>
        <v>-20518673.5</v>
      </c>
    </row>
    <row r="242" spans="1:112">
      <c r="A242" s="350" t="str">
        <f t="shared" si="3"/>
        <v>2320035</v>
      </c>
      <c r="B242" s="350" t="s">
        <v>1654</v>
      </c>
      <c r="C242" s="335" t="s">
        <v>768</v>
      </c>
      <c r="D242" s="340">
        <v>0</v>
      </c>
      <c r="E242" s="340">
        <v>0</v>
      </c>
      <c r="F242" s="340">
        <v>0</v>
      </c>
      <c r="G242" s="340">
        <v>0</v>
      </c>
      <c r="H242" s="340">
        <v>0.6</v>
      </c>
      <c r="I242" s="340">
        <v>0.6</v>
      </c>
      <c r="J242" s="340">
        <v>0.6</v>
      </c>
      <c r="K242" s="340">
        <v>15904.66</v>
      </c>
      <c r="L242" s="340">
        <v>0.6</v>
      </c>
      <c r="M242" s="340">
        <v>0.6</v>
      </c>
      <c r="N242" s="340">
        <v>0.6</v>
      </c>
      <c r="O242" s="340">
        <v>0.6</v>
      </c>
      <c r="P242" s="341">
        <v>0.6</v>
      </c>
      <c r="Q242" s="163">
        <v>0.6</v>
      </c>
      <c r="R242" s="163">
        <v>0.6</v>
      </c>
      <c r="S242" s="163">
        <v>0.6</v>
      </c>
      <c r="T242" s="163">
        <v>0.6</v>
      </c>
      <c r="U242" s="163">
        <v>0.6</v>
      </c>
      <c r="V242" s="163">
        <v>0.6</v>
      </c>
      <c r="W242" s="163">
        <v>0.6</v>
      </c>
      <c r="X242" s="163">
        <v>0.6</v>
      </c>
      <c r="Y242" s="163">
        <v>0.6</v>
      </c>
      <c r="Z242" s="163">
        <v>0.6</v>
      </c>
      <c r="AA242" s="163">
        <v>0.6</v>
      </c>
      <c r="AB242" s="163">
        <v>0.6</v>
      </c>
      <c r="AC242" s="163">
        <v>0.6</v>
      </c>
      <c r="AD242" s="163">
        <v>0.6</v>
      </c>
      <c r="AE242" s="163">
        <v>0.6</v>
      </c>
      <c r="AF242" s="163">
        <v>0.6</v>
      </c>
      <c r="AG242" s="163">
        <v>0.6</v>
      </c>
      <c r="AH242" s="163">
        <v>0.6</v>
      </c>
      <c r="AI242" s="163">
        <v>0.6</v>
      </c>
      <c r="AJ242" s="163">
        <v>0.6</v>
      </c>
      <c r="AK242" s="163">
        <v>0.6</v>
      </c>
      <c r="AL242" s="163">
        <v>0.6</v>
      </c>
      <c r="AM242" s="163">
        <v>0.6</v>
      </c>
      <c r="AN242" s="163">
        <v>0.6</v>
      </c>
      <c r="AO242" s="163">
        <v>0.6</v>
      </c>
      <c r="AP242" s="163">
        <v>0.6</v>
      </c>
      <c r="AQ242" s="163">
        <v>0.6</v>
      </c>
      <c r="AR242" s="163">
        <v>0.6</v>
      </c>
      <c r="AS242" s="163">
        <v>0.6</v>
      </c>
      <c r="AT242" s="163">
        <v>0.6</v>
      </c>
      <c r="AU242" s="163">
        <v>0.6</v>
      </c>
      <c r="AV242" s="163">
        <v>0.6</v>
      </c>
      <c r="AW242" s="163">
        <v>0.6</v>
      </c>
      <c r="AX242" s="163">
        <v>0.6</v>
      </c>
      <c r="AY242" s="163">
        <v>0.6</v>
      </c>
      <c r="AZ242" s="163">
        <v>0.6</v>
      </c>
      <c r="BA242" s="163">
        <v>0.6</v>
      </c>
      <c r="BB242" s="163">
        <v>0.6</v>
      </c>
      <c r="BC242" s="163">
        <v>0.6</v>
      </c>
      <c r="BD242" s="163">
        <v>0.6</v>
      </c>
      <c r="BE242" s="163">
        <v>0.6</v>
      </c>
      <c r="BF242" s="163">
        <v>0.6</v>
      </c>
      <c r="BG242" s="163">
        <v>0.6</v>
      </c>
      <c r="BH242" s="163">
        <v>0.6</v>
      </c>
      <c r="BI242" s="163">
        <v>0.6</v>
      </c>
      <c r="BJ242" s="163">
        <v>0.6</v>
      </c>
      <c r="BK242" s="163">
        <v>0.6</v>
      </c>
      <c r="BL242" s="163">
        <v>0.6</v>
      </c>
      <c r="BM242" s="163">
        <v>0.6</v>
      </c>
      <c r="BN242" s="163">
        <v>0.6</v>
      </c>
      <c r="BO242" s="163">
        <v>0.6</v>
      </c>
      <c r="BP242" s="163">
        <v>0.6</v>
      </c>
      <c r="BQ242" s="163">
        <v>0.6</v>
      </c>
      <c r="BR242" s="163">
        <v>0.6</v>
      </c>
      <c r="BS242" s="163">
        <v>0.6</v>
      </c>
      <c r="BT242" s="163">
        <v>0.6</v>
      </c>
      <c r="BU242" s="163">
        <v>0.6</v>
      </c>
      <c r="BV242" s="163">
        <v>0.6</v>
      </c>
      <c r="BW242" s="163">
        <v>0.6</v>
      </c>
      <c r="BX242" s="163">
        <v>0.6</v>
      </c>
      <c r="BY242" s="163">
        <v>0.6</v>
      </c>
      <c r="BZ242" s="163">
        <v>0.6</v>
      </c>
      <c r="CA242" s="163">
        <v>0.6</v>
      </c>
      <c r="CB242" s="163">
        <v>0.6</v>
      </c>
      <c r="CC242" s="163">
        <v>0.6</v>
      </c>
      <c r="CD242" s="163">
        <v>0.6</v>
      </c>
      <c r="CE242" s="163">
        <v>0.6</v>
      </c>
      <c r="CF242" s="163">
        <v>0.6</v>
      </c>
      <c r="CG242" s="163">
        <v>0.6</v>
      </c>
      <c r="CH242" s="163">
        <v>0.6</v>
      </c>
      <c r="CI242" s="163">
        <v>0.6</v>
      </c>
      <c r="CJ242" s="163">
        <v>0.6</v>
      </c>
      <c r="CK242" s="163">
        <v>0.6</v>
      </c>
      <c r="CL242" s="163">
        <v>0.6</v>
      </c>
      <c r="CM242" s="163">
        <v>0.6</v>
      </c>
      <c r="CN242" s="163">
        <v>0.6</v>
      </c>
      <c r="CO242" s="163">
        <v>0.6</v>
      </c>
      <c r="CP242" s="163">
        <v>0.6</v>
      </c>
      <c r="CQ242" s="163">
        <v>0.6</v>
      </c>
      <c r="CR242" s="163">
        <v>0.6</v>
      </c>
      <c r="CS242" s="163">
        <v>0.6</v>
      </c>
      <c r="CT242" s="163">
        <v>0.6</v>
      </c>
      <c r="CU242" s="163">
        <v>0.6</v>
      </c>
      <c r="CV242" s="163">
        <v>0.6</v>
      </c>
      <c r="CW242" s="163">
        <v>0.6</v>
      </c>
      <c r="CX242" s="163">
        <v>0.6</v>
      </c>
      <c r="CY242" s="163">
        <v>0.6</v>
      </c>
      <c r="CZ242" s="163">
        <v>0.6</v>
      </c>
      <c r="DA242" s="163">
        <v>0.6</v>
      </c>
      <c r="DB242" s="163">
        <v>0.6</v>
      </c>
      <c r="DC242" s="163">
        <v>0.6</v>
      </c>
      <c r="DD242" s="163">
        <v>0.6</v>
      </c>
      <c r="DE242" s="163">
        <v>0.6</v>
      </c>
      <c r="DF242" s="163">
        <f>VLOOKUP($C242,'[3]BS ACC'!$C$5:$DH$1006,108,FALSE)</f>
        <v>0.6</v>
      </c>
      <c r="DG242" s="163">
        <f>VLOOKUP($C242,'[3]BS ACC'!$C$5:$DH$1006,109,FALSE)</f>
        <v>0.6</v>
      </c>
      <c r="DH242" s="163">
        <f>VLOOKUP($C242,'[3]BS ACC'!$C$5:$DH$1006,110,FALSE)</f>
        <v>0.6</v>
      </c>
    </row>
    <row r="243" spans="1:112">
      <c r="A243" s="350" t="str">
        <f t="shared" si="3"/>
        <v>2320036</v>
      </c>
      <c r="B243" s="350" t="s">
        <v>1655</v>
      </c>
      <c r="C243" s="335" t="s">
        <v>769</v>
      </c>
      <c r="D243" s="340">
        <v>-82</v>
      </c>
      <c r="E243" s="340">
        <v>-206</v>
      </c>
      <c r="F243" s="340">
        <v>-61</v>
      </c>
      <c r="G243" s="340">
        <v>-61</v>
      </c>
      <c r="H243" s="340">
        <v>-132</v>
      </c>
      <c r="I243" s="340">
        <v>-132</v>
      </c>
      <c r="J243" s="340">
        <v>-132</v>
      </c>
      <c r="K243" s="340">
        <v>-132</v>
      </c>
      <c r="L243" s="340">
        <v>-131</v>
      </c>
      <c r="M243" s="340">
        <v>-59</v>
      </c>
      <c r="N243" s="340">
        <v>-59</v>
      </c>
      <c r="O243" s="340">
        <v>-59</v>
      </c>
      <c r="P243" s="341">
        <v>-659</v>
      </c>
      <c r="Q243" s="163">
        <v>-59</v>
      </c>
      <c r="R243" s="163">
        <v>-38</v>
      </c>
      <c r="S243" s="163">
        <v>-36</v>
      </c>
      <c r="T243" s="163">
        <v>-341</v>
      </c>
      <c r="U243" s="163">
        <v>-36</v>
      </c>
      <c r="V243" s="163">
        <v>-36</v>
      </c>
      <c r="W243" s="163">
        <v>-36</v>
      </c>
      <c r="X243" s="163">
        <v>-36</v>
      </c>
      <c r="Y243" s="163">
        <v>-34</v>
      </c>
      <c r="Z243" s="163">
        <v>-34</v>
      </c>
      <c r="AA243" s="163">
        <v>-384</v>
      </c>
      <c r="AB243" s="163">
        <v>-486</v>
      </c>
      <c r="AC243" s="163">
        <v>-541</v>
      </c>
      <c r="AD243" s="163">
        <v>-546</v>
      </c>
      <c r="AE243" s="163">
        <v>-546</v>
      </c>
      <c r="AF243" s="163">
        <v>-554</v>
      </c>
      <c r="AG243" s="163">
        <v>-570</v>
      </c>
      <c r="AH243" s="163">
        <v>-571</v>
      </c>
      <c r="AI243" s="163">
        <v>-571</v>
      </c>
      <c r="AJ243" s="163">
        <v>-576</v>
      </c>
      <c r="AK243" s="163">
        <v>-581</v>
      </c>
      <c r="AL243" s="163">
        <v>-581</v>
      </c>
      <c r="AM243" s="163">
        <v>-581</v>
      </c>
      <c r="AN243" s="163">
        <v>-521</v>
      </c>
      <c r="AO243" s="163">
        <v>-521</v>
      </c>
      <c r="AP243" s="163">
        <v>-521</v>
      </c>
      <c r="AQ243" s="163">
        <v>-518.5</v>
      </c>
      <c r="AR243" s="163">
        <v>-551</v>
      </c>
      <c r="AS243" s="163">
        <v>-593.5</v>
      </c>
      <c r="AT243" s="163">
        <v>-596</v>
      </c>
      <c r="AU243" s="163">
        <v>-596</v>
      </c>
      <c r="AV243" s="163">
        <v>-596</v>
      </c>
      <c r="AW243" s="163">
        <v>-596</v>
      </c>
      <c r="AX243" s="163">
        <v>-596</v>
      </c>
      <c r="AY243" s="163">
        <v>-596</v>
      </c>
      <c r="AZ243" s="163">
        <v>-571</v>
      </c>
      <c r="BA243" s="163">
        <v>-576</v>
      </c>
      <c r="BB243" s="163">
        <v>-574.5</v>
      </c>
      <c r="BC243" s="163">
        <v>-560.29999999999995</v>
      </c>
      <c r="BD243" s="163">
        <v>-562.6</v>
      </c>
      <c r="BE243" s="163">
        <v>-591.4</v>
      </c>
      <c r="BF243" s="163">
        <v>-132.80000000000001</v>
      </c>
      <c r="BG243" s="163">
        <v>-135.80000000000001</v>
      </c>
      <c r="BH243" s="163">
        <v>-156.80000000000001</v>
      </c>
      <c r="BI243" s="163">
        <v>-142.30000000000001</v>
      </c>
      <c r="BJ243" s="163">
        <v>-143.80000000000001</v>
      </c>
      <c r="BK243" s="163">
        <v>-342.8</v>
      </c>
      <c r="BL243" s="163">
        <v>73.2</v>
      </c>
      <c r="BM243" s="163">
        <v>-12.8</v>
      </c>
      <c r="BN243" s="163">
        <v>-434.6</v>
      </c>
      <c r="BO243" s="163">
        <v>-835.85</v>
      </c>
      <c r="BP243" s="163">
        <v>-1193.7</v>
      </c>
      <c r="BQ243" s="163">
        <v>-706</v>
      </c>
      <c r="BR243" s="163">
        <v>-717</v>
      </c>
      <c r="BS243" s="163">
        <v>-1113.3</v>
      </c>
      <c r="BT243" s="163">
        <v>-1453.6</v>
      </c>
      <c r="BU243" s="163">
        <v>-1055.8</v>
      </c>
      <c r="BV243" s="163">
        <v>-1437.1</v>
      </c>
      <c r="BW243" s="163">
        <v>-1072.3</v>
      </c>
      <c r="BX243" s="163">
        <v>-775.5</v>
      </c>
      <c r="BY243" s="163">
        <v>-1367.8</v>
      </c>
      <c r="BZ243" s="163">
        <v>-1232.3</v>
      </c>
      <c r="CA243" s="163">
        <v>-2017.21</v>
      </c>
      <c r="CB243" s="163">
        <v>-2774.9</v>
      </c>
      <c r="CC243" s="163">
        <v>-1714.5</v>
      </c>
      <c r="CD243" s="163">
        <v>-2723</v>
      </c>
      <c r="CE243" s="163">
        <v>-4755</v>
      </c>
      <c r="CF243" s="163">
        <v>-1239</v>
      </c>
      <c r="CG243" s="163">
        <v>-2445.4</v>
      </c>
      <c r="CH243" s="163">
        <v>-2586.9</v>
      </c>
      <c r="CI243" s="163">
        <v>-2833.5</v>
      </c>
      <c r="CJ243" s="163">
        <v>-2560</v>
      </c>
      <c r="CK243" s="163">
        <v>-1696.99</v>
      </c>
      <c r="CL243" s="163">
        <v>-3535.66</v>
      </c>
      <c r="CM243" s="163">
        <v>-3684.8</v>
      </c>
      <c r="CN243" s="163">
        <v>-1713.14</v>
      </c>
      <c r="CO243" s="163">
        <v>-4978.2299999999996</v>
      </c>
      <c r="CP243" s="163">
        <v>-6772.33</v>
      </c>
      <c r="CQ243" s="163">
        <v>-8614.26</v>
      </c>
      <c r="CR243" s="163">
        <v>-1914.3</v>
      </c>
      <c r="CS243" s="163">
        <v>-3801.37</v>
      </c>
      <c r="CT243" s="163">
        <v>-5775.97</v>
      </c>
      <c r="CU243" s="163">
        <v>-2024.1</v>
      </c>
      <c r="CV243" s="163">
        <v>-9968.5499999999993</v>
      </c>
      <c r="CW243" s="163">
        <v>-11994.84</v>
      </c>
      <c r="CX243" s="163">
        <v>-14232.74</v>
      </c>
      <c r="CY243" s="163">
        <v>-16758.13</v>
      </c>
      <c r="CZ243" s="163">
        <v>-18908.830000000002</v>
      </c>
      <c r="DA243" s="163">
        <v>-21071.55</v>
      </c>
      <c r="DB243" s="163">
        <v>-2132.14</v>
      </c>
      <c r="DC243" s="163">
        <v>-4275.3900000000003</v>
      </c>
      <c r="DD243" s="163">
        <v>-6511.2</v>
      </c>
      <c r="DE243" s="163">
        <v>-8761.6299999999992</v>
      </c>
      <c r="DF243" s="163">
        <f>VLOOKUP($C243,'[3]BS ACC'!$C$5:$DH$1006,108,FALSE)</f>
        <v>-44554.64</v>
      </c>
      <c r="DG243" s="163">
        <f>VLOOKUP($C243,'[3]BS ACC'!$C$5:$DH$1006,109,FALSE)</f>
        <v>32825.07</v>
      </c>
      <c r="DH243" s="163">
        <f>VLOOKUP($C243,'[3]BS ACC'!$C$5:$DH$1006,110,FALSE)</f>
        <v>32463.87</v>
      </c>
    </row>
    <row r="244" spans="1:112">
      <c r="A244" s="350" t="str">
        <f t="shared" si="3"/>
        <v>2320037</v>
      </c>
      <c r="B244" s="350" t="s">
        <v>1656</v>
      </c>
      <c r="C244" s="335" t="s">
        <v>770</v>
      </c>
      <c r="D244" s="340">
        <v>21.44</v>
      </c>
      <c r="E244" s="340">
        <v>37.450000000000003</v>
      </c>
      <c r="F244" s="340">
        <v>144.71</v>
      </c>
      <c r="G244" s="340">
        <v>78.290000000000006</v>
      </c>
      <c r="H244" s="340">
        <v>103.99</v>
      </c>
      <c r="I244" s="340">
        <v>138.13999999999999</v>
      </c>
      <c r="J244" s="340">
        <v>263.51</v>
      </c>
      <c r="K244" s="340">
        <v>134.94</v>
      </c>
      <c r="L244" s="340">
        <v>145.32</v>
      </c>
      <c r="M244" s="340">
        <v>143.97999999999999</v>
      </c>
      <c r="N244" s="340">
        <v>143.13999999999999</v>
      </c>
      <c r="O244" s="340">
        <v>274.02999999999997</v>
      </c>
      <c r="P244" s="341">
        <v>182.17</v>
      </c>
      <c r="Q244" s="163">
        <v>258.05</v>
      </c>
      <c r="R244" s="163">
        <v>192.45</v>
      </c>
      <c r="S244" s="163">
        <v>259.02</v>
      </c>
      <c r="T244" s="163">
        <v>292.67</v>
      </c>
      <c r="U244" s="163">
        <v>384.47</v>
      </c>
      <c r="V244" s="163">
        <v>428.86</v>
      </c>
      <c r="W244" s="163">
        <v>470.72</v>
      </c>
      <c r="X244" s="163">
        <v>498.44</v>
      </c>
      <c r="Y244" s="163">
        <v>722.48</v>
      </c>
      <c r="Z244" s="163">
        <v>-1468.39</v>
      </c>
      <c r="AA244" s="163">
        <v>891.89</v>
      </c>
      <c r="AB244" s="163">
        <v>999</v>
      </c>
      <c r="AC244" s="163">
        <v>889.25</v>
      </c>
      <c r="AD244" s="163">
        <v>960.66</v>
      </c>
      <c r="AE244" s="163">
        <v>1244.46</v>
      </c>
      <c r="AF244" s="163">
        <v>1348.3</v>
      </c>
      <c r="AG244" s="163">
        <v>1640.03</v>
      </c>
      <c r="AH244" s="163">
        <v>1126.67</v>
      </c>
      <c r="AI244" s="163">
        <v>-1687.4</v>
      </c>
      <c r="AJ244" s="163">
        <v>1201.18</v>
      </c>
      <c r="AK244" s="163">
        <v>1236.42</v>
      </c>
      <c r="AL244" s="163">
        <v>1435.21</v>
      </c>
      <c r="AM244" s="163">
        <v>-1619.15</v>
      </c>
      <c r="AN244" s="163">
        <v>1413.2</v>
      </c>
      <c r="AO244" s="163">
        <v>-1651.59</v>
      </c>
      <c r="AP244" s="163">
        <v>-1759.14</v>
      </c>
      <c r="AQ244" s="163">
        <v>1514</v>
      </c>
      <c r="AR244" s="163">
        <v>1608.65</v>
      </c>
      <c r="AS244" s="163">
        <v>-1621.39</v>
      </c>
      <c r="AT244" s="163">
        <v>-1249.1400000000001</v>
      </c>
      <c r="AU244" s="163">
        <v>2387.17</v>
      </c>
      <c r="AV244" s="163">
        <v>-1439.28</v>
      </c>
      <c r="AW244" s="163">
        <v>-1436.91</v>
      </c>
      <c r="AX244" s="163">
        <v>-1365.51</v>
      </c>
      <c r="AY244" s="163">
        <v>2146.4299999999998</v>
      </c>
      <c r="AZ244" s="163">
        <v>-1301.3900000000001</v>
      </c>
      <c r="BA244" s="163">
        <v>-1318.23</v>
      </c>
      <c r="BB244" s="163">
        <v>-4958.38</v>
      </c>
      <c r="BC244" s="163">
        <v>-1560.21</v>
      </c>
      <c r="BD244" s="163">
        <v>1962.89</v>
      </c>
      <c r="BE244" s="163">
        <v>-1683.38</v>
      </c>
      <c r="BF244" s="163">
        <v>1972.55</v>
      </c>
      <c r="BG244" s="163">
        <v>1985.15</v>
      </c>
      <c r="BH244" s="163">
        <v>1958.94</v>
      </c>
      <c r="BI244" s="163">
        <v>1988.97</v>
      </c>
      <c r="BJ244" s="163">
        <v>1947.74</v>
      </c>
      <c r="BK244" s="163">
        <v>1977.7</v>
      </c>
      <c r="BL244" s="163">
        <v>393.48</v>
      </c>
      <c r="BM244" s="163">
        <v>478.82</v>
      </c>
      <c r="BN244" s="163">
        <v>543.9</v>
      </c>
      <c r="BO244" s="163">
        <v>-343.52</v>
      </c>
      <c r="BP244" s="163">
        <v>-334.83</v>
      </c>
      <c r="BQ244" s="163">
        <v>-148.46</v>
      </c>
      <c r="BR244" s="163">
        <v>-302.83</v>
      </c>
      <c r="BS244" s="163">
        <v>92.25</v>
      </c>
      <c r="BT244" s="163">
        <v>156.80000000000001</v>
      </c>
      <c r="BU244" s="163">
        <v>269.73</v>
      </c>
      <c r="BV244" s="163">
        <v>371.4</v>
      </c>
      <c r="BW244" s="163">
        <v>419</v>
      </c>
      <c r="BX244" s="163">
        <v>-106.45</v>
      </c>
      <c r="BY244" s="163">
        <v>357.63</v>
      </c>
      <c r="BZ244" s="163">
        <v>328.93</v>
      </c>
      <c r="CA244" s="163">
        <v>0</v>
      </c>
      <c r="CB244" s="163">
        <v>181.18</v>
      </c>
      <c r="CC244" s="163">
        <v>424.53</v>
      </c>
      <c r="CD244" s="163">
        <v>0</v>
      </c>
      <c r="CE244" s="163">
        <v>160.85</v>
      </c>
      <c r="CF244" s="163">
        <v>467.26</v>
      </c>
      <c r="CG244" s="163">
        <v>-401.3</v>
      </c>
      <c r="CH244" s="163">
        <v>-162.52000000000001</v>
      </c>
      <c r="CI244" s="163">
        <v>-6.46</v>
      </c>
      <c r="CJ244" s="163">
        <v>0</v>
      </c>
      <c r="CK244" s="163">
        <v>316.16000000000003</v>
      </c>
      <c r="CL244" s="163">
        <v>-4359.63</v>
      </c>
      <c r="CM244" s="163">
        <v>552.19000000000005</v>
      </c>
      <c r="CN244" s="163">
        <v>537.94000000000005</v>
      </c>
      <c r="CO244" s="163">
        <v>649.29</v>
      </c>
      <c r="CP244" s="163">
        <v>979.81</v>
      </c>
      <c r="CQ244" s="163">
        <v>1016.18</v>
      </c>
      <c r="CR244" s="163">
        <v>1378.33</v>
      </c>
      <c r="CS244" s="163">
        <v>1481.16</v>
      </c>
      <c r="CT244" s="163">
        <v>-3267.96</v>
      </c>
      <c r="CU244" s="163">
        <v>-3121.04</v>
      </c>
      <c r="CV244" s="163">
        <v>-9478.01</v>
      </c>
      <c r="CW244" s="163">
        <v>-9592.7999999999993</v>
      </c>
      <c r="CX244" s="163">
        <v>-9715.9500000000007</v>
      </c>
      <c r="CY244" s="163">
        <v>877.52</v>
      </c>
      <c r="CZ244" s="163">
        <v>1160.6500000000001</v>
      </c>
      <c r="DA244" s="163">
        <v>-6389.76</v>
      </c>
      <c r="DB244" s="163">
        <v>-630.41999999999996</v>
      </c>
      <c r="DC244" s="163">
        <v>-596.28</v>
      </c>
      <c r="DD244" s="163">
        <v>-369.08</v>
      </c>
      <c r="DE244" s="163">
        <v>120.04</v>
      </c>
      <c r="DF244" s="163">
        <f>VLOOKUP($C244,'[3]BS ACC'!$C$5:$DH$1006,108,FALSE)</f>
        <v>896.56</v>
      </c>
      <c r="DG244" s="163">
        <f>VLOOKUP($C244,'[3]BS ACC'!$C$5:$DH$1006,109,FALSE)</f>
        <v>1261.24</v>
      </c>
      <c r="DH244" s="163">
        <f>VLOOKUP($C244,'[3]BS ACC'!$C$5:$DH$1006,110,FALSE)</f>
        <v>600.14</v>
      </c>
    </row>
    <row r="245" spans="1:112">
      <c r="A245" s="350" t="str">
        <f>+B245</f>
        <v>2320040</v>
      </c>
      <c r="B245" s="350" t="s">
        <v>2383</v>
      </c>
      <c r="C245" s="335" t="s">
        <v>2384</v>
      </c>
      <c r="D245" s="340">
        <v>0</v>
      </c>
      <c r="E245" s="340">
        <v>0</v>
      </c>
      <c r="F245" s="340">
        <v>0</v>
      </c>
      <c r="G245" s="340">
        <v>0</v>
      </c>
      <c r="H245" s="340">
        <v>0</v>
      </c>
      <c r="I245" s="340">
        <v>0</v>
      </c>
      <c r="J245" s="340">
        <v>0</v>
      </c>
      <c r="K245" s="340">
        <v>0</v>
      </c>
      <c r="L245" s="340">
        <v>0</v>
      </c>
      <c r="M245" s="340">
        <v>0</v>
      </c>
      <c r="N245" s="340">
        <v>0</v>
      </c>
      <c r="O245" s="340">
        <v>0</v>
      </c>
      <c r="P245" s="341">
        <v>0</v>
      </c>
      <c r="Q245" s="163">
        <v>0</v>
      </c>
      <c r="R245" s="163">
        <v>0</v>
      </c>
      <c r="S245" s="163">
        <v>0</v>
      </c>
      <c r="T245" s="163">
        <v>0</v>
      </c>
      <c r="U245" s="163">
        <v>0</v>
      </c>
      <c r="V245" s="163">
        <v>0</v>
      </c>
      <c r="W245" s="163">
        <v>0</v>
      </c>
      <c r="X245" s="163">
        <v>0</v>
      </c>
      <c r="Y245" s="163">
        <v>0</v>
      </c>
      <c r="Z245" s="163">
        <v>0</v>
      </c>
      <c r="AA245" s="163">
        <v>0</v>
      </c>
      <c r="AB245" s="163">
        <v>0</v>
      </c>
      <c r="AC245" s="163">
        <v>0</v>
      </c>
      <c r="AD245" s="163">
        <v>0</v>
      </c>
      <c r="AE245" s="163">
        <v>0</v>
      </c>
      <c r="AF245" s="163">
        <v>0</v>
      </c>
      <c r="AG245" s="163">
        <v>0</v>
      </c>
      <c r="AH245" s="163">
        <v>0</v>
      </c>
      <c r="AI245" s="163">
        <v>0</v>
      </c>
      <c r="AJ245" s="163">
        <v>0</v>
      </c>
      <c r="AK245" s="163">
        <v>0</v>
      </c>
      <c r="AL245" s="163">
        <v>0</v>
      </c>
      <c r="AM245" s="163">
        <v>0</v>
      </c>
      <c r="AN245" s="163">
        <v>0</v>
      </c>
      <c r="AO245" s="163">
        <v>0</v>
      </c>
      <c r="AP245" s="163">
        <v>0</v>
      </c>
      <c r="AQ245" s="163">
        <v>0</v>
      </c>
      <c r="AR245" s="163">
        <v>0</v>
      </c>
      <c r="AS245" s="163">
        <v>0</v>
      </c>
      <c r="AT245" s="163">
        <v>0</v>
      </c>
      <c r="AU245" s="163">
        <v>0</v>
      </c>
      <c r="AV245" s="163">
        <v>0</v>
      </c>
      <c r="AW245" s="163">
        <v>0</v>
      </c>
      <c r="AX245" s="163">
        <v>0</v>
      </c>
      <c r="AY245" s="163">
        <v>0</v>
      </c>
      <c r="AZ245" s="163">
        <v>0</v>
      </c>
      <c r="BA245" s="163">
        <v>0</v>
      </c>
      <c r="BB245" s="163">
        <v>0</v>
      </c>
      <c r="BC245" s="163">
        <v>0</v>
      </c>
      <c r="BD245" s="163">
        <v>0</v>
      </c>
      <c r="BE245" s="163">
        <v>0</v>
      </c>
      <c r="BF245" s="163">
        <v>0</v>
      </c>
      <c r="BG245" s="163">
        <v>0</v>
      </c>
      <c r="BH245" s="163">
        <v>0</v>
      </c>
      <c r="BI245" s="163">
        <v>0</v>
      </c>
      <c r="BJ245" s="163">
        <v>0</v>
      </c>
      <c r="BK245" s="163">
        <v>0</v>
      </c>
      <c r="BL245" s="163">
        <v>0</v>
      </c>
      <c r="BM245" s="163">
        <v>0</v>
      </c>
      <c r="BN245" s="163">
        <v>0</v>
      </c>
      <c r="BO245" s="163">
        <v>0</v>
      </c>
      <c r="BP245" s="163">
        <v>0</v>
      </c>
      <c r="BQ245" s="163">
        <v>0</v>
      </c>
      <c r="BR245" s="163">
        <v>0</v>
      </c>
      <c r="BS245" s="163">
        <v>0</v>
      </c>
      <c r="BT245" s="163">
        <v>0</v>
      </c>
      <c r="BU245" s="163">
        <v>0</v>
      </c>
      <c r="BV245" s="163">
        <v>-1435</v>
      </c>
      <c r="BW245" s="163">
        <v>-1435</v>
      </c>
      <c r="BX245" s="163">
        <v>0</v>
      </c>
      <c r="BY245" s="163">
        <v>0</v>
      </c>
      <c r="BZ245" s="163">
        <v>0</v>
      </c>
      <c r="CA245" s="163">
        <v>0</v>
      </c>
      <c r="CB245" s="163">
        <v>0</v>
      </c>
      <c r="CC245" s="163">
        <v>0</v>
      </c>
      <c r="CD245" s="163">
        <v>0</v>
      </c>
      <c r="CE245" s="163">
        <v>0</v>
      </c>
      <c r="CF245" s="163">
        <v>0</v>
      </c>
      <c r="CG245" s="163">
        <v>0</v>
      </c>
      <c r="CH245" s="163">
        <v>0</v>
      </c>
      <c r="CI245" s="163">
        <v>0</v>
      </c>
      <c r="CJ245" s="163">
        <v>0</v>
      </c>
      <c r="CK245" s="163">
        <v>0</v>
      </c>
      <c r="CL245" s="163">
        <v>0</v>
      </c>
      <c r="CM245" s="163">
        <v>0</v>
      </c>
      <c r="CN245" s="163">
        <v>0</v>
      </c>
      <c r="CO245" s="163">
        <v>0</v>
      </c>
      <c r="CP245" s="163">
        <v>0</v>
      </c>
      <c r="CQ245" s="163">
        <v>0</v>
      </c>
      <c r="CR245" s="163">
        <v>0</v>
      </c>
      <c r="CS245" s="163">
        <v>0</v>
      </c>
      <c r="CT245" s="163">
        <v>0</v>
      </c>
      <c r="CU245" s="163">
        <v>0</v>
      </c>
      <c r="CV245" s="163">
        <v>0</v>
      </c>
      <c r="CW245" s="163">
        <v>0</v>
      </c>
      <c r="CX245" s="163">
        <v>0</v>
      </c>
      <c r="CY245" s="163">
        <v>0</v>
      </c>
      <c r="CZ245" s="163">
        <v>0</v>
      </c>
      <c r="DA245" s="163">
        <v>0</v>
      </c>
      <c r="DB245" s="163">
        <v>0</v>
      </c>
      <c r="DC245" s="163">
        <v>0</v>
      </c>
      <c r="DD245" s="163">
        <v>0</v>
      </c>
      <c r="DE245" s="163">
        <v>0</v>
      </c>
      <c r="DF245" s="163">
        <f>VLOOKUP($C245,'[3]BS ACC'!$C$5:$DH$1006,108,FALSE)</f>
        <v>0</v>
      </c>
      <c r="DG245" s="163">
        <f>VLOOKUP($C245,'[3]BS ACC'!$C$5:$DH$1006,109,FALSE)</f>
        <v>0</v>
      </c>
      <c r="DH245" s="163">
        <f>VLOOKUP($C245,'[3]BS ACC'!$C$5:$DH$1006,110,FALSE)</f>
        <v>0</v>
      </c>
    </row>
    <row r="246" spans="1:112">
      <c r="A246" s="350" t="str">
        <f t="shared" si="3"/>
        <v>2320047</v>
      </c>
      <c r="B246" s="350" t="s">
        <v>1657</v>
      </c>
      <c r="C246" s="335" t="s">
        <v>771</v>
      </c>
      <c r="D246" s="340">
        <v>0</v>
      </c>
      <c r="E246" s="340">
        <v>0</v>
      </c>
      <c r="F246" s="340">
        <v>0</v>
      </c>
      <c r="G246" s="340">
        <v>0</v>
      </c>
      <c r="H246" s="340">
        <v>0</v>
      </c>
      <c r="I246" s="340">
        <v>-7497.6</v>
      </c>
      <c r="J246" s="340">
        <v>0</v>
      </c>
      <c r="K246" s="340">
        <v>0</v>
      </c>
      <c r="L246" s="340">
        <v>0</v>
      </c>
      <c r="M246" s="340">
        <v>0</v>
      </c>
      <c r="N246" s="340">
        <v>0</v>
      </c>
      <c r="O246" s="340">
        <v>-7382.1</v>
      </c>
      <c r="P246" s="341">
        <v>0</v>
      </c>
      <c r="Q246" s="163">
        <v>0</v>
      </c>
      <c r="R246" s="163">
        <v>0</v>
      </c>
      <c r="S246" s="163">
        <v>0</v>
      </c>
      <c r="T246" s="163">
        <v>0</v>
      </c>
      <c r="U246" s="163">
        <v>-6775.97</v>
      </c>
      <c r="V246" s="163">
        <v>0</v>
      </c>
      <c r="W246" s="163">
        <v>0</v>
      </c>
      <c r="X246" s="163">
        <v>0</v>
      </c>
      <c r="Y246" s="163">
        <v>0</v>
      </c>
      <c r="Z246" s="163">
        <v>0</v>
      </c>
      <c r="AA246" s="163">
        <v>-6775.97</v>
      </c>
      <c r="AB246" s="163">
        <v>0</v>
      </c>
      <c r="AC246" s="163">
        <v>0</v>
      </c>
      <c r="AD246" s="163">
        <v>-7444.64</v>
      </c>
      <c r="AE246" s="163">
        <v>0</v>
      </c>
      <c r="AF246" s="163">
        <v>0</v>
      </c>
      <c r="AG246" s="163">
        <v>-7739.04</v>
      </c>
      <c r="AH246" s="163">
        <v>0</v>
      </c>
      <c r="AI246" s="163">
        <v>0</v>
      </c>
      <c r="AJ246" s="163">
        <v>0</v>
      </c>
      <c r="AK246" s="163">
        <v>0</v>
      </c>
      <c r="AL246" s="163">
        <v>0</v>
      </c>
      <c r="AM246" s="163">
        <v>0</v>
      </c>
      <c r="AN246" s="163">
        <v>0</v>
      </c>
      <c r="AO246" s="163">
        <v>0</v>
      </c>
      <c r="AP246" s="163">
        <v>0</v>
      </c>
      <c r="AQ246" s="163">
        <v>0</v>
      </c>
      <c r="AR246" s="163">
        <v>0</v>
      </c>
      <c r="AS246" s="163">
        <v>0</v>
      </c>
      <c r="AT246" s="163">
        <v>0</v>
      </c>
      <c r="AU246" s="163">
        <v>0</v>
      </c>
      <c r="AV246" s="163">
        <v>0</v>
      </c>
      <c r="AW246" s="163">
        <v>0</v>
      </c>
      <c r="AX246" s="163">
        <v>0</v>
      </c>
      <c r="AY246" s="163">
        <v>0</v>
      </c>
      <c r="AZ246" s="163">
        <v>0</v>
      </c>
      <c r="BA246" s="163">
        <v>0</v>
      </c>
      <c r="BB246" s="163">
        <v>0</v>
      </c>
      <c r="BC246" s="163">
        <v>0</v>
      </c>
      <c r="BD246" s="163">
        <v>0</v>
      </c>
      <c r="BE246" s="163">
        <v>0</v>
      </c>
      <c r="BF246" s="163">
        <v>0</v>
      </c>
      <c r="BG246" s="163">
        <v>0</v>
      </c>
      <c r="BH246" s="163">
        <v>0</v>
      </c>
      <c r="BI246" s="163">
        <v>0</v>
      </c>
      <c r="BJ246" s="163">
        <v>0</v>
      </c>
      <c r="BK246" s="163">
        <v>0</v>
      </c>
      <c r="BL246" s="163">
        <v>0</v>
      </c>
      <c r="BM246" s="163">
        <v>0</v>
      </c>
      <c r="BN246" s="163">
        <v>0</v>
      </c>
      <c r="BO246" s="163">
        <v>0</v>
      </c>
      <c r="BP246" s="163">
        <v>0</v>
      </c>
      <c r="BQ246" s="163">
        <v>0</v>
      </c>
      <c r="BR246" s="163">
        <v>0</v>
      </c>
      <c r="BS246" s="163">
        <v>0</v>
      </c>
      <c r="BT246" s="163">
        <v>0</v>
      </c>
      <c r="BU246" s="163">
        <v>0</v>
      </c>
      <c r="BV246" s="163">
        <v>0</v>
      </c>
      <c r="BW246" s="163">
        <v>0</v>
      </c>
      <c r="BX246" s="163">
        <v>0</v>
      </c>
      <c r="BY246" s="163">
        <v>0</v>
      </c>
      <c r="BZ246" s="163">
        <v>0</v>
      </c>
      <c r="CA246" s="163">
        <v>0</v>
      </c>
      <c r="CB246" s="163">
        <v>0</v>
      </c>
      <c r="CC246" s="163">
        <v>0</v>
      </c>
      <c r="CD246" s="163">
        <v>0</v>
      </c>
      <c r="CE246" s="163">
        <v>0</v>
      </c>
      <c r="CF246" s="163">
        <v>0</v>
      </c>
      <c r="CG246" s="163">
        <v>0</v>
      </c>
      <c r="CH246" s="163">
        <v>0</v>
      </c>
      <c r="CI246" s="163">
        <v>0</v>
      </c>
      <c r="CJ246" s="163">
        <v>0</v>
      </c>
      <c r="CK246" s="163">
        <v>0</v>
      </c>
      <c r="CL246" s="163">
        <v>0</v>
      </c>
      <c r="CM246" s="163">
        <v>0</v>
      </c>
      <c r="CN246" s="163">
        <v>0</v>
      </c>
      <c r="CO246" s="163">
        <v>0</v>
      </c>
      <c r="CP246" s="163">
        <v>0</v>
      </c>
      <c r="CQ246" s="163">
        <v>0</v>
      </c>
      <c r="CR246" s="163">
        <v>0</v>
      </c>
      <c r="CS246" s="163">
        <v>0</v>
      </c>
      <c r="CT246" s="163">
        <v>0</v>
      </c>
      <c r="CU246" s="163">
        <v>0</v>
      </c>
      <c r="CV246" s="163">
        <v>0</v>
      </c>
      <c r="CW246" s="163">
        <v>0</v>
      </c>
      <c r="CX246" s="163">
        <v>0</v>
      </c>
      <c r="CY246" s="163">
        <v>0</v>
      </c>
      <c r="CZ246" s="163">
        <v>0</v>
      </c>
      <c r="DA246" s="163">
        <v>0</v>
      </c>
      <c r="DB246" s="163">
        <v>0</v>
      </c>
      <c r="DC246" s="163">
        <v>0</v>
      </c>
      <c r="DD246" s="163">
        <v>0</v>
      </c>
      <c r="DE246" s="163">
        <v>0</v>
      </c>
      <c r="DF246" s="163">
        <f>VLOOKUP($C246,'[3]BS ACC'!$C$5:$DH$1006,108,FALSE)</f>
        <v>0</v>
      </c>
      <c r="DG246" s="163">
        <f>VLOOKUP($C246,'[3]BS ACC'!$C$5:$DH$1006,109,FALSE)</f>
        <v>0</v>
      </c>
      <c r="DH246" s="163">
        <f>VLOOKUP($C246,'[3]BS ACC'!$C$5:$DH$1006,110,FALSE)</f>
        <v>0</v>
      </c>
    </row>
    <row r="247" spans="1:112">
      <c r="A247" s="350" t="str">
        <f t="shared" si="3"/>
        <v>2320999</v>
      </c>
      <c r="B247" s="350" t="s">
        <v>1658</v>
      </c>
      <c r="C247" s="335" t="s">
        <v>772</v>
      </c>
      <c r="D247" s="340">
        <v>1000</v>
      </c>
      <c r="E247" s="340">
        <v>0</v>
      </c>
      <c r="F247" s="340">
        <v>0</v>
      </c>
      <c r="G247" s="340">
        <v>0</v>
      </c>
      <c r="H247" s="340">
        <v>0</v>
      </c>
      <c r="I247" s="340">
        <v>0</v>
      </c>
      <c r="J247" s="340">
        <v>0</v>
      </c>
      <c r="K247" s="340">
        <v>0</v>
      </c>
      <c r="L247" s="340">
        <v>0</v>
      </c>
      <c r="M247" s="340">
        <v>0</v>
      </c>
      <c r="N247" s="340">
        <v>0</v>
      </c>
      <c r="O247" s="340">
        <v>0</v>
      </c>
      <c r="P247" s="341">
        <v>0</v>
      </c>
      <c r="Q247" s="163">
        <v>0</v>
      </c>
      <c r="R247" s="163">
        <v>0</v>
      </c>
      <c r="S247" s="163">
        <v>0</v>
      </c>
      <c r="T247" s="163">
        <v>0</v>
      </c>
      <c r="U247" s="163">
        <v>0</v>
      </c>
      <c r="V247" s="163">
        <v>0</v>
      </c>
      <c r="W247" s="163">
        <v>0</v>
      </c>
      <c r="X247" s="163">
        <v>0</v>
      </c>
      <c r="Y247" s="163">
        <v>0</v>
      </c>
      <c r="Z247" s="163">
        <v>0</v>
      </c>
      <c r="AA247" s="163">
        <v>0</v>
      </c>
      <c r="AB247" s="163">
        <v>0</v>
      </c>
      <c r="AC247" s="163">
        <v>0</v>
      </c>
      <c r="AD247" s="163">
        <v>0</v>
      </c>
      <c r="AE247" s="163">
        <v>0</v>
      </c>
      <c r="AF247" s="163">
        <v>0</v>
      </c>
      <c r="AG247" s="163">
        <v>0</v>
      </c>
      <c r="AH247" s="163">
        <v>0</v>
      </c>
      <c r="AI247" s="163">
        <v>0</v>
      </c>
      <c r="AJ247" s="163">
        <v>0</v>
      </c>
      <c r="AK247" s="163">
        <v>0</v>
      </c>
      <c r="AL247" s="163">
        <v>0</v>
      </c>
      <c r="AM247" s="163">
        <v>0</v>
      </c>
      <c r="AN247" s="163">
        <v>0</v>
      </c>
      <c r="AO247" s="163">
        <v>0</v>
      </c>
      <c r="AP247" s="163">
        <v>0</v>
      </c>
      <c r="AQ247" s="163">
        <v>0</v>
      </c>
      <c r="AR247" s="163">
        <v>0</v>
      </c>
      <c r="AS247" s="163">
        <v>0</v>
      </c>
      <c r="AT247" s="163">
        <v>0</v>
      </c>
      <c r="AU247" s="163">
        <v>0</v>
      </c>
      <c r="AV247" s="163">
        <v>0</v>
      </c>
      <c r="AW247" s="163">
        <v>0</v>
      </c>
      <c r="AX247" s="163">
        <v>0</v>
      </c>
      <c r="AY247" s="163">
        <v>0</v>
      </c>
      <c r="AZ247" s="163">
        <v>0</v>
      </c>
      <c r="BA247" s="163">
        <v>0</v>
      </c>
      <c r="BB247" s="163">
        <v>0</v>
      </c>
      <c r="BC247" s="163">
        <v>0</v>
      </c>
      <c r="BD247" s="163">
        <v>0</v>
      </c>
      <c r="BE247" s="163">
        <v>0</v>
      </c>
      <c r="BF247" s="163">
        <v>0</v>
      </c>
      <c r="BG247" s="163">
        <v>0</v>
      </c>
      <c r="BH247" s="163">
        <v>0</v>
      </c>
      <c r="BI247" s="163">
        <v>0</v>
      </c>
      <c r="BJ247" s="163">
        <v>0</v>
      </c>
      <c r="BK247" s="163">
        <v>0</v>
      </c>
      <c r="BL247" s="163">
        <v>0</v>
      </c>
      <c r="BM247" s="163">
        <v>0</v>
      </c>
      <c r="BN247" s="163">
        <v>0</v>
      </c>
      <c r="BO247" s="163">
        <v>0</v>
      </c>
      <c r="BP247" s="163">
        <v>0</v>
      </c>
      <c r="BQ247" s="163">
        <v>0</v>
      </c>
      <c r="BR247" s="163">
        <v>0</v>
      </c>
      <c r="BS247" s="163">
        <v>0</v>
      </c>
      <c r="BT247" s="163">
        <v>0</v>
      </c>
      <c r="BU247" s="163">
        <v>0</v>
      </c>
      <c r="BV247" s="163">
        <v>0</v>
      </c>
      <c r="BW247" s="163">
        <v>0</v>
      </c>
      <c r="BX247" s="163">
        <v>0</v>
      </c>
      <c r="BY247" s="163">
        <v>0</v>
      </c>
      <c r="BZ247" s="163">
        <v>0</v>
      </c>
      <c r="CA247" s="163">
        <v>0</v>
      </c>
      <c r="CB247" s="163">
        <v>0</v>
      </c>
      <c r="CC247" s="163">
        <v>0</v>
      </c>
      <c r="CD247" s="163">
        <v>0</v>
      </c>
      <c r="CE247" s="163">
        <v>0</v>
      </c>
      <c r="CF247" s="163">
        <v>0</v>
      </c>
      <c r="CG247" s="163">
        <v>0</v>
      </c>
      <c r="CH247" s="163">
        <v>0</v>
      </c>
      <c r="CI247" s="163">
        <v>0</v>
      </c>
      <c r="CJ247" s="163">
        <v>0</v>
      </c>
      <c r="CK247" s="163">
        <v>0</v>
      </c>
      <c r="CL247" s="163">
        <v>0</v>
      </c>
      <c r="CM247" s="163">
        <v>0</v>
      </c>
      <c r="CN247" s="163">
        <v>0</v>
      </c>
      <c r="CO247" s="163">
        <v>0</v>
      </c>
      <c r="CP247" s="163">
        <v>0</v>
      </c>
      <c r="CQ247" s="163">
        <v>0</v>
      </c>
      <c r="CR247" s="163">
        <v>0</v>
      </c>
      <c r="CS247" s="163">
        <v>0</v>
      </c>
      <c r="CT247" s="163">
        <v>0</v>
      </c>
      <c r="CU247" s="163">
        <v>0</v>
      </c>
      <c r="CV247" s="163">
        <v>0</v>
      </c>
      <c r="CW247" s="163">
        <v>0</v>
      </c>
      <c r="CX247" s="163">
        <v>0</v>
      </c>
      <c r="CY247" s="163">
        <v>0</v>
      </c>
      <c r="CZ247" s="163">
        <v>0</v>
      </c>
      <c r="DA247" s="163">
        <v>0</v>
      </c>
      <c r="DB247" s="163">
        <v>0</v>
      </c>
      <c r="DC247" s="163">
        <v>0</v>
      </c>
      <c r="DD247" s="163">
        <v>0</v>
      </c>
      <c r="DE247" s="163">
        <v>0</v>
      </c>
      <c r="DF247" s="163">
        <f>VLOOKUP($C247,'[3]BS ACC'!$C$5:$DH$1006,108,FALSE)</f>
        <v>0</v>
      </c>
      <c r="DG247" s="163">
        <f>VLOOKUP($C247,'[3]BS ACC'!$C$5:$DH$1006,109,FALSE)</f>
        <v>0</v>
      </c>
      <c r="DH247" s="163">
        <f>VLOOKUP($C247,'[3]BS ACC'!$C$5:$DH$1006,110,FALSE)</f>
        <v>0</v>
      </c>
    </row>
    <row r="248" spans="1:112">
      <c r="A248" s="350" t="str">
        <f t="shared" si="3"/>
        <v>2330711</v>
      </c>
      <c r="B248" s="350" t="s">
        <v>886</v>
      </c>
      <c r="C248" s="335" t="s">
        <v>773</v>
      </c>
      <c r="D248" s="340">
        <v>0</v>
      </c>
      <c r="E248" s="340">
        <v>0</v>
      </c>
      <c r="F248" s="340">
        <v>0</v>
      </c>
      <c r="G248" s="340">
        <v>0</v>
      </c>
      <c r="H248" s="340">
        <v>0</v>
      </c>
      <c r="I248" s="340">
        <v>0</v>
      </c>
      <c r="J248" s="340">
        <v>0</v>
      </c>
      <c r="K248" s="340">
        <v>0</v>
      </c>
      <c r="L248" s="340">
        <v>-800000</v>
      </c>
      <c r="M248" s="340">
        <v>-4700000</v>
      </c>
      <c r="N248" s="340">
        <v>0</v>
      </c>
      <c r="O248" s="340">
        <v>0</v>
      </c>
      <c r="P248" s="341">
        <v>0</v>
      </c>
      <c r="Q248" s="163">
        <v>0</v>
      </c>
      <c r="R248" s="163">
        <v>0</v>
      </c>
      <c r="S248" s="163">
        <v>0</v>
      </c>
      <c r="T248" s="163">
        <v>0</v>
      </c>
      <c r="U248" s="163">
        <v>0</v>
      </c>
      <c r="V248" s="163">
        <v>0</v>
      </c>
      <c r="W248" s="163">
        <v>0</v>
      </c>
      <c r="X248" s="163">
        <v>0</v>
      </c>
      <c r="Y248" s="163">
        <v>0</v>
      </c>
      <c r="Z248" s="163">
        <v>0</v>
      </c>
      <c r="AA248" s="163">
        <v>0</v>
      </c>
      <c r="AB248" s="163">
        <v>0</v>
      </c>
      <c r="AC248" s="163">
        <v>0</v>
      </c>
      <c r="AD248" s="163">
        <v>0</v>
      </c>
      <c r="AE248" s="163">
        <v>0</v>
      </c>
      <c r="AF248" s="163">
        <v>0</v>
      </c>
      <c r="AG248" s="163">
        <v>0</v>
      </c>
      <c r="AH248" s="163">
        <v>-600000</v>
      </c>
      <c r="AI248" s="163">
        <v>0</v>
      </c>
      <c r="AJ248" s="163">
        <v>0</v>
      </c>
      <c r="AK248" s="163">
        <v>0</v>
      </c>
      <c r="AL248" s="163">
        <v>0</v>
      </c>
      <c r="AM248" s="163">
        <v>0</v>
      </c>
      <c r="AN248" s="163">
        <v>0</v>
      </c>
      <c r="AO248" s="163">
        <v>0</v>
      </c>
      <c r="AP248" s="163">
        <v>0</v>
      </c>
      <c r="AQ248" s="163">
        <v>0</v>
      </c>
      <c r="AR248" s="163">
        <v>0</v>
      </c>
      <c r="AS248" s="163">
        <v>-1700000</v>
      </c>
      <c r="AT248" s="163">
        <v>0</v>
      </c>
      <c r="AU248" s="163">
        <v>0</v>
      </c>
      <c r="AV248" s="163">
        <v>0</v>
      </c>
      <c r="AW248" s="163">
        <v>0</v>
      </c>
      <c r="AX248" s="163">
        <v>0</v>
      </c>
      <c r="AY248" s="163">
        <v>-46059900</v>
      </c>
      <c r="AZ248" s="163">
        <v>-52684300</v>
      </c>
      <c r="BA248" s="163">
        <v>-50045713</v>
      </c>
      <c r="BB248" s="163">
        <v>0</v>
      </c>
      <c r="BC248" s="163">
        <v>0</v>
      </c>
      <c r="BD248" s="163">
        <v>0</v>
      </c>
      <c r="BE248" s="163">
        <v>0</v>
      </c>
      <c r="BF248" s="163">
        <v>0</v>
      </c>
      <c r="BG248" s="163">
        <v>0</v>
      </c>
      <c r="BH248" s="163">
        <v>0</v>
      </c>
      <c r="BI248" s="163">
        <v>0</v>
      </c>
      <c r="BJ248" s="163">
        <v>-26601973.98</v>
      </c>
      <c r="BK248" s="163">
        <v>0</v>
      </c>
      <c r="BL248" s="163">
        <v>0</v>
      </c>
      <c r="BM248" s="163">
        <v>0</v>
      </c>
      <c r="BN248" s="163">
        <v>0</v>
      </c>
      <c r="BO248" s="163">
        <v>0</v>
      </c>
      <c r="BP248" s="163">
        <v>0</v>
      </c>
      <c r="BQ248" s="163">
        <v>0</v>
      </c>
      <c r="BR248" s="163">
        <v>0</v>
      </c>
      <c r="BS248" s="163">
        <v>0</v>
      </c>
      <c r="BT248" s="163">
        <v>0</v>
      </c>
      <c r="BU248" s="163">
        <v>0</v>
      </c>
      <c r="BV248" s="163">
        <v>0</v>
      </c>
      <c r="BW248" s="163">
        <v>0</v>
      </c>
      <c r="BX248" s="163">
        <v>0</v>
      </c>
      <c r="BY248" s="163">
        <v>0</v>
      </c>
      <c r="BZ248" s="163">
        <v>0</v>
      </c>
      <c r="CA248" s="163">
        <v>0</v>
      </c>
      <c r="CB248" s="163">
        <v>0</v>
      </c>
      <c r="CC248" s="163">
        <v>0</v>
      </c>
      <c r="CD248" s="163">
        <v>0</v>
      </c>
      <c r="CE248" s="163">
        <v>0</v>
      </c>
      <c r="CF248" s="163">
        <v>0</v>
      </c>
      <c r="CG248" s="163">
        <v>0</v>
      </c>
      <c r="CH248" s="163">
        <v>0</v>
      </c>
      <c r="CI248" s="163">
        <v>0</v>
      </c>
      <c r="CJ248" s="163">
        <v>0</v>
      </c>
      <c r="CK248" s="163">
        <v>0</v>
      </c>
      <c r="CL248" s="163">
        <v>0</v>
      </c>
      <c r="CM248" s="163">
        <v>-4181104</v>
      </c>
      <c r="CN248" s="163">
        <v>0</v>
      </c>
      <c r="CO248" s="163">
        <v>0</v>
      </c>
      <c r="CP248" s="163">
        <v>0</v>
      </c>
      <c r="CQ248" s="163">
        <v>0</v>
      </c>
      <c r="CR248" s="163">
        <v>0</v>
      </c>
      <c r="CS248" s="163">
        <v>0</v>
      </c>
      <c r="CT248" s="163">
        <v>0</v>
      </c>
      <c r="CU248" s="163">
        <v>0</v>
      </c>
      <c r="CV248" s="163">
        <v>0</v>
      </c>
      <c r="CW248" s="163">
        <v>0</v>
      </c>
      <c r="CX248" s="163">
        <v>0</v>
      </c>
      <c r="CY248" s="163">
        <v>0</v>
      </c>
      <c r="CZ248" s="163">
        <v>0</v>
      </c>
      <c r="DA248" s="163">
        <v>0</v>
      </c>
      <c r="DB248" s="163">
        <v>0</v>
      </c>
      <c r="DC248" s="163">
        <v>-36571246.979999997</v>
      </c>
      <c r="DD248" s="163">
        <v>-24775692.280000001</v>
      </c>
      <c r="DE248" s="163">
        <v>0</v>
      </c>
      <c r="DF248" s="163">
        <f>VLOOKUP($C248,'[3]BS ACC'!$C$5:$DH$1006,108,FALSE)</f>
        <v>0</v>
      </c>
      <c r="DG248" s="163">
        <f>VLOOKUP($C248,'[3]BS ACC'!$C$5:$DH$1006,109,FALSE)</f>
        <v>0</v>
      </c>
      <c r="DH248" s="163">
        <f>VLOOKUP($C248,'[3]BS ACC'!$C$5:$DH$1006,110,FALSE)</f>
        <v>0</v>
      </c>
    </row>
    <row r="249" spans="1:112">
      <c r="A249" s="350" t="str">
        <f t="shared" si="3"/>
        <v>2340700</v>
      </c>
      <c r="B249" s="350" t="s">
        <v>1659</v>
      </c>
      <c r="C249" s="335" t="s">
        <v>774</v>
      </c>
      <c r="D249" s="340">
        <v>-7103154.0499999998</v>
      </c>
      <c r="E249" s="340">
        <v>-5604995.96</v>
      </c>
      <c r="F249" s="340">
        <v>-5479917.0099999998</v>
      </c>
      <c r="G249" s="340">
        <v>-5898273.3899999997</v>
      </c>
      <c r="H249" s="340">
        <v>-5243408.34</v>
      </c>
      <c r="I249" s="340">
        <v>-19900860.989999998</v>
      </c>
      <c r="J249" s="340">
        <v>-13833685.859999999</v>
      </c>
      <c r="K249" s="340">
        <v>-6033196.0800000001</v>
      </c>
      <c r="L249" s="340">
        <v>-5013447.95</v>
      </c>
      <c r="M249" s="340">
        <v>-4738593.17</v>
      </c>
      <c r="N249" s="340">
        <v>-4804396.34</v>
      </c>
      <c r="O249" s="340">
        <v>-9784161.2300000004</v>
      </c>
      <c r="P249" s="341">
        <v>-6931672.9800000004</v>
      </c>
      <c r="Q249" s="163">
        <v>-5711194.25</v>
      </c>
      <c r="R249" s="163">
        <v>-5494204.2199999997</v>
      </c>
      <c r="S249" s="163">
        <v>-6137465.1399999997</v>
      </c>
      <c r="T249" s="163">
        <v>-5622748.2699999996</v>
      </c>
      <c r="U249" s="163">
        <v>-10296933.26</v>
      </c>
      <c r="V249" s="163">
        <v>-6000829.9500000002</v>
      </c>
      <c r="W249" s="163">
        <v>-6669087.5800000001</v>
      </c>
      <c r="X249" s="163">
        <v>-4907465.74</v>
      </c>
      <c r="Y249" s="163">
        <v>-5103197.88</v>
      </c>
      <c r="Z249" s="163">
        <v>-4953393.7699999996</v>
      </c>
      <c r="AA249" s="163">
        <v>-10525641.5</v>
      </c>
      <c r="AB249" s="163">
        <v>-8393816.5500000007</v>
      </c>
      <c r="AC249" s="163">
        <v>-5297140.6500000004</v>
      </c>
      <c r="AD249" s="163">
        <v>-5589103.21</v>
      </c>
      <c r="AE249" s="163">
        <v>-6044815.5899999999</v>
      </c>
      <c r="AF249" s="163">
        <v>-4567689.16</v>
      </c>
      <c r="AG249" s="163">
        <v>-9361769.2899999991</v>
      </c>
      <c r="AH249" s="163">
        <v>-5117350.29</v>
      </c>
      <c r="AI249" s="163">
        <v>-4764048.22</v>
      </c>
      <c r="AJ249" s="163">
        <v>-3187576.26</v>
      </c>
      <c r="AK249" s="163">
        <v>-3093852.96</v>
      </c>
      <c r="AL249" s="163">
        <v>-4295831.5599999996</v>
      </c>
      <c r="AM249" s="163">
        <v>-9412223.0999999996</v>
      </c>
      <c r="AN249" s="163">
        <v>-8085514.1500000004</v>
      </c>
      <c r="AO249" s="163">
        <v>-2298090.23</v>
      </c>
      <c r="AP249" s="163">
        <v>-11562903.4</v>
      </c>
      <c r="AQ249" s="163">
        <v>-4042467.65</v>
      </c>
      <c r="AR249" s="163">
        <v>-8503302.1999999993</v>
      </c>
      <c r="AS249" s="163">
        <v>-13894925.84</v>
      </c>
      <c r="AT249" s="163">
        <v>-2588192.88</v>
      </c>
      <c r="AU249" s="163">
        <v>-7532643.4100000001</v>
      </c>
      <c r="AV249" s="163">
        <v>-4414155.74</v>
      </c>
      <c r="AW249" s="163">
        <v>-2905724.76</v>
      </c>
      <c r="AX249" s="163">
        <v>-4440501.88</v>
      </c>
      <c r="AY249" s="163">
        <v>-10404007.43</v>
      </c>
      <c r="AZ249" s="163">
        <v>-7206810.2999999998</v>
      </c>
      <c r="BA249" s="163">
        <v>-6048238.4199999999</v>
      </c>
      <c r="BB249" s="163">
        <v>-5644473.3600000003</v>
      </c>
      <c r="BC249" s="163">
        <v>-5668505.0199999996</v>
      </c>
      <c r="BD249" s="163">
        <v>-5457301.5700000003</v>
      </c>
      <c r="BE249" s="163">
        <v>-9529554.0299999993</v>
      </c>
      <c r="BF249" s="163">
        <v>-6979020.6299999999</v>
      </c>
      <c r="BG249" s="163">
        <v>-5291143.84</v>
      </c>
      <c r="BH249" s="163">
        <v>-5033056.0599999996</v>
      </c>
      <c r="BI249" s="163">
        <v>-5727561.8899999997</v>
      </c>
      <c r="BJ249" s="163">
        <v>-5646545.2999999998</v>
      </c>
      <c r="BK249" s="163">
        <v>-9579371.3100000005</v>
      </c>
      <c r="BL249" s="163">
        <v>-8435558.2799999993</v>
      </c>
      <c r="BM249" s="163">
        <v>-8636890.2899999991</v>
      </c>
      <c r="BN249" s="163">
        <v>-6141273.0700000003</v>
      </c>
      <c r="BO249" s="163">
        <v>-7078437.5999999996</v>
      </c>
      <c r="BP249" s="163">
        <v>-6085406.8200000003</v>
      </c>
      <c r="BQ249" s="163">
        <v>-9503784.0199999996</v>
      </c>
      <c r="BR249" s="163">
        <v>-8494586.6400000006</v>
      </c>
      <c r="BS249" s="163">
        <v>-5529162.5700000003</v>
      </c>
      <c r="BT249" s="163">
        <v>-6425165.2400000002</v>
      </c>
      <c r="BU249" s="163">
        <v>-5751130.2999999998</v>
      </c>
      <c r="BV249" s="163">
        <v>-5515770.4000000004</v>
      </c>
      <c r="BW249" s="163">
        <v>-9126695.6600000001</v>
      </c>
      <c r="BX249" s="163">
        <v>-11209888.17</v>
      </c>
      <c r="BY249" s="163">
        <v>-7691394.9199999999</v>
      </c>
      <c r="BZ249" s="163">
        <v>-6292690.2400000002</v>
      </c>
      <c r="CA249" s="163">
        <v>-7963300.1399999997</v>
      </c>
      <c r="CB249" s="163">
        <v>-6146892.54</v>
      </c>
      <c r="CC249" s="163">
        <v>-9408201.0199999996</v>
      </c>
      <c r="CD249" s="163">
        <v>-9734098.5</v>
      </c>
      <c r="CE249" s="163">
        <v>-5820691.1299999999</v>
      </c>
      <c r="CF249" s="163">
        <v>-4923531.18</v>
      </c>
      <c r="CG249" s="163">
        <v>-6633104.0599999996</v>
      </c>
      <c r="CH249" s="163">
        <v>-5434855.0300000003</v>
      </c>
      <c r="CI249" s="163">
        <v>-11091173.619999999</v>
      </c>
      <c r="CJ249" s="163">
        <v>-11845058.42</v>
      </c>
      <c r="CK249" s="163">
        <v>-9292908.1099999994</v>
      </c>
      <c r="CL249" s="163">
        <v>-6367035.1100000003</v>
      </c>
      <c r="CM249" s="163">
        <v>-2369470.5499999998</v>
      </c>
      <c r="CN249" s="163">
        <v>-12581789.619999999</v>
      </c>
      <c r="CO249" s="163">
        <v>-9202224.3499999996</v>
      </c>
      <c r="CP249" s="163">
        <v>-11098348.199999999</v>
      </c>
      <c r="CQ249" s="163">
        <v>-9581118.0899999999</v>
      </c>
      <c r="CR249" s="163">
        <v>-6585590.4699999997</v>
      </c>
      <c r="CS249" s="163">
        <v>-10511772.720000001</v>
      </c>
      <c r="CT249" s="163">
        <v>-5356707.7699999996</v>
      </c>
      <c r="CU249" s="163">
        <v>-9150661.0399999991</v>
      </c>
      <c r="CV249" s="163">
        <v>-13901643.470000001</v>
      </c>
      <c r="CW249" s="163">
        <v>-9381979.6600000001</v>
      </c>
      <c r="CX249" s="163">
        <v>-6659943.1699999999</v>
      </c>
      <c r="CY249" s="163">
        <v>-10790045.119999999</v>
      </c>
      <c r="CZ249" s="163">
        <v>-8073673.0599999996</v>
      </c>
      <c r="DA249" s="163">
        <v>-9220343.5700000003</v>
      </c>
      <c r="DB249" s="163">
        <v>-11894601.300000001</v>
      </c>
      <c r="DC249" s="163">
        <v>-11454438.380000001</v>
      </c>
      <c r="DD249" s="163">
        <v>-7452340.54</v>
      </c>
      <c r="DE249" s="163">
        <v>-10219796.390000001</v>
      </c>
      <c r="DF249" s="163">
        <f>VLOOKUP($C249,'[3]BS ACC'!$C$5:$DH$1006,108,FALSE)</f>
        <v>-7865530.5999999996</v>
      </c>
      <c r="DG249" s="163">
        <f>VLOOKUP($C249,'[3]BS ACC'!$C$5:$DH$1006,109,FALSE)</f>
        <v>-10510908.35</v>
      </c>
      <c r="DH249" s="163">
        <f>VLOOKUP($C249,'[3]BS ACC'!$C$5:$DH$1006,110,FALSE)</f>
        <v>-18235391.120000001</v>
      </c>
    </row>
    <row r="250" spans="1:112">
      <c r="A250" s="350" t="str">
        <f t="shared" si="3"/>
        <v>2340701</v>
      </c>
      <c r="B250" s="350" t="s">
        <v>1660</v>
      </c>
      <c r="C250" s="335" t="s">
        <v>775</v>
      </c>
      <c r="D250" s="340">
        <v>-13028.11</v>
      </c>
      <c r="E250" s="340">
        <v>-179391.48</v>
      </c>
      <c r="F250" s="340">
        <v>-34753.65</v>
      </c>
      <c r="G250" s="340">
        <v>-20977.7</v>
      </c>
      <c r="H250" s="340">
        <v>-133630.1</v>
      </c>
      <c r="I250" s="340">
        <v>-808060.31</v>
      </c>
      <c r="J250" s="340">
        <v>-11338.02</v>
      </c>
      <c r="K250" s="340">
        <v>-90071.69</v>
      </c>
      <c r="L250" s="340">
        <v>-116783.88</v>
      </c>
      <c r="M250" s="340">
        <v>-157861.01999999999</v>
      </c>
      <c r="N250" s="340">
        <v>-117705.89</v>
      </c>
      <c r="O250" s="340">
        <v>-1098860.79</v>
      </c>
      <c r="P250" s="341">
        <v>-42654.79</v>
      </c>
      <c r="Q250" s="163">
        <v>-54877.81</v>
      </c>
      <c r="R250" s="163">
        <v>-30927.11</v>
      </c>
      <c r="S250" s="163">
        <v>-34644.82</v>
      </c>
      <c r="T250" s="163">
        <v>-52359.54</v>
      </c>
      <c r="U250" s="163">
        <v>-54161.87</v>
      </c>
      <c r="V250" s="163">
        <v>-17729.830000000002</v>
      </c>
      <c r="W250" s="163">
        <v>-9388.7999999999993</v>
      </c>
      <c r="X250" s="163">
        <v>-10996.12</v>
      </c>
      <c r="Y250" s="163">
        <v>-23482.2</v>
      </c>
      <c r="Z250" s="163">
        <v>-9457.65</v>
      </c>
      <c r="AA250" s="163">
        <v>-204687.39</v>
      </c>
      <c r="AB250" s="163">
        <v>-9388.7999999999993</v>
      </c>
      <c r="AC250" s="163">
        <v>-26650.799999999999</v>
      </c>
      <c r="AD250" s="163">
        <v>-11220.74</v>
      </c>
      <c r="AE250" s="163">
        <v>-10517.2</v>
      </c>
      <c r="AF250" s="163">
        <v>-9388.7999999999993</v>
      </c>
      <c r="AG250" s="163">
        <v>-16772.11</v>
      </c>
      <c r="AH250" s="163">
        <v>-28069.119999999999</v>
      </c>
      <c r="AI250" s="163">
        <v>-30871.13</v>
      </c>
      <c r="AJ250" s="163">
        <v>-10521.98</v>
      </c>
      <c r="AK250" s="163">
        <v>-260682</v>
      </c>
      <c r="AL250" s="163">
        <v>-175695.6</v>
      </c>
      <c r="AM250" s="163">
        <v>-16360.9</v>
      </c>
      <c r="AN250" s="163">
        <v>-61151.08</v>
      </c>
      <c r="AO250" s="163">
        <v>-17192.03</v>
      </c>
      <c r="AP250" s="163">
        <v>-10520.04</v>
      </c>
      <c r="AQ250" s="163">
        <v>-16276.38</v>
      </c>
      <c r="AR250" s="163">
        <v>-58652.32</v>
      </c>
      <c r="AS250" s="163">
        <v>-77731.55</v>
      </c>
      <c r="AT250" s="163">
        <v>-46920.87</v>
      </c>
      <c r="AU250" s="163">
        <v>-57646.48</v>
      </c>
      <c r="AV250" s="163">
        <v>-61323.02</v>
      </c>
      <c r="AW250" s="163">
        <v>-54337.75</v>
      </c>
      <c r="AX250" s="163">
        <v>-46268.55</v>
      </c>
      <c r="AY250" s="163">
        <v>-41308.800000000003</v>
      </c>
      <c r="AZ250" s="163">
        <v>-43389.87</v>
      </c>
      <c r="BA250" s="163">
        <v>-396496.93</v>
      </c>
      <c r="BB250" s="163">
        <v>-54037.62</v>
      </c>
      <c r="BC250" s="163">
        <v>-61553.16</v>
      </c>
      <c r="BD250" s="163">
        <v>-45637.120000000003</v>
      </c>
      <c r="BE250" s="163">
        <v>-59954.42</v>
      </c>
      <c r="BF250" s="163">
        <v>-52424.47</v>
      </c>
      <c r="BG250" s="163">
        <v>-42372.800000000003</v>
      </c>
      <c r="BH250" s="163">
        <v>-46893.4</v>
      </c>
      <c r="BI250" s="163">
        <v>-55528.09</v>
      </c>
      <c r="BJ250" s="163">
        <v>-50130.23</v>
      </c>
      <c r="BK250" s="163">
        <v>-70887.899999999994</v>
      </c>
      <c r="BL250" s="163">
        <v>-68181.87</v>
      </c>
      <c r="BM250" s="163">
        <v>-65381.98</v>
      </c>
      <c r="BN250" s="163">
        <v>-40165.4</v>
      </c>
      <c r="BO250" s="163">
        <v>-85476.54</v>
      </c>
      <c r="BP250" s="163">
        <v>-41308.800000000003</v>
      </c>
      <c r="BQ250" s="163">
        <v>-50424.87</v>
      </c>
      <c r="BR250" s="163">
        <v>-60395.1</v>
      </c>
      <c r="BS250" s="163">
        <v>-51921.72</v>
      </c>
      <c r="BT250" s="163">
        <v>-53410.98</v>
      </c>
      <c r="BU250" s="163">
        <v>-44432.97</v>
      </c>
      <c r="BV250" s="163">
        <v>-42372.800000000003</v>
      </c>
      <c r="BW250" s="163">
        <v>-62424.959999999999</v>
      </c>
      <c r="BX250" s="163">
        <v>-157781.60999999999</v>
      </c>
      <c r="BY250" s="163">
        <v>-142078.18</v>
      </c>
      <c r="BZ250" s="163">
        <v>-55196.51</v>
      </c>
      <c r="CA250" s="163">
        <v>-64300.18</v>
      </c>
      <c r="CB250" s="163">
        <v>-65047.42</v>
      </c>
      <c r="CC250" s="163">
        <v>-46550.239999999998</v>
      </c>
      <c r="CD250" s="163">
        <v>6871.49</v>
      </c>
      <c r="CE250" s="163">
        <v>-55842.29</v>
      </c>
      <c r="CF250" s="163">
        <v>-42372.800000000003</v>
      </c>
      <c r="CG250" s="163">
        <v>-57604.35</v>
      </c>
      <c r="CH250" s="163">
        <v>-315776.14</v>
      </c>
      <c r="CI250" s="163">
        <v>-528771.06000000006</v>
      </c>
      <c r="CJ250" s="163">
        <v>-556783.73</v>
      </c>
      <c r="CK250" s="163">
        <v>-548242.52</v>
      </c>
      <c r="CL250" s="163">
        <v>-633298.03</v>
      </c>
      <c r="CM250" s="163">
        <v>-684276.78</v>
      </c>
      <c r="CN250" s="163">
        <v>-537348.25</v>
      </c>
      <c r="CO250" s="163">
        <v>-545600.64</v>
      </c>
      <c r="CP250" s="163">
        <v>-528303.48</v>
      </c>
      <c r="CQ250" s="163">
        <v>-545600.64</v>
      </c>
      <c r="CR250" s="163">
        <v>-559196.87</v>
      </c>
      <c r="CS250" s="163">
        <v>-586758.59</v>
      </c>
      <c r="CT250" s="163">
        <v>-643840.38</v>
      </c>
      <c r="CU250" s="163">
        <v>-528303.48</v>
      </c>
      <c r="CV250" s="163">
        <v>-545600.64</v>
      </c>
      <c r="CW250" s="163">
        <v>-568480.88</v>
      </c>
      <c r="CX250" s="163">
        <v>-493709.17</v>
      </c>
      <c r="CY250" s="163">
        <v>-545600.64</v>
      </c>
      <c r="CZ250" s="163">
        <v>-534081.28000000003</v>
      </c>
      <c r="DA250" s="163">
        <v>-621581.64</v>
      </c>
      <c r="DB250" s="163">
        <v>-601833.48</v>
      </c>
      <c r="DC250" s="163">
        <v>-621581.64</v>
      </c>
      <c r="DD250" s="163">
        <v>-662684.72</v>
      </c>
      <c r="DE250" s="163">
        <v>-601833.48</v>
      </c>
      <c r="DF250" s="163">
        <f>VLOOKUP($C250,'[3]BS ACC'!$C$5:$DH$1006,108,FALSE)</f>
        <v>-621581.64</v>
      </c>
      <c r="DG250" s="163">
        <f>VLOOKUP($C250,'[3]BS ACC'!$C$5:$DH$1006,109,FALSE)</f>
        <v>-640960.31000000006</v>
      </c>
      <c r="DH250" s="163">
        <f>VLOOKUP($C250,'[3]BS ACC'!$C$5:$DH$1006,110,FALSE)</f>
        <v>-621581.64</v>
      </c>
    </row>
    <row r="251" spans="1:112">
      <c r="A251" s="350" t="str">
        <f t="shared" si="3"/>
        <v>2340710</v>
      </c>
      <c r="B251" s="350" t="s">
        <v>1798</v>
      </c>
      <c r="C251" s="335" t="s">
        <v>1797</v>
      </c>
      <c r="D251" s="340"/>
      <c r="E251" s="340"/>
      <c r="F251" s="340"/>
      <c r="G251" s="340"/>
      <c r="H251" s="340"/>
      <c r="I251" s="340"/>
      <c r="J251" s="340"/>
      <c r="K251" s="340"/>
      <c r="L251" s="340"/>
      <c r="M251" s="340"/>
      <c r="N251" s="340"/>
      <c r="O251" s="340"/>
      <c r="P251" s="341"/>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v>0</v>
      </c>
      <c r="AP251" s="163">
        <v>0</v>
      </c>
      <c r="AQ251" s="163">
        <v>0</v>
      </c>
      <c r="AR251" s="163">
        <v>0</v>
      </c>
      <c r="AS251" s="163">
        <v>0</v>
      </c>
      <c r="AT251" s="163">
        <v>0</v>
      </c>
      <c r="AU251" s="163">
        <v>0</v>
      </c>
      <c r="AV251" s="163">
        <v>0</v>
      </c>
      <c r="AW251" s="163">
        <v>0</v>
      </c>
      <c r="AX251" s="163">
        <v>0</v>
      </c>
      <c r="AY251" s="163">
        <v>0</v>
      </c>
      <c r="AZ251" s="163">
        <v>0</v>
      </c>
      <c r="BA251" s="163">
        <v>0</v>
      </c>
      <c r="BB251" s="163">
        <v>0</v>
      </c>
      <c r="BC251" s="163">
        <v>0</v>
      </c>
      <c r="BD251" s="163">
        <v>0</v>
      </c>
      <c r="BE251" s="163">
        <v>0</v>
      </c>
      <c r="BF251" s="163">
        <v>0</v>
      </c>
      <c r="BG251" s="163">
        <v>0</v>
      </c>
      <c r="BH251" s="163">
        <v>0</v>
      </c>
      <c r="BI251" s="163">
        <v>0</v>
      </c>
      <c r="BJ251" s="163">
        <v>0</v>
      </c>
      <c r="BK251" s="163">
        <v>0</v>
      </c>
      <c r="BL251" s="163">
        <v>0</v>
      </c>
      <c r="BM251" s="163">
        <v>0</v>
      </c>
      <c r="BN251" s="163">
        <v>0</v>
      </c>
      <c r="BO251" s="163">
        <v>0</v>
      </c>
      <c r="BP251" s="163">
        <v>0</v>
      </c>
      <c r="BQ251" s="163">
        <v>0</v>
      </c>
      <c r="BR251" s="163">
        <v>0</v>
      </c>
      <c r="BS251" s="163">
        <v>0</v>
      </c>
      <c r="BT251" s="163">
        <v>0</v>
      </c>
      <c r="BU251" s="163">
        <v>0</v>
      </c>
      <c r="BV251" s="163">
        <v>0</v>
      </c>
      <c r="BW251" s="163">
        <v>0</v>
      </c>
      <c r="BX251" s="163">
        <v>0</v>
      </c>
      <c r="BY251" s="163">
        <v>0</v>
      </c>
      <c r="BZ251" s="163">
        <v>0</v>
      </c>
      <c r="CA251" s="163">
        <v>0</v>
      </c>
      <c r="CB251" s="163">
        <v>0</v>
      </c>
      <c r="CC251" s="163">
        <v>0</v>
      </c>
      <c r="CD251" s="163">
        <v>0</v>
      </c>
      <c r="CE251" s="163">
        <v>0</v>
      </c>
      <c r="CF251" s="163">
        <v>0</v>
      </c>
      <c r="CG251" s="163">
        <v>0</v>
      </c>
      <c r="CH251" s="163">
        <v>0</v>
      </c>
      <c r="CI251" s="163">
        <v>0</v>
      </c>
      <c r="CJ251" s="163">
        <v>0</v>
      </c>
      <c r="CK251" s="163">
        <v>0</v>
      </c>
      <c r="CL251" s="163">
        <v>0</v>
      </c>
      <c r="CM251" s="163">
        <v>0</v>
      </c>
      <c r="CN251" s="163">
        <v>0</v>
      </c>
      <c r="CO251" s="163">
        <v>0</v>
      </c>
      <c r="CP251" s="163">
        <v>0</v>
      </c>
      <c r="CQ251" s="163">
        <v>0</v>
      </c>
      <c r="CR251" s="163">
        <v>0</v>
      </c>
      <c r="CS251" s="163">
        <v>0</v>
      </c>
      <c r="CT251" s="163">
        <v>0</v>
      </c>
      <c r="CU251" s="163">
        <v>0</v>
      </c>
      <c r="CV251" s="163">
        <v>0</v>
      </c>
      <c r="CW251" s="163">
        <v>0</v>
      </c>
      <c r="CX251" s="163">
        <v>-2882304.94</v>
      </c>
      <c r="CY251" s="163">
        <v>0</v>
      </c>
      <c r="CZ251" s="163">
        <v>0</v>
      </c>
      <c r="DA251" s="163">
        <v>0</v>
      </c>
      <c r="DB251" s="163">
        <v>0</v>
      </c>
      <c r="DC251" s="163">
        <v>0</v>
      </c>
      <c r="DD251" s="163">
        <v>0</v>
      </c>
      <c r="DE251" s="163">
        <v>0</v>
      </c>
      <c r="DF251" s="163">
        <f>VLOOKUP($C251,'[3]BS ACC'!$C$5:$DH$1006,108,FALSE)</f>
        <v>0</v>
      </c>
      <c r="DG251" s="163">
        <f>VLOOKUP($C251,'[3]BS ACC'!$C$5:$DH$1006,109,FALSE)</f>
        <v>0</v>
      </c>
      <c r="DH251" s="163">
        <f>VLOOKUP($C251,'[3]BS ACC'!$C$5:$DH$1006,110,FALSE)</f>
        <v>0</v>
      </c>
    </row>
    <row r="252" spans="1:112">
      <c r="A252" s="350" t="str">
        <f t="shared" si="3"/>
        <v>2340711</v>
      </c>
      <c r="B252" s="350" t="s">
        <v>1751</v>
      </c>
      <c r="C252" s="335" t="s">
        <v>1752</v>
      </c>
      <c r="D252" s="340"/>
      <c r="E252" s="340"/>
      <c r="F252" s="340"/>
      <c r="G252" s="340"/>
      <c r="H252" s="340"/>
      <c r="I252" s="340"/>
      <c r="J252" s="340"/>
      <c r="K252" s="340"/>
      <c r="L252" s="340"/>
      <c r="M252" s="340"/>
      <c r="N252" s="340"/>
      <c r="O252" s="340"/>
      <c r="P252" s="341"/>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c r="AL252" s="163">
        <v>0</v>
      </c>
      <c r="AM252" s="163">
        <v>0</v>
      </c>
      <c r="AN252" s="163">
        <v>-20663.62</v>
      </c>
      <c r="AO252" s="163">
        <v>-19729.59</v>
      </c>
      <c r="AP252" s="163">
        <v>2598.0300000000002</v>
      </c>
      <c r="AQ252" s="163">
        <v>-27074.3</v>
      </c>
      <c r="AR252" s="163">
        <v>-17699.900000000001</v>
      </c>
      <c r="AS252" s="163">
        <v>-24195.49</v>
      </c>
      <c r="AT252" s="163">
        <v>-17180.82</v>
      </c>
      <c r="AU252" s="163">
        <v>-357489.58</v>
      </c>
      <c r="AV252" s="163">
        <v>0</v>
      </c>
      <c r="AW252" s="163">
        <v>-40987.5</v>
      </c>
      <c r="AX252" s="163">
        <v>-65331.13</v>
      </c>
      <c r="AY252" s="163">
        <v>-661015.12</v>
      </c>
      <c r="AZ252" s="163">
        <v>-751223.67</v>
      </c>
      <c r="BA252" s="163">
        <v>-756196.77</v>
      </c>
      <c r="BB252" s="163">
        <v>-929803.77</v>
      </c>
      <c r="BC252" s="163">
        <v>-711946.43</v>
      </c>
      <c r="BD252" s="163">
        <v>-1307813.8</v>
      </c>
      <c r="BE252" s="163">
        <v>-794302.72</v>
      </c>
      <c r="BF252" s="163">
        <v>-1038433.89</v>
      </c>
      <c r="BG252" s="163">
        <v>-1994349.66</v>
      </c>
      <c r="BH252" s="163">
        <v>-1431642.73</v>
      </c>
      <c r="BI252" s="163">
        <v>-1493365.17</v>
      </c>
      <c r="BJ252" s="163">
        <v>-1518953.46</v>
      </c>
      <c r="BK252" s="163">
        <v>-702090.01</v>
      </c>
      <c r="BL252" s="163">
        <v>-1065214.05</v>
      </c>
      <c r="BM252" s="163">
        <v>-914038.77</v>
      </c>
      <c r="BN252" s="163">
        <v>-695255.61</v>
      </c>
      <c r="BO252" s="163">
        <v>-757044.59</v>
      </c>
      <c r="BP252" s="163">
        <v>-21921.18</v>
      </c>
      <c r="BQ252" s="163">
        <v>151188.9</v>
      </c>
      <c r="BR252" s="163">
        <v>-151572.94</v>
      </c>
      <c r="BS252" s="163">
        <v>-180406.97</v>
      </c>
      <c r="BT252" s="163">
        <v>-226531.85</v>
      </c>
      <c r="BU252" s="163">
        <v>-545141.98</v>
      </c>
      <c r="BV252" s="163">
        <v>-250907.99</v>
      </c>
      <c r="BW252" s="163">
        <v>-246640.42</v>
      </c>
      <c r="BX252" s="163">
        <v>-97630.01</v>
      </c>
      <c r="BY252" s="163">
        <v>-171783.29</v>
      </c>
      <c r="BZ252" s="163">
        <v>-191660</v>
      </c>
      <c r="CA252" s="163">
        <v>-299028.01</v>
      </c>
      <c r="CB252" s="163">
        <v>-183280.94</v>
      </c>
      <c r="CC252" s="163">
        <v>-309551.5</v>
      </c>
      <c r="CD252" s="163">
        <v>-272170.23999999999</v>
      </c>
      <c r="CE252" s="163">
        <v>-139363.41</v>
      </c>
      <c r="CF252" s="163">
        <v>-229977.39</v>
      </c>
      <c r="CG252" s="163">
        <v>-310523.58</v>
      </c>
      <c r="CH252" s="163">
        <v>-260999.04000000001</v>
      </c>
      <c r="CI252" s="163">
        <v>-1123433.94</v>
      </c>
      <c r="CJ252" s="163">
        <v>-1724594.24</v>
      </c>
      <c r="CK252" s="163">
        <v>-2891004.44</v>
      </c>
      <c r="CL252" s="163">
        <v>-5170370.75</v>
      </c>
      <c r="CM252" s="163">
        <v>-2451262.67</v>
      </c>
      <c r="CN252" s="163">
        <v>-1937354.33</v>
      </c>
      <c r="CO252" s="163">
        <v>-1872445.48</v>
      </c>
      <c r="CP252" s="163">
        <v>-1961544.37</v>
      </c>
      <c r="CQ252" s="163">
        <v>-2163381.9500000002</v>
      </c>
      <c r="CR252" s="163">
        <v>-3038890.19</v>
      </c>
      <c r="CS252" s="163">
        <v>-3776477.26</v>
      </c>
      <c r="CT252" s="163">
        <v>-5253186.83</v>
      </c>
      <c r="CU252" s="163">
        <v>-4052901.27</v>
      </c>
      <c r="CV252" s="163">
        <v>-1580283.66</v>
      </c>
      <c r="CW252" s="163">
        <v>-3827145.96</v>
      </c>
      <c r="CX252" s="163">
        <v>-3224690.94</v>
      </c>
      <c r="CY252" s="163">
        <v>-3825613.36</v>
      </c>
      <c r="CZ252" s="163">
        <v>-2266699.64</v>
      </c>
      <c r="DA252" s="163">
        <v>-3318360.92</v>
      </c>
      <c r="DB252" s="163">
        <v>-3231061.88</v>
      </c>
      <c r="DC252" s="163">
        <v>-3035381.81</v>
      </c>
      <c r="DD252" s="163">
        <v>-3579154.11</v>
      </c>
      <c r="DE252" s="163">
        <v>-1039096.93</v>
      </c>
      <c r="DF252" s="163">
        <f>VLOOKUP($C252,'[3]BS ACC'!$C$5:$DH$1006,108,FALSE)</f>
        <v>-713371.46</v>
      </c>
      <c r="DG252" s="163">
        <f>VLOOKUP($C252,'[3]BS ACC'!$C$5:$DH$1006,109,FALSE)</f>
        <v>-3182971.55</v>
      </c>
      <c r="DH252" s="163">
        <f>VLOOKUP($C252,'[3]BS ACC'!$C$5:$DH$1006,110,FALSE)</f>
        <v>-9219323.0800000001</v>
      </c>
    </row>
    <row r="253" spans="1:112">
      <c r="A253" s="350" t="str">
        <f>+B253</f>
        <v>2340720</v>
      </c>
      <c r="B253" s="350" t="s">
        <v>2305</v>
      </c>
      <c r="C253" s="335" t="s">
        <v>2290</v>
      </c>
      <c r="D253" s="340">
        <v>0</v>
      </c>
      <c r="E253" s="340">
        <v>0</v>
      </c>
      <c r="F253" s="340">
        <v>0</v>
      </c>
      <c r="G253" s="340">
        <v>0</v>
      </c>
      <c r="H253" s="340">
        <v>0</v>
      </c>
      <c r="I253" s="340">
        <v>0</v>
      </c>
      <c r="J253" s="340">
        <v>0</v>
      </c>
      <c r="K253" s="340">
        <v>0</v>
      </c>
      <c r="L253" s="340">
        <v>0</v>
      </c>
      <c r="M253" s="340">
        <v>0</v>
      </c>
      <c r="N253" s="340">
        <v>0</v>
      </c>
      <c r="O253" s="340">
        <v>0</v>
      </c>
      <c r="P253" s="341">
        <v>0</v>
      </c>
      <c r="Q253" s="163">
        <v>0</v>
      </c>
      <c r="R253" s="163">
        <v>0</v>
      </c>
      <c r="S253" s="163">
        <v>0</v>
      </c>
      <c r="T253" s="163">
        <v>0</v>
      </c>
      <c r="U253" s="163">
        <v>0</v>
      </c>
      <c r="V253" s="163">
        <v>0</v>
      </c>
      <c r="W253" s="163">
        <v>0</v>
      </c>
      <c r="X253" s="163">
        <v>0</v>
      </c>
      <c r="Y253" s="163">
        <v>0</v>
      </c>
      <c r="Z253" s="163">
        <v>0</v>
      </c>
      <c r="AA253" s="163">
        <v>0</v>
      </c>
      <c r="AB253" s="163">
        <v>0</v>
      </c>
      <c r="AC253" s="163">
        <v>0</v>
      </c>
      <c r="AD253" s="163">
        <v>0</v>
      </c>
      <c r="AE253" s="163">
        <v>0</v>
      </c>
      <c r="AF253" s="163">
        <v>0</v>
      </c>
      <c r="AG253" s="163">
        <v>0</v>
      </c>
      <c r="AH253" s="163">
        <v>0</v>
      </c>
      <c r="AI253" s="163">
        <v>0</v>
      </c>
      <c r="AJ253" s="163">
        <v>0</v>
      </c>
      <c r="AK253" s="163">
        <v>0</v>
      </c>
      <c r="AL253" s="163">
        <v>0</v>
      </c>
      <c r="AM253" s="163">
        <v>0</v>
      </c>
      <c r="AN253" s="163">
        <v>0</v>
      </c>
      <c r="AO253" s="163">
        <v>0</v>
      </c>
      <c r="AP253" s="163">
        <v>0</v>
      </c>
      <c r="AQ253" s="163">
        <v>0</v>
      </c>
      <c r="AR253" s="163">
        <v>0</v>
      </c>
      <c r="AS253" s="163">
        <v>0</v>
      </c>
      <c r="AT253" s="163">
        <v>0</v>
      </c>
      <c r="AU253" s="163">
        <v>0</v>
      </c>
      <c r="AV253" s="163">
        <v>0</v>
      </c>
      <c r="AW253" s="163">
        <v>0</v>
      </c>
      <c r="AX253" s="163">
        <v>0</v>
      </c>
      <c r="AY253" s="163">
        <v>0</v>
      </c>
      <c r="AZ253" s="163">
        <v>0</v>
      </c>
      <c r="BA253" s="163">
        <v>0</v>
      </c>
      <c r="BB253" s="163">
        <v>0</v>
      </c>
      <c r="BC253" s="163">
        <v>0</v>
      </c>
      <c r="BD253" s="163">
        <v>0</v>
      </c>
      <c r="BE253" s="163">
        <v>0</v>
      </c>
      <c r="BF253" s="163">
        <v>0</v>
      </c>
      <c r="BG253" s="163">
        <v>0</v>
      </c>
      <c r="BH253" s="163">
        <v>0</v>
      </c>
      <c r="BI253" s="163">
        <v>0</v>
      </c>
      <c r="BJ253" s="163">
        <v>0</v>
      </c>
      <c r="BK253" s="163">
        <v>0</v>
      </c>
      <c r="BL253" s="163">
        <v>0</v>
      </c>
      <c r="BM253" s="163">
        <v>0</v>
      </c>
      <c r="BN253" s="163">
        <v>0</v>
      </c>
      <c r="BO253" s="163">
        <v>0</v>
      </c>
      <c r="BP253" s="163">
        <v>0</v>
      </c>
      <c r="BQ253" s="163">
        <v>0</v>
      </c>
      <c r="BR253" s="163">
        <v>0</v>
      </c>
      <c r="BS253" s="163">
        <v>-4800</v>
      </c>
      <c r="BT253" s="163">
        <v>0</v>
      </c>
      <c r="BU253" s="163">
        <v>0</v>
      </c>
      <c r="BV253" s="163">
        <v>0</v>
      </c>
      <c r="BW253" s="163">
        <v>0</v>
      </c>
      <c r="BX253" s="163">
        <v>0</v>
      </c>
      <c r="BY253" s="163">
        <v>0</v>
      </c>
      <c r="BZ253" s="163">
        <v>0</v>
      </c>
      <c r="CA253" s="163">
        <v>0</v>
      </c>
      <c r="CB253" s="163">
        <v>0</v>
      </c>
      <c r="CC253" s="163">
        <v>0</v>
      </c>
      <c r="CD253" s="163">
        <v>0</v>
      </c>
      <c r="CE253" s="163">
        <v>0</v>
      </c>
      <c r="CF253" s="163">
        <v>0</v>
      </c>
      <c r="CG253" s="163">
        <v>0</v>
      </c>
      <c r="CH253" s="163">
        <v>0</v>
      </c>
      <c r="CI253" s="163">
        <v>0</v>
      </c>
      <c r="CJ253" s="163">
        <v>0</v>
      </c>
      <c r="CK253" s="163">
        <v>0</v>
      </c>
      <c r="CL253" s="163">
        <v>0</v>
      </c>
      <c r="CM253" s="163">
        <v>0</v>
      </c>
      <c r="CN253" s="163">
        <v>0</v>
      </c>
      <c r="CO253" s="163">
        <v>0</v>
      </c>
      <c r="CP253" s="163">
        <v>0</v>
      </c>
      <c r="CQ253" s="163">
        <v>0</v>
      </c>
      <c r="CR253" s="163">
        <v>0</v>
      </c>
      <c r="CS253" s="163">
        <v>0</v>
      </c>
      <c r="CT253" s="163">
        <v>0</v>
      </c>
      <c r="CU253" s="163">
        <v>0</v>
      </c>
      <c r="CV253" s="163">
        <v>0</v>
      </c>
      <c r="CW253" s="163">
        <v>0</v>
      </c>
      <c r="CX253" s="163">
        <v>0</v>
      </c>
      <c r="CY253" s="163">
        <v>0</v>
      </c>
      <c r="CZ253" s="163">
        <v>0</v>
      </c>
      <c r="DA253" s="163">
        <v>0</v>
      </c>
      <c r="DB253" s="163">
        <v>0</v>
      </c>
      <c r="DC253" s="163">
        <v>0</v>
      </c>
      <c r="DD253" s="163">
        <v>0</v>
      </c>
      <c r="DE253" s="163">
        <v>0</v>
      </c>
      <c r="DF253" s="163">
        <f>VLOOKUP($C253,'[3]BS ACC'!$C$5:$DH$1006,108,FALSE)</f>
        <v>0</v>
      </c>
      <c r="DG253" s="163">
        <f>VLOOKUP($C253,'[3]BS ACC'!$C$5:$DH$1006,109,FALSE)</f>
        <v>0</v>
      </c>
      <c r="DH253" s="163">
        <f>VLOOKUP($C253,'[3]BS ACC'!$C$5:$DH$1006,110,FALSE)</f>
        <v>0</v>
      </c>
    </row>
    <row r="254" spans="1:112">
      <c r="A254" s="350" t="str">
        <f t="shared" si="3"/>
        <v>2340740</v>
      </c>
      <c r="B254" s="350" t="s">
        <v>1802</v>
      </c>
      <c r="C254" s="335" t="s">
        <v>1799</v>
      </c>
      <c r="D254" s="340"/>
      <c r="E254" s="340"/>
      <c r="F254" s="340"/>
      <c r="G254" s="340"/>
      <c r="H254" s="340"/>
      <c r="I254" s="340"/>
      <c r="J254" s="340"/>
      <c r="K254" s="340"/>
      <c r="L254" s="340"/>
      <c r="M254" s="340"/>
      <c r="N254" s="340"/>
      <c r="O254" s="340"/>
      <c r="P254" s="341"/>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c r="AL254" s="163"/>
      <c r="AM254" s="163"/>
      <c r="AN254" s="163"/>
      <c r="AO254" s="163">
        <v>0</v>
      </c>
      <c r="AP254" s="163">
        <v>0</v>
      </c>
      <c r="AQ254" s="163">
        <v>0</v>
      </c>
      <c r="AR254" s="163">
        <v>0</v>
      </c>
      <c r="AS254" s="163">
        <v>0</v>
      </c>
      <c r="AT254" s="163">
        <v>0</v>
      </c>
      <c r="AU254" s="163">
        <v>0</v>
      </c>
      <c r="AV254" s="163">
        <v>0</v>
      </c>
      <c r="AW254" s="163">
        <v>0</v>
      </c>
      <c r="AX254" s="163">
        <v>0</v>
      </c>
      <c r="AY254" s="163">
        <v>0</v>
      </c>
      <c r="AZ254" s="163">
        <v>0</v>
      </c>
      <c r="BA254" s="163">
        <v>0</v>
      </c>
      <c r="BB254" s="163">
        <v>0</v>
      </c>
      <c r="BC254" s="163">
        <v>0</v>
      </c>
      <c r="BD254" s="163">
        <v>0</v>
      </c>
      <c r="BE254" s="163">
        <v>0</v>
      </c>
      <c r="BF254" s="163">
        <v>0</v>
      </c>
      <c r="BG254" s="163">
        <v>0</v>
      </c>
      <c r="BH254" s="163">
        <v>0</v>
      </c>
      <c r="BI254" s="163">
        <v>0</v>
      </c>
      <c r="BJ254" s="163">
        <v>0</v>
      </c>
      <c r="BK254" s="163">
        <v>0</v>
      </c>
      <c r="BL254" s="163">
        <v>0</v>
      </c>
      <c r="BM254" s="163">
        <v>0</v>
      </c>
      <c r="BN254" s="163">
        <v>0</v>
      </c>
      <c r="BO254" s="163">
        <v>0</v>
      </c>
      <c r="BP254" s="163">
        <v>0</v>
      </c>
      <c r="BQ254" s="163">
        <v>0</v>
      </c>
      <c r="BR254" s="163">
        <v>0</v>
      </c>
      <c r="BS254" s="163">
        <v>0</v>
      </c>
      <c r="BT254" s="163">
        <v>0</v>
      </c>
      <c r="BU254" s="163">
        <v>0</v>
      </c>
      <c r="BV254" s="163">
        <v>0</v>
      </c>
      <c r="BW254" s="163">
        <v>0</v>
      </c>
      <c r="BX254" s="163">
        <v>0</v>
      </c>
      <c r="BY254" s="163">
        <v>0</v>
      </c>
      <c r="BZ254" s="163">
        <v>0</v>
      </c>
      <c r="CA254" s="163">
        <v>0</v>
      </c>
      <c r="CB254" s="163">
        <v>0</v>
      </c>
      <c r="CC254" s="163">
        <v>0</v>
      </c>
      <c r="CD254" s="163">
        <v>0</v>
      </c>
      <c r="CE254" s="163">
        <v>0</v>
      </c>
      <c r="CF254" s="163">
        <v>0</v>
      </c>
      <c r="CG254" s="163">
        <v>0</v>
      </c>
      <c r="CH254" s="163">
        <v>0</v>
      </c>
      <c r="CI254" s="163">
        <v>0</v>
      </c>
      <c r="CJ254" s="163">
        <v>0</v>
      </c>
      <c r="CK254" s="163">
        <v>0</v>
      </c>
      <c r="CL254" s="163">
        <v>0</v>
      </c>
      <c r="CM254" s="163">
        <v>0</v>
      </c>
      <c r="CN254" s="163">
        <v>0</v>
      </c>
      <c r="CO254" s="163">
        <v>0</v>
      </c>
      <c r="CP254" s="163">
        <v>0</v>
      </c>
      <c r="CQ254" s="163">
        <v>0</v>
      </c>
      <c r="CR254" s="163">
        <v>0</v>
      </c>
      <c r="CS254" s="163">
        <v>0</v>
      </c>
      <c r="CT254" s="163">
        <v>0</v>
      </c>
      <c r="CU254" s="163">
        <v>0</v>
      </c>
      <c r="CV254" s="163">
        <v>0</v>
      </c>
      <c r="CW254" s="163">
        <v>0</v>
      </c>
      <c r="CX254" s="163">
        <v>0</v>
      </c>
      <c r="CY254" s="163">
        <v>0</v>
      </c>
      <c r="CZ254" s="163">
        <v>0</v>
      </c>
      <c r="DA254" s="163">
        <v>0</v>
      </c>
      <c r="DB254" s="163">
        <v>0</v>
      </c>
      <c r="DC254" s="163">
        <v>0</v>
      </c>
      <c r="DD254" s="163">
        <v>0</v>
      </c>
      <c r="DE254" s="163">
        <v>0</v>
      </c>
      <c r="DF254" s="163">
        <f>VLOOKUP($C254,'[3]BS ACC'!$C$5:$DH$1006,108,FALSE)</f>
        <v>0</v>
      </c>
      <c r="DG254" s="163">
        <f>VLOOKUP($C254,'[3]BS ACC'!$C$5:$DH$1006,109,FALSE)</f>
        <v>0</v>
      </c>
      <c r="DH254" s="163">
        <f>VLOOKUP($C254,'[3]BS ACC'!$C$5:$DH$1006,110,FALSE)</f>
        <v>0</v>
      </c>
    </row>
    <row r="255" spans="1:112">
      <c r="A255" s="350" t="str">
        <f t="shared" si="3"/>
        <v>2340741</v>
      </c>
      <c r="B255" s="350" t="s">
        <v>1803</v>
      </c>
      <c r="C255" s="335" t="s">
        <v>1800</v>
      </c>
      <c r="D255" s="340"/>
      <c r="E255" s="340"/>
      <c r="F255" s="340"/>
      <c r="G255" s="340"/>
      <c r="H255" s="340"/>
      <c r="I255" s="340"/>
      <c r="J255" s="340"/>
      <c r="K255" s="340"/>
      <c r="L255" s="340"/>
      <c r="M255" s="340"/>
      <c r="N255" s="340"/>
      <c r="O255" s="340"/>
      <c r="P255" s="341"/>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c r="AL255" s="163"/>
      <c r="AM255" s="163"/>
      <c r="AN255" s="163"/>
      <c r="AO255" s="163">
        <v>0</v>
      </c>
      <c r="AP255" s="163">
        <v>0</v>
      </c>
      <c r="AQ255" s="163">
        <v>0</v>
      </c>
      <c r="AR255" s="163">
        <v>0</v>
      </c>
      <c r="AS255" s="163">
        <v>0</v>
      </c>
      <c r="AT255" s="163">
        <v>0</v>
      </c>
      <c r="AU255" s="163">
        <v>0</v>
      </c>
      <c r="AV255" s="163">
        <v>0</v>
      </c>
      <c r="AW255" s="163">
        <v>0</v>
      </c>
      <c r="AX255" s="163">
        <v>0</v>
      </c>
      <c r="AY255" s="163">
        <v>0</v>
      </c>
      <c r="AZ255" s="163">
        <v>0</v>
      </c>
      <c r="BA255" s="163">
        <v>0</v>
      </c>
      <c r="BB255" s="163">
        <v>0</v>
      </c>
      <c r="BC255" s="163">
        <v>0</v>
      </c>
      <c r="BD255" s="163">
        <v>0</v>
      </c>
      <c r="BE255" s="163">
        <v>0</v>
      </c>
      <c r="BF255" s="163">
        <v>0</v>
      </c>
      <c r="BG255" s="163">
        <v>0</v>
      </c>
      <c r="BH255" s="163">
        <v>0</v>
      </c>
      <c r="BI255" s="163">
        <v>0</v>
      </c>
      <c r="BJ255" s="163">
        <v>0</v>
      </c>
      <c r="BK255" s="163">
        <v>0</v>
      </c>
      <c r="BL255" s="163">
        <v>0</v>
      </c>
      <c r="BM255" s="163">
        <v>0</v>
      </c>
      <c r="BN255" s="163">
        <v>0</v>
      </c>
      <c r="BO255" s="163">
        <v>0</v>
      </c>
      <c r="BP255" s="163">
        <v>0</v>
      </c>
      <c r="BQ255" s="163">
        <v>0</v>
      </c>
      <c r="BR255" s="163">
        <v>0</v>
      </c>
      <c r="BS255" s="163">
        <v>0</v>
      </c>
      <c r="BT255" s="163">
        <v>0</v>
      </c>
      <c r="BU255" s="163">
        <v>0</v>
      </c>
      <c r="BV255" s="163">
        <v>0</v>
      </c>
      <c r="BW255" s="163">
        <v>0</v>
      </c>
      <c r="BX255" s="163">
        <v>0</v>
      </c>
      <c r="BY255" s="163">
        <v>0</v>
      </c>
      <c r="BZ255" s="163">
        <v>0</v>
      </c>
      <c r="CA255" s="163">
        <v>0</v>
      </c>
      <c r="CB255" s="163">
        <v>0</v>
      </c>
      <c r="CC255" s="163">
        <v>0</v>
      </c>
      <c r="CD255" s="163">
        <v>0</v>
      </c>
      <c r="CE255" s="163">
        <v>0</v>
      </c>
      <c r="CF255" s="163">
        <v>0</v>
      </c>
      <c r="CG255" s="163">
        <v>0</v>
      </c>
      <c r="CH255" s="163">
        <v>0</v>
      </c>
      <c r="CI255" s="163">
        <v>0</v>
      </c>
      <c r="CJ255" s="163">
        <v>0</v>
      </c>
      <c r="CK255" s="163">
        <v>0</v>
      </c>
      <c r="CL255" s="163">
        <v>0</v>
      </c>
      <c r="CM255" s="163">
        <v>0</v>
      </c>
      <c r="CN255" s="163">
        <v>0</v>
      </c>
      <c r="CO255" s="163">
        <v>0</v>
      </c>
      <c r="CP255" s="163">
        <v>0</v>
      </c>
      <c r="CQ255" s="163">
        <v>0</v>
      </c>
      <c r="CR255" s="163">
        <v>0</v>
      </c>
      <c r="CS255" s="163">
        <v>0</v>
      </c>
      <c r="CT255" s="163">
        <v>0</v>
      </c>
      <c r="CU255" s="163">
        <v>0</v>
      </c>
      <c r="CV255" s="163">
        <v>0</v>
      </c>
      <c r="CW255" s="163">
        <v>0</v>
      </c>
      <c r="CX255" s="163">
        <v>0</v>
      </c>
      <c r="CY255" s="163">
        <v>0</v>
      </c>
      <c r="CZ255" s="163">
        <v>0</v>
      </c>
      <c r="DA255" s="163">
        <v>0</v>
      </c>
      <c r="DB255" s="163">
        <v>0</v>
      </c>
      <c r="DC255" s="163">
        <v>0</v>
      </c>
      <c r="DD255" s="163">
        <v>0</v>
      </c>
      <c r="DE255" s="163">
        <v>0</v>
      </c>
      <c r="DF255" s="163">
        <f>VLOOKUP($C255,'[3]BS ACC'!$C$5:$DH$1006,108,FALSE)</f>
        <v>0</v>
      </c>
      <c r="DG255" s="163">
        <f>VLOOKUP($C255,'[3]BS ACC'!$C$5:$DH$1006,109,FALSE)</f>
        <v>0</v>
      </c>
      <c r="DH255" s="163">
        <f>VLOOKUP($C255,'[3]BS ACC'!$C$5:$DH$1006,110,FALSE)</f>
        <v>0</v>
      </c>
    </row>
    <row r="256" spans="1:112">
      <c r="A256" s="350" t="str">
        <f t="shared" si="3"/>
        <v>2340743</v>
      </c>
      <c r="B256" s="350" t="s">
        <v>1804</v>
      </c>
      <c r="C256" s="335" t="s">
        <v>1801</v>
      </c>
      <c r="D256" s="340"/>
      <c r="E256" s="340"/>
      <c r="F256" s="340"/>
      <c r="G256" s="340"/>
      <c r="H256" s="340"/>
      <c r="I256" s="340"/>
      <c r="J256" s="340"/>
      <c r="K256" s="340"/>
      <c r="L256" s="340"/>
      <c r="M256" s="340"/>
      <c r="N256" s="340"/>
      <c r="O256" s="340"/>
      <c r="P256" s="341"/>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c r="AL256" s="163"/>
      <c r="AM256" s="163"/>
      <c r="AN256" s="163"/>
      <c r="AO256" s="163">
        <v>0</v>
      </c>
      <c r="AP256" s="163">
        <v>0</v>
      </c>
      <c r="AQ256" s="163">
        <v>0</v>
      </c>
      <c r="AR256" s="163">
        <v>0</v>
      </c>
      <c r="AS256" s="163">
        <v>0</v>
      </c>
      <c r="AT256" s="163">
        <v>0</v>
      </c>
      <c r="AU256" s="163">
        <v>0</v>
      </c>
      <c r="AV256" s="163">
        <v>0</v>
      </c>
      <c r="AW256" s="163">
        <v>0</v>
      </c>
      <c r="AX256" s="163">
        <v>0</v>
      </c>
      <c r="AY256" s="163">
        <v>0</v>
      </c>
      <c r="AZ256" s="163">
        <v>0</v>
      </c>
      <c r="BA256" s="163">
        <v>0</v>
      </c>
      <c r="BB256" s="163">
        <v>0</v>
      </c>
      <c r="BC256" s="163">
        <v>0</v>
      </c>
      <c r="BD256" s="163">
        <v>0</v>
      </c>
      <c r="BE256" s="163">
        <v>0</v>
      </c>
      <c r="BF256" s="163">
        <v>0</v>
      </c>
      <c r="BG256" s="163">
        <v>0</v>
      </c>
      <c r="BH256" s="163">
        <v>0</v>
      </c>
      <c r="BI256" s="163">
        <v>0</v>
      </c>
      <c r="BJ256" s="163">
        <v>0</v>
      </c>
      <c r="BK256" s="163">
        <v>0</v>
      </c>
      <c r="BL256" s="163">
        <v>0</v>
      </c>
      <c r="BM256" s="163">
        <v>0</v>
      </c>
      <c r="BN256" s="163">
        <v>0</v>
      </c>
      <c r="BO256" s="163">
        <v>0</v>
      </c>
      <c r="BP256" s="163">
        <v>0</v>
      </c>
      <c r="BQ256" s="163">
        <v>0</v>
      </c>
      <c r="BR256" s="163">
        <v>0</v>
      </c>
      <c r="BS256" s="163">
        <v>0</v>
      </c>
      <c r="BT256" s="163">
        <v>0</v>
      </c>
      <c r="BU256" s="163">
        <v>0</v>
      </c>
      <c r="BV256" s="163">
        <v>0</v>
      </c>
      <c r="BW256" s="163">
        <v>0</v>
      </c>
      <c r="BX256" s="163">
        <v>0</v>
      </c>
      <c r="BY256" s="163">
        <v>0</v>
      </c>
      <c r="BZ256" s="163">
        <v>0</v>
      </c>
      <c r="CA256" s="163">
        <v>0</v>
      </c>
      <c r="CB256" s="163">
        <v>0</v>
      </c>
      <c r="CC256" s="163">
        <v>0</v>
      </c>
      <c r="CD256" s="163">
        <v>0</v>
      </c>
      <c r="CE256" s="163">
        <v>0</v>
      </c>
      <c r="CF256" s="163">
        <v>0</v>
      </c>
      <c r="CG256" s="163">
        <v>0</v>
      </c>
      <c r="CH256" s="163">
        <v>0</v>
      </c>
      <c r="CI256" s="163">
        <v>0</v>
      </c>
      <c r="CJ256" s="163">
        <v>0</v>
      </c>
      <c r="CK256" s="163">
        <v>0</v>
      </c>
      <c r="CL256" s="163">
        <v>0</v>
      </c>
      <c r="CM256" s="163">
        <v>0</v>
      </c>
      <c r="CN256" s="163">
        <v>0</v>
      </c>
      <c r="CO256" s="163">
        <v>0</v>
      </c>
      <c r="CP256" s="163">
        <v>0</v>
      </c>
      <c r="CQ256" s="163">
        <v>0</v>
      </c>
      <c r="CR256" s="163">
        <v>0</v>
      </c>
      <c r="CS256" s="163">
        <v>0</v>
      </c>
      <c r="CT256" s="163">
        <v>0</v>
      </c>
      <c r="CU256" s="163">
        <v>0</v>
      </c>
      <c r="CV256" s="163">
        <v>0</v>
      </c>
      <c r="CW256" s="163">
        <v>0</v>
      </c>
      <c r="CX256" s="163">
        <v>0</v>
      </c>
      <c r="CY256" s="163">
        <v>0</v>
      </c>
      <c r="CZ256" s="163">
        <v>0</v>
      </c>
      <c r="DA256" s="163">
        <v>0</v>
      </c>
      <c r="DB256" s="163">
        <v>0</v>
      </c>
      <c r="DC256" s="163">
        <v>0</v>
      </c>
      <c r="DD256" s="163">
        <v>0</v>
      </c>
      <c r="DE256" s="163">
        <v>0</v>
      </c>
      <c r="DF256" s="163">
        <f>VLOOKUP($C256,'[3]BS ACC'!$C$5:$DH$1006,108,FALSE)</f>
        <v>0</v>
      </c>
      <c r="DG256" s="163">
        <f>VLOOKUP($C256,'[3]BS ACC'!$C$5:$DH$1006,109,FALSE)</f>
        <v>0</v>
      </c>
      <c r="DH256" s="163">
        <f>VLOOKUP($C256,'[3]BS ACC'!$C$5:$DH$1006,110,FALSE)</f>
        <v>0</v>
      </c>
    </row>
    <row r="257" spans="1:112">
      <c r="A257" s="350" t="str">
        <f t="shared" si="3"/>
        <v>2340799</v>
      </c>
      <c r="B257" s="350" t="s">
        <v>2469</v>
      </c>
      <c r="C257" s="335" t="s">
        <v>2470</v>
      </c>
      <c r="D257" s="340"/>
      <c r="E257" s="340"/>
      <c r="F257" s="340"/>
      <c r="G257" s="340"/>
      <c r="H257" s="340"/>
      <c r="I257" s="340"/>
      <c r="J257" s="340"/>
      <c r="K257" s="340"/>
      <c r="L257" s="340"/>
      <c r="M257" s="340"/>
      <c r="N257" s="340"/>
      <c r="O257" s="340"/>
      <c r="P257" s="341"/>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c r="BI257" s="163"/>
      <c r="BJ257" s="163"/>
      <c r="BK257" s="163"/>
      <c r="BL257" s="163"/>
      <c r="BM257" s="163"/>
      <c r="BN257" s="163"/>
      <c r="BO257" s="163"/>
      <c r="BP257" s="163"/>
      <c r="BQ257" s="163"/>
      <c r="BR257" s="163"/>
      <c r="BS257" s="163"/>
      <c r="BT257" s="163"/>
      <c r="BU257" s="163"/>
      <c r="BV257" s="163"/>
      <c r="BW257" s="163"/>
      <c r="BX257" s="163"/>
      <c r="BY257" s="163">
        <v>0</v>
      </c>
      <c r="BZ257" s="163">
        <v>-43661.49</v>
      </c>
      <c r="CA257" s="163">
        <v>-40996.379999999997</v>
      </c>
      <c r="CB257" s="163">
        <v>-41722.78</v>
      </c>
      <c r="CC257" s="163">
        <v>-41928.639999999999</v>
      </c>
      <c r="CD257" s="163">
        <v>-42872.92</v>
      </c>
      <c r="CE257" s="163">
        <v>-43742.91</v>
      </c>
      <c r="CF257" s="163">
        <v>-57924.6</v>
      </c>
      <c r="CG257" s="163">
        <v>-57201.279999999999</v>
      </c>
      <c r="CH257" s="163">
        <v>-57441.81</v>
      </c>
      <c r="CI257" s="163">
        <v>-59005.8</v>
      </c>
      <c r="CJ257" s="163">
        <v>-59967.87</v>
      </c>
      <c r="CK257" s="163">
        <v>-42348.21</v>
      </c>
      <c r="CL257" s="163">
        <v>-42665.34</v>
      </c>
      <c r="CM257" s="163">
        <v>-45992.86</v>
      </c>
      <c r="CN257" s="163">
        <v>-47078.55</v>
      </c>
      <c r="CO257" s="163">
        <v>-47909.19</v>
      </c>
      <c r="CP257" s="163">
        <v>-46664.51</v>
      </c>
      <c r="CQ257" s="163">
        <v>-46409.89</v>
      </c>
      <c r="CR257" s="163">
        <v>-44891.02</v>
      </c>
      <c r="CS257" s="163">
        <v>-44454.11</v>
      </c>
      <c r="CT257" s="163">
        <v>-45735.61</v>
      </c>
      <c r="CU257" s="163">
        <v>-44276.88</v>
      </c>
      <c r="CV257" s="163">
        <v>-44675.02</v>
      </c>
      <c r="CW257" s="163">
        <v>-57045.36</v>
      </c>
      <c r="CX257" s="163">
        <v>-68553.3</v>
      </c>
      <c r="CY257" s="163">
        <v>-69661.5</v>
      </c>
      <c r="CZ257" s="163">
        <v>-68049.56</v>
      </c>
      <c r="DA257" s="163">
        <v>-68824.320000000007</v>
      </c>
      <c r="DB257" s="163">
        <v>-67553.149999999994</v>
      </c>
      <c r="DC257" s="163">
        <v>-67879.759999999995</v>
      </c>
      <c r="DD257" s="163">
        <v>-66393.87</v>
      </c>
      <c r="DE257" s="163">
        <v>-59513.38</v>
      </c>
      <c r="DF257" s="163">
        <f>VLOOKUP($C257,'[3]BS ACC'!$C$5:$DH$1006,108,FALSE)</f>
        <v>-59766.27</v>
      </c>
      <c r="DG257" s="163">
        <f>VLOOKUP($C257,'[3]BS ACC'!$C$5:$DH$1006,109,FALSE)</f>
        <v>-60390.13</v>
      </c>
      <c r="DH257" s="163">
        <f>VLOOKUP($C257,'[3]BS ACC'!$C$5:$DH$1006,110,FALSE)</f>
        <v>-60229.62</v>
      </c>
    </row>
    <row r="258" spans="1:112">
      <c r="A258" s="350" t="str">
        <f t="shared" si="3"/>
        <v>2350100</v>
      </c>
      <c r="B258" s="350" t="s">
        <v>1661</v>
      </c>
      <c r="C258" s="335" t="s">
        <v>776</v>
      </c>
      <c r="D258" s="340">
        <v>-38252497.020000003</v>
      </c>
      <c r="E258" s="340">
        <v>-38402663.640000001</v>
      </c>
      <c r="F258" s="340">
        <v>-38619213.899999999</v>
      </c>
      <c r="G258" s="340">
        <v>-38751511.399999999</v>
      </c>
      <c r="H258" s="340">
        <v>-38848172.740000002</v>
      </c>
      <c r="I258" s="340">
        <v>-39086891.649999999</v>
      </c>
      <c r="J258" s="340">
        <v>-39301948.060000002</v>
      </c>
      <c r="K258" s="340">
        <v>-39528824.149999999</v>
      </c>
      <c r="L258" s="340">
        <v>-39623433.270000003</v>
      </c>
      <c r="M258" s="340">
        <v>-39834100.380000003</v>
      </c>
      <c r="N258" s="340">
        <v>-40259363.75</v>
      </c>
      <c r="O258" s="340">
        <v>-40002890.090000004</v>
      </c>
      <c r="P258" s="341">
        <v>-39967880.380000003</v>
      </c>
      <c r="Q258" s="163">
        <v>-40117931.630000003</v>
      </c>
      <c r="R258" s="163">
        <v>-40137186.770000003</v>
      </c>
      <c r="S258" s="163">
        <v>-40205466.490000002</v>
      </c>
      <c r="T258" s="163">
        <v>-40406562.909999996</v>
      </c>
      <c r="U258" s="163">
        <v>-40629411.25</v>
      </c>
      <c r="V258" s="163">
        <v>-40700715.420000002</v>
      </c>
      <c r="W258" s="163">
        <v>-40727665.799999997</v>
      </c>
      <c r="X258" s="163">
        <v>-40710578.390000001</v>
      </c>
      <c r="Y258" s="163">
        <v>-40767228.880000003</v>
      </c>
      <c r="Z258" s="163">
        <v>-40905057.280000001</v>
      </c>
      <c r="AA258" s="163">
        <v>-41160520.020000003</v>
      </c>
      <c r="AB258" s="163">
        <v>-41282380.640000001</v>
      </c>
      <c r="AC258" s="163">
        <v>-39982275.799999997</v>
      </c>
      <c r="AD258" s="163">
        <v>-38927734.600000001</v>
      </c>
      <c r="AE258" s="163">
        <v>-38021392.659999996</v>
      </c>
      <c r="AF258" s="163">
        <v>-37019487.399999999</v>
      </c>
      <c r="AG258" s="163">
        <v>-35950756.5</v>
      </c>
      <c r="AH258" s="163">
        <v>-35134623.130000003</v>
      </c>
      <c r="AI258" s="163">
        <v>-34025425.530000001</v>
      </c>
      <c r="AJ258" s="163">
        <v>-32991141.539999999</v>
      </c>
      <c r="AK258" s="163">
        <v>-32106805.510000002</v>
      </c>
      <c r="AL258" s="163">
        <v>-30795202.239999998</v>
      </c>
      <c r="AM258" s="163">
        <v>-29695670.870000001</v>
      </c>
      <c r="AN258" s="163">
        <v>-28077717.68</v>
      </c>
      <c r="AO258" s="163">
        <v>-27370166.109999999</v>
      </c>
      <c r="AP258" s="163">
        <v>-26799247.010000002</v>
      </c>
      <c r="AQ258" s="163">
        <v>-26553223.07</v>
      </c>
      <c r="AR258" s="163">
        <v>-26544196.93</v>
      </c>
      <c r="AS258" s="163">
        <v>-26380476.620000001</v>
      </c>
      <c r="AT258" s="163">
        <v>-26257939.870000001</v>
      </c>
      <c r="AU258" s="163">
        <v>-26069005.5</v>
      </c>
      <c r="AV258" s="163">
        <v>-26037874.789999999</v>
      </c>
      <c r="AW258" s="163">
        <v>-25950195.57</v>
      </c>
      <c r="AX258" s="163">
        <v>-25955165.579999998</v>
      </c>
      <c r="AY258" s="163">
        <v>-25789167.710000001</v>
      </c>
      <c r="AZ258" s="163">
        <v>-25688398.550000001</v>
      </c>
      <c r="BA258" s="163">
        <v>-25537703.129999999</v>
      </c>
      <c r="BB258" s="163">
        <v>-25569380.91</v>
      </c>
      <c r="BC258" s="163">
        <v>-25629339.93</v>
      </c>
      <c r="BD258" s="163">
        <v>-25705333.899999999</v>
      </c>
      <c r="BE258" s="163">
        <v>-25790760.98</v>
      </c>
      <c r="BF258" s="163">
        <v>-25830275.280000001</v>
      </c>
      <c r="BG258" s="163">
        <v>-25852232.690000001</v>
      </c>
      <c r="BH258" s="163">
        <v>-25925983.190000001</v>
      </c>
      <c r="BI258" s="163">
        <v>-25893012.34</v>
      </c>
      <c r="BJ258" s="163">
        <v>-25992257.5</v>
      </c>
      <c r="BK258" s="163">
        <v>-25966855.82</v>
      </c>
      <c r="BL258" s="163">
        <v>-25903685.43</v>
      </c>
      <c r="BM258" s="163">
        <v>-25867705.32</v>
      </c>
      <c r="BN258" s="163">
        <v>-25898455.109999999</v>
      </c>
      <c r="BO258" s="163">
        <v>-25925131.82</v>
      </c>
      <c r="BP258" s="163">
        <v>-25847349.969999999</v>
      </c>
      <c r="BQ258" s="163">
        <v>-25870817.390000001</v>
      </c>
      <c r="BR258" s="163">
        <v>-25868020.23</v>
      </c>
      <c r="BS258" s="163">
        <v>-25768615.09</v>
      </c>
      <c r="BT258" s="163">
        <v>-25686969.59</v>
      </c>
      <c r="BU258" s="163">
        <v>-25634262.850000001</v>
      </c>
      <c r="BV258" s="163">
        <v>-25695380.539999999</v>
      </c>
      <c r="BW258" s="163">
        <v>-25691903.879999999</v>
      </c>
      <c r="BX258" s="163">
        <v>-25704516</v>
      </c>
      <c r="BY258" s="163">
        <v>-25665571.920000002</v>
      </c>
      <c r="BZ258" s="163">
        <v>-25728441.66</v>
      </c>
      <c r="CA258" s="163">
        <v>-25721300.809999999</v>
      </c>
      <c r="CB258" s="163">
        <v>-25668756</v>
      </c>
      <c r="CC258" s="163">
        <v>-25569201.969999999</v>
      </c>
      <c r="CD258" s="163">
        <v>-25464047.059999999</v>
      </c>
      <c r="CE258" s="163">
        <v>-25456799.27</v>
      </c>
      <c r="CF258" s="163">
        <v>-25416773.23</v>
      </c>
      <c r="CG258" s="163">
        <v>-25432972.77</v>
      </c>
      <c r="CH258" s="163">
        <v>-25393550.68</v>
      </c>
      <c r="CI258" s="163">
        <v>-25333305.43</v>
      </c>
      <c r="CJ258" s="163">
        <v>-25075278.079999998</v>
      </c>
      <c r="CK258" s="163">
        <v>-25241811.829999998</v>
      </c>
      <c r="CL258" s="163">
        <v>-25273973.25</v>
      </c>
      <c r="CM258" s="163">
        <v>-25387420.379999999</v>
      </c>
      <c r="CN258" s="163">
        <v>-25318474.699999999</v>
      </c>
      <c r="CO258" s="163">
        <v>-25407263.77</v>
      </c>
      <c r="CP258" s="163">
        <v>-25529439.879999999</v>
      </c>
      <c r="CQ258" s="163">
        <v>-25706203.600000001</v>
      </c>
      <c r="CR258" s="163">
        <v>-25782528.359999999</v>
      </c>
      <c r="CS258" s="163">
        <v>-25962796.670000002</v>
      </c>
      <c r="CT258" s="163">
        <v>-26074226.34</v>
      </c>
      <c r="CU258" s="163">
        <v>-26300461.460000001</v>
      </c>
      <c r="CV258" s="163">
        <v>-26450409.190000001</v>
      </c>
      <c r="CW258" s="163">
        <v>-26724605.280000001</v>
      </c>
      <c r="CX258" s="163">
        <v>-26837940.440000001</v>
      </c>
      <c r="CY258" s="163">
        <v>-27025575.949999999</v>
      </c>
      <c r="CZ258" s="163">
        <v>-27142982.91</v>
      </c>
      <c r="DA258" s="163">
        <v>-27369426.920000002</v>
      </c>
      <c r="DB258" s="163">
        <v>-27734424.100000001</v>
      </c>
      <c r="DC258" s="163">
        <v>-27952511.77</v>
      </c>
      <c r="DD258" s="163">
        <v>-28170521.449999999</v>
      </c>
      <c r="DE258" s="163">
        <v>-28457241.420000002</v>
      </c>
      <c r="DF258" s="163">
        <f>VLOOKUP($C258,'[3]BS ACC'!$C$5:$DH$1006,108,FALSE)</f>
        <v>-28627534.52</v>
      </c>
      <c r="DG258" s="163">
        <f>VLOOKUP($C258,'[3]BS ACC'!$C$5:$DH$1006,109,FALSE)</f>
        <v>-28840164.27</v>
      </c>
      <c r="DH258" s="163">
        <f>VLOOKUP($C258,'[3]BS ACC'!$C$5:$DH$1006,110,FALSE)</f>
        <v>-29144419.059999999</v>
      </c>
    </row>
    <row r="259" spans="1:112">
      <c r="A259" s="350" t="str">
        <f t="shared" si="3"/>
        <v>2350110</v>
      </c>
      <c r="B259" s="350" t="s">
        <v>887</v>
      </c>
      <c r="C259" s="335" t="s">
        <v>777</v>
      </c>
      <c r="D259" s="340">
        <v>-709932</v>
      </c>
      <c r="E259" s="340">
        <v>-709932</v>
      </c>
      <c r="F259" s="340">
        <v>-709932</v>
      </c>
      <c r="G259" s="340">
        <v>-709932</v>
      </c>
      <c r="H259" s="340">
        <v>-734932</v>
      </c>
      <c r="I259" s="340">
        <v>-734932</v>
      </c>
      <c r="J259" s="340">
        <v>-734932</v>
      </c>
      <c r="K259" s="340">
        <v>-734932</v>
      </c>
      <c r="L259" s="340">
        <v>-709932</v>
      </c>
      <c r="M259" s="340">
        <v>-709932</v>
      </c>
      <c r="N259" s="340">
        <v>-709932</v>
      </c>
      <c r="O259" s="340">
        <v>-709932</v>
      </c>
      <c r="P259" s="341">
        <v>-709932</v>
      </c>
      <c r="Q259" s="163">
        <v>-709932</v>
      </c>
      <c r="R259" s="163">
        <v>-682932</v>
      </c>
      <c r="S259" s="163">
        <v>-682932</v>
      </c>
      <c r="T259" s="163">
        <v>-682932</v>
      </c>
      <c r="U259" s="163">
        <v>-682932</v>
      </c>
      <c r="V259" s="163">
        <v>-682932</v>
      </c>
      <c r="W259" s="163">
        <v>-682932</v>
      </c>
      <c r="X259" s="163">
        <v>-682932</v>
      </c>
      <c r="Y259" s="163">
        <v>-682932</v>
      </c>
      <c r="Z259" s="163">
        <v>-682932</v>
      </c>
      <c r="AA259" s="163">
        <v>-682932</v>
      </c>
      <c r="AB259" s="163">
        <v>-682932</v>
      </c>
      <c r="AC259" s="163">
        <v>-682932</v>
      </c>
      <c r="AD259" s="163">
        <v>-682932</v>
      </c>
      <c r="AE259" s="163">
        <v>-857932</v>
      </c>
      <c r="AF259" s="163">
        <v>-826000</v>
      </c>
      <c r="AG259" s="163">
        <v>-826000</v>
      </c>
      <c r="AH259" s="163">
        <v>-826000</v>
      </c>
      <c r="AI259" s="163">
        <v>-826000</v>
      </c>
      <c r="AJ259" s="163">
        <v>-826000</v>
      </c>
      <c r="AK259" s="163">
        <v>-826000</v>
      </c>
      <c r="AL259" s="163">
        <v>-826000</v>
      </c>
      <c r="AM259" s="163">
        <v>-826000</v>
      </c>
      <c r="AN259" s="163">
        <v>-826000</v>
      </c>
      <c r="AO259" s="163">
        <v>-826000</v>
      </c>
      <c r="AP259" s="163">
        <v>-826000</v>
      </c>
      <c r="AQ259" s="163">
        <v>-826000</v>
      </c>
      <c r="AR259" s="163">
        <v>-826000</v>
      </c>
      <c r="AS259" s="163">
        <v>-826000</v>
      </c>
      <c r="AT259" s="163">
        <v>-826000</v>
      </c>
      <c r="AU259" s="163">
        <v>-826000</v>
      </c>
      <c r="AV259" s="163">
        <v>-826000</v>
      </c>
      <c r="AW259" s="163">
        <v>-826000</v>
      </c>
      <c r="AX259" s="163">
        <v>-826000</v>
      </c>
      <c r="AY259" s="163">
        <v>-826000</v>
      </c>
      <c r="AZ259" s="163">
        <v>-826000</v>
      </c>
      <c r="BA259" s="163">
        <v>-826000</v>
      </c>
      <c r="BB259" s="163">
        <v>-826000</v>
      </c>
      <c r="BC259" s="163">
        <v>-826000</v>
      </c>
      <c r="BD259" s="163">
        <v>-826000</v>
      </c>
      <c r="BE259" s="163">
        <v>-826000</v>
      </c>
      <c r="BF259" s="163">
        <v>-836000</v>
      </c>
      <c r="BG259" s="163">
        <v>-836000</v>
      </c>
      <c r="BH259" s="163">
        <v>-661000</v>
      </c>
      <c r="BI259" s="163">
        <v>-661000</v>
      </c>
      <c r="BJ259" s="163">
        <v>-511000</v>
      </c>
      <c r="BK259" s="163">
        <v>-511000</v>
      </c>
      <c r="BL259" s="163">
        <v>-511000</v>
      </c>
      <c r="BM259" s="163">
        <v>-511000</v>
      </c>
      <c r="BN259" s="163">
        <v>-511000</v>
      </c>
      <c r="BO259" s="163">
        <v>-511000</v>
      </c>
      <c r="BP259" s="163">
        <v>-521000</v>
      </c>
      <c r="BQ259" s="163">
        <v>-521000</v>
      </c>
      <c r="BR259" s="163">
        <v>-521000</v>
      </c>
      <c r="BS259" s="163">
        <v>-605000</v>
      </c>
      <c r="BT259" s="163">
        <v>-595000</v>
      </c>
      <c r="BU259" s="163">
        <v>-569000</v>
      </c>
      <c r="BV259" s="163">
        <v>-569000</v>
      </c>
      <c r="BW259" s="163">
        <v>-569000</v>
      </c>
      <c r="BX259" s="163">
        <v>-569000</v>
      </c>
      <c r="BY259" s="163">
        <v>-569000</v>
      </c>
      <c r="BZ259" s="163">
        <v>-594000</v>
      </c>
      <c r="CA259" s="163">
        <v>-594000</v>
      </c>
      <c r="CB259" s="163">
        <v>-594000</v>
      </c>
      <c r="CC259" s="163">
        <v>-594000</v>
      </c>
      <c r="CD259" s="163">
        <v>-594000</v>
      </c>
      <c r="CE259" s="163">
        <v>-594000</v>
      </c>
      <c r="CF259" s="163">
        <v>-594000</v>
      </c>
      <c r="CG259" s="163">
        <v>-594000</v>
      </c>
      <c r="CH259" s="163">
        <v>-594000</v>
      </c>
      <c r="CI259" s="163">
        <v>-594000</v>
      </c>
      <c r="CJ259" s="163">
        <v>-594000</v>
      </c>
      <c r="CK259" s="163">
        <v>-594000</v>
      </c>
      <c r="CL259" s="163">
        <v>-589000</v>
      </c>
      <c r="CM259" s="163">
        <v>-589000</v>
      </c>
      <c r="CN259" s="163">
        <v>-589000</v>
      </c>
      <c r="CO259" s="163">
        <v>-589000</v>
      </c>
      <c r="CP259" s="163">
        <v>-589000</v>
      </c>
      <c r="CQ259" s="163">
        <v>-579000</v>
      </c>
      <c r="CR259" s="163">
        <v>-579000</v>
      </c>
      <c r="CS259" s="163">
        <v>-579000</v>
      </c>
      <c r="CT259" s="163">
        <v>-604000</v>
      </c>
      <c r="CU259" s="163">
        <v>-604000</v>
      </c>
      <c r="CV259" s="163">
        <v>-604000</v>
      </c>
      <c r="CW259" s="163">
        <v>-604000</v>
      </c>
      <c r="CX259" s="163">
        <v>-604000</v>
      </c>
      <c r="CY259" s="163">
        <v>-604000</v>
      </c>
      <c r="CZ259" s="163">
        <v>-604000</v>
      </c>
      <c r="DA259" s="163">
        <v>-614000</v>
      </c>
      <c r="DB259" s="163">
        <v>-614000</v>
      </c>
      <c r="DC259" s="163">
        <v>-614000</v>
      </c>
      <c r="DD259" s="163">
        <v>-614000</v>
      </c>
      <c r="DE259" s="163">
        <v>-614000</v>
      </c>
      <c r="DF259" s="163">
        <f>VLOOKUP($C259,'[3]BS ACC'!$C$5:$DH$1006,108,FALSE)</f>
        <v>-614000</v>
      </c>
      <c r="DG259" s="163">
        <f>VLOOKUP($C259,'[3]BS ACC'!$C$5:$DH$1006,109,FALSE)</f>
        <v>-614000</v>
      </c>
      <c r="DH259" s="163">
        <f>VLOOKUP($C259,'[3]BS ACC'!$C$5:$DH$1006,110,FALSE)</f>
        <v>-715000</v>
      </c>
    </row>
    <row r="260" spans="1:112">
      <c r="A260" s="350" t="str">
        <f t="shared" si="3"/>
        <v>2360310</v>
      </c>
      <c r="B260" s="350" t="s">
        <v>896</v>
      </c>
      <c r="C260" s="335" t="s">
        <v>778</v>
      </c>
      <c r="D260" s="340">
        <v>0</v>
      </c>
      <c r="E260" s="340">
        <v>-1110183.55</v>
      </c>
      <c r="F260" s="340">
        <v>-3706913.86</v>
      </c>
      <c r="G260" s="340">
        <v>-7388510.1200000001</v>
      </c>
      <c r="H260" s="340">
        <v>-1479412.37</v>
      </c>
      <c r="I260" s="340">
        <v>-2772719.08</v>
      </c>
      <c r="J260" s="340">
        <v>3645817.99</v>
      </c>
      <c r="K260" s="340">
        <v>3086268.68</v>
      </c>
      <c r="L260" s="340">
        <v>2750860.55</v>
      </c>
      <c r="M260" s="340">
        <v>6100180.6799999997</v>
      </c>
      <c r="N260" s="340">
        <v>1846062.79</v>
      </c>
      <c r="O260" s="340">
        <v>2837202.01</v>
      </c>
      <c r="P260" s="341">
        <v>0</v>
      </c>
      <c r="Q260" s="163">
        <v>6614599.8899999997</v>
      </c>
      <c r="R260" s="163">
        <v>5261753.8899999997</v>
      </c>
      <c r="S260" s="163">
        <v>-6877231.6100000003</v>
      </c>
      <c r="T260" s="163">
        <v>-1049179.23</v>
      </c>
      <c r="U260" s="163">
        <v>-1968867.86</v>
      </c>
      <c r="V260" s="163">
        <v>3525612.03</v>
      </c>
      <c r="W260" s="163">
        <v>2499473.4500000002</v>
      </c>
      <c r="X260" s="163">
        <v>1457670.24</v>
      </c>
      <c r="Y260" s="163">
        <v>3433829.26</v>
      </c>
      <c r="Z260" s="163">
        <v>3882410.39</v>
      </c>
      <c r="AA260" s="163">
        <v>4023952.89</v>
      </c>
      <c r="AB260" s="163">
        <v>0</v>
      </c>
      <c r="AC260" s="163">
        <v>11617731.970000001</v>
      </c>
      <c r="AD260" s="163">
        <v>9112301.5800000001</v>
      </c>
      <c r="AE260" s="163">
        <v>-5307226.3899999997</v>
      </c>
      <c r="AF260" s="163">
        <v>-464969.98</v>
      </c>
      <c r="AG260" s="163">
        <v>-620742.56999999995</v>
      </c>
      <c r="AH260" s="163">
        <v>4724907.4000000004</v>
      </c>
      <c r="AI260" s="163">
        <v>4443250.5199999996</v>
      </c>
      <c r="AJ260" s="163">
        <v>5106456.78</v>
      </c>
      <c r="AK260" s="163">
        <v>-947492.86</v>
      </c>
      <c r="AL260" s="163">
        <v>887842.89</v>
      </c>
      <c r="AM260" s="163">
        <v>1050067.68</v>
      </c>
      <c r="AN260" s="163">
        <v>0</v>
      </c>
      <c r="AO260" s="163">
        <v>-878357.64</v>
      </c>
      <c r="AP260" s="163">
        <v>-403265.16</v>
      </c>
      <c r="AQ260" s="163">
        <v>-371936.58</v>
      </c>
      <c r="AR260" s="163">
        <v>-1353085.71</v>
      </c>
      <c r="AS260" s="163">
        <v>-708337.96</v>
      </c>
      <c r="AT260" s="163">
        <v>-264959.49</v>
      </c>
      <c r="AU260" s="163">
        <v>550006.63</v>
      </c>
      <c r="AV260" s="163">
        <v>1403560.08</v>
      </c>
      <c r="AW260" s="163">
        <v>-144712.87</v>
      </c>
      <c r="AX260" s="163">
        <v>1552954.08</v>
      </c>
      <c r="AY260" s="163">
        <v>2400276.9500000002</v>
      </c>
      <c r="AZ260" s="163">
        <v>-5619344.96</v>
      </c>
      <c r="BA260" s="163">
        <v>-8233065.7999999998</v>
      </c>
      <c r="BB260" s="163">
        <v>-8631714.4600000009</v>
      </c>
      <c r="BC260" s="163">
        <v>-9374716.8599999994</v>
      </c>
      <c r="BD260" s="163">
        <v>-3285299.34</v>
      </c>
      <c r="BE260" s="163">
        <v>-3572138.62</v>
      </c>
      <c r="BF260" s="163">
        <v>-2103898.56</v>
      </c>
      <c r="BG260" s="163">
        <v>-2364270.87</v>
      </c>
      <c r="BH260" s="163">
        <v>-1486668.81</v>
      </c>
      <c r="BI260" s="163">
        <v>-895643.03</v>
      </c>
      <c r="BJ260" s="163">
        <v>-698418.17</v>
      </c>
      <c r="BK260" s="163">
        <v>2564355.4700000002</v>
      </c>
      <c r="BL260" s="163">
        <v>-2694511.42</v>
      </c>
      <c r="BM260" s="163">
        <v>-4340058.5</v>
      </c>
      <c r="BN260" s="163">
        <v>-4410157.84</v>
      </c>
      <c r="BO260" s="163">
        <v>-5406410.0199999996</v>
      </c>
      <c r="BP260" s="163">
        <v>-2393103.0299999998</v>
      </c>
      <c r="BQ260" s="163">
        <v>-2759917.3</v>
      </c>
      <c r="BR260" s="163">
        <v>-1890385.42</v>
      </c>
      <c r="BS260" s="163">
        <v>-2033453.12</v>
      </c>
      <c r="BT260" s="163">
        <v>-2184379.35</v>
      </c>
      <c r="BU260" s="163">
        <v>-647212.17000000004</v>
      </c>
      <c r="BV260" s="163">
        <v>-887011.51</v>
      </c>
      <c r="BW260" s="163">
        <v>-1425569.49</v>
      </c>
      <c r="BX260" s="163">
        <v>0.02</v>
      </c>
      <c r="BY260" s="163">
        <v>-2636855.1800000002</v>
      </c>
      <c r="BZ260" s="163">
        <v>-1074950.6299999999</v>
      </c>
      <c r="CA260" s="163">
        <v>-1462030.64</v>
      </c>
      <c r="CB260" s="163">
        <v>-1896973.05</v>
      </c>
      <c r="CC260" s="163">
        <v>-1722510.25</v>
      </c>
      <c r="CD260" s="163">
        <v>-2040092.88</v>
      </c>
      <c r="CE260" s="163">
        <v>-1777498.83</v>
      </c>
      <c r="CF260" s="163">
        <v>-1779840.27</v>
      </c>
      <c r="CG260" s="163">
        <v>-1909281.73</v>
      </c>
      <c r="CH260" s="163">
        <v>-662957.1</v>
      </c>
      <c r="CI260" s="163">
        <v>-1678529.58</v>
      </c>
      <c r="CJ260" s="163">
        <v>-1378790.59</v>
      </c>
      <c r="CK260" s="163">
        <v>-3775020.35</v>
      </c>
      <c r="CL260" s="163">
        <v>-4785526.5199999996</v>
      </c>
      <c r="CM260" s="163">
        <v>-4369963.25</v>
      </c>
      <c r="CN260" s="163">
        <v>-2589963.37</v>
      </c>
      <c r="CO260" s="163">
        <v>-2168497.0299999998</v>
      </c>
      <c r="CP260" s="163">
        <v>-2181282.89</v>
      </c>
      <c r="CQ260" s="163">
        <v>-1987306.55</v>
      </c>
      <c r="CR260" s="163">
        <v>-2581529.0699999998</v>
      </c>
      <c r="CS260" s="163">
        <v>198105.56</v>
      </c>
      <c r="CT260" s="163">
        <v>1522712.26</v>
      </c>
      <c r="CU260" s="163">
        <v>2860455.51</v>
      </c>
      <c r="CV260" s="163">
        <v>0</v>
      </c>
      <c r="CW260" s="163">
        <v>889667</v>
      </c>
      <c r="CX260" s="163">
        <v>-1862733.14</v>
      </c>
      <c r="CY260" s="163">
        <v>-2061155.97</v>
      </c>
      <c r="CZ260" s="163">
        <v>-4475493.72</v>
      </c>
      <c r="DA260" s="163">
        <v>-4885737.03</v>
      </c>
      <c r="DB260" s="163">
        <v>-3478036.29</v>
      </c>
      <c r="DC260" s="163">
        <v>-3370717.37</v>
      </c>
      <c r="DD260" s="163">
        <v>-728840.5</v>
      </c>
      <c r="DE260" s="163">
        <v>-1271630.27</v>
      </c>
      <c r="DF260" s="163">
        <f>VLOOKUP($C260,'[3]BS ACC'!$C$5:$DH$1006,108,FALSE)</f>
        <v>-851335.46</v>
      </c>
      <c r="DG260" s="163">
        <f>VLOOKUP($C260,'[3]BS ACC'!$C$5:$DH$1006,109,FALSE)</f>
        <v>-912854.82</v>
      </c>
      <c r="DH260" s="163">
        <f>VLOOKUP($C260,'[3]BS ACC'!$C$5:$DH$1006,110,FALSE)</f>
        <v>-271946.99</v>
      </c>
    </row>
    <row r="261" spans="1:112">
      <c r="A261" s="350" t="str">
        <f t="shared" si="3"/>
        <v>2360320</v>
      </c>
      <c r="B261" s="350" t="s">
        <v>895</v>
      </c>
      <c r="C261" s="335" t="s">
        <v>779</v>
      </c>
      <c r="D261" s="340">
        <v>0</v>
      </c>
      <c r="E261" s="340">
        <v>0</v>
      </c>
      <c r="F261" s="340">
        <v>0</v>
      </c>
      <c r="G261" s="340">
        <v>0</v>
      </c>
      <c r="H261" s="340">
        <v>0</v>
      </c>
      <c r="I261" s="340">
        <v>0</v>
      </c>
      <c r="J261" s="340">
        <v>0</v>
      </c>
      <c r="K261" s="340">
        <v>0</v>
      </c>
      <c r="L261" s="340">
        <v>0</v>
      </c>
      <c r="M261" s="340">
        <v>0</v>
      </c>
      <c r="N261" s="340">
        <v>0</v>
      </c>
      <c r="O261" s="340">
        <v>0</v>
      </c>
      <c r="P261" s="341">
        <v>0</v>
      </c>
      <c r="Q261" s="163">
        <v>0</v>
      </c>
      <c r="R261" s="163">
        <v>0</v>
      </c>
      <c r="S261" s="163">
        <v>0</v>
      </c>
      <c r="T261" s="163">
        <v>0</v>
      </c>
      <c r="U261" s="163">
        <v>0</v>
      </c>
      <c r="V261" s="163">
        <v>0</v>
      </c>
      <c r="W261" s="163">
        <v>0</v>
      </c>
      <c r="X261" s="163">
        <v>0</v>
      </c>
      <c r="Y261" s="163">
        <v>0</v>
      </c>
      <c r="Z261" s="163">
        <v>0</v>
      </c>
      <c r="AA261" s="163">
        <v>0</v>
      </c>
      <c r="AB261" s="163">
        <v>0</v>
      </c>
      <c r="AC261" s="163">
        <v>0</v>
      </c>
      <c r="AD261" s="163">
        <v>0</v>
      </c>
      <c r="AE261" s="163">
        <v>0</v>
      </c>
      <c r="AF261" s="163">
        <v>0</v>
      </c>
      <c r="AG261" s="163">
        <v>0</v>
      </c>
      <c r="AH261" s="163">
        <v>0</v>
      </c>
      <c r="AI261" s="163">
        <v>0</v>
      </c>
      <c r="AJ261" s="163">
        <v>0</v>
      </c>
      <c r="AK261" s="163">
        <v>0</v>
      </c>
      <c r="AL261" s="163">
        <v>0</v>
      </c>
      <c r="AM261" s="163">
        <v>0</v>
      </c>
      <c r="AN261" s="163">
        <v>0</v>
      </c>
      <c r="AO261" s="163">
        <v>0</v>
      </c>
      <c r="AP261" s="163">
        <v>0</v>
      </c>
      <c r="AQ261" s="163">
        <v>0</v>
      </c>
      <c r="AR261" s="163">
        <v>0</v>
      </c>
      <c r="AS261" s="163">
        <v>0</v>
      </c>
      <c r="AT261" s="163">
        <v>0</v>
      </c>
      <c r="AU261" s="163">
        <v>0</v>
      </c>
      <c r="AV261" s="163">
        <v>0</v>
      </c>
      <c r="AW261" s="163">
        <v>0</v>
      </c>
      <c r="AX261" s="163">
        <v>0</v>
      </c>
      <c r="AY261" s="163">
        <v>0</v>
      </c>
      <c r="AZ261" s="163">
        <v>0</v>
      </c>
      <c r="BA261" s="163">
        <v>0</v>
      </c>
      <c r="BB261" s="163">
        <v>0</v>
      </c>
      <c r="BC261" s="163">
        <v>0</v>
      </c>
      <c r="BD261" s="163">
        <v>0</v>
      </c>
      <c r="BE261" s="163">
        <v>0</v>
      </c>
      <c r="BF261" s="163">
        <v>0</v>
      </c>
      <c r="BG261" s="163">
        <v>0</v>
      </c>
      <c r="BH261" s="163">
        <v>0</v>
      </c>
      <c r="BI261" s="163">
        <v>0</v>
      </c>
      <c r="BJ261" s="163">
        <v>0</v>
      </c>
      <c r="BK261" s="163">
        <v>0</v>
      </c>
      <c r="BL261" s="163">
        <v>0</v>
      </c>
      <c r="BM261" s="163">
        <v>0</v>
      </c>
      <c r="BN261" s="163">
        <v>0</v>
      </c>
      <c r="BO261" s="163">
        <v>0</v>
      </c>
      <c r="BP261" s="163">
        <v>0</v>
      </c>
      <c r="BQ261" s="163">
        <v>0</v>
      </c>
      <c r="BR261" s="163">
        <v>0</v>
      </c>
      <c r="BS261" s="163">
        <v>0</v>
      </c>
      <c r="BT261" s="163">
        <v>0</v>
      </c>
      <c r="BU261" s="163">
        <v>0</v>
      </c>
      <c r="BV261" s="163">
        <v>0</v>
      </c>
      <c r="BW261" s="163">
        <v>0</v>
      </c>
      <c r="BX261" s="163">
        <v>0</v>
      </c>
      <c r="BY261" s="163">
        <v>0</v>
      </c>
      <c r="BZ261" s="163">
        <v>0</v>
      </c>
      <c r="CA261" s="163">
        <v>0</v>
      </c>
      <c r="CB261" s="163">
        <v>0</v>
      </c>
      <c r="CC261" s="163">
        <v>0</v>
      </c>
      <c r="CD261" s="163">
        <v>0</v>
      </c>
      <c r="CE261" s="163">
        <v>0</v>
      </c>
      <c r="CF261" s="163">
        <v>0</v>
      </c>
      <c r="CG261" s="163">
        <v>0</v>
      </c>
      <c r="CH261" s="163">
        <v>0</v>
      </c>
      <c r="CI261" s="163">
        <v>0</v>
      </c>
      <c r="CJ261" s="163">
        <v>0</v>
      </c>
      <c r="CK261" s="163">
        <v>0</v>
      </c>
      <c r="CL261" s="163">
        <v>0</v>
      </c>
      <c r="CM261" s="163">
        <v>0</v>
      </c>
      <c r="CN261" s="163">
        <v>0</v>
      </c>
      <c r="CO261" s="163">
        <v>0</v>
      </c>
      <c r="CP261" s="163">
        <v>0</v>
      </c>
      <c r="CQ261" s="163">
        <v>0</v>
      </c>
      <c r="CR261" s="163">
        <v>0</v>
      </c>
      <c r="CS261" s="163">
        <v>0</v>
      </c>
      <c r="CT261" s="163">
        <v>0</v>
      </c>
      <c r="CU261" s="163">
        <v>0</v>
      </c>
      <c r="CV261" s="163">
        <v>0</v>
      </c>
      <c r="CW261" s="163">
        <v>0</v>
      </c>
      <c r="CX261" s="163">
        <v>0</v>
      </c>
      <c r="CY261" s="163">
        <v>0</v>
      </c>
      <c r="CZ261" s="163">
        <v>0</v>
      </c>
      <c r="DA261" s="163">
        <v>0</v>
      </c>
      <c r="DB261" s="163">
        <v>0</v>
      </c>
      <c r="DC261" s="163">
        <v>0</v>
      </c>
      <c r="DD261" s="163">
        <v>0</v>
      </c>
      <c r="DE261" s="163">
        <v>0</v>
      </c>
      <c r="DF261" s="163">
        <f>VLOOKUP($C261,'[3]BS ACC'!$C$5:$DH$1006,108,FALSE)</f>
        <v>0</v>
      </c>
      <c r="DG261" s="163">
        <f>VLOOKUP($C261,'[3]BS ACC'!$C$5:$DH$1006,109,FALSE)</f>
        <v>0</v>
      </c>
      <c r="DH261" s="163">
        <f>VLOOKUP($C261,'[3]BS ACC'!$C$5:$DH$1006,110,FALSE)</f>
        <v>0</v>
      </c>
    </row>
    <row r="262" spans="1:112">
      <c r="A262" s="350" t="str">
        <f t="shared" si="3"/>
        <v>2360410</v>
      </c>
      <c r="B262" s="350" t="s">
        <v>897</v>
      </c>
      <c r="C262" s="335" t="s">
        <v>780</v>
      </c>
      <c r="D262" s="340">
        <v>0</v>
      </c>
      <c r="E262" s="340">
        <v>-192098.44</v>
      </c>
      <c r="F262" s="340">
        <v>-527557.49</v>
      </c>
      <c r="G262" s="340">
        <v>-883061.66</v>
      </c>
      <c r="H262" s="340">
        <v>-712009.79</v>
      </c>
      <c r="I262" s="340">
        <v>-830724.18</v>
      </c>
      <c r="J262" s="340">
        <v>-430684.47</v>
      </c>
      <c r="K262" s="340">
        <v>-427383.26</v>
      </c>
      <c r="L262" s="340">
        <v>-386809.91</v>
      </c>
      <c r="M262" s="340">
        <v>38331.29</v>
      </c>
      <c r="N262" s="340">
        <v>-176641.52</v>
      </c>
      <c r="O262" s="340">
        <v>225892.94</v>
      </c>
      <c r="P262" s="341">
        <v>0</v>
      </c>
      <c r="Q262" s="163">
        <v>-105519.42</v>
      </c>
      <c r="R262" s="163">
        <v>-235495.25</v>
      </c>
      <c r="S262" s="163">
        <v>-544030.99</v>
      </c>
      <c r="T262" s="163">
        <v>-642040.01</v>
      </c>
      <c r="U262" s="163">
        <v>-699986.64</v>
      </c>
      <c r="V262" s="163">
        <v>-568332.17000000004</v>
      </c>
      <c r="W262" s="163">
        <v>-643980.23</v>
      </c>
      <c r="X262" s="163">
        <v>-722233.13</v>
      </c>
      <c r="Y262" s="163">
        <v>-339899.3</v>
      </c>
      <c r="Z262" s="163">
        <v>-9647.0300000000007</v>
      </c>
      <c r="AA262" s="163">
        <v>107228.18</v>
      </c>
      <c r="AB262" s="163">
        <v>0</v>
      </c>
      <c r="AC262" s="163">
        <v>-119035.83</v>
      </c>
      <c r="AD262" s="163">
        <v>-556440.64</v>
      </c>
      <c r="AE262" s="163">
        <v>-728948.08</v>
      </c>
      <c r="AF262" s="163">
        <v>-684939.06</v>
      </c>
      <c r="AG262" s="163">
        <v>-731622.24</v>
      </c>
      <c r="AH262" s="163">
        <v>-612275.47</v>
      </c>
      <c r="AI262" s="163">
        <v>-679891.79</v>
      </c>
      <c r="AJ262" s="163">
        <v>-570536.6</v>
      </c>
      <c r="AK262" s="163">
        <v>53531.31</v>
      </c>
      <c r="AL262" s="163">
        <v>170215.89</v>
      </c>
      <c r="AM262" s="163">
        <v>196263.5</v>
      </c>
      <c r="AN262" s="163">
        <v>-33203.11</v>
      </c>
      <c r="AO262" s="163">
        <v>-339962.02</v>
      </c>
      <c r="AP262" s="163">
        <v>-261355.56</v>
      </c>
      <c r="AQ262" s="163">
        <v>-404529.3</v>
      </c>
      <c r="AR262" s="163">
        <v>-274727.09000000003</v>
      </c>
      <c r="AS262" s="163">
        <v>-146893.91</v>
      </c>
      <c r="AT262" s="163">
        <v>-218483.43</v>
      </c>
      <c r="AU262" s="163">
        <v>-118620.09</v>
      </c>
      <c r="AV262" s="163">
        <v>-12340.13</v>
      </c>
      <c r="AW262" s="163">
        <v>-39183.08</v>
      </c>
      <c r="AX262" s="163">
        <v>207463.46</v>
      </c>
      <c r="AY262" s="163">
        <v>312707.36</v>
      </c>
      <c r="AZ262" s="163">
        <v>-298546.95</v>
      </c>
      <c r="BA262" s="163">
        <v>-904711.08</v>
      </c>
      <c r="BB262" s="163">
        <v>-896972.61</v>
      </c>
      <c r="BC262" s="163">
        <v>-976451.08</v>
      </c>
      <c r="BD262" s="163">
        <v>-789549.85</v>
      </c>
      <c r="BE262" s="163">
        <v>-748083.65</v>
      </c>
      <c r="BF262" s="163">
        <v>-583090.03</v>
      </c>
      <c r="BG262" s="163">
        <v>-534288.56000000006</v>
      </c>
      <c r="BH262" s="163">
        <v>-573746.12</v>
      </c>
      <c r="BI262" s="163">
        <v>-248224.8</v>
      </c>
      <c r="BJ262" s="163">
        <v>-123057.03</v>
      </c>
      <c r="BK262" s="163">
        <v>-34960.53</v>
      </c>
      <c r="BL262" s="163">
        <v>0</v>
      </c>
      <c r="BM262" s="163">
        <v>-15731.67</v>
      </c>
      <c r="BN262" s="163">
        <v>98644.35</v>
      </c>
      <c r="BO262" s="163">
        <v>-29203.08</v>
      </c>
      <c r="BP262" s="163">
        <v>-514979.27</v>
      </c>
      <c r="BQ262" s="163">
        <v>-468379.32</v>
      </c>
      <c r="BR262" s="163">
        <v>-523914.07</v>
      </c>
      <c r="BS262" s="163">
        <v>-415303.23</v>
      </c>
      <c r="BT262" s="163">
        <v>-308870.39</v>
      </c>
      <c r="BU262" s="163">
        <v>-50182.54</v>
      </c>
      <c r="BV262" s="163">
        <v>15398.47</v>
      </c>
      <c r="BW262" s="163">
        <v>14598.01</v>
      </c>
      <c r="BX262" s="163">
        <v>-0.01</v>
      </c>
      <c r="BY262" s="163">
        <v>-487659.85</v>
      </c>
      <c r="BZ262" s="163">
        <v>-42376.3</v>
      </c>
      <c r="CA262" s="163">
        <v>-30158.05</v>
      </c>
      <c r="CB262" s="163">
        <v>-323251.46999999997</v>
      </c>
      <c r="CC262" s="163">
        <v>-186263.46</v>
      </c>
      <c r="CD262" s="163">
        <v>-453280.63</v>
      </c>
      <c r="CE262" s="163">
        <v>-296710.65999999997</v>
      </c>
      <c r="CF262" s="163">
        <v>-264914.92</v>
      </c>
      <c r="CG262" s="163">
        <v>-430994.61</v>
      </c>
      <c r="CH262" s="163">
        <v>-43811.5</v>
      </c>
      <c r="CI262" s="163">
        <v>-175164.58</v>
      </c>
      <c r="CJ262" s="163">
        <v>-158390.94</v>
      </c>
      <c r="CK262" s="163">
        <v>-609320.35</v>
      </c>
      <c r="CL262" s="163">
        <v>-752354.46</v>
      </c>
      <c r="CM262" s="163">
        <v>-578528.80000000005</v>
      </c>
      <c r="CN262" s="163">
        <v>-478463.51</v>
      </c>
      <c r="CO262" s="163">
        <v>-318838.24</v>
      </c>
      <c r="CP262" s="163">
        <v>-484661.62</v>
      </c>
      <c r="CQ262" s="163">
        <v>-360070.57</v>
      </c>
      <c r="CR262" s="163">
        <v>-410610.2</v>
      </c>
      <c r="CS262" s="163">
        <v>224118.31</v>
      </c>
      <c r="CT262" s="163">
        <v>519265.53</v>
      </c>
      <c r="CU262" s="163">
        <v>816705.09</v>
      </c>
      <c r="CV262" s="163">
        <v>0</v>
      </c>
      <c r="CW262" s="163">
        <v>226096.86</v>
      </c>
      <c r="CX262" s="163">
        <v>-472143.76</v>
      </c>
      <c r="CY262" s="163">
        <v>-462554.88</v>
      </c>
      <c r="CZ262" s="163">
        <v>-1175792.95</v>
      </c>
      <c r="DA262" s="163">
        <v>-1224909.73</v>
      </c>
      <c r="DB262" s="163">
        <v>-963931.06</v>
      </c>
      <c r="DC262" s="163">
        <v>-869606.55</v>
      </c>
      <c r="DD262" s="163">
        <v>-85662.35</v>
      </c>
      <c r="DE262" s="163">
        <v>-353352.48</v>
      </c>
      <c r="DF262" s="163">
        <f>VLOOKUP($C262,'[3]BS ACC'!$C$5:$DH$1006,108,FALSE)</f>
        <v>-174576.73</v>
      </c>
      <c r="DG262" s="163">
        <f>VLOOKUP($C262,'[3]BS ACC'!$C$5:$DH$1006,109,FALSE)</f>
        <v>-129475.67</v>
      </c>
      <c r="DH262" s="163">
        <f>VLOOKUP($C262,'[3]BS ACC'!$C$5:$DH$1006,110,FALSE)</f>
        <v>-67269.84</v>
      </c>
    </row>
    <row r="263" spans="1:112">
      <c r="A263" s="350" t="str">
        <f t="shared" si="3"/>
        <v>2360420</v>
      </c>
      <c r="B263" s="350" t="s">
        <v>898</v>
      </c>
      <c r="C263" s="335" t="s">
        <v>781</v>
      </c>
      <c r="D263" s="340">
        <v>0</v>
      </c>
      <c r="E263" s="340">
        <v>0</v>
      </c>
      <c r="F263" s="340">
        <v>0</v>
      </c>
      <c r="G263" s="340">
        <v>0</v>
      </c>
      <c r="H263" s="340">
        <v>0</v>
      </c>
      <c r="I263" s="340">
        <v>0</v>
      </c>
      <c r="J263" s="340">
        <v>0</v>
      </c>
      <c r="K263" s="340">
        <v>0</v>
      </c>
      <c r="L263" s="340">
        <v>0</v>
      </c>
      <c r="M263" s="340">
        <v>0</v>
      </c>
      <c r="N263" s="340">
        <v>0</v>
      </c>
      <c r="O263" s="340">
        <v>0</v>
      </c>
      <c r="P263" s="341">
        <v>0</v>
      </c>
      <c r="Q263" s="163">
        <v>0</v>
      </c>
      <c r="R263" s="163">
        <v>0</v>
      </c>
      <c r="S263" s="163">
        <v>0</v>
      </c>
      <c r="T263" s="163">
        <v>0</v>
      </c>
      <c r="U263" s="163">
        <v>0</v>
      </c>
      <c r="V263" s="163">
        <v>0</v>
      </c>
      <c r="W263" s="163">
        <v>0</v>
      </c>
      <c r="X263" s="163">
        <v>0</v>
      </c>
      <c r="Y263" s="163">
        <v>0</v>
      </c>
      <c r="Z263" s="163">
        <v>0</v>
      </c>
      <c r="AA263" s="163">
        <v>0</v>
      </c>
      <c r="AB263" s="163">
        <v>0</v>
      </c>
      <c r="AC263" s="163">
        <v>0</v>
      </c>
      <c r="AD263" s="163">
        <v>0</v>
      </c>
      <c r="AE263" s="163">
        <v>0</v>
      </c>
      <c r="AF263" s="163">
        <v>0</v>
      </c>
      <c r="AG263" s="163">
        <v>0</v>
      </c>
      <c r="AH263" s="163">
        <v>0</v>
      </c>
      <c r="AI263" s="163">
        <v>0</v>
      </c>
      <c r="AJ263" s="163">
        <v>0</v>
      </c>
      <c r="AK263" s="163">
        <v>0</v>
      </c>
      <c r="AL263" s="163">
        <v>0</v>
      </c>
      <c r="AM263" s="163">
        <v>0</v>
      </c>
      <c r="AN263" s="163">
        <v>0</v>
      </c>
      <c r="AO263" s="163">
        <v>0</v>
      </c>
      <c r="AP263" s="163">
        <v>0</v>
      </c>
      <c r="AQ263" s="163">
        <v>0</v>
      </c>
      <c r="AR263" s="163">
        <v>0</v>
      </c>
      <c r="AS263" s="163">
        <v>0</v>
      </c>
      <c r="AT263" s="163">
        <v>0</v>
      </c>
      <c r="AU263" s="163">
        <v>0</v>
      </c>
      <c r="AV263" s="163">
        <v>0</v>
      </c>
      <c r="AW263" s="163">
        <v>0</v>
      </c>
      <c r="AX263" s="163">
        <v>0</v>
      </c>
      <c r="AY263" s="163">
        <v>0</v>
      </c>
      <c r="AZ263" s="163">
        <v>0</v>
      </c>
      <c r="BA263" s="163">
        <v>0</v>
      </c>
      <c r="BB263" s="163">
        <v>0</v>
      </c>
      <c r="BC263" s="163">
        <v>0</v>
      </c>
      <c r="BD263" s="163">
        <v>0</v>
      </c>
      <c r="BE263" s="163">
        <v>0</v>
      </c>
      <c r="BF263" s="163">
        <v>0</v>
      </c>
      <c r="BG263" s="163">
        <v>0</v>
      </c>
      <c r="BH263" s="163">
        <v>0</v>
      </c>
      <c r="BI263" s="163">
        <v>0</v>
      </c>
      <c r="BJ263" s="163">
        <v>0</v>
      </c>
      <c r="BK263" s="163">
        <v>0</v>
      </c>
      <c r="BL263" s="163">
        <v>0</v>
      </c>
      <c r="BM263" s="163">
        <v>0</v>
      </c>
      <c r="BN263" s="163">
        <v>0</v>
      </c>
      <c r="BO263" s="163">
        <v>0</v>
      </c>
      <c r="BP263" s="163">
        <v>0</v>
      </c>
      <c r="BQ263" s="163">
        <v>0</v>
      </c>
      <c r="BR263" s="163">
        <v>0</v>
      </c>
      <c r="BS263" s="163">
        <v>0</v>
      </c>
      <c r="BT263" s="163">
        <v>0</v>
      </c>
      <c r="BU263" s="163">
        <v>0</v>
      </c>
      <c r="BV263" s="163">
        <v>0</v>
      </c>
      <c r="BW263" s="163">
        <v>0</v>
      </c>
      <c r="BX263" s="163">
        <v>0</v>
      </c>
      <c r="BY263" s="163">
        <v>0</v>
      </c>
      <c r="BZ263" s="163">
        <v>0</v>
      </c>
      <c r="CA263" s="163">
        <v>0</v>
      </c>
      <c r="CB263" s="163">
        <v>0</v>
      </c>
      <c r="CC263" s="163">
        <v>0</v>
      </c>
      <c r="CD263" s="163">
        <v>0</v>
      </c>
      <c r="CE263" s="163">
        <v>0</v>
      </c>
      <c r="CF263" s="163">
        <v>0</v>
      </c>
      <c r="CG263" s="163">
        <v>0</v>
      </c>
      <c r="CH263" s="163">
        <v>0</v>
      </c>
      <c r="CI263" s="163">
        <v>0</v>
      </c>
      <c r="CJ263" s="163">
        <v>0</v>
      </c>
      <c r="CK263" s="163">
        <v>0</v>
      </c>
      <c r="CL263" s="163">
        <v>0</v>
      </c>
      <c r="CM263" s="163">
        <v>0</v>
      </c>
      <c r="CN263" s="163">
        <v>0</v>
      </c>
      <c r="CO263" s="163">
        <v>0</v>
      </c>
      <c r="CP263" s="163">
        <v>0</v>
      </c>
      <c r="CQ263" s="163">
        <v>0</v>
      </c>
      <c r="CR263" s="163">
        <v>0</v>
      </c>
      <c r="CS263" s="163">
        <v>0</v>
      </c>
      <c r="CT263" s="163">
        <v>0</v>
      </c>
      <c r="CU263" s="163">
        <v>0</v>
      </c>
      <c r="CV263" s="163">
        <v>0</v>
      </c>
      <c r="CW263" s="163">
        <v>0</v>
      </c>
      <c r="CX263" s="163">
        <v>0</v>
      </c>
      <c r="CY263" s="163">
        <v>0</v>
      </c>
      <c r="CZ263" s="163">
        <v>0</v>
      </c>
      <c r="DA263" s="163">
        <v>0</v>
      </c>
      <c r="DB263" s="163">
        <v>0</v>
      </c>
      <c r="DC263" s="163">
        <v>0</v>
      </c>
      <c r="DD263" s="163">
        <v>0</v>
      </c>
      <c r="DE263" s="163">
        <v>0</v>
      </c>
      <c r="DF263" s="163">
        <f>VLOOKUP($C263,'[3]BS ACC'!$C$5:$DH$1006,108,FALSE)</f>
        <v>0</v>
      </c>
      <c r="DG263" s="163">
        <f>VLOOKUP($C263,'[3]BS ACC'!$C$5:$DH$1006,109,FALSE)</f>
        <v>0</v>
      </c>
      <c r="DH263" s="163">
        <f>VLOOKUP($C263,'[3]BS ACC'!$C$5:$DH$1006,110,FALSE)</f>
        <v>0</v>
      </c>
    </row>
    <row r="264" spans="1:112">
      <c r="A264" s="350" t="str">
        <f t="shared" si="3"/>
        <v>2360600</v>
      </c>
      <c r="B264" s="350" t="s">
        <v>919</v>
      </c>
      <c r="C264" s="335" t="s">
        <v>782</v>
      </c>
      <c r="D264" s="340">
        <v>16641.47</v>
      </c>
      <c r="E264" s="340">
        <v>-5057.97</v>
      </c>
      <c r="F264" s="340">
        <v>-6062.13</v>
      </c>
      <c r="G264" s="340">
        <v>-6237.03</v>
      </c>
      <c r="H264" s="340">
        <v>17045.919999999998</v>
      </c>
      <c r="I264" s="340">
        <v>16949.18</v>
      </c>
      <c r="J264" s="340">
        <v>16887.900000000001</v>
      </c>
      <c r="K264" s="340">
        <v>17042.64</v>
      </c>
      <c r="L264" s="340">
        <v>16841.689999999999</v>
      </c>
      <c r="M264" s="340">
        <v>16618.310000000001</v>
      </c>
      <c r="N264" s="340">
        <v>16906.18</v>
      </c>
      <c r="O264" s="340">
        <v>16780.73</v>
      </c>
      <c r="P264" s="341">
        <v>16730.759999999998</v>
      </c>
      <c r="Q264" s="163">
        <v>3510.81</v>
      </c>
      <c r="R264" s="163">
        <v>-5160.33</v>
      </c>
      <c r="S264" s="163">
        <v>-5412.59</v>
      </c>
      <c r="T264" s="163">
        <v>16955.919999999998</v>
      </c>
      <c r="U264" s="163">
        <v>16821.22</v>
      </c>
      <c r="V264" s="163">
        <v>16754.259999999998</v>
      </c>
      <c r="W264" s="163">
        <v>17123.080000000002</v>
      </c>
      <c r="X264" s="163">
        <v>16999.439999999999</v>
      </c>
      <c r="Y264" s="163">
        <v>16908.740000000002</v>
      </c>
      <c r="Z264" s="163">
        <v>16842.22</v>
      </c>
      <c r="AA264" s="163">
        <v>16455.46</v>
      </c>
      <c r="AB264" s="163">
        <v>16035.62</v>
      </c>
      <c r="AC264" s="163">
        <v>2392.11</v>
      </c>
      <c r="AD264" s="163">
        <v>-5230.0600000000004</v>
      </c>
      <c r="AE264" s="163">
        <v>-5532.06</v>
      </c>
      <c r="AF264" s="163">
        <v>17053.7</v>
      </c>
      <c r="AG264" s="163">
        <v>16932.72</v>
      </c>
      <c r="AH264" s="163">
        <v>16836.14</v>
      </c>
      <c r="AI264" s="163">
        <v>16957.97</v>
      </c>
      <c r="AJ264" s="163">
        <v>16653.88</v>
      </c>
      <c r="AK264" s="163">
        <v>16311.75</v>
      </c>
      <c r="AL264" s="163">
        <v>16986.86</v>
      </c>
      <c r="AM264" s="163">
        <v>16861.439999999999</v>
      </c>
      <c r="AN264" s="163">
        <v>16758.52</v>
      </c>
      <c r="AO264" s="163">
        <v>920.31</v>
      </c>
      <c r="AP264" s="163">
        <v>-5706.87</v>
      </c>
      <c r="AQ264" s="163">
        <v>-6005.97</v>
      </c>
      <c r="AR264" s="163">
        <v>17093.86</v>
      </c>
      <c r="AS264" s="163">
        <v>16941.27</v>
      </c>
      <c r="AT264" s="163">
        <v>16693.849999999999</v>
      </c>
      <c r="AU264" s="163">
        <v>16890.43</v>
      </c>
      <c r="AV264" s="163">
        <v>16436.689999999999</v>
      </c>
      <c r="AW264" s="163">
        <v>16273.77</v>
      </c>
      <c r="AX264" s="163">
        <v>17052.29</v>
      </c>
      <c r="AY264" s="163">
        <v>16993.3</v>
      </c>
      <c r="AZ264" s="163">
        <v>16894.46</v>
      </c>
      <c r="BA264" s="163">
        <v>735.18</v>
      </c>
      <c r="BB264" s="163">
        <v>-6042.23</v>
      </c>
      <c r="BC264" s="163">
        <v>-6475.35</v>
      </c>
      <c r="BD264" s="163">
        <v>16828.47</v>
      </c>
      <c r="BE264" s="163">
        <v>16527.060000000001</v>
      </c>
      <c r="BF264" s="163">
        <v>16330.18</v>
      </c>
      <c r="BG264" s="163">
        <v>17013.53</v>
      </c>
      <c r="BH264" s="163">
        <v>16529.32</v>
      </c>
      <c r="BI264" s="163">
        <v>16261.51</v>
      </c>
      <c r="BJ264" s="163">
        <v>17006.419999999998</v>
      </c>
      <c r="BK264" s="163">
        <v>16787.439999999999</v>
      </c>
      <c r="BL264" s="163">
        <v>-586.20000000000005</v>
      </c>
      <c r="BM264" s="163">
        <v>-22306.36</v>
      </c>
      <c r="BN264" s="163">
        <v>-24316.57</v>
      </c>
      <c r="BO264" s="163">
        <v>-24437.66</v>
      </c>
      <c r="BP264" s="163">
        <v>-61.4</v>
      </c>
      <c r="BQ264" s="163">
        <v>-250.56</v>
      </c>
      <c r="BR264" s="163">
        <v>-522.13</v>
      </c>
      <c r="BS264" s="163">
        <v>-308.14</v>
      </c>
      <c r="BT264" s="163">
        <v>-647.05999999999995</v>
      </c>
      <c r="BU264" s="163">
        <v>-1021.75</v>
      </c>
      <c r="BV264" s="163">
        <v>-323.35000000000002</v>
      </c>
      <c r="BW264" s="163">
        <v>-553.41999999999996</v>
      </c>
      <c r="BX264" s="163">
        <v>-700.88</v>
      </c>
      <c r="BY264" s="163">
        <v>-23527.27</v>
      </c>
      <c r="BZ264" s="163">
        <v>-25934.49</v>
      </c>
      <c r="CA264" s="163">
        <v>-26093.65</v>
      </c>
      <c r="CB264" s="163">
        <v>-205.27</v>
      </c>
      <c r="CC264" s="163">
        <v>-427.94</v>
      </c>
      <c r="CD264" s="163">
        <v>-619.95000000000005</v>
      </c>
      <c r="CE264" s="163">
        <v>-179.27</v>
      </c>
      <c r="CF264" s="163">
        <v>-326.45</v>
      </c>
      <c r="CG264" s="163">
        <v>-396.8</v>
      </c>
      <c r="CH264" s="163">
        <v>-125.17</v>
      </c>
      <c r="CI264" s="163">
        <v>-268.24</v>
      </c>
      <c r="CJ264" s="163">
        <v>-412.74</v>
      </c>
      <c r="CK264" s="163">
        <v>-20037.98</v>
      </c>
      <c r="CL264" s="163">
        <v>-25788.73</v>
      </c>
      <c r="CM264" s="163">
        <v>-26543.21</v>
      </c>
      <c r="CN264" s="163">
        <v>-264.89</v>
      </c>
      <c r="CO264" s="163">
        <v>-451.18</v>
      </c>
      <c r="CP264" s="163">
        <v>-629.63</v>
      </c>
      <c r="CQ264" s="163">
        <v>-542.23</v>
      </c>
      <c r="CR264" s="163">
        <v>-917.41</v>
      </c>
      <c r="CS264" s="163">
        <v>-1265.73</v>
      </c>
      <c r="CT264" s="163">
        <v>-80.849999999999994</v>
      </c>
      <c r="CU264" s="163">
        <v>-301.12</v>
      </c>
      <c r="CV264" s="163">
        <v>-812.13</v>
      </c>
      <c r="CW264" s="163">
        <v>-20809.099999999999</v>
      </c>
      <c r="CX264" s="163">
        <v>-26308.34</v>
      </c>
      <c r="CY264" s="163">
        <v>-27455.75</v>
      </c>
      <c r="CZ264" s="163">
        <v>-27906.68</v>
      </c>
      <c r="DA264" s="163">
        <v>-1068.3499999999999</v>
      </c>
      <c r="DB264" s="163">
        <v>-2383.37</v>
      </c>
      <c r="DC264" s="163">
        <v>-3063.99</v>
      </c>
      <c r="DD264" s="163">
        <v>-1009.7</v>
      </c>
      <c r="DE264" s="163">
        <v>-1334.76</v>
      </c>
      <c r="DF264" s="163">
        <f>VLOOKUP($C264,'[3]BS ACC'!$C$5:$DH$1006,108,FALSE)</f>
        <v>-1531.98</v>
      </c>
      <c r="DG264" s="163">
        <f>VLOOKUP($C264,'[3]BS ACC'!$C$5:$DH$1006,109,FALSE)</f>
        <v>-1889.6</v>
      </c>
      <c r="DH264" s="163">
        <f>VLOOKUP($C264,'[3]BS ACC'!$C$5:$DH$1006,110,FALSE)</f>
        <v>-2573.42</v>
      </c>
    </row>
    <row r="265" spans="1:112">
      <c r="A265" s="350" t="str">
        <f t="shared" si="3"/>
        <v>2360601</v>
      </c>
      <c r="B265" s="350" t="s">
        <v>920</v>
      </c>
      <c r="C265" s="335" t="s">
        <v>783</v>
      </c>
      <c r="D265" s="340">
        <v>21861.62</v>
      </c>
      <c r="E265" s="340">
        <v>-41166.449999999997</v>
      </c>
      <c r="F265" s="340">
        <v>-46524.1</v>
      </c>
      <c r="G265" s="340">
        <v>-47451.37</v>
      </c>
      <c r="H265" s="340">
        <v>25061.54</v>
      </c>
      <c r="I265" s="340">
        <v>24728.66</v>
      </c>
      <c r="J265" s="340">
        <v>24532.51</v>
      </c>
      <c r="K265" s="340">
        <v>25075.96</v>
      </c>
      <c r="L265" s="340">
        <v>24489.59</v>
      </c>
      <c r="M265" s="340">
        <v>23825.78</v>
      </c>
      <c r="N265" s="340">
        <v>24636.19</v>
      </c>
      <c r="O265" s="340">
        <v>24156.97</v>
      </c>
      <c r="P265" s="341">
        <v>23976.21</v>
      </c>
      <c r="Q265" s="163">
        <v>5626.35</v>
      </c>
      <c r="R265" s="163">
        <v>-6946.65</v>
      </c>
      <c r="S265" s="163">
        <v>-7312.4</v>
      </c>
      <c r="T265" s="163">
        <v>25121.88</v>
      </c>
      <c r="U265" s="163">
        <v>24926.560000000001</v>
      </c>
      <c r="V265" s="163">
        <v>24829.48</v>
      </c>
      <c r="W265" s="163">
        <v>25364.31</v>
      </c>
      <c r="X265" s="163">
        <v>25185.02</v>
      </c>
      <c r="Y265" s="163">
        <v>25053.51</v>
      </c>
      <c r="Z265" s="163">
        <v>24957.01</v>
      </c>
      <c r="AA265" s="163">
        <v>24396.31</v>
      </c>
      <c r="AB265" s="163">
        <v>23787.51</v>
      </c>
      <c r="AC265" s="163">
        <v>13104.3</v>
      </c>
      <c r="AD265" s="163">
        <v>6752.56</v>
      </c>
      <c r="AE265" s="163">
        <v>6500.85</v>
      </c>
      <c r="AF265" s="163">
        <v>25322.37</v>
      </c>
      <c r="AG265" s="163">
        <v>25186.53</v>
      </c>
      <c r="AH265" s="163">
        <v>25106.03</v>
      </c>
      <c r="AI265" s="163">
        <v>25209.360000000001</v>
      </c>
      <c r="AJ265" s="163">
        <v>24933.5</v>
      </c>
      <c r="AK265" s="163">
        <v>24599.07</v>
      </c>
      <c r="AL265" s="163">
        <v>25266.67</v>
      </c>
      <c r="AM265" s="163">
        <v>25162.15</v>
      </c>
      <c r="AN265" s="163">
        <v>25076.400000000001</v>
      </c>
      <c r="AO265" s="163">
        <v>16205.6</v>
      </c>
      <c r="AP265" s="163">
        <v>12450.07</v>
      </c>
      <c r="AQ265" s="163">
        <v>12280.6</v>
      </c>
      <c r="AR265" s="163">
        <v>25370.58</v>
      </c>
      <c r="AS265" s="163">
        <v>25284.1</v>
      </c>
      <c r="AT265" s="163">
        <v>25143.88</v>
      </c>
      <c r="AU265" s="163">
        <v>25255.31</v>
      </c>
      <c r="AV265" s="163">
        <v>24998.17</v>
      </c>
      <c r="AW265" s="163">
        <v>24905.9</v>
      </c>
      <c r="AX265" s="163">
        <v>25347.03</v>
      </c>
      <c r="AY265" s="163">
        <v>25313.59</v>
      </c>
      <c r="AZ265" s="163">
        <v>25257.59</v>
      </c>
      <c r="BA265" s="163">
        <v>20497.830000000002</v>
      </c>
      <c r="BB265" s="163">
        <v>18238.740000000002</v>
      </c>
      <c r="BC265" s="163">
        <v>18080.39</v>
      </c>
      <c r="BD265" s="163">
        <v>25862.28</v>
      </c>
      <c r="BE265" s="163">
        <v>25748.28</v>
      </c>
      <c r="BF265" s="163">
        <v>25682.2</v>
      </c>
      <c r="BG265" s="163">
        <v>25923.99</v>
      </c>
      <c r="BH265" s="163">
        <v>25758.28</v>
      </c>
      <c r="BI265" s="163">
        <v>25661.45</v>
      </c>
      <c r="BJ265" s="163">
        <v>25919.49</v>
      </c>
      <c r="BK265" s="163">
        <v>25846.49</v>
      </c>
      <c r="BL265" s="163">
        <v>-197.54</v>
      </c>
      <c r="BM265" s="163">
        <v>-3647.46</v>
      </c>
      <c r="BN265" s="163">
        <v>-3982.53</v>
      </c>
      <c r="BO265" s="163">
        <v>-4002.71</v>
      </c>
      <c r="BP265" s="163">
        <v>-4013.01</v>
      </c>
      <c r="BQ265" s="163">
        <v>-41.82</v>
      </c>
      <c r="BR265" s="163">
        <v>-94.11</v>
      </c>
      <c r="BS265" s="163">
        <v>-51.42</v>
      </c>
      <c r="BT265" s="163">
        <v>-107.94</v>
      </c>
      <c r="BU265" s="163">
        <v>-177.36</v>
      </c>
      <c r="BV265" s="163">
        <v>-53.95</v>
      </c>
      <c r="BW265" s="163">
        <v>-97.92</v>
      </c>
      <c r="BX265" s="163">
        <v>-123.88</v>
      </c>
      <c r="BY265" s="163">
        <v>-3921.36</v>
      </c>
      <c r="BZ265" s="163">
        <v>-4322.4799999999996</v>
      </c>
      <c r="CA265" s="163">
        <v>-4349</v>
      </c>
      <c r="CB265" s="163">
        <v>-34.28</v>
      </c>
      <c r="CC265" s="163">
        <v>-71.400000000000006</v>
      </c>
      <c r="CD265" s="163">
        <v>-103.39</v>
      </c>
      <c r="CE265" s="163">
        <v>-31.18</v>
      </c>
      <c r="CF265" s="163">
        <v>-55.7</v>
      </c>
      <c r="CG265" s="163">
        <v>-67.42</v>
      </c>
      <c r="CH265" s="163">
        <v>-19.670000000000002</v>
      </c>
      <c r="CI265" s="163">
        <v>-43.51</v>
      </c>
      <c r="CJ265" s="163">
        <v>-67.599999999999994</v>
      </c>
      <c r="CK265" s="163">
        <v>-3407.32</v>
      </c>
      <c r="CL265" s="163">
        <v>-4365.8100000000004</v>
      </c>
      <c r="CM265" s="163">
        <v>-4491.5200000000004</v>
      </c>
      <c r="CN265" s="163">
        <v>18911.02</v>
      </c>
      <c r="CO265" s="163">
        <v>18881.84</v>
      </c>
      <c r="CP265" s="163">
        <v>18917.830000000002</v>
      </c>
      <c r="CQ265" s="163">
        <v>18932.41</v>
      </c>
      <c r="CR265" s="163">
        <v>18869.89</v>
      </c>
      <c r="CS265" s="163">
        <v>18809.39</v>
      </c>
      <c r="CT265" s="163">
        <v>19004.79</v>
      </c>
      <c r="CU265" s="163">
        <v>18968.080000000002</v>
      </c>
      <c r="CV265" s="163">
        <v>18889.91</v>
      </c>
      <c r="CW265" s="163">
        <v>15556.6</v>
      </c>
      <c r="CX265" s="163">
        <v>14639.29</v>
      </c>
      <c r="CY265" s="163">
        <v>-4574.78</v>
      </c>
      <c r="CZ265" s="163">
        <v>-4966.9399999999996</v>
      </c>
      <c r="DA265" s="163">
        <v>-496.86</v>
      </c>
      <c r="DB265" s="163">
        <v>-947.83</v>
      </c>
      <c r="DC265" s="163">
        <v>-1238.96</v>
      </c>
      <c r="DD265" s="163">
        <v>-1401.14</v>
      </c>
      <c r="DE265" s="163">
        <v>-1455.35</v>
      </c>
      <c r="DF265" s="163">
        <f>VLOOKUP($C265,'[3]BS ACC'!$C$5:$DH$1006,108,FALSE)</f>
        <v>-1488.26</v>
      </c>
      <c r="DG265" s="163">
        <f>VLOOKUP($C265,'[3]BS ACC'!$C$5:$DH$1006,109,FALSE)</f>
        <v>-1547.85</v>
      </c>
      <c r="DH265" s="163">
        <f>VLOOKUP($C265,'[3]BS ACC'!$C$5:$DH$1006,110,FALSE)</f>
        <v>-1580.82</v>
      </c>
    </row>
    <row r="266" spans="1:112">
      <c r="A266" s="350" t="str">
        <f t="shared" si="3"/>
        <v>2360602</v>
      </c>
      <c r="B266" s="350" t="s">
        <v>921</v>
      </c>
      <c r="C266" s="335" t="s">
        <v>784</v>
      </c>
      <c r="D266" s="340">
        <v>-721648.5</v>
      </c>
      <c r="E266" s="340">
        <v>-187387.4</v>
      </c>
      <c r="F266" s="340">
        <v>-385662.47</v>
      </c>
      <c r="G266" s="340">
        <v>-555124.03</v>
      </c>
      <c r="H266" s="340">
        <v>-707354.26</v>
      </c>
      <c r="I266" s="340">
        <v>-845345.35</v>
      </c>
      <c r="J266" s="340">
        <v>-972919.57</v>
      </c>
      <c r="K266" s="340">
        <v>-122237.82</v>
      </c>
      <c r="L266" s="340">
        <v>-238036.81</v>
      </c>
      <c r="M266" s="340">
        <v>-388238.66</v>
      </c>
      <c r="N266" s="340">
        <v>-479349.61</v>
      </c>
      <c r="O266" s="340">
        <v>-610817.92000000004</v>
      </c>
      <c r="P266" s="341">
        <v>-818114.5</v>
      </c>
      <c r="Q266" s="163">
        <v>-190817.65</v>
      </c>
      <c r="R266" s="163">
        <v>-383840.8</v>
      </c>
      <c r="S266" s="163">
        <v>-568952.53</v>
      </c>
      <c r="T266" s="163">
        <v>-713426.91</v>
      </c>
      <c r="U266" s="163">
        <v>-862750.49</v>
      </c>
      <c r="V266" s="163">
        <v>-998742.47</v>
      </c>
      <c r="W266" s="163">
        <v>-134146.22</v>
      </c>
      <c r="X266" s="163">
        <v>-260195.99</v>
      </c>
      <c r="Y266" s="163">
        <v>-398822.53</v>
      </c>
      <c r="Z266" s="163">
        <v>-535135.18999999994</v>
      </c>
      <c r="AA266" s="163">
        <v>-677768.49</v>
      </c>
      <c r="AB266" s="163">
        <v>-849060.78</v>
      </c>
      <c r="AC266" s="163">
        <v>-185432.72</v>
      </c>
      <c r="AD266" s="163">
        <v>-390046.19</v>
      </c>
      <c r="AE266" s="163">
        <v>-569381.18000000005</v>
      </c>
      <c r="AF266" s="163">
        <v>-729248.16</v>
      </c>
      <c r="AG266" s="163">
        <v>-877010.23</v>
      </c>
      <c r="AH266" s="163">
        <v>-1036712.79</v>
      </c>
      <c r="AI266" s="163">
        <v>-151671.82999999999</v>
      </c>
      <c r="AJ266" s="163">
        <v>-309806.67</v>
      </c>
      <c r="AK266" s="163">
        <v>-463372.67</v>
      </c>
      <c r="AL266" s="163">
        <v>-615389.24</v>
      </c>
      <c r="AM266" s="163">
        <v>-768129.53</v>
      </c>
      <c r="AN266" s="163">
        <v>-923034.72</v>
      </c>
      <c r="AO266" s="163">
        <v>-172262.79</v>
      </c>
      <c r="AP266" s="163">
        <v>-342440.01</v>
      </c>
      <c r="AQ266" s="163">
        <v>-502231.51</v>
      </c>
      <c r="AR266" s="163">
        <v>-659248.22</v>
      </c>
      <c r="AS266" s="163">
        <v>-810397.09</v>
      </c>
      <c r="AT266" s="163">
        <v>-952731.69</v>
      </c>
      <c r="AU266" s="163">
        <v>-129607.17</v>
      </c>
      <c r="AV266" s="163">
        <v>-264773.65000000002</v>
      </c>
      <c r="AW266" s="163">
        <v>-407317.69</v>
      </c>
      <c r="AX266" s="163">
        <v>-542452.24</v>
      </c>
      <c r="AY266" s="163">
        <v>-695300.68</v>
      </c>
      <c r="AZ266" s="163">
        <v>-874491.67</v>
      </c>
      <c r="BA266" s="163">
        <v>-233756.65</v>
      </c>
      <c r="BB266" s="163">
        <v>-452145.4</v>
      </c>
      <c r="BC266" s="163">
        <v>-628485.1</v>
      </c>
      <c r="BD266" s="163">
        <v>-809597.92</v>
      </c>
      <c r="BE266" s="163">
        <v>-967336.34</v>
      </c>
      <c r="BF266" s="163">
        <v>-1121957.03</v>
      </c>
      <c r="BG266" s="163">
        <v>-144741.45000000001</v>
      </c>
      <c r="BH266" s="163">
        <v>-299375.05</v>
      </c>
      <c r="BI266" s="163">
        <v>-454471.69</v>
      </c>
      <c r="BJ266" s="163">
        <v>-598924.02</v>
      </c>
      <c r="BK266" s="163">
        <v>-754972.7</v>
      </c>
      <c r="BL266" s="163">
        <v>-941893.71</v>
      </c>
      <c r="BM266" s="163">
        <v>-202820.11</v>
      </c>
      <c r="BN266" s="163">
        <v>-405955.14</v>
      </c>
      <c r="BO266" s="163">
        <v>-587737.07999999996</v>
      </c>
      <c r="BP266" s="163">
        <v>-762154.47</v>
      </c>
      <c r="BQ266" s="163">
        <v>-925528.91</v>
      </c>
      <c r="BR266" s="163">
        <v>-1076585.99</v>
      </c>
      <c r="BS266" s="163">
        <v>-159909.14000000001</v>
      </c>
      <c r="BT266" s="163">
        <v>-298051.46999999997</v>
      </c>
      <c r="BU266" s="163">
        <v>-440754.38</v>
      </c>
      <c r="BV266" s="163">
        <v>-588309.66</v>
      </c>
      <c r="BW266" s="163">
        <v>-736629.84</v>
      </c>
      <c r="BX266" s="163">
        <v>-922462.83</v>
      </c>
      <c r="BY266" s="163">
        <v>-187881.22</v>
      </c>
      <c r="BZ266" s="163">
        <v>-386420.07</v>
      </c>
      <c r="CA266" s="163">
        <v>-573793.69999999995</v>
      </c>
      <c r="CB266" s="163">
        <v>-730001.98</v>
      </c>
      <c r="CC266" s="163">
        <v>-877345.32</v>
      </c>
      <c r="CD266" s="163">
        <v>-1021172.59</v>
      </c>
      <c r="CE266" s="163">
        <v>-140173.04</v>
      </c>
      <c r="CF266" s="163">
        <v>-279855.51</v>
      </c>
      <c r="CG266" s="163">
        <v>-412594.88</v>
      </c>
      <c r="CH266" s="163">
        <v>-554218.4</v>
      </c>
      <c r="CI266" s="163">
        <v>-709842.64</v>
      </c>
      <c r="CJ266" s="163">
        <v>-897798.37</v>
      </c>
      <c r="CK266" s="163">
        <v>-258757.94</v>
      </c>
      <c r="CL266" s="163">
        <v>-502664.4</v>
      </c>
      <c r="CM266" s="163">
        <v>-721609.9</v>
      </c>
      <c r="CN266" s="163">
        <v>-943489.57</v>
      </c>
      <c r="CO266" s="163">
        <v>-1137727.82</v>
      </c>
      <c r="CP266" s="163">
        <v>-1325083.23</v>
      </c>
      <c r="CQ266" s="163">
        <v>-172029.04</v>
      </c>
      <c r="CR266" s="163">
        <v>-340414.19</v>
      </c>
      <c r="CS266" s="163">
        <v>-516921.02</v>
      </c>
      <c r="CT266" s="163">
        <v>-692317.57</v>
      </c>
      <c r="CU266" s="163">
        <v>-905306.75</v>
      </c>
      <c r="CV266" s="163">
        <v>-1139096.8</v>
      </c>
      <c r="CW266" s="163">
        <v>-268956.3</v>
      </c>
      <c r="CX266" s="163">
        <v>-570187.15</v>
      </c>
      <c r="CY266" s="163">
        <v>-837681.83</v>
      </c>
      <c r="CZ266" s="163">
        <v>-1089797.6200000001</v>
      </c>
      <c r="DA266" s="163">
        <v>-1329453.47</v>
      </c>
      <c r="DB266" s="163">
        <v>-1565277.64</v>
      </c>
      <c r="DC266" s="163">
        <v>-215736.59</v>
      </c>
      <c r="DD266" s="163">
        <v>-465286.6</v>
      </c>
      <c r="DE266" s="163">
        <v>-710533.04</v>
      </c>
      <c r="DF266" s="163">
        <f>VLOOKUP($C266,'[3]BS ACC'!$C$5:$DH$1006,108,FALSE)</f>
        <v>-961241.48</v>
      </c>
      <c r="DG266" s="163">
        <f>VLOOKUP($C266,'[3]BS ACC'!$C$5:$DH$1006,109,FALSE)</f>
        <v>-1180682.94</v>
      </c>
      <c r="DH266" s="163">
        <f>VLOOKUP($C266,'[3]BS ACC'!$C$5:$DH$1006,110,FALSE)</f>
        <v>-1427394.46</v>
      </c>
    </row>
    <row r="267" spans="1:112">
      <c r="A267" s="350" t="str">
        <f t="shared" si="3"/>
        <v>2360603</v>
      </c>
      <c r="B267" s="350" t="s">
        <v>922</v>
      </c>
      <c r="C267" s="335" t="s">
        <v>785</v>
      </c>
      <c r="D267" s="340">
        <v>-1117813.5900000001</v>
      </c>
      <c r="E267" s="340">
        <v>-1458285.71</v>
      </c>
      <c r="F267" s="340">
        <v>-1414425.21</v>
      </c>
      <c r="G267" s="340">
        <v>-1280176.4099999999</v>
      </c>
      <c r="H267" s="340">
        <v>-1136727.3</v>
      </c>
      <c r="I267" s="340">
        <v>-968603.23</v>
      </c>
      <c r="J267" s="340">
        <v>-872884.06</v>
      </c>
      <c r="K267" s="340">
        <v>-806695.85</v>
      </c>
      <c r="L267" s="340">
        <v>-819459.45</v>
      </c>
      <c r="M267" s="340">
        <v>-873094.94</v>
      </c>
      <c r="N267" s="340">
        <v>-901268.02</v>
      </c>
      <c r="O267" s="340">
        <v>-1015256.38</v>
      </c>
      <c r="P267" s="341">
        <v>-1290296.31</v>
      </c>
      <c r="Q267" s="163">
        <v>-1434957.27</v>
      </c>
      <c r="R267" s="163">
        <v>-1478817.46</v>
      </c>
      <c r="S267" s="163">
        <v>-1448485.15</v>
      </c>
      <c r="T267" s="163">
        <v>-1141927.06</v>
      </c>
      <c r="U267" s="163">
        <v>-933099.24</v>
      </c>
      <c r="V267" s="163">
        <v>-948532.98</v>
      </c>
      <c r="W267" s="163">
        <v>-924040.72</v>
      </c>
      <c r="X267" s="163">
        <v>-947995.45</v>
      </c>
      <c r="Y267" s="163">
        <v>-904825.98</v>
      </c>
      <c r="Z267" s="163">
        <v>-945821.14</v>
      </c>
      <c r="AA267" s="163">
        <v>-1029383.21</v>
      </c>
      <c r="AB267" s="163">
        <v>-1200091.6599999999</v>
      </c>
      <c r="AC267" s="163">
        <v>-1491372.24</v>
      </c>
      <c r="AD267" s="163">
        <v>-1608653.05</v>
      </c>
      <c r="AE267" s="163">
        <v>-1422325.79</v>
      </c>
      <c r="AF267" s="163">
        <v>-1121634.52</v>
      </c>
      <c r="AG267" s="163">
        <v>-1106026.03</v>
      </c>
      <c r="AH267" s="163">
        <v>-962399.51</v>
      </c>
      <c r="AI267" s="163">
        <v>-927160.99</v>
      </c>
      <c r="AJ267" s="163">
        <v>-816814.25</v>
      </c>
      <c r="AK267" s="163">
        <v>-910367.11</v>
      </c>
      <c r="AL267" s="163">
        <v>-892185.01</v>
      </c>
      <c r="AM267" s="163">
        <v>-1051513.43</v>
      </c>
      <c r="AN267" s="163">
        <v>-1247836.74</v>
      </c>
      <c r="AO267" s="163">
        <v>-1421653.55</v>
      </c>
      <c r="AP267" s="163">
        <v>-1324602.05</v>
      </c>
      <c r="AQ267" s="163">
        <v>-1298064.1200000001</v>
      </c>
      <c r="AR267" s="163">
        <v>-1249194.8400000001</v>
      </c>
      <c r="AS267" s="163">
        <v>-1077161.9099999999</v>
      </c>
      <c r="AT267" s="163">
        <v>-949099.08</v>
      </c>
      <c r="AU267" s="163">
        <v>-776245.84</v>
      </c>
      <c r="AV267" s="163">
        <v>-875004.59</v>
      </c>
      <c r="AW267" s="163">
        <v>-875395.73</v>
      </c>
      <c r="AX267" s="163">
        <v>-936251.45</v>
      </c>
      <c r="AY267" s="163">
        <v>-1049937.8400000001</v>
      </c>
      <c r="AZ267" s="163">
        <v>-1278413.8400000001</v>
      </c>
      <c r="BA267" s="163">
        <v>-1748087.86</v>
      </c>
      <c r="BB267" s="163">
        <v>-1508987.86</v>
      </c>
      <c r="BC267" s="163">
        <v>-1277608.48</v>
      </c>
      <c r="BD267" s="163">
        <v>-1337389.19</v>
      </c>
      <c r="BE267" s="163">
        <v>-1076048.68</v>
      </c>
      <c r="BF267" s="163">
        <v>-1033662.19</v>
      </c>
      <c r="BG267" s="163">
        <v>-894234.75</v>
      </c>
      <c r="BH267" s="163">
        <v>-837829.54</v>
      </c>
      <c r="BI267" s="163">
        <v>-986490.61</v>
      </c>
      <c r="BJ267" s="163">
        <v>-891540.29</v>
      </c>
      <c r="BK267" s="163">
        <v>-1009116.81</v>
      </c>
      <c r="BL267" s="163">
        <v>-1392204.59</v>
      </c>
      <c r="BM267" s="163">
        <v>-1655787.55</v>
      </c>
      <c r="BN267" s="163">
        <v>-1640421.41</v>
      </c>
      <c r="BO267" s="163">
        <v>-1424624.07</v>
      </c>
      <c r="BP267" s="163">
        <v>-1125549.97</v>
      </c>
      <c r="BQ267" s="163">
        <v>-1177922.3799999999</v>
      </c>
      <c r="BR267" s="163">
        <v>-1016378.54</v>
      </c>
      <c r="BS267" s="163">
        <v>-984361.68</v>
      </c>
      <c r="BT267" s="163">
        <v>-932359.53</v>
      </c>
      <c r="BU267" s="163">
        <v>-949375.97</v>
      </c>
      <c r="BV267" s="163">
        <v>-936155.2</v>
      </c>
      <c r="BW267" s="163">
        <v>-1112587.07</v>
      </c>
      <c r="BX267" s="163">
        <v>-1504303.85</v>
      </c>
      <c r="BY267" s="163">
        <v>-1618178.97</v>
      </c>
      <c r="BZ267" s="163">
        <v>-1572436.88</v>
      </c>
      <c r="CA267" s="163">
        <v>-1352878.21</v>
      </c>
      <c r="CB267" s="163">
        <v>-1062025.6200000001</v>
      </c>
      <c r="CC267" s="163">
        <v>-953525.89</v>
      </c>
      <c r="CD267" s="163">
        <v>-967309.63</v>
      </c>
      <c r="CE267" s="163">
        <v>-851851.75</v>
      </c>
      <c r="CF267" s="163">
        <v>-911904.78</v>
      </c>
      <c r="CG267" s="163">
        <v>-870947.67</v>
      </c>
      <c r="CH267" s="163">
        <v>-954992.39</v>
      </c>
      <c r="CI267" s="163">
        <v>-1095394.1499999999</v>
      </c>
      <c r="CJ267" s="163">
        <v>-1396326.38</v>
      </c>
      <c r="CK267" s="163">
        <v>-1837558.54</v>
      </c>
      <c r="CL267" s="163">
        <v>-1655338.08</v>
      </c>
      <c r="CM267" s="163">
        <v>-1457150.65</v>
      </c>
      <c r="CN267" s="163">
        <v>-1426996.58</v>
      </c>
      <c r="CO267" s="163">
        <v>-1201056.29</v>
      </c>
      <c r="CP267" s="163">
        <v>-1108542.6499999999</v>
      </c>
      <c r="CQ267" s="163">
        <v>-1134501.22</v>
      </c>
      <c r="CR267" s="163">
        <v>-1011208.09</v>
      </c>
      <c r="CS267" s="163">
        <v>-1071922.69</v>
      </c>
      <c r="CT267" s="163">
        <v>-1072270.76</v>
      </c>
      <c r="CU267" s="163">
        <v>-1236232.4099999999</v>
      </c>
      <c r="CV267" s="163">
        <v>-1610219.3</v>
      </c>
      <c r="CW267" s="163">
        <v>-1747412.92</v>
      </c>
      <c r="CX267" s="163">
        <v>-1727920.15</v>
      </c>
      <c r="CY267" s="163">
        <v>-1638802.23</v>
      </c>
      <c r="CZ267" s="163">
        <v>-1466977.23</v>
      </c>
      <c r="DA267" s="163">
        <v>-1329404.5900000001</v>
      </c>
      <c r="DB267" s="163">
        <v>-1171609.3500000001</v>
      </c>
      <c r="DC267" s="163">
        <v>-1070368.31</v>
      </c>
      <c r="DD267" s="163">
        <v>-1017536.8</v>
      </c>
      <c r="DE267" s="163">
        <v>-1080019.73</v>
      </c>
      <c r="DF267" s="163">
        <f>VLOOKUP($C267,'[3]BS ACC'!$C$5:$DH$1006,108,FALSE)</f>
        <v>-1183729.3700000001</v>
      </c>
      <c r="DG267" s="163">
        <f>VLOOKUP($C267,'[3]BS ACC'!$C$5:$DH$1006,109,FALSE)</f>
        <v>-1255346.49</v>
      </c>
      <c r="DH267" s="163">
        <f>VLOOKUP($C267,'[3]BS ACC'!$C$5:$DH$1006,110,FALSE)</f>
        <v>-1563688.22</v>
      </c>
    </row>
    <row r="268" spans="1:112">
      <c r="A268" s="350" t="str">
        <f t="shared" si="3"/>
        <v>2360604</v>
      </c>
      <c r="B268" s="350" t="s">
        <v>923</v>
      </c>
      <c r="C268" s="335" t="s">
        <v>786</v>
      </c>
      <c r="D268" s="340">
        <v>0</v>
      </c>
      <c r="E268" s="340">
        <v>-809000</v>
      </c>
      <c r="F268" s="340">
        <v>-1618000</v>
      </c>
      <c r="G268" s="340">
        <v>-2427000</v>
      </c>
      <c r="H268" s="340">
        <v>-3236000</v>
      </c>
      <c r="I268" s="340">
        <v>-4045000</v>
      </c>
      <c r="J268" s="340">
        <v>-4854000</v>
      </c>
      <c r="K268" s="340">
        <v>-5663000</v>
      </c>
      <c r="L268" s="340">
        <v>-6134000</v>
      </c>
      <c r="M268" s="340">
        <v>-6900977</v>
      </c>
      <c r="N268" s="340">
        <v>-7667954</v>
      </c>
      <c r="O268" s="340">
        <v>798830.29</v>
      </c>
      <c r="P268" s="341">
        <v>0</v>
      </c>
      <c r="Q268" s="163">
        <v>-814808.95</v>
      </c>
      <c r="R268" s="163">
        <v>-1633808.95</v>
      </c>
      <c r="S268" s="163">
        <v>-2452808.9500000002</v>
      </c>
      <c r="T268" s="163">
        <v>-3271808.95</v>
      </c>
      <c r="U268" s="163">
        <v>-4090808.95</v>
      </c>
      <c r="V268" s="163">
        <v>-4909808.95</v>
      </c>
      <c r="W268" s="163">
        <v>-5728808.9500000002</v>
      </c>
      <c r="X268" s="163">
        <v>-6195809.2999999998</v>
      </c>
      <c r="Y268" s="163">
        <v>-6970809.2999999998</v>
      </c>
      <c r="Z268" s="163">
        <v>-7745809.2999999998</v>
      </c>
      <c r="AA268" s="163">
        <v>718761.98</v>
      </c>
      <c r="AB268" s="163">
        <v>0</v>
      </c>
      <c r="AC268" s="163">
        <v>-809000</v>
      </c>
      <c r="AD268" s="163">
        <v>-1618000</v>
      </c>
      <c r="AE268" s="163">
        <v>-2427000</v>
      </c>
      <c r="AF268" s="163">
        <v>-3236000</v>
      </c>
      <c r="AG268" s="163">
        <v>-4045000</v>
      </c>
      <c r="AH268" s="163">
        <v>-4854000</v>
      </c>
      <c r="AI268" s="163">
        <v>-5663000</v>
      </c>
      <c r="AJ268" s="163">
        <v>-6472000</v>
      </c>
      <c r="AK268" s="163">
        <v>-7281000</v>
      </c>
      <c r="AL268" s="163">
        <v>-8090000</v>
      </c>
      <c r="AM268" s="163">
        <v>771779.1</v>
      </c>
      <c r="AN268" s="163">
        <v>0</v>
      </c>
      <c r="AO268" s="163">
        <v>0</v>
      </c>
      <c r="AP268" s="163">
        <v>-1752000</v>
      </c>
      <c r="AQ268" s="163">
        <v>-2628000</v>
      </c>
      <c r="AR268" s="163">
        <v>-3502911.53</v>
      </c>
      <c r="AS268" s="163">
        <v>-4128911.53</v>
      </c>
      <c r="AT268" s="163">
        <v>-4954911.53</v>
      </c>
      <c r="AU268" s="163">
        <v>-5780911.5300000003</v>
      </c>
      <c r="AV268" s="163">
        <v>-6465577.9299999997</v>
      </c>
      <c r="AW268" s="163">
        <v>-7273911.2300000004</v>
      </c>
      <c r="AX268" s="163">
        <v>-8082244.5300000003</v>
      </c>
      <c r="AY268" s="163">
        <v>781613.01</v>
      </c>
      <c r="AZ268" s="163">
        <v>0</v>
      </c>
      <c r="BA268" s="163">
        <v>-943820</v>
      </c>
      <c r="BB268" s="163">
        <v>-1887640</v>
      </c>
      <c r="BC268" s="163">
        <v>-2831460</v>
      </c>
      <c r="BD268" s="163">
        <v>-3775280</v>
      </c>
      <c r="BE268" s="163">
        <v>-4719100</v>
      </c>
      <c r="BF268" s="163">
        <v>-5662920</v>
      </c>
      <c r="BG268" s="163">
        <v>-6606740</v>
      </c>
      <c r="BH268" s="163">
        <v>-7550560</v>
      </c>
      <c r="BI268" s="163">
        <v>-8494380</v>
      </c>
      <c r="BJ268" s="163">
        <v>-9438200</v>
      </c>
      <c r="BK268" s="163">
        <v>896399.7</v>
      </c>
      <c r="BL268" s="163">
        <v>0</v>
      </c>
      <c r="BM268" s="163">
        <v>-1063964</v>
      </c>
      <c r="BN268" s="163">
        <v>-2127928</v>
      </c>
      <c r="BO268" s="163">
        <v>-3191892</v>
      </c>
      <c r="BP268" s="163">
        <v>-4255856</v>
      </c>
      <c r="BQ268" s="163">
        <v>-5319691.38</v>
      </c>
      <c r="BR268" s="163">
        <v>-6383655.3799999999</v>
      </c>
      <c r="BS268" s="163">
        <v>-7447619.3799999999</v>
      </c>
      <c r="BT268" s="163">
        <v>-7999871.3799999999</v>
      </c>
      <c r="BU268" s="163">
        <v>-8999871.3800000008</v>
      </c>
      <c r="BV268" s="163">
        <v>-9999871.3800000008</v>
      </c>
      <c r="BW268" s="163">
        <v>908137.66</v>
      </c>
      <c r="BX268" s="163">
        <v>0</v>
      </c>
      <c r="BY268" s="163">
        <v>-1159498</v>
      </c>
      <c r="BZ268" s="163">
        <v>-2318996</v>
      </c>
      <c r="CA268" s="163">
        <v>-3478494</v>
      </c>
      <c r="CB268" s="163">
        <v>-4637992</v>
      </c>
      <c r="CC268" s="163">
        <v>-5797490</v>
      </c>
      <c r="CD268" s="163">
        <v>-6956988</v>
      </c>
      <c r="CE268" s="163">
        <v>-8116486</v>
      </c>
      <c r="CF268" s="163">
        <v>-9275984</v>
      </c>
      <c r="CG268" s="163">
        <v>-10435482</v>
      </c>
      <c r="CH268" s="163">
        <v>-11594980</v>
      </c>
      <c r="CI268" s="163">
        <v>662910.98</v>
      </c>
      <c r="CJ268" s="163">
        <v>0</v>
      </c>
      <c r="CK268" s="163">
        <v>-1232571.23</v>
      </c>
      <c r="CL268" s="163">
        <v>-2465142.46</v>
      </c>
      <c r="CM268" s="163">
        <v>-3697713.69</v>
      </c>
      <c r="CN268" s="163">
        <v>-4930284.92</v>
      </c>
      <c r="CO268" s="163">
        <v>-6162856.1500000004</v>
      </c>
      <c r="CP268" s="163">
        <v>-7395427.3799999999</v>
      </c>
      <c r="CQ268" s="163">
        <v>-8627998.6099999994</v>
      </c>
      <c r="CR268" s="163">
        <v>-9860569.8399999999</v>
      </c>
      <c r="CS268" s="163">
        <v>-10425000.57</v>
      </c>
      <c r="CT268" s="163">
        <v>-11583333.970000001</v>
      </c>
      <c r="CU268" s="163">
        <v>1029673.84</v>
      </c>
      <c r="CV268" s="163">
        <v>0</v>
      </c>
      <c r="CW268" s="163">
        <v>-1468499.19</v>
      </c>
      <c r="CX268" s="163">
        <v>-2936998.38</v>
      </c>
      <c r="CY268" s="163">
        <v>-4405497.57</v>
      </c>
      <c r="CZ268" s="163">
        <v>-5989598.5599999996</v>
      </c>
      <c r="DA268" s="163">
        <v>-7515898.6500000004</v>
      </c>
      <c r="DB268" s="163">
        <v>-9042198.7400000002</v>
      </c>
      <c r="DC268" s="163">
        <v>-10568498.83</v>
      </c>
      <c r="DD268" s="163">
        <v>-12094798.92</v>
      </c>
      <c r="DE268" s="163">
        <v>-12937500</v>
      </c>
      <c r="DF268" s="163">
        <f>VLOOKUP($C268,'[3]BS ACC'!$C$5:$DH$1006,108,FALSE)</f>
        <v>-14375000</v>
      </c>
      <c r="DG268" s="163">
        <f>VLOOKUP($C268,'[3]BS ACC'!$C$5:$DH$1006,109,FALSE)</f>
        <v>1405402.11</v>
      </c>
      <c r="DH268" s="163">
        <f>VLOOKUP($C268,'[3]BS ACC'!$C$5:$DH$1006,110,FALSE)</f>
        <v>0</v>
      </c>
    </row>
    <row r="269" spans="1:112">
      <c r="A269" s="350" t="str">
        <f t="shared" si="3"/>
        <v>2360605</v>
      </c>
      <c r="B269" s="350" t="s">
        <v>900</v>
      </c>
      <c r="C269" s="335" t="s">
        <v>787</v>
      </c>
      <c r="D269" s="340">
        <v>-863405.82</v>
      </c>
      <c r="E269" s="340">
        <v>-1141232.71</v>
      </c>
      <c r="F269" s="340">
        <v>-1119000.81</v>
      </c>
      <c r="G269" s="340">
        <v>-953106.13</v>
      </c>
      <c r="H269" s="340">
        <v>-847748.59</v>
      </c>
      <c r="I269" s="340">
        <v>-688160.65</v>
      </c>
      <c r="J269" s="340">
        <v>-790706.12</v>
      </c>
      <c r="K269" s="340">
        <v>-790589.82</v>
      </c>
      <c r="L269" s="340">
        <v>-754426.47</v>
      </c>
      <c r="M269" s="340">
        <v>-823177.74</v>
      </c>
      <c r="N269" s="340">
        <v>-847822.07</v>
      </c>
      <c r="O269" s="340">
        <v>-891960.35</v>
      </c>
      <c r="P269" s="341">
        <v>-971099.37</v>
      </c>
      <c r="Q269" s="163">
        <v>-1116242.81</v>
      </c>
      <c r="R269" s="163">
        <v>-1072360.3600000001</v>
      </c>
      <c r="S269" s="163">
        <v>-1054711.94</v>
      </c>
      <c r="T269" s="163">
        <v>-917726.06</v>
      </c>
      <c r="U269" s="163">
        <v>-815328.8</v>
      </c>
      <c r="V269" s="163">
        <v>-865597.62</v>
      </c>
      <c r="W269" s="163">
        <v>-798484.94</v>
      </c>
      <c r="X269" s="163">
        <v>-854282.69</v>
      </c>
      <c r="Y269" s="163">
        <v>-861806.45</v>
      </c>
      <c r="Z269" s="163">
        <v>-884223.84</v>
      </c>
      <c r="AA269" s="163">
        <v>-933510.2</v>
      </c>
      <c r="AB269" s="163">
        <v>-917625.04</v>
      </c>
      <c r="AC269" s="163">
        <v>-1107651.19</v>
      </c>
      <c r="AD269" s="163">
        <v>-1204912.68</v>
      </c>
      <c r="AE269" s="163">
        <v>-1119239.07</v>
      </c>
      <c r="AF269" s="163">
        <v>-1059898.01</v>
      </c>
      <c r="AG269" s="163">
        <v>-915365.05</v>
      </c>
      <c r="AH269" s="163">
        <v>-885400.56</v>
      </c>
      <c r="AI269" s="163">
        <v>-828806.12</v>
      </c>
      <c r="AJ269" s="163">
        <v>-822895.42</v>
      </c>
      <c r="AK269" s="163">
        <v>-844050.2</v>
      </c>
      <c r="AL269" s="163">
        <v>-861399.19</v>
      </c>
      <c r="AM269" s="163">
        <v>-922255.26</v>
      </c>
      <c r="AN269" s="163">
        <v>-924161.82</v>
      </c>
      <c r="AO269" s="163">
        <v>-1036502.86</v>
      </c>
      <c r="AP269" s="163">
        <v>-952681.4</v>
      </c>
      <c r="AQ269" s="163">
        <v>-951581.44</v>
      </c>
      <c r="AR269" s="163">
        <v>-956601.61</v>
      </c>
      <c r="AS269" s="163">
        <v>-883002.34</v>
      </c>
      <c r="AT269" s="163">
        <v>-865519.15</v>
      </c>
      <c r="AU269" s="163">
        <v>-812479.46</v>
      </c>
      <c r="AV269" s="163">
        <v>-813680.17</v>
      </c>
      <c r="AW269" s="163">
        <v>-846312.01</v>
      </c>
      <c r="AX269" s="163">
        <v>-899052.15</v>
      </c>
      <c r="AY269" s="163">
        <v>-966037.82</v>
      </c>
      <c r="AZ269" s="163">
        <v>-990699.91</v>
      </c>
      <c r="BA269" s="163">
        <v>-1322406.3400000001</v>
      </c>
      <c r="BB269" s="163">
        <v>-1171013.03</v>
      </c>
      <c r="BC269" s="163">
        <v>-1074085.18</v>
      </c>
      <c r="BD269" s="163">
        <v>-1094952.79</v>
      </c>
      <c r="BE269" s="163">
        <v>-1007736.16</v>
      </c>
      <c r="BF269" s="163">
        <v>-998171.22</v>
      </c>
      <c r="BG269" s="163">
        <v>-916004.53</v>
      </c>
      <c r="BH269" s="163">
        <v>-890431.4</v>
      </c>
      <c r="BI269" s="163">
        <v>-956837.97</v>
      </c>
      <c r="BJ269" s="163">
        <v>-920585.16</v>
      </c>
      <c r="BK269" s="163">
        <v>-972171.06</v>
      </c>
      <c r="BL269" s="163">
        <v>-1037067.09</v>
      </c>
      <c r="BM269" s="163">
        <v>-1193393.58</v>
      </c>
      <c r="BN269" s="163">
        <v>-1123088.26</v>
      </c>
      <c r="BO269" s="163">
        <v>-1080449.74</v>
      </c>
      <c r="BP269" s="163">
        <v>-1074333.8999999999</v>
      </c>
      <c r="BQ269" s="163">
        <v>-948753.76</v>
      </c>
      <c r="BR269" s="163">
        <v>-927669.83</v>
      </c>
      <c r="BS269" s="163">
        <v>-916050.83</v>
      </c>
      <c r="BT269" s="163">
        <v>-882173.48</v>
      </c>
      <c r="BU269" s="163">
        <v>-921605.63</v>
      </c>
      <c r="BV269" s="163">
        <v>-926152.96</v>
      </c>
      <c r="BW269" s="163">
        <v>-1006879.55</v>
      </c>
      <c r="BX269" s="163">
        <v>-1089358.7</v>
      </c>
      <c r="BY269" s="163">
        <v>-1221253.49</v>
      </c>
      <c r="BZ269" s="163">
        <v>-1135675.0900000001</v>
      </c>
      <c r="CA269" s="163">
        <v>-1103364.95</v>
      </c>
      <c r="CB269" s="163">
        <v>-991510.67</v>
      </c>
      <c r="CC269" s="163">
        <v>-885486.25</v>
      </c>
      <c r="CD269" s="163">
        <v>-827303.46</v>
      </c>
      <c r="CE269" s="163">
        <v>-866479.17</v>
      </c>
      <c r="CF269" s="163">
        <v>-859378.53</v>
      </c>
      <c r="CG269" s="163">
        <v>-864737.51</v>
      </c>
      <c r="CH269" s="163">
        <v>-913805.81</v>
      </c>
      <c r="CI269" s="163">
        <v>-1017784.1</v>
      </c>
      <c r="CJ269" s="163">
        <v>-1061936.3899999999</v>
      </c>
      <c r="CK269" s="163">
        <v>-1456853.71</v>
      </c>
      <c r="CL269" s="163">
        <v>-1338719.8999999999</v>
      </c>
      <c r="CM269" s="163">
        <v>-1291178.05</v>
      </c>
      <c r="CN269" s="163">
        <v>-1328748.96</v>
      </c>
      <c r="CO269" s="163">
        <v>-1201455.51</v>
      </c>
      <c r="CP269" s="163">
        <v>-1169257.92</v>
      </c>
      <c r="CQ269" s="163">
        <v>-1157377.58</v>
      </c>
      <c r="CR269" s="163">
        <v>-1084493.3500000001</v>
      </c>
      <c r="CS269" s="163">
        <v>-1163226.6599999999</v>
      </c>
      <c r="CT269" s="163">
        <v>-1140305.6299999999</v>
      </c>
      <c r="CU269" s="163">
        <v>-1259102.8799999999</v>
      </c>
      <c r="CV269" s="163">
        <v>-1373429.83</v>
      </c>
      <c r="CW269" s="163">
        <v>-1579419.25</v>
      </c>
      <c r="CX269" s="163">
        <v>-1611358.57</v>
      </c>
      <c r="CY269" s="163">
        <v>-1495664.07</v>
      </c>
      <c r="CZ269" s="163">
        <v>-1419531.95</v>
      </c>
      <c r="DA269" s="163">
        <v>-1347793.71</v>
      </c>
      <c r="DB269" s="163">
        <v>-1278925.32</v>
      </c>
      <c r="DC269" s="163">
        <v>-1152918.8</v>
      </c>
      <c r="DD269" s="163">
        <v>-1295705.42</v>
      </c>
      <c r="DE269" s="163">
        <v>-1361739.02</v>
      </c>
      <c r="DF269" s="163">
        <f>VLOOKUP($C269,'[3]BS ACC'!$C$5:$DH$1006,108,FALSE)</f>
        <v>-1454842.18</v>
      </c>
      <c r="DG269" s="163">
        <f>VLOOKUP($C269,'[3]BS ACC'!$C$5:$DH$1006,109,FALSE)</f>
        <v>-1199953.95</v>
      </c>
      <c r="DH269" s="163">
        <f>VLOOKUP($C269,'[3]BS ACC'!$C$5:$DH$1006,110,FALSE)</f>
        <v>-1346776.29</v>
      </c>
    </row>
    <row r="270" spans="1:112">
      <c r="A270" s="350" t="str">
        <f t="shared" si="3"/>
        <v>2360606</v>
      </c>
      <c r="B270" s="350" t="s">
        <v>924</v>
      </c>
      <c r="C270" s="335" t="s">
        <v>788</v>
      </c>
      <c r="D270" s="340">
        <v>2555.48</v>
      </c>
      <c r="E270" s="340">
        <v>3293.89</v>
      </c>
      <c r="F270" s="340">
        <v>3094.48</v>
      </c>
      <c r="G270" s="340">
        <v>2956.22</v>
      </c>
      <c r="H270" s="340">
        <v>3110.33</v>
      </c>
      <c r="I270" s="340">
        <v>2458.3200000000002</v>
      </c>
      <c r="J270" s="340">
        <v>1485.64</v>
      </c>
      <c r="K270" s="340">
        <v>3485</v>
      </c>
      <c r="L270" s="340">
        <v>3415.33</v>
      </c>
      <c r="M270" s="340">
        <v>3351.07</v>
      </c>
      <c r="N270" s="340">
        <v>3459.08</v>
      </c>
      <c r="O270" s="340">
        <v>3401.84</v>
      </c>
      <c r="P270" s="341">
        <v>3345.67</v>
      </c>
      <c r="Q270" s="163">
        <v>3496.74</v>
      </c>
      <c r="R270" s="163">
        <v>3458.26</v>
      </c>
      <c r="S270" s="163">
        <v>3381.1</v>
      </c>
      <c r="T270" s="163">
        <v>3503.6</v>
      </c>
      <c r="U270" s="163">
        <v>3420.5</v>
      </c>
      <c r="V270" s="163">
        <v>3331.7</v>
      </c>
      <c r="W270" s="163">
        <v>3458.93</v>
      </c>
      <c r="X270" s="163">
        <v>3395.57</v>
      </c>
      <c r="Y270" s="163">
        <v>3311.34</v>
      </c>
      <c r="Z270" s="163">
        <v>3467.66</v>
      </c>
      <c r="AA270" s="163">
        <v>3358.92</v>
      </c>
      <c r="AB270" s="163">
        <v>3271.45</v>
      </c>
      <c r="AC270" s="163">
        <v>3394.16</v>
      </c>
      <c r="AD270" s="163">
        <v>3194.34</v>
      </c>
      <c r="AE270" s="163">
        <v>3096.19</v>
      </c>
      <c r="AF270" s="163">
        <v>3395.64</v>
      </c>
      <c r="AG270" s="163">
        <v>3291.34</v>
      </c>
      <c r="AH270" s="163">
        <v>3201.18</v>
      </c>
      <c r="AI270" s="163">
        <v>3403.14</v>
      </c>
      <c r="AJ270" s="163">
        <v>3265.73</v>
      </c>
      <c r="AK270" s="163">
        <v>3149.92</v>
      </c>
      <c r="AL270" s="163">
        <v>3423.75</v>
      </c>
      <c r="AM270" s="163">
        <v>3339.95</v>
      </c>
      <c r="AN270" s="163">
        <v>3232.29</v>
      </c>
      <c r="AO270" s="163">
        <v>3437.19</v>
      </c>
      <c r="AP270" s="163">
        <v>3312.25</v>
      </c>
      <c r="AQ270" s="163">
        <v>3236.75</v>
      </c>
      <c r="AR270" s="163">
        <v>3456.7</v>
      </c>
      <c r="AS270" s="163">
        <v>3380.38</v>
      </c>
      <c r="AT270" s="163">
        <v>3325.61</v>
      </c>
      <c r="AU270" s="163">
        <v>3541.79</v>
      </c>
      <c r="AV270" s="163">
        <v>3468.27</v>
      </c>
      <c r="AW270" s="163">
        <v>3381.78</v>
      </c>
      <c r="AX270" s="163">
        <v>3356.23</v>
      </c>
      <c r="AY270" s="163">
        <v>3308.86</v>
      </c>
      <c r="AZ270" s="163">
        <v>3249.31</v>
      </c>
      <c r="BA270" s="163">
        <v>3478.87</v>
      </c>
      <c r="BB270" s="163">
        <v>3410.01</v>
      </c>
      <c r="BC270" s="163">
        <v>3364.9</v>
      </c>
      <c r="BD270" s="163">
        <v>3495.75</v>
      </c>
      <c r="BE270" s="163">
        <v>3433.11</v>
      </c>
      <c r="BF270" s="163">
        <v>3378.37</v>
      </c>
      <c r="BG270" s="163">
        <v>3481.27</v>
      </c>
      <c r="BH270" s="163">
        <v>3440.57</v>
      </c>
      <c r="BI270" s="163">
        <v>3381.08</v>
      </c>
      <c r="BJ270" s="163">
        <v>3526.05</v>
      </c>
      <c r="BK270" s="163">
        <v>3490.88</v>
      </c>
      <c r="BL270" s="163">
        <v>3434.88</v>
      </c>
      <c r="BM270" s="163">
        <v>3518.63</v>
      </c>
      <c r="BN270" s="163">
        <v>3493.13</v>
      </c>
      <c r="BO270" s="163">
        <v>3459.43</v>
      </c>
      <c r="BP270" s="163">
        <v>3529.38</v>
      </c>
      <c r="BQ270" s="163">
        <v>3516.78</v>
      </c>
      <c r="BR270" s="163">
        <v>3510.51</v>
      </c>
      <c r="BS270" s="163">
        <v>3528.3</v>
      </c>
      <c r="BT270" s="163">
        <v>3511.38</v>
      </c>
      <c r="BU270" s="163">
        <v>3509.9</v>
      </c>
      <c r="BV270" s="163">
        <v>3521.06</v>
      </c>
      <c r="BW270" s="163">
        <v>3512.48</v>
      </c>
      <c r="BX270" s="163">
        <v>3492.77</v>
      </c>
      <c r="BY270" s="163">
        <v>3525.62</v>
      </c>
      <c r="BZ270" s="163">
        <v>3513.77</v>
      </c>
      <c r="CA270" s="163">
        <v>3503.4</v>
      </c>
      <c r="CB270" s="163">
        <v>3518.09</v>
      </c>
      <c r="CC270" s="163">
        <v>3514.83</v>
      </c>
      <c r="CD270" s="163">
        <v>3464.48</v>
      </c>
      <c r="CE270" s="163">
        <v>3506.25</v>
      </c>
      <c r="CF270" s="163">
        <v>3504.1</v>
      </c>
      <c r="CG270" s="163">
        <v>3502.62</v>
      </c>
      <c r="CH270" s="163">
        <v>3538.5</v>
      </c>
      <c r="CI270" s="163">
        <v>3538.5</v>
      </c>
      <c r="CJ270" s="163">
        <v>3511.29</v>
      </c>
      <c r="CK270" s="163">
        <v>3528.46</v>
      </c>
      <c r="CL270" s="163">
        <v>3526.82</v>
      </c>
      <c r="CM270" s="163">
        <v>3519.42</v>
      </c>
      <c r="CN270" s="163">
        <v>3542.96</v>
      </c>
      <c r="CO270" s="163">
        <v>3534.07</v>
      </c>
      <c r="CP270" s="163">
        <v>3527.29</v>
      </c>
      <c r="CQ270" s="163">
        <v>3535.87</v>
      </c>
      <c r="CR270" s="163">
        <v>3523.21</v>
      </c>
      <c r="CS270" s="163">
        <v>3517.9</v>
      </c>
      <c r="CT270" s="163">
        <v>3539.44</v>
      </c>
      <c r="CU270" s="163">
        <v>4275.97</v>
      </c>
      <c r="CV270" s="163">
        <v>4275.97</v>
      </c>
      <c r="CW270" s="163">
        <v>4267.51</v>
      </c>
      <c r="CX270" s="163">
        <v>4263.97</v>
      </c>
      <c r="CY270" s="163">
        <v>4259.53</v>
      </c>
      <c r="CZ270" s="163">
        <v>4281.72</v>
      </c>
      <c r="DA270" s="163">
        <v>4281.72</v>
      </c>
      <c r="DB270" s="163">
        <v>4277.28</v>
      </c>
      <c r="DC270" s="163">
        <v>4286.46</v>
      </c>
      <c r="DD270" s="163">
        <v>4284.9799999999996</v>
      </c>
      <c r="DE270" s="163">
        <v>4261.8100000000004</v>
      </c>
      <c r="DF270" s="163">
        <f>VLOOKUP($C270,'[3]BS ACC'!$C$5:$DH$1006,108,FALSE)</f>
        <v>4286.46</v>
      </c>
      <c r="DG270" s="163">
        <f>VLOOKUP($C270,'[3]BS ACC'!$C$5:$DH$1006,109,FALSE)</f>
        <v>4275.22</v>
      </c>
      <c r="DH270" s="163">
        <f>VLOOKUP($C270,'[3]BS ACC'!$C$5:$DH$1006,110,FALSE)</f>
        <v>4267.54</v>
      </c>
    </row>
    <row r="271" spans="1:112">
      <c r="A271" s="350" t="str">
        <f t="shared" si="3"/>
        <v>2360620</v>
      </c>
      <c r="B271" s="350" t="s">
        <v>925</v>
      </c>
      <c r="C271" s="335" t="s">
        <v>789</v>
      </c>
      <c r="D271" s="340">
        <v>0</v>
      </c>
      <c r="E271" s="340">
        <v>-239642.44</v>
      </c>
      <c r="F271" s="340">
        <v>0</v>
      </c>
      <c r="G271" s="340">
        <v>0</v>
      </c>
      <c r="H271" s="340">
        <v>0</v>
      </c>
      <c r="I271" s="340">
        <v>0</v>
      </c>
      <c r="J271" s="340">
        <v>0</v>
      </c>
      <c r="K271" s="340">
        <v>0</v>
      </c>
      <c r="L271" s="340">
        <v>0</v>
      </c>
      <c r="M271" s="340">
        <v>0</v>
      </c>
      <c r="N271" s="340">
        <v>0</v>
      </c>
      <c r="O271" s="340">
        <v>0</v>
      </c>
      <c r="P271" s="341">
        <v>-90000</v>
      </c>
      <c r="Q271" s="163">
        <v>-90000</v>
      </c>
      <c r="R271" s="163">
        <v>0</v>
      </c>
      <c r="S271" s="163">
        <v>-53000</v>
      </c>
      <c r="T271" s="163">
        <v>-161748.47</v>
      </c>
      <c r="U271" s="163">
        <v>-147341.09</v>
      </c>
      <c r="V271" s="163">
        <v>-66000</v>
      </c>
      <c r="W271" s="163">
        <v>-58000</v>
      </c>
      <c r="X271" s="163">
        <v>-60000</v>
      </c>
      <c r="Y271" s="163">
        <v>-44000</v>
      </c>
      <c r="Z271" s="163">
        <v>-42000</v>
      </c>
      <c r="AA271" s="163">
        <v>-68000</v>
      </c>
      <c r="AB271" s="163">
        <v>-146973</v>
      </c>
      <c r="AC271" s="163">
        <v>-158815</v>
      </c>
      <c r="AD271" s="163">
        <v>-23684</v>
      </c>
      <c r="AE271" s="163">
        <v>-35526</v>
      </c>
      <c r="AF271" s="163">
        <v>-47368</v>
      </c>
      <c r="AG271" s="163">
        <v>-59210</v>
      </c>
      <c r="AH271" s="163">
        <v>-71052</v>
      </c>
      <c r="AI271" s="163">
        <v>-97894</v>
      </c>
      <c r="AJ271" s="163">
        <v>-156736</v>
      </c>
      <c r="AK271" s="163">
        <v>-185578</v>
      </c>
      <c r="AL271" s="163">
        <v>-195420</v>
      </c>
      <c r="AM271" s="163">
        <v>-164265.44</v>
      </c>
      <c r="AN271" s="163">
        <v>-190234</v>
      </c>
      <c r="AO271" s="163">
        <v>-203213.17</v>
      </c>
      <c r="AP271" s="163">
        <v>-25958.34</v>
      </c>
      <c r="AQ271" s="163">
        <v>-46872.51</v>
      </c>
      <c r="AR271" s="163">
        <v>-59851.68</v>
      </c>
      <c r="AS271" s="163">
        <v>-64895.85</v>
      </c>
      <c r="AT271" s="163">
        <v>-83125.02</v>
      </c>
      <c r="AU271" s="163">
        <v>-96979.19</v>
      </c>
      <c r="AV271" s="163">
        <v>-220529.76</v>
      </c>
      <c r="AW271" s="163">
        <v>-124687.53</v>
      </c>
      <c r="AX271" s="163">
        <v>-120544.86</v>
      </c>
      <c r="AY271" s="163">
        <v>-132599.35</v>
      </c>
      <c r="AZ271" s="163">
        <v>-160403.84</v>
      </c>
      <c r="BA271" s="163">
        <v>-176841.76</v>
      </c>
      <c r="BB271" s="163">
        <v>-32875.839999999997</v>
      </c>
      <c r="BC271" s="163">
        <v>-48787.86</v>
      </c>
      <c r="BD271" s="163">
        <v>-65225.78</v>
      </c>
      <c r="BE271" s="163">
        <v>-82099.600000000006</v>
      </c>
      <c r="BF271" s="163">
        <v>-98537.52</v>
      </c>
      <c r="BG271" s="163">
        <v>-123552.39</v>
      </c>
      <c r="BH271" s="163">
        <v>-171815.58</v>
      </c>
      <c r="BI271" s="163">
        <v>-194234.84</v>
      </c>
      <c r="BJ271" s="163">
        <v>-215826.49</v>
      </c>
      <c r="BK271" s="163">
        <v>-237418.14</v>
      </c>
      <c r="BL271" s="163">
        <v>-353473.07</v>
      </c>
      <c r="BM271" s="163">
        <v>-413011.53</v>
      </c>
      <c r="BN271" s="163">
        <v>-163830.94</v>
      </c>
      <c r="BO271" s="163">
        <v>-68040.27</v>
      </c>
      <c r="BP271" s="163">
        <v>-90720.36</v>
      </c>
      <c r="BQ271" s="163">
        <v>-113400.45</v>
      </c>
      <c r="BR271" s="163">
        <v>-136080.54</v>
      </c>
      <c r="BS271" s="163">
        <v>-158760.63</v>
      </c>
      <c r="BT271" s="163">
        <v>-181440.72</v>
      </c>
      <c r="BU271" s="163">
        <v>-213077.3</v>
      </c>
      <c r="BV271" s="163">
        <v>-236752.55</v>
      </c>
      <c r="BW271" s="163">
        <v>-312927.8</v>
      </c>
      <c r="BX271" s="163">
        <v>-452793.17</v>
      </c>
      <c r="BY271" s="163">
        <v>-369352.88</v>
      </c>
      <c r="BZ271" s="163">
        <v>-44084.3</v>
      </c>
      <c r="CA271" s="163">
        <v>-59022.239999999998</v>
      </c>
      <c r="CB271" s="163">
        <v>-84196.479999999996</v>
      </c>
      <c r="CC271" s="163">
        <v>-311658.09000000003</v>
      </c>
      <c r="CD271" s="163">
        <v>-525235.67000000004</v>
      </c>
      <c r="CE271" s="163">
        <v>-844932.7</v>
      </c>
      <c r="CF271" s="163">
        <v>-1063171.25</v>
      </c>
      <c r="CG271" s="163">
        <v>-1128352.6599999999</v>
      </c>
      <c r="CH271" s="163">
        <v>-1344463.25</v>
      </c>
      <c r="CI271" s="163">
        <v>-1567155.92</v>
      </c>
      <c r="CJ271" s="163">
        <v>-1868718.24</v>
      </c>
      <c r="CK271" s="163">
        <v>-1867428.58</v>
      </c>
      <c r="CL271" s="163">
        <v>-1893667.24</v>
      </c>
      <c r="CM271" s="163">
        <v>-1518152.98</v>
      </c>
      <c r="CN271" s="163">
        <v>-1534768.6</v>
      </c>
      <c r="CO271" s="163">
        <v>-1559246.14</v>
      </c>
      <c r="CP271" s="163">
        <v>-1598044.07</v>
      </c>
      <c r="CQ271" s="163">
        <v>-1621876.98</v>
      </c>
      <c r="CR271" s="163">
        <v>-1646162.58</v>
      </c>
      <c r="CS271" s="163">
        <v>-1641037.85</v>
      </c>
      <c r="CT271" s="163">
        <v>-1812463.43</v>
      </c>
      <c r="CU271" s="163">
        <v>-1920153.8</v>
      </c>
      <c r="CV271" s="163">
        <v>-1335022.32</v>
      </c>
      <c r="CW271" s="163">
        <v>-1370218.37</v>
      </c>
      <c r="CX271" s="163">
        <v>-1404520.66</v>
      </c>
      <c r="CY271" s="163">
        <v>-1004342.15</v>
      </c>
      <c r="CZ271" s="163">
        <v>-1042092.5</v>
      </c>
      <c r="DA271" s="163">
        <v>-1073921.8600000001</v>
      </c>
      <c r="DB271" s="163">
        <v>-1271829.51</v>
      </c>
      <c r="DC271" s="163">
        <v>-1299079.74</v>
      </c>
      <c r="DD271" s="163">
        <v>-1179894.9099999999</v>
      </c>
      <c r="DE271" s="163">
        <v>-1215983.1499999999</v>
      </c>
      <c r="DF271" s="163">
        <f>VLOOKUP($C271,'[3]BS ACC'!$C$5:$DH$1006,108,FALSE)</f>
        <v>-1252496.96</v>
      </c>
      <c r="DG271" s="163">
        <f>VLOOKUP($C271,'[3]BS ACC'!$C$5:$DH$1006,109,FALSE)</f>
        <v>-1334303.6000000001</v>
      </c>
      <c r="DH271" s="163">
        <f>VLOOKUP($C271,'[3]BS ACC'!$C$5:$DH$1006,110,FALSE)</f>
        <v>-480347.74</v>
      </c>
    </row>
    <row r="272" spans="1:112">
      <c r="A272" s="350" t="str">
        <f t="shared" si="3"/>
        <v>2360800</v>
      </c>
      <c r="B272" s="350" t="s">
        <v>1415</v>
      </c>
      <c r="C272" s="335" t="s">
        <v>790</v>
      </c>
      <c r="D272" s="340">
        <v>0</v>
      </c>
      <c r="E272" s="340">
        <v>0</v>
      </c>
      <c r="F272" s="340">
        <v>0</v>
      </c>
      <c r="G272" s="340">
        <v>0</v>
      </c>
      <c r="H272" s="340">
        <v>0</v>
      </c>
      <c r="I272" s="340">
        <v>0</v>
      </c>
      <c r="J272" s="340">
        <v>0</v>
      </c>
      <c r="K272" s="340">
        <v>0</v>
      </c>
      <c r="L272" s="340">
        <v>0</v>
      </c>
      <c r="M272" s="340">
        <v>0</v>
      </c>
      <c r="N272" s="340">
        <v>0</v>
      </c>
      <c r="O272" s="340">
        <v>0</v>
      </c>
      <c r="P272" s="341">
        <v>0</v>
      </c>
      <c r="Q272" s="163">
        <v>0</v>
      </c>
      <c r="R272" s="163">
        <v>0</v>
      </c>
      <c r="S272" s="163">
        <v>0</v>
      </c>
      <c r="T272" s="163">
        <v>0</v>
      </c>
      <c r="U272" s="163">
        <v>0</v>
      </c>
      <c r="V272" s="163">
        <v>0</v>
      </c>
      <c r="W272" s="163">
        <v>0</v>
      </c>
      <c r="X272" s="163">
        <v>0</v>
      </c>
      <c r="Y272" s="163">
        <v>0</v>
      </c>
      <c r="Z272" s="163">
        <v>0</v>
      </c>
      <c r="AA272" s="163">
        <v>0</v>
      </c>
      <c r="AB272" s="163">
        <v>-50000</v>
      </c>
      <c r="AC272" s="163">
        <v>-50000</v>
      </c>
      <c r="AD272" s="163">
        <v>-50000</v>
      </c>
      <c r="AE272" s="163">
        <v>-50000</v>
      </c>
      <c r="AF272" s="163">
        <v>-50000</v>
      </c>
      <c r="AG272" s="163">
        <v>-50000</v>
      </c>
      <c r="AH272" s="163">
        <v>-50000</v>
      </c>
      <c r="AI272" s="163">
        <v>-50000</v>
      </c>
      <c r="AJ272" s="163">
        <v>-50000</v>
      </c>
      <c r="AK272" s="163">
        <v>-50000</v>
      </c>
      <c r="AL272" s="163">
        <v>-50000</v>
      </c>
      <c r="AM272" s="163">
        <v>-50000</v>
      </c>
      <c r="AN272" s="163">
        <v>-50000</v>
      </c>
      <c r="AO272" s="163">
        <v>-50000</v>
      </c>
      <c r="AP272" s="163">
        <v>-50000</v>
      </c>
      <c r="AQ272" s="163">
        <v>-50000</v>
      </c>
      <c r="AR272" s="163">
        <v>-50000</v>
      </c>
      <c r="AS272" s="163">
        <v>-50000</v>
      </c>
      <c r="AT272" s="163">
        <v>-50000</v>
      </c>
      <c r="AU272" s="163">
        <v>-50000</v>
      </c>
      <c r="AV272" s="163">
        <v>-35606.15</v>
      </c>
      <c r="AW272" s="163">
        <v>-35606.15</v>
      </c>
      <c r="AX272" s="163">
        <v>-34622.79</v>
      </c>
      <c r="AY272" s="163">
        <v>-34622.79</v>
      </c>
      <c r="AZ272" s="163">
        <v>-34622.79</v>
      </c>
      <c r="BA272" s="163">
        <v>-34622.79</v>
      </c>
      <c r="BB272" s="163">
        <v>-34622.79</v>
      </c>
      <c r="BC272" s="163">
        <v>-34622.79</v>
      </c>
      <c r="BD272" s="163">
        <v>-34622.79</v>
      </c>
      <c r="BE272" s="163">
        <v>-34622.79</v>
      </c>
      <c r="BF272" s="163">
        <v>-34622.79</v>
      </c>
      <c r="BG272" s="163">
        <v>-34622.79</v>
      </c>
      <c r="BH272" s="163">
        <v>-34622.79</v>
      </c>
      <c r="BI272" s="163">
        <v>-34622.79</v>
      </c>
      <c r="BJ272" s="163">
        <v>-34622.79</v>
      </c>
      <c r="BK272" s="163">
        <v>-34622.79</v>
      </c>
      <c r="BL272" s="163">
        <v>-34622.79</v>
      </c>
      <c r="BM272" s="163">
        <v>-34622.79</v>
      </c>
      <c r="BN272" s="163">
        <v>-34622.79</v>
      </c>
      <c r="BO272" s="163">
        <v>-34622.79</v>
      </c>
      <c r="BP272" s="163">
        <v>-34622.79</v>
      </c>
      <c r="BQ272" s="163">
        <v>-34622.79</v>
      </c>
      <c r="BR272" s="163">
        <v>-34622.79</v>
      </c>
      <c r="BS272" s="163">
        <v>-34622.79</v>
      </c>
      <c r="BT272" s="163">
        <v>-34622.79</v>
      </c>
      <c r="BU272" s="163">
        <v>-34622.79</v>
      </c>
      <c r="BV272" s="163">
        <v>-34622.79</v>
      </c>
      <c r="BW272" s="163">
        <v>-34622.79</v>
      </c>
      <c r="BX272" s="163">
        <v>-34622.79</v>
      </c>
      <c r="BY272" s="163">
        <v>-34622.79</v>
      </c>
      <c r="BZ272" s="163">
        <v>-34622.79</v>
      </c>
      <c r="CA272" s="163">
        <v>-34622.79</v>
      </c>
      <c r="CB272" s="163">
        <v>-34622.79</v>
      </c>
      <c r="CC272" s="163">
        <v>-34622.79</v>
      </c>
      <c r="CD272" s="163">
        <v>-34622.79</v>
      </c>
      <c r="CE272" s="163">
        <v>-34622.79</v>
      </c>
      <c r="CF272" s="163">
        <v>-34622.79</v>
      </c>
      <c r="CG272" s="163">
        <v>-34622.79</v>
      </c>
      <c r="CH272" s="163">
        <v>-34622.79</v>
      </c>
      <c r="CI272" s="163">
        <v>-34622.79</v>
      </c>
      <c r="CJ272" s="163">
        <v>-34622.79</v>
      </c>
      <c r="CK272" s="163">
        <v>-34622.79</v>
      </c>
      <c r="CL272" s="163">
        <v>-34622.79</v>
      </c>
      <c r="CM272" s="163">
        <v>-34622.79</v>
      </c>
      <c r="CN272" s="163">
        <v>-34622.79</v>
      </c>
      <c r="CO272" s="163">
        <v>-34622.79</v>
      </c>
      <c r="CP272" s="163">
        <v>-34622.79</v>
      </c>
      <c r="CQ272" s="163">
        <v>-34622.79</v>
      </c>
      <c r="CR272" s="163">
        <v>-34622.79</v>
      </c>
      <c r="CS272" s="163">
        <v>-34622.79</v>
      </c>
      <c r="CT272" s="163">
        <v>-34622.79</v>
      </c>
      <c r="CU272" s="163">
        <v>-34622.79</v>
      </c>
      <c r="CV272" s="163">
        <v>-34622.79</v>
      </c>
      <c r="CW272" s="163">
        <v>-34622.79</v>
      </c>
      <c r="CX272" s="163">
        <v>-34622.79</v>
      </c>
      <c r="CY272" s="163">
        <v>-34622.79</v>
      </c>
      <c r="CZ272" s="163">
        <v>-34622.79</v>
      </c>
      <c r="DA272" s="163">
        <v>-34622.79</v>
      </c>
      <c r="DB272" s="163">
        <v>-34622.79</v>
      </c>
      <c r="DC272" s="163">
        <v>-34622.79</v>
      </c>
      <c r="DD272" s="163">
        <v>-34622.79</v>
      </c>
      <c r="DE272" s="163">
        <v>-34622.79</v>
      </c>
      <c r="DF272" s="163">
        <f>VLOOKUP($C272,'[3]BS ACC'!$C$5:$DH$1006,108,FALSE)</f>
        <v>-34622.79</v>
      </c>
      <c r="DG272" s="163">
        <f>VLOOKUP($C272,'[3]BS ACC'!$C$5:$DH$1006,109,FALSE)</f>
        <v>-34622.79</v>
      </c>
      <c r="DH272" s="163">
        <f>VLOOKUP($C272,'[3]BS ACC'!$C$5:$DH$1006,110,FALSE)</f>
        <v>-34622.79</v>
      </c>
    </row>
    <row r="273" spans="1:112">
      <c r="A273" s="350" t="str">
        <f t="shared" si="3"/>
        <v>2370300</v>
      </c>
      <c r="B273" s="350" t="s">
        <v>889</v>
      </c>
      <c r="C273" s="335" t="s">
        <v>791</v>
      </c>
      <c r="D273" s="340">
        <v>-334348.08</v>
      </c>
      <c r="E273" s="340">
        <v>-411340.6</v>
      </c>
      <c r="F273" s="340">
        <v>-487071.77</v>
      </c>
      <c r="G273" s="340">
        <v>-562383.55000000005</v>
      </c>
      <c r="H273" s="340">
        <v>-637033.81000000006</v>
      </c>
      <c r="I273" s="340">
        <v>-711566.98</v>
      </c>
      <c r="J273" s="340">
        <v>-784411.25</v>
      </c>
      <c r="K273" s="340">
        <v>-857137.98</v>
      </c>
      <c r="L273" s="340">
        <v>-21472.09</v>
      </c>
      <c r="M273" s="340">
        <v>-104464.38</v>
      </c>
      <c r="N273" s="340">
        <v>-186469.6</v>
      </c>
      <c r="O273" s="340">
        <v>-266252.03000000003</v>
      </c>
      <c r="P273" s="341">
        <v>-347114.93</v>
      </c>
      <c r="Q273" s="163">
        <v>-425609.97</v>
      </c>
      <c r="R273" s="163">
        <v>-503790.12</v>
      </c>
      <c r="S273" s="163">
        <v>-580662.56000000006</v>
      </c>
      <c r="T273" s="163">
        <v>-658559.87</v>
      </c>
      <c r="U273" s="163">
        <v>-733378.24</v>
      </c>
      <c r="V273" s="163">
        <v>-807866.24</v>
      </c>
      <c r="W273" s="163">
        <v>-882946.25</v>
      </c>
      <c r="X273" s="163">
        <v>-22274.44</v>
      </c>
      <c r="Y273" s="163">
        <v>-107640.57</v>
      </c>
      <c r="Z273" s="163">
        <v>-192369.15</v>
      </c>
      <c r="AA273" s="163">
        <v>-276129.98</v>
      </c>
      <c r="AB273" s="163">
        <v>-24118.19</v>
      </c>
      <c r="AC273" s="163">
        <v>-110559.84</v>
      </c>
      <c r="AD273" s="163">
        <v>-192686.22</v>
      </c>
      <c r="AE273" s="163">
        <v>-271046.09000000003</v>
      </c>
      <c r="AF273" s="163">
        <v>-346083.14</v>
      </c>
      <c r="AG273" s="163">
        <v>-417694.18</v>
      </c>
      <c r="AH273" s="163">
        <v>-486750.79</v>
      </c>
      <c r="AI273" s="163">
        <v>-551111.54</v>
      </c>
      <c r="AJ273" s="163">
        <v>-19946.64</v>
      </c>
      <c r="AK273" s="163">
        <v>-87146.04</v>
      </c>
      <c r="AL273" s="163">
        <v>-151548.82999999999</v>
      </c>
      <c r="AM273" s="163">
        <v>-210919.21</v>
      </c>
      <c r="AN273" s="163">
        <v>-17812.34</v>
      </c>
      <c r="AO273" s="163">
        <v>-74317.34</v>
      </c>
      <c r="AP273" s="163">
        <v>-127218.62</v>
      </c>
      <c r="AQ273" s="163">
        <v>-179071.35</v>
      </c>
      <c r="AR273" s="163">
        <v>-229088.99</v>
      </c>
      <c r="AS273" s="163">
        <v>-277626.40999999997</v>
      </c>
      <c r="AT273" s="163">
        <v>-325812.15000000002</v>
      </c>
      <c r="AU273" s="163">
        <v>-368186.97</v>
      </c>
      <c r="AV273" s="163">
        <v>-412452.75</v>
      </c>
      <c r="AW273" s="163">
        <v>-457250.23</v>
      </c>
      <c r="AX273" s="163">
        <v>-500190.34</v>
      </c>
      <c r="AY273" s="163">
        <v>-538918.24</v>
      </c>
      <c r="AZ273" s="163">
        <v>-17573.16</v>
      </c>
      <c r="BA273" s="163">
        <v>-71614.66</v>
      </c>
      <c r="BB273" s="163">
        <v>-124917.84</v>
      </c>
      <c r="BC273" s="163">
        <v>-176236.65</v>
      </c>
      <c r="BD273" s="163">
        <v>-227517.09</v>
      </c>
      <c r="BE273" s="163">
        <v>-278274.19</v>
      </c>
      <c r="BF273" s="163">
        <v>-325740.88</v>
      </c>
      <c r="BG273" s="163">
        <v>-374524.72</v>
      </c>
      <c r="BH273" s="163">
        <v>-422657.59</v>
      </c>
      <c r="BI273" s="163">
        <v>-469895.84</v>
      </c>
      <c r="BJ273" s="163">
        <v>-515436.15</v>
      </c>
      <c r="BK273" s="163">
        <v>-561353.64</v>
      </c>
      <c r="BL273" s="163">
        <v>-16610.23</v>
      </c>
      <c r="BM273" s="163">
        <v>-71059.53</v>
      </c>
      <c r="BN273" s="163">
        <v>-124663.16</v>
      </c>
      <c r="BO273" s="163">
        <v>-176598.15</v>
      </c>
      <c r="BP273" s="163">
        <v>-228850.78</v>
      </c>
      <c r="BQ273" s="163">
        <v>-279286.71000000002</v>
      </c>
      <c r="BR273" s="163">
        <v>-327851.01</v>
      </c>
      <c r="BS273" s="163">
        <v>-374147.63</v>
      </c>
      <c r="BT273" s="163">
        <v>-420120.22</v>
      </c>
      <c r="BU273" s="163">
        <v>-466624.03</v>
      </c>
      <c r="BV273" s="163">
        <v>-512355.05</v>
      </c>
      <c r="BW273" s="163">
        <v>-556104.1</v>
      </c>
      <c r="BX273" s="163">
        <v>-16026.57</v>
      </c>
      <c r="BY273" s="163">
        <v>-69889.67</v>
      </c>
      <c r="BZ273" s="163">
        <v>-123609.04</v>
      </c>
      <c r="CA273" s="163">
        <v>-175690.36</v>
      </c>
      <c r="CB273" s="163">
        <v>-226799.48</v>
      </c>
      <c r="CC273" s="163">
        <v>-276679.34000000003</v>
      </c>
      <c r="CD273" s="163">
        <v>-325451.73</v>
      </c>
      <c r="CE273" s="163">
        <v>-372508.97</v>
      </c>
      <c r="CF273" s="163">
        <v>-418641.97</v>
      </c>
      <c r="CG273" s="163">
        <v>-463529.51</v>
      </c>
      <c r="CH273" s="163">
        <v>-506720.36</v>
      </c>
      <c r="CI273" s="163">
        <v>-551103.75</v>
      </c>
      <c r="CJ273" s="163">
        <v>-14685.01</v>
      </c>
      <c r="CK273" s="163">
        <v>-67914.42</v>
      </c>
      <c r="CL273" s="163">
        <v>-120735.97</v>
      </c>
      <c r="CM273" s="163">
        <v>-172978.19</v>
      </c>
      <c r="CN273" s="163">
        <v>-223902.89</v>
      </c>
      <c r="CO273" s="163">
        <v>-273871.86</v>
      </c>
      <c r="CP273" s="163">
        <v>-323372.13</v>
      </c>
      <c r="CQ273" s="163">
        <v>-373908.47999999998</v>
      </c>
      <c r="CR273" s="163">
        <v>-423453.8</v>
      </c>
      <c r="CS273" s="163">
        <v>-472903.4</v>
      </c>
      <c r="CT273" s="163">
        <v>-519885.46</v>
      </c>
      <c r="CU273" s="163">
        <v>-568781.9</v>
      </c>
      <c r="CV273" s="163">
        <v>-15558.56</v>
      </c>
      <c r="CW273" s="163">
        <v>-71969.850000000006</v>
      </c>
      <c r="CX273" s="163">
        <v>-128230.92</v>
      </c>
      <c r="CY273" s="163">
        <v>-184530.74</v>
      </c>
      <c r="CZ273" s="163">
        <v>-240009.49</v>
      </c>
      <c r="DA273" s="163">
        <v>-294844.59999999998</v>
      </c>
      <c r="DB273" s="163">
        <v>-348758.74</v>
      </c>
      <c r="DC273" s="163">
        <v>-402594.21</v>
      </c>
      <c r="DD273" s="163">
        <v>-456025.03</v>
      </c>
      <c r="DE273" s="163">
        <v>-510539.26</v>
      </c>
      <c r="DF273" s="163">
        <f>VLOOKUP($C273,'[3]BS ACC'!$C$5:$DH$1006,108,FALSE)</f>
        <v>-563130.14</v>
      </c>
      <c r="DG273" s="163">
        <f>VLOOKUP($C273,'[3]BS ACC'!$C$5:$DH$1006,109,FALSE)</f>
        <v>-617070.25</v>
      </c>
      <c r="DH273" s="163">
        <f>VLOOKUP($C273,'[3]BS ACC'!$C$5:$DH$1006,110,FALSE)</f>
        <v>-19063.52</v>
      </c>
    </row>
    <row r="274" spans="1:112">
      <c r="A274" s="350" t="str">
        <f t="shared" si="3"/>
        <v>2370350</v>
      </c>
      <c r="B274" s="350" t="s">
        <v>892</v>
      </c>
      <c r="C274" s="469" t="s">
        <v>891</v>
      </c>
      <c r="D274" s="340"/>
      <c r="E274" s="340"/>
      <c r="F274" s="340"/>
      <c r="G274" s="340"/>
      <c r="H274" s="340"/>
      <c r="I274" s="340"/>
      <c r="J274" s="340"/>
      <c r="K274" s="340"/>
      <c r="L274" s="340"/>
      <c r="M274" s="340"/>
      <c r="N274" s="340"/>
      <c r="O274" s="340"/>
      <c r="P274" s="341"/>
      <c r="Q274" s="163"/>
      <c r="R274" s="163"/>
      <c r="S274" s="163"/>
      <c r="T274" s="163"/>
      <c r="U274" s="163"/>
      <c r="V274" s="163"/>
      <c r="W274" s="163"/>
      <c r="X274" s="163"/>
      <c r="Y274" s="163"/>
      <c r="Z274" s="163"/>
      <c r="AA274" s="163"/>
      <c r="AB274" s="163"/>
      <c r="AC274" s="163">
        <v>0</v>
      </c>
      <c r="AD274" s="163"/>
      <c r="AE274" s="163"/>
      <c r="AF274" s="163"/>
      <c r="AG274" s="163"/>
      <c r="AH274" s="163"/>
      <c r="AI274" s="163"/>
      <c r="AJ274" s="163"/>
      <c r="AK274" s="163"/>
      <c r="AL274" s="163"/>
      <c r="AM274" s="163"/>
      <c r="AN274" s="163"/>
      <c r="AO274" s="163"/>
      <c r="AP274" s="163"/>
      <c r="AQ274" s="163"/>
      <c r="AR274" s="163"/>
      <c r="AS274" s="163"/>
      <c r="AT274" s="163"/>
      <c r="AU274" s="163"/>
      <c r="AV274" s="163"/>
      <c r="AW274" s="163"/>
      <c r="AX274" s="163"/>
      <c r="AY274" s="163"/>
      <c r="AZ274" s="163"/>
      <c r="BA274" s="163"/>
      <c r="BB274" s="163"/>
      <c r="BC274" s="163"/>
      <c r="BD274" s="163"/>
      <c r="BE274" s="163"/>
      <c r="BF274" s="163"/>
      <c r="BG274" s="163"/>
      <c r="BH274" s="163"/>
      <c r="BI274" s="163"/>
      <c r="BJ274" s="163"/>
      <c r="BK274" s="163"/>
      <c r="BL274" s="163"/>
      <c r="BM274" s="163"/>
      <c r="BN274" s="163"/>
      <c r="BO274" s="163"/>
      <c r="BP274" s="163"/>
      <c r="BQ274" s="163"/>
      <c r="BR274" s="163"/>
      <c r="BS274" s="163"/>
      <c r="BT274" s="163"/>
      <c r="BU274" s="163"/>
      <c r="BV274" s="163"/>
      <c r="BW274" s="163"/>
      <c r="BX274" s="163"/>
      <c r="BY274" s="163"/>
      <c r="BZ274" s="163"/>
      <c r="CA274" s="163"/>
      <c r="CB274" s="163"/>
      <c r="CC274" s="163"/>
      <c r="CD274" s="163"/>
      <c r="CE274" s="163"/>
      <c r="CF274" s="163"/>
      <c r="CG274" s="163"/>
      <c r="CH274" s="163"/>
      <c r="CI274" s="163"/>
      <c r="CJ274" s="163"/>
      <c r="CK274" s="163"/>
      <c r="CL274" s="163"/>
      <c r="CM274" s="163"/>
      <c r="CN274" s="163"/>
      <c r="CO274" s="163"/>
      <c r="CP274" s="163"/>
      <c r="CQ274" s="163"/>
      <c r="CR274" s="163"/>
      <c r="CS274" s="163"/>
      <c r="CT274" s="163"/>
      <c r="CU274" s="163"/>
      <c r="CV274" s="163"/>
      <c r="CW274" s="163"/>
      <c r="CX274" s="163"/>
      <c r="CY274" s="163"/>
      <c r="CZ274" s="163"/>
      <c r="DA274" s="163"/>
      <c r="DB274" s="163"/>
      <c r="DC274" s="163"/>
      <c r="DD274" s="163"/>
      <c r="DE274" s="163"/>
      <c r="DF274" s="163"/>
      <c r="DG274" s="163"/>
      <c r="DH274" s="163"/>
    </row>
    <row r="275" spans="1:112">
      <c r="A275" s="350" t="str">
        <f t="shared" si="3"/>
        <v>2370400</v>
      </c>
      <c r="B275" s="350" t="s">
        <v>890</v>
      </c>
      <c r="C275" s="335" t="s">
        <v>792</v>
      </c>
      <c r="D275" s="340">
        <v>-1443411.66</v>
      </c>
      <c r="E275" s="340">
        <v>-2440519.38</v>
      </c>
      <c r="F275" s="340">
        <v>-3437627.1</v>
      </c>
      <c r="G275" s="340">
        <v>-4109734.82</v>
      </c>
      <c r="H275" s="340">
        <v>-5106842.54</v>
      </c>
      <c r="I275" s="340">
        <v>-1489428.9</v>
      </c>
      <c r="J275" s="340">
        <v>-1497786.62</v>
      </c>
      <c r="K275" s="340">
        <v>-2531144.34</v>
      </c>
      <c r="L275" s="340">
        <v>-3564502.06</v>
      </c>
      <c r="M275" s="340">
        <v>-4272859.78</v>
      </c>
      <c r="N275" s="340">
        <v>-5306217.5</v>
      </c>
      <c r="O275" s="340">
        <v>-1489428.86</v>
      </c>
      <c r="P275" s="341">
        <v>-1497786.58</v>
      </c>
      <c r="Q275" s="163">
        <v>-2531144.2999999998</v>
      </c>
      <c r="R275" s="163">
        <v>-3564502.03</v>
      </c>
      <c r="S275" s="163">
        <v>-4272859.76</v>
      </c>
      <c r="T275" s="163">
        <v>-5306217.49</v>
      </c>
      <c r="U275" s="163">
        <v>-1522095.53</v>
      </c>
      <c r="V275" s="163">
        <v>-1600453.26</v>
      </c>
      <c r="W275" s="163">
        <v>-2703810.99</v>
      </c>
      <c r="X275" s="163">
        <v>-3807168.72</v>
      </c>
      <c r="Y275" s="163">
        <v>-4585526.45</v>
      </c>
      <c r="Z275" s="163">
        <v>-5688884.1799999997</v>
      </c>
      <c r="AA275" s="163">
        <v>-1524428.89</v>
      </c>
      <c r="AB275" s="163">
        <v>-1602786.62</v>
      </c>
      <c r="AC275" s="163">
        <v>-2706144.35</v>
      </c>
      <c r="AD275" s="163">
        <v>-3809502.08</v>
      </c>
      <c r="AE275" s="163">
        <v>-4587859.8099999996</v>
      </c>
      <c r="AF275" s="163">
        <v>-5691217.54</v>
      </c>
      <c r="AG275" s="163">
        <v>-1524428.91</v>
      </c>
      <c r="AH275" s="163">
        <v>-1602786.64</v>
      </c>
      <c r="AI275" s="163">
        <v>-2706144.37</v>
      </c>
      <c r="AJ275" s="163">
        <v>-3799252.1</v>
      </c>
      <c r="AK275" s="163">
        <v>-4577609.83</v>
      </c>
      <c r="AL275" s="163">
        <v>-5680967.5599999996</v>
      </c>
      <c r="AM275" s="163">
        <v>-1514178.93</v>
      </c>
      <c r="AN275" s="163">
        <v>-1592536.66</v>
      </c>
      <c r="AO275" s="163">
        <v>-2695894.39</v>
      </c>
      <c r="AP275" s="163">
        <v>-3799252.12</v>
      </c>
      <c r="AQ275" s="163">
        <v>-4577609.8499999996</v>
      </c>
      <c r="AR275" s="163">
        <v>-5680967.5800000001</v>
      </c>
      <c r="AS275" s="163">
        <v>-1514178.95</v>
      </c>
      <c r="AT275" s="163">
        <v>-1592536.68</v>
      </c>
      <c r="AU275" s="163">
        <v>-2695894.41</v>
      </c>
      <c r="AV275" s="163">
        <v>-3799252.14</v>
      </c>
      <c r="AW275" s="163">
        <v>-4577609.87</v>
      </c>
      <c r="AX275" s="163">
        <v>-5680967.5999999996</v>
      </c>
      <c r="AY275" s="163">
        <v>-1514178.97</v>
      </c>
      <c r="AZ275" s="163">
        <v>-1592536.7</v>
      </c>
      <c r="BA275" s="163">
        <v>-2695894.43</v>
      </c>
      <c r="BB275" s="163">
        <v>-3799252.16</v>
      </c>
      <c r="BC275" s="163">
        <v>-4577609.8899999997</v>
      </c>
      <c r="BD275" s="163">
        <v>-5680967.6200000001</v>
      </c>
      <c r="BE275" s="163">
        <v>-1387095.26</v>
      </c>
      <c r="BF275" s="163">
        <v>-1211286.32</v>
      </c>
      <c r="BG275" s="163">
        <v>-2535268.9700000002</v>
      </c>
      <c r="BH275" s="163">
        <v>-3653210.03</v>
      </c>
      <c r="BI275" s="163">
        <v>-4446151.09</v>
      </c>
      <c r="BJ275" s="163">
        <v>-5644439.4100000001</v>
      </c>
      <c r="BK275" s="163">
        <v>-3109942.44</v>
      </c>
      <c r="BL275" s="163">
        <v>-1611425.16</v>
      </c>
      <c r="BM275" s="163">
        <v>-2822074.55</v>
      </c>
      <c r="BN275" s="163">
        <v>-4032723.94</v>
      </c>
      <c r="BO275" s="163">
        <v>-4918373.33</v>
      </c>
      <c r="BP275" s="163">
        <v>-6129022.7199999997</v>
      </c>
      <c r="BQ275" s="163">
        <v>-3594525.75</v>
      </c>
      <c r="BR275" s="163">
        <v>-1392015.42</v>
      </c>
      <c r="BS275" s="163">
        <v>-2622803.7000000002</v>
      </c>
      <c r="BT275" s="163">
        <v>-3908973.92</v>
      </c>
      <c r="BU275" s="163">
        <v>-4870144.1399999997</v>
      </c>
      <c r="BV275" s="163">
        <v>-6156314.3600000003</v>
      </c>
      <c r="BW275" s="163">
        <v>-3697338.22</v>
      </c>
      <c r="BX275" s="163">
        <v>-1434810.52</v>
      </c>
      <c r="BY275" s="163">
        <v>-2720980.74</v>
      </c>
      <c r="BZ275" s="163">
        <v>-4007150.96</v>
      </c>
      <c r="CA275" s="163">
        <v>-4963286.47</v>
      </c>
      <c r="CB275" s="163">
        <v>-6249456.6900000004</v>
      </c>
      <c r="CC275" s="163">
        <v>-3790480.55</v>
      </c>
      <c r="CD275" s="163">
        <v>-1429775.77</v>
      </c>
      <c r="CE275" s="163">
        <v>-2715945.99</v>
      </c>
      <c r="CF275" s="163">
        <v>-4002116.21</v>
      </c>
      <c r="CG275" s="163">
        <v>-4963286.43</v>
      </c>
      <c r="CH275" s="163">
        <v>-6249456.6500000004</v>
      </c>
      <c r="CI275" s="163">
        <v>-3790480.51</v>
      </c>
      <c r="CJ275" s="163">
        <v>-1429775.73</v>
      </c>
      <c r="CK275" s="163">
        <v>-2715945.95</v>
      </c>
      <c r="CL275" s="163">
        <v>-4002116.17</v>
      </c>
      <c r="CM275" s="163">
        <v>-5280973.8899999997</v>
      </c>
      <c r="CN275" s="163">
        <v>-7127769.1100000003</v>
      </c>
      <c r="CO275" s="163">
        <v>-5018976.91</v>
      </c>
      <c r="CP275" s="163">
        <v>-3113676.6</v>
      </c>
      <c r="CQ275" s="163">
        <v>-4750030.76</v>
      </c>
      <c r="CR275" s="163">
        <v>-6386384.9199999999</v>
      </c>
      <c r="CS275" s="163">
        <v>-4296614.08</v>
      </c>
      <c r="CT275" s="163">
        <v>-5932968.2400000002</v>
      </c>
      <c r="CU275" s="163">
        <v>-5086822.4000000004</v>
      </c>
      <c r="CV275" s="163">
        <v>-3076301.56</v>
      </c>
      <c r="CW275" s="163">
        <v>-4712655.72</v>
      </c>
      <c r="CX275" s="163">
        <v>-6349009.8799999999</v>
      </c>
      <c r="CY275" s="163">
        <v>-4296614.04</v>
      </c>
      <c r="CZ275" s="163">
        <v>-5932968.2000000002</v>
      </c>
      <c r="DA275" s="163">
        <v>-5086822.3600000003</v>
      </c>
      <c r="DB275" s="163">
        <v>-3076301.52</v>
      </c>
      <c r="DC275" s="163">
        <v>-4879061.93</v>
      </c>
      <c r="DD275" s="163">
        <v>-6792759.8399999999</v>
      </c>
      <c r="DE275" s="163">
        <v>-4990624.29</v>
      </c>
      <c r="DF275" s="163">
        <f>VLOOKUP($C275,'[3]BS ACC'!$C$5:$DH$1006,108,FALSE)</f>
        <v>-6850155.5300000003</v>
      </c>
      <c r="DG275" s="163">
        <f>VLOOKUP($C275,'[3]BS ACC'!$C$5:$DH$1006,109,FALSE)</f>
        <v>-6227186.7699999996</v>
      </c>
      <c r="DH275" s="163">
        <f>VLOOKUP($C275,'[3]BS ACC'!$C$5:$DH$1006,110,FALSE)</f>
        <v>-4439843.01</v>
      </c>
    </row>
    <row r="276" spans="1:112">
      <c r="A276" s="350" t="str">
        <f t="shared" si="3"/>
        <v>2370900</v>
      </c>
      <c r="B276" s="350" t="s">
        <v>893</v>
      </c>
      <c r="C276" s="469" t="s">
        <v>894</v>
      </c>
      <c r="D276" s="340"/>
      <c r="E276" s="340"/>
      <c r="F276" s="340"/>
      <c r="G276" s="340"/>
      <c r="H276" s="340"/>
      <c r="I276" s="340"/>
      <c r="J276" s="340"/>
      <c r="K276" s="340"/>
      <c r="L276" s="340"/>
      <c r="M276" s="340"/>
      <c r="N276" s="340"/>
      <c r="O276" s="340"/>
      <c r="P276" s="341"/>
      <c r="Q276" s="163"/>
      <c r="R276" s="163"/>
      <c r="S276" s="163"/>
      <c r="T276" s="163"/>
      <c r="U276" s="163"/>
      <c r="V276" s="163"/>
      <c r="W276" s="163"/>
      <c r="X276" s="163"/>
      <c r="Y276" s="163"/>
      <c r="Z276" s="163"/>
      <c r="AA276" s="163"/>
      <c r="AB276" s="163"/>
      <c r="AC276" s="163">
        <v>0</v>
      </c>
      <c r="AD276" s="163"/>
      <c r="AE276" s="163"/>
      <c r="AF276" s="163"/>
      <c r="AG276" s="163"/>
      <c r="AH276" s="163"/>
      <c r="AI276" s="163"/>
      <c r="AJ276" s="163"/>
      <c r="AK276" s="163"/>
      <c r="AL276" s="163"/>
      <c r="AM276" s="163"/>
      <c r="AN276" s="163"/>
      <c r="AO276" s="163"/>
      <c r="AP276" s="163"/>
      <c r="AQ276" s="163"/>
      <c r="AR276" s="163"/>
      <c r="AS276" s="163"/>
      <c r="AT276" s="163"/>
      <c r="AU276" s="163"/>
      <c r="AV276" s="163"/>
      <c r="AW276" s="163"/>
      <c r="AX276" s="163"/>
      <c r="AY276" s="163"/>
      <c r="AZ276" s="163"/>
      <c r="BA276" s="163"/>
      <c r="BB276" s="163"/>
      <c r="BC276" s="163"/>
      <c r="BD276" s="163"/>
      <c r="BE276" s="163"/>
      <c r="BF276" s="163"/>
      <c r="BG276" s="163"/>
      <c r="BH276" s="163"/>
      <c r="BI276" s="163"/>
      <c r="BJ276" s="163"/>
      <c r="BK276" s="163"/>
      <c r="BL276" s="163"/>
      <c r="BM276" s="163"/>
      <c r="BN276" s="163"/>
      <c r="BO276" s="163"/>
      <c r="BP276" s="163"/>
      <c r="BQ276" s="163"/>
      <c r="BR276" s="163"/>
      <c r="BS276" s="163"/>
      <c r="BT276" s="163"/>
      <c r="BU276" s="163"/>
      <c r="BV276" s="163"/>
      <c r="BW276" s="163"/>
      <c r="BX276" s="163"/>
      <c r="BY276" s="163"/>
      <c r="BZ276" s="163"/>
      <c r="CA276" s="163"/>
      <c r="CB276" s="163"/>
      <c r="CC276" s="163"/>
      <c r="CD276" s="163"/>
      <c r="CE276" s="163"/>
      <c r="CF276" s="163"/>
      <c r="CG276" s="163"/>
      <c r="CH276" s="163"/>
      <c r="CI276" s="163"/>
      <c r="CJ276" s="163"/>
      <c r="CK276" s="163"/>
      <c r="CL276" s="163"/>
      <c r="CM276" s="163"/>
      <c r="CN276" s="163"/>
      <c r="CO276" s="163"/>
      <c r="CP276" s="163"/>
      <c r="CQ276" s="163"/>
      <c r="CR276" s="163"/>
      <c r="CS276" s="163"/>
      <c r="CT276" s="163"/>
      <c r="CU276" s="163"/>
      <c r="CV276" s="163"/>
      <c r="CW276" s="163"/>
      <c r="CX276" s="163"/>
      <c r="CY276" s="163"/>
      <c r="CZ276" s="163"/>
      <c r="DA276" s="163"/>
      <c r="DB276" s="163"/>
      <c r="DC276" s="163"/>
      <c r="DD276" s="163"/>
      <c r="DE276" s="163"/>
      <c r="DF276" s="163"/>
      <c r="DG276" s="163"/>
      <c r="DH276" s="163"/>
    </row>
    <row r="277" spans="1:112">
      <c r="A277" s="350" t="str">
        <f t="shared" si="3"/>
        <v>2380720</v>
      </c>
      <c r="B277" s="350" t="s">
        <v>1662</v>
      </c>
      <c r="C277" s="335" t="s">
        <v>793</v>
      </c>
      <c r="D277" s="340">
        <v>0</v>
      </c>
      <c r="E277" s="340">
        <v>-7357286.6799999997</v>
      </c>
      <c r="F277" s="340">
        <v>0</v>
      </c>
      <c r="G277" s="340">
        <v>0</v>
      </c>
      <c r="H277" s="340">
        <v>-11948603.68</v>
      </c>
      <c r="I277" s="340">
        <v>0</v>
      </c>
      <c r="J277" s="340">
        <v>0</v>
      </c>
      <c r="K277" s="340">
        <v>-9971893.4700000007</v>
      </c>
      <c r="L277" s="340">
        <v>0</v>
      </c>
      <c r="M277" s="340">
        <v>0</v>
      </c>
      <c r="N277" s="340">
        <v>-5874136.4699999997</v>
      </c>
      <c r="O277" s="340">
        <v>0</v>
      </c>
      <c r="P277" s="341">
        <v>0</v>
      </c>
      <c r="Q277" s="163">
        <v>0</v>
      </c>
      <c r="R277" s="163">
        <v>-6579361.9699999997</v>
      </c>
      <c r="S277" s="163">
        <v>0</v>
      </c>
      <c r="T277" s="163">
        <v>-14236193.27</v>
      </c>
      <c r="U277" s="163">
        <v>0</v>
      </c>
      <c r="V277" s="163">
        <v>0</v>
      </c>
      <c r="W277" s="163">
        <v>-8836348.5500000007</v>
      </c>
      <c r="X277" s="163">
        <v>0</v>
      </c>
      <c r="Y277" s="163">
        <v>0</v>
      </c>
      <c r="Z277" s="163">
        <v>0</v>
      </c>
      <c r="AA277" s="163">
        <v>0</v>
      </c>
      <c r="AB277" s="163">
        <v>0</v>
      </c>
      <c r="AC277" s="163">
        <v>0</v>
      </c>
      <c r="AD277" s="163">
        <v>0</v>
      </c>
      <c r="AE277" s="163">
        <v>0</v>
      </c>
      <c r="AF277" s="163">
        <v>0</v>
      </c>
      <c r="AG277" s="163">
        <v>0</v>
      </c>
      <c r="AH277" s="163">
        <v>0</v>
      </c>
      <c r="AI277" s="163">
        <v>0</v>
      </c>
      <c r="AJ277" s="163">
        <v>0</v>
      </c>
      <c r="AK277" s="163">
        <v>0</v>
      </c>
      <c r="AL277" s="163">
        <v>0</v>
      </c>
      <c r="AM277" s="163">
        <v>0</v>
      </c>
      <c r="AN277" s="163">
        <v>0</v>
      </c>
      <c r="AO277" s="163">
        <v>0</v>
      </c>
      <c r="AP277" s="163">
        <v>0</v>
      </c>
      <c r="AQ277" s="163">
        <v>0</v>
      </c>
      <c r="AR277" s="163">
        <v>0</v>
      </c>
      <c r="AS277" s="163">
        <v>0</v>
      </c>
      <c r="AT277" s="163">
        <v>0</v>
      </c>
      <c r="AU277" s="163">
        <v>0</v>
      </c>
      <c r="AV277" s="163">
        <v>0</v>
      </c>
      <c r="AW277" s="163">
        <v>0</v>
      </c>
      <c r="AX277" s="163">
        <v>0</v>
      </c>
      <c r="AY277" s="163">
        <v>0</v>
      </c>
      <c r="AZ277" s="163">
        <v>0</v>
      </c>
      <c r="BA277" s="163">
        <v>0</v>
      </c>
      <c r="BB277" s="163">
        <v>0</v>
      </c>
      <c r="BC277" s="163">
        <v>0</v>
      </c>
      <c r="BD277" s="163">
        <v>0</v>
      </c>
      <c r="BE277" s="163">
        <v>-15456143.34</v>
      </c>
      <c r="BF277" s="163">
        <v>0</v>
      </c>
      <c r="BG277" s="163">
        <v>0</v>
      </c>
      <c r="BH277" s="163">
        <v>0</v>
      </c>
      <c r="BI277" s="163">
        <v>0</v>
      </c>
      <c r="BJ277" s="163">
        <v>0</v>
      </c>
      <c r="BK277" s="163">
        <v>0</v>
      </c>
      <c r="BL277" s="163">
        <v>0</v>
      </c>
      <c r="BM277" s="163">
        <v>0</v>
      </c>
      <c r="BN277" s="163">
        <v>0</v>
      </c>
      <c r="BO277" s="163">
        <v>0</v>
      </c>
      <c r="BP277" s="163">
        <v>0</v>
      </c>
      <c r="BQ277" s="163">
        <v>0</v>
      </c>
      <c r="BR277" s="163">
        <v>0</v>
      </c>
      <c r="BS277" s="163">
        <v>0</v>
      </c>
      <c r="BT277" s="163">
        <v>0</v>
      </c>
      <c r="BU277" s="163">
        <v>0</v>
      </c>
      <c r="BV277" s="163">
        <v>0</v>
      </c>
      <c r="BW277" s="163">
        <v>0</v>
      </c>
      <c r="BX277" s="163">
        <v>0</v>
      </c>
      <c r="BY277" s="163">
        <v>0</v>
      </c>
      <c r="BZ277" s="163">
        <v>0</v>
      </c>
      <c r="CA277" s="163">
        <v>0</v>
      </c>
      <c r="CB277" s="163">
        <v>0</v>
      </c>
      <c r="CC277" s="163">
        <v>0</v>
      </c>
      <c r="CD277" s="163">
        <v>0</v>
      </c>
      <c r="CE277" s="163">
        <v>0</v>
      </c>
      <c r="CF277" s="163">
        <v>0</v>
      </c>
      <c r="CG277" s="163">
        <v>0</v>
      </c>
      <c r="CH277" s="163">
        <v>0</v>
      </c>
      <c r="CI277" s="163">
        <v>0</v>
      </c>
      <c r="CJ277" s="163">
        <v>0</v>
      </c>
      <c r="CK277" s="163">
        <v>0</v>
      </c>
      <c r="CL277" s="163">
        <v>0</v>
      </c>
      <c r="CM277" s="163">
        <v>0</v>
      </c>
      <c r="CN277" s="163">
        <v>-27095926</v>
      </c>
      <c r="CO277" s="163">
        <v>0</v>
      </c>
      <c r="CP277" s="163">
        <v>0</v>
      </c>
      <c r="CQ277" s="163">
        <v>0</v>
      </c>
      <c r="CR277" s="163">
        <v>0</v>
      </c>
      <c r="CS277" s="163">
        <v>0</v>
      </c>
      <c r="CT277" s="163">
        <v>0</v>
      </c>
      <c r="CU277" s="163">
        <v>0</v>
      </c>
      <c r="CV277" s="163">
        <v>0</v>
      </c>
      <c r="CW277" s="163">
        <v>0</v>
      </c>
      <c r="CX277" s="163">
        <v>0</v>
      </c>
      <c r="CY277" s="163">
        <v>0</v>
      </c>
      <c r="CZ277" s="163">
        <v>-29543003</v>
      </c>
      <c r="DA277" s="163">
        <v>0</v>
      </c>
      <c r="DB277" s="163">
        <v>0</v>
      </c>
      <c r="DC277" s="163">
        <v>0</v>
      </c>
      <c r="DD277" s="163">
        <v>0</v>
      </c>
      <c r="DE277" s="163">
        <v>0</v>
      </c>
      <c r="DF277" s="163">
        <f>VLOOKUP($C277,'[3]BS ACC'!$C$5:$DH$1006,108,FALSE)</f>
        <v>-16227366</v>
      </c>
      <c r="DG277" s="163">
        <f>VLOOKUP($C277,'[3]BS ACC'!$C$5:$DH$1006,109,FALSE)</f>
        <v>0</v>
      </c>
      <c r="DH277" s="163">
        <f>VLOOKUP($C277,'[3]BS ACC'!$C$5:$DH$1006,110,FALSE)</f>
        <v>0</v>
      </c>
    </row>
    <row r="278" spans="1:112">
      <c r="A278" s="350" t="str">
        <f t="shared" si="3"/>
        <v>2410000</v>
      </c>
      <c r="B278" s="350" t="s">
        <v>1807</v>
      </c>
      <c r="C278" s="335" t="s">
        <v>1805</v>
      </c>
      <c r="D278" s="340"/>
      <c r="E278" s="340"/>
      <c r="F278" s="340"/>
      <c r="G278" s="340"/>
      <c r="H278" s="340"/>
      <c r="I278" s="340"/>
      <c r="J278" s="340"/>
      <c r="K278" s="340"/>
      <c r="L278" s="340"/>
      <c r="M278" s="340"/>
      <c r="N278" s="340"/>
      <c r="O278" s="340"/>
      <c r="P278" s="341"/>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c r="AL278" s="163"/>
      <c r="AM278" s="163"/>
      <c r="AN278" s="163"/>
      <c r="AO278" s="163">
        <v>-168314.57</v>
      </c>
      <c r="AP278" s="163">
        <v>-171951.76</v>
      </c>
      <c r="AQ278" s="163">
        <v>-163248.23000000001</v>
      </c>
      <c r="AR278" s="163">
        <v>-165616.57</v>
      </c>
      <c r="AS278" s="163">
        <v>-147292.25</v>
      </c>
      <c r="AT278" s="163">
        <v>-142846.66</v>
      </c>
      <c r="AU278" s="163">
        <v>-132652.81</v>
      </c>
      <c r="AV278" s="163">
        <v>-132880.37</v>
      </c>
      <c r="AW278" s="163">
        <v>-147507.72</v>
      </c>
      <c r="AX278" s="163">
        <v>-148372.32999999999</v>
      </c>
      <c r="AY278" s="163">
        <v>-176301.59</v>
      </c>
      <c r="AZ278" s="163">
        <v>-206709.26</v>
      </c>
      <c r="BA278" s="163">
        <v>-260773.49</v>
      </c>
      <c r="BB278" s="163">
        <v>-226971.34</v>
      </c>
      <c r="BC278" s="163">
        <v>-193726.94</v>
      </c>
      <c r="BD278" s="163">
        <v>-203810.62</v>
      </c>
      <c r="BE278" s="163">
        <v>-170174.79</v>
      </c>
      <c r="BF278" s="163">
        <v>-183684.78</v>
      </c>
      <c r="BG278" s="163">
        <v>-163278.59</v>
      </c>
      <c r="BH278" s="163">
        <v>-154735.54999999999</v>
      </c>
      <c r="BI278" s="163">
        <v>-163726.74</v>
      </c>
      <c r="BJ278" s="163">
        <v>-145895.70000000001</v>
      </c>
      <c r="BK278" s="163">
        <v>-164517.29999999999</v>
      </c>
      <c r="BL278" s="163">
        <v>-182878.03</v>
      </c>
      <c r="BM278" s="163">
        <v>-253618.02</v>
      </c>
      <c r="BN278" s="163">
        <v>-223317.9</v>
      </c>
      <c r="BO278" s="163">
        <v>-224227.29</v>
      </c>
      <c r="BP278" s="163">
        <v>-217468.6</v>
      </c>
      <c r="BQ278" s="163">
        <v>-179957.41</v>
      </c>
      <c r="BR278" s="163">
        <v>-182662.09</v>
      </c>
      <c r="BS278" s="163">
        <v>-165086.78</v>
      </c>
      <c r="BT278" s="163">
        <v>-139667.26</v>
      </c>
      <c r="BU278" s="163">
        <v>-160107.17000000001</v>
      </c>
      <c r="BV278" s="163">
        <v>-128709.69</v>
      </c>
      <c r="BW278" s="163">
        <v>-177017.73</v>
      </c>
      <c r="BX278" s="163">
        <v>-217572.58</v>
      </c>
      <c r="BY278" s="163">
        <v>-244523.54</v>
      </c>
      <c r="BZ278" s="163">
        <v>-239660.14</v>
      </c>
      <c r="CA278" s="163">
        <v>-226159.21</v>
      </c>
      <c r="CB278" s="163">
        <v>-201399.64</v>
      </c>
      <c r="CC278" s="163">
        <v>-180304.79</v>
      </c>
      <c r="CD278" s="163">
        <v>-97020.479999999996</v>
      </c>
      <c r="CE278" s="163">
        <v>-154364.32</v>
      </c>
      <c r="CF278" s="163">
        <v>-138434.73000000001</v>
      </c>
      <c r="CG278" s="163">
        <v>-122016.18</v>
      </c>
      <c r="CH278" s="163">
        <v>-154882.34</v>
      </c>
      <c r="CI278" s="163">
        <v>-187704.98</v>
      </c>
      <c r="CJ278" s="163">
        <v>-195262.16</v>
      </c>
      <c r="CK278" s="163">
        <v>-307483.71000000002</v>
      </c>
      <c r="CL278" s="163">
        <v>-283327.83</v>
      </c>
      <c r="CM278" s="163">
        <v>-287392</v>
      </c>
      <c r="CN278" s="163">
        <v>-296618.06</v>
      </c>
      <c r="CO278" s="163">
        <v>-233549.36</v>
      </c>
      <c r="CP278" s="163">
        <v>-236915.85</v>
      </c>
      <c r="CQ278" s="163">
        <v>-244282.81</v>
      </c>
      <c r="CR278" s="163">
        <v>-226126.66</v>
      </c>
      <c r="CS278" s="163">
        <v>-275230.69</v>
      </c>
      <c r="CT278" s="163">
        <v>-218769.31</v>
      </c>
      <c r="CU278" s="163">
        <v>-252449.51</v>
      </c>
      <c r="CV278" s="163">
        <v>-304771.88</v>
      </c>
      <c r="CW278" s="163">
        <v>-359011.41</v>
      </c>
      <c r="CX278" s="163">
        <v>-374624.55</v>
      </c>
      <c r="CY278" s="163">
        <v>-352580.33</v>
      </c>
      <c r="CZ278" s="163">
        <v>-322237.13</v>
      </c>
      <c r="DA278" s="163">
        <v>-304323.78999999998</v>
      </c>
      <c r="DB278" s="163">
        <v>-333781.69</v>
      </c>
      <c r="DC278" s="163">
        <v>-226707.73</v>
      </c>
      <c r="DD278" s="163">
        <v>-334409.34999999998</v>
      </c>
      <c r="DE278" s="163">
        <v>-356359.87</v>
      </c>
      <c r="DF278" s="163">
        <f>VLOOKUP($C278,'[3]BS ACC'!$C$5:$DH$1006,108,FALSE)</f>
        <v>-366766.09</v>
      </c>
      <c r="DG278" s="163">
        <f>VLOOKUP($C278,'[3]BS ACC'!$C$5:$DH$1006,109,FALSE)</f>
        <v>-273165.13</v>
      </c>
      <c r="DH278" s="163">
        <f>VLOOKUP($C278,'[3]BS ACC'!$C$5:$DH$1006,110,FALSE)</f>
        <v>-289899.77</v>
      </c>
    </row>
    <row r="279" spans="1:112">
      <c r="A279" s="350" t="str">
        <f t="shared" si="3"/>
        <v>2410005</v>
      </c>
      <c r="B279" s="350" t="s">
        <v>1808</v>
      </c>
      <c r="C279" s="335" t="s">
        <v>1806</v>
      </c>
      <c r="D279" s="340"/>
      <c r="E279" s="340"/>
      <c r="F279" s="340"/>
      <c r="G279" s="340"/>
      <c r="H279" s="340"/>
      <c r="I279" s="340"/>
      <c r="J279" s="340"/>
      <c r="K279" s="340"/>
      <c r="L279" s="340"/>
      <c r="M279" s="340"/>
      <c r="N279" s="340"/>
      <c r="O279" s="340"/>
      <c r="P279" s="341"/>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c r="AL279" s="163"/>
      <c r="AM279" s="163"/>
      <c r="AN279" s="163"/>
      <c r="AO279" s="163">
        <v>-19844.009999999998</v>
      </c>
      <c r="AP279" s="163">
        <v>-20029.97</v>
      </c>
      <c r="AQ279" s="163">
        <v>-19443.93</v>
      </c>
      <c r="AR279" s="163">
        <v>-19125.689999999999</v>
      </c>
      <c r="AS279" s="163">
        <v>-18313.5</v>
      </c>
      <c r="AT279" s="163">
        <v>-16942.849999999999</v>
      </c>
      <c r="AU279" s="163">
        <v>-15653.96</v>
      </c>
      <c r="AV279" s="163">
        <v>-15111.77</v>
      </c>
      <c r="AW279" s="163">
        <v>-17277.03</v>
      </c>
      <c r="AX279" s="163">
        <v>-17290.93</v>
      </c>
      <c r="AY279" s="163">
        <v>-18709.61</v>
      </c>
      <c r="AZ279" s="163">
        <v>-25030.93</v>
      </c>
      <c r="BA279" s="163">
        <v>-28965.759999999998</v>
      </c>
      <c r="BB279" s="163">
        <v>-27202.69</v>
      </c>
      <c r="BC279" s="163">
        <v>-22671.68</v>
      </c>
      <c r="BD279" s="163">
        <v>-23589.77</v>
      </c>
      <c r="BE279" s="163">
        <v>-20792.96</v>
      </c>
      <c r="BF279" s="163">
        <v>-20307.59</v>
      </c>
      <c r="BG279" s="163">
        <v>-18996.009999999998</v>
      </c>
      <c r="BH279" s="163">
        <v>-18267.73</v>
      </c>
      <c r="BI279" s="163">
        <v>-19755.48</v>
      </c>
      <c r="BJ279" s="163">
        <v>-17389.3</v>
      </c>
      <c r="BK279" s="163">
        <v>-18633.79</v>
      </c>
      <c r="BL279" s="163">
        <v>-21912.99</v>
      </c>
      <c r="BM279" s="163">
        <v>-32961.339999999997</v>
      </c>
      <c r="BN279" s="163">
        <v>-36675.64</v>
      </c>
      <c r="BO279" s="163">
        <v>-35101.14</v>
      </c>
      <c r="BP279" s="163">
        <v>-36430.230000000003</v>
      </c>
      <c r="BQ279" s="163">
        <v>-33594.33</v>
      </c>
      <c r="BR279" s="163">
        <v>-31748.3</v>
      </c>
      <c r="BS279" s="163">
        <v>-28405.040000000001</v>
      </c>
      <c r="BT279" s="163">
        <v>-26495.040000000001</v>
      </c>
      <c r="BU279" s="163">
        <v>-29105.89</v>
      </c>
      <c r="BV279" s="163">
        <v>-27767.98</v>
      </c>
      <c r="BW279" s="163">
        <v>-31057.54</v>
      </c>
      <c r="BX279" s="163">
        <v>-37295.379999999997</v>
      </c>
      <c r="BY279" s="163">
        <v>-39390.39</v>
      </c>
      <c r="BZ279" s="163">
        <v>-37526.46</v>
      </c>
      <c r="CA279" s="163">
        <v>-34791.42</v>
      </c>
      <c r="CB279" s="163">
        <v>-25007.32</v>
      </c>
      <c r="CC279" s="163">
        <v>-21738.98</v>
      </c>
      <c r="CD279" s="163">
        <v>-25592.09</v>
      </c>
      <c r="CE279" s="163">
        <v>-25564.05</v>
      </c>
      <c r="CF279" s="163">
        <v>-26416.23</v>
      </c>
      <c r="CG279" s="163">
        <v>-26151.85</v>
      </c>
      <c r="CH279" s="163">
        <v>-27892.04</v>
      </c>
      <c r="CI279" s="163">
        <v>-33275.96</v>
      </c>
      <c r="CJ279" s="163">
        <v>-36909.29</v>
      </c>
      <c r="CK279" s="163">
        <v>-50530.31</v>
      </c>
      <c r="CL279" s="163">
        <v>-48241.22</v>
      </c>
      <c r="CM279" s="163">
        <v>-47258.95</v>
      </c>
      <c r="CN279" s="163">
        <v>-44107.13</v>
      </c>
      <c r="CO279" s="163">
        <v>-40231.919999999998</v>
      </c>
      <c r="CP279" s="163">
        <v>-37392.339999999997</v>
      </c>
      <c r="CQ279" s="163">
        <v>-39802.69</v>
      </c>
      <c r="CR279" s="163">
        <v>-37509.160000000003</v>
      </c>
      <c r="CS279" s="163">
        <v>-38830.21</v>
      </c>
      <c r="CT279" s="163">
        <v>-36818.86</v>
      </c>
      <c r="CU279" s="163">
        <v>-39728.519999999997</v>
      </c>
      <c r="CV279" s="163">
        <v>-46833.32</v>
      </c>
      <c r="CW279" s="163">
        <v>-54454.080000000002</v>
      </c>
      <c r="CX279" s="163">
        <v>-56014.39</v>
      </c>
      <c r="CY279" s="163">
        <v>-52720.9</v>
      </c>
      <c r="CZ279" s="163">
        <v>-50027.94</v>
      </c>
      <c r="DA279" s="163">
        <v>-48356.43</v>
      </c>
      <c r="DB279" s="163">
        <v>-45248.95</v>
      </c>
      <c r="DC279" s="163">
        <v>-41048.15</v>
      </c>
      <c r="DD279" s="163">
        <v>-52889.34</v>
      </c>
      <c r="DE279" s="163">
        <v>-55338.96</v>
      </c>
      <c r="DF279" s="163">
        <f>VLOOKUP($C279,'[3]BS ACC'!$C$5:$DH$1006,108,FALSE)</f>
        <v>-54038.11</v>
      </c>
      <c r="DG279" s="163">
        <f>VLOOKUP($C279,'[3]BS ACC'!$C$5:$DH$1006,109,FALSE)</f>
        <v>-41947.92</v>
      </c>
      <c r="DH279" s="163">
        <f>VLOOKUP($C279,'[3]BS ACC'!$C$5:$DH$1006,110,FALSE)</f>
        <v>-46338.32</v>
      </c>
    </row>
    <row r="280" spans="1:112">
      <c r="A280" s="350" t="str">
        <f t="shared" si="3"/>
        <v>2410300</v>
      </c>
      <c r="B280" s="350" t="s">
        <v>1663</v>
      </c>
      <c r="C280" s="335" t="s">
        <v>794</v>
      </c>
      <c r="D280" s="340">
        <v>-69907.19</v>
      </c>
      <c r="E280" s="340">
        <v>-156548.42000000001</v>
      </c>
      <c r="F280" s="340">
        <v>-150854.56</v>
      </c>
      <c r="G280" s="340">
        <v>-114202.8</v>
      </c>
      <c r="H280" s="340">
        <v>-74791.25</v>
      </c>
      <c r="I280" s="340">
        <v>-79891.820000000007</v>
      </c>
      <c r="J280" s="340">
        <v>-78038.179999999993</v>
      </c>
      <c r="K280" s="340">
        <v>-97653.46</v>
      </c>
      <c r="L280" s="340">
        <v>-62799.38</v>
      </c>
      <c r="M280" s="340">
        <v>-71085.62</v>
      </c>
      <c r="N280" s="340">
        <v>-89830.31</v>
      </c>
      <c r="O280" s="340">
        <v>-68679.039999999994</v>
      </c>
      <c r="P280" s="341">
        <v>-96949.88</v>
      </c>
      <c r="Q280" s="163">
        <v>-156303.9</v>
      </c>
      <c r="R280" s="163">
        <v>-129811.69</v>
      </c>
      <c r="S280" s="163">
        <v>-119378.06</v>
      </c>
      <c r="T280" s="163">
        <v>-76758.02</v>
      </c>
      <c r="U280" s="163">
        <v>-57473.67</v>
      </c>
      <c r="V280" s="163">
        <v>-91045.61</v>
      </c>
      <c r="W280" s="163">
        <v>-69265.789999999994</v>
      </c>
      <c r="X280" s="163">
        <v>-65242.49</v>
      </c>
      <c r="Y280" s="163">
        <v>-49779.03</v>
      </c>
      <c r="Z280" s="163">
        <v>-46604.5</v>
      </c>
      <c r="AA280" s="163">
        <v>-58486.25</v>
      </c>
      <c r="AB280" s="163">
        <v>-133482.54</v>
      </c>
      <c r="AC280" s="163">
        <v>-121541.71</v>
      </c>
      <c r="AD280" s="163">
        <v>-126079.29</v>
      </c>
      <c r="AE280" s="163">
        <v>-112713.57</v>
      </c>
      <c r="AF280" s="163">
        <v>-118897.95</v>
      </c>
      <c r="AG280" s="163">
        <v>-70837.72</v>
      </c>
      <c r="AH280" s="163">
        <v>-51725.64</v>
      </c>
      <c r="AI280" s="163">
        <v>-53249.04</v>
      </c>
      <c r="AJ280" s="163">
        <v>-44253.51</v>
      </c>
      <c r="AK280" s="163">
        <v>-44467.360000000001</v>
      </c>
      <c r="AL280" s="163">
        <v>-54250.16</v>
      </c>
      <c r="AM280" s="163">
        <v>-57650.68</v>
      </c>
      <c r="AN280" s="163">
        <v>-92656.08</v>
      </c>
      <c r="AO280" s="163">
        <v>96196.49</v>
      </c>
      <c r="AP280" s="163">
        <v>89470.8</v>
      </c>
      <c r="AQ280" s="163">
        <v>93405.08</v>
      </c>
      <c r="AR280" s="163">
        <v>89557.14</v>
      </c>
      <c r="AS280" s="163">
        <v>86139.5</v>
      </c>
      <c r="AT280" s="163">
        <v>95076.03</v>
      </c>
      <c r="AU280" s="163">
        <v>96267.65</v>
      </c>
      <c r="AV280" s="163">
        <v>87177.43</v>
      </c>
      <c r="AW280" s="163">
        <v>92491.199999999997</v>
      </c>
      <c r="AX280" s="163">
        <v>81418.8</v>
      </c>
      <c r="AY280" s="163">
        <v>85182.69</v>
      </c>
      <c r="AZ280" s="163">
        <v>92433.67</v>
      </c>
      <c r="BA280" s="163">
        <v>94052.75</v>
      </c>
      <c r="BB280" s="163">
        <v>85958.14</v>
      </c>
      <c r="BC280" s="163">
        <v>37810.93</v>
      </c>
      <c r="BD280" s="163">
        <v>98073.21</v>
      </c>
      <c r="BE280" s="163">
        <v>91420.11</v>
      </c>
      <c r="BF280" s="163">
        <v>65386.52</v>
      </c>
      <c r="BG280" s="163">
        <v>97470.9</v>
      </c>
      <c r="BH280" s="163">
        <v>66591.66</v>
      </c>
      <c r="BI280" s="163">
        <v>130587.97</v>
      </c>
      <c r="BJ280" s="163">
        <v>97343.72</v>
      </c>
      <c r="BK280" s="163">
        <v>98487.43</v>
      </c>
      <c r="BL280" s="163">
        <v>81339.539999999994</v>
      </c>
      <c r="BM280" s="163">
        <v>106153.02</v>
      </c>
      <c r="BN280" s="163">
        <v>100386.3</v>
      </c>
      <c r="BO280" s="163">
        <v>111300.77</v>
      </c>
      <c r="BP280" s="163">
        <v>115828.87</v>
      </c>
      <c r="BQ280" s="163">
        <v>110736.96000000001</v>
      </c>
      <c r="BR280" s="163">
        <v>92758.8</v>
      </c>
      <c r="BS280" s="163">
        <v>97976.78</v>
      </c>
      <c r="BT280" s="163">
        <v>106357.28</v>
      </c>
      <c r="BU280" s="163">
        <v>113235.44</v>
      </c>
      <c r="BV280" s="163">
        <v>102450.15</v>
      </c>
      <c r="BW280" s="163">
        <v>119725.72</v>
      </c>
      <c r="BX280" s="163">
        <v>107837.63</v>
      </c>
      <c r="BY280" s="163">
        <v>116928.46</v>
      </c>
      <c r="BZ280" s="163">
        <v>116913.24</v>
      </c>
      <c r="CA280" s="163">
        <v>114302.61</v>
      </c>
      <c r="CB280" s="163">
        <v>119017.74</v>
      </c>
      <c r="CC280" s="163">
        <v>111763.21</v>
      </c>
      <c r="CD280" s="163">
        <v>116028.57</v>
      </c>
      <c r="CE280" s="163">
        <v>118333.16</v>
      </c>
      <c r="CF280" s="163">
        <v>118425.74</v>
      </c>
      <c r="CG280" s="163">
        <v>117826.02</v>
      </c>
      <c r="CH280" s="163">
        <v>117096.31</v>
      </c>
      <c r="CI280" s="163">
        <v>119213.88</v>
      </c>
      <c r="CJ280" s="163">
        <v>118208.71</v>
      </c>
      <c r="CK280" s="163">
        <v>104766.53</v>
      </c>
      <c r="CL280" s="163">
        <v>103422.08</v>
      </c>
      <c r="CM280" s="163">
        <v>109351.06</v>
      </c>
      <c r="CN280" s="163">
        <v>107445.77</v>
      </c>
      <c r="CO280" s="163">
        <v>100384.1</v>
      </c>
      <c r="CP280" s="163">
        <v>106951.61</v>
      </c>
      <c r="CQ280" s="163">
        <v>108243.06</v>
      </c>
      <c r="CR280" s="163">
        <v>107194.5</v>
      </c>
      <c r="CS280" s="163">
        <v>104944.11</v>
      </c>
      <c r="CT280" s="163">
        <v>109406.43</v>
      </c>
      <c r="CU280" s="163">
        <v>109275.24</v>
      </c>
      <c r="CV280" s="163">
        <v>110528.94</v>
      </c>
      <c r="CW280" s="163">
        <v>156738.12</v>
      </c>
      <c r="CX280" s="163">
        <v>158887.78</v>
      </c>
      <c r="CY280" s="163">
        <v>160323.44</v>
      </c>
      <c r="CZ280" s="163">
        <v>160418.29</v>
      </c>
      <c r="DA280" s="163">
        <v>152162.62</v>
      </c>
      <c r="DB280" s="163">
        <v>150702.63</v>
      </c>
      <c r="DC280" s="163">
        <v>160183.23000000001</v>
      </c>
      <c r="DD280" s="163">
        <v>159354.13</v>
      </c>
      <c r="DE280" s="163">
        <v>160268.32999999999</v>
      </c>
      <c r="DF280" s="163">
        <f>VLOOKUP($C280,'[3]BS ACC'!$C$5:$DH$1006,108,FALSE)</f>
        <v>159472.07</v>
      </c>
      <c r="DG280" s="163">
        <f>VLOOKUP($C280,'[3]BS ACC'!$C$5:$DH$1006,109,FALSE)</f>
        <v>160419.47</v>
      </c>
      <c r="DH280" s="163">
        <f>VLOOKUP($C280,'[3]BS ACC'!$C$5:$DH$1006,110,FALSE)</f>
        <v>160367.88</v>
      </c>
    </row>
    <row r="281" spans="1:112">
      <c r="A281" s="350" t="str">
        <f t="shared" si="3"/>
        <v>2410305</v>
      </c>
      <c r="B281" s="350" t="s">
        <v>1664</v>
      </c>
      <c r="C281" s="335" t="s">
        <v>795</v>
      </c>
      <c r="D281" s="340">
        <v>-777.26</v>
      </c>
      <c r="E281" s="340">
        <v>-625.29999999999995</v>
      </c>
      <c r="F281" s="340">
        <v>-1004.13</v>
      </c>
      <c r="G281" s="340">
        <v>-840.44</v>
      </c>
      <c r="H281" s="340">
        <v>-768.4</v>
      </c>
      <c r="I281" s="340">
        <v>-1033.68</v>
      </c>
      <c r="J281" s="340">
        <v>-554.46</v>
      </c>
      <c r="K281" s="340">
        <v>-1419.25</v>
      </c>
      <c r="L281" s="340">
        <v>-769.73</v>
      </c>
      <c r="M281" s="340">
        <v>-761.53</v>
      </c>
      <c r="N281" s="340">
        <v>-1274</v>
      </c>
      <c r="O281" s="340">
        <v>-490.22</v>
      </c>
      <c r="P281" s="341">
        <v>-1117.07</v>
      </c>
      <c r="Q281" s="163">
        <v>-833.52</v>
      </c>
      <c r="R281" s="163">
        <v>-618.49</v>
      </c>
      <c r="S281" s="163">
        <v>-1029.05</v>
      </c>
      <c r="T281" s="163">
        <v>-832.95</v>
      </c>
      <c r="U281" s="163">
        <v>-593.79</v>
      </c>
      <c r="V281" s="163">
        <v>-789.58</v>
      </c>
      <c r="W281" s="163">
        <v>-1151.5899999999999</v>
      </c>
      <c r="X281" s="163">
        <v>-452.7</v>
      </c>
      <c r="Y281" s="163">
        <v>-940.21</v>
      </c>
      <c r="Z281" s="163">
        <v>-976.8</v>
      </c>
      <c r="AA281" s="163">
        <v>-885.75</v>
      </c>
      <c r="AB281" s="163">
        <v>-2072.61</v>
      </c>
      <c r="AC281" s="163">
        <v>-913.75</v>
      </c>
      <c r="AD281" s="163">
        <v>-685.75</v>
      </c>
      <c r="AE281" s="163">
        <v>-1576.18</v>
      </c>
      <c r="AF281" s="163">
        <v>-1820.99</v>
      </c>
      <c r="AG281" s="163">
        <v>-667.48</v>
      </c>
      <c r="AH281" s="163">
        <v>-1555.43</v>
      </c>
      <c r="AI281" s="163">
        <v>-773.77</v>
      </c>
      <c r="AJ281" s="163">
        <v>-1080.1500000000001</v>
      </c>
      <c r="AK281" s="163">
        <v>-1583.04</v>
      </c>
      <c r="AL281" s="163">
        <v>-2612.29</v>
      </c>
      <c r="AM281" s="163">
        <v>-1972.28</v>
      </c>
      <c r="AN281" s="163">
        <v>-3015.72</v>
      </c>
      <c r="AO281" s="163">
        <v>-637.22</v>
      </c>
      <c r="AP281" s="163">
        <v>-1893.27</v>
      </c>
      <c r="AQ281" s="163">
        <v>-1203.74</v>
      </c>
      <c r="AR281" s="163">
        <v>-1257.3399999999999</v>
      </c>
      <c r="AS281" s="163">
        <v>-2418.12</v>
      </c>
      <c r="AT281" s="163">
        <v>-1041.5999999999999</v>
      </c>
      <c r="AU281" s="163">
        <v>-908.12</v>
      </c>
      <c r="AV281" s="163">
        <v>-1109.1099999999999</v>
      </c>
      <c r="AW281" s="163">
        <v>-1228.4100000000001</v>
      </c>
      <c r="AX281" s="163">
        <v>-1612.83</v>
      </c>
      <c r="AY281" s="163">
        <v>-1028.56</v>
      </c>
      <c r="AZ281" s="163">
        <v>-1321.9</v>
      </c>
      <c r="BA281" s="163">
        <v>-915.21</v>
      </c>
      <c r="BB281" s="163">
        <v>-739.03</v>
      </c>
      <c r="BC281" s="163">
        <v>-1065.3599999999999</v>
      </c>
      <c r="BD281" s="163">
        <v>-493.35</v>
      </c>
      <c r="BE281" s="163">
        <v>-1441</v>
      </c>
      <c r="BF281" s="163">
        <v>-1408.6</v>
      </c>
      <c r="BG281" s="163">
        <v>-618.16</v>
      </c>
      <c r="BH281" s="163">
        <v>-849.03</v>
      </c>
      <c r="BI281" s="163">
        <v>-501.88</v>
      </c>
      <c r="BJ281" s="163">
        <v>-303.74</v>
      </c>
      <c r="BK281" s="163">
        <v>-507.97</v>
      </c>
      <c r="BL281" s="163">
        <v>-1744.34</v>
      </c>
      <c r="BM281" s="163">
        <v>-1507.29</v>
      </c>
      <c r="BN281" s="163">
        <v>-1827.45</v>
      </c>
      <c r="BO281" s="163">
        <v>-1133.6500000000001</v>
      </c>
      <c r="BP281" s="163">
        <v>-720.05</v>
      </c>
      <c r="BQ281" s="163">
        <v>-1555.92</v>
      </c>
      <c r="BR281" s="163">
        <v>-2024.93</v>
      </c>
      <c r="BS281" s="163">
        <v>-1589.92</v>
      </c>
      <c r="BT281" s="163">
        <v>-2756.45</v>
      </c>
      <c r="BU281" s="163">
        <v>-1181.1300000000001</v>
      </c>
      <c r="BV281" s="163">
        <v>-2836.98</v>
      </c>
      <c r="BW281" s="163">
        <v>-942.23</v>
      </c>
      <c r="BX281" s="163">
        <v>-2045.61</v>
      </c>
      <c r="BY281" s="163">
        <v>-672.7</v>
      </c>
      <c r="BZ281" s="163">
        <v>-1041.8</v>
      </c>
      <c r="CA281" s="163">
        <v>-1909.29</v>
      </c>
      <c r="CB281" s="163">
        <v>-281.52999999999997</v>
      </c>
      <c r="CC281" s="163">
        <v>-1442.17</v>
      </c>
      <c r="CD281" s="163">
        <v>-871.98</v>
      </c>
      <c r="CE281" s="163">
        <v>-509.92</v>
      </c>
      <c r="CF281" s="163">
        <v>-400.69</v>
      </c>
      <c r="CG281" s="163">
        <v>-611.38</v>
      </c>
      <c r="CH281" s="163">
        <v>-484.04</v>
      </c>
      <c r="CI281" s="163">
        <v>-103.4</v>
      </c>
      <c r="CJ281" s="163">
        <v>-476.48</v>
      </c>
      <c r="CK281" s="163">
        <v>-1223.51</v>
      </c>
      <c r="CL281" s="163">
        <v>-1298.33</v>
      </c>
      <c r="CM281" s="163">
        <v>-94.17</v>
      </c>
      <c r="CN281" s="163">
        <v>-567.76</v>
      </c>
      <c r="CO281" s="163">
        <v>-1713.04</v>
      </c>
      <c r="CP281" s="163">
        <v>-340.73</v>
      </c>
      <c r="CQ281" s="163">
        <v>-332.99</v>
      </c>
      <c r="CR281" s="163">
        <v>-535.25</v>
      </c>
      <c r="CS281" s="163">
        <v>-1028.44</v>
      </c>
      <c r="CT281" s="163">
        <v>-190.28</v>
      </c>
      <c r="CU281" s="163">
        <v>-236.66</v>
      </c>
      <c r="CV281" s="163">
        <v>-52.54</v>
      </c>
      <c r="CW281" s="163">
        <v>-201.16</v>
      </c>
      <c r="CX281" s="163">
        <v>-401.67</v>
      </c>
      <c r="CY281" s="163">
        <v>-119.19</v>
      </c>
      <c r="CZ281" s="163">
        <v>-103.42</v>
      </c>
      <c r="DA281" s="163">
        <v>-1492.62</v>
      </c>
      <c r="DB281" s="163">
        <v>-2401.35</v>
      </c>
      <c r="DC281" s="163">
        <v>-136.94</v>
      </c>
      <c r="DD281" s="163">
        <v>-180.65</v>
      </c>
      <c r="DE281" s="163">
        <v>-116.55</v>
      </c>
      <c r="DF281" s="163">
        <f>VLOOKUP($C281,'[3]BS ACC'!$C$5:$DH$1006,108,FALSE)</f>
        <v>-321.04000000000002</v>
      </c>
      <c r="DG281" s="163">
        <f>VLOOKUP($C281,'[3]BS ACC'!$C$5:$DH$1006,109,FALSE)</f>
        <v>-96.09</v>
      </c>
      <c r="DH281" s="163">
        <f>VLOOKUP($C281,'[3]BS ACC'!$C$5:$DH$1006,110,FALSE)</f>
        <v>-117.66</v>
      </c>
    </row>
    <row r="282" spans="1:112">
      <c r="A282" s="350" t="str">
        <f t="shared" si="3"/>
        <v>2410310</v>
      </c>
      <c r="B282" s="350" t="s">
        <v>1665</v>
      </c>
      <c r="C282" s="335" t="s">
        <v>796</v>
      </c>
      <c r="D282" s="340">
        <v>-542392.98</v>
      </c>
      <c r="E282" s="340">
        <v>-678199.9</v>
      </c>
      <c r="F282" s="340">
        <v>-704640.93</v>
      </c>
      <c r="G282" s="340">
        <v>-606297.94999999995</v>
      </c>
      <c r="H282" s="340">
        <v>-567480.93000000005</v>
      </c>
      <c r="I282" s="340">
        <v>-507300.9</v>
      </c>
      <c r="J282" s="340">
        <v>-491443.08</v>
      </c>
      <c r="K282" s="340">
        <v>-474832.81</v>
      </c>
      <c r="L282" s="340">
        <v>-456317.76</v>
      </c>
      <c r="M282" s="340">
        <v>-469837.61</v>
      </c>
      <c r="N282" s="340">
        <v>-473737.69</v>
      </c>
      <c r="O282" s="340">
        <v>-512637.74</v>
      </c>
      <c r="P282" s="341">
        <v>-605889.87</v>
      </c>
      <c r="Q282" s="163">
        <v>-663021.87</v>
      </c>
      <c r="R282" s="163">
        <v>-689491.17</v>
      </c>
      <c r="S282" s="163">
        <v>-655810.24</v>
      </c>
      <c r="T282" s="163">
        <v>-547773.07999999996</v>
      </c>
      <c r="U282" s="163">
        <v>-489320.45</v>
      </c>
      <c r="V282" s="163">
        <v>-496516.37</v>
      </c>
      <c r="W282" s="163">
        <v>-474977.78</v>
      </c>
      <c r="X282" s="163">
        <v>-475418.74</v>
      </c>
      <c r="Y282" s="163">
        <v>-469884.61</v>
      </c>
      <c r="Z282" s="163">
        <v>-474953.31</v>
      </c>
      <c r="AA282" s="163">
        <v>-503945.4</v>
      </c>
      <c r="AB282" s="163">
        <v>-536871.6</v>
      </c>
      <c r="AC282" s="163">
        <v>-620992.07999999996</v>
      </c>
      <c r="AD282" s="163">
        <v>-679960.58</v>
      </c>
      <c r="AE282" s="163">
        <v>-610971.85</v>
      </c>
      <c r="AF282" s="163">
        <v>-557247.1</v>
      </c>
      <c r="AG282" s="163">
        <v>-510814.34</v>
      </c>
      <c r="AH282" s="163">
        <v>-482258.93</v>
      </c>
      <c r="AI282" s="163">
        <v>-456056.77</v>
      </c>
      <c r="AJ282" s="163">
        <v>-452052.07</v>
      </c>
      <c r="AK282" s="163">
        <v>-458733.97</v>
      </c>
      <c r="AL282" s="163">
        <v>-457940.38</v>
      </c>
      <c r="AM282" s="163">
        <v>-492684.15</v>
      </c>
      <c r="AN282" s="163">
        <v>-553755.96</v>
      </c>
      <c r="AO282" s="163">
        <v>-609008.6</v>
      </c>
      <c r="AP282" s="163">
        <v>-599429.57999999996</v>
      </c>
      <c r="AQ282" s="163">
        <v>-570708.52</v>
      </c>
      <c r="AR282" s="163">
        <v>-561722.52</v>
      </c>
      <c r="AS282" s="163">
        <v>-531060.26</v>
      </c>
      <c r="AT282" s="163">
        <v>-495334.31</v>
      </c>
      <c r="AU282" s="163">
        <v>-472143.13</v>
      </c>
      <c r="AV282" s="163">
        <v>-474544.38</v>
      </c>
      <c r="AW282" s="163">
        <v>-478934.95</v>
      </c>
      <c r="AX282" s="163">
        <v>-480143.37</v>
      </c>
      <c r="AY282" s="163">
        <v>-520964.91</v>
      </c>
      <c r="AZ282" s="163">
        <v>-586685.89</v>
      </c>
      <c r="BA282" s="163">
        <v>-772605.89</v>
      </c>
      <c r="BB282" s="163">
        <v>-712404.27</v>
      </c>
      <c r="BC282" s="163">
        <v>-611026.55000000005</v>
      </c>
      <c r="BD282" s="163">
        <v>-619917.13</v>
      </c>
      <c r="BE282" s="163">
        <v>-551982.21</v>
      </c>
      <c r="BF282" s="163">
        <v>-554212.87</v>
      </c>
      <c r="BG282" s="163">
        <v>-514523.65</v>
      </c>
      <c r="BH282" s="163">
        <v>-490971.46</v>
      </c>
      <c r="BI282" s="163">
        <v>-512414.34</v>
      </c>
      <c r="BJ282" s="163">
        <v>-497637.84</v>
      </c>
      <c r="BK282" s="163">
        <v>-515649.91</v>
      </c>
      <c r="BL282" s="163">
        <v>-636824.75</v>
      </c>
      <c r="BM282" s="163">
        <v>-700557.82</v>
      </c>
      <c r="BN282" s="163">
        <v>-706111.81</v>
      </c>
      <c r="BO282" s="163">
        <v>-618934.13</v>
      </c>
      <c r="BP282" s="163">
        <v>-663539.47</v>
      </c>
      <c r="BQ282" s="163">
        <v>-550794.46</v>
      </c>
      <c r="BR282" s="163">
        <v>-474301.13</v>
      </c>
      <c r="BS282" s="163">
        <v>-418580.15</v>
      </c>
      <c r="BT282" s="163">
        <v>-457468.46</v>
      </c>
      <c r="BU282" s="163">
        <v>-386761.47</v>
      </c>
      <c r="BV282" s="163">
        <v>-432930.49</v>
      </c>
      <c r="BW282" s="163">
        <v>-501740.18</v>
      </c>
      <c r="BX282" s="163">
        <v>-678622.24</v>
      </c>
      <c r="BY282" s="163">
        <v>-698280.48</v>
      </c>
      <c r="BZ282" s="163">
        <v>-693121.89</v>
      </c>
      <c r="CA282" s="163">
        <v>-671310.8</v>
      </c>
      <c r="CB282" s="163">
        <v>-614010.65</v>
      </c>
      <c r="CC282" s="163">
        <v>-581147.82999999996</v>
      </c>
      <c r="CD282" s="163">
        <v>-542762.18000000005</v>
      </c>
      <c r="CE282" s="163">
        <v>-534973.47</v>
      </c>
      <c r="CF282" s="163">
        <v>-533139.57999999996</v>
      </c>
      <c r="CG282" s="163">
        <v>-505920.02</v>
      </c>
      <c r="CH282" s="163">
        <v>-511080.81</v>
      </c>
      <c r="CI282" s="163">
        <v>-568805.32999999996</v>
      </c>
      <c r="CJ282" s="163">
        <v>-650483.44999999995</v>
      </c>
      <c r="CK282" s="163">
        <v>-894971.47</v>
      </c>
      <c r="CL282" s="163">
        <v>-938242.02</v>
      </c>
      <c r="CM282" s="163">
        <v>-781279.02</v>
      </c>
      <c r="CN282" s="163">
        <v>-779951.15</v>
      </c>
      <c r="CO282" s="163">
        <v>-703198.35</v>
      </c>
      <c r="CP282" s="163">
        <v>-670080.13</v>
      </c>
      <c r="CQ282" s="163">
        <v>-661277.42000000004</v>
      </c>
      <c r="CR282" s="163">
        <v>-641864.15</v>
      </c>
      <c r="CS282" s="163">
        <v>-664611.75</v>
      </c>
      <c r="CT282" s="163">
        <v>-640175.91</v>
      </c>
      <c r="CU282" s="163">
        <v>-706933.98</v>
      </c>
      <c r="CV282" s="163">
        <v>-813263.62</v>
      </c>
      <c r="CW282" s="163">
        <v>-881265.14</v>
      </c>
      <c r="CX282" s="163">
        <v>-998729.98</v>
      </c>
      <c r="CY282" s="163">
        <v>-849043.82</v>
      </c>
      <c r="CZ282" s="163">
        <v>-799040.97</v>
      </c>
      <c r="DA282" s="163">
        <v>-754376.93</v>
      </c>
      <c r="DB282" s="163">
        <v>-730575.12</v>
      </c>
      <c r="DC282" s="163">
        <v>-659670.26</v>
      </c>
      <c r="DD282" s="163">
        <v>-681686.24</v>
      </c>
      <c r="DE282" s="163">
        <v>-696897.32</v>
      </c>
      <c r="DF282" s="163">
        <f>VLOOKUP($C282,'[3]BS ACC'!$C$5:$DH$1006,108,FALSE)</f>
        <v>-729615.23</v>
      </c>
      <c r="DG282" s="163">
        <f>VLOOKUP($C282,'[3]BS ACC'!$C$5:$DH$1006,109,FALSE)</f>
        <v>-739959</v>
      </c>
      <c r="DH282" s="163">
        <f>VLOOKUP($C282,'[3]BS ACC'!$C$5:$DH$1006,110,FALSE)</f>
        <v>-819818.6</v>
      </c>
    </row>
    <row r="283" spans="1:112">
      <c r="A283" s="350" t="str">
        <f t="shared" si="3"/>
        <v>2410320</v>
      </c>
      <c r="B283" s="350" t="s">
        <v>1666</v>
      </c>
      <c r="C283" s="335" t="s">
        <v>797</v>
      </c>
      <c r="D283" s="340">
        <v>-89.55</v>
      </c>
      <c r="E283" s="340">
        <v>-239732.56</v>
      </c>
      <c r="F283" s="340">
        <v>-89.55</v>
      </c>
      <c r="G283" s="340">
        <v>-89.55</v>
      </c>
      <c r="H283" s="340">
        <v>-89.55</v>
      </c>
      <c r="I283" s="340">
        <v>-89.55</v>
      </c>
      <c r="J283" s="340">
        <v>-89.55</v>
      </c>
      <c r="K283" s="340">
        <v>-89.55</v>
      </c>
      <c r="L283" s="340">
        <v>-89.55</v>
      </c>
      <c r="M283" s="340">
        <v>-89.55</v>
      </c>
      <c r="N283" s="340">
        <v>-89.55</v>
      </c>
      <c r="O283" s="340">
        <v>-89.55</v>
      </c>
      <c r="P283" s="341">
        <v>-89.55</v>
      </c>
      <c r="Q283" s="163">
        <v>-89.55</v>
      </c>
      <c r="R283" s="163">
        <v>-89.55</v>
      </c>
      <c r="S283" s="163">
        <v>-89.55</v>
      </c>
      <c r="T283" s="163">
        <v>-95838.02</v>
      </c>
      <c r="U283" s="163">
        <v>-90430.6</v>
      </c>
      <c r="V283" s="163">
        <v>-89.55</v>
      </c>
      <c r="W283" s="163">
        <v>-89.55</v>
      </c>
      <c r="X283" s="163">
        <v>-89.55</v>
      </c>
      <c r="Y283" s="163">
        <v>-89.55</v>
      </c>
      <c r="Z283" s="163">
        <v>-89.55</v>
      </c>
      <c r="AA283" s="163">
        <v>-89.55</v>
      </c>
      <c r="AB283" s="163">
        <v>-89.55</v>
      </c>
      <c r="AC283" s="163">
        <v>-89.55</v>
      </c>
      <c r="AD283" s="163">
        <v>-89.55</v>
      </c>
      <c r="AE283" s="163">
        <v>-89.55</v>
      </c>
      <c r="AF283" s="163">
        <v>-89.55</v>
      </c>
      <c r="AG283" s="163">
        <v>-89.55</v>
      </c>
      <c r="AH283" s="163">
        <v>-89.55</v>
      </c>
      <c r="AI283" s="163">
        <v>-89.55</v>
      </c>
      <c r="AJ283" s="163">
        <v>-89.55</v>
      </c>
      <c r="AK283" s="163">
        <v>-89.55</v>
      </c>
      <c r="AL283" s="163">
        <v>-89.55</v>
      </c>
      <c r="AM283" s="163">
        <v>-92.99</v>
      </c>
      <c r="AN283" s="163">
        <v>-89.55</v>
      </c>
      <c r="AO283" s="163">
        <v>-89.55</v>
      </c>
      <c r="AP283" s="163">
        <v>-89.55</v>
      </c>
      <c r="AQ283" s="163">
        <v>-8024.55</v>
      </c>
      <c r="AR283" s="163">
        <v>-8024.55</v>
      </c>
      <c r="AS283" s="163">
        <v>-89.55</v>
      </c>
      <c r="AT283" s="163">
        <v>-10072.799999999999</v>
      </c>
      <c r="AU283" s="163">
        <v>-10072.799999999999</v>
      </c>
      <c r="AV283" s="163">
        <v>-119997.35</v>
      </c>
      <c r="AW283" s="163">
        <v>-10072.799999999999</v>
      </c>
      <c r="AX283" s="163">
        <v>-10072.799999999999</v>
      </c>
      <c r="AY283" s="163">
        <v>-9983.25</v>
      </c>
      <c r="AZ283" s="163">
        <v>-9983.25</v>
      </c>
      <c r="BA283" s="163">
        <v>0</v>
      </c>
      <c r="BB283" s="163">
        <v>0</v>
      </c>
      <c r="BC283" s="163">
        <v>435.9</v>
      </c>
      <c r="BD283" s="163">
        <v>435.9</v>
      </c>
      <c r="BE283" s="163">
        <v>0</v>
      </c>
      <c r="BF283" s="163">
        <v>0</v>
      </c>
      <c r="BG283" s="163">
        <v>0</v>
      </c>
      <c r="BH283" s="163">
        <v>0</v>
      </c>
      <c r="BI283" s="163">
        <v>0</v>
      </c>
      <c r="BJ283" s="163">
        <v>0</v>
      </c>
      <c r="BK283" s="163">
        <v>0</v>
      </c>
      <c r="BL283" s="163">
        <v>0</v>
      </c>
      <c r="BM283" s="163">
        <v>-125858.37</v>
      </c>
      <c r="BN283" s="163">
        <v>-118777.73</v>
      </c>
      <c r="BO283" s="163">
        <v>0</v>
      </c>
      <c r="BP283" s="163">
        <v>0</v>
      </c>
      <c r="BQ283" s="163">
        <v>0</v>
      </c>
      <c r="BR283" s="163">
        <v>0</v>
      </c>
      <c r="BS283" s="163">
        <v>0</v>
      </c>
      <c r="BT283" s="163">
        <v>0</v>
      </c>
      <c r="BU283" s="163">
        <v>0</v>
      </c>
      <c r="BV283" s="163">
        <v>0</v>
      </c>
      <c r="BW283" s="163">
        <v>0</v>
      </c>
      <c r="BX283" s="163">
        <v>0</v>
      </c>
      <c r="BY283" s="163">
        <v>-87.39</v>
      </c>
      <c r="BZ283" s="163">
        <v>-10236.299999999999</v>
      </c>
      <c r="CA283" s="163">
        <v>0</v>
      </c>
      <c r="CB283" s="163">
        <v>0</v>
      </c>
      <c r="CC283" s="163">
        <v>-199.1</v>
      </c>
      <c r="CD283" s="163">
        <v>-188.4</v>
      </c>
      <c r="CE283" s="163">
        <v>-188.4</v>
      </c>
      <c r="CF283" s="163">
        <v>-188.4</v>
      </c>
      <c r="CG283" s="163">
        <v>-188.4</v>
      </c>
      <c r="CH283" s="163">
        <v>-188.4</v>
      </c>
      <c r="CI283" s="163">
        <v>-189.36</v>
      </c>
      <c r="CJ283" s="163">
        <v>-131226.32999999999</v>
      </c>
      <c r="CK283" s="163">
        <v>-188.4</v>
      </c>
      <c r="CL283" s="163">
        <v>-188.4</v>
      </c>
      <c r="CM283" s="163">
        <v>-188.4</v>
      </c>
      <c r="CN283" s="163">
        <v>-188.4</v>
      </c>
      <c r="CO283" s="163">
        <v>-833.03</v>
      </c>
      <c r="CP283" s="163">
        <v>-163.16</v>
      </c>
      <c r="CQ283" s="163">
        <v>-163.16</v>
      </c>
      <c r="CR283" s="163">
        <v>-615.85</v>
      </c>
      <c r="CS283" s="163">
        <v>-362.21</v>
      </c>
      <c r="CT283" s="163">
        <v>-362.21</v>
      </c>
      <c r="CU283" s="163">
        <v>-362.21</v>
      </c>
      <c r="CV283" s="163">
        <v>-362.21</v>
      </c>
      <c r="CW283" s="163">
        <v>-809.09</v>
      </c>
      <c r="CX283" s="163">
        <v>-362.21</v>
      </c>
      <c r="CY283" s="163">
        <v>-362.21</v>
      </c>
      <c r="CZ283" s="163">
        <v>-3363.59</v>
      </c>
      <c r="DA283" s="163">
        <v>-443.58</v>
      </c>
      <c r="DB283" s="163">
        <v>-164073.1</v>
      </c>
      <c r="DC283" s="163">
        <v>-156612.03</v>
      </c>
      <c r="DD283" s="163">
        <v>805.39</v>
      </c>
      <c r="DE283" s="163">
        <v>953.88</v>
      </c>
      <c r="DF283" s="163">
        <f>VLOOKUP($C283,'[3]BS ACC'!$C$5:$DH$1006,108,FALSE)</f>
        <v>666.59</v>
      </c>
      <c r="DG283" s="163">
        <f>VLOOKUP($C283,'[3]BS ACC'!$C$5:$DH$1006,109,FALSE)</f>
        <v>738.11</v>
      </c>
      <c r="DH283" s="163">
        <f>VLOOKUP($C283,'[3]BS ACC'!$C$5:$DH$1006,110,FALSE)</f>
        <v>-9049.93</v>
      </c>
    </row>
    <row r="284" spans="1:112">
      <c r="A284" s="350" t="str">
        <f t="shared" si="3"/>
        <v>2410330</v>
      </c>
      <c r="B284" s="350" t="s">
        <v>1667</v>
      </c>
      <c r="C284" s="335" t="s">
        <v>798</v>
      </c>
      <c r="D284" s="340">
        <v>-1337.13</v>
      </c>
      <c r="E284" s="340">
        <v>-736443.68</v>
      </c>
      <c r="F284" s="340">
        <v>-1337.13</v>
      </c>
      <c r="G284" s="340">
        <v>-1337.13</v>
      </c>
      <c r="H284" s="340">
        <v>-1337.13</v>
      </c>
      <c r="I284" s="340">
        <v>-1337.13</v>
      </c>
      <c r="J284" s="340">
        <v>-1337.13</v>
      </c>
      <c r="K284" s="340">
        <v>-1337.13</v>
      </c>
      <c r="L284" s="340">
        <v>-1337.13</v>
      </c>
      <c r="M284" s="340">
        <v>-1337.13</v>
      </c>
      <c r="N284" s="340">
        <v>-1337.13</v>
      </c>
      <c r="O284" s="340">
        <v>-1337.13</v>
      </c>
      <c r="P284" s="341">
        <v>-1337.13</v>
      </c>
      <c r="Q284" s="163">
        <v>-1337.13</v>
      </c>
      <c r="R284" s="163">
        <v>-1337.13</v>
      </c>
      <c r="S284" s="163">
        <v>-1337.13</v>
      </c>
      <c r="T284" s="163">
        <v>-155626.78</v>
      </c>
      <c r="U284" s="163">
        <v>-145126.96</v>
      </c>
      <c r="V284" s="163">
        <v>-1337.13</v>
      </c>
      <c r="W284" s="163">
        <v>-1337.13</v>
      </c>
      <c r="X284" s="163">
        <v>-1337.13</v>
      </c>
      <c r="Y284" s="163">
        <v>-1337.13</v>
      </c>
      <c r="Z284" s="163">
        <v>-1337.13</v>
      </c>
      <c r="AA284" s="163">
        <v>-1337.13</v>
      </c>
      <c r="AB284" s="163">
        <v>-1337.13</v>
      </c>
      <c r="AC284" s="163">
        <v>-1337.13</v>
      </c>
      <c r="AD284" s="163">
        <v>-1337.13</v>
      </c>
      <c r="AE284" s="163">
        <v>-1337.13</v>
      </c>
      <c r="AF284" s="163">
        <v>-1337.13</v>
      </c>
      <c r="AG284" s="163">
        <v>-1337.13</v>
      </c>
      <c r="AH284" s="163">
        <v>-1337.13</v>
      </c>
      <c r="AI284" s="163">
        <v>-1337.13</v>
      </c>
      <c r="AJ284" s="163">
        <v>-1337.13</v>
      </c>
      <c r="AK284" s="163">
        <v>-1337.13</v>
      </c>
      <c r="AL284" s="163">
        <v>-1337.13</v>
      </c>
      <c r="AM284" s="163">
        <v>-1337.13</v>
      </c>
      <c r="AN284" s="163">
        <v>-1337.13</v>
      </c>
      <c r="AO284" s="163">
        <v>-1337.13</v>
      </c>
      <c r="AP284" s="163">
        <v>-1337.13</v>
      </c>
      <c r="AQ284" s="163">
        <v>-25185.41</v>
      </c>
      <c r="AR284" s="163">
        <v>-25185.41</v>
      </c>
      <c r="AS284" s="163">
        <v>-25185.41</v>
      </c>
      <c r="AT284" s="163">
        <v>-25185.41</v>
      </c>
      <c r="AU284" s="163">
        <v>-1337.13</v>
      </c>
      <c r="AV284" s="163">
        <v>-195536.44</v>
      </c>
      <c r="AW284" s="163">
        <v>-1337.13</v>
      </c>
      <c r="AX284" s="163">
        <v>-1337.13</v>
      </c>
      <c r="AY284" s="163">
        <v>0</v>
      </c>
      <c r="AZ284" s="163">
        <v>0</v>
      </c>
      <c r="BA284" s="163">
        <v>0</v>
      </c>
      <c r="BB284" s="163">
        <v>0</v>
      </c>
      <c r="BC284" s="163">
        <v>1002.86</v>
      </c>
      <c r="BD284" s="163">
        <v>1002.86</v>
      </c>
      <c r="BE284" s="163">
        <v>0</v>
      </c>
      <c r="BF284" s="163">
        <v>0</v>
      </c>
      <c r="BG284" s="163">
        <v>0</v>
      </c>
      <c r="BH284" s="163">
        <v>0</v>
      </c>
      <c r="BI284" s="163">
        <v>333.33</v>
      </c>
      <c r="BJ284" s="163">
        <v>5.49</v>
      </c>
      <c r="BK284" s="163">
        <v>333.33</v>
      </c>
      <c r="BL284" s="163">
        <v>333.33</v>
      </c>
      <c r="BM284" s="163">
        <v>-181558.7</v>
      </c>
      <c r="BN284" s="163">
        <v>-170753.68</v>
      </c>
      <c r="BO284" s="163">
        <v>333.33</v>
      </c>
      <c r="BP284" s="163">
        <v>333.33</v>
      </c>
      <c r="BQ284" s="163">
        <v>333.33</v>
      </c>
      <c r="BR284" s="163">
        <v>333.33</v>
      </c>
      <c r="BS284" s="163">
        <v>333.33</v>
      </c>
      <c r="BT284" s="163">
        <v>333.33</v>
      </c>
      <c r="BU284" s="163">
        <v>333.33</v>
      </c>
      <c r="BV284" s="163">
        <v>333.33</v>
      </c>
      <c r="BW284" s="163">
        <v>333.33</v>
      </c>
      <c r="BX284" s="163">
        <v>333.33</v>
      </c>
      <c r="BY284" s="163">
        <v>207.82</v>
      </c>
      <c r="BZ284" s="163">
        <v>-29104.43</v>
      </c>
      <c r="CA284" s="163">
        <v>333.33</v>
      </c>
      <c r="CB284" s="163">
        <v>333.33</v>
      </c>
      <c r="CC284" s="163">
        <v>-28.1</v>
      </c>
      <c r="CD284" s="163">
        <v>333.33</v>
      </c>
      <c r="CE284" s="163">
        <v>333.33</v>
      </c>
      <c r="CF284" s="163">
        <v>333.33</v>
      </c>
      <c r="CG284" s="163">
        <v>333.33</v>
      </c>
      <c r="CH284" s="163">
        <v>333.33</v>
      </c>
      <c r="CI284" s="163">
        <v>333.33</v>
      </c>
      <c r="CJ284" s="163">
        <v>-215923.88</v>
      </c>
      <c r="CK284" s="163">
        <v>333.33</v>
      </c>
      <c r="CL284" s="163">
        <v>333.33</v>
      </c>
      <c r="CM284" s="163">
        <v>333.33</v>
      </c>
      <c r="CN284" s="163">
        <v>562.76</v>
      </c>
      <c r="CO284" s="163">
        <v>-1861.49</v>
      </c>
      <c r="CP284" s="163">
        <v>578.65</v>
      </c>
      <c r="CQ284" s="163">
        <v>578.65</v>
      </c>
      <c r="CR284" s="163">
        <v>29.13</v>
      </c>
      <c r="CS284" s="163">
        <v>273.89</v>
      </c>
      <c r="CT284" s="163">
        <v>273.89</v>
      </c>
      <c r="CU284" s="163">
        <v>273.89</v>
      </c>
      <c r="CV284" s="163">
        <v>273.89</v>
      </c>
      <c r="CW284" s="163">
        <v>-465.16</v>
      </c>
      <c r="CX284" s="163">
        <v>273.89</v>
      </c>
      <c r="CY284" s="163">
        <v>273.89</v>
      </c>
      <c r="CZ284" s="163">
        <v>-7374.84</v>
      </c>
      <c r="DA284" s="163">
        <v>132.74</v>
      </c>
      <c r="DB284" s="163">
        <v>-245713.63</v>
      </c>
      <c r="DC284" s="163">
        <v>-227833.37</v>
      </c>
      <c r="DD284" s="163">
        <v>3113.69</v>
      </c>
      <c r="DE284" s="163">
        <v>3331.65</v>
      </c>
      <c r="DF284" s="163">
        <f>VLOOKUP($C284,'[3]BS ACC'!$C$5:$DH$1006,108,FALSE)</f>
        <v>3106.51</v>
      </c>
      <c r="DG284" s="163">
        <f>VLOOKUP($C284,'[3]BS ACC'!$C$5:$DH$1006,109,FALSE)</f>
        <v>3239.74</v>
      </c>
      <c r="DH284" s="163">
        <f>VLOOKUP($C284,'[3]BS ACC'!$C$5:$DH$1006,110,FALSE)</f>
        <v>-2169.04</v>
      </c>
    </row>
    <row r="285" spans="1:112">
      <c r="A285" s="350" t="str">
        <f t="shared" ref="A285:A329" si="4">+B285</f>
        <v>2410430</v>
      </c>
      <c r="B285" s="350" t="s">
        <v>1668</v>
      </c>
      <c r="C285" s="335" t="s">
        <v>1472</v>
      </c>
      <c r="D285" s="340"/>
      <c r="E285" s="340"/>
      <c r="F285" s="340"/>
      <c r="G285" s="340"/>
      <c r="H285" s="340"/>
      <c r="I285" s="340"/>
      <c r="J285" s="340"/>
      <c r="K285" s="340"/>
      <c r="L285" s="340"/>
      <c r="M285" s="340"/>
      <c r="N285" s="340"/>
      <c r="O285" s="340"/>
      <c r="P285" s="341"/>
      <c r="Q285" s="163"/>
      <c r="R285" s="163"/>
      <c r="S285" s="163"/>
      <c r="T285" s="163"/>
      <c r="U285" s="163"/>
      <c r="V285" s="163"/>
      <c r="W285" s="163"/>
      <c r="X285" s="163"/>
      <c r="Y285" s="163"/>
      <c r="Z285" s="163"/>
      <c r="AA285" s="163"/>
      <c r="AB285" s="163"/>
      <c r="AC285" s="163"/>
      <c r="AD285" s="163"/>
      <c r="AE285" s="163"/>
      <c r="AF285" s="163">
        <v>0</v>
      </c>
      <c r="AG285" s="163">
        <v>0</v>
      </c>
      <c r="AH285" s="163">
        <v>0</v>
      </c>
      <c r="AI285" s="163">
        <v>0</v>
      </c>
      <c r="AJ285" s="163">
        <v>0</v>
      </c>
      <c r="AK285" s="163">
        <v>0</v>
      </c>
      <c r="AL285" s="163">
        <v>0</v>
      </c>
      <c r="AM285" s="163">
        <v>0</v>
      </c>
      <c r="AN285" s="163">
        <v>0</v>
      </c>
      <c r="AO285" s="163">
        <v>0</v>
      </c>
      <c r="AP285" s="163">
        <v>0</v>
      </c>
      <c r="AQ285" s="163">
        <v>0</v>
      </c>
      <c r="AR285" s="163">
        <v>0</v>
      </c>
      <c r="AS285" s="163">
        <v>0</v>
      </c>
      <c r="AT285" s="163">
        <v>0</v>
      </c>
      <c r="AU285" s="163">
        <v>0</v>
      </c>
      <c r="AV285" s="163">
        <v>0</v>
      </c>
      <c r="AW285" s="163">
        <v>0</v>
      </c>
      <c r="AX285" s="163">
        <v>0</v>
      </c>
      <c r="AY285" s="163">
        <v>0</v>
      </c>
      <c r="AZ285" s="163">
        <v>0</v>
      </c>
      <c r="BA285" s="163">
        <v>0</v>
      </c>
      <c r="BB285" s="163">
        <v>0</v>
      </c>
      <c r="BC285" s="163">
        <v>0</v>
      </c>
      <c r="BD285" s="163">
        <v>0</v>
      </c>
      <c r="BE285" s="163">
        <v>0</v>
      </c>
      <c r="BF285" s="163">
        <v>0</v>
      </c>
      <c r="BG285" s="163">
        <v>0</v>
      </c>
      <c r="BH285" s="163">
        <v>0</v>
      </c>
      <c r="BI285" s="163">
        <v>0</v>
      </c>
      <c r="BJ285" s="163">
        <v>0</v>
      </c>
      <c r="BK285" s="163">
        <v>0</v>
      </c>
      <c r="BL285" s="163">
        <v>0</v>
      </c>
      <c r="BM285" s="163">
        <v>0</v>
      </c>
      <c r="BN285" s="163">
        <v>0</v>
      </c>
      <c r="BO285" s="163">
        <v>0</v>
      </c>
      <c r="BP285" s="163">
        <v>0</v>
      </c>
      <c r="BQ285" s="163">
        <v>0</v>
      </c>
      <c r="BR285" s="163">
        <v>0</v>
      </c>
      <c r="BS285" s="163">
        <v>0</v>
      </c>
      <c r="BT285" s="163">
        <v>0</v>
      </c>
      <c r="BU285" s="163">
        <v>0</v>
      </c>
      <c r="BV285" s="163">
        <v>0</v>
      </c>
      <c r="BW285" s="163">
        <v>0</v>
      </c>
      <c r="BX285" s="163">
        <v>0</v>
      </c>
      <c r="BY285" s="163">
        <v>0</v>
      </c>
      <c r="BZ285" s="163">
        <v>0</v>
      </c>
      <c r="CA285" s="163">
        <v>0</v>
      </c>
      <c r="CB285" s="163">
        <v>0</v>
      </c>
      <c r="CC285" s="163">
        <v>0</v>
      </c>
      <c r="CD285" s="163">
        <v>0</v>
      </c>
      <c r="CE285" s="163">
        <v>0</v>
      </c>
      <c r="CF285" s="163">
        <v>0</v>
      </c>
      <c r="CG285" s="163">
        <v>0</v>
      </c>
      <c r="CH285" s="163">
        <v>0</v>
      </c>
      <c r="CI285" s="163">
        <v>0</v>
      </c>
      <c r="CJ285" s="163">
        <v>-154.80000000000001</v>
      </c>
      <c r="CK285" s="163">
        <v>-463.56</v>
      </c>
      <c r="CL285" s="163">
        <v>-463.56</v>
      </c>
      <c r="CM285" s="163">
        <v>-1445.44</v>
      </c>
      <c r="CN285" s="163">
        <v>-462.98</v>
      </c>
      <c r="CO285" s="163">
        <v>324.24</v>
      </c>
      <c r="CP285" s="163">
        <v>324.24</v>
      </c>
      <c r="CQ285" s="163">
        <v>324.24</v>
      </c>
      <c r="CR285" s="163">
        <v>324.24</v>
      </c>
      <c r="CS285" s="163">
        <v>324.24</v>
      </c>
      <c r="CT285" s="163">
        <v>324.24</v>
      </c>
      <c r="CU285" s="163">
        <v>324.24</v>
      </c>
      <c r="CV285" s="163">
        <v>324.24</v>
      </c>
      <c r="CW285" s="163">
        <v>324.24</v>
      </c>
      <c r="CX285" s="163">
        <v>324.24</v>
      </c>
      <c r="CY285" s="163">
        <v>324.24</v>
      </c>
      <c r="CZ285" s="163">
        <v>-1120.76</v>
      </c>
      <c r="DA285" s="163">
        <v>-1450.76</v>
      </c>
      <c r="DB285" s="163">
        <v>-2445.06</v>
      </c>
      <c r="DC285" s="163">
        <v>-3630</v>
      </c>
      <c r="DD285" s="163">
        <v>-1674.63</v>
      </c>
      <c r="DE285" s="163">
        <v>-2512.4699999999998</v>
      </c>
      <c r="DF285" s="163">
        <f>VLOOKUP($C285,'[3]BS ACC'!$C$5:$DH$1006,108,FALSE)</f>
        <v>-894.32</v>
      </c>
      <c r="DG285" s="163">
        <f>VLOOKUP($C285,'[3]BS ACC'!$C$5:$DH$1006,109,FALSE)</f>
        <v>-2072.2399999999998</v>
      </c>
      <c r="DH285" s="163">
        <f>VLOOKUP($C285,'[3]BS ACC'!$C$5:$DH$1006,110,FALSE)</f>
        <v>-4010.59</v>
      </c>
    </row>
    <row r="286" spans="1:112">
      <c r="A286" s="350" t="str">
        <f t="shared" si="4"/>
        <v>2420111</v>
      </c>
      <c r="B286" s="350" t="s">
        <v>913</v>
      </c>
      <c r="C286" s="335" t="s">
        <v>799</v>
      </c>
      <c r="D286" s="340">
        <v>-777018</v>
      </c>
      <c r="E286" s="340">
        <v>-777018</v>
      </c>
      <c r="F286" s="340">
        <v>-777018</v>
      </c>
      <c r="G286" s="340">
        <v>-777018</v>
      </c>
      <c r="H286" s="340">
        <v>-777018</v>
      </c>
      <c r="I286" s="340">
        <v>-777018</v>
      </c>
      <c r="J286" s="340">
        <v>-777018</v>
      </c>
      <c r="K286" s="340">
        <v>-777018</v>
      </c>
      <c r="L286" s="340">
        <v>-777018</v>
      </c>
      <c r="M286" s="340">
        <v>-777018</v>
      </c>
      <c r="N286" s="340">
        <v>-777018</v>
      </c>
      <c r="O286" s="340">
        <v>-777018</v>
      </c>
      <c r="P286" s="341">
        <v>-440389</v>
      </c>
      <c r="Q286" s="163">
        <v>-440389</v>
      </c>
      <c r="R286" s="163">
        <v>-440389</v>
      </c>
      <c r="S286" s="163">
        <v>-440389</v>
      </c>
      <c r="T286" s="163">
        <v>-440389</v>
      </c>
      <c r="U286" s="163">
        <v>-440389</v>
      </c>
      <c r="V286" s="163">
        <v>-440389</v>
      </c>
      <c r="W286" s="163">
        <v>-440389</v>
      </c>
      <c r="X286" s="163">
        <v>-440389</v>
      </c>
      <c r="Y286" s="163">
        <v>-440389</v>
      </c>
      <c r="Z286" s="163">
        <v>-440389</v>
      </c>
      <c r="AA286" s="163">
        <v>-440389</v>
      </c>
      <c r="AB286" s="163">
        <v>-450241</v>
      </c>
      <c r="AC286" s="163">
        <v>-450241</v>
      </c>
      <c r="AD286" s="163">
        <v>-450241</v>
      </c>
      <c r="AE286" s="163">
        <v>-450241</v>
      </c>
      <c r="AF286" s="163">
        <v>-450241</v>
      </c>
      <c r="AG286" s="163">
        <v>-450241</v>
      </c>
      <c r="AH286" s="163">
        <v>-450241</v>
      </c>
      <c r="AI286" s="163">
        <v>-450241</v>
      </c>
      <c r="AJ286" s="163">
        <v>-450241</v>
      </c>
      <c r="AK286" s="163">
        <v>-450241</v>
      </c>
      <c r="AL286" s="163">
        <v>-450241</v>
      </c>
      <c r="AM286" s="163">
        <v>-450241</v>
      </c>
      <c r="AN286" s="163">
        <v>-388457</v>
      </c>
      <c r="AO286" s="163">
        <v>-388457</v>
      </c>
      <c r="AP286" s="163">
        <v>-388457</v>
      </c>
      <c r="AQ286" s="163">
        <v>-388457</v>
      </c>
      <c r="AR286" s="163">
        <v>-388457</v>
      </c>
      <c r="AS286" s="163">
        <v>-388457</v>
      </c>
      <c r="AT286" s="163">
        <v>-388457</v>
      </c>
      <c r="AU286" s="163">
        <v>-388457</v>
      </c>
      <c r="AV286" s="163">
        <v>-388457</v>
      </c>
      <c r="AW286" s="163">
        <v>-388457</v>
      </c>
      <c r="AX286" s="163">
        <v>-388457</v>
      </c>
      <c r="AY286" s="163">
        <v>-388457</v>
      </c>
      <c r="AZ286" s="163">
        <v>-388457</v>
      </c>
      <c r="BA286" s="163">
        <v>-388457</v>
      </c>
      <c r="BB286" s="163">
        <v>-388457</v>
      </c>
      <c r="BC286" s="163">
        <v>-388457</v>
      </c>
      <c r="BD286" s="163">
        <v>-388457</v>
      </c>
      <c r="BE286" s="163">
        <v>-388457</v>
      </c>
      <c r="BF286" s="163">
        <v>-365962</v>
      </c>
      <c r="BG286" s="163">
        <v>-365962</v>
      </c>
      <c r="BH286" s="163">
        <v>-365962</v>
      </c>
      <c r="BI286" s="163">
        <v>-365962</v>
      </c>
      <c r="BJ286" s="163">
        <v>-365962</v>
      </c>
      <c r="BK286" s="163">
        <v>-365962</v>
      </c>
      <c r="BL286" s="163">
        <v>-259763</v>
      </c>
      <c r="BM286" s="163">
        <v>-259763</v>
      </c>
      <c r="BN286" s="163">
        <v>-259763</v>
      </c>
      <c r="BO286" s="163">
        <v>-259763</v>
      </c>
      <c r="BP286" s="163">
        <v>-259763</v>
      </c>
      <c r="BQ286" s="163">
        <v>-259763</v>
      </c>
      <c r="BR286" s="163">
        <v>-259763</v>
      </c>
      <c r="BS286" s="163">
        <v>-259763</v>
      </c>
      <c r="BT286" s="163">
        <v>-259763</v>
      </c>
      <c r="BU286" s="163">
        <v>-259763</v>
      </c>
      <c r="BV286" s="163">
        <v>-259763</v>
      </c>
      <c r="BW286" s="163">
        <v>-259763</v>
      </c>
      <c r="BX286" s="163">
        <v>-249912</v>
      </c>
      <c r="BY286" s="163">
        <v>-249912</v>
      </c>
      <c r="BZ286" s="163">
        <v>-249912</v>
      </c>
      <c r="CA286" s="163">
        <v>-249912</v>
      </c>
      <c r="CB286" s="163">
        <v>-249912</v>
      </c>
      <c r="CC286" s="163">
        <v>-249912</v>
      </c>
      <c r="CD286" s="163">
        <v>-249912</v>
      </c>
      <c r="CE286" s="163">
        <v>-249912</v>
      </c>
      <c r="CF286" s="163">
        <v>-249912</v>
      </c>
      <c r="CG286" s="163">
        <v>-249912</v>
      </c>
      <c r="CH286" s="163">
        <v>-249912</v>
      </c>
      <c r="CI286" s="163">
        <v>-249912</v>
      </c>
      <c r="CJ286" s="163">
        <v>-249912</v>
      </c>
      <c r="CK286" s="163">
        <v>-249912</v>
      </c>
      <c r="CL286" s="163">
        <v>-249912</v>
      </c>
      <c r="CM286" s="163">
        <v>-249912</v>
      </c>
      <c r="CN286" s="163">
        <v>-249912</v>
      </c>
      <c r="CO286" s="163">
        <v>-249912</v>
      </c>
      <c r="CP286" s="163">
        <v>-249912</v>
      </c>
      <c r="CQ286" s="163">
        <v>-249912</v>
      </c>
      <c r="CR286" s="163">
        <v>-249912</v>
      </c>
      <c r="CS286" s="163">
        <v>-249912</v>
      </c>
      <c r="CT286" s="163">
        <v>-249912</v>
      </c>
      <c r="CU286" s="163">
        <v>-249912</v>
      </c>
      <c r="CV286" s="163">
        <v>-215694</v>
      </c>
      <c r="CW286" s="163">
        <v>-215694</v>
      </c>
      <c r="CX286" s="163">
        <v>-215694</v>
      </c>
      <c r="CY286" s="163">
        <v>-215694</v>
      </c>
      <c r="CZ286" s="163">
        <v>-215694</v>
      </c>
      <c r="DA286" s="163">
        <v>-215694</v>
      </c>
      <c r="DB286" s="163">
        <v>-215694</v>
      </c>
      <c r="DC286" s="163">
        <v>-215694</v>
      </c>
      <c r="DD286" s="163">
        <v>-215694</v>
      </c>
      <c r="DE286" s="163">
        <v>-215694</v>
      </c>
      <c r="DF286" s="163">
        <f>VLOOKUP($C286,'[3]BS ACC'!$C$5:$DH$1006,108,FALSE)</f>
        <v>-215694</v>
      </c>
      <c r="DG286" s="163">
        <f>VLOOKUP($C286,'[3]BS ACC'!$C$5:$DH$1006,109,FALSE)</f>
        <v>-215694</v>
      </c>
      <c r="DH286" s="163">
        <f>VLOOKUP($C286,'[3]BS ACC'!$C$5:$DH$1006,110,FALSE)</f>
        <v>-301237</v>
      </c>
    </row>
    <row r="287" spans="1:112">
      <c r="A287" s="350" t="str">
        <f t="shared" si="4"/>
        <v>2420121</v>
      </c>
      <c r="B287" s="350" t="s">
        <v>1753</v>
      </c>
      <c r="C287" s="335" t="s">
        <v>1694</v>
      </c>
      <c r="D287" s="340">
        <v>-777018</v>
      </c>
      <c r="E287" s="340">
        <v>-777018</v>
      </c>
      <c r="F287" s="340">
        <v>-777018</v>
      </c>
      <c r="G287" s="340">
        <v>-777018</v>
      </c>
      <c r="H287" s="340">
        <v>-777018</v>
      </c>
      <c r="I287" s="340">
        <v>-777018</v>
      </c>
      <c r="J287" s="340">
        <v>-777018</v>
      </c>
      <c r="K287" s="340">
        <v>-777018</v>
      </c>
      <c r="L287" s="340">
        <v>-777018</v>
      </c>
      <c r="M287" s="340">
        <v>-777018</v>
      </c>
      <c r="N287" s="340">
        <v>-777018</v>
      </c>
      <c r="O287" s="340">
        <v>-777018</v>
      </c>
      <c r="P287" s="341"/>
      <c r="Q287" s="341"/>
      <c r="R287" s="341"/>
      <c r="S287" s="341"/>
      <c r="T287" s="341"/>
      <c r="U287" s="341"/>
      <c r="V287" s="341"/>
      <c r="W287" s="341"/>
      <c r="X287" s="341"/>
      <c r="Y287" s="341"/>
      <c r="Z287" s="341"/>
      <c r="AA287" s="341"/>
      <c r="AB287" s="341"/>
      <c r="AC287" s="341"/>
      <c r="AD287" s="341"/>
      <c r="AE287" s="341"/>
      <c r="AF287" s="341"/>
      <c r="AG287" s="341"/>
      <c r="AH287" s="341"/>
      <c r="AI287" s="163">
        <v>0</v>
      </c>
      <c r="AJ287" s="163">
        <v>0</v>
      </c>
      <c r="AK287" s="163">
        <v>-620</v>
      </c>
      <c r="AL287" s="163">
        <v>-620</v>
      </c>
      <c r="AM287" s="163">
        <v>-620</v>
      </c>
      <c r="AN287" s="163">
        <v>-548</v>
      </c>
      <c r="AO287" s="163">
        <v>-548</v>
      </c>
      <c r="AP287" s="163">
        <v>-548</v>
      </c>
      <c r="AQ287" s="163">
        <v>-548</v>
      </c>
      <c r="AR287" s="163">
        <v>-548</v>
      </c>
      <c r="AS287" s="163">
        <v>-548</v>
      </c>
      <c r="AT287" s="163">
        <v>-548</v>
      </c>
      <c r="AU287" s="163">
        <v>-548</v>
      </c>
      <c r="AV287" s="163">
        <v>-548</v>
      </c>
      <c r="AW287" s="163">
        <v>-548</v>
      </c>
      <c r="AX287" s="163">
        <v>-548</v>
      </c>
      <c r="AY287" s="163">
        <v>-548</v>
      </c>
      <c r="AZ287" s="163">
        <v>-4232</v>
      </c>
      <c r="BA287" s="163">
        <v>-4232</v>
      </c>
      <c r="BB287" s="163">
        <v>-4232</v>
      </c>
      <c r="BC287" s="163">
        <v>-4232</v>
      </c>
      <c r="BD287" s="163">
        <v>-4232</v>
      </c>
      <c r="BE287" s="163">
        <v>-4232</v>
      </c>
      <c r="BF287" s="163">
        <v>-4232</v>
      </c>
      <c r="BG287" s="163">
        <v>-4232</v>
      </c>
      <c r="BH287" s="163">
        <v>-4232</v>
      </c>
      <c r="BI287" s="163">
        <v>-4232</v>
      </c>
      <c r="BJ287" s="163">
        <v>-4232</v>
      </c>
      <c r="BK287" s="163">
        <v>-4232</v>
      </c>
      <c r="BL287" s="163">
        <v>0</v>
      </c>
      <c r="BM287" s="163">
        <v>0</v>
      </c>
      <c r="BN287" s="163">
        <v>0</v>
      </c>
      <c r="BO287" s="163">
        <v>0</v>
      </c>
      <c r="BP287" s="163">
        <v>0</v>
      </c>
      <c r="BQ287" s="163">
        <v>0</v>
      </c>
      <c r="BR287" s="163">
        <v>0</v>
      </c>
      <c r="BS287" s="163">
        <v>0</v>
      </c>
      <c r="BT287" s="163">
        <v>0</v>
      </c>
      <c r="BU287" s="163">
        <v>0</v>
      </c>
      <c r="BV287" s="163">
        <v>0</v>
      </c>
      <c r="BW287" s="163">
        <v>0</v>
      </c>
      <c r="BX287" s="163">
        <v>0</v>
      </c>
      <c r="BY287" s="163">
        <v>0</v>
      </c>
      <c r="BZ287" s="163">
        <v>0</v>
      </c>
      <c r="CA287" s="163">
        <v>0</v>
      </c>
      <c r="CB287" s="163">
        <v>0</v>
      </c>
      <c r="CC287" s="163">
        <v>0</v>
      </c>
      <c r="CD287" s="163">
        <v>0</v>
      </c>
      <c r="CE287" s="163">
        <v>0</v>
      </c>
      <c r="CF287" s="163">
        <v>0</v>
      </c>
      <c r="CG287" s="163">
        <v>0</v>
      </c>
      <c r="CH287" s="163">
        <v>0</v>
      </c>
      <c r="CI287" s="163">
        <v>0</v>
      </c>
      <c r="CJ287" s="163">
        <v>0</v>
      </c>
      <c r="CK287" s="163">
        <v>0</v>
      </c>
      <c r="CL287" s="163">
        <v>0</v>
      </c>
      <c r="CM287" s="163">
        <v>0</v>
      </c>
      <c r="CN287" s="163">
        <v>0</v>
      </c>
      <c r="CO287" s="163">
        <v>0</v>
      </c>
      <c r="CP287" s="163">
        <v>0</v>
      </c>
      <c r="CQ287" s="163">
        <v>0</v>
      </c>
      <c r="CR287" s="163">
        <v>0</v>
      </c>
      <c r="CS287" s="163">
        <v>0</v>
      </c>
      <c r="CT287" s="163">
        <v>0</v>
      </c>
      <c r="CU287" s="163">
        <v>0</v>
      </c>
      <c r="CV287" s="163">
        <v>-2003358</v>
      </c>
      <c r="CW287" s="163">
        <v>-2003358</v>
      </c>
      <c r="CX287" s="163">
        <v>-2003358</v>
      </c>
      <c r="CY287" s="163">
        <v>-2003358</v>
      </c>
      <c r="CZ287" s="163">
        <v>-2003358</v>
      </c>
      <c r="DA287" s="163">
        <v>-2003358</v>
      </c>
      <c r="DB287" s="163">
        <v>-859975</v>
      </c>
      <c r="DC287" s="163">
        <v>-859975</v>
      </c>
      <c r="DD287" s="163">
        <v>-859975</v>
      </c>
      <c r="DE287" s="163">
        <v>-859975</v>
      </c>
      <c r="DF287" s="163">
        <f>VLOOKUP($C287,'[3]BS ACC'!$C$5:$DH$1006,108,FALSE)</f>
        <v>-859975</v>
      </c>
      <c r="DG287" s="163">
        <f>VLOOKUP($C287,'[3]BS ACC'!$C$5:$DH$1006,109,FALSE)</f>
        <v>-859975</v>
      </c>
      <c r="DH287" s="163">
        <f>VLOOKUP($C287,'[3]BS ACC'!$C$5:$DH$1006,110,FALSE)</f>
        <v>-131961</v>
      </c>
    </row>
    <row r="288" spans="1:112">
      <c r="A288" s="350" t="str">
        <f t="shared" si="4"/>
        <v>2420131</v>
      </c>
      <c r="B288" s="350" t="s">
        <v>914</v>
      </c>
      <c r="C288" s="335" t="s">
        <v>800</v>
      </c>
      <c r="D288" s="340">
        <v>-606935</v>
      </c>
      <c r="E288" s="340">
        <v>-606935</v>
      </c>
      <c r="F288" s="340">
        <v>-606935</v>
      </c>
      <c r="G288" s="340">
        <v>-606935</v>
      </c>
      <c r="H288" s="340">
        <v>-606935</v>
      </c>
      <c r="I288" s="340">
        <v>-606935</v>
      </c>
      <c r="J288" s="340">
        <v>-606935</v>
      </c>
      <c r="K288" s="340">
        <v>-606935</v>
      </c>
      <c r="L288" s="340">
        <v>-606935</v>
      </c>
      <c r="M288" s="340">
        <v>-606935</v>
      </c>
      <c r="N288" s="340">
        <v>-606935</v>
      </c>
      <c r="O288" s="340">
        <v>-606935</v>
      </c>
      <c r="P288" s="341">
        <v>-670526</v>
      </c>
      <c r="Q288" s="163">
        <v>-670526</v>
      </c>
      <c r="R288" s="163">
        <v>-670526</v>
      </c>
      <c r="S288" s="163">
        <v>-670526</v>
      </c>
      <c r="T288" s="163">
        <v>-670526</v>
      </c>
      <c r="U288" s="163">
        <v>-670526</v>
      </c>
      <c r="V288" s="163">
        <v>-670526</v>
      </c>
      <c r="W288" s="163">
        <v>-670526</v>
      </c>
      <c r="X288" s="163">
        <v>-670526</v>
      </c>
      <c r="Y288" s="163">
        <v>-670526</v>
      </c>
      <c r="Z288" s="163">
        <v>-670526</v>
      </c>
      <c r="AA288" s="163">
        <v>-670526</v>
      </c>
      <c r="AB288" s="163">
        <v>-684602</v>
      </c>
      <c r="AC288" s="163">
        <v>-684602</v>
      </c>
      <c r="AD288" s="163">
        <v>-684602</v>
      </c>
      <c r="AE288" s="163">
        <v>-684602</v>
      </c>
      <c r="AF288" s="163">
        <v>-684602</v>
      </c>
      <c r="AG288" s="163">
        <v>-684602</v>
      </c>
      <c r="AH288" s="163">
        <v>-684602</v>
      </c>
      <c r="AI288" s="163">
        <v>-684602</v>
      </c>
      <c r="AJ288" s="163">
        <v>-684602</v>
      </c>
      <c r="AK288" s="163">
        <v>-704381</v>
      </c>
      <c r="AL288" s="163">
        <v>-704381</v>
      </c>
      <c r="AM288" s="163">
        <v>-704381</v>
      </c>
      <c r="AN288" s="163">
        <v>-734975</v>
      </c>
      <c r="AO288" s="163">
        <v>-734975</v>
      </c>
      <c r="AP288" s="163">
        <v>-734975</v>
      </c>
      <c r="AQ288" s="163">
        <v>-734975</v>
      </c>
      <c r="AR288" s="163">
        <v>-734975</v>
      </c>
      <c r="AS288" s="163">
        <v>-734975</v>
      </c>
      <c r="AT288" s="163">
        <v>-734975</v>
      </c>
      <c r="AU288" s="163">
        <v>-734975</v>
      </c>
      <c r="AV288" s="163">
        <v>-734975</v>
      </c>
      <c r="AW288" s="163">
        <v>-734975</v>
      </c>
      <c r="AX288" s="163">
        <v>-734975</v>
      </c>
      <c r="AY288" s="163">
        <v>-734975</v>
      </c>
      <c r="AZ288" s="163">
        <v>-825877</v>
      </c>
      <c r="BA288" s="163">
        <v>-825877</v>
      </c>
      <c r="BB288" s="163">
        <v>-825877</v>
      </c>
      <c r="BC288" s="163">
        <v>-825877</v>
      </c>
      <c r="BD288" s="163">
        <v>-825877</v>
      </c>
      <c r="BE288" s="163">
        <v>-825877</v>
      </c>
      <c r="BF288" s="163">
        <v>-825877</v>
      </c>
      <c r="BG288" s="163">
        <v>-825877</v>
      </c>
      <c r="BH288" s="163">
        <v>-825877</v>
      </c>
      <c r="BI288" s="163">
        <v>-825877</v>
      </c>
      <c r="BJ288" s="163">
        <v>-825877</v>
      </c>
      <c r="BK288" s="163">
        <v>-825877</v>
      </c>
      <c r="BL288" s="163">
        <v>-872517</v>
      </c>
      <c r="BM288" s="163">
        <v>-872517</v>
      </c>
      <c r="BN288" s="163">
        <v>-872517</v>
      </c>
      <c r="BO288" s="163">
        <v>-872517</v>
      </c>
      <c r="BP288" s="163">
        <v>-872517</v>
      </c>
      <c r="BQ288" s="163">
        <v>-872517</v>
      </c>
      <c r="BR288" s="163">
        <v>-872517</v>
      </c>
      <c r="BS288" s="163">
        <v>-872517</v>
      </c>
      <c r="BT288" s="163">
        <v>-872517</v>
      </c>
      <c r="BU288" s="163">
        <v>-872517</v>
      </c>
      <c r="BV288" s="163">
        <v>-872517</v>
      </c>
      <c r="BW288" s="163">
        <v>-872517</v>
      </c>
      <c r="BX288" s="163">
        <v>-917247</v>
      </c>
      <c r="BY288" s="163">
        <v>-917247</v>
      </c>
      <c r="BZ288" s="163">
        <v>-917247</v>
      </c>
      <c r="CA288" s="163">
        <v>-917247</v>
      </c>
      <c r="CB288" s="163">
        <v>-917247</v>
      </c>
      <c r="CC288" s="163">
        <v>-917247</v>
      </c>
      <c r="CD288" s="163">
        <v>-917247</v>
      </c>
      <c r="CE288" s="163">
        <v>-917247</v>
      </c>
      <c r="CF288" s="163">
        <v>-917247</v>
      </c>
      <c r="CG288" s="163">
        <v>-917247</v>
      </c>
      <c r="CH288" s="163">
        <v>-917247</v>
      </c>
      <c r="CI288" s="163">
        <v>-917247</v>
      </c>
      <c r="CJ288" s="163">
        <v>-1089990</v>
      </c>
      <c r="CK288" s="163">
        <v>-1089990</v>
      </c>
      <c r="CL288" s="163">
        <v>-1089990</v>
      </c>
      <c r="CM288" s="163">
        <v>-1089990</v>
      </c>
      <c r="CN288" s="163">
        <v>-1089990</v>
      </c>
      <c r="CO288" s="163">
        <v>-1089990</v>
      </c>
      <c r="CP288" s="163">
        <v>-1089990</v>
      </c>
      <c r="CQ288" s="163">
        <v>-1089990</v>
      </c>
      <c r="CR288" s="163">
        <v>-1089990</v>
      </c>
      <c r="CS288" s="163">
        <v>-1089990</v>
      </c>
      <c r="CT288" s="163">
        <v>-1089990</v>
      </c>
      <c r="CU288" s="163">
        <v>-1089990</v>
      </c>
      <c r="CV288" s="163">
        <v>-1188715</v>
      </c>
      <c r="CW288" s="163">
        <v>-1188715</v>
      </c>
      <c r="CX288" s="163">
        <v>-1188715</v>
      </c>
      <c r="CY288" s="163">
        <v>-1188715</v>
      </c>
      <c r="CZ288" s="163">
        <v>-1188715</v>
      </c>
      <c r="DA288" s="163">
        <v>-1188715</v>
      </c>
      <c r="DB288" s="163">
        <v>-1188715</v>
      </c>
      <c r="DC288" s="163">
        <v>-1188715</v>
      </c>
      <c r="DD288" s="163">
        <v>-1188715</v>
      </c>
      <c r="DE288" s="163">
        <v>-1188715</v>
      </c>
      <c r="DF288" s="163">
        <f>VLOOKUP($C288,'[3]BS ACC'!$C$5:$DH$1006,108,FALSE)</f>
        <v>-1188715</v>
      </c>
      <c r="DG288" s="163">
        <f>VLOOKUP($C288,'[3]BS ACC'!$C$5:$DH$1006,109,FALSE)</f>
        <v>-1188715</v>
      </c>
      <c r="DH288" s="163">
        <f>VLOOKUP($C288,'[3]BS ACC'!$C$5:$DH$1006,110,FALSE)</f>
        <v>-1139947</v>
      </c>
    </row>
    <row r="289" spans="1:112">
      <c r="A289" s="350" t="str">
        <f>+B289</f>
        <v>2420191</v>
      </c>
      <c r="B289" s="350" t="s">
        <v>2390</v>
      </c>
      <c r="C289" s="335" t="s">
        <v>2385</v>
      </c>
      <c r="D289" s="340">
        <v>0</v>
      </c>
      <c r="E289" s="340">
        <v>0</v>
      </c>
      <c r="F289" s="340">
        <v>0</v>
      </c>
      <c r="G289" s="340">
        <v>0</v>
      </c>
      <c r="H289" s="340">
        <v>0</v>
      </c>
      <c r="I289" s="340">
        <v>0</v>
      </c>
      <c r="J289" s="340">
        <v>0</v>
      </c>
      <c r="K289" s="340">
        <v>0</v>
      </c>
      <c r="L289" s="340">
        <v>0</v>
      </c>
      <c r="M289" s="340">
        <v>0</v>
      </c>
      <c r="N289" s="340">
        <v>0</v>
      </c>
      <c r="O289" s="340">
        <v>0</v>
      </c>
      <c r="P289" s="341">
        <v>0</v>
      </c>
      <c r="Q289" s="163">
        <v>0</v>
      </c>
      <c r="R289" s="163">
        <v>0</v>
      </c>
      <c r="S289" s="163">
        <v>0</v>
      </c>
      <c r="T289" s="163">
        <v>0</v>
      </c>
      <c r="U289" s="163">
        <v>0</v>
      </c>
      <c r="V289" s="163">
        <v>0</v>
      </c>
      <c r="W289" s="163">
        <v>0</v>
      </c>
      <c r="X289" s="163">
        <v>0</v>
      </c>
      <c r="Y289" s="163">
        <v>0</v>
      </c>
      <c r="Z289" s="163">
        <v>0</v>
      </c>
      <c r="AA289" s="163">
        <v>0</v>
      </c>
      <c r="AB289" s="163">
        <v>0</v>
      </c>
      <c r="AC289" s="163">
        <v>0</v>
      </c>
      <c r="AD289" s="163">
        <v>0</v>
      </c>
      <c r="AE289" s="163">
        <v>0</v>
      </c>
      <c r="AF289" s="163">
        <v>0</v>
      </c>
      <c r="AG289" s="163">
        <v>0</v>
      </c>
      <c r="AH289" s="163">
        <v>0</v>
      </c>
      <c r="AI289" s="163">
        <v>0</v>
      </c>
      <c r="AJ289" s="163">
        <v>0</v>
      </c>
      <c r="AK289" s="163">
        <v>0</v>
      </c>
      <c r="AL289" s="163">
        <v>0</v>
      </c>
      <c r="AM289" s="163">
        <v>0</v>
      </c>
      <c r="AN289" s="163">
        <v>0</v>
      </c>
      <c r="AO289" s="163">
        <v>0</v>
      </c>
      <c r="AP289" s="163">
        <v>0</v>
      </c>
      <c r="AQ289" s="163">
        <v>0</v>
      </c>
      <c r="AR289" s="163">
        <v>0</v>
      </c>
      <c r="AS289" s="163">
        <v>0</v>
      </c>
      <c r="AT289" s="163">
        <v>0</v>
      </c>
      <c r="AU289" s="163">
        <v>0</v>
      </c>
      <c r="AV289" s="163">
        <v>0</v>
      </c>
      <c r="AW289" s="163">
        <v>0</v>
      </c>
      <c r="AX289" s="163">
        <v>0</v>
      </c>
      <c r="AY289" s="163">
        <v>0</v>
      </c>
      <c r="AZ289" s="163">
        <v>0</v>
      </c>
      <c r="BA289" s="163">
        <v>0</v>
      </c>
      <c r="BB289" s="163">
        <v>0</v>
      </c>
      <c r="BC289" s="163">
        <v>0</v>
      </c>
      <c r="BD289" s="163">
        <v>0</v>
      </c>
      <c r="BE289" s="163">
        <v>0</v>
      </c>
      <c r="BF289" s="163">
        <v>0</v>
      </c>
      <c r="BG289" s="163">
        <v>0</v>
      </c>
      <c r="BH289" s="163">
        <v>0</v>
      </c>
      <c r="BI289" s="163">
        <v>0</v>
      </c>
      <c r="BJ289" s="163">
        <v>0</v>
      </c>
      <c r="BK289" s="163">
        <v>0</v>
      </c>
      <c r="BL289" s="163">
        <v>0</v>
      </c>
      <c r="BM289" s="163">
        <v>0</v>
      </c>
      <c r="BN289" s="163">
        <v>0</v>
      </c>
      <c r="BO289" s="163">
        <v>0</v>
      </c>
      <c r="BP289" s="163">
        <v>0</v>
      </c>
      <c r="BQ289" s="163">
        <v>0</v>
      </c>
      <c r="BR289" s="163">
        <v>0</v>
      </c>
      <c r="BS289" s="163">
        <v>0</v>
      </c>
      <c r="BT289" s="163">
        <v>0</v>
      </c>
      <c r="BU289" s="163">
        <v>0</v>
      </c>
      <c r="BV289" s="163">
        <v>0</v>
      </c>
      <c r="BW289" s="163">
        <v>0</v>
      </c>
      <c r="BX289" s="163">
        <v>-1527721.66</v>
      </c>
      <c r="BY289" s="163">
        <v>-1527721.66</v>
      </c>
      <c r="BZ289" s="163">
        <v>-49457.66</v>
      </c>
      <c r="CA289" s="163">
        <v>-1263689.1299999999</v>
      </c>
      <c r="CB289" s="163">
        <v>-1263689.1299999999</v>
      </c>
      <c r="CC289" s="163">
        <v>-1263689.1299999999</v>
      </c>
      <c r="CD289" s="163">
        <v>-1344801.03</v>
      </c>
      <c r="CE289" s="163">
        <v>-1344801.03</v>
      </c>
      <c r="CF289" s="163">
        <v>-1344801.03</v>
      </c>
      <c r="CG289" s="163">
        <v>-1498920.35</v>
      </c>
      <c r="CH289" s="163">
        <v>-1498920.35</v>
      </c>
      <c r="CI289" s="163">
        <v>-1498920.35</v>
      </c>
      <c r="CJ289" s="163">
        <v>-1958184.7</v>
      </c>
      <c r="CK289" s="163">
        <v>-1958184.7</v>
      </c>
      <c r="CL289" s="163">
        <v>-1958184.7</v>
      </c>
      <c r="CM289" s="163">
        <v>-1176900.3700000001</v>
      </c>
      <c r="CN289" s="163">
        <v>-1176900.3700000001</v>
      </c>
      <c r="CO289" s="163">
        <v>-1176900.3700000001</v>
      </c>
      <c r="CP289" s="163">
        <v>-1439648.01</v>
      </c>
      <c r="CQ289" s="163">
        <v>-1439648.01</v>
      </c>
      <c r="CR289" s="163">
        <v>-1439648.01</v>
      </c>
      <c r="CS289" s="163">
        <v>-1241453.2</v>
      </c>
      <c r="CT289" s="163">
        <v>-1241453.2</v>
      </c>
      <c r="CU289" s="163">
        <v>-1241453.2</v>
      </c>
      <c r="CV289" s="163">
        <v>-1381972.96</v>
      </c>
      <c r="CW289" s="163">
        <v>-1381972.96</v>
      </c>
      <c r="CX289" s="163">
        <v>-1337008.21</v>
      </c>
      <c r="CY289" s="163">
        <v>-1054229.56</v>
      </c>
      <c r="CZ289" s="163">
        <v>-1054229.56</v>
      </c>
      <c r="DA289" s="163">
        <v>-1054229.56</v>
      </c>
      <c r="DB289" s="163">
        <v>-1240693.78</v>
      </c>
      <c r="DC289" s="163">
        <v>-1240693.78</v>
      </c>
      <c r="DD289" s="163">
        <v>-1240693.78</v>
      </c>
      <c r="DE289" s="163">
        <v>-1336245.05</v>
      </c>
      <c r="DF289" s="163">
        <f>VLOOKUP($C289,'[3]BS ACC'!$C$5:$DH$1006,108,FALSE)</f>
        <v>-1336245.05</v>
      </c>
      <c r="DG289" s="163">
        <f>VLOOKUP($C289,'[3]BS ACC'!$C$5:$DH$1006,109,FALSE)</f>
        <v>-1336245.05</v>
      </c>
      <c r="DH289" s="163">
        <f>VLOOKUP($C289,'[3]BS ACC'!$C$5:$DH$1006,110,FALSE)</f>
        <v>-1588586.26</v>
      </c>
    </row>
    <row r="290" spans="1:112">
      <c r="A290" s="350" t="str">
        <f>+B290</f>
        <v>2420192</v>
      </c>
      <c r="B290" s="350" t="s">
        <v>2471</v>
      </c>
      <c r="C290" s="335" t="s">
        <v>2472</v>
      </c>
      <c r="D290" s="340"/>
      <c r="E290" s="340"/>
      <c r="F290" s="340"/>
      <c r="G290" s="340"/>
      <c r="H290" s="340"/>
      <c r="I290" s="340"/>
      <c r="J290" s="340"/>
      <c r="K290" s="340"/>
      <c r="L290" s="340"/>
      <c r="M290" s="340"/>
      <c r="N290" s="340"/>
      <c r="O290" s="340"/>
      <c r="P290" s="341"/>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c r="AL290" s="163"/>
      <c r="AM290" s="163"/>
      <c r="AN290" s="163"/>
      <c r="AO290" s="163"/>
      <c r="AP290" s="163"/>
      <c r="AQ290" s="163"/>
      <c r="AR290" s="163"/>
      <c r="AS290" s="163"/>
      <c r="AT290" s="163"/>
      <c r="AU290" s="163"/>
      <c r="AV290" s="163"/>
      <c r="AW290" s="163"/>
      <c r="AX290" s="163"/>
      <c r="AY290" s="163"/>
      <c r="AZ290" s="163"/>
      <c r="BA290" s="163"/>
      <c r="BB290" s="163"/>
      <c r="BC290" s="163"/>
      <c r="BD290" s="163"/>
      <c r="BE290" s="163"/>
      <c r="BF290" s="163"/>
      <c r="BG290" s="163"/>
      <c r="BH290" s="163"/>
      <c r="BI290" s="163"/>
      <c r="BJ290" s="163"/>
      <c r="BK290" s="163"/>
      <c r="BL290" s="163"/>
      <c r="BM290" s="163"/>
      <c r="BN290" s="163"/>
      <c r="BO290" s="163"/>
      <c r="BP290" s="163"/>
      <c r="BQ290" s="163"/>
      <c r="BR290" s="163"/>
      <c r="BS290" s="163"/>
      <c r="BT290" s="163"/>
      <c r="BU290" s="163"/>
      <c r="BV290" s="163"/>
      <c r="BW290" s="163"/>
      <c r="BX290" s="163"/>
      <c r="BY290" s="163">
        <v>0</v>
      </c>
      <c r="BZ290" s="163">
        <v>-71115</v>
      </c>
      <c r="CA290" s="163">
        <v>-75473.919999999998</v>
      </c>
      <c r="CB290" s="163">
        <v>-75473.919999999998</v>
      </c>
      <c r="CC290" s="163">
        <v>-75473.919999999998</v>
      </c>
      <c r="CD290" s="163">
        <v>-72256.03</v>
      </c>
      <c r="CE290" s="163">
        <v>-72256.03</v>
      </c>
      <c r="CF290" s="163">
        <v>-72256.03</v>
      </c>
      <c r="CG290" s="163">
        <v>-73127</v>
      </c>
      <c r="CH290" s="163">
        <v>-73127</v>
      </c>
      <c r="CI290" s="163">
        <v>-73127</v>
      </c>
      <c r="CJ290" s="163">
        <v>-74735.28</v>
      </c>
      <c r="CK290" s="163">
        <v>-74735.28</v>
      </c>
      <c r="CL290" s="163">
        <v>-74735.28</v>
      </c>
      <c r="CM290" s="163">
        <v>-241675.42</v>
      </c>
      <c r="CN290" s="163">
        <v>-241675.42</v>
      </c>
      <c r="CO290" s="163">
        <v>-241675.42</v>
      </c>
      <c r="CP290" s="163">
        <v>-269058.03000000003</v>
      </c>
      <c r="CQ290" s="163">
        <v>-269058.03000000003</v>
      </c>
      <c r="CR290" s="163">
        <v>-269058.03000000003</v>
      </c>
      <c r="CS290" s="163">
        <v>-283941.28999999998</v>
      </c>
      <c r="CT290" s="163">
        <v>-283941.28999999998</v>
      </c>
      <c r="CU290" s="163">
        <v>-283941.28999999998</v>
      </c>
      <c r="CV290" s="163">
        <v>-289608.46000000002</v>
      </c>
      <c r="CW290" s="163">
        <v>-289608.46000000002</v>
      </c>
      <c r="CX290" s="163">
        <v>-289608.46000000002</v>
      </c>
      <c r="CY290" s="163">
        <v>-340523.42</v>
      </c>
      <c r="CZ290" s="163">
        <v>-340523.42</v>
      </c>
      <c r="DA290" s="163">
        <v>-340523.42</v>
      </c>
      <c r="DB290" s="163">
        <v>-113651.37</v>
      </c>
      <c r="DC290" s="163">
        <v>-113651.37</v>
      </c>
      <c r="DD290" s="163">
        <v>-113651.37</v>
      </c>
      <c r="DE290" s="163">
        <v>-112082.05</v>
      </c>
      <c r="DF290" s="163">
        <f>VLOOKUP($C290,'[3]BS ACC'!$C$5:$DH$1006,108,FALSE)</f>
        <v>-112082.05</v>
      </c>
      <c r="DG290" s="163">
        <f>VLOOKUP($C290,'[3]BS ACC'!$C$5:$DH$1006,109,FALSE)</f>
        <v>-112082.05</v>
      </c>
      <c r="DH290" s="163">
        <f>VLOOKUP($C290,'[3]BS ACC'!$C$5:$DH$1006,110,FALSE)</f>
        <v>-96081.69</v>
      </c>
    </row>
    <row r="291" spans="1:112">
      <c r="A291" s="350" t="str">
        <f>+B291</f>
        <v>2420199</v>
      </c>
      <c r="B291" s="350" t="s">
        <v>2252</v>
      </c>
      <c r="C291" s="335" t="s">
        <v>2253</v>
      </c>
      <c r="D291" s="340"/>
      <c r="E291" s="340"/>
      <c r="F291" s="340"/>
      <c r="G291" s="340"/>
      <c r="H291" s="340"/>
      <c r="I291" s="340"/>
      <c r="J291" s="340"/>
      <c r="K291" s="340"/>
      <c r="L291" s="340"/>
      <c r="M291" s="340"/>
      <c r="N291" s="340"/>
      <c r="O291" s="340"/>
      <c r="P291" s="341"/>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c r="BI291" s="163"/>
      <c r="BJ291" s="163">
        <v>0</v>
      </c>
      <c r="BK291" s="163">
        <v>0</v>
      </c>
      <c r="BL291" s="163">
        <v>-1205445</v>
      </c>
      <c r="BM291" s="163">
        <v>0</v>
      </c>
      <c r="BN291" s="163">
        <v>0</v>
      </c>
      <c r="BO291" s="163">
        <v>-1014277.62</v>
      </c>
      <c r="BP291" s="163">
        <v>-1014277.62</v>
      </c>
      <c r="BQ291" s="163">
        <v>-1014277.62</v>
      </c>
      <c r="BR291" s="163">
        <v>-1223064.25</v>
      </c>
      <c r="BS291" s="163">
        <v>-777378.87</v>
      </c>
      <c r="BT291" s="163">
        <v>-777378.87</v>
      </c>
      <c r="BU291" s="163">
        <v>-1879798.98</v>
      </c>
      <c r="BV291" s="163">
        <v>-1879798.98</v>
      </c>
      <c r="BW291" s="163">
        <v>-1879798.98</v>
      </c>
      <c r="BX291" s="163">
        <v>0</v>
      </c>
      <c r="BY291" s="163">
        <v>0</v>
      </c>
      <c r="BZ291" s="163">
        <v>0</v>
      </c>
      <c r="CA291" s="163">
        <v>0</v>
      </c>
      <c r="CB291" s="163">
        <v>0</v>
      </c>
      <c r="CC291" s="163">
        <v>0</v>
      </c>
      <c r="CD291" s="163">
        <v>0</v>
      </c>
      <c r="CE291" s="163">
        <v>0</v>
      </c>
      <c r="CF291" s="163">
        <v>0</v>
      </c>
      <c r="CG291" s="163">
        <v>0</v>
      </c>
      <c r="CH291" s="163">
        <v>0</v>
      </c>
      <c r="CI291" s="163">
        <v>0</v>
      </c>
      <c r="CJ291" s="163">
        <v>0</v>
      </c>
      <c r="CK291" s="163">
        <v>0</v>
      </c>
      <c r="CL291" s="163">
        <v>0</v>
      </c>
      <c r="CM291" s="163">
        <v>0</v>
      </c>
      <c r="CN291" s="163">
        <v>0</v>
      </c>
      <c r="CO291" s="163">
        <v>0</v>
      </c>
      <c r="CP291" s="163">
        <v>0</v>
      </c>
      <c r="CQ291" s="163">
        <v>0</v>
      </c>
      <c r="CR291" s="163">
        <v>0</v>
      </c>
      <c r="CS291" s="163">
        <v>0</v>
      </c>
      <c r="CT291" s="163">
        <v>0</v>
      </c>
      <c r="CU291" s="163">
        <v>0</v>
      </c>
      <c r="CV291" s="163">
        <v>0</v>
      </c>
      <c r="CW291" s="163">
        <v>0</v>
      </c>
      <c r="CX291" s="163">
        <v>0</v>
      </c>
      <c r="CY291" s="163">
        <v>0</v>
      </c>
      <c r="CZ291" s="163">
        <v>0</v>
      </c>
      <c r="DA291" s="163">
        <v>0</v>
      </c>
      <c r="DB291" s="163">
        <v>0</v>
      </c>
      <c r="DC291" s="163">
        <v>0</v>
      </c>
      <c r="DD291" s="163">
        <v>0</v>
      </c>
      <c r="DE291" s="163">
        <v>0</v>
      </c>
      <c r="DF291" s="163">
        <f>VLOOKUP($C291,'[3]BS ACC'!$C$5:$DH$1006,108,FALSE)</f>
        <v>0</v>
      </c>
      <c r="DG291" s="163">
        <f>VLOOKUP($C291,'[3]BS ACC'!$C$5:$DH$1006,109,FALSE)</f>
        <v>0</v>
      </c>
      <c r="DH291" s="163">
        <f>VLOOKUP($C291,'[3]BS ACC'!$C$5:$DH$1006,110,FALSE)</f>
        <v>0</v>
      </c>
    </row>
    <row r="292" spans="1:112">
      <c r="A292" s="350" t="str">
        <f t="shared" si="4"/>
        <v>2420300</v>
      </c>
      <c r="B292" s="350" t="s">
        <v>915</v>
      </c>
      <c r="C292" s="335" t="s">
        <v>801</v>
      </c>
      <c r="D292" s="340">
        <v>-2622171.31</v>
      </c>
      <c r="E292" s="340">
        <v>-2627171.31</v>
      </c>
      <c r="F292" s="340">
        <v>-2632171.31</v>
      </c>
      <c r="G292" s="340">
        <v>-2637171.31</v>
      </c>
      <c r="H292" s="340">
        <v>-2642171.31</v>
      </c>
      <c r="I292" s="340">
        <v>-2647171.31</v>
      </c>
      <c r="J292" s="340">
        <v>-2652171.31</v>
      </c>
      <c r="K292" s="340">
        <v>-2657171.31</v>
      </c>
      <c r="L292" s="340">
        <v>-2662171.31</v>
      </c>
      <c r="M292" s="340">
        <v>-2667171.31</v>
      </c>
      <c r="N292" s="340">
        <v>-2672171.31</v>
      </c>
      <c r="O292" s="340">
        <v>-2677171.31</v>
      </c>
      <c r="P292" s="341">
        <v>-2682171.31</v>
      </c>
      <c r="Q292" s="163">
        <v>-2687171.31</v>
      </c>
      <c r="R292" s="163">
        <v>-2690628.56</v>
      </c>
      <c r="S292" s="163">
        <v>-2692386.03</v>
      </c>
      <c r="T292" s="163">
        <v>-2694603.27</v>
      </c>
      <c r="U292" s="163">
        <v>-2692303.57</v>
      </c>
      <c r="V292" s="163">
        <v>-2691092.34</v>
      </c>
      <c r="W292" s="163">
        <v>-2681390.56</v>
      </c>
      <c r="X292" s="163">
        <v>-2677754.56</v>
      </c>
      <c r="Y292" s="163">
        <v>-2682754.56</v>
      </c>
      <c r="Z292" s="163">
        <v>-2687754.56</v>
      </c>
      <c r="AA292" s="163">
        <v>-2692754.56</v>
      </c>
      <c r="AB292" s="163">
        <v>-2614755.5099999998</v>
      </c>
      <c r="AC292" s="163">
        <v>-2600385.21</v>
      </c>
      <c r="AD292" s="163">
        <v>-2604913.27</v>
      </c>
      <c r="AE292" s="163">
        <v>-2607664.5499999998</v>
      </c>
      <c r="AF292" s="163">
        <v>-2611662.5499999998</v>
      </c>
      <c r="AG292" s="163">
        <v>-2612878.7999999998</v>
      </c>
      <c r="AH292" s="163">
        <v>-2616529.7999999998</v>
      </c>
      <c r="AI292" s="163">
        <v>-2636529.7999999998</v>
      </c>
      <c r="AJ292" s="163">
        <v>-2649140.6800000002</v>
      </c>
      <c r="AK292" s="163">
        <v>-2669140.6800000002</v>
      </c>
      <c r="AL292" s="163">
        <v>-2689140.68</v>
      </c>
      <c r="AM292" s="163">
        <v>-2706151.53</v>
      </c>
      <c r="AN292" s="163">
        <v>-3066666.17</v>
      </c>
      <c r="AO292" s="163">
        <v>-3911435.27</v>
      </c>
      <c r="AP292" s="163">
        <v>-3049357.54</v>
      </c>
      <c r="AQ292" s="163">
        <v>-3063285.65</v>
      </c>
      <c r="AR292" s="163">
        <v>-3066860.5</v>
      </c>
      <c r="AS292" s="163">
        <v>-3074452.97</v>
      </c>
      <c r="AT292" s="163">
        <v>-3083177.04</v>
      </c>
      <c r="AU292" s="163">
        <v>-3082664.24</v>
      </c>
      <c r="AV292" s="163">
        <v>-3097664.24</v>
      </c>
      <c r="AW292" s="163">
        <v>-3107823.14</v>
      </c>
      <c r="AX292" s="163">
        <v>-3122823.14</v>
      </c>
      <c r="AY292" s="163">
        <v>-3132263.17</v>
      </c>
      <c r="AZ292" s="163">
        <v>-3123156.42</v>
      </c>
      <c r="BA292" s="163">
        <v>-3119516.17</v>
      </c>
      <c r="BB292" s="163">
        <v>-3132970.62</v>
      </c>
      <c r="BC292" s="163">
        <v>-3146701.3</v>
      </c>
      <c r="BD292" s="163">
        <v>-3159553.54</v>
      </c>
      <c r="BE292" s="163">
        <v>-3170672.34</v>
      </c>
      <c r="BF292" s="163">
        <v>-3173874.68</v>
      </c>
      <c r="BG292" s="163">
        <v>-3188874.68</v>
      </c>
      <c r="BH292" s="163">
        <v>-3203874.68</v>
      </c>
      <c r="BI292" s="163">
        <v>-3206628.67</v>
      </c>
      <c r="BJ292" s="163">
        <v>-3221628.67</v>
      </c>
      <c r="BK292" s="163">
        <v>-3230963.08</v>
      </c>
      <c r="BL292" s="163">
        <v>-3300000</v>
      </c>
      <c r="BM292" s="163">
        <v>-3298283.1</v>
      </c>
      <c r="BN292" s="163">
        <v>-3312182.6</v>
      </c>
      <c r="BO292" s="163">
        <v>-3322872.39</v>
      </c>
      <c r="BP292" s="163">
        <v>-3335262.49</v>
      </c>
      <c r="BQ292" s="163">
        <v>-3347236.09</v>
      </c>
      <c r="BR292" s="163">
        <v>-3355245.34</v>
      </c>
      <c r="BS292" s="163">
        <v>-3351563.75</v>
      </c>
      <c r="BT292" s="163">
        <v>-3361492.2</v>
      </c>
      <c r="BU292" s="163">
        <v>-3376498.2</v>
      </c>
      <c r="BV292" s="163">
        <v>-3383843.05</v>
      </c>
      <c r="BW292" s="163">
        <v>-3393353.65</v>
      </c>
      <c r="BX292" s="163">
        <v>-3500000</v>
      </c>
      <c r="BY292" s="163">
        <v>-3485166.95</v>
      </c>
      <c r="BZ292" s="163">
        <v>-3497881.85</v>
      </c>
      <c r="CA292" s="163">
        <v>-3511238.25</v>
      </c>
      <c r="CB292" s="163">
        <v>-3525666.71</v>
      </c>
      <c r="CC292" s="163">
        <v>-3536988.19</v>
      </c>
      <c r="CD292" s="163">
        <v>-3711499.93</v>
      </c>
      <c r="CE292" s="163">
        <v>-3726505.43</v>
      </c>
      <c r="CF292" s="163">
        <v>-3741510.93</v>
      </c>
      <c r="CG292" s="163">
        <v>-3923183.1</v>
      </c>
      <c r="CH292" s="163">
        <v>-3938188.6</v>
      </c>
      <c r="CI292" s="163">
        <v>-3922981.56</v>
      </c>
      <c r="CJ292" s="163">
        <v>-4225242.0599999996</v>
      </c>
      <c r="CK292" s="163">
        <v>-4213213.62</v>
      </c>
      <c r="CL292" s="163">
        <v>-4228713.62</v>
      </c>
      <c r="CM292" s="163">
        <v>-3859634.1</v>
      </c>
      <c r="CN292" s="163">
        <v>-3867773.84</v>
      </c>
      <c r="CO292" s="163">
        <v>-3881493.62</v>
      </c>
      <c r="CP292" s="163">
        <v>-3884586.87</v>
      </c>
      <c r="CQ292" s="163">
        <v>-3888457.02</v>
      </c>
      <c r="CR292" s="163">
        <v>-3903957.02</v>
      </c>
      <c r="CS292" s="163">
        <v>-3912438.63</v>
      </c>
      <c r="CT292" s="163">
        <v>-3913868.05</v>
      </c>
      <c r="CU292" s="163">
        <v>-3929368.05</v>
      </c>
      <c r="CV292" s="163">
        <v>-3906365.73</v>
      </c>
      <c r="CW292" s="163">
        <v>-3922330.73</v>
      </c>
      <c r="CX292" s="163">
        <v>-3935766.45</v>
      </c>
      <c r="CY292" s="163">
        <v>-3951731.45</v>
      </c>
      <c r="CZ292" s="163">
        <v>-3964480.73</v>
      </c>
      <c r="DA292" s="163">
        <v>-3980445.73</v>
      </c>
      <c r="DB292" s="163">
        <v>-3986036.68</v>
      </c>
      <c r="DC292" s="163">
        <v>-3997125.69</v>
      </c>
      <c r="DD292" s="163">
        <v>-4007732</v>
      </c>
      <c r="DE292" s="163">
        <v>-4023697</v>
      </c>
      <c r="DF292" s="163">
        <f>VLOOKUP($C292,'[3]BS ACC'!$C$5:$DH$1006,108,FALSE)</f>
        <v>-4039662</v>
      </c>
      <c r="DG292" s="163">
        <f>VLOOKUP($C292,'[3]BS ACC'!$C$5:$DH$1006,109,FALSE)</f>
        <v>-4055627</v>
      </c>
      <c r="DH292" s="163">
        <f>VLOOKUP($C292,'[3]BS ACC'!$C$5:$DH$1006,110,FALSE)</f>
        <v>-4471395.08</v>
      </c>
    </row>
    <row r="293" spans="1:112">
      <c r="A293" s="350" t="str">
        <f t="shared" si="4"/>
        <v>2420310</v>
      </c>
      <c r="B293" s="350" t="s">
        <v>926</v>
      </c>
      <c r="C293" s="335" t="s">
        <v>802</v>
      </c>
      <c r="D293" s="340">
        <v>-12109.11</v>
      </c>
      <c r="E293" s="340">
        <v>-6369.36</v>
      </c>
      <c r="F293" s="340">
        <v>-12143.08</v>
      </c>
      <c r="G293" s="340">
        <v>-12102.58</v>
      </c>
      <c r="H293" s="340">
        <v>-23596.720000000001</v>
      </c>
      <c r="I293" s="340">
        <v>-8102.51</v>
      </c>
      <c r="J293" s="340">
        <v>-8811.2999999999993</v>
      </c>
      <c r="K293" s="340">
        <v>-10320.77</v>
      </c>
      <c r="L293" s="340">
        <v>-26472.86</v>
      </c>
      <c r="M293" s="340">
        <v>-28795.47</v>
      </c>
      <c r="N293" s="340">
        <v>-26156.45</v>
      </c>
      <c r="O293" s="340">
        <v>-40882.93</v>
      </c>
      <c r="P293" s="341">
        <v>-20487.240000000002</v>
      </c>
      <c r="Q293" s="163">
        <v>-17839.400000000001</v>
      </c>
      <c r="R293" s="163">
        <v>-27865.32</v>
      </c>
      <c r="S293" s="163">
        <v>-17927.580000000002</v>
      </c>
      <c r="T293" s="163">
        <v>-21546.76</v>
      </c>
      <c r="U293" s="163">
        <v>-24817.95</v>
      </c>
      <c r="V293" s="163">
        <v>-19249.439999999999</v>
      </c>
      <c r="W293" s="163">
        <v>-17921.59</v>
      </c>
      <c r="X293" s="163">
        <v>-32782.47</v>
      </c>
      <c r="Y293" s="163">
        <v>-23684.87</v>
      </c>
      <c r="Z293" s="163">
        <v>-24380.75</v>
      </c>
      <c r="AA293" s="163">
        <v>-33112.18</v>
      </c>
      <c r="AB293" s="163">
        <v>-30888.34</v>
      </c>
      <c r="AC293" s="163">
        <v>-30687.87</v>
      </c>
      <c r="AD293" s="163">
        <v>-25459.14</v>
      </c>
      <c r="AE293" s="163">
        <v>-29253.93</v>
      </c>
      <c r="AF293" s="163">
        <v>-22502.85</v>
      </c>
      <c r="AG293" s="163">
        <v>-7965.89</v>
      </c>
      <c r="AH293" s="163">
        <v>-18278.759999999998</v>
      </c>
      <c r="AI293" s="163">
        <v>-29231.39</v>
      </c>
      <c r="AJ293" s="163">
        <v>-22313.360000000001</v>
      </c>
      <c r="AK293" s="163">
        <v>-30755</v>
      </c>
      <c r="AL293" s="163">
        <v>-28160.95</v>
      </c>
      <c r="AM293" s="163">
        <v>-35867.1</v>
      </c>
      <c r="AN293" s="163">
        <v>-24690.46</v>
      </c>
      <c r="AO293" s="163">
        <v>-26356.93</v>
      </c>
      <c r="AP293" s="163">
        <v>-24552.19</v>
      </c>
      <c r="AQ293" s="163">
        <v>-24212.49</v>
      </c>
      <c r="AR293" s="163">
        <v>-26664.85</v>
      </c>
      <c r="AS293" s="163">
        <v>-47651.66</v>
      </c>
      <c r="AT293" s="163">
        <v>-29913.58</v>
      </c>
      <c r="AU293" s="163">
        <v>-25581.22</v>
      </c>
      <c r="AV293" s="163">
        <v>-19933.689999999999</v>
      </c>
      <c r="AW293" s="163">
        <v>-19644.93</v>
      </c>
      <c r="AX293" s="163">
        <v>-21309.85</v>
      </c>
      <c r="AY293" s="163">
        <v>-54363.02</v>
      </c>
      <c r="AZ293" s="163">
        <v>-65322.52</v>
      </c>
      <c r="BA293" s="163">
        <v>-71918.649999999994</v>
      </c>
      <c r="BB293" s="163">
        <v>-51975.82</v>
      </c>
      <c r="BC293" s="163">
        <v>-51462.84</v>
      </c>
      <c r="BD293" s="163">
        <v>-39513.949999999997</v>
      </c>
      <c r="BE293" s="163">
        <v>-15731.48</v>
      </c>
      <c r="BF293" s="163">
        <v>22764.32</v>
      </c>
      <c r="BG293" s="163">
        <v>38260.230000000003</v>
      </c>
      <c r="BH293" s="163">
        <v>30924.13</v>
      </c>
      <c r="BI293" s="163">
        <v>31213.22</v>
      </c>
      <c r="BJ293" s="163">
        <v>31597.72</v>
      </c>
      <c r="BK293" s="163">
        <v>32133.919999999998</v>
      </c>
      <c r="BL293" s="163">
        <v>9065.06</v>
      </c>
      <c r="BM293" s="163">
        <v>9475.2199999999993</v>
      </c>
      <c r="BN293" s="163">
        <v>13271.21</v>
      </c>
      <c r="BO293" s="163">
        <v>13096.47</v>
      </c>
      <c r="BP293" s="163">
        <v>9643</v>
      </c>
      <c r="BQ293" s="163">
        <v>9376.14</v>
      </c>
      <c r="BR293" s="163">
        <v>8495.84</v>
      </c>
      <c r="BS293" s="163">
        <v>7802.24</v>
      </c>
      <c r="BT293" s="163">
        <v>9164.35</v>
      </c>
      <c r="BU293" s="163">
        <v>8524.27</v>
      </c>
      <c r="BV293" s="163">
        <v>8692.27</v>
      </c>
      <c r="BW293" s="163">
        <v>8541.0400000000009</v>
      </c>
      <c r="BX293" s="163">
        <v>8754.91</v>
      </c>
      <c r="BY293" s="163">
        <v>19673.59</v>
      </c>
      <c r="BZ293" s="163">
        <v>7432.88</v>
      </c>
      <c r="CA293" s="163">
        <v>5977.53</v>
      </c>
      <c r="CB293" s="163">
        <v>6092.71</v>
      </c>
      <c r="CC293" s="163">
        <v>6112.71</v>
      </c>
      <c r="CD293" s="163">
        <v>6207.85</v>
      </c>
      <c r="CE293" s="163">
        <v>6223.81</v>
      </c>
      <c r="CF293" s="163">
        <v>-170866.85</v>
      </c>
      <c r="CG293" s="163">
        <v>-169333.29</v>
      </c>
      <c r="CH293" s="163">
        <v>6120.86</v>
      </c>
      <c r="CI293" s="163">
        <v>7449.96</v>
      </c>
      <c r="CJ293" s="163">
        <v>7936.82</v>
      </c>
      <c r="CK293" s="163">
        <v>6881.62</v>
      </c>
      <c r="CL293" s="163">
        <v>6759.86</v>
      </c>
      <c r="CM293" s="163">
        <v>6850.68</v>
      </c>
      <c r="CN293" s="163">
        <v>8416.7099999999991</v>
      </c>
      <c r="CO293" s="163">
        <v>9147.41</v>
      </c>
      <c r="CP293" s="163">
        <v>8908.7999999999993</v>
      </c>
      <c r="CQ293" s="163">
        <v>10458.77</v>
      </c>
      <c r="CR293" s="163">
        <v>11563.42</v>
      </c>
      <c r="CS293" s="163">
        <v>11617.43</v>
      </c>
      <c r="CT293" s="163">
        <v>11444.17</v>
      </c>
      <c r="CU293" s="163">
        <v>11444.17</v>
      </c>
      <c r="CV293" s="163">
        <v>13830.45</v>
      </c>
      <c r="CW293" s="163">
        <v>14754.69</v>
      </c>
      <c r="CX293" s="163">
        <v>15801.78</v>
      </c>
      <c r="CY293" s="163">
        <v>16443.13</v>
      </c>
      <c r="CZ293" s="163">
        <v>15992.47</v>
      </c>
      <c r="DA293" s="163">
        <v>16934.07</v>
      </c>
      <c r="DB293" s="163">
        <v>17362.96</v>
      </c>
      <c r="DC293" s="163">
        <v>16382.08</v>
      </c>
      <c r="DD293" s="163">
        <v>15874.11</v>
      </c>
      <c r="DE293" s="163">
        <v>16231.47</v>
      </c>
      <c r="DF293" s="163">
        <f>VLOOKUP($C293,'[3]BS ACC'!$C$5:$DH$1006,108,FALSE)</f>
        <v>14642.02</v>
      </c>
      <c r="DG293" s="163">
        <f>VLOOKUP($C293,'[3]BS ACC'!$C$5:$DH$1006,109,FALSE)</f>
        <v>16543.669999999998</v>
      </c>
      <c r="DH293" s="163">
        <f>VLOOKUP($C293,'[3]BS ACC'!$C$5:$DH$1006,110,FALSE)</f>
        <v>16354.38</v>
      </c>
    </row>
    <row r="294" spans="1:112">
      <c r="A294" s="350" t="str">
        <f t="shared" si="4"/>
        <v>2420320</v>
      </c>
      <c r="B294" s="350" t="s">
        <v>888</v>
      </c>
      <c r="C294" s="335" t="s">
        <v>803</v>
      </c>
      <c r="D294" s="340">
        <v>-302569.92</v>
      </c>
      <c r="E294" s="340">
        <v>-312171.84000000003</v>
      </c>
      <c r="F294" s="340">
        <v>-331738.90999999997</v>
      </c>
      <c r="G294" s="340">
        <v>-331508.38</v>
      </c>
      <c r="H294" s="340">
        <v>-165194.48000000001</v>
      </c>
      <c r="I294" s="340">
        <v>-192986.12</v>
      </c>
      <c r="J294" s="340">
        <v>-247552.17</v>
      </c>
      <c r="K294" s="340">
        <v>-271910.36</v>
      </c>
      <c r="L294" s="340">
        <v>-329603.55</v>
      </c>
      <c r="M294" s="340">
        <v>-380326.63</v>
      </c>
      <c r="N294" s="340">
        <v>-415146.67</v>
      </c>
      <c r="O294" s="340">
        <v>-448408.34</v>
      </c>
      <c r="P294" s="341">
        <v>-466800.7</v>
      </c>
      <c r="Q294" s="163">
        <v>-490503.51</v>
      </c>
      <c r="R294" s="163">
        <v>-511234.33</v>
      </c>
      <c r="S294" s="163">
        <v>-388939.91</v>
      </c>
      <c r="T294" s="163">
        <v>-195786.79</v>
      </c>
      <c r="U294" s="163">
        <v>-220421.81</v>
      </c>
      <c r="V294" s="163">
        <v>-236522.82</v>
      </c>
      <c r="W294" s="163">
        <v>-256680.61</v>
      </c>
      <c r="X294" s="163">
        <v>-280266.39</v>
      </c>
      <c r="Y294" s="163">
        <v>-290436.69</v>
      </c>
      <c r="Z294" s="163">
        <v>-308514.78999999998</v>
      </c>
      <c r="AA294" s="163">
        <v>-329891.71999999997</v>
      </c>
      <c r="AB294" s="163">
        <v>-365719.26</v>
      </c>
      <c r="AC294" s="163">
        <v>-390410.62</v>
      </c>
      <c r="AD294" s="163">
        <v>-427488.39</v>
      </c>
      <c r="AE294" s="163">
        <v>-466543.16</v>
      </c>
      <c r="AF294" s="163">
        <v>-303496.15000000002</v>
      </c>
      <c r="AG294" s="163">
        <v>-291445.05</v>
      </c>
      <c r="AH294" s="163">
        <v>-315498.03000000003</v>
      </c>
      <c r="AI294" s="163">
        <v>-336287.38</v>
      </c>
      <c r="AJ294" s="163">
        <v>-349958.75</v>
      </c>
      <c r="AK294" s="163">
        <v>-372545.91</v>
      </c>
      <c r="AL294" s="163">
        <v>-396229.49</v>
      </c>
      <c r="AM294" s="163">
        <v>-416775.27</v>
      </c>
      <c r="AN294" s="163">
        <v>-482361.27</v>
      </c>
      <c r="AO294" s="163">
        <v>-506090.03</v>
      </c>
      <c r="AP294" s="163">
        <v>-516851.91</v>
      </c>
      <c r="AQ294" s="163">
        <v>-551193.87</v>
      </c>
      <c r="AR294" s="163">
        <v>-337570.55</v>
      </c>
      <c r="AS294" s="163">
        <v>-364789.51</v>
      </c>
      <c r="AT294" s="163">
        <v>-425142.54</v>
      </c>
      <c r="AU294" s="163">
        <v>-424704.19</v>
      </c>
      <c r="AV294" s="163">
        <v>-472308.27</v>
      </c>
      <c r="AW294" s="163">
        <v>-470344.99</v>
      </c>
      <c r="AX294" s="163">
        <v>-467290.38</v>
      </c>
      <c r="AY294" s="163">
        <v>-467235.2</v>
      </c>
      <c r="AZ294" s="163">
        <v>-418234.14</v>
      </c>
      <c r="BA294" s="163">
        <v>-418296.14</v>
      </c>
      <c r="BB294" s="163">
        <v>-420274.7</v>
      </c>
      <c r="BC294" s="163">
        <v>-398136.99</v>
      </c>
      <c r="BD294" s="163">
        <v>-18499.89</v>
      </c>
      <c r="BE294" s="163">
        <v>-17967.82</v>
      </c>
      <c r="BF294" s="163">
        <v>-11903.78</v>
      </c>
      <c r="BG294" s="163">
        <v>-11903.78</v>
      </c>
      <c r="BH294" s="163">
        <v>-11931.76</v>
      </c>
      <c r="BI294" s="163">
        <v>-10165.129999999999</v>
      </c>
      <c r="BJ294" s="163">
        <v>-553.21</v>
      </c>
      <c r="BK294" s="163">
        <v>-553.21</v>
      </c>
      <c r="BL294" s="163">
        <v>-553.21</v>
      </c>
      <c r="BM294" s="163">
        <v>-553.21</v>
      </c>
      <c r="BN294" s="163">
        <v>-525.23</v>
      </c>
      <c r="BO294" s="163">
        <v>-525.23</v>
      </c>
      <c r="BP294" s="163">
        <v>2265.12</v>
      </c>
      <c r="BQ294" s="163">
        <v>-1221.72</v>
      </c>
      <c r="BR294" s="163">
        <v>-1444.63</v>
      </c>
      <c r="BS294" s="163">
        <v>-1444.63</v>
      </c>
      <c r="BT294" s="163">
        <v>-4159.63</v>
      </c>
      <c r="BU294" s="163">
        <v>2374.96</v>
      </c>
      <c r="BV294" s="163">
        <v>-2050.04</v>
      </c>
      <c r="BW294" s="163">
        <v>-5948.6</v>
      </c>
      <c r="BX294" s="163">
        <v>-5948.6</v>
      </c>
      <c r="BY294" s="163">
        <v>-5948.6</v>
      </c>
      <c r="BZ294" s="163">
        <v>-7548.6</v>
      </c>
      <c r="CA294" s="163">
        <v>-37371.17</v>
      </c>
      <c r="CB294" s="163">
        <v>-37371.17</v>
      </c>
      <c r="CC294" s="163">
        <v>-32093.11</v>
      </c>
      <c r="CD294" s="163">
        <v>-31462.92</v>
      </c>
      <c r="CE294" s="163">
        <v>-31204.12</v>
      </c>
      <c r="CF294" s="163">
        <v>-34579.120000000003</v>
      </c>
      <c r="CG294" s="163">
        <v>-28951.68</v>
      </c>
      <c r="CH294" s="163">
        <v>-26570.02</v>
      </c>
      <c r="CI294" s="163">
        <v>-26570.02</v>
      </c>
      <c r="CJ294" s="163">
        <v>-26425.13</v>
      </c>
      <c r="CK294" s="163">
        <v>-35625.129999999997</v>
      </c>
      <c r="CL294" s="163">
        <v>-49118.73</v>
      </c>
      <c r="CM294" s="163">
        <v>-48930.61</v>
      </c>
      <c r="CN294" s="163">
        <v>-48868.66</v>
      </c>
      <c r="CO294" s="163">
        <v>-46580.42</v>
      </c>
      <c r="CP294" s="163">
        <v>-47880.42</v>
      </c>
      <c r="CQ294" s="163">
        <v>-48230.42</v>
      </c>
      <c r="CR294" s="163">
        <v>-48230.42</v>
      </c>
      <c r="CS294" s="163">
        <v>-48230.42</v>
      </c>
      <c r="CT294" s="163">
        <v>-51395.89</v>
      </c>
      <c r="CU294" s="163">
        <v>-51289.39</v>
      </c>
      <c r="CV294" s="163">
        <v>-51289.39</v>
      </c>
      <c r="CW294" s="163">
        <v>-51289.39</v>
      </c>
      <c r="CX294" s="163">
        <v>-52022.76</v>
      </c>
      <c r="CY294" s="163">
        <v>-87422.03</v>
      </c>
      <c r="CZ294" s="163">
        <v>-87422.03</v>
      </c>
      <c r="DA294" s="163">
        <v>-87422.03</v>
      </c>
      <c r="DB294" s="163">
        <v>-91297.03</v>
      </c>
      <c r="DC294" s="163">
        <v>-91297.03</v>
      </c>
      <c r="DD294" s="163">
        <v>-91297.03</v>
      </c>
      <c r="DE294" s="163">
        <v>-93897.03</v>
      </c>
      <c r="DF294" s="163">
        <f>VLOOKUP($C294,'[3]BS ACC'!$C$5:$DH$1006,108,FALSE)</f>
        <v>-93727.22</v>
      </c>
      <c r="DG294" s="163">
        <f>VLOOKUP($C294,'[3]BS ACC'!$C$5:$DH$1006,109,FALSE)</f>
        <v>-93246.37</v>
      </c>
      <c r="DH294" s="163">
        <f>VLOOKUP($C294,'[3]BS ACC'!$C$5:$DH$1006,110,FALSE)</f>
        <v>-93246.37</v>
      </c>
    </row>
    <row r="295" spans="1:112">
      <c r="A295" s="350" t="str">
        <f t="shared" si="4"/>
        <v>2420321</v>
      </c>
      <c r="B295" s="350" t="s">
        <v>938</v>
      </c>
      <c r="C295" s="335" t="s">
        <v>804</v>
      </c>
      <c r="D295" s="340">
        <v>-40439944</v>
      </c>
      <c r="E295" s="340">
        <v>-40439944</v>
      </c>
      <c r="F295" s="340">
        <v>-40439944</v>
      </c>
      <c r="G295" s="340">
        <v>-38439944</v>
      </c>
      <c r="H295" s="340">
        <v>-38439944</v>
      </c>
      <c r="I295" s="340">
        <v>-38439944</v>
      </c>
      <c r="J295" s="340">
        <v>-35939944</v>
      </c>
      <c r="K295" s="340">
        <v>-35939944</v>
      </c>
      <c r="L295" s="340">
        <v>-35939944</v>
      </c>
      <c r="M295" s="340">
        <v>-33284401</v>
      </c>
      <c r="N295" s="340">
        <v>-33284401</v>
      </c>
      <c r="O295" s="340">
        <v>-33284401</v>
      </c>
      <c r="P295" s="341">
        <v>-33295565</v>
      </c>
      <c r="Q295" s="163">
        <v>-33295565</v>
      </c>
      <c r="R295" s="163">
        <v>-33295565</v>
      </c>
      <c r="S295" s="163">
        <v>-33295565</v>
      </c>
      <c r="T295" s="163">
        <v>-33295565</v>
      </c>
      <c r="U295" s="163">
        <v>-33295565</v>
      </c>
      <c r="V295" s="163">
        <v>-33295565</v>
      </c>
      <c r="W295" s="163">
        <v>-33295565</v>
      </c>
      <c r="X295" s="163">
        <v>-33295565</v>
      </c>
      <c r="Y295" s="163">
        <v>-33295565</v>
      </c>
      <c r="Z295" s="163">
        <v>-33295565</v>
      </c>
      <c r="AA295" s="163">
        <v>-33295565</v>
      </c>
      <c r="AB295" s="163">
        <v>-33938077</v>
      </c>
      <c r="AC295" s="163">
        <v>-33938077</v>
      </c>
      <c r="AD295" s="163">
        <v>-33938077</v>
      </c>
      <c r="AE295" s="163">
        <v>-33938077</v>
      </c>
      <c r="AF295" s="163">
        <v>-33938077</v>
      </c>
      <c r="AG295" s="163">
        <v>-33938077</v>
      </c>
      <c r="AH295" s="163">
        <v>-33938077</v>
      </c>
      <c r="AI295" s="163">
        <v>-33938077</v>
      </c>
      <c r="AJ295" s="163">
        <v>-33938077</v>
      </c>
      <c r="AK295" s="163">
        <v>-33938077</v>
      </c>
      <c r="AL295" s="163">
        <v>-33938077</v>
      </c>
      <c r="AM295" s="163">
        <v>-33938077</v>
      </c>
      <c r="AN295" s="163">
        <v>-31563329</v>
      </c>
      <c r="AO295" s="163">
        <v>-31563329</v>
      </c>
      <c r="AP295" s="163">
        <v>-31563329</v>
      </c>
      <c r="AQ295" s="163">
        <v>-30390812</v>
      </c>
      <c r="AR295" s="163">
        <v>-30390812</v>
      </c>
      <c r="AS295" s="163">
        <v>-30390812</v>
      </c>
      <c r="AT295" s="163">
        <v>-30390812</v>
      </c>
      <c r="AU295" s="163">
        <v>-30390812</v>
      </c>
      <c r="AV295" s="163">
        <v>-30390812</v>
      </c>
      <c r="AW295" s="163">
        <v>-30390812</v>
      </c>
      <c r="AX295" s="163">
        <v>-30390812</v>
      </c>
      <c r="AY295" s="163">
        <v>-30390812</v>
      </c>
      <c r="AZ295" s="163">
        <v>-30039284</v>
      </c>
      <c r="BA295" s="163">
        <v>-30039284</v>
      </c>
      <c r="BB295" s="163">
        <v>-30039284</v>
      </c>
      <c r="BC295" s="163">
        <v>-27963655</v>
      </c>
      <c r="BD295" s="163">
        <v>-27963655</v>
      </c>
      <c r="BE295" s="163">
        <v>-27963655</v>
      </c>
      <c r="BF295" s="163">
        <v>-27963655</v>
      </c>
      <c r="BG295" s="163">
        <v>-27963655</v>
      </c>
      <c r="BH295" s="163">
        <v>-27963655</v>
      </c>
      <c r="BI295" s="163">
        <v>-27963655</v>
      </c>
      <c r="BJ295" s="163">
        <v>-27963655</v>
      </c>
      <c r="BK295" s="163">
        <v>-27963655</v>
      </c>
      <c r="BL295" s="163">
        <v>-27962095</v>
      </c>
      <c r="BM295" s="163">
        <v>-27962095</v>
      </c>
      <c r="BN295" s="163">
        <v>-27962095</v>
      </c>
      <c r="BO295" s="163">
        <v>-27962095</v>
      </c>
      <c r="BP295" s="163">
        <v>-27962095</v>
      </c>
      <c r="BQ295" s="163">
        <v>-27962095</v>
      </c>
      <c r="BR295" s="163">
        <v>-27962095</v>
      </c>
      <c r="BS295" s="163">
        <v>-27962095</v>
      </c>
      <c r="BT295" s="163">
        <v>-27962095</v>
      </c>
      <c r="BU295" s="163">
        <v>-27962095</v>
      </c>
      <c r="BV295" s="163">
        <v>-27962095</v>
      </c>
      <c r="BW295" s="163">
        <v>-27962095</v>
      </c>
      <c r="BX295" s="163">
        <v>-20805063</v>
      </c>
      <c r="BY295" s="163">
        <v>-20805063</v>
      </c>
      <c r="BZ295" s="163">
        <v>-20805063</v>
      </c>
      <c r="CA295" s="163">
        <v>-20805063</v>
      </c>
      <c r="CB295" s="163">
        <v>-20805063</v>
      </c>
      <c r="CC295" s="163">
        <v>-20805063</v>
      </c>
      <c r="CD295" s="163">
        <v>-20805063</v>
      </c>
      <c r="CE295" s="163">
        <v>-20805063</v>
      </c>
      <c r="CF295" s="163">
        <v>-20805063</v>
      </c>
      <c r="CG295" s="163">
        <v>-20805063</v>
      </c>
      <c r="CH295" s="163">
        <v>-20805063</v>
      </c>
      <c r="CI295" s="163">
        <v>-20805063</v>
      </c>
      <c r="CJ295" s="163">
        <v>-17404076</v>
      </c>
      <c r="CK295" s="163">
        <v>-17404076</v>
      </c>
      <c r="CL295" s="163">
        <v>-17404076</v>
      </c>
      <c r="CM295" s="163">
        <v>-17404076</v>
      </c>
      <c r="CN295" s="163">
        <v>-17404076</v>
      </c>
      <c r="CO295" s="163">
        <v>-17404076</v>
      </c>
      <c r="CP295" s="163">
        <v>-17404076</v>
      </c>
      <c r="CQ295" s="163">
        <v>-17404076</v>
      </c>
      <c r="CR295" s="163">
        <v>-17404076</v>
      </c>
      <c r="CS295" s="163">
        <v>-17404076</v>
      </c>
      <c r="CT295" s="163">
        <v>-17404076</v>
      </c>
      <c r="CU295" s="163">
        <v>-17404076</v>
      </c>
      <c r="CV295" s="163">
        <v>-13903851</v>
      </c>
      <c r="CW295" s="163">
        <v>-13903851</v>
      </c>
      <c r="CX295" s="163">
        <v>-13903851</v>
      </c>
      <c r="CY295" s="163">
        <v>-13903851</v>
      </c>
      <c r="CZ295" s="163">
        <v>-13903851</v>
      </c>
      <c r="DA295" s="163">
        <v>-13903851</v>
      </c>
      <c r="DB295" s="163">
        <v>-13903851</v>
      </c>
      <c r="DC295" s="163">
        <v>-13903851</v>
      </c>
      <c r="DD295" s="163">
        <v>-13903851</v>
      </c>
      <c r="DE295" s="163">
        <v>-13903851</v>
      </c>
      <c r="DF295" s="163">
        <f>VLOOKUP($C295,'[3]BS ACC'!$C$5:$DH$1006,108,FALSE)</f>
        <v>-13903851</v>
      </c>
      <c r="DG295" s="163">
        <f>VLOOKUP($C295,'[3]BS ACC'!$C$5:$DH$1006,109,FALSE)</f>
        <v>-13903851</v>
      </c>
      <c r="DH295" s="163">
        <f>VLOOKUP($C295,'[3]BS ACC'!$C$5:$DH$1006,110,FALSE)</f>
        <v>-12618620</v>
      </c>
    </row>
    <row r="296" spans="1:112">
      <c r="A296" s="350" t="str">
        <f t="shared" si="4"/>
        <v>2420800</v>
      </c>
      <c r="B296" s="350" t="s">
        <v>927</v>
      </c>
      <c r="C296" s="335" t="s">
        <v>805</v>
      </c>
      <c r="D296" s="340">
        <v>-170911</v>
      </c>
      <c r="E296" s="340">
        <v>-181124.67</v>
      </c>
      <c r="F296" s="340">
        <v>-181134.83</v>
      </c>
      <c r="G296" s="340">
        <v>-193663.47</v>
      </c>
      <c r="H296" s="340">
        <v>-200172.17</v>
      </c>
      <c r="I296" s="340">
        <v>-206680.59</v>
      </c>
      <c r="J296" s="340">
        <v>-42383.88</v>
      </c>
      <c r="K296" s="340">
        <v>-48883.88</v>
      </c>
      <c r="L296" s="340">
        <v>-89697.94</v>
      </c>
      <c r="M296" s="340">
        <v>-89697.94</v>
      </c>
      <c r="N296" s="340">
        <v>-89697.94</v>
      </c>
      <c r="O296" s="340">
        <v>-89697.94</v>
      </c>
      <c r="P296" s="341">
        <v>-89697.94</v>
      </c>
      <c r="Q296" s="163">
        <v>-89697.94</v>
      </c>
      <c r="R296" s="163">
        <v>-89697.94</v>
      </c>
      <c r="S296" s="163">
        <v>-91514.22</v>
      </c>
      <c r="T296" s="163">
        <v>-91514.22</v>
      </c>
      <c r="U296" s="163">
        <v>-91514.22</v>
      </c>
      <c r="V296" s="163">
        <v>-91514.22</v>
      </c>
      <c r="W296" s="163">
        <v>-121914.22</v>
      </c>
      <c r="X296" s="163">
        <v>-121914.22</v>
      </c>
      <c r="Y296" s="163">
        <v>-121914.22</v>
      </c>
      <c r="Z296" s="163">
        <v>-132328.28</v>
      </c>
      <c r="AA296" s="163">
        <v>-132328.28</v>
      </c>
      <c r="AB296" s="163">
        <v>-1132328.28</v>
      </c>
      <c r="AC296" s="163">
        <v>-1132328.28</v>
      </c>
      <c r="AD296" s="163">
        <v>-1132328.28</v>
      </c>
      <c r="AE296" s="163">
        <v>-3133549.71</v>
      </c>
      <c r="AF296" s="163">
        <v>-3133549.71</v>
      </c>
      <c r="AG296" s="163">
        <v>-2133549.71</v>
      </c>
      <c r="AH296" s="163">
        <v>-133549.71</v>
      </c>
      <c r="AI296" s="163">
        <v>-133549.71</v>
      </c>
      <c r="AJ296" s="163">
        <v>-174363.77</v>
      </c>
      <c r="AK296" s="163">
        <v>-174363.77</v>
      </c>
      <c r="AL296" s="163">
        <v>-174363.77</v>
      </c>
      <c r="AM296" s="163">
        <v>-174363.77</v>
      </c>
      <c r="AN296" s="163">
        <v>-174363.77</v>
      </c>
      <c r="AO296" s="163">
        <v>-174363.77</v>
      </c>
      <c r="AP296" s="163">
        <v>-175930.55</v>
      </c>
      <c r="AQ296" s="163">
        <v>-175930.55</v>
      </c>
      <c r="AR296" s="163">
        <v>-175930.55</v>
      </c>
      <c r="AS296" s="163">
        <v>-175930.55</v>
      </c>
      <c r="AT296" s="163">
        <v>-175930.55</v>
      </c>
      <c r="AU296" s="163">
        <v>-175930.55</v>
      </c>
      <c r="AV296" s="163">
        <v>-175930.55</v>
      </c>
      <c r="AW296" s="163">
        <v>-175930.55</v>
      </c>
      <c r="AX296" s="163">
        <v>-228446.58</v>
      </c>
      <c r="AY296" s="163">
        <v>-228446.58</v>
      </c>
      <c r="AZ296" s="163">
        <v>-228446.58</v>
      </c>
      <c r="BA296" s="163">
        <v>-228446.58</v>
      </c>
      <c r="BB296" s="163">
        <v>-228446.58</v>
      </c>
      <c r="BC296" s="163">
        <v>-229330.55</v>
      </c>
      <c r="BD296" s="163">
        <v>-229330.55</v>
      </c>
      <c r="BE296" s="163">
        <v>-229330.55</v>
      </c>
      <c r="BF296" s="163">
        <v>-229330.55</v>
      </c>
      <c r="BG296" s="163">
        <v>-229330.55</v>
      </c>
      <c r="BH296" s="163">
        <v>-229330.55</v>
      </c>
      <c r="BI296" s="163">
        <v>-229330.55</v>
      </c>
      <c r="BJ296" s="163">
        <v>-36160</v>
      </c>
      <c r="BK296" s="163">
        <v>-36160</v>
      </c>
      <c r="BL296" s="163">
        <v>-36160</v>
      </c>
      <c r="BM296" s="163">
        <v>-97777.95</v>
      </c>
      <c r="BN296" s="163">
        <v>-102139.46</v>
      </c>
      <c r="BO296" s="163">
        <v>-102139.46</v>
      </c>
      <c r="BP296" s="163">
        <v>-102139.46</v>
      </c>
      <c r="BQ296" s="163">
        <v>-102139.46</v>
      </c>
      <c r="BR296" s="163">
        <v>-102139.46</v>
      </c>
      <c r="BS296" s="163">
        <v>-102139.46</v>
      </c>
      <c r="BT296" s="163">
        <v>-102139.46</v>
      </c>
      <c r="BU296" s="163">
        <v>-102139.46</v>
      </c>
      <c r="BV296" s="163">
        <v>-102139.46</v>
      </c>
      <c r="BW296" s="163">
        <v>-102139.46</v>
      </c>
      <c r="BX296" s="163">
        <v>-102139.46</v>
      </c>
      <c r="BY296" s="163">
        <v>-102139.46</v>
      </c>
      <c r="BZ296" s="163">
        <v>-181060.46</v>
      </c>
      <c r="CA296" s="163">
        <v>-181060.46</v>
      </c>
      <c r="CB296" s="163">
        <v>-181060.46</v>
      </c>
      <c r="CC296" s="163">
        <v>-181060.46</v>
      </c>
      <c r="CD296" s="163">
        <v>-181060.46</v>
      </c>
      <c r="CE296" s="163">
        <v>-181060.46</v>
      </c>
      <c r="CF296" s="163">
        <v>-181060.46</v>
      </c>
      <c r="CG296" s="163">
        <v>-181060.46</v>
      </c>
      <c r="CH296" s="163">
        <v>-181060.46</v>
      </c>
      <c r="CI296" s="163">
        <v>-181060.46</v>
      </c>
      <c r="CJ296" s="163">
        <v>-181060.46</v>
      </c>
      <c r="CK296" s="163">
        <v>-181060.46</v>
      </c>
      <c r="CL296" s="163">
        <v>-181060.46</v>
      </c>
      <c r="CM296" s="163">
        <v>-261025.46</v>
      </c>
      <c r="CN296" s="163">
        <v>-261025.46</v>
      </c>
      <c r="CO296" s="163">
        <v>-261025.46</v>
      </c>
      <c r="CP296" s="163">
        <v>-261025.46</v>
      </c>
      <c r="CQ296" s="163">
        <v>-261025.46</v>
      </c>
      <c r="CR296" s="163">
        <v>-261025.46</v>
      </c>
      <c r="CS296" s="163">
        <v>-261025.46</v>
      </c>
      <c r="CT296" s="163">
        <v>-261025.46</v>
      </c>
      <c r="CU296" s="163">
        <v>-261025.46</v>
      </c>
      <c r="CV296" s="163">
        <v>-261025.46</v>
      </c>
      <c r="CW296" s="163">
        <v>-261025.46</v>
      </c>
      <c r="CX296" s="163">
        <v>-336220.52</v>
      </c>
      <c r="CY296" s="163">
        <v>-343067.52</v>
      </c>
      <c r="CZ296" s="163">
        <v>-343067.52</v>
      </c>
      <c r="DA296" s="163">
        <v>-343067.52</v>
      </c>
      <c r="DB296" s="163">
        <v>-343067.52</v>
      </c>
      <c r="DC296" s="163">
        <v>-343067.52</v>
      </c>
      <c r="DD296" s="163">
        <v>-343067.52</v>
      </c>
      <c r="DE296" s="163">
        <v>-343067.52</v>
      </c>
      <c r="DF296" s="163">
        <f>VLOOKUP($C296,'[3]BS ACC'!$C$5:$DH$1006,108,FALSE)</f>
        <v>-343067.52</v>
      </c>
      <c r="DG296" s="163">
        <f>VLOOKUP($C296,'[3]BS ACC'!$C$5:$DH$1006,109,FALSE)</f>
        <v>-343067.52</v>
      </c>
      <c r="DH296" s="163">
        <f>VLOOKUP($C296,'[3]BS ACC'!$C$5:$DH$1006,110,FALSE)</f>
        <v>-343067.52</v>
      </c>
    </row>
    <row r="297" spans="1:112">
      <c r="A297" s="350" t="str">
        <f t="shared" si="4"/>
        <v>2450100</v>
      </c>
      <c r="B297" s="350" t="s">
        <v>901</v>
      </c>
      <c r="C297" s="335" t="s">
        <v>806</v>
      </c>
      <c r="D297" s="340">
        <v>-7120</v>
      </c>
      <c r="E297" s="340">
        <v>0</v>
      </c>
      <c r="F297" s="340">
        <v>0</v>
      </c>
      <c r="G297" s="340">
        <v>0</v>
      </c>
      <c r="H297" s="340">
        <v>0</v>
      </c>
      <c r="I297" s="340">
        <v>-38715</v>
      </c>
      <c r="J297" s="340">
        <v>-128875</v>
      </c>
      <c r="K297" s="340">
        <v>-2468590</v>
      </c>
      <c r="L297" s="340">
        <v>-1173365</v>
      </c>
      <c r="M297" s="340">
        <v>-1223070</v>
      </c>
      <c r="N297" s="340">
        <v>-2881650</v>
      </c>
      <c r="O297" s="340">
        <v>-2014370</v>
      </c>
      <c r="P297" s="341">
        <v>-7392240</v>
      </c>
      <c r="Q297" s="163">
        <v>-7790065</v>
      </c>
      <c r="R297" s="163">
        <v>-6393740</v>
      </c>
      <c r="S297" s="163">
        <v>-6342450</v>
      </c>
      <c r="T297" s="163">
        <v>-5637320</v>
      </c>
      <c r="U297" s="163">
        <v>-5755855</v>
      </c>
      <c r="V297" s="163">
        <v>-4880205</v>
      </c>
      <c r="W297" s="163">
        <v>-4858745</v>
      </c>
      <c r="X297" s="163">
        <v>-5110565</v>
      </c>
      <c r="Y297" s="163">
        <v>-5737865</v>
      </c>
      <c r="Z297" s="163">
        <v>-7190665</v>
      </c>
      <c r="AA297" s="163">
        <v>-7185065</v>
      </c>
      <c r="AB297" s="163">
        <v>-5677115</v>
      </c>
      <c r="AC297" s="163">
        <v>-4421245</v>
      </c>
      <c r="AD297" s="163">
        <v>-5029175</v>
      </c>
      <c r="AE297" s="163">
        <v>-3317630</v>
      </c>
      <c r="AF297" s="163">
        <v>-1955540</v>
      </c>
      <c r="AG297" s="163">
        <v>-1672795</v>
      </c>
      <c r="AH297" s="163">
        <v>-343605</v>
      </c>
      <c r="AI297" s="163">
        <v>-334975</v>
      </c>
      <c r="AJ297" s="163">
        <v>-322945</v>
      </c>
      <c r="AK297" s="163">
        <v>-385945</v>
      </c>
      <c r="AL297" s="163">
        <v>-407985</v>
      </c>
      <c r="AM297" s="163">
        <v>-73985</v>
      </c>
      <c r="AN297" s="163">
        <v>0</v>
      </c>
      <c r="AO297" s="163">
        <v>-55450</v>
      </c>
      <c r="AP297" s="163">
        <v>-358425</v>
      </c>
      <c r="AQ297" s="163">
        <v>0</v>
      </c>
      <c r="AR297" s="163">
        <v>0</v>
      </c>
      <c r="AS297" s="163">
        <v>-3400</v>
      </c>
      <c r="AT297" s="163">
        <v>-20300</v>
      </c>
      <c r="AU297" s="163">
        <v>-132075</v>
      </c>
      <c r="AV297" s="163">
        <v>-4680</v>
      </c>
      <c r="AW297" s="163">
        <v>-9230</v>
      </c>
      <c r="AX297" s="163">
        <v>-138225</v>
      </c>
      <c r="AY297" s="163">
        <v>-60555</v>
      </c>
      <c r="AZ297" s="163">
        <v>-181065</v>
      </c>
      <c r="BA297" s="163">
        <v>-1780</v>
      </c>
      <c r="BB297" s="163">
        <v>-113125</v>
      </c>
      <c r="BC297" s="163">
        <v>-32645</v>
      </c>
      <c r="BD297" s="163">
        <v>-25690</v>
      </c>
      <c r="BE297" s="163">
        <v>0</v>
      </c>
      <c r="BF297" s="163">
        <v>-280</v>
      </c>
      <c r="BG297" s="163">
        <v>-11720</v>
      </c>
      <c r="BH297" s="163">
        <v>0</v>
      </c>
      <c r="BI297" s="163">
        <v>0</v>
      </c>
      <c r="BJ297" s="163">
        <v>0</v>
      </c>
      <c r="BK297" s="163">
        <v>0</v>
      </c>
      <c r="BL297" s="163">
        <v>0</v>
      </c>
      <c r="BM297" s="163">
        <v>0</v>
      </c>
      <c r="BN297" s="163">
        <v>0</v>
      </c>
      <c r="BO297" s="163">
        <v>0</v>
      </c>
      <c r="BP297" s="163">
        <v>0</v>
      </c>
      <c r="BQ297" s="163">
        <v>0</v>
      </c>
      <c r="BR297" s="163">
        <v>0</v>
      </c>
      <c r="BS297" s="163">
        <v>0</v>
      </c>
      <c r="BT297" s="163">
        <v>0</v>
      </c>
      <c r="BU297" s="163">
        <v>0</v>
      </c>
      <c r="BV297" s="163">
        <v>0</v>
      </c>
      <c r="BW297" s="163">
        <v>0</v>
      </c>
      <c r="BX297" s="163">
        <v>0</v>
      </c>
      <c r="BY297" s="163">
        <v>0</v>
      </c>
      <c r="BZ297" s="163">
        <v>0</v>
      </c>
      <c r="CA297" s="163">
        <v>0</v>
      </c>
      <c r="CB297" s="163">
        <v>0</v>
      </c>
      <c r="CC297" s="163">
        <v>0</v>
      </c>
      <c r="CD297" s="163">
        <v>0</v>
      </c>
      <c r="CE297" s="163">
        <v>0</v>
      </c>
      <c r="CF297" s="163">
        <v>0</v>
      </c>
      <c r="CG297" s="163">
        <v>0</v>
      </c>
      <c r="CH297" s="163">
        <v>0</v>
      </c>
      <c r="CI297" s="163">
        <v>0</v>
      </c>
      <c r="CJ297" s="163">
        <v>0</v>
      </c>
      <c r="CK297" s="163">
        <v>0</v>
      </c>
      <c r="CL297" s="163">
        <v>0</v>
      </c>
      <c r="CM297" s="163">
        <v>0</v>
      </c>
      <c r="CN297" s="163">
        <v>0</v>
      </c>
      <c r="CO297" s="163">
        <v>0</v>
      </c>
      <c r="CP297" s="163">
        <v>0</v>
      </c>
      <c r="CQ297" s="163">
        <v>0</v>
      </c>
      <c r="CR297" s="163">
        <v>0</v>
      </c>
      <c r="CS297" s="163">
        <v>0</v>
      </c>
      <c r="CT297" s="163">
        <v>0</v>
      </c>
      <c r="CU297" s="163">
        <v>0</v>
      </c>
      <c r="CV297" s="163">
        <v>0</v>
      </c>
      <c r="CW297" s="163">
        <v>0</v>
      </c>
      <c r="CX297" s="163">
        <v>0</v>
      </c>
      <c r="CY297" s="163">
        <v>0</v>
      </c>
      <c r="CZ297" s="163">
        <v>0</v>
      </c>
      <c r="DA297" s="163">
        <v>0</v>
      </c>
      <c r="DB297" s="163">
        <v>0</v>
      </c>
      <c r="DC297" s="163">
        <v>0</v>
      </c>
      <c r="DD297" s="163">
        <v>0</v>
      </c>
      <c r="DE297" s="163">
        <v>0</v>
      </c>
      <c r="DF297" s="163">
        <f>VLOOKUP($C297,'[3]BS ACC'!$C$5:$DH$1006,108,FALSE)</f>
        <v>0</v>
      </c>
      <c r="DG297" s="163">
        <f>VLOOKUP($C297,'[3]BS ACC'!$C$5:$DH$1006,109,FALSE)</f>
        <v>0</v>
      </c>
      <c r="DH297" s="163">
        <f>VLOOKUP($C297,'[3]BS ACC'!$C$5:$DH$1006,110,FALSE)</f>
        <v>0</v>
      </c>
    </row>
    <row r="298" spans="1:112">
      <c r="A298" s="350" t="str">
        <f t="shared" si="4"/>
        <v>2450200</v>
      </c>
      <c r="B298" s="350" t="s">
        <v>902</v>
      </c>
      <c r="C298" s="335" t="s">
        <v>807</v>
      </c>
      <c r="D298" s="340">
        <v>-28565</v>
      </c>
      <c r="E298" s="340">
        <v>-16835</v>
      </c>
      <c r="F298" s="340">
        <v>-11185</v>
      </c>
      <c r="G298" s="340">
        <v>-18490</v>
      </c>
      <c r="H298" s="340">
        <v>-800</v>
      </c>
      <c r="I298" s="340">
        <v>-48975</v>
      </c>
      <c r="J298" s="340">
        <v>-58765</v>
      </c>
      <c r="K298" s="340">
        <v>-780035</v>
      </c>
      <c r="L298" s="340">
        <v>-352435</v>
      </c>
      <c r="M298" s="340">
        <v>-394780</v>
      </c>
      <c r="N298" s="340">
        <v>-777250</v>
      </c>
      <c r="O298" s="340">
        <v>-688750</v>
      </c>
      <c r="P298" s="341">
        <v>-1593250</v>
      </c>
      <c r="Q298" s="163">
        <v>-1274880</v>
      </c>
      <c r="R298" s="163">
        <v>-1033930</v>
      </c>
      <c r="S298" s="163">
        <v>-879585</v>
      </c>
      <c r="T298" s="163">
        <v>-655185</v>
      </c>
      <c r="U298" s="163">
        <v>-552090</v>
      </c>
      <c r="V298" s="163">
        <v>-314130</v>
      </c>
      <c r="W298" s="163">
        <v>-359700</v>
      </c>
      <c r="X298" s="163">
        <v>-439100</v>
      </c>
      <c r="Y298" s="163">
        <v>-594500</v>
      </c>
      <c r="Z298" s="163">
        <v>-853370</v>
      </c>
      <c r="AA298" s="163">
        <v>-880470</v>
      </c>
      <c r="AB298" s="163">
        <v>-668840</v>
      </c>
      <c r="AC298" s="163">
        <v>-461890</v>
      </c>
      <c r="AD298" s="163">
        <v>-401870</v>
      </c>
      <c r="AE298" s="163">
        <v>-134920</v>
      </c>
      <c r="AF298" s="163">
        <v>-16250</v>
      </c>
      <c r="AG298" s="163">
        <v>-15820</v>
      </c>
      <c r="AH298" s="163">
        <v>0</v>
      </c>
      <c r="AI298" s="163">
        <v>0</v>
      </c>
      <c r="AJ298" s="163">
        <v>-480</v>
      </c>
      <c r="AK298" s="163">
        <v>-18320</v>
      </c>
      <c r="AL298" s="163">
        <v>-530</v>
      </c>
      <c r="AM298" s="163">
        <v>-2800</v>
      </c>
      <c r="AN298" s="163">
        <v>0</v>
      </c>
      <c r="AO298" s="163">
        <v>-600</v>
      </c>
      <c r="AP298" s="163">
        <v>-31075</v>
      </c>
      <c r="AQ298" s="163">
        <v>-4235</v>
      </c>
      <c r="AR298" s="163">
        <v>0</v>
      </c>
      <c r="AS298" s="163">
        <v>-520</v>
      </c>
      <c r="AT298" s="163">
        <v>-1980</v>
      </c>
      <c r="AU298" s="163">
        <v>-7950</v>
      </c>
      <c r="AV298" s="163">
        <v>0</v>
      </c>
      <c r="AW298" s="163">
        <v>0</v>
      </c>
      <c r="AX298" s="163">
        <v>0</v>
      </c>
      <c r="AY298" s="163">
        <v>0</v>
      </c>
      <c r="AZ298" s="163">
        <v>0</v>
      </c>
      <c r="BA298" s="163">
        <v>0</v>
      </c>
      <c r="BB298" s="163">
        <v>0</v>
      </c>
      <c r="BC298" s="163">
        <v>0</v>
      </c>
      <c r="BD298" s="163">
        <v>0</v>
      </c>
      <c r="BE298" s="163">
        <v>0</v>
      </c>
      <c r="BF298" s="163">
        <v>0</v>
      </c>
      <c r="BG298" s="163">
        <v>0</v>
      </c>
      <c r="BH298" s="163">
        <v>0</v>
      </c>
      <c r="BI298" s="163">
        <v>0</v>
      </c>
      <c r="BJ298" s="163">
        <v>0</v>
      </c>
      <c r="BK298" s="163">
        <v>0</v>
      </c>
      <c r="BL298" s="163">
        <v>0</v>
      </c>
      <c r="BM298" s="163">
        <v>0</v>
      </c>
      <c r="BN298" s="163">
        <v>0</v>
      </c>
      <c r="BO298" s="163">
        <v>0</v>
      </c>
      <c r="BP298" s="163">
        <v>0</v>
      </c>
      <c r="BQ298" s="163">
        <v>0</v>
      </c>
      <c r="BR298" s="163">
        <v>0</v>
      </c>
      <c r="BS298" s="163">
        <v>0</v>
      </c>
      <c r="BT298" s="163">
        <v>0</v>
      </c>
      <c r="BU298" s="163">
        <v>0</v>
      </c>
      <c r="BV298" s="163">
        <v>0</v>
      </c>
      <c r="BW298" s="163">
        <v>0</v>
      </c>
      <c r="BX298" s="163">
        <v>0</v>
      </c>
      <c r="BY298" s="163">
        <v>0</v>
      </c>
      <c r="BZ298" s="163">
        <v>0</v>
      </c>
      <c r="CA298" s="163">
        <v>0</v>
      </c>
      <c r="CB298" s="163">
        <v>0</v>
      </c>
      <c r="CC298" s="163">
        <v>0</v>
      </c>
      <c r="CD298" s="163">
        <v>0</v>
      </c>
      <c r="CE298" s="163">
        <v>0</v>
      </c>
      <c r="CF298" s="163">
        <v>0</v>
      </c>
      <c r="CG298" s="163">
        <v>0</v>
      </c>
      <c r="CH298" s="163">
        <v>0</v>
      </c>
      <c r="CI298" s="163">
        <v>0</v>
      </c>
      <c r="CJ298" s="163">
        <v>0</v>
      </c>
      <c r="CK298" s="163">
        <v>0</v>
      </c>
      <c r="CL298" s="163">
        <v>0</v>
      </c>
      <c r="CM298" s="163">
        <v>0</v>
      </c>
      <c r="CN298" s="163">
        <v>0</v>
      </c>
      <c r="CO298" s="163">
        <v>0</v>
      </c>
      <c r="CP298" s="163">
        <v>0</v>
      </c>
      <c r="CQ298" s="163">
        <v>0</v>
      </c>
      <c r="CR298" s="163">
        <v>0</v>
      </c>
      <c r="CS298" s="163">
        <v>0</v>
      </c>
      <c r="CT298" s="163">
        <v>0</v>
      </c>
      <c r="CU298" s="163">
        <v>0</v>
      </c>
      <c r="CV298" s="163">
        <v>0</v>
      </c>
      <c r="CW298" s="163">
        <v>0</v>
      </c>
      <c r="CX298" s="163">
        <v>0</v>
      </c>
      <c r="CY298" s="163">
        <v>0</v>
      </c>
      <c r="CZ298" s="163">
        <v>0</v>
      </c>
      <c r="DA298" s="163">
        <v>0</v>
      </c>
      <c r="DB298" s="163">
        <v>0</v>
      </c>
      <c r="DC298" s="163">
        <v>0</v>
      </c>
      <c r="DD298" s="163">
        <v>0</v>
      </c>
      <c r="DE298" s="163">
        <v>0</v>
      </c>
      <c r="DF298" s="163">
        <f>VLOOKUP($C298,'[3]BS ACC'!$C$5:$DH$1006,108,FALSE)</f>
        <v>0</v>
      </c>
      <c r="DG298" s="163">
        <f>VLOOKUP($C298,'[3]BS ACC'!$C$5:$DH$1006,109,FALSE)</f>
        <v>0</v>
      </c>
      <c r="DH298" s="163">
        <f>VLOOKUP($C298,'[3]BS ACC'!$C$5:$DH$1006,110,FALSE)</f>
        <v>0</v>
      </c>
    </row>
    <row r="299" spans="1:112">
      <c r="A299" s="350" t="str">
        <f t="shared" si="4"/>
        <v>2520000</v>
      </c>
      <c r="B299" s="350" t="s">
        <v>1669</v>
      </c>
      <c r="C299" s="335" t="s">
        <v>808</v>
      </c>
      <c r="D299" s="340">
        <v>-7564144.2999999998</v>
      </c>
      <c r="E299" s="340">
        <v>-7714348.2999999998</v>
      </c>
      <c r="F299" s="340">
        <v>-7764979.2999999998</v>
      </c>
      <c r="G299" s="340">
        <v>-7827894.2999999998</v>
      </c>
      <c r="H299" s="340">
        <v>-7873622.2999999998</v>
      </c>
      <c r="I299" s="340">
        <v>-7945592.2999999998</v>
      </c>
      <c r="J299" s="340">
        <v>-8035636.5800000001</v>
      </c>
      <c r="K299" s="340">
        <v>-8825586.5800000001</v>
      </c>
      <c r="L299" s="340">
        <v>-8912566.5800000001</v>
      </c>
      <c r="M299" s="340">
        <v>-8955974.0800000001</v>
      </c>
      <c r="N299" s="340">
        <v>-9024982</v>
      </c>
      <c r="O299" s="340">
        <v>-9822978</v>
      </c>
      <c r="P299" s="341">
        <v>-9842365</v>
      </c>
      <c r="Q299" s="163">
        <v>-9944960.2400000002</v>
      </c>
      <c r="R299" s="163">
        <v>-10017496.24</v>
      </c>
      <c r="S299" s="163">
        <v>-10092194.59</v>
      </c>
      <c r="T299" s="163">
        <v>-10903349.59</v>
      </c>
      <c r="U299" s="163">
        <v>-11184513.59</v>
      </c>
      <c r="V299" s="163">
        <v>-11269305.109999999</v>
      </c>
      <c r="W299" s="163">
        <v>-11293093.109999999</v>
      </c>
      <c r="X299" s="163">
        <v>-11468225.109999999</v>
      </c>
      <c r="Y299" s="163">
        <v>-11498118.130000001</v>
      </c>
      <c r="Z299" s="163">
        <v>-11549763.130000001</v>
      </c>
      <c r="AA299" s="163">
        <v>-11593557.449999999</v>
      </c>
      <c r="AB299" s="163">
        <v>-11625385.449999999</v>
      </c>
      <c r="AC299" s="163">
        <v>-11656524.449999999</v>
      </c>
      <c r="AD299" s="163">
        <v>-11952660.460000001</v>
      </c>
      <c r="AE299" s="163">
        <v>-11992238.460000001</v>
      </c>
      <c r="AF299" s="163">
        <v>-12090722.460000001</v>
      </c>
      <c r="AG299" s="163">
        <v>-12161249.460000001</v>
      </c>
      <c r="AH299" s="163">
        <v>-12372744.460000001</v>
      </c>
      <c r="AI299" s="163">
        <v>-12480523.460000001</v>
      </c>
      <c r="AJ299" s="163">
        <v>-12590723.460000001</v>
      </c>
      <c r="AK299" s="163">
        <v>-12662933.039999999</v>
      </c>
      <c r="AL299" s="163">
        <v>-12745836.039999999</v>
      </c>
      <c r="AM299" s="163">
        <v>-12438231.640000001</v>
      </c>
      <c r="AN299" s="163">
        <v>-12639677.640000001</v>
      </c>
      <c r="AO299" s="163">
        <v>-12165105.75</v>
      </c>
      <c r="AP299" s="163">
        <v>-12044118.57</v>
      </c>
      <c r="AQ299" s="163">
        <v>-12174977.210000001</v>
      </c>
      <c r="AR299" s="163">
        <v>-12309216.210000001</v>
      </c>
      <c r="AS299" s="163">
        <v>-12446195.210000001</v>
      </c>
      <c r="AT299" s="163">
        <v>-11296197.34</v>
      </c>
      <c r="AU299" s="163">
        <v>-9914451.8699999992</v>
      </c>
      <c r="AV299" s="163">
        <v>-9831064.5199999996</v>
      </c>
      <c r="AW299" s="163">
        <v>-9936897.5199999996</v>
      </c>
      <c r="AX299" s="163">
        <v>-10007435.52</v>
      </c>
      <c r="AY299" s="163">
        <v>-10047282.52</v>
      </c>
      <c r="AZ299" s="163">
        <v>-9607066.0800000001</v>
      </c>
      <c r="BA299" s="163">
        <v>-9573848.2899999991</v>
      </c>
      <c r="BB299" s="163">
        <v>-9728965.2899999991</v>
      </c>
      <c r="BC299" s="163">
        <v>-9807070.2899999991</v>
      </c>
      <c r="BD299" s="163">
        <v>-9950721.1799999997</v>
      </c>
      <c r="BE299" s="163">
        <v>-10073247.18</v>
      </c>
      <c r="BF299" s="163">
        <v>-10218869.18</v>
      </c>
      <c r="BG299" s="163">
        <v>-9921752.1600000001</v>
      </c>
      <c r="BH299" s="163">
        <v>-10073764.16</v>
      </c>
      <c r="BI299" s="163">
        <v>-10228447.51</v>
      </c>
      <c r="BJ299" s="163">
        <v>-10362898.27</v>
      </c>
      <c r="BK299" s="163">
        <v>-10539340.27</v>
      </c>
      <c r="BL299" s="163">
        <v>-10634955.27</v>
      </c>
      <c r="BM299" s="163">
        <v>-10826694.27</v>
      </c>
      <c r="BN299" s="163">
        <v>-11003766.27</v>
      </c>
      <c r="BO299" s="163">
        <v>-11120203.27</v>
      </c>
      <c r="BP299" s="163">
        <v>-11325462.27</v>
      </c>
      <c r="BQ299" s="163">
        <v>-11511792.27</v>
      </c>
      <c r="BR299" s="163">
        <v>-11785480.27</v>
      </c>
      <c r="BS299" s="163">
        <v>-11862644.27</v>
      </c>
      <c r="BT299" s="163">
        <v>-12925400.09</v>
      </c>
      <c r="BU299" s="163">
        <v>-12405990.039999999</v>
      </c>
      <c r="BV299" s="163">
        <v>-12710800.039999999</v>
      </c>
      <c r="BW299" s="163">
        <v>-12794821.32</v>
      </c>
      <c r="BX299" s="163">
        <v>-12952701.32</v>
      </c>
      <c r="BY299" s="163">
        <v>-13089078.98</v>
      </c>
      <c r="BZ299" s="163">
        <v>-13337566.98</v>
      </c>
      <c r="CA299" s="163">
        <v>-13479083.98</v>
      </c>
      <c r="CB299" s="163">
        <v>-13776579.98</v>
      </c>
      <c r="CC299" s="163">
        <v>-13915894.98</v>
      </c>
      <c r="CD299" s="163">
        <v>-14332008.98</v>
      </c>
      <c r="CE299" s="163">
        <v>-14545070.98</v>
      </c>
      <c r="CF299" s="163">
        <v>-14664981.98</v>
      </c>
      <c r="CG299" s="163">
        <v>-14788227.98</v>
      </c>
      <c r="CH299" s="163">
        <v>-14958396.98</v>
      </c>
      <c r="CI299" s="163">
        <v>-15370480.98</v>
      </c>
      <c r="CJ299" s="163">
        <v>-15681265.48</v>
      </c>
      <c r="CK299" s="163">
        <v>-15814281.48</v>
      </c>
      <c r="CL299" s="163">
        <v>-15923750.48</v>
      </c>
      <c r="CM299" s="163">
        <v>-16390079.48</v>
      </c>
      <c r="CN299" s="163">
        <v>-16722185.960000001</v>
      </c>
      <c r="CO299" s="163">
        <v>-16873568.960000001</v>
      </c>
      <c r="CP299" s="163">
        <v>-17005221.239999998</v>
      </c>
      <c r="CQ299" s="163">
        <v>-17164304.239999998</v>
      </c>
      <c r="CR299" s="163">
        <v>-17243754.239999998</v>
      </c>
      <c r="CS299" s="163">
        <v>-17573631.640000001</v>
      </c>
      <c r="CT299" s="163">
        <v>-17895821.640000001</v>
      </c>
      <c r="CU299" s="163">
        <v>-18117211.640000001</v>
      </c>
      <c r="CV299" s="163">
        <v>-18210107.640000001</v>
      </c>
      <c r="CW299" s="163">
        <v>-18325299.010000002</v>
      </c>
      <c r="CX299" s="163">
        <v>-18691975.640000001</v>
      </c>
      <c r="CY299" s="163">
        <v>-18995225.640000001</v>
      </c>
      <c r="CZ299" s="163">
        <v>-19514099.91</v>
      </c>
      <c r="DA299" s="163">
        <v>-19823385.920000002</v>
      </c>
      <c r="DB299" s="163">
        <v>-20211822.920000002</v>
      </c>
      <c r="DC299" s="163">
        <v>-20537692.920000002</v>
      </c>
      <c r="DD299" s="163">
        <v>-21002287.420000002</v>
      </c>
      <c r="DE299" s="163">
        <v>-21468778.420000002</v>
      </c>
      <c r="DF299" s="163">
        <f>VLOOKUP($C299,'[3]BS ACC'!$C$5:$DH$1006,108,FALSE)</f>
        <v>-21711739.420000002</v>
      </c>
      <c r="DG299" s="163">
        <f>VLOOKUP($C299,'[3]BS ACC'!$C$5:$DH$1006,109,FALSE)</f>
        <v>-21948610.420000002</v>
      </c>
      <c r="DH299" s="163">
        <f>VLOOKUP($C299,'[3]BS ACC'!$C$5:$DH$1006,110,FALSE)</f>
        <v>-22520306.420000002</v>
      </c>
    </row>
    <row r="300" spans="1:112">
      <c r="A300" s="350" t="str">
        <f>+B300</f>
        <v>2530110</v>
      </c>
      <c r="B300" s="350" t="s">
        <v>2234</v>
      </c>
      <c r="C300" s="335" t="s">
        <v>2235</v>
      </c>
      <c r="D300" s="340"/>
      <c r="E300" s="340"/>
      <c r="F300" s="340"/>
      <c r="G300" s="340"/>
      <c r="H300" s="340"/>
      <c r="I300" s="340"/>
      <c r="J300" s="340"/>
      <c r="K300" s="340"/>
      <c r="L300" s="340"/>
      <c r="M300" s="340"/>
      <c r="N300" s="340"/>
      <c r="O300" s="340"/>
      <c r="P300" s="341"/>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c r="AL300" s="163"/>
      <c r="AM300" s="163"/>
      <c r="AN300" s="163"/>
      <c r="AO300" s="163"/>
      <c r="AP300" s="163"/>
      <c r="AQ300" s="163"/>
      <c r="AR300" s="163"/>
      <c r="AS300" s="163"/>
      <c r="AT300" s="163"/>
      <c r="AU300" s="163"/>
      <c r="AV300" s="163"/>
      <c r="AW300" s="163"/>
      <c r="AX300" s="163"/>
      <c r="AY300" s="163"/>
      <c r="AZ300" s="163"/>
      <c r="BA300" s="163"/>
      <c r="BB300" s="163"/>
      <c r="BC300" s="163"/>
      <c r="BD300" s="163">
        <v>0</v>
      </c>
      <c r="BE300" s="163">
        <v>-10000</v>
      </c>
      <c r="BF300" s="163">
        <v>-10000</v>
      </c>
      <c r="BG300" s="163">
        <v>-10000</v>
      </c>
      <c r="BH300" s="163">
        <v>-10000</v>
      </c>
      <c r="BI300" s="163">
        <v>-10000</v>
      </c>
      <c r="BJ300" s="163">
        <v>-10000</v>
      </c>
      <c r="BK300" s="163">
        <v>-10000</v>
      </c>
      <c r="BL300" s="163">
        <v>-10000</v>
      </c>
      <c r="BM300" s="163">
        <v>-10000</v>
      </c>
      <c r="BN300" s="163">
        <v>-10000</v>
      </c>
      <c r="BO300" s="163">
        <v>-10000</v>
      </c>
      <c r="BP300" s="163">
        <v>0</v>
      </c>
      <c r="BQ300" s="163">
        <v>0</v>
      </c>
      <c r="BR300" s="163">
        <v>0</v>
      </c>
      <c r="BS300" s="163">
        <v>0</v>
      </c>
      <c r="BT300" s="163">
        <v>0</v>
      </c>
      <c r="BU300" s="163">
        <v>0</v>
      </c>
      <c r="BV300" s="163">
        <v>0</v>
      </c>
      <c r="BW300" s="163">
        <v>0</v>
      </c>
      <c r="BX300" s="163">
        <v>0</v>
      </c>
      <c r="BY300" s="163">
        <v>0</v>
      </c>
      <c r="BZ300" s="163">
        <v>0</v>
      </c>
      <c r="CA300" s="163">
        <v>0</v>
      </c>
      <c r="CB300" s="163">
        <v>0</v>
      </c>
      <c r="CC300" s="163">
        <v>0</v>
      </c>
      <c r="CD300" s="163">
        <v>0</v>
      </c>
      <c r="CE300" s="163">
        <v>0</v>
      </c>
      <c r="CF300" s="163">
        <v>0</v>
      </c>
      <c r="CG300" s="163">
        <v>0</v>
      </c>
      <c r="CH300" s="163">
        <v>0</v>
      </c>
      <c r="CI300" s="163">
        <v>0</v>
      </c>
      <c r="CJ300" s="163">
        <v>0</v>
      </c>
      <c r="CK300" s="163">
        <v>0</v>
      </c>
      <c r="CL300" s="163">
        <v>0</v>
      </c>
      <c r="CM300" s="163">
        <v>0</v>
      </c>
      <c r="CN300" s="163">
        <v>0</v>
      </c>
      <c r="CO300" s="163">
        <v>0</v>
      </c>
      <c r="CP300" s="163">
        <v>0</v>
      </c>
      <c r="CQ300" s="163">
        <v>0</v>
      </c>
      <c r="CR300" s="163">
        <v>0</v>
      </c>
      <c r="CS300" s="163">
        <v>0</v>
      </c>
      <c r="CT300" s="163">
        <v>0</v>
      </c>
      <c r="CU300" s="163">
        <v>0</v>
      </c>
      <c r="CV300" s="163">
        <v>0</v>
      </c>
      <c r="CW300" s="163">
        <v>0</v>
      </c>
      <c r="CX300" s="163">
        <v>0</v>
      </c>
      <c r="CY300" s="163">
        <v>0</v>
      </c>
      <c r="CZ300" s="163">
        <v>0</v>
      </c>
      <c r="DA300" s="163">
        <v>0</v>
      </c>
      <c r="DB300" s="163">
        <v>0</v>
      </c>
      <c r="DC300" s="163">
        <v>0</v>
      </c>
      <c r="DD300" s="163">
        <v>0</v>
      </c>
      <c r="DE300" s="163">
        <v>0</v>
      </c>
      <c r="DF300" s="163">
        <f>VLOOKUP($C300,'[3]BS ACC'!$C$5:$DH$1006,108,FALSE)</f>
        <v>0</v>
      </c>
      <c r="DG300" s="163">
        <f>VLOOKUP($C300,'[3]BS ACC'!$C$5:$DH$1006,109,FALSE)</f>
        <v>0</v>
      </c>
      <c r="DH300" s="163">
        <f>VLOOKUP($C300,'[3]BS ACC'!$C$5:$DH$1006,110,FALSE)</f>
        <v>0</v>
      </c>
    </row>
    <row r="301" spans="1:112">
      <c r="A301" s="350" t="str">
        <f t="shared" si="4"/>
        <v>2530299</v>
      </c>
      <c r="B301" s="350" t="s">
        <v>1670</v>
      </c>
      <c r="C301" s="335" t="s">
        <v>809</v>
      </c>
      <c r="D301" s="340">
        <v>-566504.38</v>
      </c>
      <c r="E301" s="340">
        <v>-531508.85</v>
      </c>
      <c r="F301" s="340">
        <v>-605474.18999999994</v>
      </c>
      <c r="G301" s="340">
        <v>-678091.78</v>
      </c>
      <c r="H301" s="340">
        <v>-607676.19999999995</v>
      </c>
      <c r="I301" s="340">
        <v>-710262.8</v>
      </c>
      <c r="J301" s="340">
        <v>-636622.56000000006</v>
      </c>
      <c r="K301" s="340">
        <v>-629608.51</v>
      </c>
      <c r="L301" s="340">
        <v>-723921.05</v>
      </c>
      <c r="M301" s="340">
        <v>-661942.4</v>
      </c>
      <c r="N301" s="340">
        <v>-773942.63</v>
      </c>
      <c r="O301" s="340">
        <v>-764450.2</v>
      </c>
      <c r="P301" s="341">
        <v>-878830.62</v>
      </c>
      <c r="Q301" s="163">
        <v>-965539.05</v>
      </c>
      <c r="R301" s="163">
        <v>-721521.15</v>
      </c>
      <c r="S301" s="163">
        <v>-683352.77</v>
      </c>
      <c r="T301" s="163">
        <v>-579249.14</v>
      </c>
      <c r="U301" s="163">
        <v>-536674.63</v>
      </c>
      <c r="V301" s="163">
        <v>-490485.7</v>
      </c>
      <c r="W301" s="163">
        <v>-368982.24</v>
      </c>
      <c r="X301" s="163">
        <v>-309693.28999999998</v>
      </c>
      <c r="Y301" s="163">
        <v>-352621.57</v>
      </c>
      <c r="Z301" s="163">
        <v>-355956.31</v>
      </c>
      <c r="AA301" s="163">
        <v>-440762.27</v>
      </c>
      <c r="AB301" s="163">
        <v>-550781.76</v>
      </c>
      <c r="AC301" s="163">
        <v>-572406.91</v>
      </c>
      <c r="AD301" s="163">
        <v>-621317.74</v>
      </c>
      <c r="AE301" s="163">
        <v>-570152.56000000006</v>
      </c>
      <c r="AF301" s="163">
        <v>-549891.73</v>
      </c>
      <c r="AG301" s="163">
        <v>-630787.83999999997</v>
      </c>
      <c r="AH301" s="163">
        <v>-279075.18</v>
      </c>
      <c r="AI301" s="163">
        <v>-491475.68</v>
      </c>
      <c r="AJ301" s="163">
        <v>-531213.67000000004</v>
      </c>
      <c r="AK301" s="163">
        <v>-646068.31000000006</v>
      </c>
      <c r="AL301" s="163">
        <v>-721704.56</v>
      </c>
      <c r="AM301" s="163">
        <v>-912506.33</v>
      </c>
      <c r="AN301" s="163">
        <v>-983590.64</v>
      </c>
      <c r="AO301" s="163">
        <v>-660001.98</v>
      </c>
      <c r="AP301" s="163">
        <v>-709601.74</v>
      </c>
      <c r="AQ301" s="163">
        <v>-540045.82999999996</v>
      </c>
      <c r="AR301" s="163">
        <v>-596321.55000000005</v>
      </c>
      <c r="AS301" s="163">
        <v>-605881.39</v>
      </c>
      <c r="AT301" s="163">
        <v>-638425.19999999995</v>
      </c>
      <c r="AU301" s="163">
        <v>-655217.18000000005</v>
      </c>
      <c r="AV301" s="163">
        <v>-829330.28</v>
      </c>
      <c r="AW301" s="163">
        <v>-911909.67</v>
      </c>
      <c r="AX301" s="163">
        <v>-1098851.5900000001</v>
      </c>
      <c r="AY301" s="163">
        <v>-1123652.3999999999</v>
      </c>
      <c r="AZ301" s="163">
        <v>-951948.11</v>
      </c>
      <c r="BA301" s="163">
        <v>-813743.18</v>
      </c>
      <c r="BB301" s="163">
        <v>-954802.42</v>
      </c>
      <c r="BC301" s="163">
        <v>-1111840.8799999999</v>
      </c>
      <c r="BD301" s="163">
        <v>-1132525.3400000001</v>
      </c>
      <c r="BE301" s="163">
        <v>-1258288.58</v>
      </c>
      <c r="BF301" s="163">
        <v>-1355438.56</v>
      </c>
      <c r="BG301" s="163">
        <v>-1489591.78</v>
      </c>
      <c r="BH301" s="163">
        <v>-1684526.11</v>
      </c>
      <c r="BI301" s="163">
        <v>-1763745.79</v>
      </c>
      <c r="BJ301" s="163">
        <v>-1991467.62</v>
      </c>
      <c r="BK301" s="163">
        <v>-2291831.2400000002</v>
      </c>
      <c r="BL301" s="163">
        <v>-2421306.73</v>
      </c>
      <c r="BM301" s="163">
        <v>-2234225.41</v>
      </c>
      <c r="BN301" s="163">
        <v>-2259302.14</v>
      </c>
      <c r="BO301" s="163">
        <v>-2535685.15</v>
      </c>
      <c r="BP301" s="163">
        <v>-2642939.81</v>
      </c>
      <c r="BQ301" s="163">
        <v>-2208946.2400000002</v>
      </c>
      <c r="BR301" s="163">
        <v>-2655898.4900000002</v>
      </c>
      <c r="BS301" s="163">
        <v>-3000384.84</v>
      </c>
      <c r="BT301" s="163">
        <v>-3386955.84</v>
      </c>
      <c r="BU301" s="163">
        <v>-3647167.5</v>
      </c>
      <c r="BV301" s="163">
        <v>-3874714.76</v>
      </c>
      <c r="BW301" s="163">
        <v>-3828292.2</v>
      </c>
      <c r="BX301" s="163">
        <v>-4133004.11</v>
      </c>
      <c r="BY301" s="163">
        <v>-4483609.68</v>
      </c>
      <c r="BZ301" s="163">
        <v>-4189045.62</v>
      </c>
      <c r="CA301" s="163">
        <v>-4493992.13</v>
      </c>
      <c r="CB301" s="163">
        <v>-5561285.6399999997</v>
      </c>
      <c r="CC301" s="163">
        <v>-6435470.4400000004</v>
      </c>
      <c r="CD301" s="163">
        <v>-6601226.0199999996</v>
      </c>
      <c r="CE301" s="163">
        <v>-6637965.6600000001</v>
      </c>
      <c r="CF301" s="163">
        <v>-6410533.4000000004</v>
      </c>
      <c r="CG301" s="163">
        <v>-6307697</v>
      </c>
      <c r="CH301" s="163">
        <v>-6187298.9000000004</v>
      </c>
      <c r="CI301" s="163">
        <v>-6136493.46</v>
      </c>
      <c r="CJ301" s="163">
        <v>-5957945</v>
      </c>
      <c r="CK301" s="163">
        <v>-6184140.5</v>
      </c>
      <c r="CL301" s="163">
        <v>-4482287.63</v>
      </c>
      <c r="CM301" s="163">
        <v>-1499384.26</v>
      </c>
      <c r="CN301" s="163">
        <v>-1474945.08</v>
      </c>
      <c r="CO301" s="163">
        <v>-1357732.57</v>
      </c>
      <c r="CP301" s="163">
        <v>-1234663.7</v>
      </c>
      <c r="CQ301" s="163">
        <v>-1447917.51</v>
      </c>
      <c r="CR301" s="163">
        <v>-1450144.64</v>
      </c>
      <c r="CS301" s="163">
        <v>-1517093.89</v>
      </c>
      <c r="CT301" s="163">
        <v>-1590949.62</v>
      </c>
      <c r="CU301" s="163">
        <v>-1409523.56</v>
      </c>
      <c r="CV301" s="163">
        <v>-1514945.05</v>
      </c>
      <c r="CW301" s="163">
        <v>-1516679.06</v>
      </c>
      <c r="CX301" s="163">
        <v>-1533529.31</v>
      </c>
      <c r="CY301" s="163">
        <v>-1533622.81</v>
      </c>
      <c r="CZ301" s="163">
        <v>-1533529.31</v>
      </c>
      <c r="DA301" s="163">
        <v>-1349645.93</v>
      </c>
      <c r="DB301" s="163">
        <v>-1347229.15</v>
      </c>
      <c r="DC301" s="163">
        <v>-1289049.8400000001</v>
      </c>
      <c r="DD301" s="163">
        <v>-1232380.8500000001</v>
      </c>
      <c r="DE301" s="163">
        <v>-1350153.43</v>
      </c>
      <c r="DF301" s="163">
        <f>VLOOKUP($C301,'[3]BS ACC'!$C$5:$DH$1006,108,FALSE)</f>
        <v>-1448500.46</v>
      </c>
      <c r="DG301" s="163">
        <f>VLOOKUP($C301,'[3]BS ACC'!$C$5:$DH$1006,109,FALSE)</f>
        <v>-931042.76</v>
      </c>
      <c r="DH301" s="163">
        <f>VLOOKUP($C301,'[3]BS ACC'!$C$5:$DH$1006,110,FALSE)</f>
        <v>-902569.22</v>
      </c>
    </row>
    <row r="302" spans="1:112">
      <c r="A302" s="350" t="str">
        <f t="shared" si="4"/>
        <v>2530310</v>
      </c>
      <c r="B302" s="350" t="s">
        <v>1818</v>
      </c>
      <c r="C302" s="335" t="s">
        <v>1817</v>
      </c>
      <c r="D302" s="340"/>
      <c r="E302" s="340"/>
      <c r="F302" s="340"/>
      <c r="G302" s="340"/>
      <c r="H302" s="340"/>
      <c r="I302" s="340"/>
      <c r="J302" s="340"/>
      <c r="K302" s="340"/>
      <c r="L302" s="340"/>
      <c r="M302" s="340"/>
      <c r="N302" s="340"/>
      <c r="O302" s="340"/>
      <c r="P302" s="341"/>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c r="AL302" s="163"/>
      <c r="AM302" s="163"/>
      <c r="AN302" s="163"/>
      <c r="AO302" s="163"/>
      <c r="AP302" s="163"/>
      <c r="AQ302" s="163"/>
      <c r="AR302" s="163">
        <v>0</v>
      </c>
      <c r="AS302" s="163">
        <v>560</v>
      </c>
      <c r="AT302" s="163">
        <v>560</v>
      </c>
      <c r="AU302" s="163">
        <v>560</v>
      </c>
      <c r="AV302" s="163">
        <v>560</v>
      </c>
      <c r="AW302" s="163">
        <v>560</v>
      </c>
      <c r="AX302" s="163">
        <v>560</v>
      </c>
      <c r="AY302" s="163">
        <v>560</v>
      </c>
      <c r="AZ302" s="163">
        <v>794.71</v>
      </c>
      <c r="BA302" s="163">
        <v>-6.9</v>
      </c>
      <c r="BB302" s="163">
        <v>-684.22</v>
      </c>
      <c r="BC302" s="163">
        <v>-1992.55</v>
      </c>
      <c r="BD302" s="163">
        <v>-2387.06</v>
      </c>
      <c r="BE302" s="163">
        <v>-2947.83</v>
      </c>
      <c r="BF302" s="163">
        <v>-2084.63</v>
      </c>
      <c r="BG302" s="163">
        <v>-2578</v>
      </c>
      <c r="BH302" s="163">
        <v>-2995.38</v>
      </c>
      <c r="BI302" s="163">
        <v>-3521.16</v>
      </c>
      <c r="BJ302" s="163">
        <v>10670.22</v>
      </c>
      <c r="BK302" s="163">
        <v>9662.39</v>
      </c>
      <c r="BL302" s="163">
        <v>8926.85</v>
      </c>
      <c r="BM302" s="163">
        <v>7966.41</v>
      </c>
      <c r="BN302" s="163">
        <v>7675.51</v>
      </c>
      <c r="BO302" s="163">
        <v>5668.29</v>
      </c>
      <c r="BP302" s="163">
        <v>13637.95</v>
      </c>
      <c r="BQ302" s="163">
        <v>12141.57</v>
      </c>
      <c r="BR302" s="163">
        <v>11614.51</v>
      </c>
      <c r="BS302" s="163">
        <v>11420.15</v>
      </c>
      <c r="BT302" s="163">
        <v>-5697.03</v>
      </c>
      <c r="BU302" s="163">
        <v>-6372.74</v>
      </c>
      <c r="BV302" s="163">
        <v>-6549.54</v>
      </c>
      <c r="BW302" s="163">
        <v>-6612.54</v>
      </c>
      <c r="BX302" s="163">
        <v>-7134.38</v>
      </c>
      <c r="BY302" s="163">
        <v>-8593.31</v>
      </c>
      <c r="BZ302" s="163">
        <v>-9621.27</v>
      </c>
      <c r="CA302" s="163">
        <v>-10092.73</v>
      </c>
      <c r="CB302" s="163">
        <v>-10453.32</v>
      </c>
      <c r="CC302" s="163">
        <v>-10725.63</v>
      </c>
      <c r="CD302" s="163">
        <v>-10858.95</v>
      </c>
      <c r="CE302" s="163">
        <v>-11280.85</v>
      </c>
      <c r="CF302" s="163">
        <v>-11735.65</v>
      </c>
      <c r="CG302" s="163">
        <v>-12218.78</v>
      </c>
      <c r="CH302" s="163">
        <v>-12556.22</v>
      </c>
      <c r="CI302" s="163">
        <v>-12661.37</v>
      </c>
      <c r="CJ302" s="163">
        <v>-12821.19</v>
      </c>
      <c r="CK302" s="163">
        <v>-12821.19</v>
      </c>
      <c r="CL302" s="163">
        <v>-13258.38</v>
      </c>
      <c r="CM302" s="163">
        <v>-13722.57</v>
      </c>
      <c r="CN302" s="163">
        <v>-8918.6200000000008</v>
      </c>
      <c r="CO302" s="163">
        <v>-9148.0499999999993</v>
      </c>
      <c r="CP302" s="163">
        <v>-9258.23</v>
      </c>
      <c r="CQ302" s="163">
        <v>-9263.75</v>
      </c>
      <c r="CR302" s="163">
        <v>-9973.94</v>
      </c>
      <c r="CS302" s="163">
        <v>-10261.18</v>
      </c>
      <c r="CT302" s="163">
        <v>-10660.51</v>
      </c>
      <c r="CU302" s="163">
        <v>-10890.45</v>
      </c>
      <c r="CV302" s="163">
        <v>-11313.15</v>
      </c>
      <c r="CW302" s="163">
        <v>-11726.05</v>
      </c>
      <c r="CX302" s="163">
        <v>-13021</v>
      </c>
      <c r="CY302" s="163">
        <v>-14245.68</v>
      </c>
      <c r="CZ302" s="163">
        <v>-11324.77</v>
      </c>
      <c r="DA302" s="163">
        <v>-13831.17</v>
      </c>
      <c r="DB302" s="163">
        <v>-16344.31</v>
      </c>
      <c r="DC302" s="163">
        <v>-16805.5</v>
      </c>
      <c r="DD302" s="163">
        <v>-19077.95</v>
      </c>
      <c r="DE302" s="163">
        <v>-19095.43</v>
      </c>
      <c r="DF302" s="163">
        <f>VLOOKUP($C302,'[3]BS ACC'!$C$5:$DH$1006,108,FALSE)</f>
        <v>-19207.400000000001</v>
      </c>
      <c r="DG302" s="163">
        <f>VLOOKUP($C302,'[3]BS ACC'!$C$5:$DH$1006,109,FALSE)</f>
        <v>-19533.05</v>
      </c>
      <c r="DH302" s="163">
        <f>VLOOKUP($C302,'[3]BS ACC'!$C$5:$DH$1006,110,FALSE)</f>
        <v>-17791.07</v>
      </c>
    </row>
    <row r="303" spans="1:112">
      <c r="A303" s="350" t="str">
        <f t="shared" si="4"/>
        <v>2530340</v>
      </c>
      <c r="B303" s="350" t="s">
        <v>1810</v>
      </c>
      <c r="C303" s="335" t="s">
        <v>1809</v>
      </c>
      <c r="D303" s="340"/>
      <c r="E303" s="340"/>
      <c r="F303" s="340"/>
      <c r="G303" s="340"/>
      <c r="H303" s="340"/>
      <c r="I303" s="340"/>
      <c r="J303" s="340"/>
      <c r="K303" s="340"/>
      <c r="L303" s="340"/>
      <c r="M303" s="340"/>
      <c r="N303" s="340"/>
      <c r="O303" s="340"/>
      <c r="P303" s="341"/>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c r="AL303" s="163"/>
      <c r="AM303" s="163"/>
      <c r="AN303" s="163"/>
      <c r="AO303" s="163">
        <v>0</v>
      </c>
      <c r="AP303" s="163">
        <v>0</v>
      </c>
      <c r="AQ303" s="163">
        <v>-92170.3</v>
      </c>
      <c r="AR303" s="163">
        <v>-90931.839999999997</v>
      </c>
      <c r="AS303" s="163">
        <v>-90931.839999999997</v>
      </c>
      <c r="AT303" s="163">
        <v>-186527.55</v>
      </c>
      <c r="AU303" s="163">
        <v>-187661.93</v>
      </c>
      <c r="AV303" s="163">
        <v>-187661.93</v>
      </c>
      <c r="AW303" s="163">
        <v>-282432.31</v>
      </c>
      <c r="AX303" s="163">
        <v>-283672.33</v>
      </c>
      <c r="AY303" s="163">
        <v>-283672.33</v>
      </c>
      <c r="AZ303" s="163">
        <v>-381454.88</v>
      </c>
      <c r="BA303" s="163">
        <v>-381454.88</v>
      </c>
      <c r="BB303" s="163">
        <v>-381454.88</v>
      </c>
      <c r="BC303" s="163">
        <v>-497930.43</v>
      </c>
      <c r="BD303" s="163">
        <v>-497930.43</v>
      </c>
      <c r="BE303" s="163">
        <v>-497930.43</v>
      </c>
      <c r="BF303" s="163">
        <v>-705114.91</v>
      </c>
      <c r="BG303" s="163">
        <v>-705114.91</v>
      </c>
      <c r="BH303" s="163">
        <v>-705114.91</v>
      </c>
      <c r="BI303" s="163">
        <v>-849190.94</v>
      </c>
      <c r="BJ303" s="163">
        <v>-849190.94</v>
      </c>
      <c r="BK303" s="163">
        <v>-849190.94</v>
      </c>
      <c r="BL303" s="163">
        <v>-1142930.5</v>
      </c>
      <c r="BM303" s="163">
        <v>-1142930.5</v>
      </c>
      <c r="BN303" s="163">
        <v>-1142930.5</v>
      </c>
      <c r="BO303" s="163">
        <v>-643955.44999999995</v>
      </c>
      <c r="BP303" s="163">
        <v>-643955.44999999995</v>
      </c>
      <c r="BQ303" s="163">
        <v>-643955.44999999995</v>
      </c>
      <c r="BR303" s="163">
        <v>-937288.89</v>
      </c>
      <c r="BS303" s="163">
        <v>-1382974.27</v>
      </c>
      <c r="BT303" s="163">
        <v>-1382974.27</v>
      </c>
      <c r="BU303" s="163">
        <v>-1285811.81</v>
      </c>
      <c r="BV303" s="163">
        <v>-1285811.81</v>
      </c>
      <c r="BW303" s="163">
        <v>-1285811.81</v>
      </c>
      <c r="BX303" s="163">
        <v>-1484104.87</v>
      </c>
      <c r="BY303" s="163">
        <v>-1484104.87</v>
      </c>
      <c r="BZ303" s="163">
        <v>-1484104.87</v>
      </c>
      <c r="CA303" s="163">
        <v>-778623.7</v>
      </c>
      <c r="CB303" s="163">
        <v>-778623.7</v>
      </c>
      <c r="CC303" s="163">
        <v>-778623.7</v>
      </c>
      <c r="CD303" s="163">
        <v>-971140.39</v>
      </c>
      <c r="CE303" s="163">
        <v>-971140.39</v>
      </c>
      <c r="CF303" s="163">
        <v>-971140.39</v>
      </c>
      <c r="CG303" s="163">
        <v>-1217827.74</v>
      </c>
      <c r="CH303" s="163">
        <v>-1217827.74</v>
      </c>
      <c r="CI303" s="163">
        <v>-1217827.74</v>
      </c>
      <c r="CJ303" s="163">
        <v>-1484863.36</v>
      </c>
      <c r="CK303" s="163">
        <v>-1484863.36</v>
      </c>
      <c r="CL303" s="163">
        <v>-1484863.36</v>
      </c>
      <c r="CM303" s="163">
        <v>-540134.69999999995</v>
      </c>
      <c r="CN303" s="163">
        <v>-540134.69999999995</v>
      </c>
      <c r="CO303" s="163">
        <v>-540134.69999999995</v>
      </c>
      <c r="CP303" s="163">
        <v>-805016.86</v>
      </c>
      <c r="CQ303" s="163">
        <v>-805016.86</v>
      </c>
      <c r="CR303" s="163">
        <v>-805016.86</v>
      </c>
      <c r="CS303" s="163">
        <v>-1078545.71</v>
      </c>
      <c r="CT303" s="163">
        <v>-1078545.71</v>
      </c>
      <c r="CU303" s="163">
        <v>-1078545.71</v>
      </c>
      <c r="CV303" s="163">
        <v>-1333899.8899999999</v>
      </c>
      <c r="CW303" s="163">
        <v>-1333899.8899999999</v>
      </c>
      <c r="CX303" s="163">
        <v>-1333899.8899999999</v>
      </c>
      <c r="CY303" s="163">
        <v>-661549.43999999994</v>
      </c>
      <c r="CZ303" s="163">
        <v>-661549.43999999994</v>
      </c>
      <c r="DA303" s="163">
        <v>-661549.43999999994</v>
      </c>
      <c r="DB303" s="163">
        <v>-931601.82</v>
      </c>
      <c r="DC303" s="163">
        <v>-931601.82</v>
      </c>
      <c r="DD303" s="163">
        <v>-931601.82</v>
      </c>
      <c r="DE303" s="163">
        <v>-1093105.81</v>
      </c>
      <c r="DF303" s="163">
        <f>VLOOKUP($C303,'[3]BS ACC'!$C$5:$DH$1006,108,FALSE)</f>
        <v>-1093105.81</v>
      </c>
      <c r="DG303" s="163">
        <f>VLOOKUP($C303,'[3]BS ACC'!$C$5:$DH$1006,109,FALSE)</f>
        <v>-1093105.81</v>
      </c>
      <c r="DH303" s="163">
        <f>VLOOKUP($C303,'[3]BS ACC'!$C$5:$DH$1006,110,FALSE)</f>
        <v>-1122639.6599999999</v>
      </c>
    </row>
    <row r="304" spans="1:112">
      <c r="A304" s="350" t="str">
        <f t="shared" si="4"/>
        <v>2530360</v>
      </c>
      <c r="B304" s="350" t="s">
        <v>1671</v>
      </c>
      <c r="C304" s="335" t="s">
        <v>1473</v>
      </c>
      <c r="D304" s="340"/>
      <c r="E304" s="340"/>
      <c r="F304" s="340"/>
      <c r="G304" s="340"/>
      <c r="H304" s="340"/>
      <c r="I304" s="340"/>
      <c r="J304" s="340"/>
      <c r="K304" s="340"/>
      <c r="L304" s="340"/>
      <c r="M304" s="340"/>
      <c r="N304" s="340"/>
      <c r="O304" s="340"/>
      <c r="P304" s="341"/>
      <c r="Q304" s="163"/>
      <c r="R304" s="163"/>
      <c r="S304" s="163"/>
      <c r="T304" s="163"/>
      <c r="U304" s="163"/>
      <c r="V304" s="163"/>
      <c r="W304" s="163"/>
      <c r="X304" s="163"/>
      <c r="Y304" s="163"/>
      <c r="Z304" s="163"/>
      <c r="AA304" s="163"/>
      <c r="AB304" s="163"/>
      <c r="AC304" s="163"/>
      <c r="AD304" s="163"/>
      <c r="AE304" s="163"/>
      <c r="AF304" s="163">
        <v>0</v>
      </c>
      <c r="AG304" s="163">
        <v>0</v>
      </c>
      <c r="AH304" s="163">
        <v>-199683</v>
      </c>
      <c r="AI304" s="163">
        <v>-266805</v>
      </c>
      <c r="AJ304" s="163">
        <v>-334211</v>
      </c>
      <c r="AK304" s="163">
        <v>-401904</v>
      </c>
      <c r="AL304" s="163">
        <v>-469886</v>
      </c>
      <c r="AM304" s="163">
        <v>-584616</v>
      </c>
      <c r="AN304" s="163">
        <v>-676558</v>
      </c>
      <c r="AO304" s="163">
        <v>-768483</v>
      </c>
      <c r="AP304" s="163">
        <v>-860804</v>
      </c>
      <c r="AQ304" s="163">
        <v>-953523</v>
      </c>
      <c r="AR304" s="163">
        <v>-989835</v>
      </c>
      <c r="AS304" s="163">
        <v>-1026083</v>
      </c>
      <c r="AT304" s="163">
        <v>-1062266</v>
      </c>
      <c r="AU304" s="163">
        <v>-1098383</v>
      </c>
      <c r="AV304" s="163">
        <v>-1134433</v>
      </c>
      <c r="AW304" s="163">
        <v>-1170416</v>
      </c>
      <c r="AX304" s="163">
        <v>-1186465</v>
      </c>
      <c r="AY304" s="163">
        <v>-1202281</v>
      </c>
      <c r="AZ304" s="163">
        <v>-1217864</v>
      </c>
      <c r="BA304" s="163">
        <v>-1232548</v>
      </c>
      <c r="BB304" s="163">
        <v>-1246988</v>
      </c>
      <c r="BC304" s="163">
        <v>-1261182</v>
      </c>
      <c r="BD304" s="163">
        <v>-1275129</v>
      </c>
      <c r="BE304" s="163">
        <v>-1288826</v>
      </c>
      <c r="BF304" s="163">
        <v>-1302272</v>
      </c>
      <c r="BG304" s="163">
        <v>-1315464</v>
      </c>
      <c r="BH304" s="163">
        <v>-1328401</v>
      </c>
      <c r="BI304" s="163">
        <v>-1341080</v>
      </c>
      <c r="BJ304" s="163">
        <v>-1353499</v>
      </c>
      <c r="BK304" s="163">
        <v>-1365656</v>
      </c>
      <c r="BL304" s="163">
        <v>-1377549</v>
      </c>
      <c r="BM304" s="163">
        <v>-1388511</v>
      </c>
      <c r="BN304" s="163">
        <v>-1399199</v>
      </c>
      <c r="BO304" s="163">
        <v>-1409611</v>
      </c>
      <c r="BP304" s="163">
        <v>-1419744</v>
      </c>
      <c r="BQ304" s="163">
        <v>-1429596</v>
      </c>
      <c r="BR304" s="163">
        <v>-1439164</v>
      </c>
      <c r="BS304" s="163">
        <v>-1448447</v>
      </c>
      <c r="BT304" s="163">
        <v>-1457442</v>
      </c>
      <c r="BU304" s="163">
        <v>-1466146</v>
      </c>
      <c r="BV304" s="163">
        <v>-1474556</v>
      </c>
      <c r="BW304" s="163">
        <v>-1482671</v>
      </c>
      <c r="BX304" s="163">
        <v>-1490489</v>
      </c>
      <c r="BY304" s="163">
        <v>-1497343</v>
      </c>
      <c r="BZ304" s="163">
        <v>-1503890</v>
      </c>
      <c r="CA304" s="163">
        <v>-1510126</v>
      </c>
      <c r="CB304" s="163">
        <v>-1531726</v>
      </c>
      <c r="CC304" s="163">
        <v>-1553140</v>
      </c>
      <c r="CD304" s="163">
        <v>-1574365</v>
      </c>
      <c r="CE304" s="163">
        <v>-1595402</v>
      </c>
      <c r="CF304" s="163">
        <v>-1616247</v>
      </c>
      <c r="CG304" s="163">
        <v>-1636899</v>
      </c>
      <c r="CH304" s="163">
        <v>-1662840</v>
      </c>
      <c r="CI304" s="163">
        <v>-1688631</v>
      </c>
      <c r="CJ304" s="163">
        <v>-1714384</v>
      </c>
      <c r="CK304" s="163">
        <v>-1739094</v>
      </c>
      <c r="CL304" s="163">
        <v>-1763758</v>
      </c>
      <c r="CM304" s="163">
        <v>-1788261</v>
      </c>
      <c r="CN304" s="163">
        <v>-1812602</v>
      </c>
      <c r="CO304" s="163">
        <v>-1836779</v>
      </c>
      <c r="CP304" s="163">
        <v>-1860791</v>
      </c>
      <c r="CQ304" s="163">
        <v>-1884637</v>
      </c>
      <c r="CR304" s="163">
        <v>-1908315</v>
      </c>
      <c r="CS304" s="163">
        <v>-1931824</v>
      </c>
      <c r="CT304" s="163">
        <v>-1955162</v>
      </c>
      <c r="CU304" s="163">
        <v>-1978329</v>
      </c>
      <c r="CV304" s="163">
        <v>-2001321</v>
      </c>
      <c r="CW304" s="163">
        <v>-2023476</v>
      </c>
      <c r="CX304" s="163">
        <v>-2045451</v>
      </c>
      <c r="CY304" s="163">
        <v>-1557179</v>
      </c>
      <c r="CZ304" s="163">
        <v>-1572913</v>
      </c>
      <c r="DA304" s="163">
        <v>-1588507</v>
      </c>
      <c r="DB304" s="163">
        <v>-1603959</v>
      </c>
      <c r="DC304" s="163">
        <v>0</v>
      </c>
      <c r="DD304" s="163">
        <v>0</v>
      </c>
      <c r="DE304" s="163">
        <v>0</v>
      </c>
      <c r="DF304" s="163">
        <f>VLOOKUP($C304,'[3]BS ACC'!$C$5:$DH$1006,108,FALSE)</f>
        <v>0</v>
      </c>
      <c r="DG304" s="163">
        <f>VLOOKUP($C304,'[3]BS ACC'!$C$5:$DH$1006,109,FALSE)</f>
        <v>0</v>
      </c>
      <c r="DH304" s="163">
        <f>VLOOKUP($C304,'[3]BS ACC'!$C$5:$DH$1006,110,FALSE)</f>
        <v>0</v>
      </c>
    </row>
    <row r="305" spans="1:112">
      <c r="A305" s="350" t="str">
        <f t="shared" si="4"/>
        <v>2530800</v>
      </c>
      <c r="B305" s="350" t="s">
        <v>1672</v>
      </c>
      <c r="C305" s="335" t="s">
        <v>810</v>
      </c>
      <c r="D305" s="340">
        <v>-1970998.12</v>
      </c>
      <c r="E305" s="340">
        <v>-1959598.13</v>
      </c>
      <c r="F305" s="340">
        <v>-1956588.25</v>
      </c>
      <c r="G305" s="340">
        <v>-1956588.25</v>
      </c>
      <c r="H305" s="340">
        <v>-1950393.29</v>
      </c>
      <c r="I305" s="340">
        <v>-2719893.29</v>
      </c>
      <c r="J305" s="340">
        <v>-2634393.29</v>
      </c>
      <c r="K305" s="340">
        <v>-2791523.29</v>
      </c>
      <c r="L305" s="340">
        <v>-2595023.29</v>
      </c>
      <c r="M305" s="340">
        <v>-2535189.96</v>
      </c>
      <c r="N305" s="340">
        <v>-2475356.63</v>
      </c>
      <c r="O305" s="340">
        <v>-2415523.29</v>
      </c>
      <c r="P305" s="341">
        <v>-2550374.9500000002</v>
      </c>
      <c r="Q305" s="163">
        <v>-2490541.61</v>
      </c>
      <c r="R305" s="163">
        <v>-2430708.27</v>
      </c>
      <c r="S305" s="163">
        <v>-2370874.9300000002</v>
      </c>
      <c r="T305" s="163">
        <v>-573717.93999999994</v>
      </c>
      <c r="U305" s="163">
        <v>-503559.6</v>
      </c>
      <c r="V305" s="163">
        <v>-443726.26</v>
      </c>
      <c r="W305" s="163">
        <v>-383892.92</v>
      </c>
      <c r="X305" s="163">
        <v>-321994.58</v>
      </c>
      <c r="Y305" s="163">
        <v>-262161.24</v>
      </c>
      <c r="Z305" s="163">
        <v>-202327.9</v>
      </c>
      <c r="AA305" s="163">
        <v>-532808.56000000006</v>
      </c>
      <c r="AB305" s="163">
        <v>-703161.22</v>
      </c>
      <c r="AC305" s="163">
        <v>-936077.88</v>
      </c>
      <c r="AD305" s="163">
        <v>-1062649.54</v>
      </c>
      <c r="AE305" s="163">
        <v>-1045566.2</v>
      </c>
      <c r="AF305" s="163">
        <v>-1016045.36</v>
      </c>
      <c r="AG305" s="163">
        <v>-669162.02</v>
      </c>
      <c r="AH305" s="163">
        <v>-652078.68000000005</v>
      </c>
      <c r="AI305" s="163">
        <v>-682648.34</v>
      </c>
      <c r="AJ305" s="163">
        <v>-713218</v>
      </c>
      <c r="AK305" s="163">
        <v>-743982.66</v>
      </c>
      <c r="AL305" s="163">
        <v>-774747.32</v>
      </c>
      <c r="AM305" s="163">
        <v>-805511.98</v>
      </c>
      <c r="AN305" s="163">
        <v>-1028466.64</v>
      </c>
      <c r="AO305" s="163">
        <v>-1059231.3</v>
      </c>
      <c r="AP305" s="163">
        <v>-1130973.96</v>
      </c>
      <c r="AQ305" s="163">
        <v>-1115888.6200000001</v>
      </c>
      <c r="AR305" s="163">
        <v>-1144544.28</v>
      </c>
      <c r="AS305" s="163">
        <v>-1158591.94</v>
      </c>
      <c r="AT305" s="163">
        <v>-1187106.6000000001</v>
      </c>
      <c r="AU305" s="163">
        <v>-1198357.26</v>
      </c>
      <c r="AV305" s="163">
        <v>-795338.72</v>
      </c>
      <c r="AW305" s="163">
        <v>-823712.38</v>
      </c>
      <c r="AX305" s="163">
        <v>-852086.04</v>
      </c>
      <c r="AY305" s="163">
        <v>-880459.7</v>
      </c>
      <c r="AZ305" s="163">
        <v>-1108595.3600000001</v>
      </c>
      <c r="BA305" s="163">
        <v>-1114416.02</v>
      </c>
      <c r="BB305" s="163">
        <v>-1141602.68</v>
      </c>
      <c r="BC305" s="163">
        <v>-1168789.3400000001</v>
      </c>
      <c r="BD305" s="163">
        <v>-1195976</v>
      </c>
      <c r="BE305" s="163">
        <v>-1223162.6599999999</v>
      </c>
      <c r="BF305" s="163">
        <v>-1250349.32</v>
      </c>
      <c r="BG305" s="163">
        <v>-1244463.98</v>
      </c>
      <c r="BH305" s="163">
        <v>-1271746.6399999999</v>
      </c>
      <c r="BI305" s="163">
        <v>-1244705.8999999999</v>
      </c>
      <c r="BJ305" s="163">
        <v>-1271092.56</v>
      </c>
      <c r="BK305" s="163">
        <v>-1297479.22</v>
      </c>
      <c r="BL305" s="163">
        <v>-265207.92</v>
      </c>
      <c r="BM305" s="163">
        <v>-401554.9</v>
      </c>
      <c r="BN305" s="163">
        <v>-231041.24</v>
      </c>
      <c r="BO305" s="163">
        <v>-213957.9</v>
      </c>
      <c r="BP305" s="163">
        <v>-196874.56</v>
      </c>
      <c r="BQ305" s="163">
        <v>-179791.22</v>
      </c>
      <c r="BR305" s="163">
        <v>-162707.88</v>
      </c>
      <c r="BS305" s="163">
        <v>-145624.54</v>
      </c>
      <c r="BT305" s="163">
        <v>-114414.35</v>
      </c>
      <c r="BU305" s="163">
        <v>-97331.01</v>
      </c>
      <c r="BV305" s="163">
        <v>-80247.67</v>
      </c>
      <c r="BW305" s="163">
        <v>-63164.33</v>
      </c>
      <c r="BX305" s="163">
        <v>-372234.4</v>
      </c>
      <c r="BY305" s="163">
        <v>-355151.06</v>
      </c>
      <c r="BZ305" s="163">
        <v>-338067.72</v>
      </c>
      <c r="CA305" s="163">
        <v>-522053.38</v>
      </c>
      <c r="CB305" s="163">
        <v>-504970.04</v>
      </c>
      <c r="CC305" s="163">
        <v>-479413.43</v>
      </c>
      <c r="CD305" s="163">
        <v>-962330.09</v>
      </c>
      <c r="CE305" s="163">
        <v>-936770.64</v>
      </c>
      <c r="CF305" s="163">
        <v>-919687.3</v>
      </c>
      <c r="CG305" s="163">
        <v>-902603.96</v>
      </c>
      <c r="CH305" s="163">
        <v>-885520.62</v>
      </c>
      <c r="CI305" s="163">
        <v>-868437.28</v>
      </c>
      <c r="CJ305" s="163">
        <v>-806353.94</v>
      </c>
      <c r="CK305" s="163">
        <v>-789270.6</v>
      </c>
      <c r="CL305" s="163">
        <v>-752415.15</v>
      </c>
      <c r="CM305" s="163">
        <v>-735331.81</v>
      </c>
      <c r="CN305" s="163">
        <v>-718248.47</v>
      </c>
      <c r="CO305" s="163">
        <v>-701165.13</v>
      </c>
      <c r="CP305" s="163">
        <v>-184081.79</v>
      </c>
      <c r="CQ305" s="163">
        <v>-166998.45000000001</v>
      </c>
      <c r="CR305" s="163">
        <v>-143254.94</v>
      </c>
      <c r="CS305" s="163">
        <v>-1126171.6000000001</v>
      </c>
      <c r="CT305" s="163">
        <v>-1109088.26</v>
      </c>
      <c r="CU305" s="163">
        <v>-1092004.92</v>
      </c>
      <c r="CV305" s="163">
        <v>-1279921.58</v>
      </c>
      <c r="CW305" s="163">
        <v>-3262838.24</v>
      </c>
      <c r="CX305" s="163">
        <v>-3245754.9</v>
      </c>
      <c r="CY305" s="163">
        <v>-3228671.56</v>
      </c>
      <c r="CZ305" s="163">
        <v>-1211588.22</v>
      </c>
      <c r="DA305" s="163">
        <v>-1194504.8799999999</v>
      </c>
      <c r="DB305" s="163">
        <v>-1177421.54</v>
      </c>
      <c r="DC305" s="163">
        <v>-1160338.2</v>
      </c>
      <c r="DD305" s="163">
        <v>-1143254.8600000001</v>
      </c>
      <c r="DE305" s="163">
        <v>-1126171.52</v>
      </c>
      <c r="DF305" s="163">
        <f>VLOOKUP($C305,'[3]BS ACC'!$C$5:$DH$1006,108,FALSE)</f>
        <v>-1109088.18</v>
      </c>
      <c r="DG305" s="163">
        <f>VLOOKUP($C305,'[3]BS ACC'!$C$5:$DH$1006,109,FALSE)</f>
        <v>-1092004.8400000001</v>
      </c>
      <c r="DH305" s="163">
        <f>VLOOKUP($C305,'[3]BS ACC'!$C$5:$DH$1006,110,FALSE)</f>
        <v>-1279921.5</v>
      </c>
    </row>
    <row r="306" spans="1:112">
      <c r="A306" s="350" t="str">
        <f t="shared" si="4"/>
        <v>2540040</v>
      </c>
      <c r="B306" s="350" t="s">
        <v>899</v>
      </c>
      <c r="C306" s="335" t="s">
        <v>811</v>
      </c>
      <c r="D306" s="340">
        <v>0</v>
      </c>
      <c r="E306" s="340">
        <v>0</v>
      </c>
      <c r="F306" s="340">
        <v>0</v>
      </c>
      <c r="G306" s="340">
        <v>-241576</v>
      </c>
      <c r="H306" s="340">
        <v>-601932</v>
      </c>
      <c r="I306" s="340">
        <v>-738652</v>
      </c>
      <c r="J306" s="340">
        <v>-841461</v>
      </c>
      <c r="K306" s="340">
        <v>-329479</v>
      </c>
      <c r="L306" s="340">
        <v>-126566</v>
      </c>
      <c r="M306" s="340">
        <v>0</v>
      </c>
      <c r="N306" s="340">
        <v>0</v>
      </c>
      <c r="O306" s="340">
        <v>0</v>
      </c>
      <c r="P306" s="341">
        <v>-309544</v>
      </c>
      <c r="Q306" s="163">
        <v>-659480</v>
      </c>
      <c r="R306" s="163">
        <v>-1475794</v>
      </c>
      <c r="S306" s="163">
        <v>-2041769</v>
      </c>
      <c r="T306" s="163">
        <v>-2465779</v>
      </c>
      <c r="U306" s="163">
        <v>-2375088</v>
      </c>
      <c r="V306" s="163">
        <v>-2413828</v>
      </c>
      <c r="W306" s="163">
        <v>-2368427</v>
      </c>
      <c r="X306" s="163">
        <v>-2133861</v>
      </c>
      <c r="Y306" s="163">
        <v>-2017772</v>
      </c>
      <c r="Z306" s="163">
        <v>-1611765</v>
      </c>
      <c r="AA306" s="163">
        <v>-1765382</v>
      </c>
      <c r="AB306" s="163">
        <v>-2136461</v>
      </c>
      <c r="AC306" s="163">
        <v>-2294592</v>
      </c>
      <c r="AD306" s="163">
        <v>-2703966</v>
      </c>
      <c r="AE306" s="163">
        <v>-2839127</v>
      </c>
      <c r="AF306" s="163">
        <v>-2933478</v>
      </c>
      <c r="AG306" s="163">
        <v>-2612138</v>
      </c>
      <c r="AH306" s="163">
        <v>-2239911</v>
      </c>
      <c r="AI306" s="163">
        <v>-1934399</v>
      </c>
      <c r="AJ306" s="163">
        <v>-1137091</v>
      </c>
      <c r="AK306" s="163">
        <v>-917669</v>
      </c>
      <c r="AL306" s="163">
        <v>-312194</v>
      </c>
      <c r="AM306" s="163">
        <v>-290647</v>
      </c>
      <c r="AN306" s="163">
        <v>0</v>
      </c>
      <c r="AO306" s="163">
        <v>-771853</v>
      </c>
      <c r="AP306" s="163">
        <v>-1322874</v>
      </c>
      <c r="AQ306" s="163">
        <v>-1614664</v>
      </c>
      <c r="AR306" s="163">
        <v>-1899218</v>
      </c>
      <c r="AS306" s="163">
        <v>-1462185</v>
      </c>
      <c r="AT306" s="163">
        <v>-838539</v>
      </c>
      <c r="AU306" s="163">
        <v>-182620</v>
      </c>
      <c r="AV306" s="163">
        <v>0</v>
      </c>
      <c r="AW306" s="163">
        <v>0</v>
      </c>
      <c r="AX306" s="163">
        <v>0</v>
      </c>
      <c r="AY306" s="163">
        <v>0</v>
      </c>
      <c r="AZ306" s="163">
        <v>0</v>
      </c>
      <c r="BA306" s="163">
        <v>0</v>
      </c>
      <c r="BB306" s="163">
        <v>0</v>
      </c>
      <c r="BC306" s="163">
        <v>0</v>
      </c>
      <c r="BD306" s="163">
        <v>0</v>
      </c>
      <c r="BE306" s="163">
        <v>0</v>
      </c>
      <c r="BF306" s="163">
        <v>0</v>
      </c>
      <c r="BG306" s="163">
        <v>0</v>
      </c>
      <c r="BH306" s="163">
        <v>0</v>
      </c>
      <c r="BI306" s="163">
        <v>0</v>
      </c>
      <c r="BJ306" s="163">
        <v>0</v>
      </c>
      <c r="BK306" s="163">
        <v>0</v>
      </c>
      <c r="BL306" s="163">
        <v>0</v>
      </c>
      <c r="BM306" s="163">
        <v>0</v>
      </c>
      <c r="BN306" s="163">
        <v>0</v>
      </c>
      <c r="BO306" s="163">
        <v>0</v>
      </c>
      <c r="BP306" s="163">
        <v>0</v>
      </c>
      <c r="BQ306" s="163">
        <v>0</v>
      </c>
      <c r="BR306" s="163">
        <v>0</v>
      </c>
      <c r="BS306" s="163">
        <v>0</v>
      </c>
      <c r="BT306" s="163">
        <v>0</v>
      </c>
      <c r="BU306" s="163">
        <v>0</v>
      </c>
      <c r="BV306" s="163">
        <v>0</v>
      </c>
      <c r="BW306" s="163">
        <v>0</v>
      </c>
      <c r="BX306" s="163">
        <v>0</v>
      </c>
      <c r="BY306" s="163">
        <v>0</v>
      </c>
      <c r="BZ306" s="163">
        <v>0</v>
      </c>
      <c r="CA306" s="163">
        <v>0</v>
      </c>
      <c r="CB306" s="163">
        <v>0</v>
      </c>
      <c r="CC306" s="163">
        <v>0</v>
      </c>
      <c r="CD306" s="163">
        <v>0</v>
      </c>
      <c r="CE306" s="163">
        <v>0</v>
      </c>
      <c r="CF306" s="163">
        <v>0</v>
      </c>
      <c r="CG306" s="163">
        <v>0</v>
      </c>
      <c r="CH306" s="163">
        <v>0</v>
      </c>
      <c r="CI306" s="163">
        <v>0</v>
      </c>
      <c r="CJ306" s="163">
        <v>0</v>
      </c>
      <c r="CK306" s="163">
        <v>0</v>
      </c>
      <c r="CL306" s="163">
        <v>0</v>
      </c>
      <c r="CM306" s="163">
        <v>0</v>
      </c>
      <c r="CN306" s="163">
        <v>0</v>
      </c>
      <c r="CO306" s="163">
        <v>0</v>
      </c>
      <c r="CP306" s="163">
        <v>0</v>
      </c>
      <c r="CQ306" s="163">
        <v>0</v>
      </c>
      <c r="CR306" s="163">
        <v>0</v>
      </c>
      <c r="CS306" s="163">
        <v>0</v>
      </c>
      <c r="CT306" s="163">
        <v>0</v>
      </c>
      <c r="CU306" s="163">
        <v>0</v>
      </c>
      <c r="CV306" s="163">
        <v>0</v>
      </c>
      <c r="CW306" s="163">
        <v>-511351</v>
      </c>
      <c r="CX306" s="163">
        <v>-2149534</v>
      </c>
      <c r="CY306" s="163">
        <v>-1757017</v>
      </c>
      <c r="CZ306" s="163">
        <v>-2533930</v>
      </c>
      <c r="DA306" s="163">
        <v>-3255968</v>
      </c>
      <c r="DB306" s="163">
        <v>-4198707</v>
      </c>
      <c r="DC306" s="163">
        <v>-2816051</v>
      </c>
      <c r="DD306" s="163">
        <v>-2530232</v>
      </c>
      <c r="DE306" s="163">
        <v>-1877803</v>
      </c>
      <c r="DF306" s="163">
        <f>VLOOKUP($C306,'[3]BS ACC'!$C$5:$DH$1006,108,FALSE)</f>
        <v>-1636684</v>
      </c>
      <c r="DG306" s="163">
        <f>VLOOKUP($C306,'[3]BS ACC'!$C$5:$DH$1006,109,FALSE)</f>
        <v>-1405116</v>
      </c>
      <c r="DH306" s="163">
        <f>VLOOKUP($C306,'[3]BS ACC'!$C$5:$DH$1006,110,FALSE)</f>
        <v>-1548438</v>
      </c>
    </row>
    <row r="307" spans="1:112">
      <c r="A307" s="350" t="str">
        <f t="shared" si="4"/>
        <v>2540071</v>
      </c>
      <c r="B307" s="350" t="s">
        <v>937</v>
      </c>
      <c r="C307" s="335" t="s">
        <v>812</v>
      </c>
      <c r="D307" s="340">
        <v>-34014</v>
      </c>
      <c r="E307" s="340">
        <v>-168819</v>
      </c>
      <c r="F307" s="340">
        <v>-294770</v>
      </c>
      <c r="G307" s="340">
        <v>-362064</v>
      </c>
      <c r="H307" s="340">
        <v>-407133</v>
      </c>
      <c r="I307" s="340">
        <v>-408590</v>
      </c>
      <c r="J307" s="340">
        <v>-391918</v>
      </c>
      <c r="K307" s="340">
        <v>-352611</v>
      </c>
      <c r="L307" s="340">
        <v>-287689</v>
      </c>
      <c r="M307" s="340">
        <v>-217781</v>
      </c>
      <c r="N307" s="340">
        <v>-138936</v>
      </c>
      <c r="O307" s="340">
        <v>-66999</v>
      </c>
      <c r="P307" s="341">
        <v>-36525</v>
      </c>
      <c r="Q307" s="163">
        <v>-247652</v>
      </c>
      <c r="R307" s="163">
        <v>-396516.45</v>
      </c>
      <c r="S307" s="163">
        <v>-519555.86</v>
      </c>
      <c r="T307" s="163">
        <v>-533813.54</v>
      </c>
      <c r="U307" s="163">
        <v>-485261.18</v>
      </c>
      <c r="V307" s="163">
        <v>-432287.55</v>
      </c>
      <c r="W307" s="163">
        <v>-347269.86</v>
      </c>
      <c r="X307" s="163">
        <v>-259001.34</v>
      </c>
      <c r="Y307" s="163">
        <v>-156849.62</v>
      </c>
      <c r="Z307" s="163">
        <v>-53799.71</v>
      </c>
      <c r="AA307" s="163">
        <v>0</v>
      </c>
      <c r="AB307" s="163">
        <v>0</v>
      </c>
      <c r="AC307" s="163">
        <v>-26878</v>
      </c>
      <c r="AD307" s="163">
        <v>-203108</v>
      </c>
      <c r="AE307" s="163">
        <v>-305204</v>
      </c>
      <c r="AF307" s="163">
        <v>-337180</v>
      </c>
      <c r="AG307" s="163">
        <v>-309654</v>
      </c>
      <c r="AH307" s="163">
        <v>-2235258</v>
      </c>
      <c r="AI307" s="163">
        <v>-2133680</v>
      </c>
      <c r="AJ307" s="163">
        <v>-1996856</v>
      </c>
      <c r="AK307" s="163">
        <v>-1873234</v>
      </c>
      <c r="AL307" s="163">
        <v>-1697504</v>
      </c>
      <c r="AM307" s="163">
        <v>-1569649</v>
      </c>
      <c r="AN307" s="163">
        <v>-1709368</v>
      </c>
      <c r="AO307" s="163">
        <v>-1651070</v>
      </c>
      <c r="AP307" s="163">
        <v>-1606776</v>
      </c>
      <c r="AQ307" s="163">
        <v>-1497895</v>
      </c>
      <c r="AR307" s="163">
        <v>-1361048</v>
      </c>
      <c r="AS307" s="163">
        <v>-1147256</v>
      </c>
      <c r="AT307" s="163">
        <v>-888871</v>
      </c>
      <c r="AU307" s="163">
        <v>-593554</v>
      </c>
      <c r="AV307" s="163">
        <v>-277240</v>
      </c>
      <c r="AW307" s="163">
        <v>0</v>
      </c>
      <c r="AX307" s="163">
        <v>0</v>
      </c>
      <c r="AY307" s="163">
        <v>0</v>
      </c>
      <c r="AZ307" s="163">
        <v>0</v>
      </c>
      <c r="BA307" s="163">
        <v>0</v>
      </c>
      <c r="BB307" s="163">
        <v>-48914</v>
      </c>
      <c r="BC307" s="163">
        <v>-265833</v>
      </c>
      <c r="BD307" s="163">
        <v>-496094</v>
      </c>
      <c r="BE307" s="163">
        <v>-872137</v>
      </c>
      <c r="BF307" s="163">
        <v>-800059</v>
      </c>
      <c r="BG307" s="163">
        <v>-704927</v>
      </c>
      <c r="BH307" s="163">
        <v>-566853</v>
      </c>
      <c r="BI307" s="163">
        <v>-459268</v>
      </c>
      <c r="BJ307" s="163">
        <v>-240150</v>
      </c>
      <c r="BK307" s="163">
        <v>-63302</v>
      </c>
      <c r="BL307" s="163">
        <v>-102065</v>
      </c>
      <c r="BM307" s="163">
        <v>-349910</v>
      </c>
      <c r="BN307" s="163">
        <v>-466300</v>
      </c>
      <c r="BO307" s="163">
        <v>-451730</v>
      </c>
      <c r="BP307" s="163">
        <v>-335091</v>
      </c>
      <c r="BQ307" s="163">
        <v>-98514</v>
      </c>
      <c r="BR307" s="163">
        <v>0</v>
      </c>
      <c r="BS307" s="163">
        <v>0</v>
      </c>
      <c r="BT307" s="163">
        <v>0</v>
      </c>
      <c r="BU307" s="163">
        <v>0</v>
      </c>
      <c r="BV307" s="163">
        <v>0</v>
      </c>
      <c r="BW307" s="163">
        <v>0</v>
      </c>
      <c r="BX307" s="163">
        <v>0</v>
      </c>
      <c r="BY307" s="163">
        <v>0</v>
      </c>
      <c r="BZ307" s="163">
        <v>0</v>
      </c>
      <c r="CA307" s="163">
        <v>0</v>
      </c>
      <c r="CB307" s="163">
        <v>0</v>
      </c>
      <c r="CC307" s="163">
        <v>0</v>
      </c>
      <c r="CD307" s="163">
        <v>0</v>
      </c>
      <c r="CE307" s="163">
        <v>0</v>
      </c>
      <c r="CF307" s="163">
        <v>0</v>
      </c>
      <c r="CG307" s="163">
        <v>0</v>
      </c>
      <c r="CH307" s="163">
        <v>0</v>
      </c>
      <c r="CI307" s="163">
        <v>0</v>
      </c>
      <c r="CJ307" s="163">
        <v>0</v>
      </c>
      <c r="CK307" s="163">
        <v>0</v>
      </c>
      <c r="CL307" s="163">
        <v>0</v>
      </c>
      <c r="CM307" s="163">
        <v>0</v>
      </c>
      <c r="CN307" s="163">
        <v>0</v>
      </c>
      <c r="CO307" s="163">
        <v>0</v>
      </c>
      <c r="CP307" s="163">
        <v>0</v>
      </c>
      <c r="CQ307" s="163">
        <v>0</v>
      </c>
      <c r="CR307" s="163">
        <v>0</v>
      </c>
      <c r="CS307" s="163">
        <v>0</v>
      </c>
      <c r="CT307" s="163">
        <v>0</v>
      </c>
      <c r="CU307" s="163">
        <v>0</v>
      </c>
      <c r="CV307" s="163">
        <v>0</v>
      </c>
      <c r="CW307" s="163">
        <v>0</v>
      </c>
      <c r="CX307" s="163">
        <v>0</v>
      </c>
      <c r="CY307" s="163">
        <v>0</v>
      </c>
      <c r="CZ307" s="163">
        <v>-54906</v>
      </c>
      <c r="DA307" s="163">
        <v>-64228</v>
      </c>
      <c r="DB307" s="163">
        <v>-303347.89</v>
      </c>
      <c r="DC307" s="163">
        <v>-203345.89</v>
      </c>
      <c r="DD307" s="163">
        <v>-79917.89</v>
      </c>
      <c r="DE307" s="163">
        <v>0</v>
      </c>
      <c r="DF307" s="163">
        <f>VLOOKUP($C307,'[3]BS ACC'!$C$5:$DH$1006,108,FALSE)</f>
        <v>0</v>
      </c>
      <c r="DG307" s="163">
        <f>VLOOKUP($C307,'[3]BS ACC'!$C$5:$DH$1006,109,FALSE)</f>
        <v>0</v>
      </c>
      <c r="DH307" s="163">
        <f>VLOOKUP($C307,'[3]BS ACC'!$C$5:$DH$1006,110,FALSE)</f>
        <v>0</v>
      </c>
    </row>
    <row r="308" spans="1:112">
      <c r="A308" s="350" t="str">
        <f t="shared" si="4"/>
        <v>2540105</v>
      </c>
      <c r="B308" s="350" t="s">
        <v>928</v>
      </c>
      <c r="C308" s="335" t="s">
        <v>2199</v>
      </c>
      <c r="D308" s="340">
        <v>-1083910</v>
      </c>
      <c r="E308" s="340">
        <v>-3450680</v>
      </c>
      <c r="F308" s="340">
        <v>-2417910</v>
      </c>
      <c r="G308" s="340">
        <v>-1479840</v>
      </c>
      <c r="H308" s="340">
        <v>-2608310</v>
      </c>
      <c r="I308" s="340">
        <v>-1045615</v>
      </c>
      <c r="J308" s="340">
        <v>-579510</v>
      </c>
      <c r="K308" s="340">
        <v>0</v>
      </c>
      <c r="L308" s="340">
        <v>-4975</v>
      </c>
      <c r="M308" s="340">
        <v>0</v>
      </c>
      <c r="N308" s="340">
        <v>0</v>
      </c>
      <c r="O308" s="340">
        <v>0</v>
      </c>
      <c r="P308" s="341">
        <v>0</v>
      </c>
      <c r="Q308" s="163">
        <v>0</v>
      </c>
      <c r="R308" s="163">
        <v>0</v>
      </c>
      <c r="S308" s="163">
        <v>0</v>
      </c>
      <c r="T308" s="163">
        <v>0</v>
      </c>
      <c r="U308" s="163">
        <v>0</v>
      </c>
      <c r="V308" s="163">
        <v>0</v>
      </c>
      <c r="W308" s="163">
        <v>0</v>
      </c>
      <c r="X308" s="163">
        <v>0</v>
      </c>
      <c r="Y308" s="163">
        <v>0</v>
      </c>
      <c r="Z308" s="163">
        <v>0</v>
      </c>
      <c r="AA308" s="163">
        <v>0</v>
      </c>
      <c r="AB308" s="163">
        <v>0</v>
      </c>
      <c r="AC308" s="163">
        <v>-2520</v>
      </c>
      <c r="AD308" s="163">
        <v>0</v>
      </c>
      <c r="AE308" s="163">
        <v>0</v>
      </c>
      <c r="AF308" s="163">
        <v>0</v>
      </c>
      <c r="AG308" s="163">
        <v>-3720</v>
      </c>
      <c r="AH308" s="163">
        <v>-235290</v>
      </c>
      <c r="AI308" s="163">
        <v>-215630</v>
      </c>
      <c r="AJ308" s="163">
        <v>-103720</v>
      </c>
      <c r="AK308" s="163">
        <v>-63240</v>
      </c>
      <c r="AL308" s="163">
        <v>-24520</v>
      </c>
      <c r="AM308" s="163">
        <v>-382970</v>
      </c>
      <c r="AN308" s="163">
        <v>-1721815</v>
      </c>
      <c r="AO308" s="163">
        <v>-428585</v>
      </c>
      <c r="AP308" s="163">
        <v>-31520</v>
      </c>
      <c r="AQ308" s="163">
        <v>-481000</v>
      </c>
      <c r="AR308" s="163">
        <v>-504425</v>
      </c>
      <c r="AS308" s="163">
        <v>-161805</v>
      </c>
      <c r="AT308" s="163">
        <v>-86755</v>
      </c>
      <c r="AU308" s="163">
        <v>-8450</v>
      </c>
      <c r="AV308" s="163">
        <v>-94105</v>
      </c>
      <c r="AW308" s="163">
        <v>-72175</v>
      </c>
      <c r="AX308" s="163">
        <v>0</v>
      </c>
      <c r="AY308" s="163">
        <v>-7230</v>
      </c>
      <c r="AZ308" s="163">
        <v>0</v>
      </c>
      <c r="BA308" s="163">
        <v>-77895</v>
      </c>
      <c r="BB308" s="163">
        <v>0</v>
      </c>
      <c r="BC308" s="163">
        <v>0</v>
      </c>
      <c r="BD308" s="163">
        <v>-2040</v>
      </c>
      <c r="BE308" s="163">
        <v>-20020</v>
      </c>
      <c r="BF308" s="163">
        <v>-15330</v>
      </c>
      <c r="BG308" s="163">
        <v>0</v>
      </c>
      <c r="BH308" s="163">
        <v>-3500</v>
      </c>
      <c r="BI308" s="163">
        <v>-10040</v>
      </c>
      <c r="BJ308" s="163">
        <v>-14650</v>
      </c>
      <c r="BK308" s="163">
        <v>0</v>
      </c>
      <c r="BL308" s="163">
        <v>0</v>
      </c>
      <c r="BM308" s="163">
        <v>0</v>
      </c>
      <c r="BN308" s="163">
        <v>0</v>
      </c>
      <c r="BO308" s="163">
        <v>0</v>
      </c>
      <c r="BP308" s="163">
        <v>0</v>
      </c>
      <c r="BQ308" s="163">
        <v>0</v>
      </c>
      <c r="BR308" s="163">
        <v>0</v>
      </c>
      <c r="BS308" s="163">
        <v>0</v>
      </c>
      <c r="BT308" s="163">
        <v>0</v>
      </c>
      <c r="BU308" s="163">
        <v>0</v>
      </c>
      <c r="BV308" s="163">
        <v>0</v>
      </c>
      <c r="BW308" s="163">
        <v>0</v>
      </c>
      <c r="BX308" s="163">
        <v>0</v>
      </c>
      <c r="BY308" s="163">
        <v>0</v>
      </c>
      <c r="BZ308" s="163">
        <v>0</v>
      </c>
      <c r="CA308" s="163">
        <v>0</v>
      </c>
      <c r="CB308" s="163">
        <v>0</v>
      </c>
      <c r="CC308" s="163">
        <v>0</v>
      </c>
      <c r="CD308" s="163">
        <v>0</v>
      </c>
      <c r="CE308" s="163">
        <v>0</v>
      </c>
      <c r="CF308" s="163">
        <v>0</v>
      </c>
      <c r="CG308" s="163">
        <v>0</v>
      </c>
      <c r="CH308" s="163">
        <v>0</v>
      </c>
      <c r="CI308" s="163">
        <v>0</v>
      </c>
      <c r="CJ308" s="163">
        <v>0</v>
      </c>
      <c r="CK308" s="163">
        <v>0</v>
      </c>
      <c r="CL308" s="163">
        <v>0</v>
      </c>
      <c r="CM308" s="163">
        <v>0</v>
      </c>
      <c r="CN308" s="163">
        <v>0</v>
      </c>
      <c r="CO308" s="163">
        <v>0</v>
      </c>
      <c r="CP308" s="163">
        <v>0</v>
      </c>
      <c r="CQ308" s="163">
        <v>0</v>
      </c>
      <c r="CR308" s="163">
        <v>0</v>
      </c>
      <c r="CS308" s="163">
        <v>0</v>
      </c>
      <c r="CT308" s="163">
        <v>0</v>
      </c>
      <c r="CU308" s="163">
        <v>0</v>
      </c>
      <c r="CV308" s="163">
        <v>0</v>
      </c>
      <c r="CW308" s="163">
        <v>0</v>
      </c>
      <c r="CX308" s="163">
        <v>0</v>
      </c>
      <c r="CY308" s="163">
        <v>0</v>
      </c>
      <c r="CZ308" s="163">
        <v>0</v>
      </c>
      <c r="DA308" s="163">
        <v>0</v>
      </c>
      <c r="DB308" s="163">
        <v>0</v>
      </c>
      <c r="DC308" s="163">
        <v>0</v>
      </c>
      <c r="DD308" s="163">
        <v>0</v>
      </c>
      <c r="DE308" s="163">
        <v>0</v>
      </c>
      <c r="DF308" s="163">
        <f>VLOOKUP($C308,'[3]BS ACC'!$C$5:$DH$1006,108,FALSE)</f>
        <v>0</v>
      </c>
      <c r="DG308" s="163">
        <f>VLOOKUP($C308,'[3]BS ACC'!$C$5:$DH$1006,109,FALSE)</f>
        <v>0</v>
      </c>
      <c r="DH308" s="163">
        <f>VLOOKUP($C308,'[3]BS ACC'!$C$5:$DH$1006,110,FALSE)</f>
        <v>0</v>
      </c>
    </row>
    <row r="309" spans="1:112">
      <c r="A309" s="350" t="str">
        <f t="shared" si="4"/>
        <v>2540205</v>
      </c>
      <c r="B309" s="350" t="s">
        <v>929</v>
      </c>
      <c r="C309" s="469" t="s">
        <v>2200</v>
      </c>
      <c r="D309" s="340">
        <v>-51235</v>
      </c>
      <c r="E309" s="340">
        <v>-113765</v>
      </c>
      <c r="F309" s="340">
        <v>-71605</v>
      </c>
      <c r="G309" s="340">
        <v>-25205</v>
      </c>
      <c r="H309" s="340">
        <v>-481885</v>
      </c>
      <c r="I309" s="340">
        <v>-134995</v>
      </c>
      <c r="J309" s="340">
        <v>-98245</v>
      </c>
      <c r="K309" s="340">
        <v>0</v>
      </c>
      <c r="L309" s="340">
        <v>0</v>
      </c>
      <c r="M309" s="340">
        <v>0</v>
      </c>
      <c r="N309" s="340">
        <v>0</v>
      </c>
      <c r="O309" s="340">
        <v>0</v>
      </c>
      <c r="P309" s="341">
        <v>0</v>
      </c>
      <c r="Q309" s="163">
        <v>0</v>
      </c>
      <c r="R309" s="163">
        <v>0</v>
      </c>
      <c r="S309" s="163">
        <v>0</v>
      </c>
      <c r="T309" s="163">
        <v>0</v>
      </c>
      <c r="U309" s="163">
        <v>0</v>
      </c>
      <c r="V309" s="163">
        <v>-360</v>
      </c>
      <c r="W309" s="163">
        <v>0</v>
      </c>
      <c r="X309" s="163">
        <v>0</v>
      </c>
      <c r="Y309" s="163">
        <v>0</v>
      </c>
      <c r="Z309" s="163">
        <v>0</v>
      </c>
      <c r="AA309" s="163">
        <v>0</v>
      </c>
      <c r="AB309" s="163">
        <v>0</v>
      </c>
      <c r="AC309" s="163">
        <v>0</v>
      </c>
      <c r="AD309" s="163">
        <v>0</v>
      </c>
      <c r="AE309" s="163">
        <v>-2790</v>
      </c>
      <c r="AF309" s="163">
        <v>-56285</v>
      </c>
      <c r="AG309" s="163">
        <v>-74965</v>
      </c>
      <c r="AH309" s="163">
        <v>-123345</v>
      </c>
      <c r="AI309" s="163">
        <v>-136115</v>
      </c>
      <c r="AJ309" s="163">
        <v>-97905</v>
      </c>
      <c r="AK309" s="163">
        <v>-55055</v>
      </c>
      <c r="AL309" s="163">
        <v>-128885</v>
      </c>
      <c r="AM309" s="163">
        <v>-149175</v>
      </c>
      <c r="AN309" s="163">
        <v>-267425</v>
      </c>
      <c r="AO309" s="163">
        <v>-106815</v>
      </c>
      <c r="AP309" s="163">
        <v>0</v>
      </c>
      <c r="AQ309" s="163">
        <v>-1880</v>
      </c>
      <c r="AR309" s="163">
        <v>-34420</v>
      </c>
      <c r="AS309" s="163">
        <v>-7720</v>
      </c>
      <c r="AT309" s="163">
        <v>-1520</v>
      </c>
      <c r="AU309" s="163">
        <v>0</v>
      </c>
      <c r="AV309" s="163">
        <v>-7090</v>
      </c>
      <c r="AW309" s="163">
        <v>-7570</v>
      </c>
      <c r="AX309" s="163">
        <v>-4800</v>
      </c>
      <c r="AY309" s="163">
        <v>0</v>
      </c>
      <c r="AZ309" s="163">
        <v>0</v>
      </c>
      <c r="BA309" s="163">
        <v>0</v>
      </c>
      <c r="BB309" s="163">
        <v>0</v>
      </c>
      <c r="BC309" s="163">
        <v>0</v>
      </c>
      <c r="BD309" s="163">
        <v>0</v>
      </c>
      <c r="BE309" s="163">
        <v>0</v>
      </c>
      <c r="BF309" s="163">
        <v>0</v>
      </c>
      <c r="BG309" s="163">
        <v>0</v>
      </c>
      <c r="BH309" s="163">
        <v>0</v>
      </c>
      <c r="BI309" s="163">
        <v>0</v>
      </c>
      <c r="BJ309" s="163">
        <v>0</v>
      </c>
      <c r="BK309" s="163">
        <v>0</v>
      </c>
      <c r="BL309" s="163">
        <v>0</v>
      </c>
      <c r="BM309" s="163">
        <v>0</v>
      </c>
      <c r="BN309" s="163">
        <v>0</v>
      </c>
      <c r="BO309" s="163">
        <v>0</v>
      </c>
      <c r="BP309" s="163">
        <v>0</v>
      </c>
      <c r="BQ309" s="163">
        <v>0</v>
      </c>
      <c r="BR309" s="163">
        <v>0</v>
      </c>
      <c r="BS309" s="163">
        <v>0</v>
      </c>
      <c r="BT309" s="163">
        <v>0</v>
      </c>
      <c r="BU309" s="163">
        <v>0</v>
      </c>
      <c r="BV309" s="163">
        <v>0</v>
      </c>
      <c r="BW309" s="163">
        <v>0</v>
      </c>
      <c r="BX309" s="163">
        <v>0</v>
      </c>
      <c r="BY309" s="163">
        <v>0</v>
      </c>
      <c r="BZ309" s="163">
        <v>0</v>
      </c>
      <c r="CA309" s="163">
        <v>0</v>
      </c>
      <c r="CB309" s="163">
        <v>0</v>
      </c>
      <c r="CC309" s="163">
        <v>0</v>
      </c>
      <c r="CD309" s="163">
        <v>0</v>
      </c>
      <c r="CE309" s="163">
        <v>0</v>
      </c>
      <c r="CF309" s="163">
        <v>0</v>
      </c>
      <c r="CG309" s="163">
        <v>0</v>
      </c>
      <c r="CH309" s="163">
        <v>0</v>
      </c>
      <c r="CI309" s="163">
        <v>0</v>
      </c>
      <c r="CJ309" s="163">
        <v>0</v>
      </c>
      <c r="CK309" s="163">
        <v>0</v>
      </c>
      <c r="CL309" s="163">
        <v>0</v>
      </c>
      <c r="CM309" s="163">
        <v>0</v>
      </c>
      <c r="CN309" s="163">
        <v>0</v>
      </c>
      <c r="CO309" s="163">
        <v>0</v>
      </c>
      <c r="CP309" s="163">
        <v>0</v>
      </c>
      <c r="CQ309" s="163">
        <v>0</v>
      </c>
      <c r="CR309" s="163">
        <v>0</v>
      </c>
      <c r="CS309" s="163">
        <v>0</v>
      </c>
      <c r="CT309" s="163">
        <v>0</v>
      </c>
      <c r="CU309" s="163">
        <v>0</v>
      </c>
      <c r="CV309" s="163">
        <v>0</v>
      </c>
      <c r="CW309" s="163">
        <v>0</v>
      </c>
      <c r="CX309" s="163">
        <v>0</v>
      </c>
      <c r="CY309" s="163">
        <v>0</v>
      </c>
      <c r="CZ309" s="163">
        <v>0</v>
      </c>
      <c r="DA309" s="163">
        <v>0</v>
      </c>
      <c r="DB309" s="163">
        <v>0</v>
      </c>
      <c r="DC309" s="163">
        <v>0</v>
      </c>
      <c r="DD309" s="163">
        <v>0</v>
      </c>
      <c r="DE309" s="163">
        <v>0</v>
      </c>
      <c r="DF309" s="163">
        <f>VLOOKUP($C309,'[3]BS ACC'!$C$5:$DH$1006,108,FALSE)</f>
        <v>0</v>
      </c>
      <c r="DG309" s="163">
        <f>VLOOKUP($C309,'[3]BS ACC'!$C$5:$DH$1006,109,FALSE)</f>
        <v>0</v>
      </c>
      <c r="DH309" s="163">
        <f>VLOOKUP($C309,'[3]BS ACC'!$C$5:$DH$1006,110,FALSE)</f>
        <v>0</v>
      </c>
    </row>
    <row r="310" spans="1:112">
      <c r="A310" s="350" t="str">
        <f t="shared" si="4"/>
        <v>2540280</v>
      </c>
      <c r="B310" s="350" t="s">
        <v>1673</v>
      </c>
      <c r="C310" s="335" t="s">
        <v>1474</v>
      </c>
      <c r="D310" s="340"/>
      <c r="E310" s="340"/>
      <c r="F310" s="340"/>
      <c r="G310" s="340"/>
      <c r="H310" s="340"/>
      <c r="I310" s="340"/>
      <c r="J310" s="340"/>
      <c r="K310" s="340"/>
      <c r="L310" s="340"/>
      <c r="M310" s="340"/>
      <c r="N310" s="340"/>
      <c r="O310" s="340"/>
      <c r="P310" s="341"/>
      <c r="Q310" s="163"/>
      <c r="R310" s="163"/>
      <c r="S310" s="163"/>
      <c r="T310" s="163"/>
      <c r="U310" s="163"/>
      <c r="V310" s="163"/>
      <c r="W310" s="163"/>
      <c r="X310" s="163"/>
      <c r="Y310" s="163"/>
      <c r="Z310" s="163"/>
      <c r="AA310" s="163"/>
      <c r="AB310" s="163"/>
      <c r="AC310" s="163"/>
      <c r="AD310" s="163"/>
      <c r="AE310" s="163"/>
      <c r="AF310" s="163">
        <v>0</v>
      </c>
      <c r="AG310" s="163">
        <v>0</v>
      </c>
      <c r="AH310" s="163">
        <v>-8562342.1899999995</v>
      </c>
      <c r="AI310" s="163">
        <v>-8428522.9900000002</v>
      </c>
      <c r="AJ310" s="163">
        <v>-8205577.9299999997</v>
      </c>
      <c r="AK310" s="163">
        <v>-8027195.7999999998</v>
      </c>
      <c r="AL310" s="163">
        <v>-7848813.6699999999</v>
      </c>
      <c r="AM310" s="163">
        <v>-7670431.54</v>
      </c>
      <c r="AN310" s="163">
        <v>-7492049.4100000001</v>
      </c>
      <c r="AO310" s="163">
        <v>-7313667.2800000003</v>
      </c>
      <c r="AP310" s="163">
        <v>-7135285.1500000004</v>
      </c>
      <c r="AQ310" s="163">
        <v>-6956903.0199999996</v>
      </c>
      <c r="AR310" s="163">
        <v>-6778520.8899999997</v>
      </c>
      <c r="AS310" s="163">
        <v>-6600138.7599999998</v>
      </c>
      <c r="AT310" s="163">
        <v>-6421756.6299999999</v>
      </c>
      <c r="AU310" s="163">
        <v>-6243374.5</v>
      </c>
      <c r="AV310" s="163">
        <v>-6064992.3700000001</v>
      </c>
      <c r="AW310" s="163">
        <v>-5886610.2400000002</v>
      </c>
      <c r="AX310" s="163">
        <v>-5708228.1100000003</v>
      </c>
      <c r="AY310" s="163">
        <v>-5529845.9800000004</v>
      </c>
      <c r="AZ310" s="163">
        <v>-5351463.8499999996</v>
      </c>
      <c r="BA310" s="163">
        <v>-5173081.72</v>
      </c>
      <c r="BB310" s="163">
        <v>-4994699.59</v>
      </c>
      <c r="BC310" s="163">
        <v>-4816317.46</v>
      </c>
      <c r="BD310" s="163">
        <v>-4637935.33</v>
      </c>
      <c r="BE310" s="163">
        <v>-4459553.2</v>
      </c>
      <c r="BF310" s="163">
        <v>-4281171.07</v>
      </c>
      <c r="BG310" s="163">
        <v>-4102788.94</v>
      </c>
      <c r="BH310" s="163">
        <v>-3924406.81</v>
      </c>
      <c r="BI310" s="163">
        <v>-3746024.68</v>
      </c>
      <c r="BJ310" s="163">
        <v>-3567642.55</v>
      </c>
      <c r="BK310" s="163">
        <v>-3389260.42</v>
      </c>
      <c r="BL310" s="163">
        <v>-3210878.29</v>
      </c>
      <c r="BM310" s="163">
        <v>-3032496.16</v>
      </c>
      <c r="BN310" s="163">
        <v>-2854114.03</v>
      </c>
      <c r="BO310" s="163">
        <v>-2675731.9</v>
      </c>
      <c r="BP310" s="163">
        <v>-2497349.77</v>
      </c>
      <c r="BQ310" s="163">
        <v>-2318967.64</v>
      </c>
      <c r="BR310" s="163">
        <v>-2140585.5099999998</v>
      </c>
      <c r="BS310" s="163">
        <v>-1962203.38</v>
      </c>
      <c r="BT310" s="163">
        <v>-1783821.25</v>
      </c>
      <c r="BU310" s="163">
        <v>-1605439.12</v>
      </c>
      <c r="BV310" s="163">
        <v>-1427056.99</v>
      </c>
      <c r="BW310" s="163">
        <v>-1248674.8600000001</v>
      </c>
      <c r="BX310" s="163">
        <v>-1070292.73</v>
      </c>
      <c r="BY310" s="163">
        <v>-891910.6</v>
      </c>
      <c r="BZ310" s="163">
        <v>-713528.47</v>
      </c>
      <c r="CA310" s="163">
        <v>-535146.34</v>
      </c>
      <c r="CB310" s="163">
        <v>-356764.21</v>
      </c>
      <c r="CC310" s="163">
        <v>-177449.58</v>
      </c>
      <c r="CD310" s="163">
        <v>-21447.55</v>
      </c>
      <c r="CE310" s="163">
        <v>0</v>
      </c>
      <c r="CF310" s="163">
        <v>0</v>
      </c>
      <c r="CG310" s="163">
        <v>0</v>
      </c>
      <c r="CH310" s="163">
        <v>0</v>
      </c>
      <c r="CI310" s="163">
        <v>0</v>
      </c>
      <c r="CJ310" s="163">
        <v>0</v>
      </c>
      <c r="CK310" s="163">
        <v>0</v>
      </c>
      <c r="CL310" s="163">
        <v>0</v>
      </c>
      <c r="CM310" s="163">
        <v>0</v>
      </c>
      <c r="CN310" s="163">
        <v>0</v>
      </c>
      <c r="CO310" s="163">
        <v>0</v>
      </c>
      <c r="CP310" s="163">
        <v>0</v>
      </c>
      <c r="CQ310" s="163">
        <v>0</v>
      </c>
      <c r="CR310" s="163">
        <v>0</v>
      </c>
      <c r="CS310" s="163">
        <v>0</v>
      </c>
      <c r="CT310" s="163">
        <v>0</v>
      </c>
      <c r="CU310" s="163">
        <v>0</v>
      </c>
      <c r="CV310" s="163">
        <v>0</v>
      </c>
      <c r="CW310" s="163">
        <v>0</v>
      </c>
      <c r="CX310" s="163">
        <v>0</v>
      </c>
      <c r="CY310" s="163">
        <v>-645620.04</v>
      </c>
      <c r="CZ310" s="163">
        <v>-632169.62</v>
      </c>
      <c r="DA310" s="163">
        <v>-618719.19999999995</v>
      </c>
      <c r="DB310" s="163">
        <v>-605268.78</v>
      </c>
      <c r="DC310" s="163">
        <v>-2173474.94</v>
      </c>
      <c r="DD310" s="163">
        <v>-2127073.34</v>
      </c>
      <c r="DE310" s="163">
        <v>-2080671.74</v>
      </c>
      <c r="DF310" s="163">
        <f>VLOOKUP($C310,'[3]BS ACC'!$C$5:$DH$1006,108,FALSE)</f>
        <v>-2034270.14</v>
      </c>
      <c r="DG310" s="163">
        <f>VLOOKUP($C310,'[3]BS ACC'!$C$5:$DH$1006,109,FALSE)</f>
        <v>-1987868.54</v>
      </c>
      <c r="DH310" s="163">
        <f>VLOOKUP($C310,'[3]BS ACC'!$C$5:$DH$1006,110,FALSE)</f>
        <v>-1941466.94</v>
      </c>
    </row>
    <row r="311" spans="1:112">
      <c r="A311" s="350" t="str">
        <f t="shared" si="4"/>
        <v>2540281</v>
      </c>
      <c r="B311" s="350" t="s">
        <v>903</v>
      </c>
      <c r="C311" s="335" t="s">
        <v>813</v>
      </c>
      <c r="D311" s="340">
        <v>0</v>
      </c>
      <c r="E311" s="340">
        <v>0</v>
      </c>
      <c r="F311" s="340">
        <v>0</v>
      </c>
      <c r="G311" s="340">
        <v>0</v>
      </c>
      <c r="H311" s="340">
        <v>0</v>
      </c>
      <c r="I311" s="340">
        <v>0</v>
      </c>
      <c r="J311" s="340">
        <v>0</v>
      </c>
      <c r="K311" s="340">
        <v>0</v>
      </c>
      <c r="L311" s="340">
        <v>0</v>
      </c>
      <c r="M311" s="340">
        <v>0</v>
      </c>
      <c r="N311" s="340">
        <v>0</v>
      </c>
      <c r="O311" s="340">
        <v>0</v>
      </c>
      <c r="P311" s="341">
        <v>0</v>
      </c>
      <c r="Q311" s="163">
        <v>0</v>
      </c>
      <c r="R311" s="163">
        <v>0</v>
      </c>
      <c r="S311" s="163">
        <v>0</v>
      </c>
      <c r="T311" s="163">
        <v>0</v>
      </c>
      <c r="U311" s="163">
        <v>0</v>
      </c>
      <c r="V311" s="163">
        <v>0</v>
      </c>
      <c r="W311" s="163">
        <v>0</v>
      </c>
      <c r="X311" s="163">
        <v>0</v>
      </c>
      <c r="Y311" s="163">
        <v>0</v>
      </c>
      <c r="Z311" s="163">
        <v>0</v>
      </c>
      <c r="AA311" s="163">
        <v>0</v>
      </c>
      <c r="AB311" s="163">
        <v>0</v>
      </c>
      <c r="AC311" s="163">
        <v>0</v>
      </c>
      <c r="AD311" s="163">
        <v>0</v>
      </c>
      <c r="AE311" s="163">
        <v>0</v>
      </c>
      <c r="AF311" s="163">
        <v>0</v>
      </c>
      <c r="AG311" s="163">
        <v>0</v>
      </c>
      <c r="AH311" s="163">
        <v>0</v>
      </c>
      <c r="AI311" s="163">
        <v>0</v>
      </c>
      <c r="AJ311" s="163">
        <v>0</v>
      </c>
      <c r="AK311" s="163">
        <v>0</v>
      </c>
      <c r="AL311" s="163">
        <v>0</v>
      </c>
      <c r="AM311" s="163">
        <v>0</v>
      </c>
      <c r="AN311" s="163">
        <v>0</v>
      </c>
      <c r="AO311" s="163">
        <v>0</v>
      </c>
      <c r="AP311" s="163">
        <v>0</v>
      </c>
      <c r="AQ311" s="163">
        <v>0</v>
      </c>
      <c r="AR311" s="163">
        <v>0</v>
      </c>
      <c r="AS311" s="163">
        <v>0</v>
      </c>
      <c r="AT311" s="163">
        <v>0</v>
      </c>
      <c r="AU311" s="163">
        <v>0</v>
      </c>
      <c r="AV311" s="163">
        <v>0</v>
      </c>
      <c r="AW311" s="163">
        <v>0</v>
      </c>
      <c r="AX311" s="163">
        <v>0</v>
      </c>
      <c r="AY311" s="163">
        <v>0</v>
      </c>
      <c r="AZ311" s="163">
        <v>0</v>
      </c>
      <c r="BA311" s="163">
        <v>0</v>
      </c>
      <c r="BB311" s="163">
        <v>0</v>
      </c>
      <c r="BC311" s="163">
        <v>0</v>
      </c>
      <c r="BD311" s="163">
        <v>0</v>
      </c>
      <c r="BE311" s="163">
        <v>0</v>
      </c>
      <c r="BF311" s="163">
        <v>0</v>
      </c>
      <c r="BG311" s="163">
        <v>0</v>
      </c>
      <c r="BH311" s="163">
        <v>0</v>
      </c>
      <c r="BI311" s="163">
        <v>0</v>
      </c>
      <c r="BJ311" s="163">
        <v>0</v>
      </c>
      <c r="BK311" s="163">
        <v>0</v>
      </c>
      <c r="BL311" s="163">
        <v>0</v>
      </c>
      <c r="BM311" s="163">
        <v>0</v>
      </c>
      <c r="BN311" s="163">
        <v>0</v>
      </c>
      <c r="BO311" s="163">
        <v>0</v>
      </c>
      <c r="BP311" s="163">
        <v>0</v>
      </c>
      <c r="BQ311" s="163">
        <v>0</v>
      </c>
      <c r="BR311" s="163">
        <v>0</v>
      </c>
      <c r="BS311" s="163">
        <v>0</v>
      </c>
      <c r="BT311" s="163">
        <v>0</v>
      </c>
      <c r="BU311" s="163">
        <v>0</v>
      </c>
      <c r="BV311" s="163">
        <v>0</v>
      </c>
      <c r="BW311" s="163">
        <v>0</v>
      </c>
      <c r="BX311" s="163">
        <v>0</v>
      </c>
      <c r="BY311" s="163">
        <v>0</v>
      </c>
      <c r="BZ311" s="163">
        <v>0</v>
      </c>
      <c r="CA311" s="163">
        <v>0</v>
      </c>
      <c r="CB311" s="163">
        <v>0</v>
      </c>
      <c r="CC311" s="163">
        <v>0</v>
      </c>
      <c r="CD311" s="163">
        <v>0</v>
      </c>
      <c r="CE311" s="163">
        <v>0</v>
      </c>
      <c r="CF311" s="163">
        <v>0</v>
      </c>
      <c r="CG311" s="163">
        <v>0</v>
      </c>
      <c r="CH311" s="163">
        <v>0</v>
      </c>
      <c r="CI311" s="163">
        <v>0</v>
      </c>
      <c r="CJ311" s="163">
        <v>0</v>
      </c>
      <c r="CK311" s="163">
        <v>0</v>
      </c>
      <c r="CL311" s="163">
        <v>0</v>
      </c>
      <c r="CM311" s="163">
        <v>0</v>
      </c>
      <c r="CN311" s="163">
        <v>0</v>
      </c>
      <c r="CO311" s="163">
        <v>0</v>
      </c>
      <c r="CP311" s="163">
        <v>0</v>
      </c>
      <c r="CQ311" s="163">
        <v>0</v>
      </c>
      <c r="CR311" s="163">
        <v>0</v>
      </c>
      <c r="CS311" s="163">
        <v>0</v>
      </c>
      <c r="CT311" s="163">
        <v>0</v>
      </c>
      <c r="CU311" s="163">
        <v>0</v>
      </c>
      <c r="CV311" s="163">
        <v>0</v>
      </c>
      <c r="CW311" s="163">
        <v>0</v>
      </c>
      <c r="CX311" s="163">
        <v>0</v>
      </c>
      <c r="CY311" s="163">
        <v>0</v>
      </c>
      <c r="CZ311" s="163">
        <v>0</v>
      </c>
      <c r="DA311" s="163">
        <v>0</v>
      </c>
      <c r="DB311" s="163">
        <v>0</v>
      </c>
      <c r="DC311" s="163">
        <v>0</v>
      </c>
      <c r="DD311" s="163">
        <v>0</v>
      </c>
      <c r="DE311" s="163">
        <v>0</v>
      </c>
      <c r="DF311" s="163">
        <f>VLOOKUP($C311,'[3]BS ACC'!$C$5:$DH$1006,108,FALSE)</f>
        <v>0</v>
      </c>
      <c r="DG311" s="163">
        <f>VLOOKUP($C311,'[3]BS ACC'!$C$5:$DH$1006,109,FALSE)</f>
        <v>0</v>
      </c>
      <c r="DH311" s="163">
        <f>VLOOKUP($C311,'[3]BS ACC'!$C$5:$DH$1006,110,FALSE)</f>
        <v>0</v>
      </c>
    </row>
    <row r="312" spans="1:112">
      <c r="A312" s="350" t="str">
        <f t="shared" si="4"/>
        <v>2540330</v>
      </c>
      <c r="B312" s="350" t="s">
        <v>904</v>
      </c>
      <c r="C312" s="335" t="s">
        <v>814</v>
      </c>
      <c r="D312" s="340">
        <v>-676678.04</v>
      </c>
      <c r="E312" s="340">
        <v>-718344.71</v>
      </c>
      <c r="F312" s="340">
        <v>-760011.38</v>
      </c>
      <c r="G312" s="340">
        <v>-662078.05000000005</v>
      </c>
      <c r="H312" s="340">
        <v>-690244.72</v>
      </c>
      <c r="I312" s="340">
        <v>-731911.39</v>
      </c>
      <c r="J312" s="340">
        <v>-773578.06</v>
      </c>
      <c r="K312" s="340">
        <v>-815244.73</v>
      </c>
      <c r="L312" s="340">
        <v>-776159.91</v>
      </c>
      <c r="M312" s="340">
        <v>-817826.58</v>
      </c>
      <c r="N312" s="340">
        <v>-859493.25</v>
      </c>
      <c r="O312" s="340">
        <v>-887659.92</v>
      </c>
      <c r="P312" s="341">
        <v>-929326.59</v>
      </c>
      <c r="Q312" s="163">
        <v>-764326.59</v>
      </c>
      <c r="R312" s="163">
        <v>-764326.59</v>
      </c>
      <c r="S312" s="163">
        <v>-609963.93999999994</v>
      </c>
      <c r="T312" s="163">
        <v>-565119.14</v>
      </c>
      <c r="U312" s="163">
        <v>-547299.71</v>
      </c>
      <c r="V312" s="163">
        <v>-560293.04</v>
      </c>
      <c r="W312" s="163">
        <v>-546255.09</v>
      </c>
      <c r="X312" s="163">
        <v>-546255.09</v>
      </c>
      <c r="Y312" s="163">
        <v>-507492.84</v>
      </c>
      <c r="Z312" s="163">
        <v>-507492.84</v>
      </c>
      <c r="AA312" s="163">
        <v>-507492.84</v>
      </c>
      <c r="AB312" s="163">
        <v>-482492.84</v>
      </c>
      <c r="AC312" s="163">
        <v>-458983.96</v>
      </c>
      <c r="AD312" s="163">
        <v>-458983.96</v>
      </c>
      <c r="AE312" s="163">
        <v>-293983.96000000002</v>
      </c>
      <c r="AF312" s="163">
        <v>-160383.96</v>
      </c>
      <c r="AG312" s="163">
        <v>-160383.96</v>
      </c>
      <c r="AH312" s="163">
        <v>-160383.96</v>
      </c>
      <c r="AI312" s="163">
        <v>-160383.96</v>
      </c>
      <c r="AJ312" s="163">
        <v>-157883.96</v>
      </c>
      <c r="AK312" s="163">
        <v>-157883.96</v>
      </c>
      <c r="AL312" s="163">
        <v>-157883.96</v>
      </c>
      <c r="AM312" s="163">
        <v>-157883.96</v>
      </c>
      <c r="AN312" s="163">
        <v>0</v>
      </c>
      <c r="AO312" s="163">
        <v>-41666.67</v>
      </c>
      <c r="AP312" s="163">
        <v>-58333.32</v>
      </c>
      <c r="AQ312" s="163">
        <v>-77489.259999999995</v>
      </c>
      <c r="AR312" s="163">
        <v>37495.919999999998</v>
      </c>
      <c r="AS312" s="163">
        <v>9411.5</v>
      </c>
      <c r="AT312" s="163">
        <v>-6875.26</v>
      </c>
      <c r="AU312" s="163">
        <v>-36041.919999999998</v>
      </c>
      <c r="AV312" s="163">
        <v>-64645.82</v>
      </c>
      <c r="AW312" s="163">
        <v>-93812.479999999996</v>
      </c>
      <c r="AX312" s="163">
        <v>-122979.14</v>
      </c>
      <c r="AY312" s="163">
        <v>-145357.69</v>
      </c>
      <c r="AZ312" s="163">
        <v>-0.63</v>
      </c>
      <c r="BA312" s="163">
        <v>-33333.96</v>
      </c>
      <c r="BB312" s="163">
        <v>-66667.289999999994</v>
      </c>
      <c r="BC312" s="163">
        <v>-100000.62</v>
      </c>
      <c r="BD312" s="163">
        <v>-133333.95000000001</v>
      </c>
      <c r="BE312" s="163">
        <v>-148862.35999999999</v>
      </c>
      <c r="BF312" s="163">
        <v>304.31</v>
      </c>
      <c r="BG312" s="163">
        <v>-30483.02</v>
      </c>
      <c r="BH312" s="163">
        <v>-63816.35</v>
      </c>
      <c r="BI312" s="163">
        <v>-97149.68</v>
      </c>
      <c r="BJ312" s="163">
        <v>-109048.24</v>
      </c>
      <c r="BK312" s="163">
        <v>-142381.57</v>
      </c>
      <c r="BL312" s="163">
        <v>-10714.9</v>
      </c>
      <c r="BM312" s="163">
        <v>-52381.57</v>
      </c>
      <c r="BN312" s="163">
        <v>-94048.24</v>
      </c>
      <c r="BO312" s="163">
        <v>46785.09</v>
      </c>
      <c r="BP312" s="163">
        <v>6073.35</v>
      </c>
      <c r="BQ312" s="163">
        <v>-34592.800000000003</v>
      </c>
      <c r="BR312" s="163">
        <v>-76259.47</v>
      </c>
      <c r="BS312" s="163">
        <v>-91582.51</v>
      </c>
      <c r="BT312" s="163">
        <v>-133249.18</v>
      </c>
      <c r="BU312" s="163">
        <v>-174915.85</v>
      </c>
      <c r="BV312" s="163">
        <v>-216582.52</v>
      </c>
      <c r="BW312" s="163">
        <v>-258249.19</v>
      </c>
      <c r="BX312" s="163">
        <v>-128515.18</v>
      </c>
      <c r="BY312" s="163">
        <v>-170181.85</v>
      </c>
      <c r="BZ312" s="163">
        <v>-211848.52</v>
      </c>
      <c r="CA312" s="163">
        <v>-53515.19</v>
      </c>
      <c r="CB312" s="163">
        <v>-95181.86</v>
      </c>
      <c r="CC312" s="163">
        <v>-111848.53</v>
      </c>
      <c r="CD312" s="163">
        <v>-153515.20000000001</v>
      </c>
      <c r="CE312" s="163">
        <v>-195181.87</v>
      </c>
      <c r="CF312" s="163">
        <v>-172788.87</v>
      </c>
      <c r="CG312" s="163">
        <v>-172788.87</v>
      </c>
      <c r="CH312" s="163">
        <v>-172788.87</v>
      </c>
      <c r="CI312" s="163">
        <v>-172788.87</v>
      </c>
      <c r="CJ312" s="163">
        <v>-372788.87</v>
      </c>
      <c r="CK312" s="163">
        <v>-182788.87</v>
      </c>
      <c r="CL312" s="163">
        <v>-182788.87</v>
      </c>
      <c r="CM312" s="163">
        <v>17211.13</v>
      </c>
      <c r="CN312" s="163">
        <v>17211.13</v>
      </c>
      <c r="CO312" s="163">
        <v>17211.13</v>
      </c>
      <c r="CP312" s="163">
        <v>0</v>
      </c>
      <c r="CQ312" s="163">
        <v>0</v>
      </c>
      <c r="CR312" s="163">
        <v>0</v>
      </c>
      <c r="CS312" s="163">
        <v>0</v>
      </c>
      <c r="CT312" s="163">
        <v>0</v>
      </c>
      <c r="CU312" s="163">
        <v>0</v>
      </c>
      <c r="CV312" s="163">
        <v>0</v>
      </c>
      <c r="CW312" s="163">
        <v>0</v>
      </c>
      <c r="CX312" s="163">
        <v>0</v>
      </c>
      <c r="CY312" s="163">
        <v>200000</v>
      </c>
      <c r="CZ312" s="163">
        <v>0</v>
      </c>
      <c r="DA312" s="163">
        <v>0</v>
      </c>
      <c r="DB312" s="163">
        <v>0</v>
      </c>
      <c r="DC312" s="163">
        <v>0</v>
      </c>
      <c r="DD312" s="163">
        <v>0</v>
      </c>
      <c r="DE312" s="163">
        <v>0</v>
      </c>
      <c r="DF312" s="163">
        <f>VLOOKUP($C312,'[3]BS ACC'!$C$5:$DH$1006,108,FALSE)</f>
        <v>0</v>
      </c>
      <c r="DG312" s="163">
        <f>VLOOKUP($C312,'[3]BS ACC'!$C$5:$DH$1006,109,FALSE)</f>
        <v>0</v>
      </c>
      <c r="DH312" s="163">
        <f>VLOOKUP($C312,'[3]BS ACC'!$C$5:$DH$1006,110,FALSE)</f>
        <v>0</v>
      </c>
    </row>
    <row r="313" spans="1:112">
      <c r="A313" s="350">
        <f t="shared" si="4"/>
        <v>2540331</v>
      </c>
      <c r="B313" s="1254">
        <v>2540331</v>
      </c>
      <c r="C313" s="335" t="s">
        <v>2891</v>
      </c>
      <c r="D313" s="340"/>
      <c r="E313" s="340"/>
      <c r="F313" s="340"/>
      <c r="G313" s="340"/>
      <c r="H313" s="340"/>
      <c r="I313" s="340"/>
      <c r="J313" s="340"/>
      <c r="K313" s="340"/>
      <c r="L313" s="340"/>
      <c r="M313" s="340"/>
      <c r="N313" s="340"/>
      <c r="O313" s="340"/>
      <c r="P313" s="341"/>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c r="AL313" s="163"/>
      <c r="AM313" s="163"/>
      <c r="AN313" s="163"/>
      <c r="AO313" s="163"/>
      <c r="AP313" s="163"/>
      <c r="AQ313" s="163"/>
      <c r="AR313" s="163"/>
      <c r="AS313" s="163"/>
      <c r="AT313" s="163"/>
      <c r="AU313" s="163"/>
      <c r="AV313" s="163"/>
      <c r="AW313" s="163"/>
      <c r="AX313" s="163"/>
      <c r="AY313" s="163"/>
      <c r="AZ313" s="163"/>
      <c r="BA313" s="163"/>
      <c r="BB313" s="163"/>
      <c r="BC313" s="163"/>
      <c r="BD313" s="163"/>
      <c r="BE313" s="163"/>
      <c r="BF313" s="163"/>
      <c r="BG313" s="163"/>
      <c r="BH313" s="163"/>
      <c r="BI313" s="163"/>
      <c r="BJ313" s="163"/>
      <c r="BK313" s="163"/>
      <c r="BL313" s="163"/>
      <c r="BM313" s="163"/>
      <c r="BN313" s="163"/>
      <c r="BO313" s="163"/>
      <c r="BP313" s="163"/>
      <c r="BQ313" s="163"/>
      <c r="BR313" s="163"/>
      <c r="BS313" s="163"/>
      <c r="BT313" s="163"/>
      <c r="BU313" s="163"/>
      <c r="BV313" s="163"/>
      <c r="BW313" s="163"/>
      <c r="BX313" s="163"/>
      <c r="BY313" s="163"/>
      <c r="BZ313" s="163"/>
      <c r="CA313" s="163"/>
      <c r="CB313" s="163"/>
      <c r="CC313" s="163"/>
      <c r="CD313" s="163"/>
      <c r="CE313" s="163"/>
      <c r="CF313" s="163"/>
      <c r="CG313" s="163"/>
      <c r="CH313" s="163"/>
      <c r="CI313" s="163"/>
      <c r="CJ313" s="163"/>
      <c r="CK313" s="163"/>
      <c r="CL313" s="163"/>
      <c r="CM313" s="163"/>
      <c r="CN313" s="163"/>
      <c r="CO313" s="163"/>
      <c r="CP313" s="163"/>
      <c r="CQ313" s="163"/>
      <c r="CR313" s="163"/>
      <c r="CS313" s="163"/>
      <c r="CT313" s="163"/>
      <c r="CU313" s="163"/>
      <c r="CV313" s="163"/>
      <c r="CW313" s="163"/>
      <c r="CX313" s="163"/>
      <c r="CY313" s="163">
        <v>0</v>
      </c>
      <c r="CZ313" s="163">
        <v>0</v>
      </c>
      <c r="DA313" s="163">
        <v>0</v>
      </c>
      <c r="DB313" s="163">
        <v>0</v>
      </c>
      <c r="DC313" s="163">
        <v>0</v>
      </c>
      <c r="DD313" s="163">
        <v>0</v>
      </c>
      <c r="DE313" s="163">
        <v>-186245.36</v>
      </c>
      <c r="DF313" s="163">
        <f>VLOOKUP($C313,'[3]BS ACC'!$C$5:$DH$1006,108,FALSE)</f>
        <v>-258812.51</v>
      </c>
      <c r="DG313" s="163">
        <f>VLOOKUP($C313,'[3]BS ACC'!$C$5:$DH$1006,109,FALSE)</f>
        <v>0</v>
      </c>
      <c r="DH313" s="163">
        <f>VLOOKUP($C313,'[3]BS ACC'!$C$5:$DH$1006,110,FALSE)</f>
        <v>0</v>
      </c>
    </row>
    <row r="314" spans="1:112">
      <c r="A314" s="350" t="str">
        <f t="shared" si="4"/>
        <v>2540340</v>
      </c>
      <c r="B314" s="350" t="s">
        <v>905</v>
      </c>
      <c r="C314" s="335" t="s">
        <v>815</v>
      </c>
      <c r="D314" s="340">
        <v>0</v>
      </c>
      <c r="E314" s="340">
        <v>0</v>
      </c>
      <c r="F314" s="340">
        <v>0</v>
      </c>
      <c r="G314" s="340">
        <v>0</v>
      </c>
      <c r="H314" s="340">
        <v>0</v>
      </c>
      <c r="I314" s="340">
        <v>0</v>
      </c>
      <c r="J314" s="340">
        <v>0</v>
      </c>
      <c r="K314" s="340">
        <v>0</v>
      </c>
      <c r="L314" s="340">
        <v>0</v>
      </c>
      <c r="M314" s="340">
        <v>0</v>
      </c>
      <c r="N314" s="340">
        <v>0</v>
      </c>
      <c r="O314" s="340">
        <v>0</v>
      </c>
      <c r="P314" s="341">
        <v>0</v>
      </c>
      <c r="Q314" s="163">
        <v>0</v>
      </c>
      <c r="R314" s="163">
        <v>0</v>
      </c>
      <c r="S314" s="163">
        <v>0</v>
      </c>
      <c r="T314" s="163">
        <v>0</v>
      </c>
      <c r="U314" s="163">
        <v>0</v>
      </c>
      <c r="V314" s="163">
        <v>0</v>
      </c>
      <c r="W314" s="163">
        <v>0</v>
      </c>
      <c r="X314" s="163">
        <v>0</v>
      </c>
      <c r="Y314" s="163">
        <v>0</v>
      </c>
      <c r="Z314" s="163">
        <v>0</v>
      </c>
      <c r="AA314" s="163">
        <v>0</v>
      </c>
      <c r="AB314" s="163">
        <v>0</v>
      </c>
      <c r="AC314" s="163">
        <v>0</v>
      </c>
      <c r="AD314" s="163">
        <v>0</v>
      </c>
      <c r="AE314" s="163">
        <v>0</v>
      </c>
      <c r="AF314" s="163">
        <v>0</v>
      </c>
      <c r="AG314" s="163">
        <v>0</v>
      </c>
      <c r="AH314" s="163">
        <v>0</v>
      </c>
      <c r="AI314" s="163">
        <v>0</v>
      </c>
      <c r="AJ314" s="163">
        <v>0</v>
      </c>
      <c r="AK314" s="163">
        <v>0</v>
      </c>
      <c r="AL314" s="163">
        <v>0</v>
      </c>
      <c r="AM314" s="163">
        <v>0</v>
      </c>
      <c r="AN314" s="163">
        <v>0</v>
      </c>
      <c r="AO314" s="163">
        <v>0</v>
      </c>
      <c r="AP314" s="163">
        <v>0</v>
      </c>
      <c r="AQ314" s="163">
        <v>0</v>
      </c>
      <c r="AR314" s="163">
        <v>0</v>
      </c>
      <c r="AS314" s="163">
        <v>0</v>
      </c>
      <c r="AT314" s="163">
        <v>0</v>
      </c>
      <c r="AU314" s="163">
        <v>0</v>
      </c>
      <c r="AV314" s="163">
        <v>0</v>
      </c>
      <c r="AW314" s="163">
        <v>0</v>
      </c>
      <c r="AX314" s="163">
        <v>0</v>
      </c>
      <c r="AY314" s="163">
        <v>0</v>
      </c>
      <c r="AZ314" s="163">
        <v>0</v>
      </c>
      <c r="BA314" s="163">
        <v>0</v>
      </c>
      <c r="BB314" s="163">
        <v>0</v>
      </c>
      <c r="BC314" s="163">
        <v>0</v>
      </c>
      <c r="BD314" s="163">
        <v>0</v>
      </c>
      <c r="BE314" s="163">
        <v>0</v>
      </c>
      <c r="BF314" s="163">
        <v>0</v>
      </c>
      <c r="BG314" s="163">
        <v>0</v>
      </c>
      <c r="BH314" s="163">
        <v>0</v>
      </c>
      <c r="BI314" s="163">
        <v>0</v>
      </c>
      <c r="BJ314" s="163">
        <v>0</v>
      </c>
      <c r="BK314" s="163">
        <v>0</v>
      </c>
      <c r="BL314" s="163">
        <v>0</v>
      </c>
      <c r="BM314" s="163">
        <v>0</v>
      </c>
      <c r="BN314" s="163">
        <v>0</v>
      </c>
      <c r="BO314" s="163">
        <v>0</v>
      </c>
      <c r="BP314" s="163">
        <v>0</v>
      </c>
      <c r="BQ314" s="163">
        <v>0</v>
      </c>
      <c r="BR314" s="163">
        <v>0</v>
      </c>
      <c r="BS314" s="163">
        <v>0</v>
      </c>
      <c r="BT314" s="163">
        <v>0</v>
      </c>
      <c r="BU314" s="163">
        <v>0</v>
      </c>
      <c r="BV314" s="163">
        <v>0</v>
      </c>
      <c r="BW314" s="163">
        <v>0</v>
      </c>
      <c r="BX314" s="163">
        <v>0</v>
      </c>
      <c r="BY314" s="163">
        <v>0</v>
      </c>
      <c r="BZ314" s="163">
        <v>0</v>
      </c>
      <c r="CA314" s="163">
        <v>0</v>
      </c>
      <c r="CB314" s="163">
        <v>0</v>
      </c>
      <c r="CC314" s="163">
        <v>0</v>
      </c>
      <c r="CD314" s="163">
        <v>0</v>
      </c>
      <c r="CE314" s="163">
        <v>0</v>
      </c>
      <c r="CF314" s="163">
        <v>0</v>
      </c>
      <c r="CG314" s="163">
        <v>0</v>
      </c>
      <c r="CH314" s="163">
        <v>0</v>
      </c>
      <c r="CI314" s="163">
        <v>0</v>
      </c>
      <c r="CJ314" s="163">
        <v>0</v>
      </c>
      <c r="CK314" s="163">
        <v>0</v>
      </c>
      <c r="CL314" s="163">
        <v>0</v>
      </c>
      <c r="CM314" s="163">
        <v>0</v>
      </c>
      <c r="CN314" s="163">
        <v>0</v>
      </c>
      <c r="CO314" s="163">
        <v>0</v>
      </c>
      <c r="CP314" s="163">
        <v>0</v>
      </c>
      <c r="CQ314" s="163">
        <v>0</v>
      </c>
      <c r="CR314" s="163">
        <v>0</v>
      </c>
      <c r="CS314" s="163">
        <v>0</v>
      </c>
      <c r="CT314" s="163">
        <v>0</v>
      </c>
      <c r="CU314" s="163">
        <v>0</v>
      </c>
      <c r="CV314" s="163">
        <v>0</v>
      </c>
      <c r="CW314" s="163">
        <v>0</v>
      </c>
      <c r="CX314" s="163">
        <v>0</v>
      </c>
      <c r="CY314" s="163">
        <v>0</v>
      </c>
      <c r="CZ314" s="163">
        <v>0</v>
      </c>
      <c r="DA314" s="163">
        <v>0</v>
      </c>
      <c r="DB314" s="163">
        <v>0</v>
      </c>
      <c r="DC314" s="163">
        <v>0</v>
      </c>
      <c r="DD314" s="163">
        <v>0</v>
      </c>
      <c r="DE314" s="163">
        <v>0</v>
      </c>
      <c r="DF314" s="163">
        <f>VLOOKUP($C314,'[3]BS ACC'!$C$5:$DH$1006,108,FALSE)</f>
        <v>0</v>
      </c>
      <c r="DG314" s="163">
        <f>VLOOKUP($C314,'[3]BS ACC'!$C$5:$DH$1006,109,FALSE)</f>
        <v>0</v>
      </c>
      <c r="DH314" s="163">
        <f>VLOOKUP($C314,'[3]BS ACC'!$C$5:$DH$1006,110,FALSE)</f>
        <v>0</v>
      </c>
    </row>
    <row r="315" spans="1:112">
      <c r="A315" s="350" t="str">
        <f t="shared" si="4"/>
        <v>2540610</v>
      </c>
      <c r="B315" s="350" t="s">
        <v>1845</v>
      </c>
      <c r="C315" s="335" t="s">
        <v>1847</v>
      </c>
      <c r="D315" s="340"/>
      <c r="E315" s="340"/>
      <c r="F315" s="340"/>
      <c r="G315" s="340"/>
      <c r="H315" s="340"/>
      <c r="I315" s="340"/>
      <c r="J315" s="340"/>
      <c r="K315" s="340"/>
      <c r="L315" s="340"/>
      <c r="M315" s="340"/>
      <c r="N315" s="340"/>
      <c r="O315" s="340"/>
      <c r="P315" s="341"/>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c r="AL315" s="163"/>
      <c r="AM315" s="163"/>
      <c r="AN315" s="163"/>
      <c r="AO315" s="163">
        <v>0</v>
      </c>
      <c r="AP315" s="163">
        <v>0</v>
      </c>
      <c r="AQ315" s="163">
        <v>0</v>
      </c>
      <c r="AR315" s="163">
        <v>0</v>
      </c>
      <c r="AS315" s="163">
        <v>0</v>
      </c>
      <c r="AT315" s="163">
        <v>0</v>
      </c>
      <c r="AU315" s="163">
        <v>0</v>
      </c>
      <c r="AV315" s="163">
        <v>0</v>
      </c>
      <c r="AW315" s="163">
        <v>0</v>
      </c>
      <c r="AX315" s="163">
        <v>0</v>
      </c>
      <c r="AY315" s="163">
        <v>0</v>
      </c>
      <c r="AZ315" s="163">
        <v>-89215247.840000004</v>
      </c>
      <c r="BA315" s="163">
        <v>-88993618.829999998</v>
      </c>
      <c r="BB315" s="163">
        <v>-88772694.959999993</v>
      </c>
      <c r="BC315" s="163">
        <v>-88827824.640000001</v>
      </c>
      <c r="BD315" s="163">
        <v>-88698688.569999993</v>
      </c>
      <c r="BE315" s="163">
        <v>-89028647.75</v>
      </c>
      <c r="BF315" s="163">
        <v>-88991326.840000004</v>
      </c>
      <c r="BG315" s="163">
        <v>-88954005.790000007</v>
      </c>
      <c r="BH315" s="163">
        <v>-88929436.260000005</v>
      </c>
      <c r="BI315" s="163">
        <v>-88893709.109999999</v>
      </c>
      <c r="BJ315" s="163">
        <v>-88857982.060000002</v>
      </c>
      <c r="BK315" s="163">
        <v>-90723707.120000005</v>
      </c>
      <c r="BL315" s="163">
        <v>-90687980.010000005</v>
      </c>
      <c r="BM315" s="163">
        <v>-90707229.579999998</v>
      </c>
      <c r="BN315" s="163">
        <v>-90773562.260000005</v>
      </c>
      <c r="BO315" s="163">
        <v>-90817020.25</v>
      </c>
      <c r="BP315" s="163">
        <v>-90859144.519999996</v>
      </c>
      <c r="BQ315" s="163">
        <v>-90901935.640000001</v>
      </c>
      <c r="BR315" s="163">
        <v>-90944726.75</v>
      </c>
      <c r="BS315" s="163">
        <v>-90987517.769999996</v>
      </c>
      <c r="BT315" s="163">
        <v>-91073669.359999999</v>
      </c>
      <c r="BU315" s="163">
        <v>-89875621.409999996</v>
      </c>
      <c r="BV315" s="163">
        <v>-89923023.269999996</v>
      </c>
      <c r="BW315" s="163">
        <v>-89970425.319999993</v>
      </c>
      <c r="BX315" s="163">
        <v>-90472776.099999994</v>
      </c>
      <c r="BY315" s="163">
        <v>-90499955.489999995</v>
      </c>
      <c r="BZ315" s="163">
        <v>-90518828.609999999</v>
      </c>
      <c r="CA315" s="163">
        <v>-90372737.219999999</v>
      </c>
      <c r="CB315" s="163">
        <v>-90395169.049999997</v>
      </c>
      <c r="CC315" s="163">
        <v>-90417623.329999998</v>
      </c>
      <c r="CD315" s="163">
        <v>-90530783.329999998</v>
      </c>
      <c r="CE315" s="163">
        <v>-90553345.189999998</v>
      </c>
      <c r="CF315" s="163">
        <v>-90531840.560000002</v>
      </c>
      <c r="CG315" s="163">
        <v>-90637383.310000002</v>
      </c>
      <c r="CH315" s="163">
        <v>-93142210.879999995</v>
      </c>
      <c r="CI315" s="163">
        <v>-93187157.530000001</v>
      </c>
      <c r="CJ315" s="163">
        <v>-93201281.370000005</v>
      </c>
      <c r="CK315" s="163">
        <v>-93223383.650000006</v>
      </c>
      <c r="CL315" s="163">
        <v>-93198140.409999996</v>
      </c>
      <c r="CM315" s="163">
        <v>-93042872.780000001</v>
      </c>
      <c r="CN315" s="163">
        <v>-93138408.629999995</v>
      </c>
      <c r="CO315" s="163">
        <v>-93162182.030000001</v>
      </c>
      <c r="CP315" s="163">
        <v>-92987853.989999995</v>
      </c>
      <c r="CQ315" s="163">
        <v>-93010829.170000002</v>
      </c>
      <c r="CR315" s="163">
        <v>-93034141.939999998</v>
      </c>
      <c r="CS315" s="163">
        <v>-92792742.819999993</v>
      </c>
      <c r="CT315" s="163">
        <v>-92761579.930000007</v>
      </c>
      <c r="CU315" s="163">
        <v>-93212284.239999995</v>
      </c>
      <c r="CV315" s="163">
        <v>-88446090.120000005</v>
      </c>
      <c r="CW315" s="163">
        <v>-88506456.180000007</v>
      </c>
      <c r="CX315" s="163">
        <v>-88566338.359999999</v>
      </c>
      <c r="CY315" s="163">
        <v>-88307192.769999996</v>
      </c>
      <c r="CZ315" s="163">
        <v>-88362329.349999994</v>
      </c>
      <c r="DA315" s="163">
        <v>-88416495.030000001</v>
      </c>
      <c r="DB315" s="163">
        <v>-88290717.590000004</v>
      </c>
      <c r="DC315" s="163">
        <v>-88341331.810000002</v>
      </c>
      <c r="DD315" s="163">
        <v>-88539586.890000001</v>
      </c>
      <c r="DE315" s="163">
        <v>-88612189.200000003</v>
      </c>
      <c r="DF315" s="163">
        <f>VLOOKUP($C315,'[3]BS ACC'!$C$5:$DH$1006,108,FALSE)</f>
        <v>-88681888.730000004</v>
      </c>
      <c r="DG315" s="163">
        <f>VLOOKUP($C315,'[3]BS ACC'!$C$5:$DH$1006,109,FALSE)</f>
        <v>-88752434.620000005</v>
      </c>
      <c r="DH315" s="163">
        <f>VLOOKUP($C315,'[3]BS ACC'!$C$5:$DH$1006,110,FALSE)</f>
        <v>-88659849.129999995</v>
      </c>
    </row>
    <row r="316" spans="1:112">
      <c r="A316" s="350" t="str">
        <f>+B316</f>
        <v>2540612</v>
      </c>
      <c r="B316" s="350" t="s">
        <v>2222</v>
      </c>
      <c r="C316" s="335" t="s">
        <v>2221</v>
      </c>
      <c r="D316" s="340"/>
      <c r="E316" s="340"/>
      <c r="F316" s="340"/>
      <c r="G316" s="340"/>
      <c r="H316" s="340"/>
      <c r="I316" s="340"/>
      <c r="J316" s="340"/>
      <c r="K316" s="340"/>
      <c r="L316" s="340"/>
      <c r="M316" s="340"/>
      <c r="N316" s="340"/>
      <c r="O316" s="340"/>
      <c r="P316" s="341"/>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c r="AL316" s="163"/>
      <c r="AM316" s="163"/>
      <c r="AN316" s="163"/>
      <c r="AO316" s="163"/>
      <c r="AP316" s="163"/>
      <c r="AQ316" s="163"/>
      <c r="AR316" s="163"/>
      <c r="AS316" s="163"/>
      <c r="AT316" s="163"/>
      <c r="AU316" s="163"/>
      <c r="AV316" s="163"/>
      <c r="AW316" s="163"/>
      <c r="AX316" s="163"/>
      <c r="AY316" s="163"/>
      <c r="AZ316" s="163"/>
      <c r="BA316" s="163">
        <v>0</v>
      </c>
      <c r="BB316" s="163">
        <v>-1338154</v>
      </c>
      <c r="BC316" s="163">
        <v>-2469709</v>
      </c>
      <c r="BD316" s="163">
        <v>-3636944</v>
      </c>
      <c r="BE316" s="163">
        <v>-3920470</v>
      </c>
      <c r="BF316" s="163">
        <v>-4641906</v>
      </c>
      <c r="BG316" s="163">
        <v>-5353653</v>
      </c>
      <c r="BH316" s="163">
        <v>-6054063</v>
      </c>
      <c r="BI316" s="163">
        <v>0</v>
      </c>
      <c r="BJ316" s="163">
        <v>0</v>
      </c>
      <c r="BK316" s="163">
        <v>0</v>
      </c>
      <c r="BL316" s="163">
        <v>0</v>
      </c>
      <c r="BM316" s="163">
        <v>0</v>
      </c>
      <c r="BN316" s="163">
        <v>0</v>
      </c>
      <c r="BO316" s="163">
        <v>0</v>
      </c>
      <c r="BP316" s="163">
        <v>0</v>
      </c>
      <c r="BQ316" s="163">
        <v>0</v>
      </c>
      <c r="BR316" s="163">
        <v>0</v>
      </c>
      <c r="BS316" s="163">
        <v>0</v>
      </c>
      <c r="BT316" s="163">
        <v>0</v>
      </c>
      <c r="BU316" s="163">
        <v>0</v>
      </c>
      <c r="BV316" s="163">
        <v>0</v>
      </c>
      <c r="BW316" s="163">
        <v>0</v>
      </c>
      <c r="BX316" s="163">
        <v>0</v>
      </c>
      <c r="BY316" s="163">
        <v>0</v>
      </c>
      <c r="BZ316" s="163">
        <v>0</v>
      </c>
      <c r="CA316" s="163">
        <v>0</v>
      </c>
      <c r="CB316" s="163">
        <v>0</v>
      </c>
      <c r="CC316" s="163">
        <v>0</v>
      </c>
      <c r="CD316" s="163">
        <v>0</v>
      </c>
      <c r="CE316" s="163">
        <v>0</v>
      </c>
      <c r="CF316" s="163">
        <v>0</v>
      </c>
      <c r="CG316" s="163">
        <v>0</v>
      </c>
      <c r="CH316" s="163">
        <v>0</v>
      </c>
      <c r="CI316" s="163">
        <v>0</v>
      </c>
      <c r="CJ316" s="163">
        <v>0</v>
      </c>
      <c r="CK316" s="163">
        <v>0</v>
      </c>
      <c r="CL316" s="163">
        <v>0</v>
      </c>
      <c r="CM316" s="163">
        <v>0</v>
      </c>
      <c r="CN316" s="163">
        <v>0</v>
      </c>
      <c r="CO316" s="163">
        <v>0</v>
      </c>
      <c r="CP316" s="163">
        <v>0</v>
      </c>
      <c r="CQ316" s="163">
        <v>0</v>
      </c>
      <c r="CR316" s="163">
        <v>0</v>
      </c>
      <c r="CS316" s="163">
        <v>-720499.67</v>
      </c>
      <c r="CT316" s="163">
        <v>-689096.16</v>
      </c>
      <c r="CU316" s="163">
        <v>-755581.77</v>
      </c>
      <c r="CV316" s="163">
        <v>-851583.89</v>
      </c>
      <c r="CW316" s="163">
        <v>-851583.89</v>
      </c>
      <c r="CX316" s="163">
        <v>-851583.89</v>
      </c>
      <c r="CY316" s="163">
        <v>-851583.89</v>
      </c>
      <c r="CZ316" s="163">
        <v>-851583.89</v>
      </c>
      <c r="DA316" s="163">
        <v>-843750.89</v>
      </c>
      <c r="DB316" s="163">
        <v>0</v>
      </c>
      <c r="DC316" s="163">
        <v>0</v>
      </c>
      <c r="DD316" s="163">
        <v>0</v>
      </c>
      <c r="DE316" s="163">
        <v>0</v>
      </c>
      <c r="DF316" s="163">
        <f>VLOOKUP($C316,'[3]BS ACC'!$C$5:$DH$1006,108,FALSE)</f>
        <v>0</v>
      </c>
      <c r="DG316" s="163">
        <f>VLOOKUP($C316,'[3]BS ACC'!$C$5:$DH$1006,109,FALSE)</f>
        <v>0</v>
      </c>
      <c r="DH316" s="163">
        <f>VLOOKUP($C316,'[3]BS ACC'!$C$5:$DH$1006,110,FALSE)</f>
        <v>0</v>
      </c>
    </row>
    <row r="317" spans="1:112">
      <c r="A317" s="350" t="str">
        <f t="shared" si="4"/>
        <v>2550000</v>
      </c>
      <c r="B317" s="350" t="s">
        <v>1674</v>
      </c>
      <c r="C317" s="335" t="s">
        <v>816</v>
      </c>
      <c r="D317" s="340"/>
      <c r="E317" s="340">
        <v>0</v>
      </c>
      <c r="F317" s="340">
        <v>0</v>
      </c>
      <c r="G317" s="340">
        <v>0</v>
      </c>
      <c r="H317" s="340">
        <v>0</v>
      </c>
      <c r="I317" s="340">
        <v>0</v>
      </c>
      <c r="J317" s="340">
        <v>0</v>
      </c>
      <c r="K317" s="340">
        <v>0</v>
      </c>
      <c r="L317" s="340">
        <v>0</v>
      </c>
      <c r="M317" s="340">
        <v>0</v>
      </c>
      <c r="N317" s="340">
        <v>0</v>
      </c>
      <c r="O317" s="340">
        <v>0</v>
      </c>
      <c r="P317" s="341">
        <v>0</v>
      </c>
      <c r="Q317" s="163">
        <v>0</v>
      </c>
      <c r="R317" s="163">
        <v>0</v>
      </c>
      <c r="S317" s="163">
        <v>0</v>
      </c>
      <c r="T317" s="163">
        <v>0</v>
      </c>
      <c r="U317" s="163">
        <v>0</v>
      </c>
      <c r="V317" s="163">
        <v>0</v>
      </c>
      <c r="W317" s="163">
        <v>0</v>
      </c>
      <c r="X317" s="163">
        <v>0</v>
      </c>
      <c r="Y317" s="163">
        <v>0</v>
      </c>
      <c r="Z317" s="163">
        <v>0</v>
      </c>
      <c r="AA317" s="163">
        <v>0</v>
      </c>
      <c r="AB317" s="163">
        <v>0</v>
      </c>
      <c r="AC317" s="163">
        <v>0</v>
      </c>
      <c r="AD317" s="163">
        <v>0</v>
      </c>
      <c r="AE317" s="163">
        <v>0</v>
      </c>
      <c r="AF317" s="163">
        <v>0</v>
      </c>
      <c r="AG317" s="163">
        <v>0</v>
      </c>
      <c r="AH317" s="163">
        <v>0</v>
      </c>
      <c r="AI317" s="163">
        <v>0</v>
      </c>
      <c r="AJ317" s="163">
        <v>0</v>
      </c>
      <c r="AK317" s="163">
        <v>0</v>
      </c>
      <c r="AL317" s="163">
        <v>0</v>
      </c>
      <c r="AM317" s="163">
        <v>0</v>
      </c>
      <c r="AN317" s="163">
        <v>0</v>
      </c>
      <c r="AO317" s="163">
        <v>0</v>
      </c>
      <c r="AP317" s="163">
        <v>0</v>
      </c>
      <c r="AQ317" s="163">
        <v>0</v>
      </c>
      <c r="AR317" s="163">
        <v>0</v>
      </c>
      <c r="AS317" s="163">
        <v>0</v>
      </c>
      <c r="AT317" s="163">
        <v>0</v>
      </c>
      <c r="AU317" s="163">
        <v>0</v>
      </c>
      <c r="AV317" s="163">
        <v>0</v>
      </c>
      <c r="AW317" s="163">
        <v>0</v>
      </c>
      <c r="AX317" s="163">
        <v>0</v>
      </c>
      <c r="AY317" s="163">
        <v>0</v>
      </c>
      <c r="AZ317" s="163">
        <v>0</v>
      </c>
      <c r="BA317" s="163">
        <v>0</v>
      </c>
      <c r="BB317" s="163">
        <v>0</v>
      </c>
      <c r="BC317" s="163">
        <v>0</v>
      </c>
      <c r="BD317" s="163">
        <v>0</v>
      </c>
      <c r="BE317" s="163">
        <v>0</v>
      </c>
      <c r="BF317" s="163">
        <v>0</v>
      </c>
      <c r="BG317" s="163">
        <v>0</v>
      </c>
      <c r="BH317" s="163">
        <v>0</v>
      </c>
      <c r="BI317" s="163">
        <v>0</v>
      </c>
      <c r="BJ317" s="163">
        <v>0</v>
      </c>
      <c r="BK317" s="163">
        <v>0</v>
      </c>
      <c r="BL317" s="163">
        <v>0</v>
      </c>
      <c r="BM317" s="163">
        <v>0</v>
      </c>
      <c r="BN317" s="163">
        <v>0</v>
      </c>
      <c r="BO317" s="163">
        <v>0</v>
      </c>
      <c r="BP317" s="163">
        <v>0</v>
      </c>
      <c r="BQ317" s="163">
        <v>0</v>
      </c>
      <c r="BR317" s="163">
        <v>0</v>
      </c>
      <c r="BS317" s="163">
        <v>0</v>
      </c>
      <c r="BT317" s="163">
        <v>0</v>
      </c>
      <c r="BU317" s="163">
        <v>0</v>
      </c>
      <c r="BV317" s="163">
        <v>0</v>
      </c>
      <c r="BW317" s="163">
        <v>0</v>
      </c>
      <c r="BX317" s="163">
        <v>0</v>
      </c>
      <c r="BY317" s="163">
        <v>0</v>
      </c>
      <c r="BZ317" s="163">
        <v>0</v>
      </c>
      <c r="CA317" s="163">
        <v>0</v>
      </c>
      <c r="CB317" s="163">
        <v>0</v>
      </c>
      <c r="CC317" s="163">
        <v>0</v>
      </c>
      <c r="CD317" s="163">
        <v>0</v>
      </c>
      <c r="CE317" s="163">
        <v>0</v>
      </c>
      <c r="CF317" s="163">
        <v>0</v>
      </c>
      <c r="CG317" s="163">
        <v>0</v>
      </c>
      <c r="CH317" s="163">
        <v>0</v>
      </c>
      <c r="CI317" s="163">
        <v>0</v>
      </c>
      <c r="CJ317" s="163">
        <v>0</v>
      </c>
      <c r="CK317" s="163">
        <v>0</v>
      </c>
      <c r="CL317" s="163">
        <v>0</v>
      </c>
      <c r="CM317" s="163">
        <v>0</v>
      </c>
      <c r="CN317" s="163">
        <v>0</v>
      </c>
      <c r="CO317" s="163">
        <v>0</v>
      </c>
      <c r="CP317" s="163">
        <v>0</v>
      </c>
      <c r="CQ317" s="163">
        <v>0</v>
      </c>
      <c r="CR317" s="163">
        <v>0</v>
      </c>
      <c r="CS317" s="163">
        <v>0</v>
      </c>
      <c r="CT317" s="163">
        <v>0</v>
      </c>
      <c r="CU317" s="163">
        <v>0</v>
      </c>
      <c r="CV317" s="163">
        <v>0</v>
      </c>
      <c r="CW317" s="163">
        <v>0</v>
      </c>
      <c r="CX317" s="163">
        <v>0</v>
      </c>
      <c r="CY317" s="163">
        <v>0</v>
      </c>
      <c r="CZ317" s="163">
        <v>0</v>
      </c>
      <c r="DA317" s="163">
        <v>0</v>
      </c>
      <c r="DB317" s="163">
        <v>0</v>
      </c>
      <c r="DC317" s="163">
        <v>0</v>
      </c>
      <c r="DD317" s="163">
        <v>0</v>
      </c>
      <c r="DE317" s="163">
        <v>0</v>
      </c>
      <c r="DF317" s="163">
        <f>VLOOKUP($C317,'[3]BS ACC'!$C$5:$DH$1006,108,FALSE)</f>
        <v>0</v>
      </c>
      <c r="DG317" s="163">
        <f>VLOOKUP($C317,'[3]BS ACC'!$C$5:$DH$1006,109,FALSE)</f>
        <v>0</v>
      </c>
      <c r="DH317" s="163">
        <f>VLOOKUP($C317,'[3]BS ACC'!$C$5:$DH$1006,110,FALSE)</f>
        <v>0</v>
      </c>
    </row>
    <row r="318" spans="1:112">
      <c r="A318" s="350" t="str">
        <f t="shared" si="4"/>
        <v>2820300</v>
      </c>
      <c r="B318" s="350" t="s">
        <v>1675</v>
      </c>
      <c r="C318" s="335" t="s">
        <v>817</v>
      </c>
      <c r="D318" s="340">
        <v>-122615853.91</v>
      </c>
      <c r="E318" s="340">
        <v>-123076186.52</v>
      </c>
      <c r="F318" s="340">
        <v>-123327926.92</v>
      </c>
      <c r="G318" s="340">
        <v>-123565413.86</v>
      </c>
      <c r="H318" s="340">
        <v>-123799389.37</v>
      </c>
      <c r="I318" s="340">
        <v>-124039382.19</v>
      </c>
      <c r="J318" s="340">
        <v>-124210045.81</v>
      </c>
      <c r="K318" s="340">
        <v>-124421950.09</v>
      </c>
      <c r="L318" s="340">
        <v>-124666991.66</v>
      </c>
      <c r="M318" s="340">
        <v>-126254397.84</v>
      </c>
      <c r="N318" s="340">
        <v>-126024681.02</v>
      </c>
      <c r="O318" s="340">
        <v>-125344402.18000001</v>
      </c>
      <c r="P318" s="341">
        <v>-133327472.54000001</v>
      </c>
      <c r="Q318" s="163">
        <v>-133675559.31</v>
      </c>
      <c r="R318" s="163">
        <v>-134052424.42</v>
      </c>
      <c r="S318" s="163">
        <v>-134448704.25999999</v>
      </c>
      <c r="T318" s="163">
        <v>-134826672.28999999</v>
      </c>
      <c r="U318" s="163">
        <v>-135100341.31999999</v>
      </c>
      <c r="V318" s="163">
        <v>-135486377.36000001</v>
      </c>
      <c r="W318" s="163">
        <v>-135370609.62</v>
      </c>
      <c r="X318" s="163">
        <v>-135680190.96000001</v>
      </c>
      <c r="Y318" s="163">
        <v>-137237134.41</v>
      </c>
      <c r="Z318" s="163">
        <v>-137816724.06</v>
      </c>
      <c r="AA318" s="163">
        <v>-138275761.22999999</v>
      </c>
      <c r="AB318" s="163">
        <v>-147756175.68000001</v>
      </c>
      <c r="AC318" s="163">
        <v>-149187291</v>
      </c>
      <c r="AD318" s="163">
        <v>-150392501.62</v>
      </c>
      <c r="AE318" s="163">
        <v>-151606018.81</v>
      </c>
      <c r="AF318" s="163">
        <v>-152854706.46000001</v>
      </c>
      <c r="AG318" s="163">
        <v>-154128594.28999999</v>
      </c>
      <c r="AH318" s="163">
        <v>-154864776.68000001</v>
      </c>
      <c r="AI318" s="163">
        <v>-156022321.74000001</v>
      </c>
      <c r="AJ318" s="163">
        <v>-157598733.38999999</v>
      </c>
      <c r="AK318" s="163">
        <v>-157639277.90000001</v>
      </c>
      <c r="AL318" s="163">
        <v>-159096807.59999999</v>
      </c>
      <c r="AM318" s="163">
        <v>-160685015.93000001</v>
      </c>
      <c r="AN318" s="163">
        <v>-169921088.58000001</v>
      </c>
      <c r="AO318" s="163">
        <v>-171565743.47</v>
      </c>
      <c r="AP318" s="163">
        <v>-173167388.58000001</v>
      </c>
      <c r="AQ318" s="163">
        <v>-175913638.03999999</v>
      </c>
      <c r="AR318" s="163">
        <v>-177720347.08000001</v>
      </c>
      <c r="AS318" s="163">
        <v>-180342713.16999999</v>
      </c>
      <c r="AT318" s="163">
        <v>-182827155.59</v>
      </c>
      <c r="AU318" s="163">
        <v>-185170703.41</v>
      </c>
      <c r="AV318" s="163">
        <v>-187263114.53999999</v>
      </c>
      <c r="AW318" s="163">
        <v>-189281970.77000001</v>
      </c>
      <c r="AX318" s="163">
        <v>-191379135.31</v>
      </c>
      <c r="AY318" s="163">
        <v>-193643590.25</v>
      </c>
      <c r="AZ318" s="163">
        <v>-188795000.62</v>
      </c>
      <c r="BA318" s="163">
        <v>-189363634.58000001</v>
      </c>
      <c r="BB318" s="163">
        <v>-189971729.88</v>
      </c>
      <c r="BC318" s="163">
        <v>-190805639.31</v>
      </c>
      <c r="BD318" s="163">
        <v>-191365827.52000001</v>
      </c>
      <c r="BE318" s="163">
        <v>-192348755.31999999</v>
      </c>
      <c r="BF318" s="163">
        <v>-192979269.93000001</v>
      </c>
      <c r="BG318" s="163">
        <v>-193661245.62</v>
      </c>
      <c r="BH318" s="163">
        <v>-195222890.97999999</v>
      </c>
      <c r="BI318" s="163">
        <v>-196003401.43000001</v>
      </c>
      <c r="BJ318" s="163">
        <v>-196840666.52000001</v>
      </c>
      <c r="BK318" s="163">
        <v>-201608567.28999999</v>
      </c>
      <c r="BL318" s="163">
        <v>-200049128.27000001</v>
      </c>
      <c r="BM318" s="163">
        <v>-200665758.78</v>
      </c>
      <c r="BN318" s="163">
        <v>-201755829.72</v>
      </c>
      <c r="BO318" s="163">
        <v>-202560232.31999999</v>
      </c>
      <c r="BP318" s="163">
        <v>-203394896.88999999</v>
      </c>
      <c r="BQ318" s="163">
        <v>-204230000.27000001</v>
      </c>
      <c r="BR318" s="163">
        <v>-205101326.43000001</v>
      </c>
      <c r="BS318" s="163">
        <v>-205950878.00999999</v>
      </c>
      <c r="BT318" s="163">
        <v>-206814258.53999999</v>
      </c>
      <c r="BU318" s="163">
        <v>-207613971.40000001</v>
      </c>
      <c r="BV318" s="163">
        <v>-208303128.11000001</v>
      </c>
      <c r="BW318" s="163">
        <v>-209137200.27000001</v>
      </c>
      <c r="BX318" s="163">
        <v>-210576181.94999999</v>
      </c>
      <c r="BY318" s="163">
        <v>-210367766.71000001</v>
      </c>
      <c r="BZ318" s="163">
        <v>-212616296.28999999</v>
      </c>
      <c r="CA318" s="163">
        <v>-213769224.31999999</v>
      </c>
      <c r="CB318" s="163">
        <v>-214568854.36000001</v>
      </c>
      <c r="CC318" s="163">
        <v>-215642926.15000001</v>
      </c>
      <c r="CD318" s="163">
        <v>-216611495.66999999</v>
      </c>
      <c r="CE318" s="163">
        <v>-217659597.24000001</v>
      </c>
      <c r="CF318" s="163">
        <v>-218084746.78</v>
      </c>
      <c r="CG318" s="163">
        <v>-219157462.41999999</v>
      </c>
      <c r="CH318" s="163">
        <v>-221209750.56</v>
      </c>
      <c r="CI318" s="163">
        <v>-222049281.22999999</v>
      </c>
      <c r="CJ318" s="163">
        <v>-223534163.84999999</v>
      </c>
      <c r="CK318" s="163">
        <v>-224520933.09</v>
      </c>
      <c r="CL318" s="163">
        <v>-225664292.99000001</v>
      </c>
      <c r="CM318" s="163">
        <v>-226608890.53</v>
      </c>
      <c r="CN318" s="163">
        <v>-227992510.74000001</v>
      </c>
      <c r="CO318" s="163">
        <v>-229401809.71000001</v>
      </c>
      <c r="CP318" s="163">
        <v>-229390954.59</v>
      </c>
      <c r="CQ318" s="163">
        <v>-230599723.44999999</v>
      </c>
      <c r="CR318" s="163">
        <v>-231348744</v>
      </c>
      <c r="CS318" s="163">
        <v>-232161745.74000001</v>
      </c>
      <c r="CT318" s="163">
        <v>-233043165.18000001</v>
      </c>
      <c r="CU318" s="163">
        <v>-235254948.59999999</v>
      </c>
      <c r="CV318" s="163">
        <v>-233873540.72</v>
      </c>
      <c r="CW318" s="163">
        <v>-235397720.00999999</v>
      </c>
      <c r="CX318" s="163">
        <v>-237024656.97</v>
      </c>
      <c r="CY318" s="163">
        <v>-238021827</v>
      </c>
      <c r="CZ318" s="163">
        <v>-239624222.66</v>
      </c>
      <c r="DA318" s="163">
        <v>-241063714.13999999</v>
      </c>
      <c r="DB318" s="163">
        <v>-242511282.21000001</v>
      </c>
      <c r="DC318" s="163">
        <v>-243680677.34</v>
      </c>
      <c r="DD318" s="163">
        <v>-247340790.43000001</v>
      </c>
      <c r="DE318" s="163">
        <v>-248841725.38999999</v>
      </c>
      <c r="DF318" s="163">
        <f>VLOOKUP($C318,'[3]BS ACC'!$C$5:$DH$1006,108,FALSE)</f>
        <v>-250569746.59</v>
      </c>
      <c r="DG318" s="163">
        <f>VLOOKUP($C318,'[3]BS ACC'!$C$5:$DH$1006,109,FALSE)</f>
        <v>-252352121.37</v>
      </c>
      <c r="DH318" s="163">
        <f>VLOOKUP($C318,'[3]BS ACC'!$C$5:$DH$1006,110,FALSE)</f>
        <v>-253908091.19</v>
      </c>
    </row>
    <row r="319" spans="1:112">
      <c r="A319" s="350" t="str">
        <f t="shared" si="4"/>
        <v>2820400</v>
      </c>
      <c r="B319" s="350" t="s">
        <v>1676</v>
      </c>
      <c r="C319" s="335" t="s">
        <v>818</v>
      </c>
      <c r="D319" s="340">
        <v>-13402682.039999999</v>
      </c>
      <c r="E319" s="340">
        <v>-13575578.130000001</v>
      </c>
      <c r="F319" s="340">
        <v>-13713787.68</v>
      </c>
      <c r="G319" s="340">
        <v>-13849627.039999999</v>
      </c>
      <c r="H319" s="340">
        <v>-13984882.49</v>
      </c>
      <c r="I319" s="340">
        <v>-14121138.550000001</v>
      </c>
      <c r="J319" s="340">
        <v>-14245865.939999999</v>
      </c>
      <c r="K319" s="340">
        <v>-14377451.17</v>
      </c>
      <c r="L319" s="340">
        <v>-14514546.789999999</v>
      </c>
      <c r="M319" s="340">
        <v>-14632061.550000001</v>
      </c>
      <c r="N319" s="340">
        <v>-14831581.42</v>
      </c>
      <c r="O319" s="340">
        <v>-14956177.869999999</v>
      </c>
      <c r="P319" s="341">
        <v>-15386861.289999999</v>
      </c>
      <c r="Q319" s="163">
        <v>-15539731.439999999</v>
      </c>
      <c r="R319" s="163">
        <v>-15697387.1</v>
      </c>
      <c r="S319" s="163">
        <v>-15858271.210000001</v>
      </c>
      <c r="T319" s="163">
        <v>-16016110.27</v>
      </c>
      <c r="U319" s="163">
        <v>-16156605.59</v>
      </c>
      <c r="V319" s="163">
        <v>-16315786.279999999</v>
      </c>
      <c r="W319" s="163">
        <v>-16391522.65</v>
      </c>
      <c r="X319" s="163">
        <v>-16537989.77</v>
      </c>
      <c r="Y319" s="163">
        <v>-16704561.199999999</v>
      </c>
      <c r="Z319" s="163">
        <v>-16894278.73</v>
      </c>
      <c r="AA319" s="163">
        <v>-17063949.739999998</v>
      </c>
      <c r="AB319" s="163">
        <v>-17381543.600000001</v>
      </c>
      <c r="AC319" s="163">
        <v>-17598742.010000002</v>
      </c>
      <c r="AD319" s="163">
        <v>-17778375.010000002</v>
      </c>
      <c r="AE319" s="163">
        <v>-17959389.32</v>
      </c>
      <c r="AF319" s="163">
        <v>-18146252.059999999</v>
      </c>
      <c r="AG319" s="163">
        <v>-18337305.329999998</v>
      </c>
      <c r="AH319" s="163">
        <v>-18274447.27</v>
      </c>
      <c r="AI319" s="163">
        <v>-18446154.030000001</v>
      </c>
      <c r="AJ319" s="163">
        <v>-18707365</v>
      </c>
      <c r="AK319" s="163">
        <v>-18897051.82</v>
      </c>
      <c r="AL319" s="163">
        <v>-19138494.07</v>
      </c>
      <c r="AM319" s="163">
        <v>-19401666.670000002</v>
      </c>
      <c r="AN319" s="163">
        <v>-20737319.989999998</v>
      </c>
      <c r="AO319" s="163">
        <v>-21010411.5</v>
      </c>
      <c r="AP319" s="163">
        <v>-21276350.949999999</v>
      </c>
      <c r="AQ319" s="163">
        <v>-21584637.98</v>
      </c>
      <c r="AR319" s="163">
        <v>-21835348.210000001</v>
      </c>
      <c r="AS319" s="163">
        <v>-22292037.050000001</v>
      </c>
      <c r="AT319" s="163">
        <v>-22669515.48</v>
      </c>
      <c r="AU319" s="163">
        <v>-23023564.719999999</v>
      </c>
      <c r="AV319" s="163">
        <v>-23335852.789999999</v>
      </c>
      <c r="AW319" s="163">
        <v>-23635909.5</v>
      </c>
      <c r="AX319" s="163">
        <v>-23948987.98</v>
      </c>
      <c r="AY319" s="163">
        <v>-24289884.969999999</v>
      </c>
      <c r="AZ319" s="163">
        <v>-24319752.199999999</v>
      </c>
      <c r="BA319" s="163">
        <v>-24641444.02</v>
      </c>
      <c r="BB319" s="163">
        <v>-24973834.41</v>
      </c>
      <c r="BC319" s="163">
        <v>-25320046.27</v>
      </c>
      <c r="BD319" s="163">
        <v>-25622980.530000001</v>
      </c>
      <c r="BE319" s="163">
        <v>-25948088.809999999</v>
      </c>
      <c r="BF319" s="163">
        <v>-26251519.59</v>
      </c>
      <c r="BG319" s="163">
        <v>-26569212.73</v>
      </c>
      <c r="BH319" s="163">
        <v>-26724419.920000002</v>
      </c>
      <c r="BI319" s="163">
        <v>-27018636.129999999</v>
      </c>
      <c r="BJ319" s="163">
        <v>-27328581.84</v>
      </c>
      <c r="BK319" s="163">
        <v>-27745441.219999999</v>
      </c>
      <c r="BL319" s="163">
        <v>-28398693.719999999</v>
      </c>
      <c r="BM319" s="163">
        <v>-28728328.359999999</v>
      </c>
      <c r="BN319" s="163">
        <v>-29150518.579999998</v>
      </c>
      <c r="BO319" s="163">
        <v>-29512865.129999999</v>
      </c>
      <c r="BP319" s="163">
        <v>-29883598.739999998</v>
      </c>
      <c r="BQ319" s="163">
        <v>-30254453.960000001</v>
      </c>
      <c r="BR319" s="163">
        <v>-30635348.23</v>
      </c>
      <c r="BS319" s="163">
        <v>-31010207.739999998</v>
      </c>
      <c r="BT319" s="163">
        <v>-31379928.420000002</v>
      </c>
      <c r="BU319" s="163">
        <v>-31077454.34</v>
      </c>
      <c r="BV319" s="163">
        <v>-31341578.190000001</v>
      </c>
      <c r="BW319" s="163">
        <v>-31637900.949999999</v>
      </c>
      <c r="BX319" s="163">
        <v>-32014203.829999998</v>
      </c>
      <c r="BY319" s="163">
        <v>-32061646.57</v>
      </c>
      <c r="BZ319" s="163">
        <v>-32656328.550000001</v>
      </c>
      <c r="CA319" s="163">
        <v>-33006758.989999998</v>
      </c>
      <c r="CB319" s="163">
        <v>-33279031.73</v>
      </c>
      <c r="CC319" s="163">
        <v>-33612268.350000001</v>
      </c>
      <c r="CD319" s="163">
        <v>-33921729.619999997</v>
      </c>
      <c r="CE319" s="163">
        <v>-34249125.43</v>
      </c>
      <c r="CF319" s="163">
        <v>-34379553.640000001</v>
      </c>
      <c r="CG319" s="163">
        <v>-34778994.710000001</v>
      </c>
      <c r="CH319" s="163">
        <v>-35343431.18</v>
      </c>
      <c r="CI319" s="163">
        <v>-35620809.350000001</v>
      </c>
      <c r="CJ319" s="163">
        <v>-36178539.149999999</v>
      </c>
      <c r="CK319" s="163">
        <v>-36475516.869999997</v>
      </c>
      <c r="CL319" s="163">
        <v>-36815282.32</v>
      </c>
      <c r="CM319" s="163">
        <v>-37025139.780000001</v>
      </c>
      <c r="CN319" s="163">
        <v>-37398334.32</v>
      </c>
      <c r="CO319" s="163">
        <v>-37788931.399999999</v>
      </c>
      <c r="CP319" s="163">
        <v>-37781239.310000002</v>
      </c>
      <c r="CQ319" s="163">
        <v>-38127633.829999998</v>
      </c>
      <c r="CR319" s="163">
        <v>-38371655.57</v>
      </c>
      <c r="CS319" s="163">
        <v>-37959760.520000003</v>
      </c>
      <c r="CT319" s="163">
        <v>-38220423.310000002</v>
      </c>
      <c r="CU319" s="163">
        <v>-38641248.5</v>
      </c>
      <c r="CV319" s="163">
        <v>-38597245.740000002</v>
      </c>
      <c r="CW319" s="163">
        <v>-39071563.479999997</v>
      </c>
      <c r="CX319" s="163">
        <v>-39574755.359999999</v>
      </c>
      <c r="CY319" s="163">
        <v>-39906837.039999999</v>
      </c>
      <c r="CZ319" s="163">
        <v>-40403819.380000003</v>
      </c>
      <c r="DA319" s="163">
        <v>-40856445.719999999</v>
      </c>
      <c r="DB319" s="163">
        <v>-41150998.969999999</v>
      </c>
      <c r="DC319" s="163">
        <v>-41529383.490000002</v>
      </c>
      <c r="DD319" s="163">
        <v>-42567115.759999998</v>
      </c>
      <c r="DE319" s="163">
        <v>-43030884.149999999</v>
      </c>
      <c r="DF319" s="163">
        <f>VLOOKUP($C319,'[3]BS ACC'!$C$5:$DH$1006,108,FALSE)</f>
        <v>-43560396.280000001</v>
      </c>
      <c r="DG319" s="163">
        <f>VLOOKUP($C319,'[3]BS ACC'!$C$5:$DH$1006,109,FALSE)</f>
        <v>-44104281.509999998</v>
      </c>
      <c r="DH319" s="163">
        <f>VLOOKUP($C319,'[3]BS ACC'!$C$5:$DH$1006,110,FALSE)</f>
        <v>-44304961.149999999</v>
      </c>
    </row>
    <row r="320" spans="1:112">
      <c r="A320" s="350" t="str">
        <f t="shared" si="4"/>
        <v>2820610</v>
      </c>
      <c r="B320" s="350" t="s">
        <v>1844</v>
      </c>
      <c r="C320" s="335" t="s">
        <v>1848</v>
      </c>
      <c r="D320" s="340"/>
      <c r="E320" s="340"/>
      <c r="F320" s="340"/>
      <c r="G320" s="340"/>
      <c r="H320" s="340"/>
      <c r="I320" s="340"/>
      <c r="J320" s="340"/>
      <c r="K320" s="340"/>
      <c r="L320" s="340"/>
      <c r="M320" s="340"/>
      <c r="N320" s="340"/>
      <c r="O320" s="340"/>
      <c r="P320" s="341"/>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c r="AL320" s="163"/>
      <c r="AM320" s="163"/>
      <c r="AN320" s="163"/>
      <c r="AO320" s="163">
        <v>0</v>
      </c>
      <c r="AP320" s="163">
        <v>0</v>
      </c>
      <c r="AQ320" s="163">
        <v>0</v>
      </c>
      <c r="AR320" s="163">
        <v>0</v>
      </c>
      <c r="AS320" s="163">
        <v>0</v>
      </c>
      <c r="AT320" s="163">
        <v>0</v>
      </c>
      <c r="AU320" s="163">
        <v>0</v>
      </c>
      <c r="AV320" s="163">
        <v>0</v>
      </c>
      <c r="AW320" s="163">
        <v>0</v>
      </c>
      <c r="AX320" s="163">
        <v>0</v>
      </c>
      <c r="AY320" s="163">
        <v>0</v>
      </c>
      <c r="AZ320" s="163">
        <v>66603643.789999999</v>
      </c>
      <c r="BA320" s="163">
        <v>66438207.350000001</v>
      </c>
      <c r="BB320" s="163">
        <v>66273184.460000001</v>
      </c>
      <c r="BC320" s="163">
        <v>66314413.969999999</v>
      </c>
      <c r="BD320" s="163">
        <v>66218004.109999999</v>
      </c>
      <c r="BE320" s="163">
        <v>66464333.859999999</v>
      </c>
      <c r="BF320" s="163">
        <v>66436471.899999999</v>
      </c>
      <c r="BG320" s="163">
        <v>66408609.890000001</v>
      </c>
      <c r="BH320" s="163">
        <v>66390267.490000002</v>
      </c>
      <c r="BI320" s="163">
        <v>66363595.409999996</v>
      </c>
      <c r="BJ320" s="163">
        <v>66336923.359999999</v>
      </c>
      <c r="BK320" s="163">
        <v>67729780.390000001</v>
      </c>
      <c r="BL320" s="163">
        <v>67703108.329999998</v>
      </c>
      <c r="BM320" s="163">
        <v>67717479.090000004</v>
      </c>
      <c r="BN320" s="163">
        <v>67766999.730000004</v>
      </c>
      <c r="BO320" s="163">
        <v>67799612.310000002</v>
      </c>
      <c r="BP320" s="163">
        <v>67830891.189999998</v>
      </c>
      <c r="BQ320" s="163">
        <v>67862836.870000005</v>
      </c>
      <c r="BR320" s="163">
        <v>67894782.579999998</v>
      </c>
      <c r="BS320" s="163">
        <v>67926728.25</v>
      </c>
      <c r="BT320" s="163">
        <v>67957026.379999995</v>
      </c>
      <c r="BU320" s="163">
        <v>67030268.359999999</v>
      </c>
      <c r="BV320" s="163">
        <v>67048168.899999999</v>
      </c>
      <c r="BW320" s="163">
        <v>67063963.649999999</v>
      </c>
      <c r="BX320" s="163">
        <v>67414055.829999998</v>
      </c>
      <c r="BY320" s="163">
        <v>67402787.359999999</v>
      </c>
      <c r="BZ320" s="163">
        <v>67376760.959999993</v>
      </c>
      <c r="CA320" s="163">
        <v>67220743.090000004</v>
      </c>
      <c r="CB320" s="163">
        <v>67184385.180000007</v>
      </c>
      <c r="CC320" s="163">
        <v>67136565.090000004</v>
      </c>
      <c r="CD320" s="163">
        <v>67146695.810000002</v>
      </c>
      <c r="CE320" s="163">
        <v>67083821.729999997</v>
      </c>
      <c r="CF320" s="163">
        <v>66978922.25</v>
      </c>
      <c r="CG320" s="163">
        <v>66957690.899999999</v>
      </c>
      <c r="CH320" s="163">
        <v>68769455.629999995</v>
      </c>
      <c r="CI320" s="163">
        <v>68745377.370000005</v>
      </c>
      <c r="CJ320" s="163">
        <v>68688893.790000007</v>
      </c>
      <c r="CK320" s="163">
        <v>68629664.010000005</v>
      </c>
      <c r="CL320" s="163">
        <v>68518748.469999999</v>
      </c>
      <c r="CM320" s="163">
        <v>68304064.670000002</v>
      </c>
      <c r="CN320" s="163">
        <v>68294490.719999999</v>
      </c>
      <c r="CO320" s="163">
        <v>68257468.159999996</v>
      </c>
      <c r="CP320" s="163">
        <v>68069118.400000006</v>
      </c>
      <c r="CQ320" s="163">
        <v>68024936.659999996</v>
      </c>
      <c r="CR320" s="163">
        <v>67972978.989999995</v>
      </c>
      <c r="CS320" s="163">
        <v>67715514.319999993</v>
      </c>
      <c r="CT320" s="163">
        <v>67610790.930000007</v>
      </c>
      <c r="CU320" s="163">
        <v>67919529.030000001</v>
      </c>
      <c r="CV320" s="163">
        <v>64288813.350000001</v>
      </c>
      <c r="CW320" s="163">
        <v>64289912.810000002</v>
      </c>
      <c r="CX320" s="163">
        <v>64287004.009999998</v>
      </c>
      <c r="CY320" s="163">
        <v>64041400.700000003</v>
      </c>
      <c r="CZ320" s="163">
        <v>64024495.509999998</v>
      </c>
      <c r="DA320" s="163">
        <v>64001266.109999999</v>
      </c>
      <c r="DB320" s="163">
        <v>63832631.869999997</v>
      </c>
      <c r="DC320" s="163">
        <v>63790246.770000003</v>
      </c>
      <c r="DD320" s="163">
        <v>63850950.5</v>
      </c>
      <c r="DE320" s="163">
        <v>63812918.649999999</v>
      </c>
      <c r="DF320" s="163">
        <f>VLOOKUP($C320,'[3]BS ACC'!$C$5:$DH$1006,108,FALSE)</f>
        <v>63825000.039999999</v>
      </c>
      <c r="DG320" s="163">
        <f>VLOOKUP($C320,'[3]BS ACC'!$C$5:$DH$1006,109,FALSE)</f>
        <v>63817375.32</v>
      </c>
      <c r="DH320" s="163">
        <f>VLOOKUP($C320,'[3]BS ACC'!$C$5:$DH$1006,110,FALSE)</f>
        <v>63683070.530000001</v>
      </c>
    </row>
    <row r="321" spans="1:112">
      <c r="A321" s="350" t="str">
        <f t="shared" si="4"/>
        <v>2830300</v>
      </c>
      <c r="B321" s="350" t="s">
        <v>1677</v>
      </c>
      <c r="C321" s="335" t="s">
        <v>819</v>
      </c>
      <c r="D321" s="340">
        <v>-7598250</v>
      </c>
      <c r="E321" s="340">
        <v>-7368565.4000000004</v>
      </c>
      <c r="F321" s="340">
        <v>-6597921.8300000001</v>
      </c>
      <c r="G321" s="340">
        <v>-6608417.6900000004</v>
      </c>
      <c r="H321" s="340">
        <v>-6634895.46</v>
      </c>
      <c r="I321" s="340">
        <v>-6120355.3200000003</v>
      </c>
      <c r="J321" s="340">
        <v>-6107511.8200000003</v>
      </c>
      <c r="K321" s="340">
        <v>-6058184.1799999997</v>
      </c>
      <c r="L321" s="340">
        <v>-6008574.1699999999</v>
      </c>
      <c r="M321" s="340">
        <v>-7098441.0800000001</v>
      </c>
      <c r="N321" s="340">
        <v>-7160734.5499999998</v>
      </c>
      <c r="O321" s="340">
        <v>-8219791.2000000002</v>
      </c>
      <c r="P321" s="341">
        <v>-8387745.9299999997</v>
      </c>
      <c r="Q321" s="163">
        <v>-8125154.9000000004</v>
      </c>
      <c r="R321" s="163">
        <v>-8285972.5999999996</v>
      </c>
      <c r="S321" s="163">
        <v>-8066823.9800000004</v>
      </c>
      <c r="T321" s="163">
        <v>-8159385.6200000001</v>
      </c>
      <c r="U321" s="163">
        <v>-8108756.7400000002</v>
      </c>
      <c r="V321" s="163">
        <v>-7695572.29</v>
      </c>
      <c r="W321" s="163">
        <v>-7732556.4699999997</v>
      </c>
      <c r="X321" s="163">
        <v>-7961328.7000000002</v>
      </c>
      <c r="Y321" s="163">
        <v>-7693371.71</v>
      </c>
      <c r="Z321" s="163">
        <v>-8462527.9100000001</v>
      </c>
      <c r="AA321" s="163">
        <v>-9175806.3000000007</v>
      </c>
      <c r="AB321" s="163">
        <v>-10312232.27</v>
      </c>
      <c r="AC321" s="163">
        <v>-9950417.7400000002</v>
      </c>
      <c r="AD321" s="163">
        <v>-8646949.5999999996</v>
      </c>
      <c r="AE321" s="163">
        <v>-8617419.4600000009</v>
      </c>
      <c r="AF321" s="163">
        <v>-8580565.8000000007</v>
      </c>
      <c r="AG321" s="163">
        <v>-8586991.3100000005</v>
      </c>
      <c r="AH321" s="163">
        <v>-8292606.9100000001</v>
      </c>
      <c r="AI321" s="163">
        <v>-8267190.3700000001</v>
      </c>
      <c r="AJ321" s="163">
        <v>-8253263.8899999997</v>
      </c>
      <c r="AK321" s="163">
        <v>-8088926.4900000002</v>
      </c>
      <c r="AL321" s="163">
        <v>-8127587.4699999997</v>
      </c>
      <c r="AM321" s="163">
        <v>-8107987.4900000002</v>
      </c>
      <c r="AN321" s="163">
        <v>-8084675.5999999996</v>
      </c>
      <c r="AO321" s="163">
        <v>-8082692.6299999999</v>
      </c>
      <c r="AP321" s="163">
        <v>-8042208.0499999998</v>
      </c>
      <c r="AQ321" s="163">
        <v>-8079996.1200000001</v>
      </c>
      <c r="AR321" s="163">
        <v>-8079350.8899999997</v>
      </c>
      <c r="AS321" s="163">
        <v>-8084586.5700000003</v>
      </c>
      <c r="AT321" s="163">
        <v>-8061125.0099999998</v>
      </c>
      <c r="AU321" s="163">
        <v>-8059910.1600000001</v>
      </c>
      <c r="AV321" s="163">
        <v>-8083237.0099999998</v>
      </c>
      <c r="AW321" s="163">
        <v>-8049029.96</v>
      </c>
      <c r="AX321" s="163">
        <v>-8872246.0199999996</v>
      </c>
      <c r="AY321" s="163">
        <v>-9272056.0199999996</v>
      </c>
      <c r="AZ321" s="163">
        <v>-9866169.7699999996</v>
      </c>
      <c r="BA321" s="163">
        <v>-9318516.9299999997</v>
      </c>
      <c r="BB321" s="163">
        <v>-8967194.8000000007</v>
      </c>
      <c r="BC321" s="163">
        <v>-8729085.1500000004</v>
      </c>
      <c r="BD321" s="163">
        <v>-8475904.8100000005</v>
      </c>
      <c r="BE321" s="163">
        <v>-8376431.1299999999</v>
      </c>
      <c r="BF321" s="163">
        <v>-8209153.2699999996</v>
      </c>
      <c r="BG321" s="163">
        <v>-8045429.6500000004</v>
      </c>
      <c r="BH321" s="163">
        <v>-7999460.54</v>
      </c>
      <c r="BI321" s="163">
        <v>-9189275.7699999996</v>
      </c>
      <c r="BJ321" s="163">
        <v>-9258815.3599999994</v>
      </c>
      <c r="BK321" s="163">
        <v>-9092737.8399999999</v>
      </c>
      <c r="BL321" s="163">
        <v>-9598032.25</v>
      </c>
      <c r="BM321" s="163">
        <v>-9231843.3200000003</v>
      </c>
      <c r="BN321" s="163">
        <v>-9012518.6699999999</v>
      </c>
      <c r="BO321" s="163">
        <v>-9094590.6899999995</v>
      </c>
      <c r="BP321" s="163">
        <v>-9091064.4100000001</v>
      </c>
      <c r="BQ321" s="163">
        <v>-9097480.8900000006</v>
      </c>
      <c r="BR321" s="163">
        <v>-9113215.2400000002</v>
      </c>
      <c r="BS321" s="163">
        <v>-9122357.5800000001</v>
      </c>
      <c r="BT321" s="163">
        <v>-9151554.5</v>
      </c>
      <c r="BU321" s="163">
        <v>-9175849.1400000006</v>
      </c>
      <c r="BV321" s="163">
        <v>-9240099.9000000004</v>
      </c>
      <c r="BW321" s="163">
        <v>-9250870.4700000007</v>
      </c>
      <c r="BX321" s="163">
        <v>-9390729.25</v>
      </c>
      <c r="BY321" s="163">
        <v>-9424642.9600000009</v>
      </c>
      <c r="BZ321" s="163">
        <v>-9432042.6400000006</v>
      </c>
      <c r="CA321" s="163">
        <v>-9243575.3499999996</v>
      </c>
      <c r="CB321" s="163">
        <v>-9258149.4900000002</v>
      </c>
      <c r="CC321" s="163">
        <v>-9276982.4399999995</v>
      </c>
      <c r="CD321" s="163">
        <v>-9336603.25</v>
      </c>
      <c r="CE321" s="163">
        <v>-9340878.3699999992</v>
      </c>
      <c r="CF321" s="163">
        <v>-9675292.75</v>
      </c>
      <c r="CG321" s="163">
        <v>-9781277.0099999998</v>
      </c>
      <c r="CH321" s="163">
        <v>-9561163.1099999994</v>
      </c>
      <c r="CI321" s="163">
        <v>-9571528.4299999997</v>
      </c>
      <c r="CJ321" s="163">
        <v>-9816614.6999999993</v>
      </c>
      <c r="CK321" s="163">
        <v>-9857527.9199999999</v>
      </c>
      <c r="CL321" s="163">
        <v>-9896208.6899999995</v>
      </c>
      <c r="CM321" s="163">
        <v>-9888442.9800000004</v>
      </c>
      <c r="CN321" s="163">
        <v>-9914566.2100000009</v>
      </c>
      <c r="CO321" s="163">
        <v>-9954538.7100000009</v>
      </c>
      <c r="CP321" s="163">
        <v>-9987465.1899999995</v>
      </c>
      <c r="CQ321" s="163">
        <v>-10130848.93</v>
      </c>
      <c r="CR321" s="163">
        <v>-10145797.689999999</v>
      </c>
      <c r="CS321" s="163">
        <v>-9901202.7300000004</v>
      </c>
      <c r="CT321" s="163">
        <v>-10967088.34</v>
      </c>
      <c r="CU321" s="163">
        <v>-12545326.9</v>
      </c>
      <c r="CV321" s="163">
        <v>-12303000.25</v>
      </c>
      <c r="CW321" s="163">
        <v>-11370304.4</v>
      </c>
      <c r="CX321" s="163">
        <v>-10247559.82</v>
      </c>
      <c r="CY321" s="163">
        <v>-10176882.939999999</v>
      </c>
      <c r="CZ321" s="163">
        <v>-9601724.1899999995</v>
      </c>
      <c r="DA321" s="163">
        <v>-9520267.3900000006</v>
      </c>
      <c r="DB321" s="163">
        <v>-9881495.3900000006</v>
      </c>
      <c r="DC321" s="163">
        <v>-9842980.4600000009</v>
      </c>
      <c r="DD321" s="163">
        <v>-9814147.4299999997</v>
      </c>
      <c r="DE321" s="163">
        <v>-9934218.9199999999</v>
      </c>
      <c r="DF321" s="163">
        <f>VLOOKUP($C321,'[3]BS ACC'!$C$5:$DH$1006,108,FALSE)</f>
        <v>-9988541.3399999999</v>
      </c>
      <c r="DG321" s="163">
        <f>VLOOKUP($C321,'[3]BS ACC'!$C$5:$DH$1006,109,FALSE)</f>
        <v>-9958790.5199999996</v>
      </c>
      <c r="DH321" s="163">
        <f>VLOOKUP($C321,'[3]BS ACC'!$C$5:$DH$1006,110,FALSE)</f>
        <v>-10676633.550000001</v>
      </c>
    </row>
    <row r="322" spans="1:112">
      <c r="A322" s="350" t="str">
        <f t="shared" si="4"/>
        <v>2830330</v>
      </c>
      <c r="B322" s="350" t="s">
        <v>1678</v>
      </c>
      <c r="C322" s="335" t="s">
        <v>820</v>
      </c>
      <c r="D322" s="340">
        <v>-5715079.0599999996</v>
      </c>
      <c r="E322" s="340">
        <v>-5715079.0599999996</v>
      </c>
      <c r="F322" s="340">
        <v>-5715079.0599999996</v>
      </c>
      <c r="G322" s="340">
        <v>-5589363.6399999997</v>
      </c>
      <c r="H322" s="340">
        <v>-5589363.6399999997</v>
      </c>
      <c r="I322" s="340">
        <v>-5589363.6399999997</v>
      </c>
      <c r="J322" s="340">
        <v>-5459970.9199999999</v>
      </c>
      <c r="K322" s="340">
        <v>-5459970.9199999999</v>
      </c>
      <c r="L322" s="340">
        <v>-5459970.9199999999</v>
      </c>
      <c r="M322" s="340">
        <v>-5391773.9100000001</v>
      </c>
      <c r="N322" s="340">
        <v>-5391773.9100000001</v>
      </c>
      <c r="O322" s="340">
        <v>-5391773.9100000001</v>
      </c>
      <c r="P322" s="341">
        <v>-6394086.6500000004</v>
      </c>
      <c r="Q322" s="163">
        <v>-6394086.6500000004</v>
      </c>
      <c r="R322" s="163">
        <v>-6394086.6500000004</v>
      </c>
      <c r="S322" s="163">
        <v>-6514031.8099999996</v>
      </c>
      <c r="T322" s="163">
        <v>-6514031.8099999996</v>
      </c>
      <c r="U322" s="163">
        <v>-6514031.8099999996</v>
      </c>
      <c r="V322" s="163">
        <v>-6120175.3700000001</v>
      </c>
      <c r="W322" s="163">
        <v>-6120175.3700000001</v>
      </c>
      <c r="X322" s="163">
        <v>-6018792.9000000004</v>
      </c>
      <c r="Y322" s="163">
        <v>-5881836.9299999997</v>
      </c>
      <c r="Z322" s="163">
        <v>-5881836.9299999997</v>
      </c>
      <c r="AA322" s="163">
        <v>-5881836.9299999997</v>
      </c>
      <c r="AB322" s="163">
        <v>-8305232.25</v>
      </c>
      <c r="AC322" s="163">
        <v>-8305232.25</v>
      </c>
      <c r="AD322" s="163">
        <v>-8305232.25</v>
      </c>
      <c r="AE322" s="163">
        <v>-8188206.9500000002</v>
      </c>
      <c r="AF322" s="163">
        <v>-8188206.9500000002</v>
      </c>
      <c r="AG322" s="163">
        <v>-8191274.6600000001</v>
      </c>
      <c r="AH322" s="163">
        <v>-8035212.9100000001</v>
      </c>
      <c r="AI322" s="163">
        <v>-8035212.9100000001</v>
      </c>
      <c r="AJ322" s="163">
        <v>-8035212.9100000001</v>
      </c>
      <c r="AK322" s="163">
        <v>-10827023.060000001</v>
      </c>
      <c r="AL322" s="163">
        <v>-10827023.060000001</v>
      </c>
      <c r="AM322" s="163">
        <v>-10827023.060000001</v>
      </c>
      <c r="AN322" s="163">
        <v>-9370067.3300000001</v>
      </c>
      <c r="AO322" s="163">
        <v>-9370067.3300000001</v>
      </c>
      <c r="AP322" s="163">
        <v>-9370067.3300000001</v>
      </c>
      <c r="AQ322" s="163">
        <v>-9229979.1500000004</v>
      </c>
      <c r="AR322" s="163">
        <v>-9229979.1500000004</v>
      </c>
      <c r="AS322" s="163">
        <v>-9229979.1500000004</v>
      </c>
      <c r="AT322" s="163">
        <v>-9483106.1099999994</v>
      </c>
      <c r="AU322" s="163">
        <v>-9483106.1099999994</v>
      </c>
      <c r="AV322" s="163">
        <v>-9483106.1099999994</v>
      </c>
      <c r="AW322" s="163">
        <v>-9331117.5399999991</v>
      </c>
      <c r="AX322" s="163">
        <v>-9331117.5399999991</v>
      </c>
      <c r="AY322" s="163">
        <v>-9331117.5399999991</v>
      </c>
      <c r="AZ322" s="163">
        <v>-8964453.3800000008</v>
      </c>
      <c r="BA322" s="163">
        <v>-8964453.3800000008</v>
      </c>
      <c r="BB322" s="163">
        <v>-8964453.3800000008</v>
      </c>
      <c r="BC322" s="163">
        <v>-8868570.4700000007</v>
      </c>
      <c r="BD322" s="163">
        <v>-8868570.4700000007</v>
      </c>
      <c r="BE322" s="163">
        <v>-8868570.4700000007</v>
      </c>
      <c r="BF322" s="163">
        <v>-8761820.6600000001</v>
      </c>
      <c r="BG322" s="163">
        <v>-8761820.6600000001</v>
      </c>
      <c r="BH322" s="163">
        <v>-8761820.6600000001</v>
      </c>
      <c r="BI322" s="163">
        <v>-8665127.0800000001</v>
      </c>
      <c r="BJ322" s="163">
        <v>-8665127.0800000001</v>
      </c>
      <c r="BK322" s="163">
        <v>-8665127.0800000001</v>
      </c>
      <c r="BL322" s="163">
        <v>-9847866.0700000003</v>
      </c>
      <c r="BM322" s="163">
        <v>-9847866.0700000003</v>
      </c>
      <c r="BN322" s="163">
        <v>-9847866.0700000003</v>
      </c>
      <c r="BO322" s="163">
        <v>-9769162.5999999996</v>
      </c>
      <c r="BP322" s="163">
        <v>-9769162.5999999996</v>
      </c>
      <c r="BQ322" s="163">
        <v>-9769162.5999999996</v>
      </c>
      <c r="BR322" s="163">
        <v>-9682850.7300000004</v>
      </c>
      <c r="BS322" s="163">
        <v>-9682850.7300000004</v>
      </c>
      <c r="BT322" s="163">
        <v>-9682850.7300000004</v>
      </c>
      <c r="BU322" s="163">
        <v>-9600342.9700000007</v>
      </c>
      <c r="BV322" s="163">
        <v>-9600342.9700000007</v>
      </c>
      <c r="BW322" s="163">
        <v>-9600342.9700000007</v>
      </c>
      <c r="BX322" s="163">
        <v>-9643018.0399999991</v>
      </c>
      <c r="BY322" s="163">
        <v>-9643018.0399999991</v>
      </c>
      <c r="BZ322" s="163">
        <v>-9643018.0399999991</v>
      </c>
      <c r="CA322" s="163">
        <v>-9539837.5299999993</v>
      </c>
      <c r="CB322" s="163">
        <v>-9539837.5299999993</v>
      </c>
      <c r="CC322" s="163">
        <v>-9539837.5299999993</v>
      </c>
      <c r="CD322" s="163">
        <v>-9430925.1999999993</v>
      </c>
      <c r="CE322" s="163">
        <v>-9430925.1999999993</v>
      </c>
      <c r="CF322" s="163">
        <v>-9430925.1999999993</v>
      </c>
      <c r="CG322" s="163">
        <v>-9324878.6799999997</v>
      </c>
      <c r="CH322" s="163">
        <v>-9324878.6799999997</v>
      </c>
      <c r="CI322" s="163">
        <v>-9324878.6799999997</v>
      </c>
      <c r="CJ322" s="163">
        <v>-10561199.359999999</v>
      </c>
      <c r="CK322" s="163">
        <v>-10561199.359999999</v>
      </c>
      <c r="CL322" s="163">
        <v>-10561199.359999999</v>
      </c>
      <c r="CM322" s="163">
        <v>-10423095.82</v>
      </c>
      <c r="CN322" s="163">
        <v>-10423095.82</v>
      </c>
      <c r="CO322" s="163">
        <v>-10423095.82</v>
      </c>
      <c r="CP322" s="163">
        <v>-10284992.279999999</v>
      </c>
      <c r="CQ322" s="163">
        <v>-10284992.279999999</v>
      </c>
      <c r="CR322" s="163">
        <v>-10284992.279999999</v>
      </c>
      <c r="CS322" s="163">
        <v>-10070721.060000001</v>
      </c>
      <c r="CT322" s="163">
        <v>-10070721.060000001</v>
      </c>
      <c r="CU322" s="163">
        <v>-10070721.060000001</v>
      </c>
      <c r="CV322" s="163">
        <v>-8799943.1199999992</v>
      </c>
      <c r="CW322" s="163">
        <v>-8799943.1199999992</v>
      </c>
      <c r="CX322" s="163">
        <v>-8799943.1199999992</v>
      </c>
      <c r="CY322" s="163">
        <v>-8689937.5199999996</v>
      </c>
      <c r="CZ322" s="163">
        <v>-8689937.5199999996</v>
      </c>
      <c r="DA322" s="163">
        <v>-8689937.5199999996</v>
      </c>
      <c r="DB322" s="163">
        <v>-8351004.7800000003</v>
      </c>
      <c r="DC322" s="163">
        <v>-8351004.7800000003</v>
      </c>
      <c r="DD322" s="163">
        <v>-8351004.7800000003</v>
      </c>
      <c r="DE322" s="163">
        <v>-8239987.8700000001</v>
      </c>
      <c r="DF322" s="163">
        <f>VLOOKUP($C322,'[3]BS ACC'!$C$5:$DH$1006,108,FALSE)</f>
        <v>-8239987.8700000001</v>
      </c>
      <c r="DG322" s="163">
        <f>VLOOKUP($C322,'[3]BS ACC'!$C$5:$DH$1006,109,FALSE)</f>
        <v>-8239987.8700000001</v>
      </c>
      <c r="DH322" s="163">
        <f>VLOOKUP($C322,'[3]BS ACC'!$C$5:$DH$1006,110,FALSE)</f>
        <v>-9743462.5299999993</v>
      </c>
    </row>
    <row r="323" spans="1:112">
      <c r="A323" s="350" t="str">
        <f t="shared" si="4"/>
        <v>2830331</v>
      </c>
      <c r="B323" s="350" t="s">
        <v>1679</v>
      </c>
      <c r="C323" s="335" t="s">
        <v>821</v>
      </c>
      <c r="D323" s="340">
        <v>-31991</v>
      </c>
      <c r="E323" s="340">
        <v>-31991</v>
      </c>
      <c r="F323" s="340">
        <v>-31991</v>
      </c>
      <c r="G323" s="340">
        <v>-31991</v>
      </c>
      <c r="H323" s="340">
        <v>-31991</v>
      </c>
      <c r="I323" s="340">
        <v>-31991</v>
      </c>
      <c r="J323" s="340">
        <v>-31991</v>
      </c>
      <c r="K323" s="340">
        <v>-31991</v>
      </c>
      <c r="L323" s="340">
        <v>-31991</v>
      </c>
      <c r="M323" s="340">
        <v>-31991</v>
      </c>
      <c r="N323" s="340">
        <v>-31991</v>
      </c>
      <c r="O323" s="340">
        <v>-31991</v>
      </c>
      <c r="P323" s="341">
        <v>-31991</v>
      </c>
      <c r="Q323" s="163">
        <v>-31991</v>
      </c>
      <c r="R323" s="163">
        <v>-31991</v>
      </c>
      <c r="S323" s="163">
        <v>-31991</v>
      </c>
      <c r="T323" s="163">
        <v>-31991</v>
      </c>
      <c r="U323" s="163">
        <v>-31991</v>
      </c>
      <c r="V323" s="163">
        <v>-31991</v>
      </c>
      <c r="W323" s="163">
        <v>-31991</v>
      </c>
      <c r="X323" s="163">
        <v>-31991</v>
      </c>
      <c r="Y323" s="163">
        <v>-31991</v>
      </c>
      <c r="Z323" s="163">
        <v>-31991</v>
      </c>
      <c r="AA323" s="163">
        <v>-31991</v>
      </c>
      <c r="AB323" s="163">
        <v>-31991</v>
      </c>
      <c r="AC323" s="163">
        <v>-31991</v>
      </c>
      <c r="AD323" s="163">
        <v>-31991</v>
      </c>
      <c r="AE323" s="163">
        <v>-31991</v>
      </c>
      <c r="AF323" s="163">
        <v>-31991</v>
      </c>
      <c r="AG323" s="163">
        <v>-31991</v>
      </c>
      <c r="AH323" s="163">
        <v>-31991</v>
      </c>
      <c r="AI323" s="163">
        <v>-31991</v>
      </c>
      <c r="AJ323" s="163">
        <v>-31991</v>
      </c>
      <c r="AK323" s="163">
        <v>-31991</v>
      </c>
      <c r="AL323" s="163">
        <v>-31991</v>
      </c>
      <c r="AM323" s="163">
        <v>-31991</v>
      </c>
      <c r="AN323" s="163">
        <v>-31991</v>
      </c>
      <c r="AO323" s="163">
        <v>-31991</v>
      </c>
      <c r="AP323" s="163">
        <v>-31991</v>
      </c>
      <c r="AQ323" s="163">
        <v>-31991</v>
      </c>
      <c r="AR323" s="163">
        <v>-31991</v>
      </c>
      <c r="AS323" s="163">
        <v>-31991</v>
      </c>
      <c r="AT323" s="163">
        <v>-31991</v>
      </c>
      <c r="AU323" s="163">
        <v>-31991</v>
      </c>
      <c r="AV323" s="163">
        <v>-31991</v>
      </c>
      <c r="AW323" s="163">
        <v>-31991</v>
      </c>
      <c r="AX323" s="163">
        <v>-31991</v>
      </c>
      <c r="AY323" s="163">
        <v>-31991</v>
      </c>
      <c r="AZ323" s="163">
        <v>-31991</v>
      </c>
      <c r="BA323" s="163">
        <v>-31991</v>
      </c>
      <c r="BB323" s="163">
        <v>-31991</v>
      </c>
      <c r="BC323" s="163">
        <v>-31991</v>
      </c>
      <c r="BD323" s="163">
        <v>-31991</v>
      </c>
      <c r="BE323" s="163">
        <v>-31991</v>
      </c>
      <c r="BF323" s="163">
        <v>-31991</v>
      </c>
      <c r="BG323" s="163">
        <v>-31991</v>
      </c>
      <c r="BH323" s="163">
        <v>-31991</v>
      </c>
      <c r="BI323" s="163">
        <v>-31991</v>
      </c>
      <c r="BJ323" s="163">
        <v>-31991</v>
      </c>
      <c r="BK323" s="163">
        <v>-31991</v>
      </c>
      <c r="BL323" s="163">
        <v>-31991</v>
      </c>
      <c r="BM323" s="163">
        <v>-31991</v>
      </c>
      <c r="BN323" s="163">
        <v>-31991</v>
      </c>
      <c r="BO323" s="163">
        <v>-31991</v>
      </c>
      <c r="BP323" s="163">
        <v>-31991</v>
      </c>
      <c r="BQ323" s="163">
        <v>-31991</v>
      </c>
      <c r="BR323" s="163">
        <v>-31991</v>
      </c>
      <c r="BS323" s="163">
        <v>-31991</v>
      </c>
      <c r="BT323" s="163">
        <v>-31991</v>
      </c>
      <c r="BU323" s="163">
        <v>-31991</v>
      </c>
      <c r="BV323" s="163">
        <v>-31991</v>
      </c>
      <c r="BW323" s="163">
        <v>-31991</v>
      </c>
      <c r="BX323" s="163">
        <v>-31991</v>
      </c>
      <c r="BY323" s="163">
        <v>-31991</v>
      </c>
      <c r="BZ323" s="163">
        <v>-31991</v>
      </c>
      <c r="CA323" s="163">
        <v>-31991</v>
      </c>
      <c r="CB323" s="163">
        <v>-31991</v>
      </c>
      <c r="CC323" s="163">
        <v>-31991</v>
      </c>
      <c r="CD323" s="163">
        <v>-31991</v>
      </c>
      <c r="CE323" s="163">
        <v>-31991</v>
      </c>
      <c r="CF323" s="163">
        <v>-31991</v>
      </c>
      <c r="CG323" s="163">
        <v>-31991</v>
      </c>
      <c r="CH323" s="163">
        <v>-31991</v>
      </c>
      <c r="CI323" s="163">
        <v>-31991</v>
      </c>
      <c r="CJ323" s="163">
        <v>-31991</v>
      </c>
      <c r="CK323" s="163">
        <v>-31991</v>
      </c>
      <c r="CL323" s="163">
        <v>-31991</v>
      </c>
      <c r="CM323" s="163">
        <v>-31991</v>
      </c>
      <c r="CN323" s="163">
        <v>-31991</v>
      </c>
      <c r="CO323" s="163">
        <v>-31991</v>
      </c>
      <c r="CP323" s="163">
        <v>-31991</v>
      </c>
      <c r="CQ323" s="163">
        <v>-31991</v>
      </c>
      <c r="CR323" s="163">
        <v>-31991</v>
      </c>
      <c r="CS323" s="163">
        <v>-31991</v>
      </c>
      <c r="CT323" s="163">
        <v>-31991</v>
      </c>
      <c r="CU323" s="163">
        <v>-31991</v>
      </c>
      <c r="CV323" s="163">
        <v>-31991</v>
      </c>
      <c r="CW323" s="163">
        <v>-31991</v>
      </c>
      <c r="CX323" s="163">
        <v>-31991</v>
      </c>
      <c r="CY323" s="163">
        <v>-31991</v>
      </c>
      <c r="CZ323" s="163">
        <v>-31991</v>
      </c>
      <c r="DA323" s="163">
        <v>-31991</v>
      </c>
      <c r="DB323" s="163">
        <v>-31991</v>
      </c>
      <c r="DC323" s="163">
        <v>-31991</v>
      </c>
      <c r="DD323" s="163">
        <v>-31991</v>
      </c>
      <c r="DE323" s="163">
        <v>-31991</v>
      </c>
      <c r="DF323" s="163">
        <f>VLOOKUP($C323,'[3]BS ACC'!$C$5:$DH$1006,108,FALSE)</f>
        <v>-31991</v>
      </c>
      <c r="DG323" s="163">
        <f>VLOOKUP($C323,'[3]BS ACC'!$C$5:$DH$1006,109,FALSE)</f>
        <v>-31991</v>
      </c>
      <c r="DH323" s="163">
        <f>VLOOKUP($C323,'[3]BS ACC'!$C$5:$DH$1006,110,FALSE)</f>
        <v>-31991</v>
      </c>
    </row>
    <row r="324" spans="1:112">
      <c r="A324" s="350" t="str">
        <f t="shared" si="4"/>
        <v>2830340</v>
      </c>
      <c r="B324" s="350" t="s">
        <v>1680</v>
      </c>
      <c r="C324" s="335" t="s">
        <v>822</v>
      </c>
      <c r="D324" s="340">
        <v>-387252.06</v>
      </c>
      <c r="E324" s="340">
        <v>-1184508.3999999999</v>
      </c>
      <c r="F324" s="340">
        <v>-827106.56</v>
      </c>
      <c r="G324" s="340">
        <v>-503909.24</v>
      </c>
      <c r="H324" s="340">
        <v>-1023135.04</v>
      </c>
      <c r="I324" s="340">
        <v>-419490.27</v>
      </c>
      <c r="J324" s="340">
        <v>-286229.44</v>
      </c>
      <c r="K324" s="340">
        <v>-1074482.76</v>
      </c>
      <c r="L324" s="340">
        <v>-506303.87</v>
      </c>
      <c r="M324" s="340">
        <v>-535103.92000000004</v>
      </c>
      <c r="N324" s="340">
        <v>-1210181.22</v>
      </c>
      <c r="O324" s="340">
        <v>-894056.98</v>
      </c>
      <c r="P324" s="341">
        <v>-2971950.86</v>
      </c>
      <c r="Q324" s="163">
        <v>-2998230.6</v>
      </c>
      <c r="R324" s="163">
        <v>-2456701.89</v>
      </c>
      <c r="S324" s="163">
        <v>-2397791.65</v>
      </c>
      <c r="T324" s="163">
        <v>-2081246.07</v>
      </c>
      <c r="U324" s="163">
        <v>-2024242</v>
      </c>
      <c r="V324" s="163">
        <v>-1718145.41</v>
      </c>
      <c r="W324" s="163">
        <v>-1726000.72</v>
      </c>
      <c r="X324" s="163">
        <v>-1835551.73</v>
      </c>
      <c r="Y324" s="163">
        <v>-2094429.76</v>
      </c>
      <c r="Z324" s="163">
        <v>-2660564.62</v>
      </c>
      <c r="AA324" s="163">
        <v>-2667675.7400000002</v>
      </c>
      <c r="AB324" s="163">
        <v>-2098924.66</v>
      </c>
      <c r="AC324" s="163">
        <v>-1615930.43</v>
      </c>
      <c r="AD324" s="163">
        <v>-1796318.17</v>
      </c>
      <c r="AE324" s="163">
        <v>-1142853.74</v>
      </c>
      <c r="AF324" s="163">
        <v>-670785.84</v>
      </c>
      <c r="AG324" s="163">
        <v>-584534.52</v>
      </c>
      <c r="AH324" s="163">
        <v>-232265.92</v>
      </c>
      <c r="AI324" s="163">
        <v>-227132.68</v>
      </c>
      <c r="AJ324" s="163">
        <v>-173660.33</v>
      </c>
      <c r="AK324" s="163">
        <v>-172836.76</v>
      </c>
      <c r="AL324" s="163">
        <v>-185855.08</v>
      </c>
      <c r="AM324" s="163">
        <v>-201403.64</v>
      </c>
      <c r="AN324" s="163">
        <v>-657941.17000000004</v>
      </c>
      <c r="AO324" s="163">
        <v>-195622.13</v>
      </c>
      <c r="AP324" s="163">
        <v>-139252.41</v>
      </c>
      <c r="AQ324" s="163">
        <v>-161113.32999999999</v>
      </c>
      <c r="AR324" s="163">
        <v>-178223.02</v>
      </c>
      <c r="AS324" s="163">
        <v>-57366.97</v>
      </c>
      <c r="AT324" s="163">
        <v>-36566.1</v>
      </c>
      <c r="AU324" s="163">
        <v>-49108.14</v>
      </c>
      <c r="AV324" s="163">
        <v>-35018.199999999997</v>
      </c>
      <c r="AW324" s="163">
        <v>-29428.52</v>
      </c>
      <c r="AX324" s="163">
        <v>-47305.56</v>
      </c>
      <c r="AY324" s="163">
        <v>-22419.93</v>
      </c>
      <c r="AZ324" s="163">
        <v>-299108.84000000003</v>
      </c>
      <c r="BA324" s="163">
        <v>-278987.99</v>
      </c>
      <c r="BB324" s="163">
        <v>-285626.15000000002</v>
      </c>
      <c r="BC324" s="163">
        <v>-269654.89</v>
      </c>
      <c r="BD324" s="163">
        <v>-268679.51</v>
      </c>
      <c r="BE324" s="163">
        <v>-267149.46000000002</v>
      </c>
      <c r="BF324" s="163">
        <v>-266274.3</v>
      </c>
      <c r="BG324" s="163">
        <v>-265502.32</v>
      </c>
      <c r="BH324" s="163">
        <v>-263871.07</v>
      </c>
      <c r="BI324" s="163">
        <v>-265168.93</v>
      </c>
      <c r="BJ324" s="163">
        <v>-266083.78000000003</v>
      </c>
      <c r="BK324" s="163">
        <v>-263176.49</v>
      </c>
      <c r="BL324" s="163">
        <v>-263176.49</v>
      </c>
      <c r="BM324" s="163">
        <v>-263176.49</v>
      </c>
      <c r="BN324" s="163">
        <v>-263176.49</v>
      </c>
      <c r="BO324" s="163">
        <v>-263176.49</v>
      </c>
      <c r="BP324" s="163">
        <v>-263176.49</v>
      </c>
      <c r="BQ324" s="163">
        <v>-263176.49</v>
      </c>
      <c r="BR324" s="163">
        <v>-263176.49</v>
      </c>
      <c r="BS324" s="163">
        <v>-263176.49</v>
      </c>
      <c r="BT324" s="163">
        <v>-263176.49</v>
      </c>
      <c r="BU324" s="163">
        <v>-263176.49</v>
      </c>
      <c r="BV324" s="163">
        <v>-263176.49</v>
      </c>
      <c r="BW324" s="163">
        <v>-263176.49</v>
      </c>
      <c r="BX324" s="163">
        <v>-263176.49</v>
      </c>
      <c r="BY324" s="163">
        <v>-263176.49</v>
      </c>
      <c r="BZ324" s="163">
        <v>-263176.49</v>
      </c>
      <c r="CA324" s="163">
        <v>-263176.49</v>
      </c>
      <c r="CB324" s="163">
        <v>-263176.49</v>
      </c>
      <c r="CC324" s="163">
        <v>-263176.49</v>
      </c>
      <c r="CD324" s="163">
        <v>-263176.49</v>
      </c>
      <c r="CE324" s="163">
        <v>-263176.49</v>
      </c>
      <c r="CF324" s="163">
        <v>-263176.49</v>
      </c>
      <c r="CG324" s="163">
        <v>-263176.49</v>
      </c>
      <c r="CH324" s="163">
        <v>-263176.49</v>
      </c>
      <c r="CI324" s="163">
        <v>-263176.49</v>
      </c>
      <c r="CJ324" s="163">
        <v>-263176.49</v>
      </c>
      <c r="CK324" s="163">
        <v>-263176.49</v>
      </c>
      <c r="CL324" s="163">
        <v>-263176.49</v>
      </c>
      <c r="CM324" s="163">
        <v>-263176.49</v>
      </c>
      <c r="CN324" s="163">
        <v>-263176.49</v>
      </c>
      <c r="CO324" s="163">
        <v>-263176.49</v>
      </c>
      <c r="CP324" s="163">
        <v>-263176.49</v>
      </c>
      <c r="CQ324" s="163">
        <v>-263176.49</v>
      </c>
      <c r="CR324" s="163">
        <v>-263176.49</v>
      </c>
      <c r="CS324" s="163">
        <v>-263176.49</v>
      </c>
      <c r="CT324" s="163">
        <v>-263176.49</v>
      </c>
      <c r="CU324" s="163">
        <v>-263176.49</v>
      </c>
      <c r="CV324" s="163">
        <v>-263176.49</v>
      </c>
      <c r="CW324" s="163">
        <v>-263176.49</v>
      </c>
      <c r="CX324" s="163">
        <v>-263176.49</v>
      </c>
      <c r="CY324" s="163">
        <v>-263176.49</v>
      </c>
      <c r="CZ324" s="163">
        <v>-263176.49</v>
      </c>
      <c r="DA324" s="163">
        <v>-263176.49</v>
      </c>
      <c r="DB324" s="163">
        <v>-263176.49</v>
      </c>
      <c r="DC324" s="163">
        <v>-263176.49</v>
      </c>
      <c r="DD324" s="163">
        <v>-263176.49</v>
      </c>
      <c r="DE324" s="163">
        <v>-263176.49</v>
      </c>
      <c r="DF324" s="163">
        <f>VLOOKUP($C324,'[3]BS ACC'!$C$5:$DH$1006,108,FALSE)</f>
        <v>-263176.49</v>
      </c>
      <c r="DG324" s="163">
        <f>VLOOKUP($C324,'[3]BS ACC'!$C$5:$DH$1006,109,FALSE)</f>
        <v>-263176.49</v>
      </c>
      <c r="DH324" s="163">
        <f>VLOOKUP($C324,'[3]BS ACC'!$C$5:$DH$1006,110,FALSE)</f>
        <v>-263176.49</v>
      </c>
    </row>
    <row r="325" spans="1:112">
      <c r="A325" s="350" t="str">
        <f t="shared" si="4"/>
        <v>2830400</v>
      </c>
      <c r="B325" s="350" t="s">
        <v>1681</v>
      </c>
      <c r="C325" s="335" t="s">
        <v>823</v>
      </c>
      <c r="D325" s="340">
        <v>-1263502.78</v>
      </c>
      <c r="E325" s="340">
        <v>-1225308.8400000001</v>
      </c>
      <c r="F325" s="340">
        <v>-1097159.49</v>
      </c>
      <c r="G325" s="340">
        <v>-1098904.83</v>
      </c>
      <c r="H325" s="340">
        <v>-1103307.79</v>
      </c>
      <c r="I325" s="340">
        <v>-1017745.56</v>
      </c>
      <c r="J325" s="340">
        <v>-1015609.83</v>
      </c>
      <c r="K325" s="340">
        <v>-1007407.2</v>
      </c>
      <c r="L325" s="340">
        <v>-999157.62</v>
      </c>
      <c r="M325" s="340">
        <v>-1180390.2</v>
      </c>
      <c r="N325" s="340">
        <v>-1190748.9099999999</v>
      </c>
      <c r="O325" s="340">
        <v>-1366858.1</v>
      </c>
      <c r="P325" s="341">
        <v>-1394787.08</v>
      </c>
      <c r="Q325" s="163">
        <v>-1351121.14</v>
      </c>
      <c r="R325" s="163">
        <v>-1377863.32</v>
      </c>
      <c r="S325" s="163">
        <v>-1341421.3700000001</v>
      </c>
      <c r="T325" s="163">
        <v>-1356813.32</v>
      </c>
      <c r="U325" s="163">
        <v>-1348394.31</v>
      </c>
      <c r="V325" s="163">
        <v>-1279686.3999999999</v>
      </c>
      <c r="W325" s="163">
        <v>-1285836.44</v>
      </c>
      <c r="X325" s="163">
        <v>-1278105.48</v>
      </c>
      <c r="Y325" s="163">
        <v>-1233547.24</v>
      </c>
      <c r="Z325" s="163">
        <v>-1361449.27</v>
      </c>
      <c r="AA325" s="163">
        <v>-1480059.42</v>
      </c>
      <c r="AB325" s="163">
        <v>-1669034.27</v>
      </c>
      <c r="AC325" s="163">
        <v>-1608868.58</v>
      </c>
      <c r="AD325" s="163">
        <v>-1392116.51</v>
      </c>
      <c r="AE325" s="163">
        <v>-1387205.98</v>
      </c>
      <c r="AF325" s="163">
        <v>-1381077.63</v>
      </c>
      <c r="AG325" s="163">
        <v>-1382146.12</v>
      </c>
      <c r="AH325" s="163">
        <v>-1378966.53</v>
      </c>
      <c r="AI325" s="163">
        <v>-1374740.04</v>
      </c>
      <c r="AJ325" s="163">
        <v>-1372424.22</v>
      </c>
      <c r="AK325" s="163">
        <v>-1345096.76</v>
      </c>
      <c r="AL325" s="163">
        <v>-1351525.65</v>
      </c>
      <c r="AM325" s="163">
        <v>-1348266.39</v>
      </c>
      <c r="AN325" s="163">
        <v>-1344389.89</v>
      </c>
      <c r="AO325" s="163">
        <v>-1344060.14</v>
      </c>
      <c r="AP325" s="163">
        <v>-1337328.01</v>
      </c>
      <c r="AQ325" s="163">
        <v>-1343611.74</v>
      </c>
      <c r="AR325" s="163">
        <v>-1343504.45</v>
      </c>
      <c r="AS325" s="163">
        <v>-1344375.08</v>
      </c>
      <c r="AT325" s="163">
        <v>-1340473.69</v>
      </c>
      <c r="AU325" s="163">
        <v>-1340271.67</v>
      </c>
      <c r="AV325" s="163">
        <v>-1344150.67</v>
      </c>
      <c r="AW325" s="163">
        <v>-1338462.42</v>
      </c>
      <c r="AX325" s="163">
        <v>-1475353.99</v>
      </c>
      <c r="AY325" s="163">
        <v>-1541837.87</v>
      </c>
      <c r="AZ325" s="163">
        <v>-1640632.28</v>
      </c>
      <c r="BA325" s="163">
        <v>-1488851.44</v>
      </c>
      <c r="BB325" s="163">
        <v>-1391483.26</v>
      </c>
      <c r="BC325" s="163">
        <v>-1325491.6599999999</v>
      </c>
      <c r="BD325" s="163">
        <v>-1255323.28</v>
      </c>
      <c r="BE325" s="163">
        <v>-1227754.3500000001</v>
      </c>
      <c r="BF325" s="163">
        <v>-1181393.6499999999</v>
      </c>
      <c r="BG325" s="163">
        <v>-1136017.98</v>
      </c>
      <c r="BH325" s="163">
        <v>-1123277.74</v>
      </c>
      <c r="BI325" s="163">
        <v>-1453032.53</v>
      </c>
      <c r="BJ325" s="163">
        <v>-1472305.28</v>
      </c>
      <c r="BK325" s="163">
        <v>-1443478.24</v>
      </c>
      <c r="BL325" s="163">
        <v>-1583519.52</v>
      </c>
      <c r="BM325" s="163">
        <v>-1482031.03</v>
      </c>
      <c r="BN325" s="163">
        <v>-1421245.66</v>
      </c>
      <c r="BO325" s="163">
        <v>-1443991.75</v>
      </c>
      <c r="BP325" s="163">
        <v>-1443014.46</v>
      </c>
      <c r="BQ325" s="163">
        <v>-1444792.76</v>
      </c>
      <c r="BR325" s="163">
        <v>-1449153.51</v>
      </c>
      <c r="BS325" s="163">
        <v>-1451687.29</v>
      </c>
      <c r="BT325" s="163">
        <v>-1459779.16</v>
      </c>
      <c r="BU325" s="163">
        <v>-1489714.24</v>
      </c>
      <c r="BV325" s="163">
        <v>-1503990.19</v>
      </c>
      <c r="BW325" s="163">
        <v>-1506383.31</v>
      </c>
      <c r="BX325" s="163">
        <v>-1544319.94</v>
      </c>
      <c r="BY325" s="163">
        <v>-1551855.26</v>
      </c>
      <c r="BZ325" s="163">
        <v>-1553499.4</v>
      </c>
      <c r="CA325" s="163">
        <v>-1539670.37</v>
      </c>
      <c r="CB325" s="163">
        <v>-1542908.62</v>
      </c>
      <c r="CC325" s="163">
        <v>-1547093.13</v>
      </c>
      <c r="CD325" s="163">
        <v>-1545374.55</v>
      </c>
      <c r="CE325" s="163">
        <v>-1546324.43</v>
      </c>
      <c r="CF325" s="163">
        <v>-1620628.31</v>
      </c>
      <c r="CG325" s="163">
        <v>-1629633.05</v>
      </c>
      <c r="CH325" s="163">
        <v>-1580725.73</v>
      </c>
      <c r="CI325" s="163">
        <v>-1583028.81</v>
      </c>
      <c r="CJ325" s="163">
        <v>-1638974.89</v>
      </c>
      <c r="CK325" s="163">
        <v>-1648065.44</v>
      </c>
      <c r="CL325" s="163">
        <v>-1656659.96</v>
      </c>
      <c r="CM325" s="163">
        <v>-1656919.9</v>
      </c>
      <c r="CN325" s="163">
        <v>-1661426.97</v>
      </c>
      <c r="CO325" s="163">
        <v>-1669118.69</v>
      </c>
      <c r="CP325" s="163">
        <v>-1688640.73</v>
      </c>
      <c r="CQ325" s="163">
        <v>-1724796.47</v>
      </c>
      <c r="CR325" s="163">
        <v>-1728426.52</v>
      </c>
      <c r="CS325" s="163">
        <v>-1662292.73</v>
      </c>
      <c r="CT325" s="163">
        <v>-1848291.89</v>
      </c>
      <c r="CU325" s="163">
        <v>-2123697.63</v>
      </c>
      <c r="CV325" s="163">
        <v>-2074684.03</v>
      </c>
      <c r="CW325" s="163">
        <v>-1816189.33</v>
      </c>
      <c r="CX325" s="163">
        <v>-1505023.03</v>
      </c>
      <c r="CY325" s="163">
        <v>-1548078.98</v>
      </c>
      <c r="CZ325" s="163">
        <v>-1388674.93</v>
      </c>
      <c r="DA325" s="163">
        <v>-1366099.35</v>
      </c>
      <c r="DB325" s="163">
        <v>-1432376.92</v>
      </c>
      <c r="DC325" s="163">
        <v>-1421702.6</v>
      </c>
      <c r="DD325" s="163">
        <v>-1413711.57</v>
      </c>
      <c r="DE325" s="163">
        <v>-1448496.92</v>
      </c>
      <c r="DF325" s="163">
        <f>VLOOKUP($C325,'[3]BS ACC'!$C$5:$DH$1006,108,FALSE)</f>
        <v>-1463552.26</v>
      </c>
      <c r="DG325" s="163">
        <f>VLOOKUP($C325,'[3]BS ACC'!$C$5:$DH$1006,109,FALSE)</f>
        <v>-1455306.88</v>
      </c>
      <c r="DH325" s="163">
        <f>VLOOKUP($C325,'[3]BS ACC'!$C$5:$DH$1006,110,FALSE)</f>
        <v>-1619568.8</v>
      </c>
    </row>
    <row r="326" spans="1:112">
      <c r="A326" s="350" t="str">
        <f t="shared" si="4"/>
        <v>2830430</v>
      </c>
      <c r="B326" s="350" t="s">
        <v>1682</v>
      </c>
      <c r="C326" s="335" t="s">
        <v>824</v>
      </c>
      <c r="D326" s="340">
        <v>-950350.38</v>
      </c>
      <c r="E326" s="340">
        <v>-950350.38</v>
      </c>
      <c r="F326" s="340">
        <v>-950350.38</v>
      </c>
      <c r="G326" s="340">
        <v>-929445.33</v>
      </c>
      <c r="H326" s="340">
        <v>-929445.33</v>
      </c>
      <c r="I326" s="340">
        <v>-929445.33</v>
      </c>
      <c r="J326" s="340">
        <v>-907928.77</v>
      </c>
      <c r="K326" s="340">
        <v>-907928.77</v>
      </c>
      <c r="L326" s="340">
        <v>-907928.77</v>
      </c>
      <c r="M326" s="340">
        <v>-896588.37</v>
      </c>
      <c r="N326" s="340">
        <v>-896588.37</v>
      </c>
      <c r="O326" s="340">
        <v>-896588.37</v>
      </c>
      <c r="P326" s="341">
        <v>-1063261.7</v>
      </c>
      <c r="Q326" s="163">
        <v>-1063261.7</v>
      </c>
      <c r="R326" s="163">
        <v>-1063261.7</v>
      </c>
      <c r="S326" s="163">
        <v>-1083207.22</v>
      </c>
      <c r="T326" s="163">
        <v>-1083207.22</v>
      </c>
      <c r="U326" s="163">
        <v>-1083207.22</v>
      </c>
      <c r="V326" s="163">
        <v>-1017713.34</v>
      </c>
      <c r="W326" s="163">
        <v>-1017713.34</v>
      </c>
      <c r="X326" s="163">
        <v>-1000854.58</v>
      </c>
      <c r="Y326" s="163">
        <v>-978080.34</v>
      </c>
      <c r="Z326" s="163">
        <v>-978080.34</v>
      </c>
      <c r="AA326" s="163">
        <v>-978080.34</v>
      </c>
      <c r="AB326" s="163">
        <v>-1381063.69</v>
      </c>
      <c r="AC326" s="163">
        <v>-1381063.69</v>
      </c>
      <c r="AD326" s="163">
        <v>-1381063.69</v>
      </c>
      <c r="AE326" s="163">
        <v>-1361603.7</v>
      </c>
      <c r="AF326" s="163">
        <v>-1361603.7</v>
      </c>
      <c r="AG326" s="163">
        <v>-1362113.83</v>
      </c>
      <c r="AH326" s="163">
        <v>-1336162.52</v>
      </c>
      <c r="AI326" s="163">
        <v>-1336162.52</v>
      </c>
      <c r="AJ326" s="163">
        <v>-1336162.52</v>
      </c>
      <c r="AK326" s="163">
        <v>-1800409.1</v>
      </c>
      <c r="AL326" s="163">
        <v>-1800409.1</v>
      </c>
      <c r="AM326" s="163">
        <v>-1800409.1</v>
      </c>
      <c r="AN326" s="163">
        <v>-1558133.78</v>
      </c>
      <c r="AO326" s="163">
        <v>-1558133.78</v>
      </c>
      <c r="AP326" s="163">
        <v>-1558133.78</v>
      </c>
      <c r="AQ326" s="163">
        <v>-1534838.69</v>
      </c>
      <c r="AR326" s="163">
        <v>-1534838.69</v>
      </c>
      <c r="AS326" s="163">
        <v>-1534838.69</v>
      </c>
      <c r="AT326" s="163">
        <v>-1576930.85</v>
      </c>
      <c r="AU326" s="163">
        <v>-1576930.85</v>
      </c>
      <c r="AV326" s="163">
        <v>-1576930.85</v>
      </c>
      <c r="AW326" s="163">
        <v>-1551656.86</v>
      </c>
      <c r="AX326" s="163">
        <v>-1551656.86</v>
      </c>
      <c r="AY326" s="163">
        <v>-1551656.86</v>
      </c>
      <c r="AZ326" s="163">
        <v>-1445718.72</v>
      </c>
      <c r="BA326" s="163">
        <v>-1445718.72</v>
      </c>
      <c r="BB326" s="163">
        <v>-1445718.72</v>
      </c>
      <c r="BC326" s="163">
        <v>-1419144.98</v>
      </c>
      <c r="BD326" s="163">
        <v>-1419144.98</v>
      </c>
      <c r="BE326" s="163">
        <v>-1419144.98</v>
      </c>
      <c r="BF326" s="163">
        <v>-1389559.47</v>
      </c>
      <c r="BG326" s="163">
        <v>-1389559.47</v>
      </c>
      <c r="BH326" s="163">
        <v>-1389559.47</v>
      </c>
      <c r="BI326" s="163">
        <v>-1362761.05</v>
      </c>
      <c r="BJ326" s="163">
        <v>-1362761.05</v>
      </c>
      <c r="BK326" s="163">
        <v>-1362761.05</v>
      </c>
      <c r="BL326" s="163">
        <v>-1690554.69</v>
      </c>
      <c r="BM326" s="163">
        <v>-1690554.69</v>
      </c>
      <c r="BN326" s="163">
        <v>-1690554.69</v>
      </c>
      <c r="BO326" s="163">
        <v>-1668742.19</v>
      </c>
      <c r="BP326" s="163">
        <v>-1668742.19</v>
      </c>
      <c r="BQ326" s="163">
        <v>-1668742.19</v>
      </c>
      <c r="BR326" s="163">
        <v>-1644821.03</v>
      </c>
      <c r="BS326" s="163">
        <v>-1644821.03</v>
      </c>
      <c r="BT326" s="163">
        <v>-1644821.03</v>
      </c>
      <c r="BU326" s="163">
        <v>-1621954.17</v>
      </c>
      <c r="BV326" s="163">
        <v>-1621954.17</v>
      </c>
      <c r="BW326" s="163">
        <v>-1621954.17</v>
      </c>
      <c r="BX326" s="163">
        <v>-1633781.48</v>
      </c>
      <c r="BY326" s="163">
        <v>-1633781.48</v>
      </c>
      <c r="BZ326" s="163">
        <v>-1633781.48</v>
      </c>
      <c r="CA326" s="163">
        <v>-1605185.21</v>
      </c>
      <c r="CB326" s="163">
        <v>-1605185.21</v>
      </c>
      <c r="CC326" s="163">
        <v>-1605185.21</v>
      </c>
      <c r="CD326" s="163">
        <v>-1575000.39</v>
      </c>
      <c r="CE326" s="163">
        <v>-1575000.39</v>
      </c>
      <c r="CF326" s="163">
        <v>-1575000.39</v>
      </c>
      <c r="CG326" s="163">
        <v>-1545609.82</v>
      </c>
      <c r="CH326" s="163">
        <v>-1545609.82</v>
      </c>
      <c r="CI326" s="163">
        <v>-1545609.82</v>
      </c>
      <c r="CJ326" s="163">
        <v>-1888253.51</v>
      </c>
      <c r="CK326" s="163">
        <v>-1888253.51</v>
      </c>
      <c r="CL326" s="163">
        <v>-1888253.51</v>
      </c>
      <c r="CM326" s="163">
        <v>-1849978.39</v>
      </c>
      <c r="CN326" s="163">
        <v>-1849978.39</v>
      </c>
      <c r="CO326" s="163">
        <v>-1849978.39</v>
      </c>
      <c r="CP326" s="163">
        <v>-1811703.3</v>
      </c>
      <c r="CQ326" s="163">
        <v>-1811703.3</v>
      </c>
      <c r="CR326" s="163">
        <v>-1811703.3</v>
      </c>
      <c r="CS326" s="163">
        <v>-1752318.47</v>
      </c>
      <c r="CT326" s="163">
        <v>-1752318.47</v>
      </c>
      <c r="CU326" s="163">
        <v>-1752318.47</v>
      </c>
      <c r="CV326" s="163">
        <v>-1400125.04</v>
      </c>
      <c r="CW326" s="163">
        <v>-1400125.04</v>
      </c>
      <c r="CX326" s="163">
        <v>-1400125.04</v>
      </c>
      <c r="CY326" s="163">
        <v>-1369637.21</v>
      </c>
      <c r="CZ326" s="163">
        <v>-1369637.21</v>
      </c>
      <c r="DA326" s="163">
        <v>-1369637.21</v>
      </c>
      <c r="DB326" s="163">
        <v>-1275702.7</v>
      </c>
      <c r="DC326" s="163">
        <v>-1275702.7</v>
      </c>
      <c r="DD326" s="163">
        <v>-1275702.7</v>
      </c>
      <c r="DE326" s="163">
        <v>-1244934.6200000001</v>
      </c>
      <c r="DF326" s="163">
        <f>VLOOKUP($C326,'[3]BS ACC'!$C$5:$DH$1006,108,FALSE)</f>
        <v>-1244934.6200000001</v>
      </c>
      <c r="DG326" s="163">
        <f>VLOOKUP($C326,'[3]BS ACC'!$C$5:$DH$1006,109,FALSE)</f>
        <v>-1244934.6200000001</v>
      </c>
      <c r="DH326" s="163">
        <f>VLOOKUP($C326,'[3]BS ACC'!$C$5:$DH$1006,110,FALSE)</f>
        <v>-1661619.46</v>
      </c>
    </row>
    <row r="327" spans="1:112">
      <c r="A327" s="350" t="str">
        <f t="shared" si="4"/>
        <v>2830431</v>
      </c>
      <c r="B327" s="350" t="s">
        <v>1683</v>
      </c>
      <c r="C327" s="335" t="s">
        <v>825</v>
      </c>
      <c r="D327" s="340">
        <v>-5320</v>
      </c>
      <c r="E327" s="340">
        <v>-5320</v>
      </c>
      <c r="F327" s="340">
        <v>-5320</v>
      </c>
      <c r="G327" s="340">
        <v>-5320</v>
      </c>
      <c r="H327" s="340">
        <v>-5320</v>
      </c>
      <c r="I327" s="340">
        <v>-5320</v>
      </c>
      <c r="J327" s="340">
        <v>-5320</v>
      </c>
      <c r="K327" s="340">
        <v>-5320</v>
      </c>
      <c r="L327" s="340">
        <v>-5320</v>
      </c>
      <c r="M327" s="340">
        <v>-5320</v>
      </c>
      <c r="N327" s="340">
        <v>-5320</v>
      </c>
      <c r="O327" s="340">
        <v>-5320</v>
      </c>
      <c r="P327" s="341">
        <v>-5320</v>
      </c>
      <c r="Q327" s="163">
        <v>-5320</v>
      </c>
      <c r="R327" s="163">
        <v>-5320</v>
      </c>
      <c r="S327" s="163">
        <v>-5320</v>
      </c>
      <c r="T327" s="163">
        <v>-5320</v>
      </c>
      <c r="U327" s="163">
        <v>-5320</v>
      </c>
      <c r="V327" s="163">
        <v>-5320</v>
      </c>
      <c r="W327" s="163">
        <v>-5320</v>
      </c>
      <c r="X327" s="163">
        <v>-5320</v>
      </c>
      <c r="Y327" s="163">
        <v>-5320</v>
      </c>
      <c r="Z327" s="163">
        <v>-5320</v>
      </c>
      <c r="AA327" s="163">
        <v>-5320</v>
      </c>
      <c r="AB327" s="163">
        <v>-5320</v>
      </c>
      <c r="AC327" s="163">
        <v>-5320</v>
      </c>
      <c r="AD327" s="163">
        <v>-5320</v>
      </c>
      <c r="AE327" s="163">
        <v>-5320</v>
      </c>
      <c r="AF327" s="163">
        <v>-5320</v>
      </c>
      <c r="AG327" s="163">
        <v>-5320</v>
      </c>
      <c r="AH327" s="163">
        <v>-5320</v>
      </c>
      <c r="AI327" s="163">
        <v>-5320</v>
      </c>
      <c r="AJ327" s="163">
        <v>-5320</v>
      </c>
      <c r="AK327" s="163">
        <v>-5320</v>
      </c>
      <c r="AL327" s="163">
        <v>-5320</v>
      </c>
      <c r="AM327" s="163">
        <v>-5320</v>
      </c>
      <c r="AN327" s="163">
        <v>-5320</v>
      </c>
      <c r="AO327" s="163">
        <v>-5320</v>
      </c>
      <c r="AP327" s="163">
        <v>-5320</v>
      </c>
      <c r="AQ327" s="163">
        <v>-5320</v>
      </c>
      <c r="AR327" s="163">
        <v>-5320</v>
      </c>
      <c r="AS327" s="163">
        <v>-5320</v>
      </c>
      <c r="AT327" s="163">
        <v>-5320</v>
      </c>
      <c r="AU327" s="163">
        <v>-5320</v>
      </c>
      <c r="AV327" s="163">
        <v>-5320</v>
      </c>
      <c r="AW327" s="163">
        <v>-5320</v>
      </c>
      <c r="AX327" s="163">
        <v>-5320</v>
      </c>
      <c r="AY327" s="163">
        <v>-5320</v>
      </c>
      <c r="AZ327" s="163">
        <v>-5320</v>
      </c>
      <c r="BA327" s="163">
        <v>-5320</v>
      </c>
      <c r="BB327" s="163">
        <v>-5320</v>
      </c>
      <c r="BC327" s="163">
        <v>-5320</v>
      </c>
      <c r="BD327" s="163">
        <v>-5320</v>
      </c>
      <c r="BE327" s="163">
        <v>-5320</v>
      </c>
      <c r="BF327" s="163">
        <v>-5320</v>
      </c>
      <c r="BG327" s="163">
        <v>-5320</v>
      </c>
      <c r="BH327" s="163">
        <v>-5320</v>
      </c>
      <c r="BI327" s="163">
        <v>-5320</v>
      </c>
      <c r="BJ327" s="163">
        <v>-5320</v>
      </c>
      <c r="BK327" s="163">
        <v>-5320</v>
      </c>
      <c r="BL327" s="163">
        <v>-5320</v>
      </c>
      <c r="BM327" s="163">
        <v>-5320</v>
      </c>
      <c r="BN327" s="163">
        <v>-5320</v>
      </c>
      <c r="BO327" s="163">
        <v>-5320</v>
      </c>
      <c r="BP327" s="163">
        <v>-5320</v>
      </c>
      <c r="BQ327" s="163">
        <v>-5320</v>
      </c>
      <c r="BR327" s="163">
        <v>-5320</v>
      </c>
      <c r="BS327" s="163">
        <v>-5320</v>
      </c>
      <c r="BT327" s="163">
        <v>-5320</v>
      </c>
      <c r="BU327" s="163">
        <v>-5320</v>
      </c>
      <c r="BV327" s="163">
        <v>-5320</v>
      </c>
      <c r="BW327" s="163">
        <v>-5320</v>
      </c>
      <c r="BX327" s="163">
        <v>-5320</v>
      </c>
      <c r="BY327" s="163">
        <v>-5320</v>
      </c>
      <c r="BZ327" s="163">
        <v>-5320</v>
      </c>
      <c r="CA327" s="163">
        <v>-5320</v>
      </c>
      <c r="CB327" s="163">
        <v>-5320</v>
      </c>
      <c r="CC327" s="163">
        <v>-5320</v>
      </c>
      <c r="CD327" s="163">
        <v>-5320</v>
      </c>
      <c r="CE327" s="163">
        <v>-5320</v>
      </c>
      <c r="CF327" s="163">
        <v>-5320</v>
      </c>
      <c r="CG327" s="163">
        <v>-5320</v>
      </c>
      <c r="CH327" s="163">
        <v>-5320</v>
      </c>
      <c r="CI327" s="163">
        <v>-5320</v>
      </c>
      <c r="CJ327" s="163">
        <v>-5320</v>
      </c>
      <c r="CK327" s="163">
        <v>-5320</v>
      </c>
      <c r="CL327" s="163">
        <v>-5320</v>
      </c>
      <c r="CM327" s="163">
        <v>-5320</v>
      </c>
      <c r="CN327" s="163">
        <v>-5320</v>
      </c>
      <c r="CO327" s="163">
        <v>-5320</v>
      </c>
      <c r="CP327" s="163">
        <v>-5320</v>
      </c>
      <c r="CQ327" s="163">
        <v>-5320</v>
      </c>
      <c r="CR327" s="163">
        <v>-5320</v>
      </c>
      <c r="CS327" s="163">
        <v>-5320</v>
      </c>
      <c r="CT327" s="163">
        <v>-5320</v>
      </c>
      <c r="CU327" s="163">
        <v>-5320</v>
      </c>
      <c r="CV327" s="163">
        <v>-5320</v>
      </c>
      <c r="CW327" s="163">
        <v>-5320</v>
      </c>
      <c r="CX327" s="163">
        <v>-5320</v>
      </c>
      <c r="CY327" s="163">
        <v>-5320</v>
      </c>
      <c r="CZ327" s="163">
        <v>-5320</v>
      </c>
      <c r="DA327" s="163">
        <v>-5320</v>
      </c>
      <c r="DB327" s="163">
        <v>-5320</v>
      </c>
      <c r="DC327" s="163">
        <v>-5320</v>
      </c>
      <c r="DD327" s="163">
        <v>-5320</v>
      </c>
      <c r="DE327" s="163">
        <v>-5320</v>
      </c>
      <c r="DF327" s="163">
        <f>VLOOKUP($C327,'[3]BS ACC'!$C$5:$DH$1006,108,FALSE)</f>
        <v>-5320</v>
      </c>
      <c r="DG327" s="163">
        <f>VLOOKUP($C327,'[3]BS ACC'!$C$5:$DH$1006,109,FALSE)</f>
        <v>-5320</v>
      </c>
      <c r="DH327" s="163">
        <f>VLOOKUP($C327,'[3]BS ACC'!$C$5:$DH$1006,110,FALSE)</f>
        <v>-5320</v>
      </c>
    </row>
    <row r="328" spans="1:112">
      <c r="A328" s="350" t="str">
        <f t="shared" si="4"/>
        <v>2830440</v>
      </c>
      <c r="B328" s="350" t="s">
        <v>1684</v>
      </c>
      <c r="C328" s="335" t="s">
        <v>826</v>
      </c>
      <c r="D328" s="340">
        <v>-64395.26</v>
      </c>
      <c r="E328" s="340">
        <v>-196970.01</v>
      </c>
      <c r="F328" s="340">
        <v>-137538.10999999999</v>
      </c>
      <c r="G328" s="340">
        <v>-83794.039999999994</v>
      </c>
      <c r="H328" s="340">
        <v>-170135.44</v>
      </c>
      <c r="I328" s="340">
        <v>-69756.11</v>
      </c>
      <c r="J328" s="340">
        <v>-47596.34</v>
      </c>
      <c r="K328" s="340">
        <v>-178673.99</v>
      </c>
      <c r="L328" s="340">
        <v>-84192.24</v>
      </c>
      <c r="M328" s="340">
        <v>-88981.36</v>
      </c>
      <c r="N328" s="340">
        <v>-201239.11</v>
      </c>
      <c r="O328" s="340">
        <v>-148671.21</v>
      </c>
      <c r="P328" s="341">
        <v>-494201.56</v>
      </c>
      <c r="Q328" s="163">
        <v>-498571.59</v>
      </c>
      <c r="R328" s="163">
        <v>-408521.46</v>
      </c>
      <c r="S328" s="163">
        <v>-398725.36</v>
      </c>
      <c r="T328" s="163">
        <v>-346087.39</v>
      </c>
      <c r="U328" s="163">
        <v>-336608.25</v>
      </c>
      <c r="V328" s="163">
        <v>-285707.84000000003</v>
      </c>
      <c r="W328" s="163">
        <v>-287014.09000000003</v>
      </c>
      <c r="X328" s="163">
        <v>-305231.19</v>
      </c>
      <c r="Y328" s="163">
        <v>-348279.69</v>
      </c>
      <c r="Z328" s="163">
        <v>-442421.54</v>
      </c>
      <c r="AA328" s="163">
        <v>-443604.04</v>
      </c>
      <c r="AB328" s="163">
        <v>-349027.14</v>
      </c>
      <c r="AC328" s="163">
        <v>-268710.64</v>
      </c>
      <c r="AD328" s="163">
        <v>-298707.09000000003</v>
      </c>
      <c r="AE328" s="163">
        <v>-190043.31</v>
      </c>
      <c r="AF328" s="163">
        <v>-111543.74</v>
      </c>
      <c r="AG328" s="163">
        <v>-97201.12</v>
      </c>
      <c r="AH328" s="163">
        <v>-38622.82</v>
      </c>
      <c r="AI328" s="163">
        <v>-37769.22</v>
      </c>
      <c r="AJ328" s="163">
        <v>-28877.37</v>
      </c>
      <c r="AK328" s="163">
        <v>-28740.42</v>
      </c>
      <c r="AL328" s="163">
        <v>-30905.22</v>
      </c>
      <c r="AM328" s="163">
        <v>-33490.769999999997</v>
      </c>
      <c r="AN328" s="163">
        <v>-109407.82</v>
      </c>
      <c r="AO328" s="163">
        <v>-32529.37</v>
      </c>
      <c r="AP328" s="163">
        <v>-23155.72</v>
      </c>
      <c r="AQ328" s="163">
        <v>-26790.94</v>
      </c>
      <c r="AR328" s="163">
        <v>-29636.09</v>
      </c>
      <c r="AS328" s="163">
        <v>-9539.09</v>
      </c>
      <c r="AT328" s="163">
        <v>-6080.14</v>
      </c>
      <c r="AU328" s="163">
        <v>-8165.74</v>
      </c>
      <c r="AV328" s="163">
        <v>-5822.74</v>
      </c>
      <c r="AW328" s="163">
        <v>-4893.24</v>
      </c>
      <c r="AX328" s="163">
        <v>-7865.99</v>
      </c>
      <c r="AY328" s="163">
        <v>-3727.79</v>
      </c>
      <c r="AZ328" s="163">
        <v>-9958.19</v>
      </c>
      <c r="BA328" s="163">
        <v>-4381.74</v>
      </c>
      <c r="BB328" s="163">
        <v>-6221.49</v>
      </c>
      <c r="BC328" s="163">
        <v>-1795.09</v>
      </c>
      <c r="BD328" s="163">
        <v>-1524.76</v>
      </c>
      <c r="BE328" s="163">
        <v>-1100.71</v>
      </c>
      <c r="BF328" s="163">
        <v>-858.16</v>
      </c>
      <c r="BG328" s="163">
        <v>-644.21</v>
      </c>
      <c r="BH328" s="163">
        <v>-192.11</v>
      </c>
      <c r="BI328" s="163">
        <v>-551.80999999999995</v>
      </c>
      <c r="BJ328" s="163">
        <v>-805.36</v>
      </c>
      <c r="BK328" s="163">
        <v>0.39</v>
      </c>
      <c r="BL328" s="163">
        <v>0.39</v>
      </c>
      <c r="BM328" s="163">
        <v>0.39</v>
      </c>
      <c r="BN328" s="163">
        <v>0.39</v>
      </c>
      <c r="BO328" s="163">
        <v>0.39</v>
      </c>
      <c r="BP328" s="163">
        <v>0.39</v>
      </c>
      <c r="BQ328" s="163">
        <v>0.39</v>
      </c>
      <c r="BR328" s="163">
        <v>0.39</v>
      </c>
      <c r="BS328" s="163">
        <v>0.39</v>
      </c>
      <c r="BT328" s="163">
        <v>0.39</v>
      </c>
      <c r="BU328" s="163">
        <v>0.39</v>
      </c>
      <c r="BV328" s="163">
        <v>0.39</v>
      </c>
      <c r="BW328" s="163">
        <v>0.39</v>
      </c>
      <c r="BX328" s="163">
        <v>0.39</v>
      </c>
      <c r="BY328" s="163">
        <v>0.39</v>
      </c>
      <c r="BZ328" s="163">
        <v>0.39</v>
      </c>
      <c r="CA328" s="163">
        <v>0.39</v>
      </c>
      <c r="CB328" s="163">
        <v>0.39</v>
      </c>
      <c r="CC328" s="163">
        <v>0.39</v>
      </c>
      <c r="CD328" s="163">
        <v>0.39</v>
      </c>
      <c r="CE328" s="163">
        <v>0.39</v>
      </c>
      <c r="CF328" s="163">
        <v>0.39</v>
      </c>
      <c r="CG328" s="163">
        <v>0.39</v>
      </c>
      <c r="CH328" s="163">
        <v>0.39</v>
      </c>
      <c r="CI328" s="163">
        <v>0.39</v>
      </c>
      <c r="CJ328" s="163">
        <v>0.39</v>
      </c>
      <c r="CK328" s="163">
        <v>0.39</v>
      </c>
      <c r="CL328" s="163">
        <v>0.39</v>
      </c>
      <c r="CM328" s="163">
        <v>0.39</v>
      </c>
      <c r="CN328" s="163">
        <v>0.39</v>
      </c>
      <c r="CO328" s="163">
        <v>0.39</v>
      </c>
      <c r="CP328" s="163">
        <v>0.39</v>
      </c>
      <c r="CQ328" s="163">
        <v>0.39</v>
      </c>
      <c r="CR328" s="163">
        <v>0.39</v>
      </c>
      <c r="CS328" s="163">
        <v>0.39</v>
      </c>
      <c r="CT328" s="163">
        <v>0.39</v>
      </c>
      <c r="CU328" s="163">
        <v>0.39</v>
      </c>
      <c r="CV328" s="163">
        <v>0.39</v>
      </c>
      <c r="CW328" s="163">
        <v>0.39</v>
      </c>
      <c r="CX328" s="163">
        <v>0.39</v>
      </c>
      <c r="CY328" s="163">
        <v>0.39</v>
      </c>
      <c r="CZ328" s="163">
        <v>0.39</v>
      </c>
      <c r="DA328" s="163">
        <v>0.39</v>
      </c>
      <c r="DB328" s="163">
        <v>0.39</v>
      </c>
      <c r="DC328" s="163">
        <v>0.39</v>
      </c>
      <c r="DD328" s="163">
        <v>0.39</v>
      </c>
      <c r="DE328" s="163">
        <v>0.39</v>
      </c>
      <c r="DF328" s="163">
        <f>VLOOKUP($C328,'[3]BS ACC'!$C$5:$DH$1006,108,FALSE)</f>
        <v>0.39</v>
      </c>
      <c r="DG328" s="163">
        <f>VLOOKUP($C328,'[3]BS ACC'!$C$5:$DH$1006,109,FALSE)</f>
        <v>0.39</v>
      </c>
      <c r="DH328" s="163">
        <f>VLOOKUP($C328,'[3]BS ACC'!$C$5:$DH$1006,110,FALSE)</f>
        <v>0.39</v>
      </c>
    </row>
    <row r="329" spans="1:112">
      <c r="A329" s="350" t="str">
        <f t="shared" si="4"/>
        <v>2830610</v>
      </c>
      <c r="B329" s="350" t="s">
        <v>1843</v>
      </c>
      <c r="C329" s="335" t="s">
        <v>1849</v>
      </c>
      <c r="D329" s="340"/>
      <c r="E329" s="340"/>
      <c r="F329" s="340"/>
      <c r="G329" s="340"/>
      <c r="H329" s="340"/>
      <c r="I329" s="340"/>
      <c r="J329" s="340"/>
      <c r="K329" s="340"/>
      <c r="L329" s="340"/>
      <c r="M329" s="340"/>
      <c r="N329" s="340"/>
      <c r="O329" s="340"/>
      <c r="P329" s="341"/>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c r="AL329" s="163"/>
      <c r="AM329" s="163"/>
      <c r="AN329" s="163"/>
      <c r="AO329" s="163">
        <v>0</v>
      </c>
      <c r="AP329" s="163">
        <v>0</v>
      </c>
      <c r="AQ329" s="163">
        <v>0</v>
      </c>
      <c r="AR329" s="163">
        <v>0</v>
      </c>
      <c r="AS329" s="163">
        <v>0</v>
      </c>
      <c r="AT329" s="163">
        <v>0</v>
      </c>
      <c r="AU329" s="163">
        <v>0</v>
      </c>
      <c r="AV329" s="163">
        <v>0</v>
      </c>
      <c r="AW329" s="163">
        <v>0</v>
      </c>
      <c r="AX329" s="163">
        <v>0</v>
      </c>
      <c r="AY329" s="163">
        <v>0</v>
      </c>
      <c r="AZ329" s="163">
        <v>22611604.050000001</v>
      </c>
      <c r="BA329" s="163">
        <v>22555411.48</v>
      </c>
      <c r="BB329" s="163">
        <v>22499510.5</v>
      </c>
      <c r="BC329" s="163">
        <v>22513410.670000002</v>
      </c>
      <c r="BD329" s="163">
        <v>22480684.460000001</v>
      </c>
      <c r="BE329" s="163">
        <v>22564313.890000001</v>
      </c>
      <c r="BF329" s="163">
        <v>22554854.940000001</v>
      </c>
      <c r="BG329" s="163">
        <v>22545395.899999999</v>
      </c>
      <c r="BH329" s="163">
        <v>22539168.77</v>
      </c>
      <c r="BI329" s="163">
        <v>22530113.699999999</v>
      </c>
      <c r="BJ329" s="163">
        <v>22521058.699999999</v>
      </c>
      <c r="BK329" s="163">
        <v>22993926.73</v>
      </c>
      <c r="BL329" s="163">
        <v>22984871.68</v>
      </c>
      <c r="BM329" s="163">
        <v>22989750.489999998</v>
      </c>
      <c r="BN329" s="163">
        <v>23006562.530000001</v>
      </c>
      <c r="BO329" s="163">
        <v>23017407.940000001</v>
      </c>
      <c r="BP329" s="163">
        <v>23028253.329999998</v>
      </c>
      <c r="BQ329" s="163">
        <v>23039098.77</v>
      </c>
      <c r="BR329" s="163">
        <v>23049944.170000002</v>
      </c>
      <c r="BS329" s="163">
        <v>23060789.52</v>
      </c>
      <c r="BT329" s="163">
        <v>23071075.559999999</v>
      </c>
      <c r="BU329" s="163">
        <v>22770178.739999998</v>
      </c>
      <c r="BV329" s="163">
        <v>22776255.84</v>
      </c>
      <c r="BW329" s="163">
        <v>22781617.969999999</v>
      </c>
      <c r="BX329" s="163">
        <v>22900328.359999999</v>
      </c>
      <c r="BY329" s="163">
        <v>22896434.140000001</v>
      </c>
      <c r="BZ329" s="163">
        <v>22887665.559999999</v>
      </c>
      <c r="CA329" s="163">
        <v>22835005.579999998</v>
      </c>
      <c r="CB329" s="163">
        <v>22822459.399999999</v>
      </c>
      <c r="CC329" s="163">
        <v>22806044.07</v>
      </c>
      <c r="CD329" s="163">
        <v>22809821.710000001</v>
      </c>
      <c r="CE329" s="163">
        <v>22788403.359999999</v>
      </c>
      <c r="CF329" s="163">
        <v>22752625.309999999</v>
      </c>
      <c r="CG329" s="163">
        <v>22745581</v>
      </c>
      <c r="CH329" s="163">
        <v>23333203.09</v>
      </c>
      <c r="CI329" s="163">
        <v>23324881.32</v>
      </c>
      <c r="CJ329" s="163">
        <v>23305660.690000001</v>
      </c>
      <c r="CK329" s="163">
        <v>23285754.050000001</v>
      </c>
      <c r="CL329" s="163">
        <v>23248011.530000001</v>
      </c>
      <c r="CM329" s="163">
        <v>23176857.739999998</v>
      </c>
      <c r="CN329" s="163">
        <v>23173356.699999999</v>
      </c>
      <c r="CO329" s="163">
        <v>23160960.140000001</v>
      </c>
      <c r="CP329" s="163">
        <v>23099041.129999999</v>
      </c>
      <c r="CQ329" s="163">
        <v>23083761.77</v>
      </c>
      <c r="CR329" s="163">
        <v>23066179.890000001</v>
      </c>
      <c r="CS329" s="163">
        <v>22980610.82</v>
      </c>
      <c r="CT329" s="163">
        <v>22944886.280000001</v>
      </c>
      <c r="CU329" s="163">
        <v>23049971.539999999</v>
      </c>
      <c r="CV329" s="163">
        <v>21862346.489999998</v>
      </c>
      <c r="CW329" s="163">
        <v>21863042.329999998</v>
      </c>
      <c r="CX329" s="163">
        <v>21861893.52</v>
      </c>
      <c r="CY329" s="163">
        <v>21778246.25</v>
      </c>
      <c r="CZ329" s="163">
        <v>21772985.41</v>
      </c>
      <c r="DA329" s="163">
        <v>21764606.609999999</v>
      </c>
      <c r="DB329" s="163">
        <v>21711240.120000001</v>
      </c>
      <c r="DC329" s="163">
        <v>21696554.989999998</v>
      </c>
      <c r="DD329" s="163">
        <v>21717527.260000002</v>
      </c>
      <c r="DE329" s="163">
        <v>21705049.710000001</v>
      </c>
      <c r="DF329" s="163">
        <f>VLOOKUP($C329,'[3]BS ACC'!$C$5:$DH$1006,108,FALSE)</f>
        <v>21708438.199999999</v>
      </c>
      <c r="DG329" s="163">
        <f>VLOOKUP($C329,'[3]BS ACC'!$C$5:$DH$1006,109,FALSE)</f>
        <v>21705982.879999999</v>
      </c>
      <c r="DH329" s="163">
        <f>VLOOKUP($C329,'[3]BS ACC'!$C$5:$DH$1006,110,FALSE)</f>
        <v>21663660.789999999</v>
      </c>
    </row>
    <row r="330" spans="1:112">
      <c r="A330" s="335"/>
    </row>
    <row r="331" spans="1:112">
      <c r="AH331" s="369">
        <f t="shared" ref="AH331:AQ331" si="5">SUM(AH5:AH171)</f>
        <v>960112796.65000021</v>
      </c>
      <c r="AI331" s="369">
        <f t="shared" si="5"/>
        <v>966844695.15999985</v>
      </c>
      <c r="AJ331" s="369">
        <f t="shared" si="5"/>
        <v>967683433.84000015</v>
      </c>
      <c r="AK331" s="369">
        <f t="shared" si="5"/>
        <v>983992949.63999975</v>
      </c>
      <c r="AL331" s="369">
        <f t="shared" si="5"/>
        <v>993654532.77999949</v>
      </c>
      <c r="AM331" s="369">
        <f t="shared" si="5"/>
        <v>996694415.33999979</v>
      </c>
      <c r="AN331" s="369">
        <f t="shared" si="5"/>
        <v>1019762560.6499999</v>
      </c>
      <c r="AO331" s="369">
        <f t="shared" si="5"/>
        <v>1028205820.95</v>
      </c>
      <c r="AP331" s="369">
        <f t="shared" si="5"/>
        <v>1036605895.4099998</v>
      </c>
      <c r="AQ331" s="369">
        <f t="shared" si="5"/>
        <v>1037286041.9800001</v>
      </c>
      <c r="AR331" s="369">
        <v>1047973195.5999998</v>
      </c>
      <c r="AS331" s="369">
        <v>1053161039.7799999</v>
      </c>
      <c r="AT331" s="369">
        <v>1048613874.0800003</v>
      </c>
      <c r="AU331" s="369">
        <f t="shared" ref="AU331:CP331" si="6">SUM(AU5:AU171)</f>
        <v>1057460529.1500002</v>
      </c>
      <c r="AV331" s="369">
        <f t="shared" si="6"/>
        <v>1076761555.8799996</v>
      </c>
      <c r="AW331" s="369">
        <f t="shared" si="6"/>
        <v>1078630857.2999997</v>
      </c>
      <c r="AX331" s="369">
        <f t="shared" si="6"/>
        <v>1082847591.9999998</v>
      </c>
      <c r="AY331" s="369">
        <f t="shared" si="6"/>
        <v>1093441044.03</v>
      </c>
      <c r="AZ331" s="369">
        <f t="shared" si="6"/>
        <v>1110304091.0699997</v>
      </c>
      <c r="BA331" s="369">
        <f t="shared" si="6"/>
        <v>1125453008.2700005</v>
      </c>
      <c r="BB331" s="369">
        <f t="shared" si="6"/>
        <v>1118450851.4000003</v>
      </c>
      <c r="BC331" s="369">
        <f t="shared" si="6"/>
        <v>1116155056.3900001</v>
      </c>
      <c r="BD331" s="369">
        <f t="shared" si="6"/>
        <v>1119947657.9199998</v>
      </c>
      <c r="BE331" s="369">
        <f t="shared" si="6"/>
        <v>1127682195.3500004</v>
      </c>
      <c r="BF331" s="369">
        <f t="shared" si="6"/>
        <v>1134835694.5200002</v>
      </c>
      <c r="BG331" s="369">
        <f t="shared" si="6"/>
        <v>1142151907.7099998</v>
      </c>
      <c r="BH331" s="369">
        <f t="shared" si="6"/>
        <v>1149094391.02</v>
      </c>
      <c r="BI331" s="369">
        <f t="shared" si="6"/>
        <v>1162175175.2500007</v>
      </c>
      <c r="BJ331" s="369">
        <f t="shared" si="6"/>
        <v>1182288767.4399993</v>
      </c>
      <c r="BK331" s="369">
        <f t="shared" si="6"/>
        <v>1202725304.1099997</v>
      </c>
      <c r="BL331" s="369">
        <f t="shared" si="6"/>
        <v>1226063436.0099995</v>
      </c>
      <c r="BM331" s="369">
        <f t="shared" si="6"/>
        <v>1247240436.2299993</v>
      </c>
      <c r="BN331" s="369">
        <f t="shared" si="6"/>
        <v>1247808108.2299993</v>
      </c>
      <c r="BO331" s="369">
        <f t="shared" si="6"/>
        <v>1259003258.8700006</v>
      </c>
      <c r="BP331" s="369">
        <f t="shared" si="6"/>
        <v>1262871735.4099998</v>
      </c>
      <c r="BQ331" s="369">
        <f t="shared" si="6"/>
        <v>1275354403.7199991</v>
      </c>
      <c r="BR331" s="369">
        <f t="shared" si="6"/>
        <v>1286690558.0599999</v>
      </c>
      <c r="BS331" s="369">
        <f t="shared" si="6"/>
        <v>1300347264.21</v>
      </c>
      <c r="BT331" s="369">
        <f t="shared" si="6"/>
        <v>1319239804.8100002</v>
      </c>
      <c r="BU331" s="369">
        <f t="shared" si="6"/>
        <v>1342230484.6000004</v>
      </c>
      <c r="BV331" s="369">
        <f t="shared" si="6"/>
        <v>1358664856.23</v>
      </c>
      <c r="BW331" s="369">
        <f t="shared" si="6"/>
        <v>1383623030.9400001</v>
      </c>
      <c r="BX331" s="369">
        <f t="shared" si="6"/>
        <v>1408247684.1299992</v>
      </c>
      <c r="BY331" s="369">
        <f t="shared" si="6"/>
        <v>1430100919.7199993</v>
      </c>
      <c r="BZ331" s="369">
        <f t="shared" si="6"/>
        <v>1442160893.7799993</v>
      </c>
      <c r="CA331" s="369">
        <f t="shared" si="6"/>
        <v>1453225242.9099991</v>
      </c>
      <c r="CB331" s="369">
        <f t="shared" si="6"/>
        <v>1471552455.1400001</v>
      </c>
      <c r="CC331" s="369">
        <f t="shared" si="6"/>
        <v>1494766345.5600007</v>
      </c>
      <c r="CD331" s="369">
        <f t="shared" si="6"/>
        <v>1516746180.7800002</v>
      </c>
      <c r="CE331" s="369">
        <f t="shared" si="6"/>
        <v>1537467570.4999995</v>
      </c>
      <c r="CF331" s="369">
        <f t="shared" si="6"/>
        <v>1576643202.9699996</v>
      </c>
      <c r="CG331" s="369">
        <f t="shared" si="6"/>
        <v>1605318201.7300005</v>
      </c>
      <c r="CH331" s="369">
        <f t="shared" si="6"/>
        <v>1631707897.9200001</v>
      </c>
      <c r="CI331" s="369">
        <f t="shared" si="6"/>
        <v>1666187288.7899997</v>
      </c>
      <c r="CJ331" s="369">
        <f t="shared" si="6"/>
        <v>1713802281.6099992</v>
      </c>
      <c r="CK331" s="369">
        <f t="shared" si="6"/>
        <v>1744349619.9999998</v>
      </c>
      <c r="CL331" s="369">
        <f t="shared" si="6"/>
        <v>1767183758.3699994</v>
      </c>
      <c r="CM331" s="369">
        <f t="shared" si="6"/>
        <v>1783156794.6599987</v>
      </c>
      <c r="CN331" s="369">
        <f t="shared" si="6"/>
        <v>1799578255.9400001</v>
      </c>
      <c r="CO331" s="369">
        <f t="shared" si="6"/>
        <v>1807990937.48</v>
      </c>
      <c r="CP331" s="369">
        <f t="shared" si="6"/>
        <v>1827442303.2899992</v>
      </c>
      <c r="CQ331" s="369">
        <v>1853524136.4399991</v>
      </c>
      <c r="CR331" s="369">
        <v>1871610200.3399994</v>
      </c>
      <c r="CS331" s="369">
        <v>1894780635.76</v>
      </c>
      <c r="CT331" s="369">
        <v>1929460870.0899997</v>
      </c>
      <c r="CU331" s="369">
        <v>1960889789.7199998</v>
      </c>
      <c r="CV331" s="369">
        <v>1992226698.3999994</v>
      </c>
      <c r="CW331" s="369">
        <v>2023947138.2199998</v>
      </c>
      <c r="CX331" s="369">
        <v>2043153600.6899998</v>
      </c>
      <c r="CY331" s="369">
        <v>2052420927.0399985</v>
      </c>
      <c r="CZ331" s="369">
        <v>2067951937.9000003</v>
      </c>
      <c r="DA331" s="369">
        <v>2094493157.5500004</v>
      </c>
      <c r="DB331" s="369">
        <v>2120545230.2200003</v>
      </c>
      <c r="DC331" s="369">
        <f t="shared" ref="DC331:DH331" si="7">SUM(DC5:DC171)</f>
        <v>2136862729.3100004</v>
      </c>
      <c r="DD331" s="369">
        <f t="shared" si="7"/>
        <v>2152934893.730001</v>
      </c>
      <c r="DE331" s="369">
        <f t="shared" si="7"/>
        <v>2168239079.9400005</v>
      </c>
      <c r="DF331" s="369">
        <f t="shared" si="7"/>
        <v>2180322911.5699992</v>
      </c>
      <c r="DG331" s="369">
        <f t="shared" si="7"/>
        <v>2206019839.0700002</v>
      </c>
      <c r="DH331" s="369">
        <f t="shared" si="7"/>
        <v>2267449529.6000018</v>
      </c>
    </row>
    <row r="332" spans="1:112">
      <c r="AH332" s="369">
        <f t="shared" ref="AH332:AQ332" si="8">SUM(AH172:AH329)</f>
        <v>-960112796.64999962</v>
      </c>
      <c r="AI332" s="369">
        <f t="shared" si="8"/>
        <v>-966844695.15999985</v>
      </c>
      <c r="AJ332" s="369">
        <f t="shared" si="8"/>
        <v>-967683433.83999991</v>
      </c>
      <c r="AK332" s="369">
        <f t="shared" si="8"/>
        <v>-983992949.63999999</v>
      </c>
      <c r="AL332" s="369">
        <f t="shared" si="8"/>
        <v>-993654532.77999997</v>
      </c>
      <c r="AM332" s="369">
        <f t="shared" si="8"/>
        <v>-996694415.33999968</v>
      </c>
      <c r="AN332" s="369">
        <f t="shared" si="8"/>
        <v>-1019762560.6500001</v>
      </c>
      <c r="AO332" s="369">
        <f t="shared" si="8"/>
        <v>-1028205820.9499995</v>
      </c>
      <c r="AP332" s="369">
        <f t="shared" si="8"/>
        <v>-1036605895.4099997</v>
      </c>
      <c r="AQ332" s="369">
        <f t="shared" si="8"/>
        <v>-1037286041.98</v>
      </c>
      <c r="AR332" s="369">
        <v>-1047973195.6</v>
      </c>
      <c r="AS332" s="369">
        <v>-1053161039.7800002</v>
      </c>
      <c r="AT332" s="369">
        <v>-1048613874.08</v>
      </c>
      <c r="AU332" s="369">
        <f t="shared" ref="AU332:CP332" si="9">SUM(AU172:AU329)</f>
        <v>-1057460529.1500005</v>
      </c>
      <c r="AV332" s="369">
        <f t="shared" si="9"/>
        <v>-1076761555.8800001</v>
      </c>
      <c r="AW332" s="369">
        <f t="shared" si="9"/>
        <v>-1078630857.3</v>
      </c>
      <c r="AX332" s="369">
        <f t="shared" si="9"/>
        <v>-1082847591.9999998</v>
      </c>
      <c r="AY332" s="369">
        <f t="shared" si="9"/>
        <v>-1093441044.0299997</v>
      </c>
      <c r="AZ332" s="369">
        <f t="shared" si="9"/>
        <v>-1110304091.0699997</v>
      </c>
      <c r="BA332" s="369">
        <f t="shared" si="9"/>
        <v>-1125453008.2699997</v>
      </c>
      <c r="BB332" s="369">
        <f t="shared" si="9"/>
        <v>-1118450851.4000003</v>
      </c>
      <c r="BC332" s="369">
        <f t="shared" si="9"/>
        <v>-1116155056.3899999</v>
      </c>
      <c r="BD332" s="369">
        <f t="shared" si="9"/>
        <v>-1119947657.9199996</v>
      </c>
      <c r="BE332" s="369">
        <f t="shared" si="9"/>
        <v>-1127682195.3500004</v>
      </c>
      <c r="BF332" s="369">
        <f t="shared" si="9"/>
        <v>-1134835694.5199997</v>
      </c>
      <c r="BG332" s="369">
        <f t="shared" si="9"/>
        <v>-1142151907.7099998</v>
      </c>
      <c r="BH332" s="369">
        <f t="shared" si="9"/>
        <v>-1149094391.0199995</v>
      </c>
      <c r="BI332" s="369">
        <f t="shared" si="9"/>
        <v>-1162175175.2499993</v>
      </c>
      <c r="BJ332" s="369">
        <f t="shared" si="9"/>
        <v>-1182288767.4399993</v>
      </c>
      <c r="BK332" s="369">
        <f t="shared" si="9"/>
        <v>-1202725304.1099994</v>
      </c>
      <c r="BL332" s="369">
        <f t="shared" si="9"/>
        <v>-1226063436.0099998</v>
      </c>
      <c r="BM332" s="369">
        <f t="shared" si="9"/>
        <v>-1247240436.2299998</v>
      </c>
      <c r="BN332" s="369">
        <f t="shared" si="9"/>
        <v>-1247808108.23</v>
      </c>
      <c r="BO332" s="369">
        <f t="shared" si="9"/>
        <v>-1259003258.8700001</v>
      </c>
      <c r="BP332" s="369">
        <f t="shared" si="9"/>
        <v>-1262871735.4099998</v>
      </c>
      <c r="BQ332" s="369">
        <f t="shared" si="9"/>
        <v>-1275354403.7199998</v>
      </c>
      <c r="BR332" s="369">
        <f t="shared" si="9"/>
        <v>-1286690558.0599999</v>
      </c>
      <c r="BS332" s="369">
        <f t="shared" si="9"/>
        <v>-1300347264.2099998</v>
      </c>
      <c r="BT332" s="369">
        <f t="shared" si="9"/>
        <v>-1319239804.8099999</v>
      </c>
      <c r="BU332" s="369">
        <f t="shared" si="9"/>
        <v>-1342230484.5999997</v>
      </c>
      <c r="BV332" s="369">
        <f t="shared" si="9"/>
        <v>-1358664856.23</v>
      </c>
      <c r="BW332" s="369">
        <f t="shared" si="9"/>
        <v>-1383623030.9399993</v>
      </c>
      <c r="BX332" s="369">
        <f t="shared" si="9"/>
        <v>-1408247684.1299996</v>
      </c>
      <c r="BY332" s="369">
        <f t="shared" si="9"/>
        <v>-1430100919.7200003</v>
      </c>
      <c r="BZ332" s="369">
        <f t="shared" si="9"/>
        <v>-1442160893.7799997</v>
      </c>
      <c r="CA332" s="369">
        <f t="shared" si="9"/>
        <v>-1453225242.9100013</v>
      </c>
      <c r="CB332" s="369">
        <f t="shared" si="9"/>
        <v>-1471552455.1400001</v>
      </c>
      <c r="CC332" s="369">
        <f t="shared" si="9"/>
        <v>-1494766345.5600004</v>
      </c>
      <c r="CD332" s="369">
        <f t="shared" si="9"/>
        <v>-1516746180.7800012</v>
      </c>
      <c r="CE332" s="369">
        <f t="shared" si="9"/>
        <v>-1537467570.5000012</v>
      </c>
      <c r="CF332" s="369">
        <f t="shared" si="9"/>
        <v>-1574439470.970001</v>
      </c>
      <c r="CG332" s="369">
        <f t="shared" si="9"/>
        <v>-1599775397.73</v>
      </c>
      <c r="CH332" s="369">
        <f t="shared" si="9"/>
        <v>-1631707897.9200001</v>
      </c>
      <c r="CI332" s="369">
        <f t="shared" si="9"/>
        <v>-1666187288.79</v>
      </c>
      <c r="CJ332" s="369">
        <f t="shared" si="9"/>
        <v>-1713802281.6100001</v>
      </c>
      <c r="CK332" s="369">
        <f t="shared" si="9"/>
        <v>-1744349619.9999998</v>
      </c>
      <c r="CL332" s="369">
        <f t="shared" si="9"/>
        <v>-1767183758.3700006</v>
      </c>
      <c r="CM332" s="369">
        <f t="shared" si="9"/>
        <v>-1783156794.6600006</v>
      </c>
      <c r="CN332" s="369">
        <f t="shared" si="9"/>
        <v>-1799578255.9399998</v>
      </c>
      <c r="CO332" s="369">
        <f t="shared" si="9"/>
        <v>-1807990937.48</v>
      </c>
      <c r="CP332" s="369">
        <f t="shared" si="9"/>
        <v>-1827442303.2899997</v>
      </c>
      <c r="CQ332" s="369">
        <v>-1853524136.4400001</v>
      </c>
      <c r="CR332" s="369">
        <v>-1871610200.3399994</v>
      </c>
      <c r="CS332" s="369">
        <v>-1894780635.7599995</v>
      </c>
      <c r="CT332" s="369">
        <v>-1929460870.0899994</v>
      </c>
      <c r="CU332" s="369">
        <v>-1960889789.7200007</v>
      </c>
      <c r="CV332" s="369">
        <v>-1992226698.3999994</v>
      </c>
      <c r="CW332" s="369">
        <v>-2023947138.22</v>
      </c>
      <c r="CX332" s="369">
        <v>-2043153600.6900008</v>
      </c>
      <c r="CY332" s="369">
        <v>-2052420927.0399997</v>
      </c>
      <c r="CZ332" s="369">
        <v>-2067951937.8999999</v>
      </c>
      <c r="DA332" s="369">
        <v>-2094493157.55</v>
      </c>
      <c r="DB332" s="369">
        <v>-2120545230.2199996</v>
      </c>
      <c r="DC332" s="369">
        <f t="shared" ref="DC332:DH332" si="10">SUM(DC172:DC329)</f>
        <v>-2136862729.3099997</v>
      </c>
      <c r="DD332" s="369">
        <f t="shared" si="10"/>
        <v>-2152934893.7299991</v>
      </c>
      <c r="DE332" s="369">
        <f t="shared" si="10"/>
        <v>-2168239079.9399996</v>
      </c>
      <c r="DF332" s="369">
        <f>SUM(DF172:DF329)</f>
        <v>-2180322911.5700006</v>
      </c>
      <c r="DG332" s="369">
        <f t="shared" si="10"/>
        <v>-2206019839.0699992</v>
      </c>
      <c r="DH332" s="369">
        <f t="shared" si="10"/>
        <v>-2267449529.5999994</v>
      </c>
    </row>
    <row r="333" spans="1:112">
      <c r="AH333" s="369">
        <f t="shared" ref="AH333:AM333" si="11">+AH331+AH332</f>
        <v>0</v>
      </c>
      <c r="AI333" s="369">
        <f t="shared" si="11"/>
        <v>0</v>
      </c>
      <c r="AJ333" s="369">
        <f t="shared" si="11"/>
        <v>0</v>
      </c>
      <c r="AK333" s="369">
        <f t="shared" si="11"/>
        <v>0</v>
      </c>
      <c r="AL333" s="369">
        <f t="shared" si="11"/>
        <v>0</v>
      </c>
      <c r="AM333" s="369">
        <f t="shared" si="11"/>
        <v>0</v>
      </c>
      <c r="AN333" s="369">
        <f>+AN331+AN332</f>
        <v>0</v>
      </c>
      <c r="AO333" s="369">
        <f>+AO331+AO332</f>
        <v>0</v>
      </c>
      <c r="AP333" s="369">
        <f>+AP331+AP332</f>
        <v>0</v>
      </c>
      <c r="AQ333" s="369">
        <f>+AQ331+AQ332</f>
        <v>0</v>
      </c>
      <c r="AR333" s="369">
        <v>0</v>
      </c>
      <c r="AS333" s="369">
        <v>0</v>
      </c>
      <c r="AT333" s="369">
        <v>0</v>
      </c>
      <c r="AU333" s="369">
        <f t="shared" ref="AU333:AZ333" si="12">+AU331+AU332</f>
        <v>0</v>
      </c>
      <c r="AV333" s="369">
        <f t="shared" si="12"/>
        <v>0</v>
      </c>
      <c r="AW333" s="369">
        <f t="shared" si="12"/>
        <v>0</v>
      </c>
      <c r="AX333" s="369">
        <f t="shared" si="12"/>
        <v>0</v>
      </c>
      <c r="AY333" s="369">
        <f t="shared" si="12"/>
        <v>0</v>
      </c>
      <c r="AZ333" s="369">
        <f t="shared" si="12"/>
        <v>0</v>
      </c>
      <c r="BA333" s="369">
        <f t="shared" ref="BA333:BF333" si="13">+BA331+BA332</f>
        <v>0</v>
      </c>
      <c r="BB333" s="369">
        <f t="shared" si="13"/>
        <v>0</v>
      </c>
      <c r="BC333" s="369">
        <f t="shared" si="13"/>
        <v>0</v>
      </c>
      <c r="BD333" s="369">
        <f t="shared" si="13"/>
        <v>0</v>
      </c>
      <c r="BE333" s="369">
        <f t="shared" si="13"/>
        <v>0</v>
      </c>
      <c r="BF333" s="369">
        <f t="shared" si="13"/>
        <v>0</v>
      </c>
      <c r="BG333" s="369">
        <f t="shared" ref="BG333:BL333" si="14">+BG331+BG332</f>
        <v>0</v>
      </c>
      <c r="BH333" s="369">
        <f t="shared" si="14"/>
        <v>0</v>
      </c>
      <c r="BI333" s="369">
        <f t="shared" si="14"/>
        <v>0</v>
      </c>
      <c r="BJ333" s="369">
        <f t="shared" si="14"/>
        <v>0</v>
      </c>
      <c r="BK333" s="369">
        <f t="shared" si="14"/>
        <v>0</v>
      </c>
      <c r="BL333" s="369">
        <f t="shared" si="14"/>
        <v>0</v>
      </c>
      <c r="BM333" s="369">
        <f t="shared" ref="BM333:BR333" si="15">+BM331+BM332</f>
        <v>0</v>
      </c>
      <c r="BN333" s="369">
        <f t="shared" si="15"/>
        <v>0</v>
      </c>
      <c r="BO333" s="369">
        <f t="shared" si="15"/>
        <v>0</v>
      </c>
      <c r="BP333" s="369">
        <f t="shared" si="15"/>
        <v>0</v>
      </c>
      <c r="BQ333" s="369">
        <f t="shared" si="15"/>
        <v>0</v>
      </c>
      <c r="BR333" s="369">
        <f t="shared" si="15"/>
        <v>0</v>
      </c>
      <c r="BS333" s="369">
        <f t="shared" ref="BS333:BX333" si="16">+BS331+BS332</f>
        <v>0</v>
      </c>
      <c r="BT333" s="369">
        <f t="shared" si="16"/>
        <v>0</v>
      </c>
      <c r="BU333" s="369">
        <f t="shared" si="16"/>
        <v>0</v>
      </c>
      <c r="BV333" s="369">
        <f t="shared" si="16"/>
        <v>0</v>
      </c>
      <c r="BW333" s="369">
        <f t="shared" si="16"/>
        <v>0</v>
      </c>
      <c r="BX333" s="369">
        <f t="shared" si="16"/>
        <v>0</v>
      </c>
      <c r="BY333" s="369">
        <f t="shared" ref="BY333:CD333" si="17">+BY331+BY332</f>
        <v>0</v>
      </c>
      <c r="BZ333" s="369">
        <f t="shared" si="17"/>
        <v>0</v>
      </c>
      <c r="CA333" s="369">
        <f t="shared" si="17"/>
        <v>-2.1457672119140625E-6</v>
      </c>
      <c r="CB333" s="369">
        <f t="shared" si="17"/>
        <v>0</v>
      </c>
      <c r="CC333" s="369">
        <f t="shared" si="17"/>
        <v>0</v>
      </c>
      <c r="CD333" s="369">
        <f t="shared" si="17"/>
        <v>0</v>
      </c>
      <c r="CE333" s="369">
        <f t="shared" ref="CE333:CJ333" si="18">+CE331+CE332</f>
        <v>0</v>
      </c>
      <c r="CF333" s="369">
        <f t="shared" si="18"/>
        <v>2203731.9999985695</v>
      </c>
      <c r="CG333" s="369">
        <f t="shared" si="18"/>
        <v>5542804.0000004768</v>
      </c>
      <c r="CH333" s="369">
        <f t="shared" si="18"/>
        <v>0</v>
      </c>
      <c r="CI333" s="369">
        <f t="shared" si="18"/>
        <v>0</v>
      </c>
      <c r="CJ333" s="369">
        <f t="shared" si="18"/>
        <v>0</v>
      </c>
      <c r="CK333" s="369">
        <f t="shared" ref="CK333:CP333" si="19">+CK331+CK332</f>
        <v>0</v>
      </c>
      <c r="CL333" s="369">
        <f t="shared" si="19"/>
        <v>0</v>
      </c>
      <c r="CM333" s="369">
        <f t="shared" si="19"/>
        <v>-1.9073486328125E-6</v>
      </c>
      <c r="CN333" s="369">
        <f t="shared" si="19"/>
        <v>0</v>
      </c>
      <c r="CO333" s="369">
        <f t="shared" si="19"/>
        <v>0</v>
      </c>
      <c r="CP333" s="369">
        <f t="shared" si="19"/>
        <v>0</v>
      </c>
      <c r="CQ333" s="369">
        <v>0</v>
      </c>
      <c r="CR333" s="369">
        <v>0</v>
      </c>
      <c r="CS333" s="369">
        <v>0</v>
      </c>
      <c r="CT333" s="369">
        <f t="shared" ref="CT333:CY333" si="20">+CT331+CT332</f>
        <v>0</v>
      </c>
      <c r="CU333" s="369">
        <f t="shared" si="20"/>
        <v>0</v>
      </c>
      <c r="CV333" s="369">
        <f t="shared" si="20"/>
        <v>0</v>
      </c>
      <c r="CW333" s="369">
        <f t="shared" si="20"/>
        <v>0</v>
      </c>
      <c r="CX333" s="369">
        <f t="shared" si="20"/>
        <v>0</v>
      </c>
      <c r="CY333" s="369">
        <f t="shared" si="20"/>
        <v>0</v>
      </c>
      <c r="CZ333" s="369">
        <f t="shared" ref="CZ333:DB333" si="21">+CZ331+CZ332</f>
        <v>0</v>
      </c>
      <c r="DA333" s="369">
        <f t="shared" si="21"/>
        <v>0</v>
      </c>
      <c r="DB333" s="369">
        <f t="shared" si="21"/>
        <v>0</v>
      </c>
      <c r="DC333" s="369">
        <f t="shared" ref="DC333:DE333" si="22">+DC331+DC332</f>
        <v>0</v>
      </c>
      <c r="DD333" s="369">
        <f t="shared" si="22"/>
        <v>0</v>
      </c>
      <c r="DE333" s="369">
        <f t="shared" si="22"/>
        <v>0</v>
      </c>
      <c r="DF333" s="369">
        <f t="shared" ref="DF333:DH333" si="23">+DF331+DF332</f>
        <v>0</v>
      </c>
      <c r="DG333" s="369">
        <f t="shared" si="23"/>
        <v>0</v>
      </c>
      <c r="DH333" s="369">
        <f t="shared" si="23"/>
        <v>0</v>
      </c>
    </row>
    <row r="334" spans="1:112">
      <c r="A334" s="1023" t="s">
        <v>572</v>
      </c>
      <c r="B334" s="1023"/>
      <c r="C334" s="1023"/>
      <c r="D334" s="344" t="str">
        <f>+D$4</f>
        <v>DEC 2013  Cumulative  Balance</v>
      </c>
      <c r="E334" s="344" t="str">
        <f>+E$4</f>
        <v>JAN 2014  Cumulative  Balance</v>
      </c>
      <c r="F334" s="344" t="str">
        <f t="shared" ref="F334:BV334" si="24">+F$4</f>
        <v>FEB 2014  Cumulative  Balance</v>
      </c>
      <c r="G334" s="344" t="str">
        <f t="shared" si="24"/>
        <v>MAR 2014  Cumulative  Balance</v>
      </c>
      <c r="H334" s="344" t="str">
        <f t="shared" si="24"/>
        <v>APR 2014  Cumulative  Balance</v>
      </c>
      <c r="I334" s="344" t="str">
        <f>+I$4</f>
        <v>MAY 2014  Cumulative  Balance</v>
      </c>
      <c r="J334" s="344" t="str">
        <f t="shared" si="24"/>
        <v>JUN 2014  Cumulative  Balance</v>
      </c>
      <c r="K334" s="344" t="str">
        <f t="shared" si="24"/>
        <v>JUL 2014  Cumulative  Balance</v>
      </c>
      <c r="L334" s="344" t="str">
        <f t="shared" si="24"/>
        <v>AUG 2014  Cumulative  Balance</v>
      </c>
      <c r="M334" s="344" t="str">
        <f t="shared" si="24"/>
        <v>SEP 2014  Cumulative  Balance</v>
      </c>
      <c r="N334" s="344" t="str">
        <f t="shared" si="24"/>
        <v>OCT 2014  Cumulative  Balance</v>
      </c>
      <c r="O334" s="344" t="str">
        <f t="shared" si="24"/>
        <v>NOV 2014  Cumulative  Balance</v>
      </c>
      <c r="P334" s="344" t="str">
        <f t="shared" si="24"/>
        <v>DEC 2014  Cumulative  Balance</v>
      </c>
      <c r="Q334" s="344" t="str">
        <f t="shared" si="24"/>
        <v>JAN 2015  Cumulative  Balance</v>
      </c>
      <c r="R334" s="344" t="str">
        <f t="shared" si="24"/>
        <v>FEB 2015  Cumulative  Balance</v>
      </c>
      <c r="S334" s="344" t="str">
        <f t="shared" si="24"/>
        <v>MAR 2015  Cumulative  Balance</v>
      </c>
      <c r="T334" s="344" t="s">
        <v>1382</v>
      </c>
      <c r="U334" s="344" t="s">
        <v>1383</v>
      </c>
      <c r="V334" s="344" t="s">
        <v>1387</v>
      </c>
      <c r="W334" s="344" t="s">
        <v>1402</v>
      </c>
      <c r="X334" s="344" t="s">
        <v>1403</v>
      </c>
      <c r="Y334" s="344" t="s">
        <v>1404</v>
      </c>
      <c r="Z334" s="344" t="s">
        <v>1411</v>
      </c>
      <c r="AA334" s="344" t="s">
        <v>1412</v>
      </c>
      <c r="AB334" s="344" t="s">
        <v>1413</v>
      </c>
      <c r="AC334" s="344" t="s">
        <v>1419</v>
      </c>
      <c r="AD334" s="344" t="s">
        <v>1420</v>
      </c>
      <c r="AE334" s="344" t="s">
        <v>1421</v>
      </c>
      <c r="AF334" s="344" t="str">
        <f t="shared" si="24"/>
        <v>APR 2016  Cumulative  Balance</v>
      </c>
      <c r="AG334" s="344" t="str">
        <f t="shared" si="24"/>
        <v>MAY 2016  Cumulative  Balance</v>
      </c>
      <c r="AH334" s="344" t="str">
        <f t="shared" si="24"/>
        <v>JUN 2016  Cumulative  Balance</v>
      </c>
      <c r="AI334" s="344" t="str">
        <f t="shared" si="24"/>
        <v>JUL 2016  Cumulative  Balance</v>
      </c>
      <c r="AJ334" s="344" t="str">
        <f t="shared" si="24"/>
        <v>AUG 2016  Cumulative  Balance</v>
      </c>
      <c r="AK334" s="344" t="str">
        <f t="shared" si="24"/>
        <v>SEP 2016  Cumulative  Balance</v>
      </c>
      <c r="AL334" s="344" t="s">
        <v>1707</v>
      </c>
      <c r="AM334" s="344" t="s">
        <v>1708</v>
      </c>
      <c r="AN334" s="344" t="s">
        <v>1709</v>
      </c>
      <c r="AO334" s="344" t="str">
        <f t="shared" si="24"/>
        <v>JAN 2017  Cumulative  Balance</v>
      </c>
      <c r="AP334" s="344" t="str">
        <f t="shared" si="24"/>
        <v>FEB 2017  Cumulative  Balance</v>
      </c>
      <c r="AQ334" s="344" t="str">
        <f t="shared" si="24"/>
        <v>MAR 2017  Cumulative  Balance</v>
      </c>
      <c r="AR334" s="344" t="s">
        <v>1811</v>
      </c>
      <c r="AS334" s="344" t="s">
        <v>1812</v>
      </c>
      <c r="AT334" s="344" t="s">
        <v>1813</v>
      </c>
      <c r="AU334" s="344" t="str">
        <f t="shared" si="24"/>
        <v>JUL 2017  Cumulative  Balance</v>
      </c>
      <c r="AV334" s="344" t="str">
        <f t="shared" si="24"/>
        <v>AUG 2017  Cumulative  Balance</v>
      </c>
      <c r="AW334" s="344" t="str">
        <f t="shared" si="24"/>
        <v>SEP 2017  Cumulative  Balance</v>
      </c>
      <c r="AX334" s="344" t="str">
        <f t="shared" si="24"/>
        <v>OCT 2017  Cumulative  Balance</v>
      </c>
      <c r="AY334" s="344" t="str">
        <f t="shared" si="24"/>
        <v>NOV 2017  Cumulative  Balance</v>
      </c>
      <c r="AZ334" s="344" t="str">
        <f t="shared" si="24"/>
        <v>DEC 2017  Cumulative  Balance</v>
      </c>
      <c r="BA334" s="344" t="str">
        <f t="shared" si="24"/>
        <v>JAN 2018  Cumulative  Balance</v>
      </c>
      <c r="BB334" s="344" t="str">
        <f t="shared" si="24"/>
        <v>FEB 2018  Cumulative  Balance</v>
      </c>
      <c r="BC334" s="344" t="str">
        <f t="shared" si="24"/>
        <v>MAR 2018  Cumulative  Balance</v>
      </c>
      <c r="BD334" s="344" t="str">
        <f t="shared" si="24"/>
        <v>APR 2018  Cumulative  Balance</v>
      </c>
      <c r="BE334" s="344" t="str">
        <f t="shared" si="24"/>
        <v>MAY 2018  Cumulative  Balance</v>
      </c>
      <c r="BF334" s="344" t="str">
        <f t="shared" si="24"/>
        <v>JUN 2018  Cumulative  Balance</v>
      </c>
      <c r="BG334" s="344" t="str">
        <f t="shared" si="24"/>
        <v>JUL 2018  Cumulative  Balance</v>
      </c>
      <c r="BH334" s="344" t="str">
        <f t="shared" si="24"/>
        <v>AUG 2018  Cumulative  Balance</v>
      </c>
      <c r="BI334" s="344" t="str">
        <f t="shared" si="24"/>
        <v>SEP 2018  Cumulative  Balance</v>
      </c>
      <c r="BJ334" s="344" t="str">
        <f t="shared" si="24"/>
        <v>OCT 2018  Cumulative  Balance</v>
      </c>
      <c r="BK334" s="344" t="str">
        <f t="shared" si="24"/>
        <v>NOV 2018  Cumulative  Balance</v>
      </c>
      <c r="BL334" s="344" t="str">
        <f t="shared" si="24"/>
        <v>DEC 2018  Cumulative  Balance</v>
      </c>
      <c r="BM334" s="344" t="str">
        <f t="shared" si="24"/>
        <v>JAN 2019  Cumulative  Balance</v>
      </c>
      <c r="BN334" s="344" t="str">
        <f t="shared" si="24"/>
        <v>FEB 2019  Cumulative  Balance</v>
      </c>
      <c r="BO334" s="344" t="str">
        <f t="shared" si="24"/>
        <v>MAR 2019  Cumulative  Balance</v>
      </c>
      <c r="BP334" s="344" t="str">
        <f t="shared" si="24"/>
        <v>APR 2019  Cumulative  Balance</v>
      </c>
      <c r="BQ334" s="344" t="str">
        <f t="shared" si="24"/>
        <v>MAY 2019  Cumulative  Balance</v>
      </c>
      <c r="BR334" s="344" t="str">
        <f t="shared" si="24"/>
        <v>JUN 2019  Cumulative  Balance</v>
      </c>
      <c r="BS334" s="344" t="str">
        <f t="shared" si="24"/>
        <v>JUL 2019  Cumulative  Balance</v>
      </c>
      <c r="BT334" s="344" t="str">
        <f t="shared" si="24"/>
        <v>AUG 2019  Cumulative  Balance</v>
      </c>
      <c r="BU334" s="344" t="str">
        <f t="shared" si="24"/>
        <v>SEP 2019  Cumulative  Balance</v>
      </c>
      <c r="BV334" s="344" t="str">
        <f t="shared" si="24"/>
        <v>OCT 2019  Cumulative  Balance</v>
      </c>
      <c r="BW334" s="344" t="str">
        <f t="shared" ref="BW334:DH334" si="25">+BW$4</f>
        <v>NOV 2019  Cumulative  Balance</v>
      </c>
      <c r="BX334" s="344" t="str">
        <f t="shared" si="25"/>
        <v>DEC 2019  Cumulative  Balance</v>
      </c>
      <c r="BY334" s="344" t="str">
        <f t="shared" si="25"/>
        <v>JAN 2020  Cumulative  Balance</v>
      </c>
      <c r="BZ334" s="344" t="str">
        <f t="shared" si="25"/>
        <v>FEB 2020  Cumulative  Balance</v>
      </c>
      <c r="CA334" s="344" t="str">
        <f t="shared" si="25"/>
        <v>MAR 2020  Cumulative  Balance</v>
      </c>
      <c r="CB334" s="344" t="str">
        <f t="shared" si="25"/>
        <v>APR 2020  Cumulative  Balance</v>
      </c>
      <c r="CC334" s="344" t="str">
        <f t="shared" si="25"/>
        <v>MAY 2020  Cumulative  Balance</v>
      </c>
      <c r="CD334" s="1030" t="str">
        <f t="shared" si="25"/>
        <v>JUN 2020  Cumulative  Balance</v>
      </c>
      <c r="CE334" s="1030" t="str">
        <f t="shared" si="25"/>
        <v>JUL 2020  Cumulative  Balance</v>
      </c>
      <c r="CF334" s="1030" t="str">
        <f t="shared" si="25"/>
        <v>AUG 2020  Cumulative  Balance</v>
      </c>
      <c r="CG334" s="1030" t="str">
        <f t="shared" si="25"/>
        <v>SEP 2020  Cumulative  Balance</v>
      </c>
      <c r="CH334" s="1030" t="str">
        <f t="shared" si="25"/>
        <v>OCT 2020  Cumulative  Balance</v>
      </c>
      <c r="CI334" s="1030" t="str">
        <f t="shared" si="25"/>
        <v>NOV 2020  Cumulative  Balance</v>
      </c>
      <c r="CJ334" s="1030" t="str">
        <f t="shared" si="25"/>
        <v>DEC 2020  Cumulative  Balance</v>
      </c>
      <c r="CK334" s="1030" t="str">
        <f t="shared" si="25"/>
        <v>JAN 2021  Cumulative  Balance</v>
      </c>
      <c r="CL334" s="1030" t="str">
        <f t="shared" si="25"/>
        <v>FEB 2021  Cumulative  Balance</v>
      </c>
      <c r="CM334" s="1030" t="str">
        <f t="shared" si="25"/>
        <v>MAR 2021  Cumulative  Balance</v>
      </c>
      <c r="CN334" s="1030" t="str">
        <f t="shared" si="25"/>
        <v>APR 2021  Cumulative  Balance</v>
      </c>
      <c r="CO334" s="1030" t="str">
        <f t="shared" si="25"/>
        <v>MAY 2021  Cumulative  Balance</v>
      </c>
      <c r="CP334" s="1030" t="str">
        <f t="shared" si="25"/>
        <v>JUN 2021  Cumulative  Balance</v>
      </c>
      <c r="CQ334" s="1030" t="s">
        <v>2698</v>
      </c>
      <c r="CR334" s="1030" t="s">
        <v>2699</v>
      </c>
      <c r="CS334" s="1030" t="s">
        <v>2700</v>
      </c>
      <c r="CT334" s="1030" t="str">
        <f t="shared" si="25"/>
        <v>OCT 2021  Cumulative  Balance</v>
      </c>
      <c r="CU334" s="1030" t="str">
        <f t="shared" si="25"/>
        <v>NOV 2021  Cumulative  Balance</v>
      </c>
      <c r="CV334" s="1030" t="str">
        <f t="shared" si="25"/>
        <v>DEC 2021  Cumulative  Balance</v>
      </c>
      <c r="CW334" s="1030" t="str">
        <f t="shared" si="25"/>
        <v>JAN 2022  Cumulative  Balance</v>
      </c>
      <c r="CX334" s="1030" t="str">
        <f t="shared" si="25"/>
        <v>FEB 2022  Cumulative  Balance</v>
      </c>
      <c r="CY334" s="1030" t="str">
        <f t="shared" si="25"/>
        <v>MAR 2022  Cumulative  Balance</v>
      </c>
      <c r="CZ334" s="1030" t="str">
        <f t="shared" si="25"/>
        <v>APR 2022  Cumulative  Balance</v>
      </c>
      <c r="DA334" s="1030" t="str">
        <f t="shared" si="25"/>
        <v>MAY 2022  Cumulative  Balance</v>
      </c>
      <c r="DB334" s="1030" t="str">
        <f t="shared" si="25"/>
        <v>JUN 2022  Cumulative  Balance</v>
      </c>
      <c r="DC334" s="1030" t="str">
        <f t="shared" si="25"/>
        <v>JUL 2022  Cumulative  Balance</v>
      </c>
      <c r="DD334" s="1030" t="str">
        <f t="shared" si="25"/>
        <v>AUG 2022  Cumulative  Balance</v>
      </c>
      <c r="DE334" s="1030" t="str">
        <f t="shared" si="25"/>
        <v>SEPT 2022  Cumulative  Balance</v>
      </c>
      <c r="DF334" s="1030" t="str">
        <f t="shared" si="25"/>
        <v>OCT 2022  Cumulative  Balance</v>
      </c>
      <c r="DG334" s="1030" t="str">
        <f t="shared" si="25"/>
        <v>NOV 2022  Cumulative  Balance</v>
      </c>
      <c r="DH334" s="1030" t="str">
        <f t="shared" si="25"/>
        <v>DEC 2022  Cumulative  Balance</v>
      </c>
    </row>
    <row r="335" spans="1:112">
      <c r="A335" t="s">
        <v>827</v>
      </c>
      <c r="D335" s="345">
        <v>1188438144.46</v>
      </c>
      <c r="E335" s="345">
        <v>1181375109.0899999</v>
      </c>
      <c r="F335" s="345">
        <v>1183669611.1700001</v>
      </c>
      <c r="G335" s="345">
        <v>1187818086.28</v>
      </c>
      <c r="H335" s="345">
        <v>1193444141.6099999</v>
      </c>
      <c r="I335" s="345">
        <v>1196718822.3299999</v>
      </c>
      <c r="J335" s="345">
        <v>1205461196.28</v>
      </c>
      <c r="K335" s="345">
        <v>1217215082.8699999</v>
      </c>
      <c r="L335" s="345">
        <v>1219768821.8399999</v>
      </c>
      <c r="M335" s="345">
        <v>1221185968.05</v>
      </c>
      <c r="N335" s="345">
        <v>1226654487.26</v>
      </c>
      <c r="O335" s="345">
        <v>1230602459.26</v>
      </c>
      <c r="P335" s="345">
        <v>1237774817.28</v>
      </c>
      <c r="Q335" s="163">
        <v>1243453386.9300001</v>
      </c>
      <c r="R335" s="163">
        <v>1239784853.5699999</v>
      </c>
      <c r="S335" s="163">
        <v>1247743088.6099999</v>
      </c>
      <c r="T335" s="163">
        <v>1255789698.6700001</v>
      </c>
      <c r="U335" s="163">
        <v>1263521357.9300001</v>
      </c>
      <c r="V335" s="163">
        <v>1273021195.1500001</v>
      </c>
      <c r="W335" s="163">
        <v>1278370429.4000001</v>
      </c>
      <c r="X335" s="163">
        <v>1280724126.74</v>
      </c>
      <c r="Y335" s="163">
        <v>1284361394.1199999</v>
      </c>
      <c r="Z335" s="163">
        <v>1285704724.3900001</v>
      </c>
      <c r="AA335" s="163">
        <v>1290505400.77</v>
      </c>
      <c r="AB335" s="163">
        <v>1306055752.6700001</v>
      </c>
      <c r="AC335" s="163">
        <v>1307925714.0699999</v>
      </c>
      <c r="AD335" s="163">
        <v>1312431109.54</v>
      </c>
      <c r="AE335" s="163">
        <v>1322755935.72</v>
      </c>
      <c r="AF335" s="163">
        <v>1329266317.1900001</v>
      </c>
      <c r="AG335" s="163">
        <v>1334332726.99</v>
      </c>
      <c r="AH335" s="163">
        <v>1337224990.6500001</v>
      </c>
      <c r="AI335" s="163">
        <v>1347244874.27</v>
      </c>
      <c r="AJ335" s="163">
        <v>1356728799.3099999</v>
      </c>
      <c r="AK335" s="163">
        <v>1360597866.1900001</v>
      </c>
      <c r="AL335" s="163">
        <v>1365895871.6199999</v>
      </c>
      <c r="AM335" s="163">
        <v>1376010821.8299999</v>
      </c>
      <c r="AN335" s="163">
        <v>1379384662.24</v>
      </c>
      <c r="AO335" s="163">
        <v>1380967784.3299999</v>
      </c>
      <c r="AP335" s="163">
        <v>1387344814.55</v>
      </c>
      <c r="AQ335" s="163">
        <v>1399295449.5</v>
      </c>
      <c r="AR335" s="163">
        <v>1399609417.1800001</v>
      </c>
      <c r="AS335" s="163">
        <v>1402003841.02</v>
      </c>
      <c r="AT335" s="163">
        <v>1414377121.22</v>
      </c>
      <c r="AU335" s="163">
        <v>1419403427.1700001</v>
      </c>
      <c r="AV335" s="163">
        <v>1419263811.6700001</v>
      </c>
      <c r="AW335" s="163">
        <v>1434909742.95</v>
      </c>
      <c r="AX335" s="163">
        <v>1443639091.9200001</v>
      </c>
      <c r="AY335" s="163">
        <v>1445030153.6500001</v>
      </c>
      <c r="AZ335" s="163">
        <v>1454809795</v>
      </c>
      <c r="BA335" s="163">
        <v>1456901142.1099999</v>
      </c>
      <c r="BB335" s="163">
        <v>1485655069.6199999</v>
      </c>
      <c r="BC335" s="163">
        <v>1498293140.1800001</v>
      </c>
      <c r="BD335" s="163">
        <v>1505702373.5699999</v>
      </c>
      <c r="BE335" s="163">
        <v>1508978962.3499999</v>
      </c>
      <c r="BF335" s="163">
        <v>1521219901.6900001</v>
      </c>
      <c r="BG335" s="163">
        <v>1523942752.9100001</v>
      </c>
      <c r="BH335" s="163">
        <v>1541525532.6400001</v>
      </c>
      <c r="BI335" s="163">
        <v>1550361331.8800001</v>
      </c>
      <c r="BJ335" s="163">
        <v>1553271404.5599999</v>
      </c>
      <c r="BK335" s="163">
        <v>1556639342.23</v>
      </c>
      <c r="BL335" s="163">
        <v>1571168666.03</v>
      </c>
      <c r="BM335" s="163">
        <v>1574185211.3099999</v>
      </c>
      <c r="BN335" s="163">
        <v>1578994550.5899999</v>
      </c>
      <c r="BO335" s="163">
        <v>1592070662.9200001</v>
      </c>
      <c r="BP335" s="163">
        <v>1601334072.53</v>
      </c>
      <c r="BQ335" s="163">
        <v>1612685331.8900001</v>
      </c>
      <c r="BR335" s="163">
        <v>1638034321.6099999</v>
      </c>
      <c r="BS335" s="163">
        <v>1641548263.23</v>
      </c>
      <c r="BT335" s="163">
        <v>1645419289.0699999</v>
      </c>
      <c r="BU335" s="163">
        <v>1659929375.55</v>
      </c>
      <c r="BV335" s="163">
        <v>1675381568.55</v>
      </c>
      <c r="BW335" s="163">
        <v>1685840446.9200001</v>
      </c>
      <c r="BX335" s="163">
        <v>1719277611.5699999</v>
      </c>
      <c r="BY335" s="163">
        <v>1722370602.3900001</v>
      </c>
      <c r="BZ335" s="163">
        <v>1717543335.01</v>
      </c>
      <c r="CA335" s="163">
        <v>1733113857.9100001</v>
      </c>
      <c r="CB335" s="163">
        <v>1737708178.29</v>
      </c>
      <c r="CC335" s="163">
        <v>1752095483.46</v>
      </c>
      <c r="CD335" s="163">
        <v>1770287739.9200001</v>
      </c>
      <c r="CE335" s="163">
        <v>1775799561.4200001</v>
      </c>
      <c r="CF335" s="163">
        <v>1777592586.3900001</v>
      </c>
      <c r="CG335" s="163">
        <v>1800710566.9400001</v>
      </c>
      <c r="CH335" s="163">
        <v>1803688689.6700001</v>
      </c>
      <c r="CI335" s="163">
        <v>1805576868.5799999</v>
      </c>
      <c r="CJ335" s="163">
        <v>1869700333.79</v>
      </c>
      <c r="CK335" s="163">
        <v>1870076642.52</v>
      </c>
      <c r="CL335" s="163">
        <v>1884351946.8599999</v>
      </c>
      <c r="CM335" s="163">
        <v>1890043797.6800001</v>
      </c>
      <c r="CN335" s="163">
        <v>1901225432.47</v>
      </c>
      <c r="CO335" s="163">
        <v>1942744871.3299999</v>
      </c>
      <c r="CP335" s="163">
        <v>1968537429.01</v>
      </c>
      <c r="CQ335" s="163">
        <v>2043575655.5799999</v>
      </c>
      <c r="CR335" s="163">
        <v>2044747650.0799999</v>
      </c>
      <c r="CS335" s="163">
        <v>2110173824.8399999</v>
      </c>
      <c r="CT335" s="163">
        <v>2124604509.2</v>
      </c>
      <c r="CU335" s="163">
        <v>2142216450.3199999</v>
      </c>
      <c r="CV335" s="163">
        <v>2168081826.3699999</v>
      </c>
      <c r="CW335" s="163">
        <v>2183864854.3600001</v>
      </c>
      <c r="CX335" s="163">
        <v>2202545716.8400002</v>
      </c>
      <c r="CY335" s="163">
        <v>2219080125.9499998</v>
      </c>
      <c r="CZ335" s="163">
        <v>2225116449.6100001</v>
      </c>
      <c r="DA335" s="163">
        <v>2264292966.6700001</v>
      </c>
      <c r="DB335" s="163">
        <v>2291322008.2399998</v>
      </c>
      <c r="DC335" s="163">
        <v>2295822991.9899998</v>
      </c>
      <c r="DD335" s="163">
        <v>2296939736.1199999</v>
      </c>
      <c r="DE335" s="163">
        <v>2297763600.9000001</v>
      </c>
      <c r="DF335" s="163">
        <f>VLOOKUP($A335,'[3]BS ACC'!$A$258:$DH$1006,110,FALSE)</f>
        <v>2298134153.9499998</v>
      </c>
      <c r="DG335" s="163">
        <f>VLOOKUP($A335,'[3]BS ACC'!$A$258:$DH$1006,111,FALSE)</f>
        <v>2299277638.8899999</v>
      </c>
      <c r="DH335" s="163">
        <f>VLOOKUP($A335,'[3]BS ACC'!$A$258:$DH$1006,112,FALSE)</f>
        <v>2346274645.8899999</v>
      </c>
    </row>
    <row r="336" spans="1:112">
      <c r="A336" s="438" t="s">
        <v>1476</v>
      </c>
      <c r="D336" s="345"/>
      <c r="E336" s="345"/>
      <c r="F336" s="345"/>
      <c r="G336" s="345"/>
      <c r="H336" s="345"/>
      <c r="I336" s="345"/>
      <c r="J336" s="345"/>
      <c r="K336" s="345"/>
      <c r="L336" s="345"/>
      <c r="M336" s="345"/>
      <c r="N336" s="345"/>
      <c r="O336" s="345"/>
      <c r="P336" s="345"/>
      <c r="Q336" s="163"/>
      <c r="R336" s="163"/>
      <c r="S336" s="163"/>
      <c r="T336" s="163"/>
      <c r="U336" s="163"/>
      <c r="V336" s="163"/>
      <c r="W336" s="163"/>
      <c r="X336" s="163"/>
      <c r="Y336" s="163"/>
      <c r="Z336" s="163"/>
      <c r="AA336" s="163"/>
      <c r="AB336" s="163"/>
      <c r="AC336" s="163"/>
      <c r="AD336" s="163"/>
      <c r="AE336" s="163"/>
      <c r="AF336" s="163">
        <v>0</v>
      </c>
      <c r="AG336" s="163">
        <v>0</v>
      </c>
      <c r="AH336" s="163">
        <v>9286155.6300000008</v>
      </c>
      <c r="AI336" s="163">
        <v>11734138</v>
      </c>
      <c r="AJ336" s="163">
        <v>11832383.210000001</v>
      </c>
      <c r="AK336" s="163">
        <v>12032563.85</v>
      </c>
      <c r="AL336" s="163">
        <v>12032563.85</v>
      </c>
      <c r="AM336" s="163">
        <v>12032563.85</v>
      </c>
      <c r="AN336" s="163">
        <v>12033286.029999999</v>
      </c>
      <c r="AO336" s="163">
        <v>12033286.029999999</v>
      </c>
      <c r="AP336" s="163">
        <v>12033286.029999999</v>
      </c>
      <c r="AQ336" s="163">
        <v>12033286.029999999</v>
      </c>
      <c r="AR336" s="163">
        <v>12033286.029999999</v>
      </c>
      <c r="AS336" s="163">
        <v>12033286.029999999</v>
      </c>
      <c r="AT336" s="163">
        <v>12033286.029999999</v>
      </c>
      <c r="AU336" s="163">
        <v>12033286.029999999</v>
      </c>
      <c r="AV336" s="163">
        <v>12033286.029999999</v>
      </c>
      <c r="AW336" s="163">
        <v>12033286.029999999</v>
      </c>
      <c r="AX336" s="163">
        <v>12033286.029999999</v>
      </c>
      <c r="AY336" s="163">
        <v>12033286.029999999</v>
      </c>
      <c r="AZ336" s="163">
        <v>12033286.029999999</v>
      </c>
      <c r="BA336" s="163">
        <v>12033286.029999999</v>
      </c>
      <c r="BB336" s="163">
        <v>12033286.029999999</v>
      </c>
      <c r="BC336" s="163">
        <v>12033286.029999999</v>
      </c>
      <c r="BD336" s="163">
        <v>12033286.029999999</v>
      </c>
      <c r="BE336" s="163">
        <v>12033286.029999999</v>
      </c>
      <c r="BF336" s="163">
        <v>12033286.029999999</v>
      </c>
      <c r="BG336" s="163">
        <v>12033286.029999999</v>
      </c>
      <c r="BH336" s="163">
        <v>12033286.029999999</v>
      </c>
      <c r="BI336" s="163">
        <v>12033286.029999999</v>
      </c>
      <c r="BJ336" s="163">
        <v>12033286.029999999</v>
      </c>
      <c r="BK336" s="163">
        <v>12033286.029999999</v>
      </c>
      <c r="BL336" s="163">
        <v>12033286.029999999</v>
      </c>
      <c r="BM336" s="163">
        <v>12033286.029999999</v>
      </c>
      <c r="BN336" s="163">
        <v>12033286.029999999</v>
      </c>
      <c r="BO336" s="163">
        <v>12033286.029999999</v>
      </c>
      <c r="BP336" s="163">
        <v>13128442.310000001</v>
      </c>
      <c r="BQ336" s="163">
        <v>13128442.310000001</v>
      </c>
      <c r="BR336" s="163">
        <v>13128442.310000001</v>
      </c>
      <c r="BS336" s="163">
        <v>13128442.310000001</v>
      </c>
      <c r="BT336" s="163">
        <v>13128442.310000001</v>
      </c>
      <c r="BU336" s="163">
        <v>13128442.310000001</v>
      </c>
      <c r="BV336" s="163">
        <v>13128442.310000001</v>
      </c>
      <c r="BW336" s="163">
        <v>13128442.310000001</v>
      </c>
      <c r="BX336" s="163">
        <v>13128442.310000001</v>
      </c>
      <c r="BY336" s="163">
        <v>13128442.310000001</v>
      </c>
      <c r="BZ336" s="163">
        <v>13128442.310000001</v>
      </c>
      <c r="CA336" s="163">
        <v>13128442.310000001</v>
      </c>
      <c r="CB336" s="163">
        <v>13128442.310000001</v>
      </c>
      <c r="CC336" s="163">
        <v>13128442.310000001</v>
      </c>
      <c r="CD336" s="163">
        <v>13128442.310000001</v>
      </c>
      <c r="CE336" s="163">
        <v>13128442.310000001</v>
      </c>
      <c r="CF336" s="163">
        <v>13128442.310000001</v>
      </c>
      <c r="CG336" s="163">
        <v>13128442.310000001</v>
      </c>
      <c r="CH336" s="163">
        <v>13128442.310000001</v>
      </c>
      <c r="CI336" s="163">
        <v>13128442.310000001</v>
      </c>
      <c r="CJ336" s="163">
        <v>13128442.310000001</v>
      </c>
      <c r="CK336" s="163">
        <v>13128442.310000001</v>
      </c>
      <c r="CL336" s="163">
        <v>13128442.310000001</v>
      </c>
      <c r="CM336" s="163">
        <v>13128442.310000001</v>
      </c>
      <c r="CN336" s="163">
        <v>13128442.310000001</v>
      </c>
      <c r="CO336" s="163">
        <v>13128442.310000001</v>
      </c>
      <c r="CP336" s="163">
        <v>13128442.310000001</v>
      </c>
      <c r="CQ336" s="163">
        <v>13128442.310000001</v>
      </c>
      <c r="CR336" s="163">
        <v>13128442.310000001</v>
      </c>
      <c r="CS336" s="163">
        <v>13128442.310000001</v>
      </c>
      <c r="CT336" s="163">
        <v>13128442.310000001</v>
      </c>
      <c r="CU336" s="163">
        <v>13128442.310000001</v>
      </c>
      <c r="CV336" s="163">
        <v>13128442.310000001</v>
      </c>
      <c r="CW336" s="163">
        <v>13128442.310000001</v>
      </c>
      <c r="CX336" s="163">
        <v>13128442.310000001</v>
      </c>
      <c r="CY336" s="163">
        <v>10382214.34</v>
      </c>
      <c r="CZ336" s="163">
        <v>10382214.34</v>
      </c>
      <c r="DA336" s="163">
        <v>10382214.34</v>
      </c>
      <c r="DB336" s="163">
        <v>10382214.34</v>
      </c>
      <c r="DC336" s="163">
        <v>2527001.42</v>
      </c>
      <c r="DD336" s="163">
        <v>2527001.42</v>
      </c>
      <c r="DE336" s="163">
        <v>2527001.42</v>
      </c>
      <c r="DF336" s="163">
        <f>VLOOKUP($A336,'[3]BS ACC'!$A$258:$DH$1006,110,FALSE)</f>
        <v>2527001.42</v>
      </c>
      <c r="DG336" s="163">
        <f>VLOOKUP($A336,'[3]BS ACC'!$A$258:$DH$1006,111,FALSE)</f>
        <v>2527001.42</v>
      </c>
      <c r="DH336" s="163">
        <f>VLOOKUP($A336,'[3]BS ACC'!$A$258:$DH$1006,112,FALSE)</f>
        <v>2527001.42</v>
      </c>
    </row>
    <row r="337" spans="1:112">
      <c r="A337" t="s">
        <v>828</v>
      </c>
      <c r="D337" s="345">
        <v>1937574.45</v>
      </c>
      <c r="E337" s="345">
        <v>1939551.55</v>
      </c>
      <c r="F337" s="345">
        <v>1939551.55</v>
      </c>
      <c r="G337" s="345">
        <v>2983016.36</v>
      </c>
      <c r="H337" s="345">
        <v>2983016.36</v>
      </c>
      <c r="I337" s="345">
        <v>2983016.36</v>
      </c>
      <c r="J337" s="345">
        <v>2983016.36</v>
      </c>
      <c r="K337" s="345">
        <v>2983016.36</v>
      </c>
      <c r="L337" s="345">
        <v>2983016.36</v>
      </c>
      <c r="M337" s="345">
        <v>2983016.36</v>
      </c>
      <c r="N337" s="345">
        <v>2983066.99</v>
      </c>
      <c r="O337" s="345">
        <v>2983066.99</v>
      </c>
      <c r="P337" s="345">
        <v>2984633.79</v>
      </c>
      <c r="Q337" s="163">
        <v>2984633.79</v>
      </c>
      <c r="R337" s="163">
        <v>2984633.79</v>
      </c>
      <c r="S337" s="163">
        <v>2984633.79</v>
      </c>
      <c r="T337" s="163">
        <v>2984633.79</v>
      </c>
      <c r="U337" s="163">
        <v>2984633.79</v>
      </c>
      <c r="V337" s="163">
        <v>1939551.55</v>
      </c>
      <c r="W337" s="163">
        <v>1939551.55</v>
      </c>
      <c r="X337" s="163">
        <v>1939551.55</v>
      </c>
      <c r="Y337" s="163">
        <v>1939551.55</v>
      </c>
      <c r="Z337" s="163">
        <v>1939551.55</v>
      </c>
      <c r="AA337" s="163">
        <v>1939551.55</v>
      </c>
      <c r="AB337" s="163">
        <v>1939551.55</v>
      </c>
      <c r="AC337" s="163">
        <v>1939551.55</v>
      </c>
      <c r="AD337" s="163">
        <v>1939551.55</v>
      </c>
      <c r="AE337" s="163">
        <v>1939551.55</v>
      </c>
      <c r="AF337" s="163">
        <v>1939551.55</v>
      </c>
      <c r="AG337" s="163">
        <v>1939551.55</v>
      </c>
      <c r="AH337" s="163">
        <v>1939551.55</v>
      </c>
      <c r="AI337" s="163">
        <v>1939551.55</v>
      </c>
      <c r="AJ337" s="163">
        <v>1939551.55</v>
      </c>
      <c r="AK337" s="163">
        <v>1939551.55</v>
      </c>
      <c r="AL337" s="163">
        <v>1939551.55</v>
      </c>
      <c r="AM337" s="163">
        <v>1939551.55</v>
      </c>
      <c r="AN337" s="163">
        <v>1939551.55</v>
      </c>
      <c r="AO337" s="163">
        <v>1939551.55</v>
      </c>
      <c r="AP337" s="163">
        <v>1939551.55</v>
      </c>
      <c r="AQ337" s="163">
        <v>1939551.55</v>
      </c>
      <c r="AR337" s="163">
        <v>1939551.55</v>
      </c>
      <c r="AS337" s="163">
        <v>1939551.55</v>
      </c>
      <c r="AT337" s="163">
        <v>1939551.55</v>
      </c>
      <c r="AU337" s="163">
        <v>1939551.55</v>
      </c>
      <c r="AV337" s="163">
        <v>1939551.55</v>
      </c>
      <c r="AW337" s="163">
        <v>1939551.55</v>
      </c>
      <c r="AX337" s="163">
        <v>1939551.55</v>
      </c>
      <c r="AY337" s="163">
        <v>1939551.55</v>
      </c>
      <c r="AZ337" s="163">
        <v>1939551.55</v>
      </c>
      <c r="BA337" s="163">
        <v>1939551.55</v>
      </c>
      <c r="BB337" s="163">
        <v>1939551.55</v>
      </c>
      <c r="BC337" s="163">
        <v>1939551.55</v>
      </c>
      <c r="BD337" s="163">
        <v>1939551.55</v>
      </c>
      <c r="BE337" s="163">
        <v>1939551.55</v>
      </c>
      <c r="BF337" s="163">
        <v>1939551.55</v>
      </c>
      <c r="BG337" s="163">
        <v>1939551.55</v>
      </c>
      <c r="BH337" s="163">
        <v>1939551.55</v>
      </c>
      <c r="BI337" s="163">
        <v>1939551.55</v>
      </c>
      <c r="BJ337" s="163">
        <v>1939551.55</v>
      </c>
      <c r="BK337" s="163">
        <v>1939551.55</v>
      </c>
      <c r="BL337" s="163">
        <v>1939551.55</v>
      </c>
      <c r="BM337" s="163">
        <v>1939551.55</v>
      </c>
      <c r="BN337" s="163">
        <v>1939551.55</v>
      </c>
      <c r="BO337" s="163">
        <v>1939551.55</v>
      </c>
      <c r="BP337" s="163">
        <v>1939551.55</v>
      </c>
      <c r="BQ337" s="163">
        <v>1939551.55</v>
      </c>
      <c r="BR337" s="163">
        <v>1939551.55</v>
      </c>
      <c r="BS337" s="163">
        <v>1939551.55</v>
      </c>
      <c r="BT337" s="163">
        <v>1939551.55</v>
      </c>
      <c r="BU337" s="163">
        <v>1939551.55</v>
      </c>
      <c r="BV337" s="163">
        <v>1939551.55</v>
      </c>
      <c r="BW337" s="163">
        <v>1939551.55</v>
      </c>
      <c r="BX337" s="163">
        <v>1939551.55</v>
      </c>
      <c r="BY337" s="163">
        <v>1939551.55</v>
      </c>
      <c r="BZ337" s="163">
        <v>1939551.55</v>
      </c>
      <c r="CA337" s="163">
        <v>1939551.55</v>
      </c>
      <c r="CB337" s="163">
        <v>1939551.55</v>
      </c>
      <c r="CC337" s="163">
        <v>1939551.55</v>
      </c>
      <c r="CD337" s="163">
        <v>1939551.55</v>
      </c>
      <c r="CE337" s="163">
        <v>1939551.55</v>
      </c>
      <c r="CF337" s="163">
        <v>1939551.55</v>
      </c>
      <c r="CG337" s="163">
        <v>1939551.55</v>
      </c>
      <c r="CH337" s="163">
        <v>1939551.55</v>
      </c>
      <c r="CI337" s="163">
        <v>1939551.55</v>
      </c>
      <c r="CJ337" s="163">
        <v>1939551.55</v>
      </c>
      <c r="CK337" s="163">
        <v>1939551.55</v>
      </c>
      <c r="CL337" s="163">
        <v>1939551.55</v>
      </c>
      <c r="CM337" s="163">
        <v>1939551.55</v>
      </c>
      <c r="CN337" s="163">
        <v>1939551.55</v>
      </c>
      <c r="CO337" s="163">
        <v>1939551.55</v>
      </c>
      <c r="CP337" s="163">
        <v>1939551.55</v>
      </c>
      <c r="CQ337" s="163">
        <v>1939551.55</v>
      </c>
      <c r="CR337" s="163">
        <v>1939551.55</v>
      </c>
      <c r="CS337" s="163">
        <v>1939551.55</v>
      </c>
      <c r="CT337" s="163">
        <v>1939551.55</v>
      </c>
      <c r="CU337" s="163">
        <v>1939551.55</v>
      </c>
      <c r="CV337" s="163">
        <v>1939551.55</v>
      </c>
      <c r="CW337" s="163">
        <v>1939551.55</v>
      </c>
      <c r="CX337" s="163">
        <v>1939551.55</v>
      </c>
      <c r="CY337" s="163">
        <v>1939551.55</v>
      </c>
      <c r="CZ337" s="163">
        <v>1939551.55</v>
      </c>
      <c r="DA337" s="163">
        <v>1939551.55</v>
      </c>
      <c r="DB337" s="163">
        <v>1939551.55</v>
      </c>
      <c r="DC337" s="163">
        <v>1939551.55</v>
      </c>
      <c r="DD337" s="163">
        <v>1939551.55</v>
      </c>
      <c r="DE337" s="163">
        <v>1939551.55</v>
      </c>
      <c r="DF337" s="163">
        <f>VLOOKUP($A337,'[3]BS ACC'!$A$258:$DH$1006,110,FALSE)</f>
        <v>1939551.55</v>
      </c>
      <c r="DG337" s="163">
        <f>VLOOKUP($A337,'[3]BS ACC'!$A$258:$DH$1006,111,FALSE)</f>
        <v>1939551.55</v>
      </c>
      <c r="DH337" s="163">
        <f>VLOOKUP($A337,'[3]BS ACC'!$A$258:$DH$1006,112,FALSE)</f>
        <v>1939551.55</v>
      </c>
    </row>
    <row r="338" spans="1:112">
      <c r="A338" t="s">
        <v>829</v>
      </c>
      <c r="D338" s="345">
        <v>55155772.07</v>
      </c>
      <c r="E338" s="345">
        <v>59777134.939999998</v>
      </c>
      <c r="F338" s="345">
        <v>59522741.600000001</v>
      </c>
      <c r="G338" s="345">
        <v>59811525.289999999</v>
      </c>
      <c r="H338" s="345">
        <v>60269073.789999999</v>
      </c>
      <c r="I338" s="345">
        <v>60378387.729999997</v>
      </c>
      <c r="J338" s="345">
        <v>54234691.420000002</v>
      </c>
      <c r="K338" s="345">
        <v>53319052.539999999</v>
      </c>
      <c r="L338" s="345">
        <v>55502445.530000001</v>
      </c>
      <c r="M338" s="345">
        <v>59575230</v>
      </c>
      <c r="N338" s="345">
        <v>63821406.780000001</v>
      </c>
      <c r="O338" s="345">
        <v>65705035.090000004</v>
      </c>
      <c r="P338" s="345">
        <v>65158239.32</v>
      </c>
      <c r="Q338" s="163">
        <v>64389407.079999998</v>
      </c>
      <c r="R338" s="163">
        <v>68828252.959999993</v>
      </c>
      <c r="S338" s="163">
        <v>64965719.759999998</v>
      </c>
      <c r="T338" s="163">
        <v>72489418</v>
      </c>
      <c r="U338" s="163">
        <v>72631177.180000007</v>
      </c>
      <c r="V338" s="163">
        <v>80039720.680000007</v>
      </c>
      <c r="W338" s="163">
        <v>78249525.939999998</v>
      </c>
      <c r="X338" s="163">
        <v>79646995.340000004</v>
      </c>
      <c r="Y338" s="163">
        <v>83186059.040000007</v>
      </c>
      <c r="Z338" s="163">
        <v>87491897.939999998</v>
      </c>
      <c r="AA338" s="163">
        <v>91246711.870000005</v>
      </c>
      <c r="AB338" s="163">
        <v>86192242.730000004</v>
      </c>
      <c r="AC338" s="163">
        <v>94491003.510000005</v>
      </c>
      <c r="AD338" s="163">
        <v>95210306.680000007</v>
      </c>
      <c r="AE338" s="163">
        <v>90134370.25</v>
      </c>
      <c r="AF338" s="163">
        <v>89673217.290000007</v>
      </c>
      <c r="AG338" s="163">
        <v>88170581.299999997</v>
      </c>
      <c r="AH338" s="163">
        <v>101902285.98</v>
      </c>
      <c r="AI338" s="163">
        <v>97464103.069999993</v>
      </c>
      <c r="AJ338" s="163">
        <v>94939397.230000004</v>
      </c>
      <c r="AK338" s="163">
        <v>94936476.810000002</v>
      </c>
      <c r="AL338" s="163">
        <v>106629096.68000001</v>
      </c>
      <c r="AM338" s="163">
        <v>103796910.95</v>
      </c>
      <c r="AN338" s="163">
        <v>116017760.18000001</v>
      </c>
      <c r="AO338" s="163">
        <v>123478325.7</v>
      </c>
      <c r="AP338" s="163">
        <v>123104497.54000001</v>
      </c>
      <c r="AQ338" s="163">
        <v>121594992.75</v>
      </c>
      <c r="AR338" s="163">
        <v>126843059.06</v>
      </c>
      <c r="AS338" s="163">
        <v>130438687.8</v>
      </c>
      <c r="AT338" s="163">
        <v>124575686.33</v>
      </c>
      <c r="AU338" s="163">
        <v>126774655.27</v>
      </c>
      <c r="AV338" s="163">
        <v>137418686.12</v>
      </c>
      <c r="AW338" s="163">
        <v>137030683.94</v>
      </c>
      <c r="AX338" s="163">
        <v>139217028.97</v>
      </c>
      <c r="AY338" s="163">
        <v>145683536.13999999</v>
      </c>
      <c r="AZ338" s="163">
        <v>146308565.94</v>
      </c>
      <c r="BA338" s="163">
        <v>157102252.53999999</v>
      </c>
      <c r="BB338" s="163">
        <v>135334145.16999999</v>
      </c>
      <c r="BC338" s="163">
        <v>134638092.81</v>
      </c>
      <c r="BD338" s="163">
        <v>134348672.25</v>
      </c>
      <c r="BE338" s="163">
        <v>147286293.41999999</v>
      </c>
      <c r="BF338" s="163">
        <v>142572224.63</v>
      </c>
      <c r="BG338" s="163">
        <v>148353060.91999999</v>
      </c>
      <c r="BH338" s="163">
        <v>140643217.83000001</v>
      </c>
      <c r="BI338" s="163">
        <v>138692376.77000001</v>
      </c>
      <c r="BJ338" s="163">
        <v>147018174.91</v>
      </c>
      <c r="BK338" s="163">
        <v>170081630.19999999</v>
      </c>
      <c r="BL338" s="163">
        <v>178863957</v>
      </c>
      <c r="BM338" s="163">
        <v>187836788.50999999</v>
      </c>
      <c r="BN338" s="163">
        <v>201744680.5</v>
      </c>
      <c r="BO338" s="163">
        <v>205080951.90000001</v>
      </c>
      <c r="BP338" s="163">
        <v>206811472.78999999</v>
      </c>
      <c r="BQ338" s="163">
        <v>208625228.19</v>
      </c>
      <c r="BR338" s="163">
        <v>198920933.38999999</v>
      </c>
      <c r="BS338" s="163">
        <v>207592067.80000001</v>
      </c>
      <c r="BT338" s="163">
        <v>212178321.44</v>
      </c>
      <c r="BU338" s="163">
        <v>216700510.66999999</v>
      </c>
      <c r="BV338" s="163">
        <v>212255031.72999999</v>
      </c>
      <c r="BW338" s="163">
        <v>225486245.28999999</v>
      </c>
      <c r="BX338" s="163">
        <v>208469489.09</v>
      </c>
      <c r="BY338" s="163">
        <v>214740525.37</v>
      </c>
      <c r="BZ338" s="163">
        <v>233879588.15000001</v>
      </c>
      <c r="CA338" s="163">
        <v>236630022.56</v>
      </c>
      <c r="CB338" s="163">
        <v>245175601.69999999</v>
      </c>
      <c r="CC338" s="163">
        <v>243003938.44</v>
      </c>
      <c r="CD338" s="163">
        <v>239387266.99000001</v>
      </c>
      <c r="CE338" s="163">
        <v>244937641.88</v>
      </c>
      <c r="CF338" s="163">
        <v>262835663.27000001</v>
      </c>
      <c r="CG338" s="163">
        <v>255783925.18000001</v>
      </c>
      <c r="CH338" s="163">
        <v>331089860.20999998</v>
      </c>
      <c r="CI338" s="163">
        <v>349864270.37</v>
      </c>
      <c r="CJ338" s="163">
        <v>307437320.20999998</v>
      </c>
      <c r="CK338" s="163">
        <v>327435776.81</v>
      </c>
      <c r="CL338" s="163">
        <v>320782810.11000001</v>
      </c>
      <c r="CM338" s="163">
        <v>334363018.18000001</v>
      </c>
      <c r="CN338" s="163">
        <v>398104794.31999999</v>
      </c>
      <c r="CO338" s="163">
        <v>370986194.32999998</v>
      </c>
      <c r="CP338" s="163">
        <v>357640735.67000002</v>
      </c>
      <c r="CQ338" s="163">
        <v>292578511.06</v>
      </c>
      <c r="CR338" s="163">
        <v>302547183.81999999</v>
      </c>
      <c r="CS338" s="163">
        <v>247163875.91999999</v>
      </c>
      <c r="CT338" s="163">
        <v>243388959.18000001</v>
      </c>
      <c r="CU338" s="163">
        <v>300047316.99000001</v>
      </c>
      <c r="CV338" s="163">
        <v>297505685.51999998</v>
      </c>
      <c r="CW338" s="163">
        <v>293670988.24000001</v>
      </c>
      <c r="CX338" s="163">
        <v>294694023.07999998</v>
      </c>
      <c r="CY338" s="163">
        <v>290733193.19999999</v>
      </c>
      <c r="CZ338" s="163">
        <v>302344491.98000002</v>
      </c>
      <c r="DA338" s="163">
        <v>283595429.08999997</v>
      </c>
      <c r="DB338" s="163">
        <v>272186852.60000002</v>
      </c>
      <c r="DC338" s="163">
        <v>279198375.10000002</v>
      </c>
      <c r="DD338" s="163">
        <v>293707332.66000003</v>
      </c>
      <c r="DE338" s="163">
        <v>304307169.75</v>
      </c>
      <c r="DF338" s="163">
        <f>VLOOKUP($A338,'[3]BS ACC'!$A$258:$DH$1006,110,FALSE)</f>
        <v>359987415.35000002</v>
      </c>
      <c r="DG338" s="163">
        <f>VLOOKUP($A338,'[3]BS ACC'!$A$258:$DH$1006,111,FALSE)</f>
        <v>371496189.58999997</v>
      </c>
      <c r="DH338" s="163">
        <f>VLOOKUP($A338,'[3]BS ACC'!$A$258:$DH$1006,112,FALSE)</f>
        <v>331968650.48000002</v>
      </c>
    </row>
    <row r="339" spans="1:112">
      <c r="A339" t="s">
        <v>830</v>
      </c>
      <c r="D339" s="345">
        <v>37999178.799999997</v>
      </c>
      <c r="E339" s="345">
        <v>35807420.920000002</v>
      </c>
      <c r="F339" s="345">
        <v>39501441.969999999</v>
      </c>
      <c r="G339" s="345">
        <v>40111903.259999998</v>
      </c>
      <c r="H339" s="345">
        <v>40338458.479999997</v>
      </c>
      <c r="I339" s="345">
        <v>42218897.460000001</v>
      </c>
      <c r="J339" s="345">
        <v>45750443.969999999</v>
      </c>
      <c r="K339" s="345">
        <v>40929057.259999998</v>
      </c>
      <c r="L339" s="345">
        <v>43483994.240000002</v>
      </c>
      <c r="M339" s="345">
        <v>44285914.039999999</v>
      </c>
      <c r="N339" s="345">
        <v>40392561.509999998</v>
      </c>
      <c r="O339" s="345">
        <v>40115222.409999996</v>
      </c>
      <c r="P339" s="345">
        <v>46635954.68</v>
      </c>
      <c r="Q339" s="163">
        <v>46972143.590000004</v>
      </c>
      <c r="R339" s="163">
        <v>42466526.619999997</v>
      </c>
      <c r="S339" s="163">
        <v>44747851.289999999</v>
      </c>
      <c r="T339" s="163">
        <v>34317936.780000001</v>
      </c>
      <c r="U339" s="163">
        <v>31350733.390000001</v>
      </c>
      <c r="V339" s="163">
        <v>23330873.239999998</v>
      </c>
      <c r="W339" s="163">
        <v>26918285.91</v>
      </c>
      <c r="X339" s="163">
        <v>28581241</v>
      </c>
      <c r="Y339" s="163">
        <v>27609368.649999999</v>
      </c>
      <c r="Z339" s="163">
        <v>30037295.84</v>
      </c>
      <c r="AA339" s="163">
        <v>31116400.140000001</v>
      </c>
      <c r="AB339" s="163">
        <v>32173444.620000001</v>
      </c>
      <c r="AC339" s="163">
        <v>26347085.84</v>
      </c>
      <c r="AD339" s="163">
        <v>34957213.460000001</v>
      </c>
      <c r="AE339" s="163">
        <v>38950809.469999999</v>
      </c>
      <c r="AF339" s="163">
        <v>40408048.75</v>
      </c>
      <c r="AG339" s="163">
        <v>47638018.75</v>
      </c>
      <c r="AH339" s="163">
        <v>31292455.239999998</v>
      </c>
      <c r="AI339" s="163">
        <v>31457023.140000001</v>
      </c>
      <c r="AJ339" s="163">
        <v>32878080.420000002</v>
      </c>
      <c r="AK339" s="163">
        <v>39114341.969999999</v>
      </c>
      <c r="AL339" s="163">
        <v>30953975.800000001</v>
      </c>
      <c r="AM339" s="163">
        <v>33838173.210000001</v>
      </c>
      <c r="AN339" s="163">
        <v>27484714.870000001</v>
      </c>
      <c r="AO339" s="163">
        <v>23589092.920000002</v>
      </c>
      <c r="AP339" s="163">
        <v>25860519.969999999</v>
      </c>
      <c r="AQ339" s="163">
        <v>22431305.52</v>
      </c>
      <c r="AR339" s="163">
        <v>19601495.550000001</v>
      </c>
      <c r="AS339" s="163">
        <v>22896680.879999999</v>
      </c>
      <c r="AT339" s="163">
        <v>23021023.920000002</v>
      </c>
      <c r="AU339" s="163">
        <v>24466916.82</v>
      </c>
      <c r="AV339" s="163">
        <v>26444168.329999998</v>
      </c>
      <c r="AW339" s="163">
        <v>19059484.760000002</v>
      </c>
      <c r="AX339" s="163">
        <v>18962145</v>
      </c>
      <c r="AY339" s="163">
        <v>20898478.719999999</v>
      </c>
      <c r="AZ339" s="163">
        <v>22182235.109999999</v>
      </c>
      <c r="BA339" s="163">
        <v>18556747.960000001</v>
      </c>
      <c r="BB339" s="163">
        <v>20715951.399999999</v>
      </c>
      <c r="BC339" s="163">
        <v>22686371.66</v>
      </c>
      <c r="BD339" s="163">
        <v>24764408.57</v>
      </c>
      <c r="BE339" s="163">
        <v>22852997.649999999</v>
      </c>
      <c r="BF339" s="163">
        <v>25749403.039999999</v>
      </c>
      <c r="BG339" s="163">
        <v>27787371.550000001</v>
      </c>
      <c r="BH339" s="163">
        <v>32937378.98</v>
      </c>
      <c r="BI339" s="163">
        <v>42024779.399999999</v>
      </c>
      <c r="BJ339" s="163">
        <v>49273450.009999998</v>
      </c>
      <c r="BK339" s="163">
        <v>40575117.020000003</v>
      </c>
      <c r="BL339" s="163">
        <v>32694180.890000001</v>
      </c>
      <c r="BM339" s="163">
        <v>37233262.219999999</v>
      </c>
      <c r="BN339" s="163">
        <v>30935389.949999999</v>
      </c>
      <c r="BO339" s="163">
        <v>31118917.460000001</v>
      </c>
      <c r="BP339" s="163">
        <v>32041115.710000001</v>
      </c>
      <c r="BQ339" s="163">
        <v>37503290.119999997</v>
      </c>
      <c r="BR339" s="163">
        <v>39013136.270000003</v>
      </c>
      <c r="BS339" s="163">
        <v>43393050.829999998</v>
      </c>
      <c r="BT339" s="163">
        <v>55128154.759999998</v>
      </c>
      <c r="BU339" s="163">
        <v>55798695.200000003</v>
      </c>
      <c r="BV339" s="163">
        <v>62985742.700000003</v>
      </c>
      <c r="BW339" s="163">
        <v>59495069.460000001</v>
      </c>
      <c r="BX339" s="163">
        <v>71222206.430000007</v>
      </c>
      <c r="BY339" s="163">
        <v>87383269.209999993</v>
      </c>
      <c r="BZ339" s="163">
        <v>89788572.590000004</v>
      </c>
      <c r="CA339" s="163">
        <v>92714028.870000005</v>
      </c>
      <c r="CB339" s="163">
        <v>105186283.93000001</v>
      </c>
      <c r="CC339" s="163">
        <v>119487898.45</v>
      </c>
      <c r="CD339" s="163">
        <v>129123895.42</v>
      </c>
      <c r="CE339" s="163">
        <v>142981953.91999999</v>
      </c>
      <c r="CF339" s="163">
        <v>160185910.00999999</v>
      </c>
      <c r="CG339" s="163">
        <v>169862754.34</v>
      </c>
      <c r="CH339" s="163">
        <v>123028338.83</v>
      </c>
      <c r="CI339" s="163">
        <v>131449528.66</v>
      </c>
      <c r="CJ339" s="163">
        <v>140807877.94999999</v>
      </c>
      <c r="CK339" s="163">
        <v>142689499.03</v>
      </c>
      <c r="CL339" s="163">
        <v>158270839.91</v>
      </c>
      <c r="CM339" s="163">
        <v>168655143.25</v>
      </c>
      <c r="CN339" s="163">
        <v>116700530.19</v>
      </c>
      <c r="CO339" s="163">
        <v>118593709.79000001</v>
      </c>
      <c r="CP339" s="163">
        <v>130442949.62</v>
      </c>
      <c r="CQ339" s="163">
        <v>145786057.19</v>
      </c>
      <c r="CR339" s="163">
        <v>159472172.24000001</v>
      </c>
      <c r="CS339" s="163">
        <v>174423907.46000001</v>
      </c>
      <c r="CT339" s="163">
        <v>191413442.62</v>
      </c>
      <c r="CU339" s="163">
        <v>142092425.80000001</v>
      </c>
      <c r="CV339" s="163">
        <v>147483849.61000001</v>
      </c>
      <c r="CW339" s="163">
        <v>158111229.03999999</v>
      </c>
      <c r="CX339" s="163">
        <v>162199578.15000001</v>
      </c>
      <c r="CY339" s="163">
        <v>174470939.97</v>
      </c>
      <c r="CZ339" s="163">
        <v>184225626.90000001</v>
      </c>
      <c r="DA339" s="163">
        <v>188333223.03999999</v>
      </c>
      <c r="DB339" s="163">
        <v>201983440.96000001</v>
      </c>
      <c r="DC339" s="163">
        <v>212538815.99000001</v>
      </c>
      <c r="DD339" s="163">
        <v>225280632.13</v>
      </c>
      <c r="DE339" s="163">
        <v>235379560.06999999</v>
      </c>
      <c r="DF339" s="163">
        <f>VLOOKUP($A339,'[3]BS ACC'!$A$258:$DH$1006,110,FALSE)</f>
        <v>200850235.99000001</v>
      </c>
      <c r="DG339" s="163">
        <f>VLOOKUP($A339,'[3]BS ACC'!$A$258:$DH$1006,111,FALSE)</f>
        <v>210666560.53999999</v>
      </c>
      <c r="DH339" s="163">
        <f>VLOOKUP($A339,'[3]BS ACC'!$A$258:$DH$1006,112,FALSE)</f>
        <v>246108951.69999999</v>
      </c>
    </row>
    <row r="340" spans="1:112">
      <c r="A340" t="s">
        <v>831</v>
      </c>
      <c r="D340" s="345">
        <v>-591732868.38</v>
      </c>
      <c r="E340" s="345">
        <v>-586438818.78999996</v>
      </c>
      <c r="F340" s="345">
        <v>-589714267.12</v>
      </c>
      <c r="G340" s="345">
        <v>-593393723.83000004</v>
      </c>
      <c r="H340" s="345">
        <v>-597195509.63999999</v>
      </c>
      <c r="I340" s="345">
        <v>-600813568.86000001</v>
      </c>
      <c r="J340" s="345">
        <v>-604258867.55999994</v>
      </c>
      <c r="K340" s="345">
        <v>-608066002.65999997</v>
      </c>
      <c r="L340" s="345">
        <v>-611666579.42999995</v>
      </c>
      <c r="M340" s="345">
        <v>-615192145.04999995</v>
      </c>
      <c r="N340" s="345">
        <v>-618696989.74000001</v>
      </c>
      <c r="O340" s="345">
        <v>-622798749.75</v>
      </c>
      <c r="P340" s="345">
        <v>-626414223.22000003</v>
      </c>
      <c r="Q340" s="163">
        <v>-630297320.54999995</v>
      </c>
      <c r="R340" s="163">
        <v>-626026462.19000006</v>
      </c>
      <c r="S340" s="163">
        <v>-629481787.77999997</v>
      </c>
      <c r="T340" s="163">
        <v>-633407694.87</v>
      </c>
      <c r="U340" s="163">
        <v>-637113261.25</v>
      </c>
      <c r="V340" s="163">
        <v>-640997847.29999995</v>
      </c>
      <c r="W340" s="163">
        <v>-645031433.07000005</v>
      </c>
      <c r="X340" s="163">
        <v>-649212312.63999999</v>
      </c>
      <c r="Y340" s="163">
        <v>-652925758.14999998</v>
      </c>
      <c r="Z340" s="163">
        <v>-656937250.03999996</v>
      </c>
      <c r="AA340" s="163">
        <v>-661219178.77999997</v>
      </c>
      <c r="AB340" s="163">
        <v>-664335974.89999998</v>
      </c>
      <c r="AC340" s="163">
        <v>-667989386.65999997</v>
      </c>
      <c r="AD340" s="163">
        <v>-672306115</v>
      </c>
      <c r="AE340" s="163">
        <v>-676277049.35000002</v>
      </c>
      <c r="AF340" s="163">
        <v>-680505885.42999995</v>
      </c>
      <c r="AG340" s="163">
        <v>-684834510.82000005</v>
      </c>
      <c r="AH340" s="163">
        <v>-684675508.84000003</v>
      </c>
      <c r="AI340" s="163">
        <v>-688653882.73000002</v>
      </c>
      <c r="AJ340" s="163">
        <v>-691884393.03999996</v>
      </c>
      <c r="AK340" s="163">
        <v>-696374970.34000003</v>
      </c>
      <c r="AL340" s="163">
        <v>-700644431.88999999</v>
      </c>
      <c r="AM340" s="163">
        <v>-704927856.59000003</v>
      </c>
      <c r="AN340" s="163">
        <v>-687208168.71000004</v>
      </c>
      <c r="AO340" s="163">
        <v>-690169834.59000003</v>
      </c>
      <c r="AP340" s="163">
        <v>-693153573.80999994</v>
      </c>
      <c r="AQ340" s="163">
        <v>-694271995.13</v>
      </c>
      <c r="AR340" s="163">
        <v>-693184465.02999997</v>
      </c>
      <c r="AS340" s="163">
        <v>-695973381.70000005</v>
      </c>
      <c r="AT340" s="163">
        <v>-698534833.57000005</v>
      </c>
      <c r="AU340" s="163">
        <v>-701315186.72000003</v>
      </c>
      <c r="AV340" s="163">
        <v>-703914969.53999996</v>
      </c>
      <c r="AW340" s="163">
        <v>-706721435.25</v>
      </c>
      <c r="AX340" s="163">
        <v>-709443426.14999998</v>
      </c>
      <c r="AY340" s="163">
        <v>-712123791.53999996</v>
      </c>
      <c r="AZ340" s="163">
        <v>-714503895.71000004</v>
      </c>
      <c r="BA340" s="163">
        <v>-717952437.62</v>
      </c>
      <c r="BB340" s="163">
        <v>-720656875.60000002</v>
      </c>
      <c r="BC340" s="163">
        <v>-723782502.20000005</v>
      </c>
      <c r="BD340" s="163">
        <v>-727366333.71000004</v>
      </c>
      <c r="BE340" s="163">
        <v>-730787864.12</v>
      </c>
      <c r="BF340" s="163">
        <v>-733638285.32000005</v>
      </c>
      <c r="BG340" s="163">
        <v>-737472788.20000005</v>
      </c>
      <c r="BH340" s="163">
        <v>-740968301.04999995</v>
      </c>
      <c r="BI340" s="163">
        <v>-744211194.49000001</v>
      </c>
      <c r="BJ340" s="163">
        <v>-747000982.42999995</v>
      </c>
      <c r="BK340" s="163">
        <v>-750770490.00999999</v>
      </c>
      <c r="BL340" s="163">
        <v>-753420911.94000006</v>
      </c>
      <c r="BM340" s="163">
        <v>-755706931.53999996</v>
      </c>
      <c r="BN340" s="163">
        <v>-757908542.75</v>
      </c>
      <c r="BO340" s="163">
        <v>-760609162.13999999</v>
      </c>
      <c r="BP340" s="163">
        <v>-762994092.24000001</v>
      </c>
      <c r="BQ340" s="163">
        <v>-764941372.60000002</v>
      </c>
      <c r="BR340" s="163">
        <v>-766137111.20000005</v>
      </c>
      <c r="BS340" s="163">
        <v>-768151293.82000005</v>
      </c>
      <c r="BT340" s="163">
        <v>-770595065.63</v>
      </c>
      <c r="BU340" s="163">
        <v>-773316731.99000001</v>
      </c>
      <c r="BV340" s="163">
        <v>-775447937.87</v>
      </c>
      <c r="BW340" s="163">
        <v>-778339907.90999997</v>
      </c>
      <c r="BX340" s="163">
        <v>-779592931.48000002</v>
      </c>
      <c r="BY340" s="163">
        <v>-787561490.44000006</v>
      </c>
      <c r="BZ340" s="163">
        <v>-784003538.62</v>
      </c>
      <c r="CA340" s="163">
        <v>-786728230.58000004</v>
      </c>
      <c r="CB340" s="163">
        <v>-789502238.74000001</v>
      </c>
      <c r="CC340" s="163">
        <v>-792523585.24000001</v>
      </c>
      <c r="CD340" s="163">
        <v>-795307920.09000003</v>
      </c>
      <c r="CE340" s="163">
        <v>-797766058.53999996</v>
      </c>
      <c r="CF340" s="163">
        <v>-800835996.24000001</v>
      </c>
      <c r="CG340" s="163">
        <v>-803672762.35000002</v>
      </c>
      <c r="CH340" s="163">
        <v>-806734300.20000005</v>
      </c>
      <c r="CI340" s="163">
        <v>-809930321.29999995</v>
      </c>
      <c r="CJ340" s="163">
        <v>-809884064.34000003</v>
      </c>
      <c r="CK340" s="163">
        <v>-814807614.39999998</v>
      </c>
      <c r="CL340" s="163">
        <v>-814722203.86000001</v>
      </c>
      <c r="CM340" s="163">
        <v>-818252605.88</v>
      </c>
      <c r="CN340" s="163">
        <v>-821587436.40999997</v>
      </c>
      <c r="CO340" s="163">
        <v>-825008671.97000003</v>
      </c>
      <c r="CP340" s="163">
        <v>-827883017.86000001</v>
      </c>
      <c r="CQ340" s="163">
        <v>-830732101.87</v>
      </c>
      <c r="CR340" s="163">
        <v>-834604786.10000002</v>
      </c>
      <c r="CS340" s="163">
        <v>-837679167.07000005</v>
      </c>
      <c r="CT340" s="163">
        <v>-839246062</v>
      </c>
      <c r="CU340" s="163">
        <v>-840967516.52999997</v>
      </c>
      <c r="CV340" s="163">
        <v>-849619392.89999998</v>
      </c>
      <c r="CW340" s="163">
        <v>-853049332.07000005</v>
      </c>
      <c r="CX340" s="163">
        <v>-857133985.26999998</v>
      </c>
      <c r="CY340" s="163">
        <v>-855261647.28999996</v>
      </c>
      <c r="CZ340" s="163">
        <v>-858245069.20000005</v>
      </c>
      <c r="DA340" s="163">
        <v>-862262649.89999998</v>
      </c>
      <c r="DB340" s="163">
        <v>-860036033.69000006</v>
      </c>
      <c r="DC340" s="163">
        <v>-861877921.13</v>
      </c>
      <c r="DD340" s="163">
        <v>-865640518.76999998</v>
      </c>
      <c r="DE340" s="163">
        <v>-865216614.13</v>
      </c>
      <c r="DF340" s="163">
        <f>VLOOKUP($A340,'[3]BS ACC'!$A$258:$DH$1006,110,FALSE)</f>
        <v>-869558133.36000001</v>
      </c>
      <c r="DG340" s="163">
        <f>VLOOKUP($A340,'[3]BS ACC'!$A$258:$DH$1006,111,FALSE)</f>
        <v>-873784629.35000002</v>
      </c>
      <c r="DH340" s="163">
        <f>VLOOKUP($A340,'[3]BS ACC'!$A$258:$DH$1006,112,FALSE)</f>
        <v>-876211307.15999997</v>
      </c>
    </row>
    <row r="341" spans="1:112">
      <c r="A341" t="s">
        <v>832</v>
      </c>
      <c r="D341" s="345">
        <v>5031897.24</v>
      </c>
      <c r="E341" s="345">
        <v>5031897.24</v>
      </c>
      <c r="F341" s="345">
        <v>5031897.24</v>
      </c>
      <c r="G341" s="345">
        <v>5031897.24</v>
      </c>
      <c r="H341" s="345">
        <v>5031897.24</v>
      </c>
      <c r="I341" s="345">
        <v>5031897.24</v>
      </c>
      <c r="J341" s="345">
        <v>5031897.24</v>
      </c>
      <c r="K341" s="345">
        <v>5031897.24</v>
      </c>
      <c r="L341" s="345">
        <v>5031897.24</v>
      </c>
      <c r="M341" s="345">
        <v>5031897.24</v>
      </c>
      <c r="N341" s="345">
        <v>5031897.24</v>
      </c>
      <c r="O341" s="345">
        <v>5031897.24</v>
      </c>
      <c r="P341" s="345">
        <v>5031897.24</v>
      </c>
      <c r="Q341" s="163">
        <v>5031897.24</v>
      </c>
      <c r="R341" s="163">
        <v>5031897.24</v>
      </c>
      <c r="S341" s="163">
        <v>5031897.24</v>
      </c>
      <c r="T341" s="163">
        <v>5031897.24</v>
      </c>
      <c r="U341" s="163">
        <v>5031897.24</v>
      </c>
      <c r="V341" s="163">
        <v>5031897.24</v>
      </c>
      <c r="W341" s="163">
        <v>5031897.24</v>
      </c>
      <c r="X341" s="163">
        <v>5031897.24</v>
      </c>
      <c r="Y341" s="163">
        <v>5031897.24</v>
      </c>
      <c r="Z341" s="163">
        <v>5031897.24</v>
      </c>
      <c r="AA341" s="163">
        <v>5031897.24</v>
      </c>
      <c r="AB341" s="163">
        <v>5031897.24</v>
      </c>
      <c r="AC341" s="163">
        <v>5031897.24</v>
      </c>
      <c r="AD341" s="163">
        <v>5031897.24</v>
      </c>
      <c r="AE341" s="163">
        <v>5031897.24</v>
      </c>
      <c r="AF341" s="163">
        <v>5031897.24</v>
      </c>
      <c r="AG341" s="163">
        <v>5031897.24</v>
      </c>
      <c r="AH341" s="163">
        <v>5031897.24</v>
      </c>
      <c r="AI341" s="163">
        <v>5031897.24</v>
      </c>
      <c r="AJ341" s="163">
        <v>5031897.24</v>
      </c>
      <c r="AK341" s="163">
        <v>5031897.24</v>
      </c>
      <c r="AL341" s="163">
        <v>5031897.24</v>
      </c>
      <c r="AM341" s="163">
        <v>5031897.24</v>
      </c>
      <c r="AN341" s="163">
        <v>5031897.24</v>
      </c>
      <c r="AO341" s="163">
        <v>5031897.24</v>
      </c>
      <c r="AP341" s="163">
        <v>5031897.24</v>
      </c>
      <c r="AQ341" s="163">
        <v>5031897.24</v>
      </c>
      <c r="AR341" s="163">
        <v>5031897.24</v>
      </c>
      <c r="AS341" s="163">
        <v>5031897.24</v>
      </c>
      <c r="AT341" s="163">
        <v>5031897.24</v>
      </c>
      <c r="AU341" s="163">
        <v>5031897.24</v>
      </c>
      <c r="AV341" s="163">
        <v>5031897.24</v>
      </c>
      <c r="AW341" s="163">
        <v>5031897.24</v>
      </c>
      <c r="AX341" s="163">
        <v>5031897.24</v>
      </c>
      <c r="AY341" s="163">
        <v>5031897.24</v>
      </c>
      <c r="AZ341" s="163">
        <v>5031897.24</v>
      </c>
      <c r="BA341" s="163">
        <v>5031897.24</v>
      </c>
      <c r="BB341" s="163">
        <v>5031897.24</v>
      </c>
      <c r="BC341" s="163">
        <v>5031897.24</v>
      </c>
      <c r="BD341" s="163">
        <v>5031897.24</v>
      </c>
      <c r="BE341" s="163">
        <v>5031897.24</v>
      </c>
      <c r="BF341" s="163">
        <v>5031897.24</v>
      </c>
      <c r="BG341" s="163">
        <v>5031897.24</v>
      </c>
      <c r="BH341" s="163">
        <v>5031897.24</v>
      </c>
      <c r="BI341" s="163">
        <v>5031897.24</v>
      </c>
      <c r="BJ341" s="163">
        <v>5031897.24</v>
      </c>
      <c r="BK341" s="163">
        <v>5031897.24</v>
      </c>
      <c r="BL341" s="163">
        <v>5031897.24</v>
      </c>
      <c r="BM341" s="163">
        <v>5031897.24</v>
      </c>
      <c r="BN341" s="163">
        <v>5031897.24</v>
      </c>
      <c r="BO341" s="163">
        <v>5031897.24</v>
      </c>
      <c r="BP341" s="163">
        <v>5031897.24</v>
      </c>
      <c r="BQ341" s="163">
        <v>5031897.24</v>
      </c>
      <c r="BR341" s="163">
        <v>5031897.24</v>
      </c>
      <c r="BS341" s="163">
        <v>5031897.24</v>
      </c>
      <c r="BT341" s="163">
        <v>5031897.24</v>
      </c>
      <c r="BU341" s="163">
        <v>5031897.24</v>
      </c>
      <c r="BV341" s="163">
        <v>5031897.24</v>
      </c>
      <c r="BW341" s="163">
        <v>5031897.24</v>
      </c>
      <c r="BX341" s="163">
        <v>5031897.24</v>
      </c>
      <c r="BY341" s="163">
        <v>5031897.24</v>
      </c>
      <c r="BZ341" s="163">
        <v>5031897.24</v>
      </c>
      <c r="CA341" s="163">
        <v>5031897.24</v>
      </c>
      <c r="CB341" s="163">
        <v>5031897.24</v>
      </c>
      <c r="CC341" s="163">
        <v>5031897.24</v>
      </c>
      <c r="CD341" s="163">
        <v>5031897.24</v>
      </c>
      <c r="CE341" s="163">
        <v>5031897.24</v>
      </c>
      <c r="CF341" s="163">
        <v>5031897.24</v>
      </c>
      <c r="CG341" s="163">
        <v>5031897.24</v>
      </c>
      <c r="CH341" s="163">
        <v>5031897.24</v>
      </c>
      <c r="CI341" s="163">
        <v>5031897.24</v>
      </c>
      <c r="CJ341" s="163">
        <v>5031897.24</v>
      </c>
      <c r="CK341" s="163">
        <v>5031897.24</v>
      </c>
      <c r="CL341" s="163">
        <v>5031897.24</v>
      </c>
      <c r="CM341" s="163">
        <v>5031897.24</v>
      </c>
      <c r="CN341" s="163">
        <v>5031897.24</v>
      </c>
      <c r="CO341" s="163">
        <v>5031897.24</v>
      </c>
      <c r="CP341" s="163">
        <v>5031897.24</v>
      </c>
      <c r="CQ341" s="163">
        <v>5031897.24</v>
      </c>
      <c r="CR341" s="163">
        <v>5031897.24</v>
      </c>
      <c r="CS341" s="163">
        <v>5031897.24</v>
      </c>
      <c r="CT341" s="163">
        <v>5031897.24</v>
      </c>
      <c r="CU341" s="163">
        <v>5031897.24</v>
      </c>
      <c r="CV341" s="163">
        <v>5031897.24</v>
      </c>
      <c r="CW341" s="163">
        <v>5031897.24</v>
      </c>
      <c r="CX341" s="163">
        <v>5031897.24</v>
      </c>
      <c r="CY341" s="163">
        <v>5031897.24</v>
      </c>
      <c r="CZ341" s="163">
        <v>5031897.24</v>
      </c>
      <c r="DA341" s="163">
        <v>5031897.24</v>
      </c>
      <c r="DB341" s="163">
        <v>5031897.24</v>
      </c>
      <c r="DC341" s="163">
        <v>5031897.24</v>
      </c>
      <c r="DD341" s="163">
        <v>5031897.24</v>
      </c>
      <c r="DE341" s="163">
        <v>5031897.24</v>
      </c>
      <c r="DF341" s="163">
        <f>VLOOKUP($A341,'[3]BS ACC'!$A$258:$DH$1006,110,FALSE)</f>
        <v>5031897.24</v>
      </c>
      <c r="DG341" s="163">
        <f>VLOOKUP($A341,'[3]BS ACC'!$A$258:$DH$1006,111,FALSE)</f>
        <v>5031897.24</v>
      </c>
      <c r="DH341" s="163">
        <f>VLOOKUP($A341,'[3]BS ACC'!$A$258:$DH$1006,112,FALSE)</f>
        <v>5031897.24</v>
      </c>
    </row>
    <row r="342" spans="1:112">
      <c r="A342" t="s">
        <v>833</v>
      </c>
      <c r="D342" s="345">
        <v>-3962608.63</v>
      </c>
      <c r="E342" s="345">
        <v>-3975037.45</v>
      </c>
      <c r="F342" s="345">
        <v>-3987466.27</v>
      </c>
      <c r="G342" s="345">
        <v>-3999895.09</v>
      </c>
      <c r="H342" s="345">
        <v>-4012323.91</v>
      </c>
      <c r="I342" s="345">
        <v>-4024752.73</v>
      </c>
      <c r="J342" s="345">
        <v>-4037181.55</v>
      </c>
      <c r="K342" s="345">
        <v>-4049610.37</v>
      </c>
      <c r="L342" s="345">
        <v>-4062039.19</v>
      </c>
      <c r="M342" s="345">
        <v>-4074468.01</v>
      </c>
      <c r="N342" s="345">
        <v>-4086896.83</v>
      </c>
      <c r="O342" s="345">
        <v>-4099325.65</v>
      </c>
      <c r="P342" s="345">
        <v>-4111754.47</v>
      </c>
      <c r="Q342" s="163">
        <v>-4124183.29</v>
      </c>
      <c r="R342" s="163">
        <v>-4136612.11</v>
      </c>
      <c r="S342" s="163">
        <v>-4149040.93</v>
      </c>
      <c r="T342" s="163">
        <v>-4161469.75</v>
      </c>
      <c r="U342" s="163">
        <v>-4173898.57</v>
      </c>
      <c r="V342" s="163">
        <v>-4186327.39</v>
      </c>
      <c r="W342" s="163">
        <v>-4198756.21</v>
      </c>
      <c r="X342" s="163">
        <v>-4211185.03</v>
      </c>
      <c r="Y342" s="163">
        <v>-4223613.8499999996</v>
      </c>
      <c r="Z342" s="163">
        <v>-4236042.67</v>
      </c>
      <c r="AA342" s="163">
        <v>-4248471.49</v>
      </c>
      <c r="AB342" s="163">
        <v>-4260900.3099999996</v>
      </c>
      <c r="AC342" s="163">
        <v>-4273329.13</v>
      </c>
      <c r="AD342" s="163">
        <v>-4285757.95</v>
      </c>
      <c r="AE342" s="163">
        <v>-4298186.7699999996</v>
      </c>
      <c r="AF342" s="163">
        <v>-4310615.59</v>
      </c>
      <c r="AG342" s="163">
        <v>-4323044.41</v>
      </c>
      <c r="AH342" s="163">
        <v>-4335473.2300000004</v>
      </c>
      <c r="AI342" s="163">
        <v>-4347902.05</v>
      </c>
      <c r="AJ342" s="163">
        <v>-4360330.87</v>
      </c>
      <c r="AK342" s="163">
        <v>-4372759.6900000004</v>
      </c>
      <c r="AL342" s="163">
        <v>-4385188.51</v>
      </c>
      <c r="AM342" s="163">
        <v>-4397617.33</v>
      </c>
      <c r="AN342" s="163">
        <v>-4410046.1500000004</v>
      </c>
      <c r="AO342" s="163">
        <v>-4422474.97</v>
      </c>
      <c r="AP342" s="163">
        <v>-4434903.79</v>
      </c>
      <c r="AQ342" s="163">
        <v>-4447332.6100000003</v>
      </c>
      <c r="AR342" s="163">
        <v>-4459761.43</v>
      </c>
      <c r="AS342" s="163">
        <v>-4472190.25</v>
      </c>
      <c r="AT342" s="163">
        <v>-4484619.07</v>
      </c>
      <c r="AU342" s="163">
        <v>-4497047.8899999997</v>
      </c>
      <c r="AV342" s="163">
        <v>-4509476.71</v>
      </c>
      <c r="AW342" s="163">
        <v>-4521905.53</v>
      </c>
      <c r="AX342" s="163">
        <v>-4534334.3499999996</v>
      </c>
      <c r="AY342" s="163">
        <v>-4546763.17</v>
      </c>
      <c r="AZ342" s="163">
        <v>-4559191.99</v>
      </c>
      <c r="BA342" s="163">
        <v>-4571620.8099999996</v>
      </c>
      <c r="BB342" s="163">
        <v>-4584049.63</v>
      </c>
      <c r="BC342" s="163">
        <v>-4596478.45</v>
      </c>
      <c r="BD342" s="163">
        <v>-4608907.2699999996</v>
      </c>
      <c r="BE342" s="163">
        <v>-4621336.09</v>
      </c>
      <c r="BF342" s="163">
        <v>-4633764.91</v>
      </c>
      <c r="BG342" s="163">
        <v>-4646193.7300000004</v>
      </c>
      <c r="BH342" s="163">
        <v>-4658622.55</v>
      </c>
      <c r="BI342" s="163">
        <v>-4671051.37</v>
      </c>
      <c r="BJ342" s="163">
        <v>-4683480.1900000004</v>
      </c>
      <c r="BK342" s="163">
        <v>-4695909.01</v>
      </c>
      <c r="BL342" s="163">
        <v>-4708337.83</v>
      </c>
      <c r="BM342" s="163">
        <v>-4720766.6500000004</v>
      </c>
      <c r="BN342" s="163">
        <v>-4733195.47</v>
      </c>
      <c r="BO342" s="163">
        <v>-4745624.29</v>
      </c>
      <c r="BP342" s="163">
        <v>-4758053.1100000003</v>
      </c>
      <c r="BQ342" s="163">
        <v>-4770481.93</v>
      </c>
      <c r="BR342" s="163">
        <v>-4782910.75</v>
      </c>
      <c r="BS342" s="163">
        <v>-4795339.57</v>
      </c>
      <c r="BT342" s="163">
        <v>-4807768.3899999997</v>
      </c>
      <c r="BU342" s="163">
        <v>-4820197.21</v>
      </c>
      <c r="BV342" s="163">
        <v>-4832626.03</v>
      </c>
      <c r="BW342" s="163">
        <v>-4845054.8499999996</v>
      </c>
      <c r="BX342" s="163">
        <v>-4857483.67</v>
      </c>
      <c r="BY342" s="163">
        <v>-4869912.49</v>
      </c>
      <c r="BZ342" s="163">
        <v>-4882341.3099999996</v>
      </c>
      <c r="CA342" s="163">
        <v>-4894770.13</v>
      </c>
      <c r="CB342" s="163">
        <v>-4907198.95</v>
      </c>
      <c r="CC342" s="163">
        <v>-4919627.7699999996</v>
      </c>
      <c r="CD342" s="163">
        <v>-4932056.59</v>
      </c>
      <c r="CE342" s="163">
        <v>-4944485.41</v>
      </c>
      <c r="CF342" s="163">
        <v>-4956914.2300000004</v>
      </c>
      <c r="CG342" s="163">
        <v>-4969343.05</v>
      </c>
      <c r="CH342" s="163">
        <v>-4975292.78</v>
      </c>
      <c r="CI342" s="163">
        <v>-4981242.51</v>
      </c>
      <c r="CJ342" s="163">
        <v>-4987192.24</v>
      </c>
      <c r="CK342" s="163">
        <v>-4993141.97</v>
      </c>
      <c r="CL342" s="163">
        <v>-4999091.7</v>
      </c>
      <c r="CM342" s="163">
        <v>-5005041.43</v>
      </c>
      <c r="CN342" s="163">
        <v>-5010991.16</v>
      </c>
      <c r="CO342" s="163">
        <v>-5016940.8899999997</v>
      </c>
      <c r="CP342" s="163">
        <v>-5022890.62</v>
      </c>
      <c r="CQ342" s="163">
        <v>-5028840.3499999996</v>
      </c>
      <c r="CR342" s="163">
        <v>-5028152.9800000004</v>
      </c>
      <c r="CS342" s="163">
        <v>-5028152.9800000004</v>
      </c>
      <c r="CT342" s="163">
        <v>-5028152.9800000004</v>
      </c>
      <c r="CU342" s="163">
        <v>-5028152.9800000004</v>
      </c>
      <c r="CV342" s="163">
        <v>-5028152.9800000004</v>
      </c>
      <c r="CW342" s="163">
        <v>-5028152.9800000004</v>
      </c>
      <c r="CX342" s="163">
        <v>-5028152.9800000004</v>
      </c>
      <c r="CY342" s="163">
        <v>-5028152.9800000004</v>
      </c>
      <c r="CZ342" s="163">
        <v>-5028152.9800000004</v>
      </c>
      <c r="DA342" s="163">
        <v>-5028152.9800000004</v>
      </c>
      <c r="DB342" s="163">
        <v>-5028152.9800000004</v>
      </c>
      <c r="DC342" s="163">
        <v>-5028152.9800000004</v>
      </c>
      <c r="DD342" s="163">
        <v>-5028152.9800000004</v>
      </c>
      <c r="DE342" s="163">
        <v>-5028152.9800000004</v>
      </c>
      <c r="DF342" s="163">
        <f>VLOOKUP($A342,'[3]BS ACC'!$A$258:$DH$1006,110,FALSE)</f>
        <v>-5028152.9800000004</v>
      </c>
      <c r="DG342" s="163">
        <f>VLOOKUP($A342,'[3]BS ACC'!$A$258:$DH$1006,111,FALSE)</f>
        <v>-5028152.9800000004</v>
      </c>
      <c r="DH342" s="163">
        <f>VLOOKUP($A342,'[3]BS ACC'!$A$258:$DH$1006,112,FALSE)</f>
        <v>-5028152.9800000004</v>
      </c>
    </row>
    <row r="343" spans="1:112">
      <c r="A343" t="s">
        <v>834</v>
      </c>
      <c r="D343" s="345">
        <v>0</v>
      </c>
      <c r="E343" s="345">
        <v>0</v>
      </c>
      <c r="F343" s="345">
        <v>0</v>
      </c>
      <c r="G343" s="345">
        <v>0</v>
      </c>
      <c r="H343" s="345">
        <v>0</v>
      </c>
      <c r="I343" s="345">
        <v>0</v>
      </c>
      <c r="J343" s="345">
        <v>0</v>
      </c>
      <c r="K343" s="345">
        <v>0</v>
      </c>
      <c r="L343" s="345">
        <v>0</v>
      </c>
      <c r="M343" s="345">
        <v>0</v>
      </c>
      <c r="N343" s="345">
        <v>0</v>
      </c>
      <c r="O343" s="345">
        <v>0</v>
      </c>
      <c r="P343" s="345">
        <v>0</v>
      </c>
      <c r="Q343" s="163">
        <v>0</v>
      </c>
      <c r="R343" s="163">
        <v>0</v>
      </c>
      <c r="S343" s="163">
        <v>0</v>
      </c>
      <c r="T343" s="163">
        <v>0</v>
      </c>
      <c r="U343" s="163">
        <v>0</v>
      </c>
      <c r="V343" s="163">
        <v>0</v>
      </c>
      <c r="W343" s="163">
        <v>0</v>
      </c>
      <c r="X343" s="163">
        <v>0</v>
      </c>
      <c r="Y343" s="163">
        <v>0</v>
      </c>
      <c r="Z343" s="163">
        <v>0</v>
      </c>
      <c r="AA343" s="163">
        <v>0</v>
      </c>
      <c r="AB343" s="163">
        <v>0</v>
      </c>
      <c r="AC343" s="163">
        <v>0</v>
      </c>
      <c r="AD343" s="163">
        <v>0</v>
      </c>
      <c r="AE343" s="163">
        <v>0</v>
      </c>
      <c r="AF343" s="163">
        <v>0</v>
      </c>
      <c r="AG343" s="163">
        <v>0</v>
      </c>
      <c r="AH343" s="163">
        <v>0</v>
      </c>
      <c r="AI343" s="163">
        <v>0</v>
      </c>
      <c r="AJ343" s="163">
        <v>0</v>
      </c>
      <c r="AK343" s="163">
        <v>0</v>
      </c>
      <c r="AL343" s="163">
        <v>0</v>
      </c>
      <c r="AM343" s="163">
        <v>0</v>
      </c>
      <c r="AN343" s="163">
        <v>0</v>
      </c>
      <c r="AO343" s="163">
        <v>0</v>
      </c>
      <c r="AP343" s="163">
        <v>0</v>
      </c>
      <c r="AQ343" s="163">
        <v>0</v>
      </c>
      <c r="AR343" s="163">
        <v>0</v>
      </c>
      <c r="AS343" s="163">
        <v>0</v>
      </c>
      <c r="AT343" s="163">
        <v>0</v>
      </c>
      <c r="AU343" s="163">
        <v>0</v>
      </c>
      <c r="AV343" s="163">
        <v>0</v>
      </c>
      <c r="AW343" s="163">
        <v>0</v>
      </c>
      <c r="AX343" s="163">
        <v>0</v>
      </c>
      <c r="AY343" s="163">
        <v>0</v>
      </c>
      <c r="AZ343" s="163">
        <v>0</v>
      </c>
      <c r="BA343" s="163">
        <v>0</v>
      </c>
      <c r="BB343" s="163">
        <v>0</v>
      </c>
      <c r="BC343" s="163">
        <v>0</v>
      </c>
      <c r="BD343" s="163">
        <v>0</v>
      </c>
      <c r="BE343" s="163">
        <v>0</v>
      </c>
      <c r="BF343" s="163">
        <v>0</v>
      </c>
      <c r="BG343" s="163">
        <v>0</v>
      </c>
      <c r="BH343" s="163">
        <v>0</v>
      </c>
      <c r="BI343" s="163">
        <v>0</v>
      </c>
      <c r="BJ343" s="163">
        <v>0</v>
      </c>
      <c r="BK343" s="163">
        <v>0</v>
      </c>
      <c r="BL343" s="163">
        <v>0</v>
      </c>
      <c r="BM343" s="163">
        <v>0</v>
      </c>
      <c r="BN343" s="163">
        <v>0</v>
      </c>
      <c r="BO343" s="163">
        <v>0</v>
      </c>
      <c r="BP343" s="163">
        <v>0</v>
      </c>
      <c r="BQ343" s="163">
        <v>0</v>
      </c>
      <c r="BR343" s="163">
        <v>0</v>
      </c>
      <c r="BS343" s="163">
        <v>0</v>
      </c>
      <c r="BT343" s="163">
        <v>0</v>
      </c>
      <c r="BU343" s="163">
        <v>0</v>
      </c>
      <c r="BV343" s="163">
        <v>0</v>
      </c>
      <c r="BW343" s="163">
        <v>0</v>
      </c>
      <c r="BX343" s="163">
        <v>0</v>
      </c>
      <c r="BY343" s="163">
        <v>0</v>
      </c>
      <c r="BZ343" s="163">
        <v>0</v>
      </c>
      <c r="CA343" s="163">
        <v>0</v>
      </c>
      <c r="CB343" s="163">
        <v>0</v>
      </c>
      <c r="CC343" s="163">
        <v>0</v>
      </c>
      <c r="CD343" s="163">
        <v>0</v>
      </c>
      <c r="CE343" s="163">
        <v>0</v>
      </c>
      <c r="CF343" s="163">
        <v>0</v>
      </c>
      <c r="CG343" s="163">
        <v>0</v>
      </c>
      <c r="CH343" s="163">
        <v>0</v>
      </c>
      <c r="CI343" s="163">
        <v>0</v>
      </c>
      <c r="CJ343" s="163">
        <v>0</v>
      </c>
      <c r="CK343" s="163">
        <v>0</v>
      </c>
      <c r="CL343" s="163">
        <v>0</v>
      </c>
      <c r="CM343" s="163">
        <v>0</v>
      </c>
      <c r="CN343" s="163">
        <v>0</v>
      </c>
      <c r="CO343" s="163">
        <v>0</v>
      </c>
      <c r="CP343" s="163">
        <v>0</v>
      </c>
      <c r="CQ343" s="163">
        <v>0</v>
      </c>
      <c r="CR343" s="163">
        <v>0</v>
      </c>
      <c r="CS343" s="163">
        <v>0</v>
      </c>
      <c r="CT343" s="163">
        <v>0</v>
      </c>
      <c r="CU343" s="163">
        <v>0</v>
      </c>
      <c r="CV343" s="163">
        <v>0</v>
      </c>
      <c r="CW343" s="163">
        <v>0</v>
      </c>
      <c r="CX343" s="163">
        <v>0</v>
      </c>
      <c r="CY343" s="163">
        <v>0</v>
      </c>
      <c r="CZ343" s="163">
        <v>0</v>
      </c>
      <c r="DA343" s="163">
        <v>0</v>
      </c>
      <c r="DB343" s="163">
        <v>0</v>
      </c>
      <c r="DC343" s="163">
        <v>0</v>
      </c>
      <c r="DD343" s="163">
        <v>0</v>
      </c>
      <c r="DE343" s="163">
        <v>0</v>
      </c>
      <c r="DF343" s="163">
        <f>VLOOKUP($A343,'[3]BS ACC'!$A$258:$DH$1006,110,FALSE)</f>
        <v>0</v>
      </c>
      <c r="DG343" s="163">
        <f>VLOOKUP($A343,'[3]BS ACC'!$A$258:$DH$1006,111,FALSE)</f>
        <v>0</v>
      </c>
      <c r="DH343" s="163">
        <f>VLOOKUP($A343,'[3]BS ACC'!$A$258:$DH$1006,112,FALSE)</f>
        <v>0</v>
      </c>
    </row>
    <row r="344" spans="1:112">
      <c r="A344" t="s">
        <v>835</v>
      </c>
      <c r="D344" s="345">
        <v>1072286.1399999999</v>
      </c>
      <c r="E344" s="345">
        <v>690737.44</v>
      </c>
      <c r="F344" s="345">
        <v>1021328.38</v>
      </c>
      <c r="G344" s="345">
        <v>1227819.6399999999</v>
      </c>
      <c r="H344" s="345">
        <v>789786.66</v>
      </c>
      <c r="I344" s="345">
        <v>968313.89</v>
      </c>
      <c r="J344" s="345">
        <v>1230761.6100000001</v>
      </c>
      <c r="K344" s="345">
        <v>805462.03</v>
      </c>
      <c r="L344" s="345">
        <v>1003294.07</v>
      </c>
      <c r="M344" s="345">
        <v>1072047.3899999999</v>
      </c>
      <c r="N344" s="345">
        <v>665438.34</v>
      </c>
      <c r="O344" s="345">
        <v>833785.45</v>
      </c>
      <c r="P344" s="345">
        <v>1026666.02</v>
      </c>
      <c r="Q344" s="163">
        <v>1417441.09</v>
      </c>
      <c r="R344" s="163">
        <v>1096979.0900000001</v>
      </c>
      <c r="S344" s="163">
        <v>1247742.3799999999</v>
      </c>
      <c r="T344" s="163">
        <v>570274.97</v>
      </c>
      <c r="U344" s="163">
        <v>794634.67</v>
      </c>
      <c r="V344" s="163">
        <v>1010928.84</v>
      </c>
      <c r="W344" s="163">
        <v>671653.09</v>
      </c>
      <c r="X344" s="163">
        <v>842696.67</v>
      </c>
      <c r="Y344" s="163">
        <v>1066034.9099999999</v>
      </c>
      <c r="Z344" s="163">
        <v>1196268.3899999999</v>
      </c>
      <c r="AA344" s="163">
        <v>846357.32</v>
      </c>
      <c r="AB344" s="163">
        <v>1550191.33</v>
      </c>
      <c r="AC344" s="163">
        <v>1846471.79</v>
      </c>
      <c r="AD344" s="163">
        <v>1665481.94</v>
      </c>
      <c r="AE344" s="163">
        <v>1768137.91</v>
      </c>
      <c r="AF344" s="163">
        <v>1890203.72</v>
      </c>
      <c r="AG344" s="163">
        <v>817696.9</v>
      </c>
      <c r="AH344" s="163">
        <v>451270.74</v>
      </c>
      <c r="AI344" s="163">
        <v>666141.99</v>
      </c>
      <c r="AJ344" s="163">
        <v>943907.39</v>
      </c>
      <c r="AK344" s="163">
        <v>1124178.3799999999</v>
      </c>
      <c r="AL344" s="163">
        <v>1893574.75</v>
      </c>
      <c r="AM344" s="163">
        <v>1455090.61</v>
      </c>
      <c r="AN344" s="163">
        <v>1676407.65</v>
      </c>
      <c r="AO344" s="163">
        <v>2030340.05</v>
      </c>
      <c r="AP344" s="163">
        <v>1185824.46</v>
      </c>
      <c r="AQ344" s="163">
        <v>1472993.61</v>
      </c>
      <c r="AR344" s="163">
        <v>1619962.16</v>
      </c>
      <c r="AS344" s="163">
        <v>1068540.05</v>
      </c>
      <c r="AT344" s="163">
        <v>915178.88</v>
      </c>
      <c r="AU344" s="163">
        <v>1208435.27</v>
      </c>
      <c r="AV344" s="163">
        <v>564156.92000000004</v>
      </c>
      <c r="AW344" s="163">
        <v>862127.45</v>
      </c>
      <c r="AX344" s="163">
        <v>1107738.21</v>
      </c>
      <c r="AY344" s="163">
        <v>1166609.79</v>
      </c>
      <c r="AZ344" s="163">
        <v>1715678.71</v>
      </c>
      <c r="BA344" s="163">
        <v>2142944.46</v>
      </c>
      <c r="BB344" s="163">
        <v>1123292.52</v>
      </c>
      <c r="BC344" s="163">
        <v>1235895.02</v>
      </c>
      <c r="BD344" s="163">
        <v>1742173.74</v>
      </c>
      <c r="BE344" s="163">
        <v>1049799.92</v>
      </c>
      <c r="BF344" s="163">
        <v>1272460.1100000001</v>
      </c>
      <c r="BG344" s="163">
        <v>1562003.94</v>
      </c>
      <c r="BH344" s="163">
        <v>760636.27</v>
      </c>
      <c r="BI344" s="163">
        <v>935108.73</v>
      </c>
      <c r="BJ344" s="163">
        <v>1188785.76</v>
      </c>
      <c r="BK344" s="163">
        <v>777880.49</v>
      </c>
      <c r="BL344" s="163">
        <v>1195217.6599999999</v>
      </c>
      <c r="BM344" s="163">
        <v>1451866.25</v>
      </c>
      <c r="BN344" s="163">
        <v>823643.62</v>
      </c>
      <c r="BO344" s="163">
        <v>1284772.3600000001</v>
      </c>
      <c r="BP344" s="163">
        <v>1701879.38</v>
      </c>
      <c r="BQ344" s="163">
        <v>1022397.48</v>
      </c>
      <c r="BR344" s="163">
        <v>1256931.8</v>
      </c>
      <c r="BS344" s="163">
        <v>1595861.92</v>
      </c>
      <c r="BT344" s="163">
        <v>1079865.1299999999</v>
      </c>
      <c r="BU344" s="163">
        <v>1299029.46</v>
      </c>
      <c r="BV344" s="163">
        <v>1496620.32</v>
      </c>
      <c r="BW344" s="163">
        <v>673250.97</v>
      </c>
      <c r="BX344" s="163">
        <v>902043.41</v>
      </c>
      <c r="BY344" s="163">
        <v>1028316.05</v>
      </c>
      <c r="BZ344" s="163">
        <v>832643.11</v>
      </c>
      <c r="CA344" s="163">
        <v>926542.53</v>
      </c>
      <c r="CB344" s="163">
        <v>1260989.77</v>
      </c>
      <c r="CC344" s="163">
        <v>1026254.93</v>
      </c>
      <c r="CD344" s="163">
        <v>1250596.3700000001</v>
      </c>
      <c r="CE344" s="163">
        <v>1439036.29</v>
      </c>
      <c r="CF344" s="163">
        <v>781252.78</v>
      </c>
      <c r="CG344" s="163">
        <v>1020483.08</v>
      </c>
      <c r="CH344" s="163">
        <v>1371276.5</v>
      </c>
      <c r="CI344" s="163">
        <v>841297.66</v>
      </c>
      <c r="CJ344" s="163">
        <v>1208345.97</v>
      </c>
      <c r="CK344" s="163">
        <v>1542480.94</v>
      </c>
      <c r="CL344" s="163">
        <v>1003468.87</v>
      </c>
      <c r="CM344" s="163">
        <v>1278830.19</v>
      </c>
      <c r="CN344" s="163">
        <v>612943.16</v>
      </c>
      <c r="CO344" s="163">
        <v>1003456.24</v>
      </c>
      <c r="CP344" s="163">
        <v>1274946.82</v>
      </c>
      <c r="CQ344" s="163">
        <v>1549067.57</v>
      </c>
      <c r="CR344" s="163">
        <v>892660.69</v>
      </c>
      <c r="CS344" s="163">
        <v>1188488.3400000001</v>
      </c>
      <c r="CT344" s="163">
        <v>1502236.12</v>
      </c>
      <c r="CU344" s="163">
        <v>868331.8</v>
      </c>
      <c r="CV344" s="163">
        <v>1027776.72</v>
      </c>
      <c r="CW344" s="163">
        <v>1172773.1200000001</v>
      </c>
      <c r="CX344" s="163">
        <v>679786.76</v>
      </c>
      <c r="CY344" s="163">
        <v>1153410.45</v>
      </c>
      <c r="CZ344" s="163">
        <v>538847.81999999995</v>
      </c>
      <c r="DA344" s="163">
        <v>814853.23</v>
      </c>
      <c r="DB344" s="163">
        <v>1037827.6</v>
      </c>
      <c r="DC344" s="163">
        <v>1474440.33</v>
      </c>
      <c r="DD344" s="163">
        <v>1006071.92</v>
      </c>
      <c r="DE344" s="163">
        <v>1343627.69</v>
      </c>
      <c r="DF344" s="163">
        <f>VLOOKUP($A344,'[3]BS ACC'!$A$258:$DH$1006,110,FALSE)</f>
        <v>532971.34</v>
      </c>
      <c r="DG344" s="163">
        <f>VLOOKUP($A344,'[3]BS ACC'!$A$258:$DH$1006,111,FALSE)</f>
        <v>833075.57</v>
      </c>
      <c r="DH344" s="163">
        <f>VLOOKUP($A344,'[3]BS ACC'!$A$258:$DH$1006,112,FALSE)</f>
        <v>846204.52</v>
      </c>
    </row>
    <row r="345" spans="1:112">
      <c r="A345" t="s">
        <v>836</v>
      </c>
      <c r="D345" s="345">
        <v>3261022.61</v>
      </c>
      <c r="E345" s="345">
        <v>2806551.35</v>
      </c>
      <c r="F345" s="345">
        <v>3356037.06</v>
      </c>
      <c r="G345" s="345">
        <v>4514670.32</v>
      </c>
      <c r="H345" s="345">
        <v>2388208.48</v>
      </c>
      <c r="I345" s="345">
        <v>16073285.109999999</v>
      </c>
      <c r="J345" s="345">
        <v>13138255.890000001</v>
      </c>
      <c r="K345" s="345">
        <v>6354559.8399999999</v>
      </c>
      <c r="L345" s="345">
        <v>2430610.34</v>
      </c>
      <c r="M345" s="345">
        <v>2828762.34</v>
      </c>
      <c r="N345" s="345">
        <v>1627965.07</v>
      </c>
      <c r="O345" s="345">
        <v>1098511.7</v>
      </c>
      <c r="P345" s="345">
        <v>3821070.95</v>
      </c>
      <c r="Q345" s="163">
        <v>2567121.35</v>
      </c>
      <c r="R345" s="163">
        <v>2312649.7400000002</v>
      </c>
      <c r="S345" s="163">
        <v>6645594.6100000003</v>
      </c>
      <c r="T345" s="163">
        <v>2355458.2400000002</v>
      </c>
      <c r="U345" s="163">
        <v>31675094.219999999</v>
      </c>
      <c r="V345" s="163">
        <v>22628186.5</v>
      </c>
      <c r="W345" s="163">
        <v>23994350.109999999</v>
      </c>
      <c r="X345" s="163">
        <v>26607939.260000002</v>
      </c>
      <c r="Y345" s="163">
        <v>25154667.09</v>
      </c>
      <c r="Z345" s="163">
        <v>22362853.399999999</v>
      </c>
      <c r="AA345" s="163">
        <v>3347331.95</v>
      </c>
      <c r="AB345" s="163">
        <v>4118324.53</v>
      </c>
      <c r="AC345" s="163">
        <v>3511064.95</v>
      </c>
      <c r="AD345" s="163">
        <v>3416433.77</v>
      </c>
      <c r="AE345" s="163">
        <v>20951906.539999999</v>
      </c>
      <c r="AF345" s="163">
        <v>1927296.07</v>
      </c>
      <c r="AG345" s="163">
        <v>3695520.15</v>
      </c>
      <c r="AH345" s="163">
        <v>3262585.6</v>
      </c>
      <c r="AI345" s="163">
        <v>3174255.71</v>
      </c>
      <c r="AJ345" s="163">
        <v>2896818.54</v>
      </c>
      <c r="AK345" s="163">
        <v>2234214.3199999998</v>
      </c>
      <c r="AL345" s="163">
        <v>3331068.09</v>
      </c>
      <c r="AM345" s="163">
        <v>2021583.2</v>
      </c>
      <c r="AN345" s="163">
        <v>2842485.05</v>
      </c>
      <c r="AO345" s="163">
        <v>-1311825.49</v>
      </c>
      <c r="AP345" s="163">
        <v>7683009.0700000003</v>
      </c>
      <c r="AQ345" s="163">
        <v>5527984.3600000003</v>
      </c>
      <c r="AR345" s="163">
        <v>10732318.5</v>
      </c>
      <c r="AS345" s="163">
        <v>13109002.23</v>
      </c>
      <c r="AT345" s="163">
        <v>7235219.3799999999</v>
      </c>
      <c r="AU345" s="163">
        <v>9454799.4100000001</v>
      </c>
      <c r="AV345" s="163">
        <v>3982944.33</v>
      </c>
      <c r="AW345" s="163">
        <v>9295592.0700000003</v>
      </c>
      <c r="AX345" s="163">
        <v>9556767.6699999999</v>
      </c>
      <c r="AY345" s="163">
        <v>9285506.0999999996</v>
      </c>
      <c r="AZ345" s="163">
        <v>9677349.0099999998</v>
      </c>
      <c r="BA345" s="163">
        <v>7688523.7599999998</v>
      </c>
      <c r="BB345" s="163">
        <v>10910228.689999999</v>
      </c>
      <c r="BC345" s="163">
        <v>8678584.9900000002</v>
      </c>
      <c r="BD345" s="163">
        <v>7205181.3399999999</v>
      </c>
      <c r="BE345" s="163">
        <v>9524512.1199999992</v>
      </c>
      <c r="BF345" s="163">
        <v>8981641</v>
      </c>
      <c r="BG345" s="163">
        <v>8637221.6300000008</v>
      </c>
      <c r="BH345" s="163">
        <v>9145004.0999999996</v>
      </c>
      <c r="BI345" s="163">
        <v>9419205.1999999993</v>
      </c>
      <c r="BJ345" s="163">
        <v>8961328.3399999999</v>
      </c>
      <c r="BK345" s="163">
        <v>8984919.9199999999</v>
      </c>
      <c r="BL345" s="163">
        <v>8481815.1899999995</v>
      </c>
      <c r="BM345" s="163">
        <v>9183223.9499999993</v>
      </c>
      <c r="BN345" s="163">
        <v>8750163.0500000007</v>
      </c>
      <c r="BO345" s="163">
        <v>8471541.6300000008</v>
      </c>
      <c r="BP345" s="163">
        <v>8031728.5499999998</v>
      </c>
      <c r="BQ345" s="163">
        <v>8438438.4800000004</v>
      </c>
      <c r="BR345" s="163">
        <v>8121366.25</v>
      </c>
      <c r="BS345" s="163">
        <v>7908716.2999999998</v>
      </c>
      <c r="BT345" s="163">
        <v>8508869.2799999993</v>
      </c>
      <c r="BU345" s="163">
        <v>8534657.2899999991</v>
      </c>
      <c r="BV345" s="163">
        <v>7780838.25</v>
      </c>
      <c r="BW345" s="163">
        <v>8085636.6500000004</v>
      </c>
      <c r="BX345" s="163">
        <v>8303869.29</v>
      </c>
      <c r="BY345" s="163">
        <v>7302515.8499999996</v>
      </c>
      <c r="BZ345" s="163">
        <v>8287915.9299999997</v>
      </c>
      <c r="CA345" s="163">
        <v>7325821.6299999999</v>
      </c>
      <c r="CB345" s="163">
        <v>8579091.9199999999</v>
      </c>
      <c r="CC345" s="163">
        <v>7939864.9500000002</v>
      </c>
      <c r="CD345" s="163">
        <v>9217290.4700000007</v>
      </c>
      <c r="CE345" s="163">
        <v>8748991.2899999991</v>
      </c>
      <c r="CF345" s="163">
        <v>9091189.6799999997</v>
      </c>
      <c r="CG345" s="163">
        <v>8693952.7699999996</v>
      </c>
      <c r="CH345" s="163">
        <v>7909424.8300000001</v>
      </c>
      <c r="CI345" s="163">
        <v>-2329290.65</v>
      </c>
      <c r="CJ345" s="163">
        <v>0</v>
      </c>
      <c r="CK345" s="163">
        <v>-2689748.93</v>
      </c>
      <c r="CL345" s="163">
        <v>-3162056.14</v>
      </c>
      <c r="CM345" s="163">
        <v>-11401523.470000001</v>
      </c>
      <c r="CN345" s="163">
        <v>-5509353.3399999999</v>
      </c>
      <c r="CO345" s="163">
        <v>-6460993.9800000004</v>
      </c>
      <c r="CP345" s="163">
        <v>-6949025.1900000004</v>
      </c>
      <c r="CQ345" s="163">
        <v>-7398453.6299999999</v>
      </c>
      <c r="CR345" s="163">
        <v>-8227617.71</v>
      </c>
      <c r="CS345" s="163">
        <v>-7765854.54</v>
      </c>
      <c r="CT345" s="163">
        <v>-7470361.7300000004</v>
      </c>
      <c r="CU345" s="163">
        <v>-7735389.3499999996</v>
      </c>
      <c r="CV345" s="163">
        <v>2104297.09</v>
      </c>
      <c r="CW345" s="163">
        <v>2421368.41</v>
      </c>
      <c r="CX345" s="163">
        <v>2914083.42</v>
      </c>
      <c r="CY345" s="163">
        <v>2916985.79</v>
      </c>
      <c r="CZ345" s="163">
        <v>3086251.3</v>
      </c>
      <c r="DA345" s="163">
        <v>3094260.34</v>
      </c>
      <c r="DB345" s="163">
        <v>3178444.07</v>
      </c>
      <c r="DC345" s="163">
        <v>3526586.13</v>
      </c>
      <c r="DD345" s="163">
        <v>3591647.84</v>
      </c>
      <c r="DE345" s="163">
        <v>3683845.44</v>
      </c>
      <c r="DF345" s="163">
        <f>VLOOKUP($A345,'[3]BS ACC'!$A$258:$DH$1006,110,FALSE)</f>
        <v>4119330.2</v>
      </c>
      <c r="DG345" s="163">
        <f>VLOOKUP($A345,'[3]BS ACC'!$A$258:$DH$1006,111,FALSE)</f>
        <v>3693147.69</v>
      </c>
      <c r="DH345" s="163">
        <f>VLOOKUP($A345,'[3]BS ACC'!$A$258:$DH$1006,112,FALSE)</f>
        <v>3398831.22</v>
      </c>
    </row>
    <row r="346" spans="1:112">
      <c r="A346" t="s">
        <v>837</v>
      </c>
      <c r="D346" s="345">
        <v>25000</v>
      </c>
      <c r="E346" s="345">
        <v>25000</v>
      </c>
      <c r="F346" s="345">
        <v>25000</v>
      </c>
      <c r="G346" s="345">
        <v>25000</v>
      </c>
      <c r="H346" s="345">
        <v>25000</v>
      </c>
      <c r="I346" s="345">
        <v>25000</v>
      </c>
      <c r="J346" s="345">
        <v>25000</v>
      </c>
      <c r="K346" s="345">
        <v>25000</v>
      </c>
      <c r="L346" s="345">
        <v>25000</v>
      </c>
      <c r="M346" s="345">
        <v>25000</v>
      </c>
      <c r="N346" s="345">
        <v>25000</v>
      </c>
      <c r="O346" s="345">
        <v>25000</v>
      </c>
      <c r="P346" s="345">
        <v>25000</v>
      </c>
      <c r="Q346" s="163">
        <v>25000</v>
      </c>
      <c r="R346" s="163">
        <v>25000</v>
      </c>
      <c r="S346" s="163">
        <v>25000</v>
      </c>
      <c r="T346" s="163">
        <v>25000</v>
      </c>
      <c r="U346" s="163">
        <v>25000</v>
      </c>
      <c r="V346" s="163">
        <v>25000</v>
      </c>
      <c r="W346" s="163">
        <v>25000</v>
      </c>
      <c r="X346" s="163">
        <v>25000</v>
      </c>
      <c r="Y346" s="163">
        <v>25000</v>
      </c>
      <c r="Z346" s="163">
        <v>25000</v>
      </c>
      <c r="AA346" s="163">
        <v>25000</v>
      </c>
      <c r="AB346" s="163">
        <v>25000</v>
      </c>
      <c r="AC346" s="163">
        <v>25000</v>
      </c>
      <c r="AD346" s="163">
        <v>25000</v>
      </c>
      <c r="AE346" s="163">
        <v>25000</v>
      </c>
      <c r="AF346" s="163">
        <v>25000</v>
      </c>
      <c r="AG346" s="163">
        <v>25000</v>
      </c>
      <c r="AH346" s="163">
        <v>25000</v>
      </c>
      <c r="AI346" s="163">
        <v>25000</v>
      </c>
      <c r="AJ346" s="163">
        <v>25000</v>
      </c>
      <c r="AK346" s="163">
        <v>25000</v>
      </c>
      <c r="AL346" s="163">
        <v>25000</v>
      </c>
      <c r="AM346" s="163">
        <v>25000</v>
      </c>
      <c r="AN346" s="163">
        <v>25000</v>
      </c>
      <c r="AO346" s="163">
        <v>25000</v>
      </c>
      <c r="AP346" s="163">
        <v>25000</v>
      </c>
      <c r="AQ346" s="163">
        <v>25000</v>
      </c>
      <c r="AR346" s="163">
        <v>25000</v>
      </c>
      <c r="AS346" s="163">
        <v>25000</v>
      </c>
      <c r="AT346" s="163">
        <v>25000</v>
      </c>
      <c r="AU346" s="163">
        <v>25000</v>
      </c>
      <c r="AV346" s="163">
        <v>25000</v>
      </c>
      <c r="AW346" s="163">
        <v>25000</v>
      </c>
      <c r="AX346" s="163">
        <v>25000</v>
      </c>
      <c r="AY346" s="163">
        <v>25000</v>
      </c>
      <c r="AZ346" s="163">
        <v>25000</v>
      </c>
      <c r="BA346" s="163">
        <v>25000</v>
      </c>
      <c r="BB346" s="163">
        <v>25000</v>
      </c>
      <c r="BC346" s="163">
        <v>25000</v>
      </c>
      <c r="BD346" s="163">
        <v>25000</v>
      </c>
      <c r="BE346" s="163">
        <v>25000</v>
      </c>
      <c r="BF346" s="163">
        <v>25000</v>
      </c>
      <c r="BG346" s="163">
        <v>25000</v>
      </c>
      <c r="BH346" s="163">
        <v>25000</v>
      </c>
      <c r="BI346" s="163">
        <v>25000</v>
      </c>
      <c r="BJ346" s="163">
        <v>25000</v>
      </c>
      <c r="BK346" s="163">
        <v>25000</v>
      </c>
      <c r="BL346" s="163">
        <v>25000</v>
      </c>
      <c r="BM346" s="163">
        <v>25000</v>
      </c>
      <c r="BN346" s="163">
        <v>25000</v>
      </c>
      <c r="BO346" s="163">
        <v>25000</v>
      </c>
      <c r="BP346" s="163">
        <v>25000</v>
      </c>
      <c r="BQ346" s="163">
        <v>25000</v>
      </c>
      <c r="BR346" s="163">
        <v>25000</v>
      </c>
      <c r="BS346" s="163">
        <v>25000</v>
      </c>
      <c r="BT346" s="163">
        <v>25000</v>
      </c>
      <c r="BU346" s="163">
        <v>25000</v>
      </c>
      <c r="BV346" s="163">
        <v>25000</v>
      </c>
      <c r="BW346" s="163">
        <v>25000</v>
      </c>
      <c r="BX346" s="163">
        <v>25000</v>
      </c>
      <c r="BY346" s="163">
        <v>25000</v>
      </c>
      <c r="BZ346" s="163">
        <v>25000</v>
      </c>
      <c r="CA346" s="163">
        <v>25000</v>
      </c>
      <c r="CB346" s="163">
        <v>25000</v>
      </c>
      <c r="CC346" s="163">
        <v>25000</v>
      </c>
      <c r="CD346" s="163">
        <v>25000</v>
      </c>
      <c r="CE346" s="163">
        <v>25000</v>
      </c>
      <c r="CF346" s="163">
        <v>25000</v>
      </c>
      <c r="CG346" s="163">
        <v>25000</v>
      </c>
      <c r="CH346" s="163">
        <v>25000</v>
      </c>
      <c r="CI346" s="163">
        <v>25000</v>
      </c>
      <c r="CJ346" s="163">
        <v>25000</v>
      </c>
      <c r="CK346" s="163">
        <v>25000</v>
      </c>
      <c r="CL346" s="163">
        <v>25000</v>
      </c>
      <c r="CM346" s="163">
        <v>25000</v>
      </c>
      <c r="CN346" s="163">
        <v>25000</v>
      </c>
      <c r="CO346" s="163">
        <v>25000</v>
      </c>
      <c r="CP346" s="163">
        <v>25000</v>
      </c>
      <c r="CQ346" s="163">
        <v>25000</v>
      </c>
      <c r="CR346" s="163">
        <v>25000</v>
      </c>
      <c r="CS346" s="163">
        <v>25000</v>
      </c>
      <c r="CT346" s="163">
        <v>25000</v>
      </c>
      <c r="CU346" s="163">
        <v>25000</v>
      </c>
      <c r="CV346" s="163">
        <v>25000</v>
      </c>
      <c r="CW346" s="163">
        <v>25000</v>
      </c>
      <c r="CX346" s="163">
        <v>25000</v>
      </c>
      <c r="CY346" s="163">
        <v>25000</v>
      </c>
      <c r="CZ346" s="163">
        <v>25000</v>
      </c>
      <c r="DA346" s="163">
        <v>25000</v>
      </c>
      <c r="DB346" s="163">
        <v>25000</v>
      </c>
      <c r="DC346" s="163">
        <v>25000</v>
      </c>
      <c r="DD346" s="163">
        <v>25000</v>
      </c>
      <c r="DE346" s="163">
        <v>25000</v>
      </c>
      <c r="DF346" s="163">
        <f>VLOOKUP($A346,'[3]BS ACC'!$A$258:$DH$1006,110,FALSE)</f>
        <v>25000</v>
      </c>
      <c r="DG346" s="163">
        <f>VLOOKUP($A346,'[3]BS ACC'!$A$258:$DH$1006,111,FALSE)</f>
        <v>25000</v>
      </c>
      <c r="DH346" s="163">
        <f>VLOOKUP($A346,'[3]BS ACC'!$A$258:$DH$1006,112,FALSE)</f>
        <v>25000</v>
      </c>
    </row>
    <row r="347" spans="1:112">
      <c r="A347" t="s">
        <v>838</v>
      </c>
      <c r="D347" s="345">
        <v>3500</v>
      </c>
      <c r="E347" s="345">
        <v>3500</v>
      </c>
      <c r="F347" s="345">
        <v>3500</v>
      </c>
      <c r="G347" s="345">
        <v>3500</v>
      </c>
      <c r="H347" s="345">
        <v>3500</v>
      </c>
      <c r="I347" s="345">
        <v>3500</v>
      </c>
      <c r="J347" s="345">
        <v>3500</v>
      </c>
      <c r="K347" s="345">
        <v>3450</v>
      </c>
      <c r="L347" s="345">
        <v>3450</v>
      </c>
      <c r="M347" s="345">
        <v>3450</v>
      </c>
      <c r="N347" s="345">
        <v>3450</v>
      </c>
      <c r="O347" s="345">
        <v>3450</v>
      </c>
      <c r="P347" s="345">
        <v>3450</v>
      </c>
      <c r="Q347" s="163">
        <v>3450</v>
      </c>
      <c r="R347" s="163">
        <v>3450</v>
      </c>
      <c r="S347" s="163">
        <v>3450</v>
      </c>
      <c r="T347" s="163">
        <v>3450</v>
      </c>
      <c r="U347" s="163">
        <v>2950</v>
      </c>
      <c r="V347" s="163">
        <v>2950</v>
      </c>
      <c r="W347" s="163">
        <v>2950</v>
      </c>
      <c r="X347" s="163">
        <v>2950</v>
      </c>
      <c r="Y347" s="163">
        <v>2950</v>
      </c>
      <c r="Z347" s="163">
        <v>2950</v>
      </c>
      <c r="AA347" s="163">
        <v>2950</v>
      </c>
      <c r="AB347" s="163">
        <v>2950</v>
      </c>
      <c r="AC347" s="163">
        <v>2950</v>
      </c>
      <c r="AD347" s="163">
        <v>2950</v>
      </c>
      <c r="AE347" s="163">
        <v>2950</v>
      </c>
      <c r="AF347" s="163">
        <v>2950</v>
      </c>
      <c r="AG347" s="163">
        <v>2950</v>
      </c>
      <c r="AH347" s="163">
        <v>2950</v>
      </c>
      <c r="AI347" s="163">
        <v>2950</v>
      </c>
      <c r="AJ347" s="163">
        <v>2950</v>
      </c>
      <c r="AK347" s="163">
        <v>3450</v>
      </c>
      <c r="AL347" s="163">
        <v>3450</v>
      </c>
      <c r="AM347" s="163">
        <v>2950</v>
      </c>
      <c r="AN347" s="163">
        <v>2950</v>
      </c>
      <c r="AO347" s="163">
        <v>2950</v>
      </c>
      <c r="AP347" s="163">
        <v>2950</v>
      </c>
      <c r="AQ347" s="163">
        <v>2950</v>
      </c>
      <c r="AR347" s="163">
        <v>2950</v>
      </c>
      <c r="AS347" s="163">
        <v>2950</v>
      </c>
      <c r="AT347" s="163">
        <v>2950</v>
      </c>
      <c r="AU347" s="163">
        <v>2950</v>
      </c>
      <c r="AV347" s="163">
        <v>2950</v>
      </c>
      <c r="AW347" s="163">
        <v>2950</v>
      </c>
      <c r="AX347" s="163">
        <v>2950</v>
      </c>
      <c r="AY347" s="163">
        <v>2950</v>
      </c>
      <c r="AZ347" s="163">
        <v>2950</v>
      </c>
      <c r="BA347" s="163">
        <v>2950</v>
      </c>
      <c r="BB347" s="163">
        <v>2950</v>
      </c>
      <c r="BC347" s="163">
        <v>2950</v>
      </c>
      <c r="BD347" s="163">
        <v>2950</v>
      </c>
      <c r="BE347" s="163">
        <v>2950</v>
      </c>
      <c r="BF347" s="163">
        <v>2950</v>
      </c>
      <c r="BG347" s="163">
        <v>2950</v>
      </c>
      <c r="BH347" s="163">
        <v>2950</v>
      </c>
      <c r="BI347" s="163">
        <v>2950</v>
      </c>
      <c r="BJ347" s="163">
        <v>2950</v>
      </c>
      <c r="BK347" s="163">
        <v>2950</v>
      </c>
      <c r="BL347" s="163">
        <v>2950</v>
      </c>
      <c r="BM347" s="163">
        <v>2950</v>
      </c>
      <c r="BN347" s="163">
        <v>2950</v>
      </c>
      <c r="BO347" s="163">
        <v>2950</v>
      </c>
      <c r="BP347" s="163">
        <v>2950</v>
      </c>
      <c r="BQ347" s="163">
        <v>2950</v>
      </c>
      <c r="BR347" s="163">
        <v>2950</v>
      </c>
      <c r="BS347" s="163">
        <v>2950</v>
      </c>
      <c r="BT347" s="163">
        <v>2950</v>
      </c>
      <c r="BU347" s="163">
        <v>2950</v>
      </c>
      <c r="BV347" s="163">
        <v>2950</v>
      </c>
      <c r="BW347" s="163">
        <v>2950</v>
      </c>
      <c r="BX347" s="163">
        <v>2950</v>
      </c>
      <c r="BY347" s="163">
        <v>2950</v>
      </c>
      <c r="BZ347" s="163">
        <v>2950</v>
      </c>
      <c r="CA347" s="163">
        <v>2950</v>
      </c>
      <c r="CB347" s="163">
        <v>2950</v>
      </c>
      <c r="CC347" s="163">
        <v>2950</v>
      </c>
      <c r="CD347" s="163">
        <v>2950</v>
      </c>
      <c r="CE347" s="163">
        <v>2950</v>
      </c>
      <c r="CF347" s="163">
        <v>2950</v>
      </c>
      <c r="CG347" s="163">
        <v>2950</v>
      </c>
      <c r="CH347" s="163">
        <v>2950</v>
      </c>
      <c r="CI347" s="163">
        <v>2950</v>
      </c>
      <c r="CJ347" s="163">
        <v>2950</v>
      </c>
      <c r="CK347" s="163">
        <v>2950</v>
      </c>
      <c r="CL347" s="163">
        <v>2950</v>
      </c>
      <c r="CM347" s="163">
        <v>2950</v>
      </c>
      <c r="CN347" s="163">
        <v>2950</v>
      </c>
      <c r="CO347" s="163">
        <v>2950</v>
      </c>
      <c r="CP347" s="163">
        <v>2950</v>
      </c>
      <c r="CQ347" s="163">
        <v>2950</v>
      </c>
      <c r="CR347" s="163">
        <v>2950</v>
      </c>
      <c r="CS347" s="163">
        <v>2950</v>
      </c>
      <c r="CT347" s="163">
        <v>2950</v>
      </c>
      <c r="CU347" s="163">
        <v>2950</v>
      </c>
      <c r="CV347" s="163">
        <v>2950</v>
      </c>
      <c r="CW347" s="163">
        <v>2950</v>
      </c>
      <c r="CX347" s="163">
        <v>2950</v>
      </c>
      <c r="CY347" s="163">
        <v>2950</v>
      </c>
      <c r="CZ347" s="163">
        <v>2950</v>
      </c>
      <c r="DA347" s="163">
        <v>2950</v>
      </c>
      <c r="DB347" s="163">
        <v>2950</v>
      </c>
      <c r="DC347" s="163">
        <v>2950</v>
      </c>
      <c r="DD347" s="163">
        <v>2950</v>
      </c>
      <c r="DE347" s="163">
        <v>2950</v>
      </c>
      <c r="DF347" s="163">
        <f>VLOOKUP($A347,'[3]BS ACC'!$A$258:$DH$1006,110,FALSE)</f>
        <v>2950</v>
      </c>
      <c r="DG347" s="163">
        <f>VLOOKUP($A347,'[3]BS ACC'!$A$258:$DH$1006,111,FALSE)</f>
        <v>2950</v>
      </c>
      <c r="DH347" s="163">
        <f>VLOOKUP($A347,'[3]BS ACC'!$A$258:$DH$1006,112,FALSE)</f>
        <v>2950</v>
      </c>
    </row>
    <row r="348" spans="1:112">
      <c r="A348" t="s">
        <v>839</v>
      </c>
      <c r="D348" s="345">
        <v>0</v>
      </c>
      <c r="E348" s="345">
        <v>0</v>
      </c>
      <c r="F348" s="345">
        <v>0</v>
      </c>
      <c r="G348" s="345">
        <v>0</v>
      </c>
      <c r="H348" s="345">
        <v>0</v>
      </c>
      <c r="I348" s="345">
        <v>0</v>
      </c>
      <c r="J348" s="345">
        <v>0</v>
      </c>
      <c r="K348" s="345">
        <v>0</v>
      </c>
      <c r="L348" s="345">
        <v>0</v>
      </c>
      <c r="M348" s="345">
        <v>0</v>
      </c>
      <c r="N348" s="345">
        <v>0</v>
      </c>
      <c r="O348" s="345">
        <v>0</v>
      </c>
      <c r="P348" s="345">
        <v>0</v>
      </c>
      <c r="Q348" s="163">
        <v>0</v>
      </c>
      <c r="R348" s="163">
        <v>0</v>
      </c>
      <c r="S348" s="163">
        <v>0</v>
      </c>
      <c r="T348" s="163">
        <v>0</v>
      </c>
      <c r="U348" s="163">
        <v>0</v>
      </c>
      <c r="V348" s="163">
        <v>0</v>
      </c>
      <c r="W348" s="163">
        <v>0</v>
      </c>
      <c r="X348" s="163">
        <v>0</v>
      </c>
      <c r="Y348" s="163">
        <v>0</v>
      </c>
      <c r="Z348" s="163">
        <v>0</v>
      </c>
      <c r="AA348" s="163">
        <v>0</v>
      </c>
      <c r="AB348" s="163">
        <v>0</v>
      </c>
      <c r="AC348" s="163">
        <v>0</v>
      </c>
      <c r="AD348" s="163">
        <v>0</v>
      </c>
      <c r="AE348" s="163">
        <v>0</v>
      </c>
      <c r="AF348" s="163">
        <v>0</v>
      </c>
      <c r="AG348" s="163">
        <v>0</v>
      </c>
      <c r="AH348" s="163">
        <v>0</v>
      </c>
      <c r="AI348" s="163">
        <v>0</v>
      </c>
      <c r="AJ348" s="163">
        <v>0</v>
      </c>
      <c r="AK348" s="163">
        <v>0</v>
      </c>
      <c r="AL348" s="163">
        <v>0</v>
      </c>
      <c r="AM348" s="163">
        <v>0</v>
      </c>
      <c r="AN348" s="163">
        <v>0</v>
      </c>
      <c r="AO348" s="163">
        <v>0</v>
      </c>
      <c r="AP348" s="163">
        <v>0</v>
      </c>
      <c r="AQ348" s="163">
        <v>0</v>
      </c>
      <c r="AR348" s="163">
        <v>0</v>
      </c>
      <c r="AS348" s="163">
        <v>0</v>
      </c>
      <c r="AT348" s="163">
        <v>0</v>
      </c>
      <c r="AU348" s="163">
        <v>0</v>
      </c>
      <c r="AV348" s="163">
        <v>0</v>
      </c>
      <c r="AW348" s="163">
        <v>0</v>
      </c>
      <c r="AX348" s="163">
        <v>0</v>
      </c>
      <c r="AY348" s="163">
        <v>0</v>
      </c>
      <c r="AZ348" s="163">
        <v>0</v>
      </c>
      <c r="BA348" s="163">
        <v>0</v>
      </c>
      <c r="BB348" s="163">
        <v>0</v>
      </c>
      <c r="BC348" s="163">
        <v>0</v>
      </c>
      <c r="BD348" s="163">
        <v>0</v>
      </c>
      <c r="BE348" s="163">
        <v>0</v>
      </c>
      <c r="BF348" s="163">
        <v>0</v>
      </c>
      <c r="BG348" s="163">
        <v>0</v>
      </c>
      <c r="BH348" s="163">
        <v>0</v>
      </c>
      <c r="BI348" s="163">
        <v>0</v>
      </c>
      <c r="BJ348" s="163">
        <v>0</v>
      </c>
      <c r="BK348" s="163">
        <v>0</v>
      </c>
      <c r="BL348" s="163">
        <v>0</v>
      </c>
      <c r="BM348" s="163">
        <v>0</v>
      </c>
      <c r="BN348" s="163">
        <v>0</v>
      </c>
      <c r="BO348" s="163">
        <v>0</v>
      </c>
      <c r="BP348" s="163">
        <v>0</v>
      </c>
      <c r="BQ348" s="163">
        <v>0</v>
      </c>
      <c r="BR348" s="163">
        <v>0</v>
      </c>
      <c r="BS348" s="163">
        <v>0</v>
      </c>
      <c r="BT348" s="163">
        <v>0</v>
      </c>
      <c r="BU348" s="163">
        <v>0</v>
      </c>
      <c r="BV348" s="163">
        <v>0</v>
      </c>
      <c r="BW348" s="163">
        <v>0</v>
      </c>
      <c r="BX348" s="163">
        <v>0</v>
      </c>
      <c r="BY348" s="163">
        <v>0</v>
      </c>
      <c r="BZ348" s="163">
        <v>0</v>
      </c>
      <c r="CA348" s="163">
        <v>0</v>
      </c>
      <c r="CB348" s="163">
        <v>0</v>
      </c>
      <c r="CC348" s="163">
        <v>0</v>
      </c>
      <c r="CD348" s="163">
        <v>0</v>
      </c>
      <c r="CE348" s="163">
        <v>0</v>
      </c>
      <c r="CF348" s="163">
        <v>0</v>
      </c>
      <c r="CG348" s="163">
        <v>0</v>
      </c>
      <c r="CH348" s="163">
        <v>0</v>
      </c>
      <c r="CI348" s="163">
        <v>0</v>
      </c>
      <c r="CJ348" s="163">
        <v>0</v>
      </c>
      <c r="CK348" s="163">
        <v>0</v>
      </c>
      <c r="CL348" s="163">
        <v>0</v>
      </c>
      <c r="CM348" s="163">
        <v>0</v>
      </c>
      <c r="CN348" s="163">
        <v>0</v>
      </c>
      <c r="CO348" s="163">
        <v>0</v>
      </c>
      <c r="CP348" s="163">
        <v>0</v>
      </c>
      <c r="CQ348" s="163">
        <v>0</v>
      </c>
      <c r="CR348" s="163">
        <v>0</v>
      </c>
      <c r="CS348" s="163">
        <v>0</v>
      </c>
      <c r="CT348" s="163">
        <v>0</v>
      </c>
      <c r="CU348" s="163">
        <v>0</v>
      </c>
      <c r="CV348" s="163">
        <v>0</v>
      </c>
      <c r="CW348" s="163">
        <v>0</v>
      </c>
      <c r="CX348" s="163">
        <v>0</v>
      </c>
      <c r="CY348" s="163">
        <v>0</v>
      </c>
      <c r="CZ348" s="163">
        <v>0</v>
      </c>
      <c r="DA348" s="163">
        <v>0</v>
      </c>
      <c r="DB348" s="163">
        <v>0</v>
      </c>
      <c r="DC348" s="163">
        <v>0</v>
      </c>
      <c r="DD348" s="163">
        <v>0</v>
      </c>
      <c r="DE348" s="163">
        <v>0</v>
      </c>
      <c r="DF348" s="163">
        <f>VLOOKUP($A348,'[3]BS ACC'!$A$258:$DH$1006,110,FALSE)</f>
        <v>0</v>
      </c>
      <c r="DG348" s="163">
        <f>VLOOKUP($A348,'[3]BS ACC'!$A$258:$DH$1006,111,FALSE)</f>
        <v>0</v>
      </c>
      <c r="DH348" s="163">
        <f>VLOOKUP($A348,'[3]BS ACC'!$A$258:$DH$1006,112,FALSE)</f>
        <v>0</v>
      </c>
    </row>
    <row r="349" spans="1:112">
      <c r="A349" t="s">
        <v>840</v>
      </c>
      <c r="D349" s="345">
        <v>22917004.77</v>
      </c>
      <c r="E349" s="345">
        <v>33888239.469999999</v>
      </c>
      <c r="F349" s="345">
        <v>34564177.649999999</v>
      </c>
      <c r="G349" s="345">
        <v>30784053.600000001</v>
      </c>
      <c r="H349" s="345">
        <v>29663927.84</v>
      </c>
      <c r="I349" s="345">
        <v>22479626.829999998</v>
      </c>
      <c r="J349" s="345">
        <v>22504133.27</v>
      </c>
      <c r="K349" s="345">
        <v>23241237.09</v>
      </c>
      <c r="L349" s="345">
        <v>23878463.870000001</v>
      </c>
      <c r="M349" s="345">
        <v>22321098.780000001</v>
      </c>
      <c r="N349" s="345">
        <v>22099793.280000001</v>
      </c>
      <c r="O349" s="345">
        <v>26323347.600000001</v>
      </c>
      <c r="P349" s="345">
        <v>26034826.32</v>
      </c>
      <c r="Q349" s="163">
        <v>32187526.920000002</v>
      </c>
      <c r="R349" s="163">
        <v>34039835.079999998</v>
      </c>
      <c r="S349" s="163">
        <v>29541354.100000001</v>
      </c>
      <c r="T349" s="163">
        <v>28240355.52</v>
      </c>
      <c r="U349" s="163">
        <v>23565407.48</v>
      </c>
      <c r="V349" s="163">
        <v>24075458.02</v>
      </c>
      <c r="W349" s="163">
        <v>21417409.149999999</v>
      </c>
      <c r="X349" s="163">
        <v>24298849.940000001</v>
      </c>
      <c r="Y349" s="163">
        <v>23816258.93</v>
      </c>
      <c r="Z349" s="163">
        <v>23772059.039999999</v>
      </c>
      <c r="AA349" s="163">
        <v>26518734.390000001</v>
      </c>
      <c r="AB349" s="163">
        <v>23370304.82</v>
      </c>
      <c r="AC349" s="163">
        <v>31850535.170000002</v>
      </c>
      <c r="AD349" s="163">
        <v>33660304.32</v>
      </c>
      <c r="AE349" s="163">
        <v>27396780.07</v>
      </c>
      <c r="AF349" s="163">
        <v>26991418.98</v>
      </c>
      <c r="AG349" s="163">
        <v>25680472.5</v>
      </c>
      <c r="AH349" s="163">
        <v>25214431.510000002</v>
      </c>
      <c r="AI349" s="163">
        <v>27415095.079999998</v>
      </c>
      <c r="AJ349" s="163">
        <v>23394824.629999999</v>
      </c>
      <c r="AK349" s="163">
        <v>21229562.68</v>
      </c>
      <c r="AL349" s="163">
        <v>22666835.920000002</v>
      </c>
      <c r="AM349" s="163">
        <v>17869442.899999999</v>
      </c>
      <c r="AN349" s="163">
        <v>20407143.399999999</v>
      </c>
      <c r="AO349" s="163">
        <v>29988883.34</v>
      </c>
      <c r="AP349" s="163">
        <v>30496228.98</v>
      </c>
      <c r="AQ349" s="163">
        <v>25425348.940000001</v>
      </c>
      <c r="AR349" s="163">
        <v>29266124.25</v>
      </c>
      <c r="AS349" s="163">
        <v>26763987.870000001</v>
      </c>
      <c r="AT349" s="163">
        <v>23778388.969999999</v>
      </c>
      <c r="AU349" s="163">
        <v>24866772.41</v>
      </c>
      <c r="AV349" s="163">
        <v>19382730.989999998</v>
      </c>
      <c r="AW349" s="163">
        <v>26222134.059999999</v>
      </c>
      <c r="AX349" s="163">
        <v>21363062.82</v>
      </c>
      <c r="AY349" s="163">
        <v>23526603.07</v>
      </c>
      <c r="AZ349" s="163">
        <v>29589589.309999999</v>
      </c>
      <c r="BA349" s="163">
        <v>39142637.479999997</v>
      </c>
      <c r="BB349" s="163">
        <v>33520126.620000001</v>
      </c>
      <c r="BC349" s="163">
        <v>28369965.609999999</v>
      </c>
      <c r="BD349" s="163">
        <v>30347437.300000001</v>
      </c>
      <c r="BE349" s="163">
        <v>26461489.609999999</v>
      </c>
      <c r="BF349" s="163">
        <v>26323048.57</v>
      </c>
      <c r="BG349" s="163">
        <v>27677789.359999999</v>
      </c>
      <c r="BH349" s="163">
        <v>22422804.370000001</v>
      </c>
      <c r="BI349" s="163">
        <v>26981163.199999999</v>
      </c>
      <c r="BJ349" s="163">
        <v>25315728.010000002</v>
      </c>
      <c r="BK349" s="163">
        <v>24158601.609999999</v>
      </c>
      <c r="BL349" s="163">
        <v>29542589.260000002</v>
      </c>
      <c r="BM349" s="163">
        <v>32582158.719999999</v>
      </c>
      <c r="BN349" s="163">
        <v>32195813.649999999</v>
      </c>
      <c r="BO349" s="163">
        <v>29074433.710000001</v>
      </c>
      <c r="BP349" s="163">
        <v>27185463.84</v>
      </c>
      <c r="BQ349" s="163">
        <v>25642351.34</v>
      </c>
      <c r="BR349" s="163">
        <v>23881225.350000001</v>
      </c>
      <c r="BS349" s="163">
        <v>21407370.66</v>
      </c>
      <c r="BT349" s="163">
        <v>20163176.579999998</v>
      </c>
      <c r="BU349" s="163">
        <v>23570156.899999999</v>
      </c>
      <c r="BV349" s="163">
        <v>20921762.350000001</v>
      </c>
      <c r="BW349" s="163">
        <v>25051047.789999999</v>
      </c>
      <c r="BX349" s="163">
        <v>28445716.460000001</v>
      </c>
      <c r="BY349" s="163">
        <v>33690965.270000003</v>
      </c>
      <c r="BZ349" s="163">
        <v>31434966.370000001</v>
      </c>
      <c r="CA349" s="163">
        <v>28960246.870000001</v>
      </c>
      <c r="CB349" s="163">
        <v>25442431.469999999</v>
      </c>
      <c r="CC349" s="163">
        <v>24859606.969999999</v>
      </c>
      <c r="CD349" s="163">
        <v>24328612.75</v>
      </c>
      <c r="CE349" s="163">
        <v>22554225.649999999</v>
      </c>
      <c r="CF349" s="163">
        <v>22331643.629999999</v>
      </c>
      <c r="CG349" s="163">
        <v>23076572.399999999</v>
      </c>
      <c r="CH349" s="163">
        <v>21627940.539999999</v>
      </c>
      <c r="CI349" s="163">
        <v>25437275.010000002</v>
      </c>
      <c r="CJ349" s="163">
        <v>29061274.129999999</v>
      </c>
      <c r="CK349" s="163">
        <v>41434704.340000004</v>
      </c>
      <c r="CL349" s="163">
        <v>43191845.93</v>
      </c>
      <c r="CM349" s="163">
        <v>37311112.030000001</v>
      </c>
      <c r="CN349" s="163">
        <v>33050040.489999998</v>
      </c>
      <c r="CO349" s="163">
        <v>31383893.140000001</v>
      </c>
      <c r="CP349" s="163">
        <v>28707721.800000001</v>
      </c>
      <c r="CQ349" s="163">
        <v>28842329.620000001</v>
      </c>
      <c r="CR349" s="163">
        <v>27207266.440000001</v>
      </c>
      <c r="CS349" s="163">
        <v>28836682.52</v>
      </c>
      <c r="CT349" s="163">
        <v>30680668.960000001</v>
      </c>
      <c r="CU349" s="163">
        <v>29358886.93</v>
      </c>
      <c r="CV349" s="163">
        <v>34889403.490000002</v>
      </c>
      <c r="CW349" s="163">
        <v>46802984</v>
      </c>
      <c r="CX349" s="163">
        <v>51862174.68</v>
      </c>
      <c r="CY349" s="163">
        <v>42268944.789999999</v>
      </c>
      <c r="CZ349" s="163">
        <v>40632814.960000001</v>
      </c>
      <c r="DA349" s="163">
        <v>41650049.289999999</v>
      </c>
      <c r="DB349" s="163">
        <v>37929803</v>
      </c>
      <c r="DC349" s="163">
        <v>40669428.009999998</v>
      </c>
      <c r="DD349" s="163">
        <v>36887532.149999999</v>
      </c>
      <c r="DE349" s="163">
        <v>36611247.780000001</v>
      </c>
      <c r="DF349" s="163">
        <f>VLOOKUP($A349,'[3]BS ACC'!$A$258:$DH$1006,110,FALSE)</f>
        <v>34676257.579999998</v>
      </c>
      <c r="DG349" s="163">
        <f>VLOOKUP($A349,'[3]BS ACC'!$A$258:$DH$1006,111,FALSE)</f>
        <v>32838622.920000002</v>
      </c>
      <c r="DH349" s="163">
        <f>VLOOKUP($A349,'[3]BS ACC'!$A$258:$DH$1006,112,FALSE)</f>
        <v>37678297.049999997</v>
      </c>
    </row>
    <row r="350" spans="1:112">
      <c r="A350" t="s">
        <v>841</v>
      </c>
      <c r="D350" s="345">
        <v>6933410.6600000001</v>
      </c>
      <c r="E350" s="345">
        <v>5883486.5499999998</v>
      </c>
      <c r="F350" s="345">
        <v>5824437.5899999999</v>
      </c>
      <c r="G350" s="345">
        <v>5777857.2000000002</v>
      </c>
      <c r="H350" s="345">
        <v>5772900.4299999997</v>
      </c>
      <c r="I350" s="345">
        <v>5646484.5599999996</v>
      </c>
      <c r="J350" s="345">
        <v>5532771.5999999996</v>
      </c>
      <c r="K350" s="345">
        <v>5652063.2800000003</v>
      </c>
      <c r="L350" s="345">
        <v>5324765.95</v>
      </c>
      <c r="M350" s="345">
        <v>5334747.5999999996</v>
      </c>
      <c r="N350" s="345">
        <v>5311839.84</v>
      </c>
      <c r="O350" s="345">
        <v>5376119.1200000001</v>
      </c>
      <c r="P350" s="345">
        <v>15706678.98</v>
      </c>
      <c r="Q350" s="163">
        <v>5800966.4000000004</v>
      </c>
      <c r="R350" s="163">
        <v>5900607.79</v>
      </c>
      <c r="S350" s="163">
        <v>5914383.7000000002</v>
      </c>
      <c r="T350" s="163">
        <v>5959177.7000000002</v>
      </c>
      <c r="U350" s="163">
        <v>6361034.1299999999</v>
      </c>
      <c r="V350" s="163">
        <v>6176915.6100000003</v>
      </c>
      <c r="W350" s="163">
        <v>6986829.8200000003</v>
      </c>
      <c r="X350" s="163">
        <v>6080720.6100000003</v>
      </c>
      <c r="Y350" s="163">
        <v>6232480.0300000003</v>
      </c>
      <c r="Z350" s="163">
        <v>6271078.3600000003</v>
      </c>
      <c r="AA350" s="163">
        <v>6205664.9800000004</v>
      </c>
      <c r="AB350" s="163">
        <v>20173951.489999998</v>
      </c>
      <c r="AC350" s="163">
        <v>6357385.4199999999</v>
      </c>
      <c r="AD350" s="163">
        <v>6817736.8700000001</v>
      </c>
      <c r="AE350" s="163">
        <v>6504847.0300000003</v>
      </c>
      <c r="AF350" s="163">
        <v>6589860.0700000003</v>
      </c>
      <c r="AG350" s="163">
        <v>6565581.7800000003</v>
      </c>
      <c r="AH350" s="163">
        <v>6303047.5599999996</v>
      </c>
      <c r="AI350" s="163">
        <v>6635591.2699999996</v>
      </c>
      <c r="AJ350" s="163">
        <v>6625883.5199999996</v>
      </c>
      <c r="AK350" s="163">
        <v>7369022.1500000004</v>
      </c>
      <c r="AL350" s="163">
        <v>6447692.0300000003</v>
      </c>
      <c r="AM350" s="163">
        <v>6572206.3200000003</v>
      </c>
      <c r="AN350" s="163">
        <v>7886631.79</v>
      </c>
      <c r="AO350" s="163">
        <v>6087617.1100000003</v>
      </c>
      <c r="AP350" s="163">
        <v>6172022.8300000001</v>
      </c>
      <c r="AQ350" s="163">
        <v>6196462.5899999999</v>
      </c>
      <c r="AR350" s="163">
        <v>5795704.7199999997</v>
      </c>
      <c r="AS350" s="163">
        <v>6018720.0700000003</v>
      </c>
      <c r="AT350" s="163">
        <v>5669492.2199999997</v>
      </c>
      <c r="AU350" s="163">
        <v>5125177.49</v>
      </c>
      <c r="AV350" s="163">
        <v>4739086.07</v>
      </c>
      <c r="AW350" s="163">
        <v>4631835.16</v>
      </c>
      <c r="AX350" s="163">
        <v>4457602.3</v>
      </c>
      <c r="AY350" s="163">
        <v>4244813.99</v>
      </c>
      <c r="AZ350" s="163">
        <v>4383604.59</v>
      </c>
      <c r="BA350" s="163">
        <v>4161462.67</v>
      </c>
      <c r="BB350" s="163">
        <v>3979331.42</v>
      </c>
      <c r="BC350" s="163">
        <v>3806110.35</v>
      </c>
      <c r="BD350" s="163">
        <v>3613904.27</v>
      </c>
      <c r="BE350" s="163">
        <v>3896226.97</v>
      </c>
      <c r="BF350" s="163">
        <v>3557213.27</v>
      </c>
      <c r="BG350" s="163">
        <v>3186267.09</v>
      </c>
      <c r="BH350" s="163">
        <v>3210920.2</v>
      </c>
      <c r="BI350" s="163">
        <v>2980073.78</v>
      </c>
      <c r="BJ350" s="163">
        <v>2806906.94</v>
      </c>
      <c r="BK350" s="163">
        <v>2450891.77</v>
      </c>
      <c r="BL350" s="163">
        <v>2653972.5299999998</v>
      </c>
      <c r="BM350" s="163">
        <v>2331802.9900000002</v>
      </c>
      <c r="BN350" s="163">
        <v>2227547.2999999998</v>
      </c>
      <c r="BO350" s="163">
        <v>1943320.21</v>
      </c>
      <c r="BP350" s="163">
        <v>1737126.09</v>
      </c>
      <c r="BQ350" s="163">
        <v>1704747.41</v>
      </c>
      <c r="BR350" s="163">
        <v>1711318.94</v>
      </c>
      <c r="BS350" s="163">
        <v>1624263.64</v>
      </c>
      <c r="BT350" s="163">
        <v>1471182.85</v>
      </c>
      <c r="BU350" s="163">
        <v>1369292.52</v>
      </c>
      <c r="BV350" s="163">
        <v>1167125.04</v>
      </c>
      <c r="BW350" s="163">
        <v>1141355.3400000001</v>
      </c>
      <c r="BX350" s="163">
        <v>1394531.22</v>
      </c>
      <c r="BY350" s="163">
        <v>1189570.49</v>
      </c>
      <c r="BZ350" s="163">
        <v>1177170.6399999999</v>
      </c>
      <c r="CA350" s="163">
        <v>1427785.95</v>
      </c>
      <c r="CB350" s="163">
        <v>1303718.8999999999</v>
      </c>
      <c r="CC350" s="163">
        <v>1513595.07</v>
      </c>
      <c r="CD350" s="163">
        <v>1657453.27</v>
      </c>
      <c r="CE350" s="163">
        <v>1666523.77</v>
      </c>
      <c r="CF350" s="163">
        <v>1315232.72</v>
      </c>
      <c r="CG350" s="163">
        <v>1134164.28</v>
      </c>
      <c r="CH350" s="163">
        <v>513325.58</v>
      </c>
      <c r="CI350" s="163">
        <v>1398217.09</v>
      </c>
      <c r="CJ350" s="163">
        <v>621522.71</v>
      </c>
      <c r="CK350" s="163">
        <v>258848.95</v>
      </c>
      <c r="CL350" s="163">
        <v>339721.93</v>
      </c>
      <c r="CM350" s="163">
        <v>248664.7</v>
      </c>
      <c r="CN350" s="163">
        <v>380073.17</v>
      </c>
      <c r="CO350" s="163">
        <v>367847.02</v>
      </c>
      <c r="CP350" s="163">
        <v>311076.01</v>
      </c>
      <c r="CQ350" s="163">
        <v>413518.29</v>
      </c>
      <c r="CR350" s="163">
        <v>490886.63</v>
      </c>
      <c r="CS350" s="163">
        <v>621241.31999999995</v>
      </c>
      <c r="CT350" s="163">
        <v>403068.56</v>
      </c>
      <c r="CU350" s="163">
        <v>425065.36</v>
      </c>
      <c r="CV350" s="163">
        <v>4473619.8099999996</v>
      </c>
      <c r="CW350" s="163">
        <v>334653.99</v>
      </c>
      <c r="CX350" s="163">
        <v>639108.68999999994</v>
      </c>
      <c r="CY350" s="163">
        <v>446418.19</v>
      </c>
      <c r="CZ350" s="163">
        <v>467664.16</v>
      </c>
      <c r="DA350" s="163">
        <v>549196.46</v>
      </c>
      <c r="DB350" s="163">
        <v>1602836.05</v>
      </c>
      <c r="DC350" s="163">
        <v>3601357.07</v>
      </c>
      <c r="DD350" s="163">
        <v>706081.62</v>
      </c>
      <c r="DE350" s="163">
        <v>2131383</v>
      </c>
      <c r="DF350" s="163">
        <f>VLOOKUP($A350,'[3]BS ACC'!$A$258:$DH$1006,110,FALSE)</f>
        <v>1460709.73</v>
      </c>
      <c r="DG350" s="163">
        <f>VLOOKUP($A350,'[3]BS ACC'!$A$258:$DH$1006,111,FALSE)</f>
        <v>2753147.72</v>
      </c>
      <c r="DH350" s="163">
        <f>VLOOKUP($A350,'[3]BS ACC'!$A$258:$DH$1006,112,FALSE)</f>
        <v>1528487.38</v>
      </c>
    </row>
    <row r="351" spans="1:112">
      <c r="A351" t="s">
        <v>842</v>
      </c>
      <c r="D351" s="345">
        <v>-731329.09</v>
      </c>
      <c r="E351" s="345">
        <v>-782748.28</v>
      </c>
      <c r="F351" s="345">
        <v>-917716.05</v>
      </c>
      <c r="G351" s="345">
        <v>-957279.1</v>
      </c>
      <c r="H351" s="345">
        <v>-935207.56</v>
      </c>
      <c r="I351" s="345">
        <v>-856777.71</v>
      </c>
      <c r="J351" s="345">
        <v>-816528.2</v>
      </c>
      <c r="K351" s="345">
        <v>-794094.56</v>
      </c>
      <c r="L351" s="345">
        <v>-747608.48</v>
      </c>
      <c r="M351" s="345">
        <v>-725358.9</v>
      </c>
      <c r="N351" s="345">
        <v>-695536.87</v>
      </c>
      <c r="O351" s="345">
        <v>-707430.92</v>
      </c>
      <c r="P351" s="345">
        <v>-716180.51</v>
      </c>
      <c r="Q351" s="163">
        <v>-764563.98</v>
      </c>
      <c r="R351" s="163">
        <v>-833682.14</v>
      </c>
      <c r="S351" s="163">
        <v>-866987.2</v>
      </c>
      <c r="T351" s="163">
        <v>-866890.19</v>
      </c>
      <c r="U351" s="163">
        <v>-848576.7</v>
      </c>
      <c r="V351" s="163">
        <v>-848491.47</v>
      </c>
      <c r="W351" s="163">
        <v>-838881.91</v>
      </c>
      <c r="X351" s="163">
        <v>-842812.73</v>
      </c>
      <c r="Y351" s="163">
        <v>-837646</v>
      </c>
      <c r="Z351" s="163">
        <v>-838111.69</v>
      </c>
      <c r="AA351" s="163">
        <v>-847212.74</v>
      </c>
      <c r="AB351" s="163">
        <v>-849690.38</v>
      </c>
      <c r="AC351" s="163">
        <v>-887536.24</v>
      </c>
      <c r="AD351" s="163">
        <v>-944535.58</v>
      </c>
      <c r="AE351" s="163">
        <v>-956846.5</v>
      </c>
      <c r="AF351" s="163">
        <v>-941985.09</v>
      </c>
      <c r="AG351" s="163">
        <v>-940287.95</v>
      </c>
      <c r="AH351" s="163">
        <v>-903512.59</v>
      </c>
      <c r="AI351" s="163">
        <v>-849498.54</v>
      </c>
      <c r="AJ351" s="163">
        <v>-845093.79</v>
      </c>
      <c r="AK351" s="163">
        <v>-801433.25</v>
      </c>
      <c r="AL351" s="163">
        <v>-783650.76</v>
      </c>
      <c r="AM351" s="163">
        <v>-787925.3</v>
      </c>
      <c r="AN351" s="163">
        <v>-113418.5</v>
      </c>
      <c r="AO351" s="163">
        <v>-207044.19</v>
      </c>
      <c r="AP351" s="163">
        <v>-288993.48</v>
      </c>
      <c r="AQ351" s="163">
        <v>-453047.41</v>
      </c>
      <c r="AR351" s="163">
        <v>-288871.28999999998</v>
      </c>
      <c r="AS351" s="163">
        <v>-310800.03999999998</v>
      </c>
      <c r="AT351" s="163">
        <v>-222271.28</v>
      </c>
      <c r="AU351" s="163">
        <v>-283591.84000000003</v>
      </c>
      <c r="AV351" s="163">
        <v>-271504.96000000002</v>
      </c>
      <c r="AW351" s="163">
        <v>-260755.54</v>
      </c>
      <c r="AX351" s="163">
        <v>-259628.15</v>
      </c>
      <c r="AY351" s="163">
        <v>-275756.57</v>
      </c>
      <c r="AZ351" s="163">
        <v>-302186.99</v>
      </c>
      <c r="BA351" s="163">
        <v>-382590.6</v>
      </c>
      <c r="BB351" s="163">
        <v>-281097.52</v>
      </c>
      <c r="BC351" s="163">
        <v>-251701.7</v>
      </c>
      <c r="BD351" s="163">
        <v>-213849.52</v>
      </c>
      <c r="BE351" s="163">
        <v>-201884.92</v>
      </c>
      <c r="BF351" s="163">
        <v>-195494.82</v>
      </c>
      <c r="BG351" s="163">
        <v>-201995.58</v>
      </c>
      <c r="BH351" s="163">
        <v>-221122.53</v>
      </c>
      <c r="BI351" s="163">
        <v>-220732.07</v>
      </c>
      <c r="BJ351" s="163">
        <v>-205020.84</v>
      </c>
      <c r="BK351" s="163">
        <v>-208157.12</v>
      </c>
      <c r="BL351" s="163">
        <v>-248774.45</v>
      </c>
      <c r="BM351" s="163">
        <v>-268023.42</v>
      </c>
      <c r="BN351" s="163">
        <v>-261911.67</v>
      </c>
      <c r="BO351" s="163">
        <v>-260675.28</v>
      </c>
      <c r="BP351" s="163">
        <v>-260922.33</v>
      </c>
      <c r="BQ351" s="163">
        <v>-252489.89</v>
      </c>
      <c r="BR351" s="163">
        <v>-230230.67</v>
      </c>
      <c r="BS351" s="163">
        <v>-41515.67</v>
      </c>
      <c r="BT351" s="163">
        <v>-32340.85</v>
      </c>
      <c r="BU351" s="163">
        <v>1257.83</v>
      </c>
      <c r="BV351" s="163">
        <v>-14360.6</v>
      </c>
      <c r="BW351" s="163">
        <v>-32957.22</v>
      </c>
      <c r="BX351" s="163">
        <v>-36809.25</v>
      </c>
      <c r="BY351" s="163">
        <v>-59079.53</v>
      </c>
      <c r="BZ351" s="163">
        <v>-25686.27</v>
      </c>
      <c r="CA351" s="163">
        <v>-207873.18</v>
      </c>
      <c r="CB351" s="163">
        <v>-452784.82</v>
      </c>
      <c r="CC351" s="163">
        <v>-804530.58</v>
      </c>
      <c r="CD351" s="163">
        <v>-1102637.56</v>
      </c>
      <c r="CE351" s="163">
        <v>-1311633.3799999999</v>
      </c>
      <c r="CF351" s="163">
        <v>-1549808.38</v>
      </c>
      <c r="CG351" s="163">
        <v>-1725016.56</v>
      </c>
      <c r="CH351" s="163">
        <v>-1516639.96</v>
      </c>
      <c r="CI351" s="163">
        <v>-1648035.37</v>
      </c>
      <c r="CJ351" s="163">
        <v>-1047188.69</v>
      </c>
      <c r="CK351" s="163">
        <v>-1240201.96</v>
      </c>
      <c r="CL351" s="163">
        <v>-1410587.62</v>
      </c>
      <c r="CM351" s="163">
        <v>-1088199.1000000001</v>
      </c>
      <c r="CN351" s="163">
        <v>-1175985.28</v>
      </c>
      <c r="CO351" s="163">
        <v>-1250565.3600000001</v>
      </c>
      <c r="CP351" s="163">
        <v>-1225441.08</v>
      </c>
      <c r="CQ351" s="163">
        <v>-1256982.07</v>
      </c>
      <c r="CR351" s="163">
        <v>-1305700.52</v>
      </c>
      <c r="CS351" s="163">
        <v>-1353847.6</v>
      </c>
      <c r="CT351" s="163">
        <v>-1419739.68</v>
      </c>
      <c r="CU351" s="163">
        <v>-1392489.63</v>
      </c>
      <c r="CV351" s="163">
        <v>-1399521.73</v>
      </c>
      <c r="CW351" s="163">
        <v>-1454324.2</v>
      </c>
      <c r="CX351" s="163">
        <v>-1452668.41</v>
      </c>
      <c r="CY351" s="163">
        <v>-1468639.55</v>
      </c>
      <c r="CZ351" s="163">
        <v>-1385693.53</v>
      </c>
      <c r="DA351" s="163">
        <v>-1400061.24</v>
      </c>
      <c r="DB351" s="163">
        <v>-1421281.36</v>
      </c>
      <c r="DC351" s="163">
        <v>-1418467.37</v>
      </c>
      <c r="DD351" s="163">
        <v>-1499461.13</v>
      </c>
      <c r="DE351" s="163">
        <v>-1499789.83</v>
      </c>
      <c r="DF351" s="163">
        <f>VLOOKUP($A351,'[3]BS ACC'!$A$258:$DH$1006,110,FALSE)</f>
        <v>-1499667.41</v>
      </c>
      <c r="DG351" s="163">
        <f>VLOOKUP($A351,'[3]BS ACC'!$A$258:$DH$1006,111,FALSE)</f>
        <v>-1403566.05</v>
      </c>
      <c r="DH351" s="163">
        <f>VLOOKUP($A351,'[3]BS ACC'!$A$258:$DH$1006,112,FALSE)</f>
        <v>-888664.99</v>
      </c>
    </row>
    <row r="352" spans="1:112">
      <c r="A352" t="s">
        <v>843</v>
      </c>
      <c r="D352" s="345">
        <v>0</v>
      </c>
      <c r="E352" s="345">
        <v>0</v>
      </c>
      <c r="F352" s="345">
        <v>0</v>
      </c>
      <c r="G352" s="345">
        <v>1500000</v>
      </c>
      <c r="H352" s="345">
        <v>0</v>
      </c>
      <c r="I352" s="345">
        <v>0</v>
      </c>
      <c r="J352" s="345">
        <v>0</v>
      </c>
      <c r="K352" s="345">
        <v>0</v>
      </c>
      <c r="L352" s="345">
        <v>0</v>
      </c>
      <c r="M352" s="345">
        <v>0</v>
      </c>
      <c r="N352" s="345">
        <v>0</v>
      </c>
      <c r="O352" s="345">
        <v>0</v>
      </c>
      <c r="P352" s="345">
        <v>0</v>
      </c>
      <c r="Q352" s="163">
        <v>0</v>
      </c>
      <c r="R352" s="163">
        <v>0</v>
      </c>
      <c r="S352" s="163">
        <v>4600000</v>
      </c>
      <c r="T352" s="163">
        <v>10450000</v>
      </c>
      <c r="U352" s="163">
        <v>0</v>
      </c>
      <c r="V352" s="163">
        <v>0</v>
      </c>
      <c r="W352" s="163">
        <v>0</v>
      </c>
      <c r="X352" s="163">
        <v>0</v>
      </c>
      <c r="Y352" s="163">
        <v>0</v>
      </c>
      <c r="Z352" s="163">
        <v>0</v>
      </c>
      <c r="AA352" s="163">
        <v>12000000</v>
      </c>
      <c r="AB352" s="163">
        <v>4500000</v>
      </c>
      <c r="AC352" s="163">
        <v>3000000</v>
      </c>
      <c r="AD352" s="163">
        <v>0</v>
      </c>
      <c r="AE352" s="163">
        <v>0</v>
      </c>
      <c r="AF352" s="163">
        <v>23200000</v>
      </c>
      <c r="AG352" s="163">
        <v>5650000</v>
      </c>
      <c r="AH352" s="163">
        <v>0</v>
      </c>
      <c r="AI352" s="163">
        <v>0</v>
      </c>
      <c r="AJ352" s="163">
        <v>0</v>
      </c>
      <c r="AK352" s="163">
        <v>0</v>
      </c>
      <c r="AL352" s="163">
        <v>0</v>
      </c>
      <c r="AM352" s="163">
        <v>0</v>
      </c>
      <c r="AN352" s="163">
        <v>0</v>
      </c>
      <c r="AO352" s="163">
        <v>0</v>
      </c>
      <c r="AP352" s="163">
        <v>0</v>
      </c>
      <c r="AQ352" s="163">
        <v>0</v>
      </c>
      <c r="AR352" s="163">
        <v>0</v>
      </c>
      <c r="AS352" s="163">
        <v>0</v>
      </c>
      <c r="AT352" s="163">
        <v>0</v>
      </c>
      <c r="AU352" s="163">
        <v>0</v>
      </c>
      <c r="AV352" s="163">
        <v>0</v>
      </c>
      <c r="AW352" s="163">
        <v>0</v>
      </c>
      <c r="AX352" s="163">
        <v>0</v>
      </c>
      <c r="AY352" s="163">
        <v>0</v>
      </c>
      <c r="AZ352" s="163">
        <v>0</v>
      </c>
      <c r="BA352" s="163">
        <v>0</v>
      </c>
      <c r="BB352" s="163">
        <v>0</v>
      </c>
      <c r="BC352" s="163">
        <v>0</v>
      </c>
      <c r="BD352" s="163">
        <v>0</v>
      </c>
      <c r="BE352" s="163">
        <v>0</v>
      </c>
      <c r="BF352" s="163">
        <v>0</v>
      </c>
      <c r="BG352" s="163">
        <v>0</v>
      </c>
      <c r="BH352" s="163">
        <v>0</v>
      </c>
      <c r="BI352" s="163">
        <v>0</v>
      </c>
      <c r="BJ352" s="163">
        <v>0</v>
      </c>
      <c r="BK352" s="163">
        <v>0</v>
      </c>
      <c r="BL352" s="163">
        <v>0</v>
      </c>
      <c r="BM352" s="163">
        <v>0</v>
      </c>
      <c r="BN352" s="163">
        <v>0</v>
      </c>
      <c r="BO352" s="163">
        <v>0</v>
      </c>
      <c r="BP352" s="163">
        <v>0</v>
      </c>
      <c r="BQ352" s="163">
        <v>0</v>
      </c>
      <c r="BR352" s="163">
        <v>0</v>
      </c>
      <c r="BS352" s="163">
        <v>0</v>
      </c>
      <c r="BT352" s="163">
        <v>0</v>
      </c>
      <c r="BU352" s="163">
        <v>0</v>
      </c>
      <c r="BV352" s="163">
        <v>0</v>
      </c>
      <c r="BW352" s="163">
        <v>0</v>
      </c>
      <c r="BX352" s="163">
        <v>0</v>
      </c>
      <c r="BY352" s="163">
        <v>0</v>
      </c>
      <c r="BZ352" s="163">
        <v>0</v>
      </c>
      <c r="CA352" s="163">
        <v>0</v>
      </c>
      <c r="CB352" s="163">
        <v>0</v>
      </c>
      <c r="CC352" s="163">
        <v>0</v>
      </c>
      <c r="CD352" s="163">
        <v>0</v>
      </c>
      <c r="CE352" s="163">
        <v>0</v>
      </c>
      <c r="CF352" s="163">
        <v>0</v>
      </c>
      <c r="CG352" s="163">
        <v>0</v>
      </c>
      <c r="CH352" s="163">
        <v>0</v>
      </c>
      <c r="CI352" s="163">
        <v>9532753.8200000003</v>
      </c>
      <c r="CJ352" s="163">
        <v>9933659.4900000002</v>
      </c>
      <c r="CK352" s="163">
        <v>10459212.380000001</v>
      </c>
      <c r="CL352" s="163">
        <v>9618303.3200000003</v>
      </c>
      <c r="CM352" s="163">
        <v>10315787.27</v>
      </c>
      <c r="CN352" s="163">
        <v>9943295.0999999996</v>
      </c>
      <c r="CO352" s="163">
        <v>10267360</v>
      </c>
      <c r="CP352" s="163">
        <v>9828835.2899999991</v>
      </c>
      <c r="CQ352" s="163">
        <v>9719853.5899999999</v>
      </c>
      <c r="CR352" s="163">
        <v>10043801.52</v>
      </c>
      <c r="CS352" s="163">
        <v>9672449.2899999991</v>
      </c>
      <c r="CT352" s="163">
        <v>9146808.5800000001</v>
      </c>
      <c r="CU352" s="163">
        <v>9368777.5999999996</v>
      </c>
      <c r="CV352" s="163">
        <v>9985214.7300000004</v>
      </c>
      <c r="CW352" s="163">
        <v>8951965.4800000004</v>
      </c>
      <c r="CX352" s="163">
        <v>10205362.74</v>
      </c>
      <c r="CY352" s="163">
        <v>10528065.710000001</v>
      </c>
      <c r="CZ352" s="163">
        <v>9956717.6400000006</v>
      </c>
      <c r="DA352" s="163">
        <v>10337559.310000001</v>
      </c>
      <c r="DB352" s="163">
        <v>9979167.6400000006</v>
      </c>
      <c r="DC352" s="163">
        <v>9678886.3599999994</v>
      </c>
      <c r="DD352" s="163">
        <v>10135317.810000001</v>
      </c>
      <c r="DE352" s="163">
        <v>9639007.4199999999</v>
      </c>
      <c r="DF352" s="163">
        <f>VLOOKUP($A352,'[3]BS ACC'!$A$258:$DH$1006,110,FALSE)</f>
        <v>9123362.3000000007</v>
      </c>
      <c r="DG352" s="163">
        <f>VLOOKUP($A352,'[3]BS ACC'!$A$258:$DH$1006,111,FALSE)</f>
        <v>9579074.5899999999</v>
      </c>
      <c r="DH352" s="163">
        <f>VLOOKUP($A352,'[3]BS ACC'!$A$258:$DH$1006,112,FALSE)</f>
        <v>9393665.6600000001</v>
      </c>
    </row>
    <row r="353" spans="1:112">
      <c r="A353" t="s">
        <v>844</v>
      </c>
      <c r="D353" s="345">
        <v>1682578.18</v>
      </c>
      <c r="E353" s="345">
        <v>1462616.51</v>
      </c>
      <c r="F353" s="345">
        <v>728199.31</v>
      </c>
      <c r="G353" s="345">
        <v>979890.58</v>
      </c>
      <c r="H353" s="345">
        <v>2479684.08</v>
      </c>
      <c r="I353" s="345">
        <v>10648663.529999999</v>
      </c>
      <c r="J353" s="345">
        <v>1488272</v>
      </c>
      <c r="K353" s="345">
        <v>2089793.79</v>
      </c>
      <c r="L353" s="345">
        <v>2483003.98</v>
      </c>
      <c r="M353" s="345">
        <v>1882648.85</v>
      </c>
      <c r="N353" s="345">
        <v>3905435.65</v>
      </c>
      <c r="O353" s="345">
        <v>1301608.32</v>
      </c>
      <c r="P353" s="345">
        <v>4052631.34</v>
      </c>
      <c r="Q353" s="163">
        <v>931282.67</v>
      </c>
      <c r="R353" s="163">
        <v>2163255.9</v>
      </c>
      <c r="S353" s="163">
        <v>2254588.08</v>
      </c>
      <c r="T353" s="163">
        <v>2013841.25</v>
      </c>
      <c r="U353" s="163">
        <v>1614332.25</v>
      </c>
      <c r="V353" s="163">
        <v>2837890.92</v>
      </c>
      <c r="W353" s="163">
        <v>2766476.36</v>
      </c>
      <c r="X353" s="163">
        <v>2516200.25</v>
      </c>
      <c r="Y353" s="163">
        <v>928631.87</v>
      </c>
      <c r="Z353" s="163">
        <v>1675960.84</v>
      </c>
      <c r="AA353" s="163">
        <v>2349948.4300000002</v>
      </c>
      <c r="AB353" s="163">
        <v>1457299.19</v>
      </c>
      <c r="AC353" s="163">
        <v>2829742.65</v>
      </c>
      <c r="AD353" s="163">
        <v>2457229.4300000002</v>
      </c>
      <c r="AE353" s="163">
        <v>2948518.52</v>
      </c>
      <c r="AF353" s="163">
        <v>1635076.98</v>
      </c>
      <c r="AG353" s="163">
        <v>86583.99</v>
      </c>
      <c r="AH353" s="163">
        <v>360365.74</v>
      </c>
      <c r="AI353" s="163">
        <v>518687.03</v>
      </c>
      <c r="AJ353" s="163">
        <v>291024.31</v>
      </c>
      <c r="AK353" s="163">
        <v>48746.96</v>
      </c>
      <c r="AL353" s="163">
        <v>261654.41</v>
      </c>
      <c r="AM353" s="163">
        <v>158587.85</v>
      </c>
      <c r="AN353" s="163">
        <v>503313.03</v>
      </c>
      <c r="AO353" s="163">
        <v>619802.68999999994</v>
      </c>
      <c r="AP353" s="163">
        <v>634642.61</v>
      </c>
      <c r="AQ353" s="163">
        <v>939793.14</v>
      </c>
      <c r="AR353" s="163">
        <v>408073.38</v>
      </c>
      <c r="AS353" s="163">
        <v>1572729.47</v>
      </c>
      <c r="AT353" s="163">
        <v>1404369.23</v>
      </c>
      <c r="AU353" s="163">
        <v>1100678.23</v>
      </c>
      <c r="AV353" s="163">
        <v>20878471.289999999</v>
      </c>
      <c r="AW353" s="163">
        <v>5018491.0999999996</v>
      </c>
      <c r="AX353" s="163">
        <v>1025163.49</v>
      </c>
      <c r="AY353" s="163">
        <v>435683.47</v>
      </c>
      <c r="AZ353" s="163">
        <v>1710033.81</v>
      </c>
      <c r="BA353" s="163">
        <v>3492470.22</v>
      </c>
      <c r="BB353" s="163">
        <v>2241750.75</v>
      </c>
      <c r="BC353" s="163">
        <v>890002.85</v>
      </c>
      <c r="BD353" s="163">
        <v>318547.93</v>
      </c>
      <c r="BE353" s="163">
        <v>1161385.1100000001</v>
      </c>
      <c r="BF353" s="163">
        <v>3415462.82</v>
      </c>
      <c r="BG353" s="163">
        <v>2333749.14</v>
      </c>
      <c r="BH353" s="163">
        <v>1768842.13</v>
      </c>
      <c r="BI353" s="163">
        <v>3627743.86</v>
      </c>
      <c r="BJ353" s="163">
        <v>5204923.07</v>
      </c>
      <c r="BK353" s="163">
        <v>4402637.72</v>
      </c>
      <c r="BL353" s="163">
        <v>713313.1</v>
      </c>
      <c r="BM353" s="163">
        <v>3029000.92</v>
      </c>
      <c r="BN353" s="163">
        <v>922456.72</v>
      </c>
      <c r="BO353" s="163">
        <v>2538943.4300000002</v>
      </c>
      <c r="BP353" s="163">
        <v>985413.75</v>
      </c>
      <c r="BQ353" s="163">
        <v>2162611.64</v>
      </c>
      <c r="BR353" s="163">
        <v>793870.64</v>
      </c>
      <c r="BS353" s="163">
        <v>899724.5</v>
      </c>
      <c r="BT353" s="163">
        <v>1123644.49</v>
      </c>
      <c r="BU353" s="163">
        <v>3093512.67</v>
      </c>
      <c r="BV353" s="163">
        <v>2962536.56</v>
      </c>
      <c r="BW353" s="163">
        <v>790710.66</v>
      </c>
      <c r="BX353" s="163">
        <v>1028391.49</v>
      </c>
      <c r="BY353" s="163">
        <v>1617267.62</v>
      </c>
      <c r="BZ353" s="163">
        <v>615543.57999999996</v>
      </c>
      <c r="CA353" s="163">
        <v>1051850.45</v>
      </c>
      <c r="CB353" s="163">
        <v>320408.87</v>
      </c>
      <c r="CC353" s="163">
        <v>925310.73</v>
      </c>
      <c r="CD353" s="163">
        <v>964791.86</v>
      </c>
      <c r="CE353" s="163">
        <v>1181441.3999999999</v>
      </c>
      <c r="CF353" s="163">
        <v>941547.1</v>
      </c>
      <c r="CG353" s="163">
        <v>485400.81</v>
      </c>
      <c r="CH353" s="163">
        <v>651196.72</v>
      </c>
      <c r="CI353" s="163">
        <v>498782.47</v>
      </c>
      <c r="CJ353" s="163">
        <v>692220.36</v>
      </c>
      <c r="CK353" s="163">
        <v>445126.1</v>
      </c>
      <c r="CL353" s="163">
        <v>585526.36</v>
      </c>
      <c r="CM353" s="163">
        <v>1317455.7</v>
      </c>
      <c r="CN353" s="163">
        <v>1448720</v>
      </c>
      <c r="CO353" s="163">
        <v>797511.06</v>
      </c>
      <c r="CP353" s="163">
        <v>2124067.8199999998</v>
      </c>
      <c r="CQ353" s="163">
        <v>2972567.28</v>
      </c>
      <c r="CR353" s="163">
        <v>2620581.5099999998</v>
      </c>
      <c r="CS353" s="163">
        <v>1434046.91</v>
      </c>
      <c r="CT353" s="163">
        <v>1871289.54</v>
      </c>
      <c r="CU353" s="163">
        <v>906420.85</v>
      </c>
      <c r="CV353" s="163">
        <v>828793.11</v>
      </c>
      <c r="CW353" s="163">
        <v>1924042.75</v>
      </c>
      <c r="CX353" s="163">
        <v>1004313.77</v>
      </c>
      <c r="CY353" s="163">
        <v>2367830.9700000002</v>
      </c>
      <c r="CZ353" s="163">
        <v>1594424.02</v>
      </c>
      <c r="DA353" s="163">
        <v>5390555.04</v>
      </c>
      <c r="DB353" s="163">
        <v>7130647.5700000003</v>
      </c>
      <c r="DC353" s="163">
        <v>4630427.6399999997</v>
      </c>
      <c r="DD353" s="163">
        <v>5402517.8600000003</v>
      </c>
      <c r="DE353" s="163">
        <v>4004251.59</v>
      </c>
      <c r="DF353" s="163">
        <f>VLOOKUP($A353,'[3]BS ACC'!$A$258:$DH$1006,110,FALSE)</f>
        <v>2491050.86</v>
      </c>
      <c r="DG353" s="163">
        <f>VLOOKUP($A353,'[3]BS ACC'!$A$258:$DH$1006,111,FALSE)</f>
        <v>1993234.48</v>
      </c>
      <c r="DH353" s="163">
        <f>VLOOKUP($A353,'[3]BS ACC'!$A$258:$DH$1006,112,FALSE)</f>
        <v>3816942.81</v>
      </c>
    </row>
    <row r="354" spans="1:112">
      <c r="A354" t="s">
        <v>845</v>
      </c>
      <c r="D354" s="345">
        <v>3062782.86</v>
      </c>
      <c r="E354" s="345">
        <v>2461744.83</v>
      </c>
      <c r="F354" s="345">
        <v>2565528.77</v>
      </c>
      <c r="G354" s="345">
        <v>2101725.61</v>
      </c>
      <c r="H354" s="345">
        <v>2087172.27</v>
      </c>
      <c r="I354" s="345">
        <v>1960379.72</v>
      </c>
      <c r="J354" s="345">
        <v>1883606.53</v>
      </c>
      <c r="K354" s="345">
        <v>1886869.5</v>
      </c>
      <c r="L354" s="345">
        <v>1975215.06</v>
      </c>
      <c r="M354" s="345">
        <v>1938993.96</v>
      </c>
      <c r="N354" s="345">
        <v>1755238.86</v>
      </c>
      <c r="O354" s="345">
        <v>1763112.05</v>
      </c>
      <c r="P354" s="345">
        <v>1799639.2</v>
      </c>
      <c r="Q354" s="163">
        <v>1795256.79</v>
      </c>
      <c r="R354" s="163">
        <v>1882330.62</v>
      </c>
      <c r="S354" s="163">
        <v>1995646.83</v>
      </c>
      <c r="T354" s="163">
        <v>1941364.49</v>
      </c>
      <c r="U354" s="163">
        <v>1971050.56</v>
      </c>
      <c r="V354" s="163">
        <v>2109939.8199999998</v>
      </c>
      <c r="W354" s="163">
        <v>2392366.35</v>
      </c>
      <c r="X354" s="163">
        <v>2373514.0699999998</v>
      </c>
      <c r="Y354" s="163">
        <v>2155566.11</v>
      </c>
      <c r="Z354" s="163">
        <v>2415372.61</v>
      </c>
      <c r="AA354" s="163">
        <v>2065067.07</v>
      </c>
      <c r="AB354" s="163">
        <v>1914661.89</v>
      </c>
      <c r="AC354" s="163">
        <v>1876254.86</v>
      </c>
      <c r="AD354" s="163">
        <v>1981157.8</v>
      </c>
      <c r="AE354" s="163">
        <v>1959619.57</v>
      </c>
      <c r="AF354" s="163">
        <v>1899603.24</v>
      </c>
      <c r="AG354" s="163">
        <v>2257611.46</v>
      </c>
      <c r="AH354" s="163">
        <v>1808145.3</v>
      </c>
      <c r="AI354" s="163">
        <v>1956116.69</v>
      </c>
      <c r="AJ354" s="163">
        <v>1919024.36</v>
      </c>
      <c r="AK354" s="163">
        <v>2077150.46</v>
      </c>
      <c r="AL354" s="163">
        <v>1860636.12</v>
      </c>
      <c r="AM354" s="163">
        <v>1623395.73</v>
      </c>
      <c r="AN354" s="163">
        <v>1700702.4</v>
      </c>
      <c r="AO354" s="163">
        <v>1858855.81</v>
      </c>
      <c r="AP354" s="163">
        <v>1904817.91</v>
      </c>
      <c r="AQ354" s="163">
        <v>1988687.66</v>
      </c>
      <c r="AR354" s="163">
        <v>1926638.87</v>
      </c>
      <c r="AS354" s="163">
        <v>2100729.92</v>
      </c>
      <c r="AT354" s="163">
        <v>2046668.36</v>
      </c>
      <c r="AU354" s="163">
        <v>2071037.68</v>
      </c>
      <c r="AV354" s="163">
        <v>2016818.42</v>
      </c>
      <c r="AW354" s="163">
        <v>2131647.7999999998</v>
      </c>
      <c r="AX354" s="163">
        <v>2042216.68</v>
      </c>
      <c r="AY354" s="163">
        <v>1900584.82</v>
      </c>
      <c r="AZ354" s="163">
        <v>1887695.39</v>
      </c>
      <c r="BA354" s="163">
        <v>2070997.65</v>
      </c>
      <c r="BB354" s="163">
        <v>2149876.11</v>
      </c>
      <c r="BC354" s="163">
        <v>2006690.32</v>
      </c>
      <c r="BD354" s="163">
        <v>1972097.67</v>
      </c>
      <c r="BE354" s="163">
        <v>2190177.17</v>
      </c>
      <c r="BF354" s="163">
        <v>2163452.0299999998</v>
      </c>
      <c r="BG354" s="163">
        <v>2125576.85</v>
      </c>
      <c r="BH354" s="163">
        <v>2476378.0499999998</v>
      </c>
      <c r="BI354" s="163">
        <v>2741218.33</v>
      </c>
      <c r="BJ354" s="163">
        <v>2360109.85</v>
      </c>
      <c r="BK354" s="163">
        <v>2172177.2200000002</v>
      </c>
      <c r="BL354" s="163">
        <v>2073130.1</v>
      </c>
      <c r="BM354" s="163">
        <v>2183604.33</v>
      </c>
      <c r="BN354" s="163">
        <v>2363788.79</v>
      </c>
      <c r="BO354" s="163">
        <v>2385549.1</v>
      </c>
      <c r="BP354" s="163">
        <v>2474715.5499999998</v>
      </c>
      <c r="BQ354" s="163">
        <v>2512819.36</v>
      </c>
      <c r="BR354" s="163">
        <v>2780054.56</v>
      </c>
      <c r="BS354" s="163">
        <v>2687237.82</v>
      </c>
      <c r="BT354" s="163">
        <v>2783190.01</v>
      </c>
      <c r="BU354" s="163">
        <v>2571701.88</v>
      </c>
      <c r="BV354" s="163">
        <v>2738670.95</v>
      </c>
      <c r="BW354" s="163">
        <v>2709384.59</v>
      </c>
      <c r="BX354" s="163">
        <v>2401228.73</v>
      </c>
      <c r="BY354" s="163">
        <v>2400792.73</v>
      </c>
      <c r="BZ354" s="163">
        <v>2617789.75</v>
      </c>
      <c r="CA354" s="163">
        <v>2444409.17</v>
      </c>
      <c r="CB354" s="163">
        <v>2661159.0499999998</v>
      </c>
      <c r="CC354" s="163">
        <v>2807189.21</v>
      </c>
      <c r="CD354" s="163">
        <v>2832085.74</v>
      </c>
      <c r="CE354" s="163">
        <v>2649768.37</v>
      </c>
      <c r="CF354" s="163">
        <v>2895960.3</v>
      </c>
      <c r="CG354" s="163">
        <v>2763278.25</v>
      </c>
      <c r="CH354" s="163">
        <v>3044537</v>
      </c>
      <c r="CI354" s="163">
        <v>2851203.61</v>
      </c>
      <c r="CJ354" s="163">
        <v>2998336.09</v>
      </c>
      <c r="CK354" s="163">
        <v>3185968.43</v>
      </c>
      <c r="CL354" s="163">
        <v>3089869.03</v>
      </c>
      <c r="CM354" s="163">
        <v>3262009.15</v>
      </c>
      <c r="CN354" s="163">
        <v>3750227.49</v>
      </c>
      <c r="CO354" s="163">
        <v>3835254.8</v>
      </c>
      <c r="CP354" s="163">
        <v>4186310.55</v>
      </c>
      <c r="CQ354" s="163">
        <v>3842946.45</v>
      </c>
      <c r="CR354" s="163">
        <v>4056172.35</v>
      </c>
      <c r="CS354" s="163">
        <v>4544331.8499999996</v>
      </c>
      <c r="CT354" s="163">
        <v>4167012.26</v>
      </c>
      <c r="CU354" s="163">
        <v>4010626.99</v>
      </c>
      <c r="CV354" s="163">
        <v>2635011.9900000002</v>
      </c>
      <c r="CW354" s="163">
        <v>3634159.02</v>
      </c>
      <c r="CX354" s="163">
        <v>3462773.67</v>
      </c>
      <c r="CY354" s="163">
        <v>3847498.79</v>
      </c>
      <c r="CZ354" s="163">
        <v>4272214.34</v>
      </c>
      <c r="DA354" s="163">
        <v>4533297.7300000004</v>
      </c>
      <c r="DB354" s="163">
        <v>4553497.25</v>
      </c>
      <c r="DC354" s="163">
        <v>4636479.63</v>
      </c>
      <c r="DD354" s="163">
        <v>4527009.3</v>
      </c>
      <c r="DE354" s="163">
        <v>5185663.9400000004</v>
      </c>
      <c r="DF354" s="163">
        <f>VLOOKUP($A354,'[3]BS ACC'!$A$258:$DH$1006,110,FALSE)</f>
        <v>6167061.3200000003</v>
      </c>
      <c r="DG354" s="163">
        <f>VLOOKUP($A354,'[3]BS ACC'!$A$258:$DH$1006,111,FALSE)</f>
        <v>6268299.8899999997</v>
      </c>
      <c r="DH354" s="163">
        <f>VLOOKUP($A354,'[3]BS ACC'!$A$258:$DH$1006,112,FALSE)</f>
        <v>4817154.4800000004</v>
      </c>
    </row>
    <row r="355" spans="1:112">
      <c r="A355" s="349" t="s">
        <v>880</v>
      </c>
      <c r="D355" s="345"/>
      <c r="E355" s="345"/>
      <c r="F355" s="345"/>
      <c r="G355" s="345"/>
      <c r="H355" s="345"/>
      <c r="I355" s="345"/>
      <c r="J355" s="345"/>
      <c r="K355" s="345"/>
      <c r="L355" s="345"/>
      <c r="M355" s="345"/>
      <c r="N355" s="345"/>
      <c r="O355" s="345"/>
      <c r="P355" s="345"/>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c r="AL355" s="163"/>
      <c r="AM355" s="163"/>
      <c r="AN355" s="163"/>
      <c r="AO355" s="163"/>
      <c r="AP355" s="163"/>
      <c r="AQ355" s="163"/>
      <c r="AR355" s="163"/>
      <c r="AS355" s="163"/>
      <c r="AT355" s="163"/>
      <c r="AU355" s="163"/>
      <c r="AV355" s="163"/>
      <c r="AW355" s="163"/>
      <c r="AX355" s="163"/>
      <c r="AY355" s="163"/>
      <c r="AZ355" s="163"/>
      <c r="BA355" s="163"/>
      <c r="BB355" s="163"/>
      <c r="BC355" s="163"/>
      <c r="BD355" s="163"/>
      <c r="BE355" s="163"/>
      <c r="BF355" s="163"/>
      <c r="BG355" s="163"/>
      <c r="BH355" s="163"/>
      <c r="BI355" s="163"/>
      <c r="BJ355" s="163"/>
      <c r="BK355" s="163"/>
      <c r="BL355" s="163"/>
      <c r="BM355" s="163"/>
      <c r="BN355" s="163"/>
      <c r="BO355" s="163"/>
      <c r="BP355" s="163"/>
      <c r="BQ355" s="163"/>
      <c r="BR355" s="163"/>
      <c r="BS355" s="163"/>
      <c r="BT355" s="163"/>
      <c r="BU355" s="163"/>
      <c r="BV355" s="163"/>
      <c r="BW355" s="163"/>
      <c r="BX355" s="163"/>
      <c r="BY355" s="163"/>
      <c r="BZ355" s="163"/>
      <c r="CA355" s="163"/>
      <c r="CB355" s="163"/>
      <c r="CC355" s="163"/>
      <c r="CD355" s="163"/>
      <c r="CE355" s="163"/>
      <c r="CF355" s="163"/>
      <c r="CG355" s="163"/>
      <c r="CH355" s="163"/>
      <c r="CI355" s="163"/>
      <c r="CJ355" s="163"/>
      <c r="CK355" s="163"/>
      <c r="CL355" s="163"/>
      <c r="CM355" s="163"/>
      <c r="CN355" s="163"/>
      <c r="CO355" s="163"/>
      <c r="CP355" s="163"/>
      <c r="CQ355" s="163"/>
      <c r="CR355" s="163"/>
      <c r="CS355" s="163"/>
      <c r="CT355" s="163"/>
      <c r="CU355" s="163"/>
      <c r="CV355" s="163"/>
      <c r="CW355" s="163"/>
      <c r="CX355" s="163"/>
      <c r="CY355" s="163"/>
      <c r="CZ355" s="163"/>
      <c r="DA355" s="163"/>
      <c r="DB355" s="163"/>
      <c r="DC355" s="163"/>
      <c r="DD355" s="163"/>
      <c r="DE355" s="163"/>
      <c r="DF355" s="163"/>
      <c r="DG355" s="163"/>
      <c r="DH355" s="163"/>
    </row>
    <row r="356" spans="1:112">
      <c r="A356" s="349" t="s">
        <v>881</v>
      </c>
      <c r="D356" s="345"/>
      <c r="E356" s="345"/>
      <c r="F356" s="345"/>
      <c r="G356" s="345"/>
      <c r="H356" s="345"/>
      <c r="I356" s="345"/>
      <c r="J356" s="345"/>
      <c r="K356" s="345"/>
      <c r="L356" s="345"/>
      <c r="M356" s="345"/>
      <c r="N356" s="345"/>
      <c r="O356" s="345"/>
      <c r="P356" s="345"/>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c r="AL356" s="163"/>
      <c r="AM356" s="163"/>
      <c r="AN356" s="163"/>
      <c r="AO356" s="163"/>
      <c r="AP356" s="163"/>
      <c r="AQ356" s="163"/>
      <c r="AR356" s="163"/>
      <c r="AS356" s="163"/>
      <c r="AT356" s="163"/>
      <c r="AU356" s="163"/>
      <c r="AV356" s="163"/>
      <c r="AW356" s="163"/>
      <c r="AX356" s="163"/>
      <c r="AY356" s="163"/>
      <c r="AZ356" s="163"/>
      <c r="BA356" s="163"/>
      <c r="BB356" s="163"/>
      <c r="BC356" s="163"/>
      <c r="BD356" s="163"/>
      <c r="BE356" s="163"/>
      <c r="BF356" s="163"/>
      <c r="BG356" s="163"/>
      <c r="BH356" s="163"/>
      <c r="BI356" s="163"/>
      <c r="BJ356" s="163"/>
      <c r="BK356" s="163"/>
      <c r="BL356" s="163"/>
      <c r="BM356" s="163"/>
      <c r="BN356" s="163"/>
      <c r="BO356" s="163"/>
      <c r="BP356" s="163"/>
      <c r="BQ356" s="163"/>
      <c r="BR356" s="163"/>
      <c r="BS356" s="163"/>
      <c r="BT356" s="163"/>
      <c r="BU356" s="163"/>
      <c r="BV356" s="163"/>
      <c r="BW356" s="163"/>
      <c r="BX356" s="163"/>
      <c r="BY356" s="163"/>
      <c r="BZ356" s="163"/>
      <c r="CA356" s="163"/>
      <c r="CB356" s="163"/>
      <c r="CC356" s="163"/>
      <c r="CD356" s="163"/>
      <c r="CE356" s="163"/>
      <c r="CF356" s="163"/>
      <c r="CG356" s="163"/>
      <c r="CH356" s="163"/>
      <c r="CI356" s="163"/>
      <c r="CJ356" s="163"/>
      <c r="CK356" s="163"/>
      <c r="CL356" s="163"/>
      <c r="CM356" s="163"/>
      <c r="CN356" s="163"/>
      <c r="CO356" s="163"/>
      <c r="CP356" s="163"/>
      <c r="CQ356" s="163"/>
      <c r="CR356" s="163"/>
      <c r="CS356" s="163"/>
      <c r="CT356" s="163"/>
      <c r="CU356" s="163"/>
      <c r="CV356" s="163"/>
      <c r="CW356" s="163"/>
      <c r="CX356" s="163"/>
      <c r="CY356" s="163"/>
      <c r="CZ356" s="163"/>
      <c r="DA356" s="163"/>
      <c r="DB356" s="163"/>
      <c r="DC356" s="163"/>
      <c r="DD356" s="163"/>
      <c r="DE356" s="163"/>
      <c r="DF356" s="163"/>
      <c r="DG356" s="163"/>
      <c r="DH356" s="163"/>
    </row>
    <row r="357" spans="1:112">
      <c r="A357" t="s">
        <v>846</v>
      </c>
      <c r="D357" s="345">
        <v>0</v>
      </c>
      <c r="E357" s="345">
        <v>0</v>
      </c>
      <c r="F357" s="345">
        <v>0</v>
      </c>
      <c r="G357" s="345">
        <v>0</v>
      </c>
      <c r="H357" s="345">
        <v>0</v>
      </c>
      <c r="I357" s="345">
        <v>674234.7</v>
      </c>
      <c r="J357" s="345">
        <v>915628.68</v>
      </c>
      <c r="K357" s="345">
        <v>566433.19999999995</v>
      </c>
      <c r="L357" s="345">
        <v>526874.73</v>
      </c>
      <c r="M357" s="345">
        <v>526874.73</v>
      </c>
      <c r="N357" s="345">
        <v>371458.67</v>
      </c>
      <c r="O357" s="345">
        <v>371458.67</v>
      </c>
      <c r="P357" s="345">
        <v>0.09</v>
      </c>
      <c r="Q357" s="163">
        <v>0.09</v>
      </c>
      <c r="R357" s="163">
        <v>126382.76</v>
      </c>
      <c r="S357" s="163">
        <v>126462.97</v>
      </c>
      <c r="T357" s="163">
        <v>303357.52</v>
      </c>
      <c r="U357" s="163">
        <v>328220.69</v>
      </c>
      <c r="V357" s="163">
        <v>152306.04</v>
      </c>
      <c r="W357" s="163">
        <v>275336.45</v>
      </c>
      <c r="X357" s="163">
        <v>188053.91</v>
      </c>
      <c r="Y357" s="163">
        <v>274691.52</v>
      </c>
      <c r="Z357" s="163">
        <v>274691.52</v>
      </c>
      <c r="AA357" s="163">
        <v>234990.37</v>
      </c>
      <c r="AB357" s="163">
        <v>158626.06</v>
      </c>
      <c r="AC357" s="163">
        <v>116977.52</v>
      </c>
      <c r="AD357" s="163">
        <v>141290.51999999999</v>
      </c>
      <c r="AE357" s="163">
        <v>180751.19</v>
      </c>
      <c r="AF357" s="163">
        <v>128606.99</v>
      </c>
      <c r="AG357" s="163">
        <v>175062.51</v>
      </c>
      <c r="AH357" s="163">
        <v>175779.32</v>
      </c>
      <c r="AI357" s="163">
        <v>159177.10999999999</v>
      </c>
      <c r="AJ357" s="163">
        <v>610201.92000000004</v>
      </c>
      <c r="AK357" s="163">
        <v>610201.92000000004</v>
      </c>
      <c r="AL357" s="163">
        <v>537006.63</v>
      </c>
      <c r="AM357" s="163">
        <v>537006.63</v>
      </c>
      <c r="AN357" s="163">
        <v>376420.21</v>
      </c>
      <c r="AO357" s="163">
        <v>332841.99</v>
      </c>
      <c r="AP357" s="163">
        <v>441100.59</v>
      </c>
      <c r="AQ357" s="163">
        <v>276589.73</v>
      </c>
      <c r="AR357" s="163">
        <v>326172.79999999999</v>
      </c>
      <c r="AS357" s="163">
        <v>326172.79999999999</v>
      </c>
      <c r="AT357" s="163">
        <v>467078.08</v>
      </c>
      <c r="AU357" s="163">
        <v>344971.23</v>
      </c>
      <c r="AV357" s="163">
        <v>354483.55</v>
      </c>
      <c r="AW357" s="163">
        <v>-2.37</v>
      </c>
      <c r="AX357" s="163">
        <v>-2.37</v>
      </c>
      <c r="AY357" s="163">
        <v>-2.37</v>
      </c>
      <c r="AZ357" s="163">
        <v>-2.37</v>
      </c>
      <c r="BA357" s="163">
        <v>-2.37</v>
      </c>
      <c r="BB357" s="163">
        <v>-2.37</v>
      </c>
      <c r="BC357" s="163">
        <v>-2.37</v>
      </c>
      <c r="BD357" s="163">
        <v>-2.37</v>
      </c>
      <c r="BE357" s="163">
        <v>-2.37</v>
      </c>
      <c r="BF357" s="163">
        <v>-2.37</v>
      </c>
      <c r="BG357" s="163">
        <v>0</v>
      </c>
      <c r="BH357" s="163">
        <v>0</v>
      </c>
      <c r="BI357" s="163">
        <v>0</v>
      </c>
      <c r="BJ357" s="163">
        <v>0</v>
      </c>
      <c r="BK357" s="163">
        <v>0</v>
      </c>
      <c r="BL357" s="163">
        <v>0</v>
      </c>
      <c r="BM357" s="163">
        <v>0</v>
      </c>
      <c r="BN357" s="163">
        <v>0</v>
      </c>
      <c r="BO357" s="163">
        <v>0</v>
      </c>
      <c r="BP357" s="163">
        <v>0</v>
      </c>
      <c r="BQ357" s="163">
        <v>0</v>
      </c>
      <c r="BR357" s="163">
        <v>0</v>
      </c>
      <c r="BS357" s="163">
        <v>0</v>
      </c>
      <c r="BT357" s="163">
        <v>0</v>
      </c>
      <c r="BU357" s="163">
        <v>0</v>
      </c>
      <c r="BV357" s="163">
        <v>0</v>
      </c>
      <c r="BW357" s="163">
        <v>0</v>
      </c>
      <c r="BX357" s="163">
        <v>0</v>
      </c>
      <c r="BY357" s="163">
        <v>0</v>
      </c>
      <c r="BZ357" s="163">
        <v>0</v>
      </c>
      <c r="CA357" s="163">
        <v>0</v>
      </c>
      <c r="CB357" s="163">
        <v>0</v>
      </c>
      <c r="CC357" s="163">
        <v>0</v>
      </c>
      <c r="CD357" s="163">
        <v>0</v>
      </c>
      <c r="CE357" s="163">
        <v>0</v>
      </c>
      <c r="CF357" s="163">
        <v>0</v>
      </c>
      <c r="CG357" s="163">
        <v>0</v>
      </c>
      <c r="CH357" s="163">
        <v>0</v>
      </c>
      <c r="CI357" s="163">
        <v>0</v>
      </c>
      <c r="CJ357" s="163">
        <v>0</v>
      </c>
      <c r="CK357" s="163">
        <v>0</v>
      </c>
      <c r="CL357" s="163">
        <v>0</v>
      </c>
      <c r="CM357" s="163">
        <v>0</v>
      </c>
      <c r="CN357" s="163">
        <v>0</v>
      </c>
      <c r="CO357" s="163">
        <v>0</v>
      </c>
      <c r="CP357" s="163">
        <v>0</v>
      </c>
      <c r="CQ357" s="163">
        <v>0</v>
      </c>
      <c r="CR357" s="163">
        <v>0</v>
      </c>
      <c r="CS357" s="163">
        <v>0</v>
      </c>
      <c r="CT357" s="163">
        <v>0</v>
      </c>
      <c r="CU357" s="163">
        <v>995777.75</v>
      </c>
      <c r="CV357" s="163">
        <v>864732.09</v>
      </c>
      <c r="CW357" s="163">
        <v>891567.41</v>
      </c>
      <c r="CX357" s="163">
        <v>785937.6</v>
      </c>
      <c r="CY357" s="163">
        <v>566425.01</v>
      </c>
      <c r="CZ357" s="163">
        <v>566425.01</v>
      </c>
      <c r="DA357" s="163">
        <v>566425.01</v>
      </c>
      <c r="DB357" s="163">
        <v>708429.13</v>
      </c>
      <c r="DC357" s="163">
        <v>708429.13</v>
      </c>
      <c r="DD357" s="163">
        <v>703621.83</v>
      </c>
      <c r="DE357" s="163">
        <v>769733.98</v>
      </c>
      <c r="DF357" s="163">
        <f>VLOOKUP($A357,'[3]BS ACC'!$A$258:$DH$1006,110,FALSE)</f>
        <v>933797.04</v>
      </c>
      <c r="DG357" s="163">
        <f>VLOOKUP($A357,'[3]BS ACC'!$A$258:$DH$1006,111,FALSE)</f>
        <v>959432.51</v>
      </c>
      <c r="DH357" s="163">
        <f>VLOOKUP($A357,'[3]BS ACC'!$A$258:$DH$1006,112,FALSE)</f>
        <v>413689.47</v>
      </c>
    </row>
    <row r="358" spans="1:112">
      <c r="A358" t="s">
        <v>847</v>
      </c>
      <c r="D358" s="345">
        <v>1368776.14</v>
      </c>
      <c r="E358" s="345">
        <v>1039520.34</v>
      </c>
      <c r="F358" s="345">
        <v>907146.63</v>
      </c>
      <c r="G358" s="345">
        <v>831246.05</v>
      </c>
      <c r="H358" s="345">
        <v>782113.05</v>
      </c>
      <c r="I358" s="345">
        <v>656513.97</v>
      </c>
      <c r="J358" s="345">
        <v>631619.04</v>
      </c>
      <c r="K358" s="345">
        <v>1953980.05</v>
      </c>
      <c r="L358" s="345">
        <v>1772697.36</v>
      </c>
      <c r="M358" s="345">
        <v>1628933.26</v>
      </c>
      <c r="N358" s="345">
        <v>1485297.55</v>
      </c>
      <c r="O358" s="345">
        <v>1334468.3999999999</v>
      </c>
      <c r="P358" s="345">
        <v>1647948.32</v>
      </c>
      <c r="Q358" s="163">
        <v>1354406.4</v>
      </c>
      <c r="R358" s="163">
        <v>1184886.3999999999</v>
      </c>
      <c r="S358" s="163">
        <v>1059905.23</v>
      </c>
      <c r="T358" s="163">
        <v>1057213.8400000001</v>
      </c>
      <c r="U358" s="163">
        <v>957683.84</v>
      </c>
      <c r="V358" s="163">
        <v>774697.28</v>
      </c>
      <c r="W358" s="163">
        <v>2204593.34</v>
      </c>
      <c r="X358" s="163">
        <v>2007777.08</v>
      </c>
      <c r="Y358" s="163">
        <v>1843005.82</v>
      </c>
      <c r="Z358" s="163">
        <v>1643519.14</v>
      </c>
      <c r="AA358" s="163">
        <v>1444032.46</v>
      </c>
      <c r="AB358" s="163">
        <v>1885907.19</v>
      </c>
      <c r="AC358" s="163">
        <v>1578367.66</v>
      </c>
      <c r="AD358" s="163">
        <v>1352296.66</v>
      </c>
      <c r="AE358" s="163">
        <v>1326325.18</v>
      </c>
      <c r="AF358" s="163">
        <v>1113343.06</v>
      </c>
      <c r="AG358" s="163">
        <v>935977.93</v>
      </c>
      <c r="AH358" s="163">
        <v>734975.06</v>
      </c>
      <c r="AI358" s="163">
        <v>2058174.99</v>
      </c>
      <c r="AJ358" s="163">
        <v>1876162.32</v>
      </c>
      <c r="AK358" s="163">
        <v>1722410.24</v>
      </c>
      <c r="AL358" s="163">
        <v>1480709.62</v>
      </c>
      <c r="AM358" s="163">
        <v>1441957.5</v>
      </c>
      <c r="AN358" s="163">
        <v>2571948.0499999998</v>
      </c>
      <c r="AO358" s="163">
        <v>2637079.91</v>
      </c>
      <c r="AP358" s="163">
        <v>2412686.77</v>
      </c>
      <c r="AQ358" s="163">
        <v>2493829.9900000002</v>
      </c>
      <c r="AR358" s="163">
        <v>2161501.91</v>
      </c>
      <c r="AS358" s="163">
        <v>1938411.13</v>
      </c>
      <c r="AT358" s="163">
        <v>1711056.75</v>
      </c>
      <c r="AU358" s="163">
        <v>1533561.22</v>
      </c>
      <c r="AV358" s="163">
        <v>1302457.25</v>
      </c>
      <c r="AW358" s="163">
        <v>1068417.3400000001</v>
      </c>
      <c r="AX358" s="163">
        <v>814981.04</v>
      </c>
      <c r="AY358" s="163">
        <v>580511.29</v>
      </c>
      <c r="AZ358" s="163">
        <v>1546852.29</v>
      </c>
      <c r="BA358" s="163">
        <v>2611172.39</v>
      </c>
      <c r="BB358" s="163">
        <v>2661375.6800000002</v>
      </c>
      <c r="BC358" s="163">
        <v>2747632.17</v>
      </c>
      <c r="BD358" s="163">
        <v>2397497.58</v>
      </c>
      <c r="BE358" s="163">
        <v>2167945.7999999998</v>
      </c>
      <c r="BF358" s="163">
        <v>1836984.8</v>
      </c>
      <c r="BG358" s="163">
        <v>1481309.37</v>
      </c>
      <c r="BH358" s="163">
        <v>1278482.94</v>
      </c>
      <c r="BI358" s="163">
        <v>1030993.89</v>
      </c>
      <c r="BJ358" s="163">
        <v>805904.87</v>
      </c>
      <c r="BK358" s="163">
        <v>548556.31999999995</v>
      </c>
      <c r="BL358" s="163">
        <v>619353.9</v>
      </c>
      <c r="BM358" s="163">
        <v>2100329.87</v>
      </c>
      <c r="BN358" s="163">
        <v>2804733.02</v>
      </c>
      <c r="BO358" s="163">
        <v>2555790.98</v>
      </c>
      <c r="BP358" s="163">
        <v>2236028.4300000002</v>
      </c>
      <c r="BQ358" s="163">
        <v>1973524.77</v>
      </c>
      <c r="BR358" s="163">
        <v>1716836.66</v>
      </c>
      <c r="BS358" s="163">
        <v>1570580.19</v>
      </c>
      <c r="BT358" s="163">
        <v>1545093.89</v>
      </c>
      <c r="BU358" s="163">
        <v>1550635.04</v>
      </c>
      <c r="BV358" s="163">
        <v>1228478.6200000001</v>
      </c>
      <c r="BW358" s="163">
        <v>967258.04</v>
      </c>
      <c r="BX358" s="163">
        <v>1409778.76</v>
      </c>
      <c r="BY358" s="163">
        <v>3557474.63</v>
      </c>
      <c r="BZ358" s="163">
        <v>3489933.18</v>
      </c>
      <c r="CA358" s="163">
        <v>3363992.47</v>
      </c>
      <c r="CB358" s="163">
        <v>2969990.76</v>
      </c>
      <c r="CC358" s="163">
        <v>2639321.63</v>
      </c>
      <c r="CD358" s="163">
        <v>2532971.7999999998</v>
      </c>
      <c r="CE358" s="163">
        <v>2080121.22</v>
      </c>
      <c r="CF358" s="163">
        <v>1822052.29</v>
      </c>
      <c r="CG358" s="163">
        <v>1503255.96</v>
      </c>
      <c r="CH358" s="163">
        <v>1044021.41</v>
      </c>
      <c r="CI358" s="163">
        <v>703365.82</v>
      </c>
      <c r="CJ358" s="163">
        <v>1156912.8</v>
      </c>
      <c r="CK358" s="163">
        <v>3134726.35</v>
      </c>
      <c r="CL358" s="163">
        <v>3235280.12</v>
      </c>
      <c r="CM358" s="163">
        <v>3057358.61</v>
      </c>
      <c r="CN358" s="163">
        <v>2786915.92</v>
      </c>
      <c r="CO358" s="163">
        <v>2369682.1</v>
      </c>
      <c r="CP358" s="163">
        <v>2210480.59</v>
      </c>
      <c r="CQ358" s="163">
        <v>4759789.76</v>
      </c>
      <c r="CR358" s="163">
        <v>4377565.33</v>
      </c>
      <c r="CS358" s="163">
        <v>3826772.77</v>
      </c>
      <c r="CT358" s="163">
        <v>3194175.51</v>
      </c>
      <c r="CU358" s="163">
        <v>2743106.68</v>
      </c>
      <c r="CV358" s="163">
        <v>3413030.42</v>
      </c>
      <c r="CW358" s="163">
        <v>6193235.4699999997</v>
      </c>
      <c r="CX358" s="163">
        <v>6227481.4500000002</v>
      </c>
      <c r="CY358" s="163">
        <v>5022502.95</v>
      </c>
      <c r="CZ358" s="163">
        <v>4682754.0599999996</v>
      </c>
      <c r="DA358" s="163">
        <v>3907114.48</v>
      </c>
      <c r="DB358" s="163">
        <v>3587775.62</v>
      </c>
      <c r="DC358" s="163">
        <v>7492947.5300000003</v>
      </c>
      <c r="DD358" s="163">
        <v>7172512.8099999996</v>
      </c>
      <c r="DE358" s="163">
        <v>5981295.2000000002</v>
      </c>
      <c r="DF358" s="163">
        <f>VLOOKUP($A358,'[3]BS ACC'!$A$258:$DH$1006,110,FALSE)</f>
        <v>5185981.66</v>
      </c>
      <c r="DG358" s="163">
        <f>VLOOKUP($A358,'[3]BS ACC'!$A$258:$DH$1006,111,FALSE)</f>
        <v>4429967.9000000004</v>
      </c>
      <c r="DH358" s="163">
        <f>VLOOKUP($A358,'[3]BS ACC'!$A$258:$DH$1006,112,FALSE)</f>
        <v>3955617.64</v>
      </c>
    </row>
    <row r="359" spans="1:112">
      <c r="A359" t="s">
        <v>848</v>
      </c>
      <c r="D359" s="345">
        <v>10453804</v>
      </c>
      <c r="E359" s="345">
        <v>14121424</v>
      </c>
      <c r="F359" s="345">
        <v>14501272</v>
      </c>
      <c r="G359" s="345">
        <v>12210429</v>
      </c>
      <c r="H359" s="345">
        <v>11264410</v>
      </c>
      <c r="I359" s="345">
        <v>9588042</v>
      </c>
      <c r="J359" s="345">
        <v>9309625</v>
      </c>
      <c r="K359" s="345">
        <v>8689961</v>
      </c>
      <c r="L359" s="345">
        <v>8265612</v>
      </c>
      <c r="M359" s="345">
        <v>8573106</v>
      </c>
      <c r="N359" s="345">
        <v>8758043</v>
      </c>
      <c r="O359" s="345">
        <v>9690129</v>
      </c>
      <c r="P359" s="345">
        <v>12160508</v>
      </c>
      <c r="Q359" s="163">
        <v>13773698</v>
      </c>
      <c r="R359" s="163">
        <v>13842191</v>
      </c>
      <c r="S359" s="163">
        <v>13153486</v>
      </c>
      <c r="T359" s="163">
        <v>10396447</v>
      </c>
      <c r="U359" s="163">
        <v>8997653</v>
      </c>
      <c r="V359" s="163">
        <v>9318367</v>
      </c>
      <c r="W359" s="163">
        <v>8578586</v>
      </c>
      <c r="X359" s="163">
        <v>8605700</v>
      </c>
      <c r="Y359" s="163">
        <v>8467002</v>
      </c>
      <c r="Z359" s="163">
        <v>8631054</v>
      </c>
      <c r="AA359" s="163">
        <v>9332814</v>
      </c>
      <c r="AB359" s="163">
        <v>10568472</v>
      </c>
      <c r="AC359" s="163">
        <v>13194093</v>
      </c>
      <c r="AD359" s="163">
        <v>14606125</v>
      </c>
      <c r="AE359" s="163">
        <v>12771278</v>
      </c>
      <c r="AF359" s="163">
        <v>11268386</v>
      </c>
      <c r="AG359" s="163">
        <v>9955795</v>
      </c>
      <c r="AH359" s="163">
        <v>9011790</v>
      </c>
      <c r="AI359" s="163">
        <v>8305546</v>
      </c>
      <c r="AJ359" s="163">
        <v>8236893</v>
      </c>
      <c r="AK359" s="163">
        <v>8329332</v>
      </c>
      <c r="AL359" s="163">
        <v>8272996</v>
      </c>
      <c r="AM359" s="163">
        <v>9246536</v>
      </c>
      <c r="AN359" s="163">
        <v>10736588</v>
      </c>
      <c r="AO359" s="163">
        <v>12078768</v>
      </c>
      <c r="AP359" s="163">
        <v>11961224</v>
      </c>
      <c r="AQ359" s="163">
        <v>11195527</v>
      </c>
      <c r="AR359" s="163">
        <v>10986039</v>
      </c>
      <c r="AS359" s="163">
        <v>9783910</v>
      </c>
      <c r="AT359" s="163">
        <v>8920964</v>
      </c>
      <c r="AU359" s="163">
        <v>8405325</v>
      </c>
      <c r="AV359" s="163">
        <v>8345855</v>
      </c>
      <c r="AW359" s="163">
        <v>8880385</v>
      </c>
      <c r="AX359" s="163">
        <v>9055757</v>
      </c>
      <c r="AY359" s="163">
        <v>10184241</v>
      </c>
      <c r="AZ359" s="163">
        <v>12037763</v>
      </c>
      <c r="BA359" s="163">
        <v>16903475</v>
      </c>
      <c r="BB359" s="163">
        <v>15075867</v>
      </c>
      <c r="BC359" s="163">
        <v>12324817</v>
      </c>
      <c r="BD359" s="163">
        <v>12712880</v>
      </c>
      <c r="BE359" s="163">
        <v>10609698</v>
      </c>
      <c r="BF359" s="163">
        <v>9391200</v>
      </c>
      <c r="BG359" s="163">
        <v>9182201</v>
      </c>
      <c r="BH359" s="163">
        <v>8937787</v>
      </c>
      <c r="BI359" s="163">
        <v>8976897</v>
      </c>
      <c r="BJ359" s="163">
        <v>8940430</v>
      </c>
      <c r="BK359" s="163">
        <v>10330350</v>
      </c>
      <c r="BL359" s="163">
        <v>12353298</v>
      </c>
      <c r="BM359" s="163">
        <v>13959659</v>
      </c>
      <c r="BN359" s="163">
        <v>11843869</v>
      </c>
      <c r="BO359" s="163">
        <v>12411808</v>
      </c>
      <c r="BP359" s="163">
        <v>12154083</v>
      </c>
      <c r="BQ359" s="163">
        <v>10937017</v>
      </c>
      <c r="BR359" s="163">
        <v>9590748</v>
      </c>
      <c r="BS359" s="163">
        <v>9249482</v>
      </c>
      <c r="BT359" s="163">
        <v>8624741</v>
      </c>
      <c r="BU359" s="163">
        <v>8918257</v>
      </c>
      <c r="BV359" s="163">
        <v>8868740</v>
      </c>
      <c r="BW359" s="163">
        <v>11408241</v>
      </c>
      <c r="BX359" s="163">
        <v>12585260</v>
      </c>
      <c r="BY359" s="163">
        <v>13948631</v>
      </c>
      <c r="BZ359" s="163">
        <v>13340275</v>
      </c>
      <c r="CA359" s="163">
        <v>11488328</v>
      </c>
      <c r="CB359" s="163">
        <v>10090773</v>
      </c>
      <c r="CC359" s="163">
        <v>9202897</v>
      </c>
      <c r="CD359" s="163">
        <v>9178472</v>
      </c>
      <c r="CE359" s="163">
        <v>8547643</v>
      </c>
      <c r="CF359" s="163">
        <v>8576101</v>
      </c>
      <c r="CG359" s="163">
        <v>8525635</v>
      </c>
      <c r="CH359" s="163">
        <v>9004210</v>
      </c>
      <c r="CI359" s="163">
        <v>10300774</v>
      </c>
      <c r="CJ359" s="163">
        <v>15058285</v>
      </c>
      <c r="CK359" s="163">
        <v>18903678</v>
      </c>
      <c r="CL359" s="163">
        <v>15409592</v>
      </c>
      <c r="CM359" s="163">
        <v>16257338</v>
      </c>
      <c r="CN359" s="163">
        <v>16067614</v>
      </c>
      <c r="CO359" s="163">
        <v>13825000</v>
      </c>
      <c r="CP359" s="163">
        <v>12980495</v>
      </c>
      <c r="CQ359" s="163">
        <v>12554084</v>
      </c>
      <c r="CR359" s="163">
        <v>11932838</v>
      </c>
      <c r="CS359" s="163">
        <v>12452247</v>
      </c>
      <c r="CT359" s="163">
        <v>12150759</v>
      </c>
      <c r="CU359" s="163">
        <v>13785737</v>
      </c>
      <c r="CV359" s="163">
        <v>17180538</v>
      </c>
      <c r="CW359" s="163">
        <v>22714314</v>
      </c>
      <c r="CX359" s="163">
        <v>21544001</v>
      </c>
      <c r="CY359" s="163">
        <v>18374847</v>
      </c>
      <c r="CZ359" s="163">
        <v>16853412</v>
      </c>
      <c r="DA359" s="163">
        <v>15553655</v>
      </c>
      <c r="DB359" s="163">
        <v>13680802</v>
      </c>
      <c r="DC359" s="163">
        <v>12783744</v>
      </c>
      <c r="DD359" s="163">
        <v>14256348</v>
      </c>
      <c r="DE359" s="163">
        <v>13334863</v>
      </c>
      <c r="DF359" s="163">
        <f>VLOOKUP($A359,'[3]BS ACC'!$A$258:$DH$1006,110,FALSE)</f>
        <v>15910901</v>
      </c>
      <c r="DG359" s="163">
        <f>VLOOKUP($A359,'[3]BS ACC'!$A$258:$DH$1006,111,FALSE)</f>
        <v>14071119</v>
      </c>
      <c r="DH359" s="163">
        <f>VLOOKUP($A359,'[3]BS ACC'!$A$258:$DH$1006,112,FALSE)</f>
        <v>16225985</v>
      </c>
    </row>
    <row r="360" spans="1:112">
      <c r="A360" t="s">
        <v>849</v>
      </c>
      <c r="D360" s="345">
        <v>1135145</v>
      </c>
      <c r="E360" s="345">
        <v>3564445</v>
      </c>
      <c r="F360" s="345">
        <v>2489515</v>
      </c>
      <c r="G360" s="345">
        <v>1505045</v>
      </c>
      <c r="H360" s="345">
        <v>3092578.68</v>
      </c>
      <c r="I360" s="345">
        <v>1180610</v>
      </c>
      <c r="J360" s="345">
        <v>677755</v>
      </c>
      <c r="K360" s="345">
        <v>0</v>
      </c>
      <c r="L360" s="345">
        <v>4975</v>
      </c>
      <c r="M360" s="345">
        <v>0</v>
      </c>
      <c r="N360" s="345">
        <v>0</v>
      </c>
      <c r="O360" s="345">
        <v>0</v>
      </c>
      <c r="P360" s="345">
        <v>0</v>
      </c>
      <c r="Q360" s="163">
        <v>0</v>
      </c>
      <c r="R360" s="163">
        <v>0</v>
      </c>
      <c r="S360" s="163">
        <v>27523.919999999998</v>
      </c>
      <c r="T360" s="163">
        <v>187787.92</v>
      </c>
      <c r="U360" s="163">
        <v>0</v>
      </c>
      <c r="V360" s="163">
        <v>360</v>
      </c>
      <c r="W360" s="163">
        <v>0</v>
      </c>
      <c r="X360" s="163">
        <v>0</v>
      </c>
      <c r="Y360" s="163">
        <v>0</v>
      </c>
      <c r="Z360" s="163">
        <v>0</v>
      </c>
      <c r="AA360" s="163">
        <v>0</v>
      </c>
      <c r="AB360" s="163">
        <v>0</v>
      </c>
      <c r="AC360" s="163">
        <v>2520</v>
      </c>
      <c r="AD360" s="163">
        <v>0</v>
      </c>
      <c r="AE360" s="163">
        <v>2790</v>
      </c>
      <c r="AF360" s="163">
        <v>56285</v>
      </c>
      <c r="AG360" s="163">
        <v>78685</v>
      </c>
      <c r="AH360" s="163">
        <v>358635</v>
      </c>
      <c r="AI360" s="163">
        <v>351745</v>
      </c>
      <c r="AJ360" s="163">
        <v>201625</v>
      </c>
      <c r="AK360" s="163">
        <v>118295</v>
      </c>
      <c r="AL360" s="163">
        <v>153405</v>
      </c>
      <c r="AM360" s="163">
        <v>532145</v>
      </c>
      <c r="AN360" s="163">
        <v>1989240</v>
      </c>
      <c r="AO360" s="163">
        <v>535400</v>
      </c>
      <c r="AP360" s="163">
        <v>31520</v>
      </c>
      <c r="AQ360" s="163">
        <v>482880</v>
      </c>
      <c r="AR360" s="163">
        <v>538845</v>
      </c>
      <c r="AS360" s="163">
        <v>169525</v>
      </c>
      <c r="AT360" s="163">
        <v>88275</v>
      </c>
      <c r="AU360" s="163">
        <v>8450</v>
      </c>
      <c r="AV360" s="163">
        <v>101195</v>
      </c>
      <c r="AW360" s="163">
        <v>79745</v>
      </c>
      <c r="AX360" s="163">
        <v>4800</v>
      </c>
      <c r="AY360" s="163">
        <v>7230</v>
      </c>
      <c r="AZ360" s="163">
        <v>0</v>
      </c>
      <c r="BA360" s="163">
        <v>77895</v>
      </c>
      <c r="BB360" s="163">
        <v>0</v>
      </c>
      <c r="BC360" s="163">
        <v>0</v>
      </c>
      <c r="BD360" s="163">
        <v>2040</v>
      </c>
      <c r="BE360" s="163">
        <v>20020</v>
      </c>
      <c r="BF360" s="163">
        <v>15330</v>
      </c>
      <c r="BG360" s="163">
        <v>0</v>
      </c>
      <c r="BH360" s="163">
        <v>3500</v>
      </c>
      <c r="BI360" s="163">
        <v>10040</v>
      </c>
      <c r="BJ360" s="163">
        <v>14650</v>
      </c>
      <c r="BK360" s="163">
        <v>0</v>
      </c>
      <c r="BL360" s="163">
        <v>0</v>
      </c>
      <c r="BM360" s="163">
        <v>0</v>
      </c>
      <c r="BN360" s="163">
        <v>0</v>
      </c>
      <c r="BO360" s="163">
        <v>0</v>
      </c>
      <c r="BP360" s="163">
        <v>0</v>
      </c>
      <c r="BQ360" s="163">
        <v>0</v>
      </c>
      <c r="BR360" s="163">
        <v>0</v>
      </c>
      <c r="BS360" s="163">
        <v>0</v>
      </c>
      <c r="BT360" s="163">
        <v>0</v>
      </c>
      <c r="BU360" s="163">
        <v>0</v>
      </c>
      <c r="BV360" s="163">
        <v>0</v>
      </c>
      <c r="BW360" s="163">
        <v>0</v>
      </c>
      <c r="BX360" s="163">
        <v>0</v>
      </c>
      <c r="BY360" s="163">
        <v>0</v>
      </c>
      <c r="BZ360" s="163">
        <v>0</v>
      </c>
      <c r="CA360" s="163">
        <v>0</v>
      </c>
      <c r="CB360" s="163">
        <v>0</v>
      </c>
      <c r="CC360" s="163">
        <v>0</v>
      </c>
      <c r="CD360" s="163">
        <v>0</v>
      </c>
      <c r="CE360" s="163">
        <v>0</v>
      </c>
      <c r="CF360" s="163">
        <v>0</v>
      </c>
      <c r="CG360" s="163">
        <v>0</v>
      </c>
      <c r="CH360" s="163">
        <v>0</v>
      </c>
      <c r="CI360" s="163">
        <v>0</v>
      </c>
      <c r="CJ360" s="163">
        <v>0</v>
      </c>
      <c r="CK360" s="163">
        <v>0</v>
      </c>
      <c r="CL360" s="163">
        <v>0</v>
      </c>
      <c r="CM360" s="163">
        <v>0</v>
      </c>
      <c r="CN360" s="163">
        <v>0</v>
      </c>
      <c r="CO360" s="163">
        <v>0</v>
      </c>
      <c r="CP360" s="163">
        <v>0</v>
      </c>
      <c r="CQ360" s="163">
        <v>0</v>
      </c>
      <c r="CR360" s="163">
        <v>0</v>
      </c>
      <c r="CS360" s="163">
        <v>0</v>
      </c>
      <c r="CT360" s="163">
        <v>0</v>
      </c>
      <c r="CU360" s="163">
        <v>0</v>
      </c>
      <c r="CV360" s="163">
        <v>0</v>
      </c>
      <c r="CW360" s="163">
        <v>0</v>
      </c>
      <c r="CX360" s="163">
        <v>0</v>
      </c>
      <c r="CY360" s="163">
        <v>0</v>
      </c>
      <c r="CZ360" s="163">
        <v>0</v>
      </c>
      <c r="DA360" s="163">
        <v>0</v>
      </c>
      <c r="DB360" s="163">
        <v>0</v>
      </c>
      <c r="DC360" s="163">
        <v>0</v>
      </c>
      <c r="DD360" s="163">
        <v>0</v>
      </c>
      <c r="DE360" s="163">
        <v>0</v>
      </c>
      <c r="DF360" s="163">
        <f>VLOOKUP($A360,'[3]BS ACC'!$A$258:$DH$1006,110,FALSE)</f>
        <v>0</v>
      </c>
      <c r="DG360" s="163">
        <f>VLOOKUP($A360,'[3]BS ACC'!$A$258:$DH$1006,111,FALSE)</f>
        <v>0</v>
      </c>
      <c r="DH360" s="163">
        <f>VLOOKUP($A360,'[3]BS ACC'!$A$258:$DH$1006,112,FALSE)</f>
        <v>0</v>
      </c>
    </row>
    <row r="361" spans="1:112">
      <c r="A361" t="s">
        <v>850</v>
      </c>
      <c r="D361" s="345">
        <v>1094576.58</v>
      </c>
      <c r="E361" s="345">
        <v>1087397.54</v>
      </c>
      <c r="F361" s="345">
        <v>1080218.5</v>
      </c>
      <c r="G361" s="345">
        <v>1073039.46</v>
      </c>
      <c r="H361" s="345">
        <v>1065860.42</v>
      </c>
      <c r="I361" s="345">
        <v>1151468.8799999999</v>
      </c>
      <c r="J361" s="345">
        <v>1146259.69</v>
      </c>
      <c r="K361" s="345">
        <v>1141357.42</v>
      </c>
      <c r="L361" s="345">
        <v>1134105.01</v>
      </c>
      <c r="M361" s="345">
        <v>1136898.3899999999</v>
      </c>
      <c r="N361" s="345">
        <v>1129580.24</v>
      </c>
      <c r="O361" s="345">
        <v>1122097.51</v>
      </c>
      <c r="P361" s="345">
        <v>1114614.78</v>
      </c>
      <c r="Q361" s="163">
        <v>1107132.05</v>
      </c>
      <c r="R361" s="163">
        <v>1099649.32</v>
      </c>
      <c r="S361" s="163">
        <v>1092166.5900000001</v>
      </c>
      <c r="T361" s="163">
        <v>1084683.8600000001</v>
      </c>
      <c r="U361" s="163">
        <v>1266226.81</v>
      </c>
      <c r="V361" s="163">
        <v>1277958.69</v>
      </c>
      <c r="W361" s="163">
        <v>1271078.6399999999</v>
      </c>
      <c r="X361" s="163">
        <v>1263012.55</v>
      </c>
      <c r="Y361" s="163">
        <v>1264835.3400000001</v>
      </c>
      <c r="Z361" s="163">
        <v>1256741.47</v>
      </c>
      <c r="AA361" s="163">
        <v>1248648.31</v>
      </c>
      <c r="AB361" s="163">
        <v>1240554.44</v>
      </c>
      <c r="AC361" s="163">
        <v>1232460.57</v>
      </c>
      <c r="AD361" s="163">
        <v>1224366.7</v>
      </c>
      <c r="AE361" s="163">
        <v>1216272.83</v>
      </c>
      <c r="AF361" s="163">
        <v>1208178.96</v>
      </c>
      <c r="AG361" s="163">
        <v>1200085.0900000001</v>
      </c>
      <c r="AH361" s="163">
        <v>1191991.22</v>
      </c>
      <c r="AI361" s="163">
        <v>1183897.3500000001</v>
      </c>
      <c r="AJ361" s="163">
        <v>1175803.48</v>
      </c>
      <c r="AK361" s="163">
        <v>1167709.6100000001</v>
      </c>
      <c r="AL361" s="163">
        <v>1159615.74</v>
      </c>
      <c r="AM361" s="163">
        <v>1151521.8700000001</v>
      </c>
      <c r="AN361" s="163">
        <v>1143428</v>
      </c>
      <c r="AO361" s="163">
        <v>1135334.1299999999</v>
      </c>
      <c r="AP361" s="163">
        <v>1127240.26</v>
      </c>
      <c r="AQ361" s="163">
        <v>1119146.3899999999</v>
      </c>
      <c r="AR361" s="163">
        <v>1111052.52</v>
      </c>
      <c r="AS361" s="163">
        <v>1102958.6499999999</v>
      </c>
      <c r="AT361" s="163">
        <v>1094864.78</v>
      </c>
      <c r="AU361" s="163">
        <v>1086770.9099999999</v>
      </c>
      <c r="AV361" s="163">
        <v>1078677.04</v>
      </c>
      <c r="AW361" s="163">
        <v>1070583.17</v>
      </c>
      <c r="AX361" s="163">
        <v>1062489.3</v>
      </c>
      <c r="AY361" s="163">
        <v>1054395.43</v>
      </c>
      <c r="AZ361" s="163">
        <v>1046301.56</v>
      </c>
      <c r="BA361" s="163">
        <v>1038207.69</v>
      </c>
      <c r="BB361" s="163">
        <v>1030113.82</v>
      </c>
      <c r="BC361" s="163">
        <v>1067879.33</v>
      </c>
      <c r="BD361" s="163">
        <v>1053234.1200000001</v>
      </c>
      <c r="BE361" s="163">
        <v>1040165.93</v>
      </c>
      <c r="BF361" s="163">
        <v>1785062.77</v>
      </c>
      <c r="BG361" s="163">
        <v>1787671.47</v>
      </c>
      <c r="BH361" s="163">
        <v>1779136.91</v>
      </c>
      <c r="BI361" s="163">
        <v>1807013.89</v>
      </c>
      <c r="BJ361" s="163">
        <v>2037074.48</v>
      </c>
      <c r="BK361" s="163">
        <v>2030609.45</v>
      </c>
      <c r="BL361" s="163">
        <v>2027977.83</v>
      </c>
      <c r="BM361" s="163">
        <v>2020072.15</v>
      </c>
      <c r="BN361" s="163">
        <v>2012183.48</v>
      </c>
      <c r="BO361" s="163">
        <v>2018048.28</v>
      </c>
      <c r="BP361" s="163">
        <v>2010104.56</v>
      </c>
      <c r="BQ361" s="163">
        <v>2002160.84</v>
      </c>
      <c r="BR361" s="163">
        <v>1994217.12</v>
      </c>
      <c r="BS361" s="163">
        <v>2205578.9</v>
      </c>
      <c r="BT361" s="163">
        <v>2242159.67</v>
      </c>
      <c r="BU361" s="163">
        <v>2244443.7000000002</v>
      </c>
      <c r="BV361" s="163">
        <v>2235757.23</v>
      </c>
      <c r="BW361" s="163">
        <v>2227070.7599999998</v>
      </c>
      <c r="BX361" s="163">
        <v>2233060.89</v>
      </c>
      <c r="BY361" s="163">
        <v>2224334.3199999998</v>
      </c>
      <c r="BZ361" s="163">
        <v>2226927.2999999998</v>
      </c>
      <c r="CA361" s="163">
        <v>2222016.42</v>
      </c>
      <c r="CB361" s="163">
        <v>2211821.5099999998</v>
      </c>
      <c r="CC361" s="163">
        <v>2201626.6</v>
      </c>
      <c r="CD361" s="163">
        <v>2191431.69</v>
      </c>
      <c r="CE361" s="163">
        <v>2181236.7799999998</v>
      </c>
      <c r="CF361" s="163">
        <v>2171041.87</v>
      </c>
      <c r="CG361" s="163">
        <v>2160846.96</v>
      </c>
      <c r="CH361" s="163">
        <v>2150652.0499999998</v>
      </c>
      <c r="CI361" s="163">
        <v>2140457.14</v>
      </c>
      <c r="CJ361" s="163">
        <v>2130262.23</v>
      </c>
      <c r="CK361" s="163">
        <v>2126631.2200000002</v>
      </c>
      <c r="CL361" s="163">
        <v>2115715.41</v>
      </c>
      <c r="CM361" s="163">
        <v>3962950.89</v>
      </c>
      <c r="CN361" s="163">
        <v>4083428.36</v>
      </c>
      <c r="CO361" s="163">
        <v>4214954.07</v>
      </c>
      <c r="CP361" s="163">
        <v>4360244.96</v>
      </c>
      <c r="CQ361" s="163">
        <v>4339276.21</v>
      </c>
      <c r="CR361" s="163">
        <v>4318307.46</v>
      </c>
      <c r="CS361" s="163">
        <v>4297338.71</v>
      </c>
      <c r="CT361" s="163">
        <v>4276369.96</v>
      </c>
      <c r="CU361" s="163">
        <v>4255401.21</v>
      </c>
      <c r="CV361" s="163">
        <v>4248945.28</v>
      </c>
      <c r="CW361" s="163">
        <v>4226523.13</v>
      </c>
      <c r="CX361" s="163">
        <v>4204367.16</v>
      </c>
      <c r="CY361" s="163">
        <v>4182211.19</v>
      </c>
      <c r="CZ361" s="163">
        <v>4161036.5</v>
      </c>
      <c r="DA361" s="163">
        <v>4138757.87</v>
      </c>
      <c r="DB361" s="163">
        <v>4116479.24</v>
      </c>
      <c r="DC361" s="163">
        <v>4568227.79</v>
      </c>
      <c r="DD361" s="163">
        <v>4607047.5999999996</v>
      </c>
      <c r="DE361" s="163">
        <v>4577845.6399999997</v>
      </c>
      <c r="DF361" s="163">
        <f>VLOOKUP($A361,'[3]BS ACC'!$A$258:$DH$1006,110,FALSE)</f>
        <v>4562267.2300000004</v>
      </c>
      <c r="DG361" s="163">
        <f>VLOOKUP($A361,'[3]BS ACC'!$A$258:$DH$1006,111,FALSE)</f>
        <v>4533620.3099999996</v>
      </c>
      <c r="DH361" s="163">
        <f>VLOOKUP($A361,'[3]BS ACC'!$A$258:$DH$1006,112,FALSE)</f>
        <v>4543244.37</v>
      </c>
    </row>
    <row r="362" spans="1:112">
      <c r="A362" t="s">
        <v>851</v>
      </c>
      <c r="D362" s="345">
        <v>74569400.390000001</v>
      </c>
      <c r="E362" s="345">
        <v>73807112.120000005</v>
      </c>
      <c r="F362" s="345">
        <v>74605444.239999995</v>
      </c>
      <c r="G362" s="345">
        <v>71652212.670000002</v>
      </c>
      <c r="H362" s="345">
        <v>72666361.239999995</v>
      </c>
      <c r="I362" s="345">
        <v>73459309.980000004</v>
      </c>
      <c r="J362" s="345">
        <v>71532885.200000003</v>
      </c>
      <c r="K362" s="345">
        <v>75789900.859999999</v>
      </c>
      <c r="L362" s="345">
        <v>75581800.370000005</v>
      </c>
      <c r="M362" s="345">
        <v>72967114.269999996</v>
      </c>
      <c r="N362" s="345">
        <v>75389320.349999994</v>
      </c>
      <c r="O362" s="345">
        <v>74709774.189999998</v>
      </c>
      <c r="P362" s="345">
        <v>84175273.530000001</v>
      </c>
      <c r="Q362" s="163">
        <v>84317561.189999998</v>
      </c>
      <c r="R362" s="163">
        <v>82614505.25</v>
      </c>
      <c r="S362" s="163">
        <v>82891058.099999994</v>
      </c>
      <c r="T362" s="163">
        <v>80356852.489999995</v>
      </c>
      <c r="U362" s="163">
        <v>80538427.280000001</v>
      </c>
      <c r="V362" s="163">
        <v>78669747.689999998</v>
      </c>
      <c r="W362" s="163">
        <v>78867839.799999997</v>
      </c>
      <c r="X362" s="163">
        <v>78723525.140000001</v>
      </c>
      <c r="Y362" s="163">
        <v>79203494.340000004</v>
      </c>
      <c r="Z362" s="163">
        <v>81176658.040000007</v>
      </c>
      <c r="AA362" s="163">
        <v>81724006.040000007</v>
      </c>
      <c r="AB362" s="163">
        <v>88101087.109999999</v>
      </c>
      <c r="AC362" s="163">
        <v>86675211.670000002</v>
      </c>
      <c r="AD362" s="163">
        <v>87217961.599999994</v>
      </c>
      <c r="AE362" s="163">
        <v>85048079.159999996</v>
      </c>
      <c r="AF362" s="163">
        <v>83545440.579999998</v>
      </c>
      <c r="AG362" s="163">
        <v>83307682.700000003</v>
      </c>
      <c r="AH362" s="163">
        <v>81905969.150000006</v>
      </c>
      <c r="AI362" s="163">
        <v>81878543.769999996</v>
      </c>
      <c r="AJ362" s="163">
        <v>82001866.840000004</v>
      </c>
      <c r="AK362" s="163">
        <v>90513601.819999993</v>
      </c>
      <c r="AL362" s="163">
        <v>90725647.599999994</v>
      </c>
      <c r="AM362" s="163">
        <v>90535675.689999998</v>
      </c>
      <c r="AN362" s="163">
        <v>68195765.540000007</v>
      </c>
      <c r="AO362" s="163">
        <v>68153972.310000002</v>
      </c>
      <c r="AP362" s="163">
        <v>67760218.430000007</v>
      </c>
      <c r="AQ362" s="163">
        <v>65417511.93</v>
      </c>
      <c r="AR362" s="163">
        <v>65077184.619999997</v>
      </c>
      <c r="AS362" s="163">
        <v>64911520.240000002</v>
      </c>
      <c r="AT362" s="163">
        <v>65295240.359999999</v>
      </c>
      <c r="AU362" s="163">
        <v>65050258.240000002</v>
      </c>
      <c r="AV362" s="163">
        <v>65726876.450000003</v>
      </c>
      <c r="AW362" s="163">
        <v>64839193.619999997</v>
      </c>
      <c r="AX362" s="163">
        <v>66408185.140000001</v>
      </c>
      <c r="AY362" s="163">
        <v>66663427.140000001</v>
      </c>
      <c r="AZ362" s="163">
        <v>65563695.579999998</v>
      </c>
      <c r="BA362" s="163">
        <v>64063781.090000004</v>
      </c>
      <c r="BB362" s="163">
        <v>63790467.219999999</v>
      </c>
      <c r="BC362" s="163">
        <v>58624351.920000002</v>
      </c>
      <c r="BD362" s="163">
        <v>59807545.119999997</v>
      </c>
      <c r="BE362" s="163">
        <v>59612681.159999996</v>
      </c>
      <c r="BF362" s="163">
        <v>59073548.960000001</v>
      </c>
      <c r="BG362" s="163">
        <v>60545529.979999997</v>
      </c>
      <c r="BH362" s="163">
        <v>61309845.369999997</v>
      </c>
      <c r="BI362" s="163">
        <v>54177470.630000003</v>
      </c>
      <c r="BJ362" s="163">
        <v>55154882.039999999</v>
      </c>
      <c r="BK362" s="163">
        <v>54642885.32</v>
      </c>
      <c r="BL362" s="163">
        <v>60717020.740000002</v>
      </c>
      <c r="BM362" s="163">
        <v>60268408.109999999</v>
      </c>
      <c r="BN362" s="163">
        <v>59706553.939999998</v>
      </c>
      <c r="BO362" s="163">
        <v>58730161.640000001</v>
      </c>
      <c r="BP362" s="163">
        <v>58992034.229999997</v>
      </c>
      <c r="BQ362" s="163">
        <v>59300132.659999996</v>
      </c>
      <c r="BR362" s="163">
        <v>60374151.659999996</v>
      </c>
      <c r="BS362" s="163">
        <v>61913622.829999998</v>
      </c>
      <c r="BT362" s="163">
        <v>62777473.969999999</v>
      </c>
      <c r="BU362" s="163">
        <v>63721224.18</v>
      </c>
      <c r="BV362" s="163">
        <v>64965689.439999998</v>
      </c>
      <c r="BW362" s="163">
        <v>66260477.920000002</v>
      </c>
      <c r="BX362" s="163">
        <v>59279093.32</v>
      </c>
      <c r="BY362" s="163">
        <v>58204662.590000004</v>
      </c>
      <c r="BZ362" s="163">
        <v>57087959.560000002</v>
      </c>
      <c r="CA362" s="163">
        <v>55460333.850000001</v>
      </c>
      <c r="CB362" s="163">
        <v>55736615.840000004</v>
      </c>
      <c r="CC362" s="163">
        <v>56591434.200000003</v>
      </c>
      <c r="CD362" s="163">
        <v>56748333.649999999</v>
      </c>
      <c r="CE362" s="163">
        <v>57594851.039999999</v>
      </c>
      <c r="CF362" s="163">
        <v>59327815.600000001</v>
      </c>
      <c r="CG362" s="163">
        <v>61308654.770000003</v>
      </c>
      <c r="CH362" s="163">
        <v>62130549.609999999</v>
      </c>
      <c r="CI362" s="163">
        <v>64052460.899999999</v>
      </c>
      <c r="CJ362" s="163">
        <v>68727179.200000003</v>
      </c>
      <c r="CK362" s="163">
        <v>66872852.590000004</v>
      </c>
      <c r="CL362" s="163">
        <v>67088654.240000002</v>
      </c>
      <c r="CM362" s="163">
        <v>66899332.399999999</v>
      </c>
      <c r="CN362" s="163">
        <v>66154389.340000004</v>
      </c>
      <c r="CO362" s="163">
        <v>67223863.379999995</v>
      </c>
      <c r="CP362" s="163">
        <v>66801191.159999996</v>
      </c>
      <c r="CQ362" s="163">
        <v>68064928.430000007</v>
      </c>
      <c r="CR362" s="163">
        <v>67829718.359999999</v>
      </c>
      <c r="CS362" s="163">
        <v>65688168.5</v>
      </c>
      <c r="CT362" s="163">
        <v>66358192.200000003</v>
      </c>
      <c r="CU362" s="163">
        <v>67016220.299999997</v>
      </c>
      <c r="CV362" s="163">
        <v>56466288.780000001</v>
      </c>
      <c r="CW362" s="163">
        <v>55740239.829999998</v>
      </c>
      <c r="CX362" s="163">
        <v>55375879.479999997</v>
      </c>
      <c r="CY362" s="163">
        <v>54550646.530000001</v>
      </c>
      <c r="CZ362" s="163">
        <v>54527521.549999997</v>
      </c>
      <c r="DA362" s="163">
        <v>54957746.210000001</v>
      </c>
      <c r="DB362" s="163">
        <v>52713163.560000002</v>
      </c>
      <c r="DC362" s="163">
        <v>52786974.299999997</v>
      </c>
      <c r="DD362" s="163">
        <v>52966893.210000001</v>
      </c>
      <c r="DE362" s="163">
        <v>52715763.049999997</v>
      </c>
      <c r="DF362" s="163">
        <f>VLOOKUP($A362,'[3]BS ACC'!$A$258:$DH$1006,110,FALSE)</f>
        <v>52642589.030000001</v>
      </c>
      <c r="DG362" s="163">
        <f>VLOOKUP($A362,'[3]BS ACC'!$A$258:$DH$1006,111,FALSE)</f>
        <v>52853662.670000002</v>
      </c>
      <c r="DH362" s="163">
        <f>VLOOKUP($A362,'[3]BS ACC'!$A$258:$DH$1006,112,FALSE)</f>
        <v>60509344.020000003</v>
      </c>
    </row>
    <row r="363" spans="1:112">
      <c r="A363" t="s">
        <v>852</v>
      </c>
      <c r="D363" s="345">
        <v>5502.76</v>
      </c>
      <c r="E363" s="345">
        <v>5562.76</v>
      </c>
      <c r="F363" s="345">
        <v>5622.76</v>
      </c>
      <c r="G363" s="345">
        <v>5682.76</v>
      </c>
      <c r="H363" s="345">
        <v>5742.76</v>
      </c>
      <c r="I363" s="345">
        <v>5802.76</v>
      </c>
      <c r="J363" s="345">
        <v>5862.76</v>
      </c>
      <c r="K363" s="345">
        <v>5922.76</v>
      </c>
      <c r="L363" s="345">
        <v>5982.76</v>
      </c>
      <c r="M363" s="345">
        <v>6042.76</v>
      </c>
      <c r="N363" s="345">
        <v>0</v>
      </c>
      <c r="O363" s="345">
        <v>0</v>
      </c>
      <c r="P363" s="345">
        <v>0</v>
      </c>
      <c r="Q363" s="163">
        <v>0</v>
      </c>
      <c r="R363" s="163">
        <v>0</v>
      </c>
      <c r="S363" s="163">
        <v>0</v>
      </c>
      <c r="T363" s="163">
        <v>0</v>
      </c>
      <c r="U363" s="163">
        <v>0</v>
      </c>
      <c r="V363" s="163">
        <v>0</v>
      </c>
      <c r="W363" s="163">
        <v>0</v>
      </c>
      <c r="X363" s="163">
        <v>0</v>
      </c>
      <c r="Y363" s="163">
        <v>0</v>
      </c>
      <c r="Z363" s="163">
        <v>0</v>
      </c>
      <c r="AA363" s="163">
        <v>0</v>
      </c>
      <c r="AB363" s="416">
        <v>0</v>
      </c>
      <c r="AC363" s="416">
        <v>0</v>
      </c>
      <c r="AD363" s="416">
        <v>0</v>
      </c>
      <c r="AE363" s="416">
        <v>0</v>
      </c>
      <c r="AF363" s="416">
        <v>0</v>
      </c>
      <c r="AG363" s="416">
        <v>0</v>
      </c>
      <c r="AH363" s="416">
        <v>0</v>
      </c>
      <c r="AI363" s="416">
        <v>0</v>
      </c>
      <c r="AJ363" s="416">
        <v>0</v>
      </c>
      <c r="AK363" s="416">
        <v>41828.07</v>
      </c>
      <c r="AL363" s="416">
        <v>0</v>
      </c>
      <c r="AM363" s="416">
        <v>0</v>
      </c>
      <c r="AN363" s="416">
        <v>0</v>
      </c>
      <c r="AO363" s="416">
        <v>0</v>
      </c>
      <c r="AP363" s="416">
        <v>0</v>
      </c>
      <c r="AQ363" s="416">
        <v>0</v>
      </c>
      <c r="AR363" s="416">
        <v>0</v>
      </c>
      <c r="AS363" s="416">
        <v>0</v>
      </c>
      <c r="AT363" s="416">
        <v>0</v>
      </c>
      <c r="AU363" s="416">
        <v>0</v>
      </c>
      <c r="AV363" s="416">
        <v>0</v>
      </c>
      <c r="AW363" s="416">
        <v>0</v>
      </c>
      <c r="AX363" s="416">
        <v>0</v>
      </c>
      <c r="AY363" s="416">
        <v>0</v>
      </c>
      <c r="AZ363" s="416">
        <v>0</v>
      </c>
      <c r="BA363" s="416">
        <v>0</v>
      </c>
      <c r="BB363" s="416">
        <v>0</v>
      </c>
      <c r="BC363" s="416">
        <v>0</v>
      </c>
      <c r="BD363" s="416">
        <v>0</v>
      </c>
      <c r="BE363" s="416">
        <v>0</v>
      </c>
      <c r="BF363" s="416">
        <v>0</v>
      </c>
      <c r="BG363" s="416">
        <v>0</v>
      </c>
      <c r="BH363" s="416">
        <v>0</v>
      </c>
      <c r="BI363" s="416">
        <v>0</v>
      </c>
      <c r="BJ363" s="416">
        <v>0</v>
      </c>
      <c r="BK363" s="416">
        <v>0</v>
      </c>
      <c r="BL363" s="416">
        <v>0</v>
      </c>
      <c r="BM363" s="416">
        <v>0</v>
      </c>
      <c r="BN363" s="416">
        <v>0</v>
      </c>
      <c r="BO363" s="416">
        <v>0</v>
      </c>
      <c r="BP363" s="416">
        <v>0</v>
      </c>
      <c r="BQ363" s="416">
        <v>0</v>
      </c>
      <c r="BR363" s="416">
        <v>0</v>
      </c>
      <c r="BS363" s="416">
        <v>0</v>
      </c>
      <c r="BT363" s="416">
        <v>0</v>
      </c>
      <c r="BU363" s="416">
        <v>0</v>
      </c>
      <c r="BV363" s="416">
        <v>0</v>
      </c>
      <c r="BW363" s="416">
        <v>0</v>
      </c>
      <c r="BX363" s="416">
        <v>0</v>
      </c>
      <c r="BY363" s="163">
        <v>0</v>
      </c>
      <c r="BZ363" s="163">
        <v>0</v>
      </c>
      <c r="CA363" s="163">
        <v>0</v>
      </c>
      <c r="CB363" s="163">
        <v>0</v>
      </c>
      <c r="CC363" s="163">
        <v>0</v>
      </c>
      <c r="CD363" s="163">
        <v>0</v>
      </c>
      <c r="CE363" s="163">
        <v>0</v>
      </c>
      <c r="CF363" s="163">
        <v>0</v>
      </c>
      <c r="CG363" s="163">
        <v>0</v>
      </c>
      <c r="CH363" s="163">
        <v>60</v>
      </c>
      <c r="CI363" s="163">
        <v>0</v>
      </c>
      <c r="CJ363" s="163">
        <v>0</v>
      </c>
      <c r="CK363" s="163">
        <v>0</v>
      </c>
      <c r="CL363" s="163">
        <v>0</v>
      </c>
      <c r="CM363" s="163">
        <v>0</v>
      </c>
      <c r="CN363" s="163">
        <v>0</v>
      </c>
      <c r="CO363" s="163">
        <v>0</v>
      </c>
      <c r="CP363" s="163">
        <v>0</v>
      </c>
      <c r="CQ363" s="163">
        <v>0</v>
      </c>
      <c r="CR363" s="163">
        <v>0</v>
      </c>
      <c r="CS363" s="163">
        <v>0</v>
      </c>
      <c r="CT363" s="163">
        <v>0</v>
      </c>
      <c r="CU363" s="163">
        <v>0</v>
      </c>
      <c r="CV363" s="163">
        <v>0</v>
      </c>
      <c r="CW363" s="163">
        <v>0</v>
      </c>
      <c r="CX363" s="163">
        <v>0</v>
      </c>
      <c r="CY363" s="163">
        <v>0</v>
      </c>
      <c r="CZ363" s="163">
        <v>0</v>
      </c>
      <c r="DA363" s="163">
        <v>0</v>
      </c>
      <c r="DB363" s="163">
        <v>0</v>
      </c>
      <c r="DC363" s="163">
        <v>0</v>
      </c>
      <c r="DD363" s="163">
        <v>0</v>
      </c>
      <c r="DE363" s="163">
        <v>0</v>
      </c>
      <c r="DF363" s="163">
        <f>VLOOKUP($A363,'[3]BS ACC'!$A$258:$DH$1006,110,FALSE)</f>
        <v>0</v>
      </c>
      <c r="DG363" s="163">
        <f>VLOOKUP($A363,'[3]BS ACC'!$A$258:$DH$1006,111,FALSE)</f>
        <v>0</v>
      </c>
      <c r="DH363" s="163">
        <f>VLOOKUP($A363,'[3]BS ACC'!$A$258:$DH$1006,112,FALSE)</f>
        <v>0</v>
      </c>
    </row>
    <row r="364" spans="1:112">
      <c r="A364" t="s">
        <v>853</v>
      </c>
      <c r="D364" s="345">
        <v>86795.96</v>
      </c>
      <c r="E364" s="345">
        <v>88384</v>
      </c>
      <c r="F364" s="345">
        <v>89989.31</v>
      </c>
      <c r="G364" s="345">
        <v>90844.64</v>
      </c>
      <c r="H364" s="345">
        <v>99264.48</v>
      </c>
      <c r="I364" s="345">
        <v>110175.51</v>
      </c>
      <c r="J364" s="345">
        <v>76940.460000000006</v>
      </c>
      <c r="K364" s="345">
        <v>59996.959999999999</v>
      </c>
      <c r="L364" s="345">
        <v>58519.46</v>
      </c>
      <c r="M364" s="345">
        <v>62883.22</v>
      </c>
      <c r="N364" s="345">
        <v>65352.2</v>
      </c>
      <c r="O364" s="345">
        <v>65604.2</v>
      </c>
      <c r="P364" s="345">
        <v>68874.649999999994</v>
      </c>
      <c r="Q364" s="163">
        <v>72874.28</v>
      </c>
      <c r="R364" s="163">
        <v>72879.320000000007</v>
      </c>
      <c r="S364" s="163">
        <v>76937.59</v>
      </c>
      <c r="T364" s="163">
        <v>56464.08</v>
      </c>
      <c r="U364" s="163">
        <v>114055.15</v>
      </c>
      <c r="V364" s="163">
        <v>139182.43</v>
      </c>
      <c r="W364" s="163">
        <v>79661.02</v>
      </c>
      <c r="X364" s="163">
        <v>407401.19</v>
      </c>
      <c r="Y364" s="163">
        <v>86393.03</v>
      </c>
      <c r="Z364" s="163">
        <v>3023393.52</v>
      </c>
      <c r="AA364" s="163">
        <v>3042731.82</v>
      </c>
      <c r="AB364" s="163">
        <v>3094262.73</v>
      </c>
      <c r="AC364" s="163">
        <v>3112322.24</v>
      </c>
      <c r="AD364" s="163">
        <v>3065603.76</v>
      </c>
      <c r="AE364" s="163">
        <v>3067920.39</v>
      </c>
      <c r="AF364" s="163">
        <v>3047742.36</v>
      </c>
      <c r="AG364" s="163">
        <v>3055464.63</v>
      </c>
      <c r="AH364" s="163">
        <v>3119302.55</v>
      </c>
      <c r="AI364" s="163">
        <v>3121985.8</v>
      </c>
      <c r="AJ364" s="163">
        <v>3106111.38</v>
      </c>
      <c r="AK364" s="163">
        <v>3143326.13</v>
      </c>
      <c r="AL364" s="163">
        <v>3274674.05</v>
      </c>
      <c r="AM364" s="163">
        <v>3283633.05</v>
      </c>
      <c r="AN364" s="163">
        <v>3182525.91</v>
      </c>
      <c r="AO364" s="163">
        <v>5447463.8200000003</v>
      </c>
      <c r="AP364" s="163">
        <v>5569983.8399999999</v>
      </c>
      <c r="AQ364" s="163">
        <v>5818295.5199999996</v>
      </c>
      <c r="AR364" s="163">
        <v>5723860.1600000001</v>
      </c>
      <c r="AS364" s="163">
        <v>5479482.1699999999</v>
      </c>
      <c r="AT364" s="163">
        <v>5537860.1200000001</v>
      </c>
      <c r="AU364" s="163">
        <v>5519902.5300000003</v>
      </c>
      <c r="AV364" s="163">
        <v>5525335.5700000003</v>
      </c>
      <c r="AW364" s="163">
        <v>5875800.1799999997</v>
      </c>
      <c r="AX364" s="163">
        <v>5848790</v>
      </c>
      <c r="AY364" s="163">
        <v>5874261.7800000003</v>
      </c>
      <c r="AZ364" s="163">
        <v>5867409.79</v>
      </c>
      <c r="BA364" s="163">
        <v>5686522.4500000002</v>
      </c>
      <c r="BB364" s="163">
        <v>5505993.9000000004</v>
      </c>
      <c r="BC364" s="163">
        <v>5489642.5499999998</v>
      </c>
      <c r="BD364" s="163">
        <v>5558315.04</v>
      </c>
      <c r="BE364" s="163">
        <v>5458851.4900000002</v>
      </c>
      <c r="BF364" s="163">
        <v>5461383.29</v>
      </c>
      <c r="BG364" s="163">
        <v>5445856.5</v>
      </c>
      <c r="BH364" s="163">
        <v>5863401.9000000004</v>
      </c>
      <c r="BI364" s="163">
        <v>5499377.9000000004</v>
      </c>
      <c r="BJ364" s="163">
        <v>6672460.0999999996</v>
      </c>
      <c r="BK364" s="163">
        <v>8597608.7699999996</v>
      </c>
      <c r="BL364" s="163">
        <v>4935022.49</v>
      </c>
      <c r="BM364" s="163">
        <v>4709584.9800000004</v>
      </c>
      <c r="BN364" s="163">
        <v>4693554.62</v>
      </c>
      <c r="BO364" s="163">
        <v>4743537.0599999996</v>
      </c>
      <c r="BP364" s="163">
        <v>4700457.1100000003</v>
      </c>
      <c r="BQ364" s="163">
        <v>4691360.01</v>
      </c>
      <c r="BR364" s="163">
        <v>4652326.66</v>
      </c>
      <c r="BS364" s="163">
        <v>4601425.3499999996</v>
      </c>
      <c r="BT364" s="163">
        <v>4826382.2300000004</v>
      </c>
      <c r="BU364" s="163">
        <v>4959881.47</v>
      </c>
      <c r="BV364" s="163">
        <v>5116497.1900000004</v>
      </c>
      <c r="BW364" s="163">
        <v>5230025.42</v>
      </c>
      <c r="BX364" s="163">
        <v>4808374.83</v>
      </c>
      <c r="BY364" s="163">
        <v>4783536.91</v>
      </c>
      <c r="BZ364" s="163">
        <v>4610861.2699999996</v>
      </c>
      <c r="CA364" s="163">
        <v>4826250.2699999996</v>
      </c>
      <c r="CB364" s="163">
        <v>5037155.99</v>
      </c>
      <c r="CC364" s="163">
        <v>5296520.25</v>
      </c>
      <c r="CD364" s="163">
        <v>5309226.71</v>
      </c>
      <c r="CE364" s="163">
        <v>5354947.1900000004</v>
      </c>
      <c r="CF364" s="163">
        <v>5668632.0099999998</v>
      </c>
      <c r="CG364" s="163">
        <v>5861777.6100000003</v>
      </c>
      <c r="CH364" s="163">
        <v>5983318.75</v>
      </c>
      <c r="CI364" s="163">
        <v>5433728.5</v>
      </c>
      <c r="CJ364" s="163">
        <v>4055964.52</v>
      </c>
      <c r="CK364" s="163">
        <v>3810403.26</v>
      </c>
      <c r="CL364" s="163">
        <v>3795174.17</v>
      </c>
      <c r="CM364" s="163">
        <v>3785750.17</v>
      </c>
      <c r="CN364" s="163">
        <v>3774421.15</v>
      </c>
      <c r="CO364" s="163">
        <v>3761819.25</v>
      </c>
      <c r="CP364" s="163">
        <v>3746231.45</v>
      </c>
      <c r="CQ364" s="163">
        <v>3742718.57</v>
      </c>
      <c r="CR364" s="163">
        <v>3724865.07</v>
      </c>
      <c r="CS364" s="163">
        <v>3706772.49</v>
      </c>
      <c r="CT364" s="163">
        <v>3783611.99</v>
      </c>
      <c r="CU364" s="163">
        <v>3738390.59</v>
      </c>
      <c r="CV364" s="163">
        <v>4082430.84</v>
      </c>
      <c r="CW364" s="163">
        <v>4002643.05</v>
      </c>
      <c r="CX364" s="163">
        <v>3717907.08</v>
      </c>
      <c r="CY364" s="163">
        <v>3508657.6</v>
      </c>
      <c r="CZ364" s="163">
        <v>3705105.68</v>
      </c>
      <c r="DA364" s="163">
        <v>3751020.53</v>
      </c>
      <c r="DB364" s="163">
        <v>3782089.44</v>
      </c>
      <c r="DC364" s="163">
        <v>3745722.98</v>
      </c>
      <c r="DD364" s="163">
        <v>3778373.72</v>
      </c>
      <c r="DE364" s="163">
        <v>3794293.23</v>
      </c>
      <c r="DF364" s="163">
        <f>VLOOKUP($A364,'[3]BS ACC'!$A$258:$DH$1006,110,FALSE)</f>
        <v>3848791.82</v>
      </c>
      <c r="DG364" s="163">
        <f>VLOOKUP($A364,'[3]BS ACC'!$A$258:$DH$1006,111,FALSE)</f>
        <v>3863670.33</v>
      </c>
      <c r="DH364" s="163">
        <f>VLOOKUP($A364,'[3]BS ACC'!$A$258:$DH$1006,112,FALSE)</f>
        <v>4343041.1900000004</v>
      </c>
    </row>
    <row r="365" spans="1:112">
      <c r="A365" t="s">
        <v>854</v>
      </c>
      <c r="D365" s="345">
        <v>0</v>
      </c>
      <c r="E365" s="345">
        <v>0</v>
      </c>
      <c r="F365" s="345">
        <v>0</v>
      </c>
      <c r="G365" s="345">
        <v>0</v>
      </c>
      <c r="H365" s="345">
        <v>0</v>
      </c>
      <c r="I365" s="345">
        <v>0</v>
      </c>
      <c r="J365" s="345">
        <v>0</v>
      </c>
      <c r="K365" s="345">
        <v>0</v>
      </c>
      <c r="L365" s="345">
        <v>0</v>
      </c>
      <c r="M365" s="345">
        <v>0</v>
      </c>
      <c r="N365" s="345">
        <v>0</v>
      </c>
      <c r="O365" s="345">
        <v>0</v>
      </c>
      <c r="P365" s="345">
        <v>0</v>
      </c>
      <c r="Q365" s="163">
        <v>0</v>
      </c>
      <c r="R365" s="163">
        <v>0</v>
      </c>
      <c r="S365" s="163">
        <v>0</v>
      </c>
      <c r="T365" s="163">
        <v>0</v>
      </c>
      <c r="U365" s="163">
        <v>0</v>
      </c>
      <c r="V365" s="163">
        <v>0</v>
      </c>
      <c r="W365" s="163">
        <v>0</v>
      </c>
      <c r="X365" s="163">
        <v>0</v>
      </c>
      <c r="Y365" s="163">
        <v>0</v>
      </c>
      <c r="Z365" s="163">
        <v>0</v>
      </c>
      <c r="AA365" s="163">
        <v>0</v>
      </c>
      <c r="AB365" s="163">
        <v>0</v>
      </c>
      <c r="AC365" s="163">
        <v>0</v>
      </c>
      <c r="AD365" s="163">
        <v>0</v>
      </c>
      <c r="AE365" s="163">
        <v>0</v>
      </c>
      <c r="AF365" s="163">
        <v>0</v>
      </c>
      <c r="AG365" s="163">
        <v>0</v>
      </c>
      <c r="AH365" s="163">
        <v>0</v>
      </c>
      <c r="AI365" s="163">
        <v>0</v>
      </c>
      <c r="AJ365" s="163">
        <v>0</v>
      </c>
      <c r="AK365" s="163">
        <v>0</v>
      </c>
      <c r="AL365" s="163">
        <v>0</v>
      </c>
      <c r="AM365" s="163">
        <v>0</v>
      </c>
      <c r="AN365" s="163">
        <v>0</v>
      </c>
      <c r="AO365" s="163">
        <v>0</v>
      </c>
      <c r="AP365" s="163">
        <v>0</v>
      </c>
      <c r="AQ365" s="163">
        <v>0</v>
      </c>
      <c r="AR365" s="163">
        <v>0</v>
      </c>
      <c r="AS365" s="163">
        <v>0</v>
      </c>
      <c r="AT365" s="163">
        <v>0</v>
      </c>
      <c r="AU365" s="163">
        <v>0</v>
      </c>
      <c r="AV365" s="163">
        <v>0</v>
      </c>
      <c r="AW365" s="163">
        <v>0</v>
      </c>
      <c r="AX365" s="163">
        <v>0</v>
      </c>
      <c r="AY365" s="163">
        <v>0</v>
      </c>
      <c r="AZ365" s="163">
        <v>0</v>
      </c>
      <c r="BA365" s="163">
        <v>0</v>
      </c>
      <c r="BB365" s="163">
        <v>0</v>
      </c>
      <c r="BC365" s="163">
        <v>0</v>
      </c>
      <c r="BD365" s="163">
        <v>0</v>
      </c>
      <c r="BE365" s="163">
        <v>0</v>
      </c>
      <c r="BF365" s="163">
        <v>0</v>
      </c>
      <c r="BG365" s="163">
        <v>0</v>
      </c>
      <c r="BH365" s="163">
        <v>0</v>
      </c>
      <c r="BI365" s="163">
        <v>0</v>
      </c>
      <c r="BJ365" s="163">
        <v>0</v>
      </c>
      <c r="BK365" s="163">
        <v>0</v>
      </c>
      <c r="BL365" s="163">
        <v>0</v>
      </c>
      <c r="BM365" s="163">
        <v>0</v>
      </c>
      <c r="BN365" s="163">
        <v>0</v>
      </c>
      <c r="BO365" s="163">
        <v>0</v>
      </c>
      <c r="BP365" s="163">
        <v>0</v>
      </c>
      <c r="BQ365" s="163">
        <v>0</v>
      </c>
      <c r="BR365" s="163">
        <v>0</v>
      </c>
      <c r="BS365" s="163">
        <v>0</v>
      </c>
      <c r="BT365" s="163">
        <v>0</v>
      </c>
      <c r="BU365" s="163">
        <v>0</v>
      </c>
      <c r="BV365" s="163">
        <v>0</v>
      </c>
      <c r="BW365" s="163">
        <v>0</v>
      </c>
      <c r="BX365" s="163">
        <v>0</v>
      </c>
      <c r="BY365" s="163">
        <v>0</v>
      </c>
      <c r="BZ365" s="163">
        <v>0</v>
      </c>
      <c r="CA365" s="163">
        <v>0</v>
      </c>
      <c r="CB365" s="163">
        <v>0</v>
      </c>
      <c r="CC365" s="163">
        <v>0</v>
      </c>
      <c r="CD365" s="163">
        <v>0</v>
      </c>
      <c r="CE365" s="163">
        <v>0</v>
      </c>
      <c r="CF365" s="163">
        <v>0</v>
      </c>
      <c r="CG365" s="163">
        <v>0</v>
      </c>
      <c r="CH365" s="163">
        <v>0</v>
      </c>
      <c r="CI365" s="163">
        <v>0</v>
      </c>
      <c r="CJ365" s="163">
        <v>0</v>
      </c>
      <c r="CK365" s="163">
        <v>0</v>
      </c>
      <c r="CL365" s="163">
        <v>0</v>
      </c>
      <c r="CM365" s="163">
        <v>0</v>
      </c>
      <c r="CN365" s="163">
        <v>0</v>
      </c>
      <c r="CO365" s="163">
        <v>0</v>
      </c>
      <c r="CP365" s="163">
        <v>0</v>
      </c>
      <c r="CQ365" s="163">
        <v>0</v>
      </c>
      <c r="CR365" s="163">
        <v>0</v>
      </c>
      <c r="CS365" s="163">
        <v>0</v>
      </c>
      <c r="CT365" s="163">
        <v>0</v>
      </c>
      <c r="CU365" s="163">
        <v>0</v>
      </c>
      <c r="CV365" s="163">
        <v>0</v>
      </c>
      <c r="CW365" s="163">
        <v>0</v>
      </c>
      <c r="CX365" s="163">
        <v>0</v>
      </c>
      <c r="CY365" s="163">
        <v>0</v>
      </c>
      <c r="CZ365" s="163">
        <v>0</v>
      </c>
      <c r="DA365" s="163">
        <v>0</v>
      </c>
      <c r="DB365" s="163">
        <v>0</v>
      </c>
      <c r="DC365" s="163">
        <v>0</v>
      </c>
      <c r="DD365" s="163">
        <v>0</v>
      </c>
      <c r="DE365" s="163">
        <v>0</v>
      </c>
      <c r="DF365" s="163">
        <f>VLOOKUP($A365,'[3]BS ACC'!$A$258:$DH$1006,110,FALSE)</f>
        <v>0</v>
      </c>
      <c r="DG365" s="163">
        <f>VLOOKUP($A365,'[3]BS ACC'!$A$258:$DH$1006,111,FALSE)</f>
        <v>0</v>
      </c>
      <c r="DH365" s="163">
        <f>VLOOKUP($A365,'[3]BS ACC'!$A$258:$DH$1006,112,FALSE)</f>
        <v>0</v>
      </c>
    </row>
    <row r="366" spans="1:112">
      <c r="A366" t="s">
        <v>855</v>
      </c>
      <c r="D366" s="345">
        <v>33632569.399999999</v>
      </c>
      <c r="E366" s="345">
        <v>34115887.170000002</v>
      </c>
      <c r="F366" s="345">
        <v>33476442.25</v>
      </c>
      <c r="G366" s="345">
        <v>33438251.449999999</v>
      </c>
      <c r="H366" s="345">
        <v>34168992.740000002</v>
      </c>
      <c r="I366" s="345">
        <v>33607386.25</v>
      </c>
      <c r="J366" s="345">
        <v>33202927.829999998</v>
      </c>
      <c r="K366" s="345">
        <v>34007322.810000002</v>
      </c>
      <c r="L366" s="345">
        <v>32991204.550000001</v>
      </c>
      <c r="M366" s="345">
        <v>33564193.740000002</v>
      </c>
      <c r="N366" s="345">
        <v>34746329.539999999</v>
      </c>
      <c r="O366" s="345">
        <v>31973533.969999999</v>
      </c>
      <c r="P366" s="345">
        <v>35824575.880000003</v>
      </c>
      <c r="Q366" s="163">
        <v>36311754.649999999</v>
      </c>
      <c r="R366" s="163">
        <v>34870467.409999996</v>
      </c>
      <c r="S366" s="163">
        <v>35437049.509999998</v>
      </c>
      <c r="T366" s="163">
        <v>35337998.43</v>
      </c>
      <c r="U366" s="163">
        <v>35258929.229999997</v>
      </c>
      <c r="V366" s="163">
        <v>34305872.170000002</v>
      </c>
      <c r="W366" s="163">
        <v>34334123.57</v>
      </c>
      <c r="X366" s="163">
        <v>35158976.829999998</v>
      </c>
      <c r="Y366" s="163">
        <v>35281260.710000001</v>
      </c>
      <c r="Z366" s="163">
        <v>35947425.719999999</v>
      </c>
      <c r="AA366" s="163">
        <v>36112242.049999997</v>
      </c>
      <c r="AB366" s="163">
        <v>38423221.93</v>
      </c>
      <c r="AC366" s="163">
        <v>38148757.689999998</v>
      </c>
      <c r="AD366" s="163">
        <v>37941736.039999999</v>
      </c>
      <c r="AE366" s="163">
        <v>37398992.289999999</v>
      </c>
      <c r="AF366" s="163">
        <v>37003099.119999997</v>
      </c>
      <c r="AG366" s="163">
        <v>36995409.409999996</v>
      </c>
      <c r="AH366" s="163">
        <v>36049062.399999999</v>
      </c>
      <c r="AI366" s="163">
        <v>36156380.880000003</v>
      </c>
      <c r="AJ366" s="163">
        <v>36602801.350000001</v>
      </c>
      <c r="AK366" s="163">
        <v>40013408.030000001</v>
      </c>
      <c r="AL366" s="163">
        <v>39966717.700000003</v>
      </c>
      <c r="AM366" s="163">
        <v>39774589.039999999</v>
      </c>
      <c r="AN366" s="163">
        <v>47861884.270000003</v>
      </c>
      <c r="AO366" s="163">
        <v>48216616.659999996</v>
      </c>
      <c r="AP366" s="163">
        <v>46704516.270000003</v>
      </c>
      <c r="AQ366" s="163">
        <v>47090265.090000004</v>
      </c>
      <c r="AR366" s="163">
        <v>47407657.259999998</v>
      </c>
      <c r="AS366" s="163">
        <v>47433163.060000002</v>
      </c>
      <c r="AT366" s="163">
        <v>47955941.990000002</v>
      </c>
      <c r="AU366" s="163">
        <v>48144508.670000002</v>
      </c>
      <c r="AV366" s="163">
        <v>48101782.039999999</v>
      </c>
      <c r="AW366" s="163">
        <v>50081276.340000004</v>
      </c>
      <c r="AX366" s="163">
        <v>50006575.43</v>
      </c>
      <c r="AY366" s="163">
        <v>50110547.240000002</v>
      </c>
      <c r="AZ366" s="163">
        <v>48257584.149999999</v>
      </c>
      <c r="BA366" s="163">
        <v>48838259.310000002</v>
      </c>
      <c r="BB366" s="163">
        <v>48545168.710000001</v>
      </c>
      <c r="BC366" s="163">
        <v>49500818.460000001</v>
      </c>
      <c r="BD366" s="163">
        <v>49805606.399999999</v>
      </c>
      <c r="BE366" s="163">
        <v>50060779.259999998</v>
      </c>
      <c r="BF366" s="163">
        <v>50103163.07</v>
      </c>
      <c r="BG366" s="163">
        <v>50170800.890000001</v>
      </c>
      <c r="BH366" s="163">
        <v>50206779.840000004</v>
      </c>
      <c r="BI366" s="163">
        <v>51841777.100000001</v>
      </c>
      <c r="BJ366" s="163">
        <v>51915224.390000001</v>
      </c>
      <c r="BK366" s="163">
        <v>52443292.640000001</v>
      </c>
      <c r="BL366" s="163">
        <v>53579534.350000001</v>
      </c>
      <c r="BM366" s="163">
        <v>53810178.520000003</v>
      </c>
      <c r="BN366" s="163">
        <v>53025245.880000003</v>
      </c>
      <c r="BO366" s="163">
        <v>53554503.890000001</v>
      </c>
      <c r="BP366" s="163">
        <v>53675832.280000001</v>
      </c>
      <c r="BQ366" s="163">
        <v>53712964.659999996</v>
      </c>
      <c r="BR366" s="163">
        <v>53733761.479999997</v>
      </c>
      <c r="BS366" s="163">
        <v>54023538.009999998</v>
      </c>
      <c r="BT366" s="163">
        <v>54120208.020000003</v>
      </c>
      <c r="BU366" s="163">
        <v>53966607.810000002</v>
      </c>
      <c r="BV366" s="163">
        <v>54087865.170000002</v>
      </c>
      <c r="BW366" s="163">
        <v>54371823.479999997</v>
      </c>
      <c r="BX366" s="163">
        <v>54966422.409999996</v>
      </c>
      <c r="BY366" s="163">
        <v>55524351.119999997</v>
      </c>
      <c r="BZ366" s="163">
        <v>54592508.079999998</v>
      </c>
      <c r="CA366" s="163">
        <v>54777939.390000001</v>
      </c>
      <c r="CB366" s="163">
        <v>55026802.189999998</v>
      </c>
      <c r="CC366" s="163">
        <v>55161969.799999997</v>
      </c>
      <c r="CD366" s="163">
        <v>55446318.920000002</v>
      </c>
      <c r="CE366" s="163">
        <v>55534916.149999999</v>
      </c>
      <c r="CF366" s="163">
        <v>55479405.710000001</v>
      </c>
      <c r="CG366" s="163">
        <v>55670420.039999999</v>
      </c>
      <c r="CH366" s="163">
        <v>56074141.859999999</v>
      </c>
      <c r="CI366" s="163">
        <v>55851066.880000003</v>
      </c>
      <c r="CJ366" s="163">
        <v>58693568.859999999</v>
      </c>
      <c r="CK366" s="163">
        <v>59351200.259999998</v>
      </c>
      <c r="CL366" s="163">
        <v>59691522.689999998</v>
      </c>
      <c r="CM366" s="163">
        <v>57907116.579999998</v>
      </c>
      <c r="CN366" s="163">
        <v>58338223.229999997</v>
      </c>
      <c r="CO366" s="163">
        <v>58283557.43</v>
      </c>
      <c r="CP366" s="163">
        <v>58536297.549999997</v>
      </c>
      <c r="CQ366" s="163">
        <v>58652680.020000003</v>
      </c>
      <c r="CR366" s="163">
        <v>58933954.409999996</v>
      </c>
      <c r="CS366" s="163">
        <v>59497046.469999999</v>
      </c>
      <c r="CT366" s="163">
        <v>58863673.240000002</v>
      </c>
      <c r="CU366" s="163">
        <v>59548096.990000002</v>
      </c>
      <c r="CV366" s="163">
        <v>58824206.109999999</v>
      </c>
      <c r="CW366" s="163">
        <v>59182826.119999997</v>
      </c>
      <c r="CX366" s="163">
        <v>60411842.740000002</v>
      </c>
      <c r="CY366" s="163">
        <v>58537919.140000001</v>
      </c>
      <c r="CZ366" s="163">
        <v>58883217.75</v>
      </c>
      <c r="DA366" s="163">
        <v>59124026.039999999</v>
      </c>
      <c r="DB366" s="163">
        <v>59227864.950000003</v>
      </c>
      <c r="DC366" s="163">
        <v>59234740.399999999</v>
      </c>
      <c r="DD366" s="163">
        <v>58915849.07</v>
      </c>
      <c r="DE366" s="163">
        <v>59442146.409999996</v>
      </c>
      <c r="DF366" s="163">
        <f>VLOOKUP($A366,'[3]BS ACC'!$A$258:$DH$1006,110,FALSE)</f>
        <v>59602496.130000003</v>
      </c>
      <c r="DG366" s="163">
        <f>VLOOKUP($A366,'[3]BS ACC'!$A$258:$DH$1006,111,FALSE)</f>
        <v>59999366.060000002</v>
      </c>
      <c r="DH366" s="163">
        <f>VLOOKUP($A366,'[3]BS ACC'!$A$258:$DH$1006,112,FALSE)</f>
        <v>62146609.060000002</v>
      </c>
    </row>
    <row r="367" spans="1:112">
      <c r="A367" t="s">
        <v>856</v>
      </c>
      <c r="D367" s="345">
        <v>3028976.22</v>
      </c>
      <c r="E367" s="345">
        <v>2328317.7000000002</v>
      </c>
      <c r="F367" s="345">
        <v>-2690380.3</v>
      </c>
      <c r="G367" s="345">
        <v>-1871187.3</v>
      </c>
      <c r="H367" s="345">
        <v>-3825481.06</v>
      </c>
      <c r="I367" s="345">
        <v>-1871385.06</v>
      </c>
      <c r="J367" s="345">
        <v>-3731579.99</v>
      </c>
      <c r="K367" s="345">
        <v>-4495686.04</v>
      </c>
      <c r="L367" s="345">
        <v>-4685303.04</v>
      </c>
      <c r="M367" s="345">
        <v>-4415619.04</v>
      </c>
      <c r="N367" s="345">
        <v>-2426539.04</v>
      </c>
      <c r="O367" s="345">
        <v>3262109.96</v>
      </c>
      <c r="P367" s="345">
        <v>822722.06</v>
      </c>
      <c r="Q367" s="163">
        <v>399.06</v>
      </c>
      <c r="R367" s="163">
        <v>524581.06000000006</v>
      </c>
      <c r="S367" s="163">
        <v>-1116131.94</v>
      </c>
      <c r="T367" s="163">
        <v>556285.06000000006</v>
      </c>
      <c r="U367" s="163">
        <v>1052618.06</v>
      </c>
      <c r="V367" s="163">
        <v>-1241463.94</v>
      </c>
      <c r="W367" s="163">
        <v>-106141.94</v>
      </c>
      <c r="X367" s="163">
        <v>-587029.93999999994</v>
      </c>
      <c r="Y367" s="163">
        <v>-165111.94</v>
      </c>
      <c r="Z367" s="163">
        <v>2251204.06</v>
      </c>
      <c r="AA367" s="163">
        <v>4566482.0599999996</v>
      </c>
      <c r="AB367" s="163">
        <v>4817531.07</v>
      </c>
      <c r="AC367" s="163">
        <v>3876662.07</v>
      </c>
      <c r="AD367" s="163">
        <v>-1124468.1299999999</v>
      </c>
      <c r="AE367" s="163">
        <v>-2680714.13</v>
      </c>
      <c r="AF367" s="163">
        <v>-3391795.13</v>
      </c>
      <c r="AG367" s="163">
        <v>-4918154.13</v>
      </c>
      <c r="AH367" s="163">
        <v>-6825029.1299999999</v>
      </c>
      <c r="AI367" s="163">
        <v>-8051702.46</v>
      </c>
      <c r="AJ367" s="163">
        <v>-8821966.4600000009</v>
      </c>
      <c r="AK367" s="163">
        <v>-8283926.46</v>
      </c>
      <c r="AL367" s="163">
        <v>-5545722.46</v>
      </c>
      <c r="AM367" s="163">
        <v>-2658041.46</v>
      </c>
      <c r="AN367" s="163">
        <v>-2176669.4</v>
      </c>
      <c r="AO367" s="163">
        <v>-2642346.4</v>
      </c>
      <c r="AP367" s="163">
        <v>-5804990.4100000001</v>
      </c>
      <c r="AQ367" s="163">
        <v>-2294854.41</v>
      </c>
      <c r="AR367" s="163">
        <v>-3251333.41</v>
      </c>
      <c r="AS367" s="163">
        <v>-3259418.41</v>
      </c>
      <c r="AT367" s="163">
        <v>-2333782.41</v>
      </c>
      <c r="AU367" s="163">
        <v>-1140359.77</v>
      </c>
      <c r="AV367" s="163">
        <v>62853.23</v>
      </c>
      <c r="AW367" s="163">
        <v>-1125284.77</v>
      </c>
      <c r="AX367" s="163">
        <v>2293438.23</v>
      </c>
      <c r="AY367" s="163">
        <v>3505808.23</v>
      </c>
      <c r="AZ367" s="163">
        <v>2834666.07</v>
      </c>
      <c r="BA367" s="163">
        <v>-2384064.9300000002</v>
      </c>
      <c r="BB367" s="163">
        <v>-8545555.9299999997</v>
      </c>
      <c r="BC367" s="163">
        <v>-5868120.9299999997</v>
      </c>
      <c r="BD367" s="163">
        <v>-9522977.9299999997</v>
      </c>
      <c r="BE367" s="163">
        <v>-9400213.9299999997</v>
      </c>
      <c r="BF367" s="163">
        <v>-9953193.9299999997</v>
      </c>
      <c r="BG367" s="163">
        <v>-10094426.199999999</v>
      </c>
      <c r="BH367" s="163">
        <v>-9688297.1999999993</v>
      </c>
      <c r="BI367" s="163">
        <v>-10202183.199999999</v>
      </c>
      <c r="BJ367" s="163">
        <v>-7149370.25</v>
      </c>
      <c r="BK367" s="163">
        <v>-834981.25</v>
      </c>
      <c r="BL367" s="163">
        <v>2412177.34</v>
      </c>
      <c r="BM367" s="163">
        <v>629810.18999999994</v>
      </c>
      <c r="BN367" s="163">
        <v>-2764299.81</v>
      </c>
      <c r="BO367" s="163">
        <v>-3806517.81</v>
      </c>
      <c r="BP367" s="163">
        <v>-6734309.8099999996</v>
      </c>
      <c r="BQ367" s="163">
        <v>-9153064.8100000005</v>
      </c>
      <c r="BR367" s="163">
        <v>-10301394.810000001</v>
      </c>
      <c r="BS367" s="163">
        <v>-10461658.810000001</v>
      </c>
      <c r="BT367" s="163">
        <v>-8902055.8100000005</v>
      </c>
      <c r="BU367" s="163">
        <v>-9455812.4700000007</v>
      </c>
      <c r="BV367" s="163">
        <v>-6835541.4699999997</v>
      </c>
      <c r="BW367" s="163">
        <v>-4507606.47</v>
      </c>
      <c r="BX367" s="163">
        <v>-5610499.4699999997</v>
      </c>
      <c r="BY367" s="163">
        <v>-9000597.4700000007</v>
      </c>
      <c r="BZ367" s="163">
        <v>-12085260.640000001</v>
      </c>
      <c r="CA367" s="163">
        <v>-13315276.640000001</v>
      </c>
      <c r="CB367" s="163">
        <v>-13955912.640000001</v>
      </c>
      <c r="CC367" s="163">
        <v>-13419803.640000001</v>
      </c>
      <c r="CD367" s="163">
        <v>-14069898.640000001</v>
      </c>
      <c r="CE367" s="163">
        <v>-13486354.640000001</v>
      </c>
      <c r="CF367" s="163">
        <v>-10977932.640000001</v>
      </c>
      <c r="CG367" s="163">
        <v>-10183908.800000001</v>
      </c>
      <c r="CH367" s="163">
        <v>-6168093.7999999998</v>
      </c>
      <c r="CI367" s="163">
        <v>-2672343.9900000002</v>
      </c>
      <c r="CJ367" s="163">
        <v>-1887381.02</v>
      </c>
      <c r="CK367" s="163">
        <v>-5514359.0199999996</v>
      </c>
      <c r="CL367" s="163">
        <v>-2984172.36</v>
      </c>
      <c r="CM367" s="163">
        <v>-1677602.36</v>
      </c>
      <c r="CN367" s="163">
        <v>-5499469.3600000003</v>
      </c>
      <c r="CO367" s="163">
        <v>-5895484.3600000003</v>
      </c>
      <c r="CP367" s="163">
        <v>-5154967.3600000003</v>
      </c>
      <c r="CQ367" s="163">
        <v>-5465947.3600000003</v>
      </c>
      <c r="CR367" s="163">
        <v>-4455322.3600000003</v>
      </c>
      <c r="CS367" s="163">
        <v>-2979201.54</v>
      </c>
      <c r="CT367" s="163">
        <v>4737406.46</v>
      </c>
      <c r="CU367" s="163">
        <v>12530134.949999999</v>
      </c>
      <c r="CV367" s="163">
        <v>12048953.949999999</v>
      </c>
      <c r="CW367" s="163">
        <v>7487262.9500000002</v>
      </c>
      <c r="CX367" s="163">
        <v>2120776.94</v>
      </c>
      <c r="CY367" s="163">
        <v>2683951.5</v>
      </c>
      <c r="CZ367" s="163">
        <v>-1958647.8</v>
      </c>
      <c r="DA367" s="163">
        <v>-376233.8</v>
      </c>
      <c r="DB367" s="163">
        <v>-676002.8</v>
      </c>
      <c r="DC367" s="163">
        <v>-1437703.8</v>
      </c>
      <c r="DD367" s="163">
        <v>-5007899.25</v>
      </c>
      <c r="DE367" s="163">
        <v>-10208061.42</v>
      </c>
      <c r="DF367" s="163">
        <f>VLOOKUP($A367,'[3]BS ACC'!$A$258:$DH$1006,110,FALSE)</f>
        <v>-13346907.42</v>
      </c>
      <c r="DG367" s="163">
        <f>VLOOKUP($A367,'[3]BS ACC'!$A$258:$DH$1006,111,FALSE)</f>
        <v>-3400043.42</v>
      </c>
      <c r="DH367" s="163">
        <f>VLOOKUP($A367,'[3]BS ACC'!$A$258:$DH$1006,112,FALSE)</f>
        <v>2081892.58</v>
      </c>
    </row>
    <row r="368" spans="1:112">
      <c r="A368" s="415" t="s">
        <v>857</v>
      </c>
      <c r="D368" s="345">
        <v>-5575333.3300000001</v>
      </c>
      <c r="E368" s="345">
        <v>-5575333.3300000001</v>
      </c>
      <c r="F368" s="345">
        <v>-5575333.3300000001</v>
      </c>
      <c r="G368" s="345">
        <v>-5575333.3300000001</v>
      </c>
      <c r="H368" s="345">
        <v>-5575333.3300000001</v>
      </c>
      <c r="I368" s="345">
        <v>-5575333.3300000001</v>
      </c>
      <c r="J368" s="345">
        <v>-5575333.3300000001</v>
      </c>
      <c r="K368" s="345">
        <v>-5575333.3300000001</v>
      </c>
      <c r="L368" s="345">
        <v>-5575333.3300000001</v>
      </c>
      <c r="M368" s="345">
        <v>-5575333.3300000001</v>
      </c>
      <c r="N368" s="345">
        <v>-5575333.3300000001</v>
      </c>
      <c r="O368" s="345">
        <v>-5575333.3300000001</v>
      </c>
      <c r="P368" s="408">
        <v>-5575333.3300000001</v>
      </c>
      <c r="Q368" s="163">
        <v>-5575333.3300000001</v>
      </c>
      <c r="R368" s="163">
        <v>-5575333.3300000001</v>
      </c>
      <c r="S368" s="163">
        <v>-5575333.3300000001</v>
      </c>
      <c r="T368" s="163">
        <v>-5575333.3300000001</v>
      </c>
      <c r="U368" s="163">
        <v>-5575333.3300000001</v>
      </c>
      <c r="V368" s="163">
        <v>-5575333.3300000001</v>
      </c>
      <c r="W368" s="163">
        <v>-5575333.3300000001</v>
      </c>
      <c r="X368" s="163">
        <v>-5575333.3300000001</v>
      </c>
      <c r="Y368" s="163">
        <v>-5575333.3300000001</v>
      </c>
      <c r="Z368" s="163">
        <v>-5575333.3300000001</v>
      </c>
      <c r="AA368" s="163">
        <v>-5575333.3300000001</v>
      </c>
      <c r="AB368" s="409">
        <v>-5575333.3300000001</v>
      </c>
      <c r="AC368" s="409">
        <v>-5575333.3300000001</v>
      </c>
      <c r="AD368" s="409">
        <v>-5575333.3300000001</v>
      </c>
      <c r="AE368" s="409">
        <v>-5575333.3300000001</v>
      </c>
      <c r="AF368" s="409">
        <v>-5575333.3300000001</v>
      </c>
      <c r="AG368" s="409">
        <v>-5575333.3300000001</v>
      </c>
      <c r="AH368" s="409">
        <v>-5575333.3300000001</v>
      </c>
      <c r="AI368" s="409">
        <v>-5575333.3300000001</v>
      </c>
      <c r="AJ368" s="409">
        <v>-5575333.3300000001</v>
      </c>
      <c r="AK368" s="409">
        <v>-5575333.3300000001</v>
      </c>
      <c r="AL368" s="409">
        <v>-5575333.3300000001</v>
      </c>
      <c r="AM368" s="409">
        <v>-5575333.3300000001</v>
      </c>
      <c r="AN368" s="409">
        <v>-5575333.3300000001</v>
      </c>
      <c r="AO368" s="409">
        <v>-5575333.3300000001</v>
      </c>
      <c r="AP368" s="409">
        <v>-5575333.3300000001</v>
      </c>
      <c r="AQ368" s="409">
        <v>-5575333.3300000001</v>
      </c>
      <c r="AR368" s="409">
        <v>-5575333.3300000001</v>
      </c>
      <c r="AS368" s="409">
        <v>-5575333.3300000001</v>
      </c>
      <c r="AT368" s="409">
        <v>-5575333.3300000001</v>
      </c>
      <c r="AU368" s="409">
        <v>-5575333.3300000001</v>
      </c>
      <c r="AV368" s="409">
        <v>-5575333.3300000001</v>
      </c>
      <c r="AW368" s="409">
        <v>-5575333.3300000001</v>
      </c>
      <c r="AX368" s="409">
        <v>-5575333.3300000001</v>
      </c>
      <c r="AY368" s="409">
        <v>-5575333.3300000001</v>
      </c>
      <c r="AZ368" s="409">
        <v>-5575333.3300000001</v>
      </c>
      <c r="BA368" s="409">
        <v>-5575333.3300000001</v>
      </c>
      <c r="BB368" s="409">
        <v>-5575333.3300000001</v>
      </c>
      <c r="BC368" s="409">
        <v>-5575333.3300000001</v>
      </c>
      <c r="BD368" s="409">
        <v>-5575333.3300000001</v>
      </c>
      <c r="BE368" s="409">
        <v>-5575333.3300000001</v>
      </c>
      <c r="BF368" s="409">
        <v>-5575333.3300000001</v>
      </c>
      <c r="BG368" s="409">
        <v>-5575333.3300000001</v>
      </c>
      <c r="BH368" s="409">
        <v>-5575333.3300000001</v>
      </c>
      <c r="BI368" s="409">
        <v>-5575333.3300000001</v>
      </c>
      <c r="BJ368" s="409">
        <v>-5575333.3300000001</v>
      </c>
      <c r="BK368" s="409">
        <v>-5575333.3300000001</v>
      </c>
      <c r="BL368" s="409">
        <v>-5575333.3300000001</v>
      </c>
      <c r="BM368" s="409">
        <v>-5575333.3300000001</v>
      </c>
      <c r="BN368" s="409">
        <v>-5575333.3300000001</v>
      </c>
      <c r="BO368" s="409">
        <v>-5575333.3300000001</v>
      </c>
      <c r="BP368" s="409">
        <v>-5575333.3300000001</v>
      </c>
      <c r="BQ368" s="409">
        <v>-5575333.3300000001</v>
      </c>
      <c r="BR368" s="409">
        <v>-5575333.3300000001</v>
      </c>
      <c r="BS368" s="409">
        <v>-5575333.3300000001</v>
      </c>
      <c r="BT368" s="409">
        <v>-5575333.3300000001</v>
      </c>
      <c r="BU368" s="409">
        <v>-5575333.3300000001</v>
      </c>
      <c r="BV368" s="409">
        <v>-5575333.3300000001</v>
      </c>
      <c r="BW368" s="409">
        <v>-5575333.3300000001</v>
      </c>
      <c r="BX368" s="409">
        <v>-5575333.3300000001</v>
      </c>
      <c r="BY368" s="409">
        <v>-5575333.3300000001</v>
      </c>
      <c r="BZ368" s="409">
        <v>-5575333.3300000001</v>
      </c>
      <c r="CA368" s="409">
        <v>-5575333.3300000001</v>
      </c>
      <c r="CB368" s="409">
        <v>-5575333.3300000001</v>
      </c>
      <c r="CC368" s="409">
        <v>-5575333.3300000001</v>
      </c>
      <c r="CD368" s="409">
        <v>-5575333.3300000001</v>
      </c>
      <c r="CE368" s="409">
        <v>-5575333.3300000001</v>
      </c>
      <c r="CF368" s="409">
        <v>-5575333.3300000001</v>
      </c>
      <c r="CG368" s="409">
        <v>-5575333.3300000001</v>
      </c>
      <c r="CH368" s="409">
        <v>-5575333.3300000001</v>
      </c>
      <c r="CI368" s="409">
        <v>-5575333.3300000001</v>
      </c>
      <c r="CJ368" s="409">
        <v>-5575333.3300000001</v>
      </c>
      <c r="CK368" s="409">
        <v>-5575333.3300000001</v>
      </c>
      <c r="CL368" s="409">
        <v>-5575333.3300000001</v>
      </c>
      <c r="CM368" s="409">
        <v>-5575333.3300000001</v>
      </c>
      <c r="CN368" s="409">
        <v>-5575333.3300000001</v>
      </c>
      <c r="CO368" s="409">
        <v>-5575333.3300000001</v>
      </c>
      <c r="CP368" s="409">
        <v>-5575333.3300000001</v>
      </c>
      <c r="CQ368" s="409">
        <v>-5575333.3300000001</v>
      </c>
      <c r="CR368" s="409">
        <v>-5575333.3300000001</v>
      </c>
      <c r="CS368" s="409">
        <v>-5575333.3300000001</v>
      </c>
      <c r="CT368" s="409">
        <v>-5575333.3300000001</v>
      </c>
      <c r="CU368" s="409">
        <v>-5575333.3300000001</v>
      </c>
      <c r="CV368" s="409">
        <v>-5575333.3300000001</v>
      </c>
      <c r="CW368" s="409">
        <v>-5575333.3300000001</v>
      </c>
      <c r="CX368" s="409">
        <v>-5575333.3300000001</v>
      </c>
      <c r="CY368" s="409">
        <v>-5575333.3300000001</v>
      </c>
      <c r="CZ368" s="409">
        <v>-5575333.3300000001</v>
      </c>
      <c r="DA368" s="409">
        <v>-5575333.3300000001</v>
      </c>
      <c r="DB368" s="409">
        <v>-5575333.3300000001</v>
      </c>
      <c r="DC368" s="409">
        <v>-5575333.3300000001</v>
      </c>
      <c r="DD368" s="409">
        <v>-5575333.3300000001</v>
      </c>
      <c r="DE368" s="409">
        <v>-5575333.3300000001</v>
      </c>
      <c r="DF368" s="409">
        <f>VLOOKUP($A368,'[3]BS ACC'!$A$258:$DH$1006,110,FALSE)</f>
        <v>-5575333.3300000001</v>
      </c>
      <c r="DG368" s="409">
        <f>VLOOKUP($A368,'[3]BS ACC'!$A$258:$DH$1006,111,FALSE)</f>
        <v>-5575333.3300000001</v>
      </c>
      <c r="DH368" s="409">
        <f>VLOOKUP($A368,'[3]BS ACC'!$A$258:$DH$1006,112,FALSE)</f>
        <v>-5575333.3300000001</v>
      </c>
    </row>
    <row r="369" spans="1:112">
      <c r="A369" s="415" t="s">
        <v>858</v>
      </c>
      <c r="D369" s="345">
        <v>-179974835.86000001</v>
      </c>
      <c r="E369" s="345">
        <v>-179974835.86000001</v>
      </c>
      <c r="F369" s="345">
        <v>-186974835.86000001</v>
      </c>
      <c r="G369" s="345">
        <v>-186974835.86000001</v>
      </c>
      <c r="H369" s="345">
        <v>-186974835.86000001</v>
      </c>
      <c r="I369" s="345">
        <v>-196974835.86000001</v>
      </c>
      <c r="J369" s="345">
        <v>-196974835.86000001</v>
      </c>
      <c r="K369" s="345">
        <v>-196974835.86000001</v>
      </c>
      <c r="L369" s="345">
        <v>-199474835.86000001</v>
      </c>
      <c r="M369" s="345">
        <v>-199474835.86000001</v>
      </c>
      <c r="N369" s="345">
        <v>-199474835.86000001</v>
      </c>
      <c r="O369" s="345">
        <v>-204974835.86000001</v>
      </c>
      <c r="P369" s="408">
        <v>-204974835.86000001</v>
      </c>
      <c r="Q369" s="163">
        <v>-204974835.86000001</v>
      </c>
      <c r="R369" s="163">
        <v>-204974835.86000001</v>
      </c>
      <c r="S369" s="163">
        <v>-204974835.86000001</v>
      </c>
      <c r="T369" s="163">
        <v>-204974835.86000001</v>
      </c>
      <c r="U369" s="163">
        <v>-214974835.86000001</v>
      </c>
      <c r="V369" s="163">
        <v>-214974835.86000001</v>
      </c>
      <c r="W369" s="163">
        <v>-214974835.86000001</v>
      </c>
      <c r="X369" s="163">
        <v>-222974835.86000001</v>
      </c>
      <c r="Y369" s="163">
        <v>-222974835.86000001</v>
      </c>
      <c r="Z369" s="163">
        <v>-222974835.86000001</v>
      </c>
      <c r="AA369" s="163">
        <v>-229974835.86000001</v>
      </c>
      <c r="AB369" s="409">
        <v>-229974835.86000001</v>
      </c>
      <c r="AC369" s="409">
        <v>-229974835.86000001</v>
      </c>
      <c r="AD369" s="409">
        <v>-229974835.86000001</v>
      </c>
      <c r="AE369" s="409">
        <v>-229974835.86000001</v>
      </c>
      <c r="AF369" s="409">
        <v>-229974835.86000001</v>
      </c>
      <c r="AG369" s="409">
        <v>-229974835.86000001</v>
      </c>
      <c r="AH369" s="409">
        <v>-229974835.86000001</v>
      </c>
      <c r="AI369" s="409">
        <v>-229974835.86000001</v>
      </c>
      <c r="AJ369" s="409">
        <v>-229974835.86000001</v>
      </c>
      <c r="AK369" s="409">
        <v>-229974835.86000001</v>
      </c>
      <c r="AL369" s="409">
        <v>-229974835.86000001</v>
      </c>
      <c r="AM369" s="409">
        <v>-229974835.86000001</v>
      </c>
      <c r="AN369" s="409">
        <v>-229974835.86000001</v>
      </c>
      <c r="AO369" s="409">
        <v>-229974835.86000001</v>
      </c>
      <c r="AP369" s="409">
        <v>-236974835.86000001</v>
      </c>
      <c r="AQ369" s="409">
        <v>-236974835.86000001</v>
      </c>
      <c r="AR369" s="409">
        <v>-236974835.86000001</v>
      </c>
      <c r="AS369" s="409">
        <v>-252974835.86000001</v>
      </c>
      <c r="AT369" s="409">
        <v>-252974835.86000001</v>
      </c>
      <c r="AU369" s="409">
        <v>-252974835.86000001</v>
      </c>
      <c r="AV369" s="409">
        <v>-262974835.86000001</v>
      </c>
      <c r="AW369" s="409">
        <v>-262974835.86000001</v>
      </c>
      <c r="AX369" s="409">
        <v>-262974835.86000001</v>
      </c>
      <c r="AY369" s="409">
        <v>-269974835.86000001</v>
      </c>
      <c r="AZ369" s="409">
        <v>-269974835.86000001</v>
      </c>
      <c r="BA369" s="409">
        <v>-269974835.86000001</v>
      </c>
      <c r="BB369" s="409">
        <v>-279974835.86000001</v>
      </c>
      <c r="BC369" s="409">
        <v>-279974835.86000001</v>
      </c>
      <c r="BD369" s="409">
        <v>-279974835.86000001</v>
      </c>
      <c r="BE369" s="409">
        <v>-294974835.86000001</v>
      </c>
      <c r="BF369" s="409">
        <v>-294974835.86000001</v>
      </c>
      <c r="BG369" s="409">
        <v>-294974835.86000001</v>
      </c>
      <c r="BH369" s="409">
        <v>-304974835.86000001</v>
      </c>
      <c r="BI369" s="409">
        <v>-304974835.86000001</v>
      </c>
      <c r="BJ369" s="409">
        <v>-304974835.86000001</v>
      </c>
      <c r="BK369" s="409">
        <v>-314974835.86000001</v>
      </c>
      <c r="BL369" s="409">
        <v>-314974835.86000001</v>
      </c>
      <c r="BM369" s="409">
        <v>-314974835.86000001</v>
      </c>
      <c r="BN369" s="409">
        <v>-349974835.86000001</v>
      </c>
      <c r="BO369" s="409">
        <v>-349974835.86000001</v>
      </c>
      <c r="BP369" s="409">
        <v>-349974835.86000001</v>
      </c>
      <c r="BQ369" s="409">
        <v>-384974835.86000001</v>
      </c>
      <c r="BR369" s="409">
        <v>-384974835.86000001</v>
      </c>
      <c r="BS369" s="409">
        <v>-384974835.86000001</v>
      </c>
      <c r="BT369" s="409">
        <v>-384974835.86000001</v>
      </c>
      <c r="BU369" s="409">
        <v>-409974835.86000001</v>
      </c>
      <c r="BV369" s="409">
        <v>-409974835.86000001</v>
      </c>
      <c r="BW369" s="409">
        <v>-409974835.86000001</v>
      </c>
      <c r="BX369" s="409">
        <v>-409974835.86000001</v>
      </c>
      <c r="BY369" s="409">
        <v>-409974835.86000001</v>
      </c>
      <c r="BZ369" s="409">
        <v>-449974835.86000001</v>
      </c>
      <c r="CA369" s="409">
        <v>-449974835.86000001</v>
      </c>
      <c r="CB369" s="409">
        <v>-449974835.86000001</v>
      </c>
      <c r="CC369" s="409">
        <v>-479974835.86000001</v>
      </c>
      <c r="CD369" s="409">
        <v>-479974835.86000001</v>
      </c>
      <c r="CE369" s="409">
        <v>-479974835.86000001</v>
      </c>
      <c r="CF369" s="409">
        <v>-524974835.86000001</v>
      </c>
      <c r="CG369" s="409">
        <v>-524974835.86000001</v>
      </c>
      <c r="CH369" s="409">
        <v>-524974835.86000001</v>
      </c>
      <c r="CI369" s="409">
        <v>-539974835.86000001</v>
      </c>
      <c r="CJ369" s="409">
        <v>-539974835.86000001</v>
      </c>
      <c r="CK369" s="409">
        <v>-539974835.86000001</v>
      </c>
      <c r="CL369" s="409">
        <v>-579974835.86000001</v>
      </c>
      <c r="CM369" s="409">
        <v>-579974835.86000001</v>
      </c>
      <c r="CN369" s="409">
        <v>-579974835.86000001</v>
      </c>
      <c r="CO369" s="409">
        <v>-599974835.86000001</v>
      </c>
      <c r="CP369" s="409">
        <v>-599974835.86000001</v>
      </c>
      <c r="CQ369" s="409">
        <v>-599974835.86000001</v>
      </c>
      <c r="CR369" s="409">
        <v>-634974835.86000001</v>
      </c>
      <c r="CS369" s="409">
        <v>-634974835.86000001</v>
      </c>
      <c r="CT369" s="409">
        <v>-634974835.86000001</v>
      </c>
      <c r="CU369" s="409">
        <v>-659974835.86000001</v>
      </c>
      <c r="CV369" s="409">
        <v>-659974835.86000001</v>
      </c>
      <c r="CW369" s="409">
        <v>-659974835.86000001</v>
      </c>
      <c r="CX369" s="409">
        <v>-734974835.86000001</v>
      </c>
      <c r="CY369" s="409">
        <v>-734974835.86000001</v>
      </c>
      <c r="CZ369" s="409">
        <v>-734974835.86000001</v>
      </c>
      <c r="DA369" s="409">
        <v>-764974835.86000001</v>
      </c>
      <c r="DB369" s="409">
        <v>-764974835.86000001</v>
      </c>
      <c r="DC369" s="409">
        <v>-764974835.86000001</v>
      </c>
      <c r="DD369" s="409">
        <v>-804974835.86000001</v>
      </c>
      <c r="DE369" s="409">
        <v>-804974835.86000001</v>
      </c>
      <c r="DF369" s="409">
        <f>VLOOKUP($A369,'[3]BS ACC'!$A$258:$DH$1006,110,FALSE)</f>
        <v>-804974835.86000001</v>
      </c>
      <c r="DG369" s="409">
        <f>VLOOKUP($A369,'[3]BS ACC'!$A$258:$DH$1006,111,FALSE)</f>
        <v>-829974835.86000001</v>
      </c>
      <c r="DH369" s="409">
        <f>VLOOKUP($A369,'[3]BS ACC'!$A$258:$DH$1006,112,FALSE)</f>
        <v>-864974835.86000001</v>
      </c>
    </row>
    <row r="370" spans="1:112">
      <c r="A370" s="415" t="s">
        <v>859</v>
      </c>
      <c r="D370" s="345">
        <v>-113841661.34999999</v>
      </c>
      <c r="E370" s="345">
        <v>-111660571.31</v>
      </c>
      <c r="F370" s="345">
        <v>-116163198.14999999</v>
      </c>
      <c r="G370" s="345">
        <v>-121045081.70999999</v>
      </c>
      <c r="H370" s="345">
        <v>-112372273.53999999</v>
      </c>
      <c r="I370" s="345">
        <v>-114186487.94</v>
      </c>
      <c r="J370" s="345">
        <v>-116665030.02</v>
      </c>
      <c r="K370" s="345">
        <v>-108377669.84</v>
      </c>
      <c r="L370" s="345">
        <v>-110088730.94000001</v>
      </c>
      <c r="M370" s="345">
        <v>-111423397.67999999</v>
      </c>
      <c r="N370" s="345">
        <v>-107968848.84</v>
      </c>
      <c r="O370" s="345">
        <v>-110793956.44</v>
      </c>
      <c r="P370" s="408">
        <v>-114523842.91999999</v>
      </c>
      <c r="Q370" s="163">
        <v>-120069519.97</v>
      </c>
      <c r="R370" s="163">
        <v>-118450787.73999999</v>
      </c>
      <c r="S370" s="163">
        <v>-122572270.42999999</v>
      </c>
      <c r="T370" s="163">
        <v>-110707125.28999999</v>
      </c>
      <c r="U370" s="163">
        <v>-113050943.02</v>
      </c>
      <c r="V370" s="163">
        <v>-115846763.8</v>
      </c>
      <c r="W370" s="163">
        <v>-108844000.88</v>
      </c>
      <c r="X370" s="163">
        <v>-111355677.53</v>
      </c>
      <c r="Y370" s="163">
        <v>-113216124.94</v>
      </c>
      <c r="Z370" s="163">
        <v>-115381134.81999999</v>
      </c>
      <c r="AA370" s="163">
        <v>-110047092.87</v>
      </c>
      <c r="AB370" s="409">
        <v>-112996126.16</v>
      </c>
      <c r="AC370" s="409">
        <v>-118293506.45</v>
      </c>
      <c r="AD370" s="409">
        <v>-117913111.88</v>
      </c>
      <c r="AE370" s="409">
        <v>-120286277.34999999</v>
      </c>
      <c r="AF370" s="409">
        <v>-123232291.81</v>
      </c>
      <c r="AG370" s="409">
        <v>-112306851.91000001</v>
      </c>
      <c r="AH370" s="409">
        <v>-105536923.00999999</v>
      </c>
      <c r="AI370" s="409">
        <v>-108153020.66</v>
      </c>
      <c r="AJ370" s="409">
        <v>-110172896.44</v>
      </c>
      <c r="AK370" s="409">
        <v>-112131872.52</v>
      </c>
      <c r="AL370" s="409">
        <v>-115075853.38</v>
      </c>
      <c r="AM370" s="409">
        <v>-112221907</v>
      </c>
      <c r="AN370" s="409">
        <v>-114275156.05</v>
      </c>
      <c r="AO370" s="409">
        <v>-119639984.92999999</v>
      </c>
      <c r="AP370" s="409">
        <v>-115503883.44</v>
      </c>
      <c r="AQ370" s="409">
        <v>-120040674.87</v>
      </c>
      <c r="AR370" s="409">
        <v>-123871642.90000001</v>
      </c>
      <c r="AS370" s="409">
        <v>-116300726.61</v>
      </c>
      <c r="AT370" s="409">
        <v>-118382345.68000001</v>
      </c>
      <c r="AU370" s="409">
        <v>-121141229.44</v>
      </c>
      <c r="AV370" s="409">
        <v>-111552004.88</v>
      </c>
      <c r="AW370" s="409">
        <v>-114259923.31</v>
      </c>
      <c r="AX370" s="409">
        <v>-116890073.22</v>
      </c>
      <c r="AY370" s="409">
        <v>-112995993.04000001</v>
      </c>
      <c r="AZ370" s="409">
        <v>-118580112.11</v>
      </c>
      <c r="BA370" s="409">
        <v>-127882218.40000001</v>
      </c>
      <c r="BB370" s="409">
        <v>-118020169.08999999</v>
      </c>
      <c r="BC370" s="409">
        <v>-119670737.80999999</v>
      </c>
      <c r="BD370" s="409">
        <v>-124975639.45</v>
      </c>
      <c r="BE370" s="409">
        <v>-112207660.15000001</v>
      </c>
      <c r="BF370" s="409">
        <v>-115304035.14999999</v>
      </c>
      <c r="BG370" s="409">
        <v>-118409305.34999999</v>
      </c>
      <c r="BH370" s="409">
        <v>-109851967.98999999</v>
      </c>
      <c r="BI370" s="409">
        <v>-113549918.5</v>
      </c>
      <c r="BJ370" s="409">
        <v>-116353191.73</v>
      </c>
      <c r="BK370" s="409">
        <v>-110539731.06</v>
      </c>
      <c r="BL370" s="409">
        <v>-116033086.81999999</v>
      </c>
      <c r="BM370" s="409">
        <v>-122651032.70999999</v>
      </c>
      <c r="BN370" s="409">
        <v>-116699202.21000001</v>
      </c>
      <c r="BO370" s="409">
        <v>-122195252.52</v>
      </c>
      <c r="BP370" s="409">
        <v>-127422182.71000001</v>
      </c>
      <c r="BQ370" s="409">
        <v>-114024685.78</v>
      </c>
      <c r="BR370" s="409">
        <v>-117789859.14999999</v>
      </c>
      <c r="BS370" s="409">
        <v>-120848674.53</v>
      </c>
      <c r="BT370" s="409">
        <v>-111115293.69000001</v>
      </c>
      <c r="BU370" s="409">
        <v>-114799153.32000001</v>
      </c>
      <c r="BV370" s="409">
        <v>-118224762.41000001</v>
      </c>
      <c r="BW370" s="409">
        <v>-112041843.11999999</v>
      </c>
      <c r="BX370" s="409">
        <v>-116103246.80999999</v>
      </c>
      <c r="BY370" s="409">
        <v>-123778864.42999999</v>
      </c>
      <c r="BZ370" s="409">
        <v>-117830680.34999999</v>
      </c>
      <c r="CA370" s="409">
        <v>-122675463.53</v>
      </c>
      <c r="CB370" s="409">
        <v>-126386191.80999999</v>
      </c>
      <c r="CC370" s="409">
        <v>-111533670.65000001</v>
      </c>
      <c r="CD370" s="409">
        <v>-114743463.79000001</v>
      </c>
      <c r="CE370" s="409">
        <v>-117839597.21000001</v>
      </c>
      <c r="CF370" s="409">
        <v>-111068552.06</v>
      </c>
      <c r="CG370" s="409">
        <v>-114483909.70999999</v>
      </c>
      <c r="CH370" s="409">
        <v>-117430787.00999999</v>
      </c>
      <c r="CI370" s="409">
        <v>-112251370.08999999</v>
      </c>
      <c r="CJ370" s="409">
        <v>-116870935.06999999</v>
      </c>
      <c r="CK370" s="409">
        <v>-128266422.39999999</v>
      </c>
      <c r="CL370" s="409">
        <v>-123619721.5</v>
      </c>
      <c r="CM370" s="409">
        <v>-131310521.97</v>
      </c>
      <c r="CN370" s="409">
        <v>-111908329.08</v>
      </c>
      <c r="CO370" s="409">
        <v>-117431751.22000001</v>
      </c>
      <c r="CP370" s="409">
        <v>-122874369.40000001</v>
      </c>
      <c r="CQ370" s="409">
        <v>-127308971.86</v>
      </c>
      <c r="CR370" s="409">
        <v>-113416725.28999999</v>
      </c>
      <c r="CS370" s="409">
        <v>-118972653.16</v>
      </c>
      <c r="CT370" s="409">
        <v>-124078340.31</v>
      </c>
      <c r="CU370" s="409">
        <v>-115121169.08</v>
      </c>
      <c r="CV370" s="409">
        <v>-120983768.86999999</v>
      </c>
      <c r="CW370" s="409">
        <v>-130771706.33</v>
      </c>
      <c r="CX370" s="409">
        <v>-122850966.69</v>
      </c>
      <c r="CY370" s="409">
        <v>-133757598.56</v>
      </c>
      <c r="CZ370" s="409">
        <v>-110923735.89</v>
      </c>
      <c r="DA370" s="409">
        <v>-117179080.2</v>
      </c>
      <c r="DB370" s="409">
        <v>-123837640.03</v>
      </c>
      <c r="DC370" s="409">
        <v>-128232838.38</v>
      </c>
      <c r="DD370" s="409">
        <v>-113171953.88</v>
      </c>
      <c r="DE370" s="409">
        <v>-120441962.30999999</v>
      </c>
      <c r="DF370" s="409">
        <f>VLOOKUP($A370,'[3]BS ACC'!$A$258:$DH$1006,110,FALSE)</f>
        <v>-109018661.83</v>
      </c>
      <c r="DG370" s="409">
        <f>VLOOKUP($A370,'[3]BS ACC'!$A$258:$DH$1006,111,FALSE)</f>
        <v>-114951680.89</v>
      </c>
      <c r="DH370" s="409">
        <f>VLOOKUP($A370,'[3]BS ACC'!$A$258:$DH$1006,112,FALSE)</f>
        <v>-121058800.81999999</v>
      </c>
    </row>
    <row r="371" spans="1:112">
      <c r="A371" t="s">
        <v>860</v>
      </c>
      <c r="D371" s="345">
        <v>1829349.5</v>
      </c>
      <c r="E371" s="345">
        <v>1806940.46</v>
      </c>
      <c r="F371" s="345">
        <v>1784531.42</v>
      </c>
      <c r="G371" s="345">
        <v>1762122.39</v>
      </c>
      <c r="H371" s="345">
        <v>1739168.69</v>
      </c>
      <c r="I371" s="345">
        <v>1723656.39</v>
      </c>
      <c r="J371" s="345">
        <v>1701229.69</v>
      </c>
      <c r="K371" s="345">
        <v>1678802.98</v>
      </c>
      <c r="L371" s="345">
        <v>1656376.27</v>
      </c>
      <c r="M371" s="345">
        <v>1633949.56</v>
      </c>
      <c r="N371" s="345">
        <v>1611522.85</v>
      </c>
      <c r="O371" s="345">
        <v>1589096.15</v>
      </c>
      <c r="P371" s="345">
        <v>1566669.44</v>
      </c>
      <c r="Q371" s="163">
        <v>1544242.72</v>
      </c>
      <c r="R371" s="163">
        <v>1521816.01</v>
      </c>
      <c r="S371" s="163">
        <v>1493100.1</v>
      </c>
      <c r="T371" s="163">
        <v>1361613.87</v>
      </c>
      <c r="U371" s="163">
        <v>1168927.3799999999</v>
      </c>
      <c r="V371" s="163">
        <v>1219531.99</v>
      </c>
      <c r="W371" s="163">
        <v>1197697.42</v>
      </c>
      <c r="X371" s="163">
        <v>1175862.8500000001</v>
      </c>
      <c r="Y371" s="163">
        <v>1154028.28</v>
      </c>
      <c r="Z371" s="163">
        <v>1132193.71</v>
      </c>
      <c r="AA371" s="163">
        <v>1110359.1299999999</v>
      </c>
      <c r="AB371" s="163">
        <v>1088524.56</v>
      </c>
      <c r="AC371" s="163">
        <v>1066689.98</v>
      </c>
      <c r="AD371" s="163">
        <v>1044855.42</v>
      </c>
      <c r="AE371" s="163">
        <v>1023020.84</v>
      </c>
      <c r="AF371" s="163">
        <v>1001186.26</v>
      </c>
      <c r="AG371" s="163">
        <v>979351.69</v>
      </c>
      <c r="AH371" s="163">
        <v>957517.11</v>
      </c>
      <c r="AI371" s="163">
        <v>935682.55</v>
      </c>
      <c r="AJ371" s="163">
        <v>913847.97</v>
      </c>
      <c r="AK371" s="163">
        <v>892013.4</v>
      </c>
      <c r="AL371" s="163">
        <v>870178.82</v>
      </c>
      <c r="AM371" s="163">
        <v>848344.25</v>
      </c>
      <c r="AN371" s="163">
        <v>826509.69</v>
      </c>
      <c r="AO371" s="163">
        <v>804675.11</v>
      </c>
      <c r="AP371" s="163">
        <v>782840.54</v>
      </c>
      <c r="AQ371" s="163">
        <v>761005.96</v>
      </c>
      <c r="AR371" s="163">
        <v>739171.39</v>
      </c>
      <c r="AS371" s="163">
        <v>717336.82</v>
      </c>
      <c r="AT371" s="163">
        <v>695502.25</v>
      </c>
      <c r="AU371" s="163">
        <v>673667.67</v>
      </c>
      <c r="AV371" s="163">
        <v>651833.1</v>
      </c>
      <c r="AW371" s="163">
        <v>629998.53</v>
      </c>
      <c r="AX371" s="163">
        <v>608163.96</v>
      </c>
      <c r="AY371" s="163">
        <v>586329.39</v>
      </c>
      <c r="AZ371" s="163">
        <v>508060.84</v>
      </c>
      <c r="BA371" s="163">
        <v>481523.44</v>
      </c>
      <c r="BB371" s="163">
        <v>454986.03</v>
      </c>
      <c r="BC371" s="163">
        <v>428448.63</v>
      </c>
      <c r="BD371" s="163">
        <v>401911.22</v>
      </c>
      <c r="BE371" s="163">
        <v>387616.51</v>
      </c>
      <c r="BF371" s="163">
        <v>385564.29</v>
      </c>
      <c r="BG371" s="163">
        <v>383512.08</v>
      </c>
      <c r="BH371" s="163">
        <v>381459.84</v>
      </c>
      <c r="BI371" s="163">
        <v>379407.62</v>
      </c>
      <c r="BJ371" s="163">
        <v>377355.4</v>
      </c>
      <c r="BK371" s="163">
        <v>375303.18</v>
      </c>
      <c r="BL371" s="163">
        <v>373250.95</v>
      </c>
      <c r="BM371" s="163">
        <v>371198.73</v>
      </c>
      <c r="BN371" s="163">
        <v>369146.5</v>
      </c>
      <c r="BO371" s="163">
        <v>367094.29</v>
      </c>
      <c r="BP371" s="163">
        <v>365042.07</v>
      </c>
      <c r="BQ371" s="163">
        <v>362989.85</v>
      </c>
      <c r="BR371" s="163">
        <v>360937.62</v>
      </c>
      <c r="BS371" s="163">
        <v>358885.4</v>
      </c>
      <c r="BT371" s="163">
        <v>356833.18</v>
      </c>
      <c r="BU371" s="163">
        <v>354780.97</v>
      </c>
      <c r="BV371" s="163">
        <v>352728.74</v>
      </c>
      <c r="BW371" s="163">
        <v>350676.52</v>
      </c>
      <c r="BX371" s="163">
        <v>348624.3</v>
      </c>
      <c r="BY371" s="163">
        <v>346572.08</v>
      </c>
      <c r="BZ371" s="163">
        <v>344519.85</v>
      </c>
      <c r="CA371" s="163">
        <v>342467.64</v>
      </c>
      <c r="CB371" s="163">
        <v>340415.42</v>
      </c>
      <c r="CC371" s="163">
        <v>338363.2</v>
      </c>
      <c r="CD371" s="163">
        <v>336310.97</v>
      </c>
      <c r="CE371" s="163">
        <v>334258.75</v>
      </c>
      <c r="CF371" s="163">
        <v>332206.53000000003</v>
      </c>
      <c r="CG371" s="163">
        <v>330154.32</v>
      </c>
      <c r="CH371" s="163">
        <v>328102.09000000003</v>
      </c>
      <c r="CI371" s="163">
        <v>326049.87</v>
      </c>
      <c r="CJ371" s="163">
        <v>323997.65000000002</v>
      </c>
      <c r="CK371" s="163">
        <v>321945.43</v>
      </c>
      <c r="CL371" s="163">
        <v>319893.2</v>
      </c>
      <c r="CM371" s="163">
        <v>317840.99</v>
      </c>
      <c r="CN371" s="163">
        <v>315775.98</v>
      </c>
      <c r="CO371" s="163">
        <v>313723.76</v>
      </c>
      <c r="CP371" s="163">
        <v>311671.53000000003</v>
      </c>
      <c r="CQ371" s="163">
        <v>309619.31</v>
      </c>
      <c r="CR371" s="163">
        <v>307567.09000000003</v>
      </c>
      <c r="CS371" s="163">
        <v>305514.88</v>
      </c>
      <c r="CT371" s="163">
        <v>303462.65000000002</v>
      </c>
      <c r="CU371" s="163">
        <v>301410.43</v>
      </c>
      <c r="CV371" s="163">
        <v>299358.21000000002</v>
      </c>
      <c r="CW371" s="163">
        <v>297305.99</v>
      </c>
      <c r="CX371" s="163">
        <v>295253.76000000001</v>
      </c>
      <c r="CY371" s="163">
        <v>293201.55</v>
      </c>
      <c r="CZ371" s="163">
        <v>291149.33</v>
      </c>
      <c r="DA371" s="163">
        <v>289097.11</v>
      </c>
      <c r="DB371" s="163">
        <v>287044.88</v>
      </c>
      <c r="DC371" s="163">
        <v>284992.65999999997</v>
      </c>
      <c r="DD371" s="163">
        <v>282940.44</v>
      </c>
      <c r="DE371" s="163">
        <v>280888.23</v>
      </c>
      <c r="DF371" s="163">
        <f>VLOOKUP($A371,'[3]BS ACC'!$A$258:$DH$1006,110,FALSE)</f>
        <v>278836</v>
      </c>
      <c r="DG371" s="163">
        <f>VLOOKUP($A371,'[3]BS ACC'!$A$258:$DH$1006,111,FALSE)</f>
        <v>276783.78000000003</v>
      </c>
      <c r="DH371" s="163">
        <f>VLOOKUP($A371,'[3]BS ACC'!$A$258:$DH$1006,112,FALSE)</f>
        <v>274731.56</v>
      </c>
    </row>
    <row r="372" spans="1:112">
      <c r="A372" s="414" t="s">
        <v>861</v>
      </c>
      <c r="D372" s="345">
        <v>-231764680</v>
      </c>
      <c r="E372" s="345">
        <v>-231764680</v>
      </c>
      <c r="F372" s="345">
        <v>-231764680</v>
      </c>
      <c r="G372" s="345">
        <v>-231764680</v>
      </c>
      <c r="H372" s="345">
        <v>-231764680</v>
      </c>
      <c r="I372" s="345">
        <v>-241764680</v>
      </c>
      <c r="J372" s="345">
        <v>-241764680</v>
      </c>
      <c r="K372" s="345">
        <v>-241764680</v>
      </c>
      <c r="L372" s="345">
        <v>-241764680</v>
      </c>
      <c r="M372" s="345">
        <v>-241764680</v>
      </c>
      <c r="N372" s="345">
        <v>-241764680</v>
      </c>
      <c r="O372" s="345">
        <v>-241764680</v>
      </c>
      <c r="P372" s="411">
        <v>-241764680</v>
      </c>
      <c r="Q372" s="163">
        <v>-241764680</v>
      </c>
      <c r="R372" s="163">
        <v>-241764680</v>
      </c>
      <c r="S372" s="163">
        <v>-241764680</v>
      </c>
      <c r="T372" s="163">
        <v>-241764680</v>
      </c>
      <c r="U372" s="163">
        <v>-261764680</v>
      </c>
      <c r="V372" s="163">
        <v>-261764680</v>
      </c>
      <c r="W372" s="163">
        <v>-261764680</v>
      </c>
      <c r="X372" s="163">
        <v>-261764680</v>
      </c>
      <c r="Y372" s="163">
        <v>-261764680</v>
      </c>
      <c r="Z372" s="163">
        <v>-261764680</v>
      </c>
      <c r="AA372" s="163">
        <v>-261764680</v>
      </c>
      <c r="AB372" s="413">
        <v>-261764680</v>
      </c>
      <c r="AC372" s="413">
        <v>-261764680</v>
      </c>
      <c r="AD372" s="413">
        <v>-261764680</v>
      </c>
      <c r="AE372" s="413">
        <v>-261764680</v>
      </c>
      <c r="AF372" s="413">
        <v>-261764680</v>
      </c>
      <c r="AG372" s="413">
        <v>-261764680</v>
      </c>
      <c r="AH372" s="413">
        <v>-261764680</v>
      </c>
      <c r="AI372" s="413">
        <v>-261764680</v>
      </c>
      <c r="AJ372" s="413">
        <v>-261764680</v>
      </c>
      <c r="AK372" s="413">
        <v>-261764680</v>
      </c>
      <c r="AL372" s="413">
        <v>-261764680</v>
      </c>
      <c r="AM372" s="413">
        <v>-261764680</v>
      </c>
      <c r="AN372" s="413">
        <v>-261764680</v>
      </c>
      <c r="AO372" s="413">
        <v>-261764680</v>
      </c>
      <c r="AP372" s="413">
        <v>-261764680</v>
      </c>
      <c r="AQ372" s="413">
        <v>-261764680</v>
      </c>
      <c r="AR372" s="413">
        <v>-261764680</v>
      </c>
      <c r="AS372" s="413">
        <v>-261764680</v>
      </c>
      <c r="AT372" s="413">
        <v>-261764680</v>
      </c>
      <c r="AU372" s="413">
        <v>-261764680</v>
      </c>
      <c r="AV372" s="413">
        <v>-261764680</v>
      </c>
      <c r="AW372" s="413">
        <v>-261764680</v>
      </c>
      <c r="AX372" s="413">
        <v>-261764680</v>
      </c>
      <c r="AY372" s="413">
        <v>-261764680</v>
      </c>
      <c r="AZ372" s="413">
        <v>-261764680</v>
      </c>
      <c r="BA372" s="413">
        <v>-261764680</v>
      </c>
      <c r="BB372" s="413">
        <v>-261764680</v>
      </c>
      <c r="BC372" s="413">
        <v>-261764680</v>
      </c>
      <c r="BD372" s="413">
        <v>-261764680</v>
      </c>
      <c r="BE372" s="413">
        <v>-211764680</v>
      </c>
      <c r="BF372" s="413">
        <v>-286764680</v>
      </c>
      <c r="BG372" s="413">
        <v>-286764680</v>
      </c>
      <c r="BH372" s="413">
        <v>-286764680</v>
      </c>
      <c r="BI372" s="413">
        <v>-286764680</v>
      </c>
      <c r="BJ372" s="413">
        <v>-311764680</v>
      </c>
      <c r="BK372" s="413">
        <v>-311764680</v>
      </c>
      <c r="BL372" s="413">
        <v>-311764680</v>
      </c>
      <c r="BM372" s="413">
        <v>-311764680</v>
      </c>
      <c r="BN372" s="413">
        <v>-311764680</v>
      </c>
      <c r="BO372" s="413">
        <v>-311764680</v>
      </c>
      <c r="BP372" s="413">
        <v>-311764680</v>
      </c>
      <c r="BQ372" s="413">
        <v>-311764680</v>
      </c>
      <c r="BR372" s="413">
        <v>-311764680</v>
      </c>
      <c r="BS372" s="413">
        <v>-336764680</v>
      </c>
      <c r="BT372" s="413">
        <v>-336764680</v>
      </c>
      <c r="BU372" s="413">
        <v>-336764680</v>
      </c>
      <c r="BV372" s="413">
        <v>-336764680</v>
      </c>
      <c r="BW372" s="413">
        <v>-336764680</v>
      </c>
      <c r="BX372" s="413">
        <v>-336764680</v>
      </c>
      <c r="BY372" s="413">
        <v>-336764680</v>
      </c>
      <c r="BZ372" s="413">
        <v>-336764680</v>
      </c>
      <c r="CA372" s="413">
        <v>-336764680</v>
      </c>
      <c r="CB372" s="413">
        <v>-336764680</v>
      </c>
      <c r="CC372" s="413">
        <v>-336764680</v>
      </c>
      <c r="CD372" s="413">
        <v>-336764680</v>
      </c>
      <c r="CE372" s="413">
        <v>-336764680</v>
      </c>
      <c r="CF372" s="413">
        <v>-336764680</v>
      </c>
      <c r="CG372" s="413">
        <v>-336764680</v>
      </c>
      <c r="CH372" s="413">
        <v>-336764680</v>
      </c>
      <c r="CI372" s="413">
        <v>-336764680</v>
      </c>
      <c r="CJ372" s="413">
        <v>-336764680</v>
      </c>
      <c r="CK372" s="413">
        <v>-336764680</v>
      </c>
      <c r="CL372" s="413">
        <v>-336764680</v>
      </c>
      <c r="CM372" s="413">
        <v>-566764680</v>
      </c>
      <c r="CN372" s="413">
        <v>-566764680</v>
      </c>
      <c r="CO372" s="413">
        <v>-520000000</v>
      </c>
      <c r="CP372" s="413">
        <v>-520000000</v>
      </c>
      <c r="CQ372" s="413">
        <v>-520000000</v>
      </c>
      <c r="CR372" s="413">
        <v>-520000000</v>
      </c>
      <c r="CS372" s="413">
        <v>-520000000</v>
      </c>
      <c r="CT372" s="413">
        <v>-520000000</v>
      </c>
      <c r="CU372" s="413">
        <v>-520000000</v>
      </c>
      <c r="CV372" s="413">
        <v>-520000000</v>
      </c>
      <c r="CW372" s="413">
        <v>-520000000</v>
      </c>
      <c r="CX372" s="413">
        <v>-520000000</v>
      </c>
      <c r="CY372" s="413">
        <v>-520000000</v>
      </c>
      <c r="CZ372" s="413">
        <v>-520000000</v>
      </c>
      <c r="DA372" s="413">
        <v>-520000000</v>
      </c>
      <c r="DB372" s="413">
        <v>-520000000</v>
      </c>
      <c r="DC372" s="413">
        <v>-595000000</v>
      </c>
      <c r="DD372" s="413">
        <v>-595000000</v>
      </c>
      <c r="DE372" s="413">
        <v>-570000000</v>
      </c>
      <c r="DF372" s="413">
        <f>VLOOKUP($A372,'[3]BS ACC'!$A$258:$DH$1006,110,FALSE)</f>
        <v>-570000000</v>
      </c>
      <c r="DG372" s="413">
        <f>VLOOKUP($A372,'[3]BS ACC'!$A$258:$DH$1006,111,FALSE)</f>
        <v>-570000000</v>
      </c>
      <c r="DH372" s="413">
        <f>VLOOKUP($A372,'[3]BS ACC'!$A$258:$DH$1006,112,FALSE)</f>
        <v>-570000000</v>
      </c>
    </row>
    <row r="373" spans="1:112">
      <c r="A373" s="414" t="s">
        <v>862</v>
      </c>
      <c r="D373" s="345">
        <v>422760.18</v>
      </c>
      <c r="E373" s="345">
        <v>421177.68</v>
      </c>
      <c r="F373" s="345">
        <v>419595.18</v>
      </c>
      <c r="G373" s="345">
        <v>418012.68</v>
      </c>
      <c r="H373" s="345">
        <v>416430.18</v>
      </c>
      <c r="I373" s="345">
        <v>421547.68</v>
      </c>
      <c r="J373" s="345">
        <v>419937.26</v>
      </c>
      <c r="K373" s="345">
        <v>418336.15</v>
      </c>
      <c r="L373" s="345">
        <v>416735.04</v>
      </c>
      <c r="M373" s="345">
        <v>415133.93</v>
      </c>
      <c r="N373" s="345">
        <v>413532.82</v>
      </c>
      <c r="O373" s="345">
        <v>411931.71</v>
      </c>
      <c r="P373" s="411">
        <v>410330.6</v>
      </c>
      <c r="Q373" s="163">
        <v>408729.49</v>
      </c>
      <c r="R373" s="163">
        <v>407128.38</v>
      </c>
      <c r="S373" s="163">
        <v>405527.27</v>
      </c>
      <c r="T373" s="163">
        <v>403926.16</v>
      </c>
      <c r="U373" s="163">
        <v>439525.05</v>
      </c>
      <c r="V373" s="163">
        <v>437819.41</v>
      </c>
      <c r="W373" s="163">
        <v>436114.97</v>
      </c>
      <c r="X373" s="163">
        <v>434410.53</v>
      </c>
      <c r="Y373" s="163">
        <v>432706.09</v>
      </c>
      <c r="Z373" s="163">
        <v>431001.65</v>
      </c>
      <c r="AA373" s="163">
        <v>429297.21</v>
      </c>
      <c r="AB373" s="413">
        <v>427592.77</v>
      </c>
      <c r="AC373" s="413">
        <v>425888.33</v>
      </c>
      <c r="AD373" s="413">
        <v>424183.89</v>
      </c>
      <c r="AE373" s="413">
        <v>422479.45</v>
      </c>
      <c r="AF373" s="413">
        <v>420775.01</v>
      </c>
      <c r="AG373" s="413">
        <v>419070.57</v>
      </c>
      <c r="AH373" s="413">
        <v>417366.13</v>
      </c>
      <c r="AI373" s="413">
        <v>415661.69</v>
      </c>
      <c r="AJ373" s="413">
        <v>413957.25</v>
      </c>
      <c r="AK373" s="413">
        <v>412252.81</v>
      </c>
      <c r="AL373" s="413">
        <v>410548.37</v>
      </c>
      <c r="AM373" s="413">
        <v>408843.93</v>
      </c>
      <c r="AN373" s="413">
        <v>407139.49</v>
      </c>
      <c r="AO373" s="413">
        <v>405435.05</v>
      </c>
      <c r="AP373" s="413">
        <v>403730.61</v>
      </c>
      <c r="AQ373" s="413">
        <v>402026.17</v>
      </c>
      <c r="AR373" s="413">
        <v>400321.73</v>
      </c>
      <c r="AS373" s="413">
        <v>398617.29</v>
      </c>
      <c r="AT373" s="413">
        <v>396912.85</v>
      </c>
      <c r="AU373" s="413">
        <v>395208.41</v>
      </c>
      <c r="AV373" s="413">
        <v>393503.97</v>
      </c>
      <c r="AW373" s="413">
        <v>391799.53</v>
      </c>
      <c r="AX373" s="413">
        <v>390095.09</v>
      </c>
      <c r="AY373" s="413">
        <v>388390.65</v>
      </c>
      <c r="AZ373" s="413">
        <v>386686.21</v>
      </c>
      <c r="BA373" s="413">
        <v>384981.77</v>
      </c>
      <c r="BB373" s="413">
        <v>383277.33</v>
      </c>
      <c r="BC373" s="413">
        <v>381572.89</v>
      </c>
      <c r="BD373" s="413">
        <v>379868.45</v>
      </c>
      <c r="BE373" s="413">
        <v>378164.01</v>
      </c>
      <c r="BF373" s="413">
        <v>571302.51</v>
      </c>
      <c r="BG373" s="413">
        <v>774522.99</v>
      </c>
      <c r="BH373" s="413">
        <v>771701.88</v>
      </c>
      <c r="BI373" s="413">
        <v>768880.77</v>
      </c>
      <c r="BJ373" s="413">
        <v>893463.71</v>
      </c>
      <c r="BK373" s="413">
        <v>890295.45</v>
      </c>
      <c r="BL373" s="413">
        <v>887127.19</v>
      </c>
      <c r="BM373" s="413">
        <v>883958.93</v>
      </c>
      <c r="BN373" s="413">
        <v>880790.67</v>
      </c>
      <c r="BO373" s="413">
        <v>877622.41</v>
      </c>
      <c r="BP373" s="413">
        <v>874454.15</v>
      </c>
      <c r="BQ373" s="413">
        <v>871285.89</v>
      </c>
      <c r="BR373" s="413">
        <v>868117.63</v>
      </c>
      <c r="BS373" s="413">
        <v>1171449.3700000001</v>
      </c>
      <c r="BT373" s="413">
        <v>1167456.6100000001</v>
      </c>
      <c r="BU373" s="413">
        <v>1163462.2</v>
      </c>
      <c r="BV373" s="413">
        <v>1159467.79</v>
      </c>
      <c r="BW373" s="413">
        <v>1155473.3799999999</v>
      </c>
      <c r="BX373" s="413">
        <v>1151478.97</v>
      </c>
      <c r="BY373" s="413">
        <v>1147484.56</v>
      </c>
      <c r="BZ373" s="413">
        <v>1143490.1499999999</v>
      </c>
      <c r="CA373" s="413">
        <v>1139495.74</v>
      </c>
      <c r="CB373" s="413">
        <v>1135501.33</v>
      </c>
      <c r="CC373" s="413">
        <v>1131506.92</v>
      </c>
      <c r="CD373" s="413">
        <v>1127512.51</v>
      </c>
      <c r="CE373" s="413">
        <v>1123518.1000000001</v>
      </c>
      <c r="CF373" s="413">
        <v>1119523.69</v>
      </c>
      <c r="CG373" s="413">
        <v>1115529.28</v>
      </c>
      <c r="CH373" s="413">
        <v>1111534.8700000001</v>
      </c>
      <c r="CI373" s="413">
        <v>1107540.46</v>
      </c>
      <c r="CJ373" s="413">
        <v>1103546.05</v>
      </c>
      <c r="CK373" s="413">
        <v>1099551.6399999999</v>
      </c>
      <c r="CL373" s="413">
        <v>1095557.23</v>
      </c>
      <c r="CM373" s="413">
        <v>1719076.29</v>
      </c>
      <c r="CN373" s="413">
        <v>1711423.85</v>
      </c>
      <c r="CO373" s="413">
        <v>1703592.91</v>
      </c>
      <c r="CP373" s="413">
        <v>1695761.97</v>
      </c>
      <c r="CQ373" s="413">
        <v>1687931.03</v>
      </c>
      <c r="CR373" s="413">
        <v>1680100.09</v>
      </c>
      <c r="CS373" s="413">
        <v>1672269.15</v>
      </c>
      <c r="CT373" s="413">
        <v>1664438.21</v>
      </c>
      <c r="CU373" s="413">
        <v>1656607.27</v>
      </c>
      <c r="CV373" s="413">
        <v>1648776.33</v>
      </c>
      <c r="CW373" s="413">
        <v>1640945.39</v>
      </c>
      <c r="CX373" s="413">
        <v>1633114.45</v>
      </c>
      <c r="CY373" s="413">
        <v>1625283.51</v>
      </c>
      <c r="CZ373" s="413">
        <v>1617452.57</v>
      </c>
      <c r="DA373" s="413">
        <v>1609621.63</v>
      </c>
      <c r="DB373" s="413">
        <v>1601790.69</v>
      </c>
      <c r="DC373" s="413">
        <v>1654047.7</v>
      </c>
      <c r="DD373" s="413">
        <v>1645491.83</v>
      </c>
      <c r="DE373" s="413">
        <v>1636935.96</v>
      </c>
      <c r="DF373" s="413">
        <f>VLOOKUP($A373,'[3]BS ACC'!$A$258:$DH$1006,110,FALSE)</f>
        <v>1628634.26</v>
      </c>
      <c r="DG373" s="413">
        <f>VLOOKUP($A373,'[3]BS ACC'!$A$258:$DH$1006,111,FALSE)</f>
        <v>1620332.56</v>
      </c>
      <c r="DH373" s="413">
        <f>VLOOKUP($A373,'[3]BS ACC'!$A$258:$DH$1006,112,FALSE)</f>
        <v>1612030.86</v>
      </c>
    </row>
    <row r="374" spans="1:112">
      <c r="A374" t="s">
        <v>863</v>
      </c>
      <c r="D374" s="345">
        <v>-26681143.670000002</v>
      </c>
      <c r="E374" s="345">
        <v>-25951180.98</v>
      </c>
      <c r="F374" s="345">
        <v>-25787429.660000004</v>
      </c>
      <c r="G374" s="345">
        <v>-24607645.440000001</v>
      </c>
      <c r="H374" s="345">
        <v>-23817802.210000001</v>
      </c>
      <c r="I374" s="345">
        <v>-24211684.809999999</v>
      </c>
      <c r="J374" s="345">
        <v>-23718559.690000001</v>
      </c>
      <c r="K374" s="345">
        <v>-23022014.009999998</v>
      </c>
      <c r="L374" s="345">
        <v>-23281584.82</v>
      </c>
      <c r="M374" s="345">
        <v>-22017282.309999999</v>
      </c>
      <c r="N374" s="345">
        <v>-22337980.520000003</v>
      </c>
      <c r="O374" s="345">
        <v>-22681102.07</v>
      </c>
      <c r="P374" s="345">
        <v>-26019235.210000001</v>
      </c>
      <c r="Q374" s="163">
        <v>-25057694.459999997</v>
      </c>
      <c r="R374" s="163">
        <v>-25158994.050000001</v>
      </c>
      <c r="S374" s="163">
        <v>-24882291.690000001</v>
      </c>
      <c r="T374" s="163">
        <v>-24472555.400000002</v>
      </c>
      <c r="U374" s="163">
        <v>-24689803.18</v>
      </c>
      <c r="V374" s="163">
        <v>-23410386.099999998</v>
      </c>
      <c r="W374" s="163">
        <v>-22995244.939999998</v>
      </c>
      <c r="X374" s="163">
        <v>-22902148.059999999</v>
      </c>
      <c r="Y374" s="163">
        <v>-21094240.900000002</v>
      </c>
      <c r="Z374" s="163">
        <v>-21258527.009999998</v>
      </c>
      <c r="AA374" s="163">
        <v>-21444760.489999998</v>
      </c>
      <c r="AB374" s="163">
        <v>-28971148.989999998</v>
      </c>
      <c r="AC374" s="163">
        <v>-29230488.440000001</v>
      </c>
      <c r="AD374" s="163">
        <v>-29421232.449999999</v>
      </c>
      <c r="AE374" s="163">
        <v>-28365036.170000002</v>
      </c>
      <c r="AF374" s="163">
        <v>-27627477.890000001</v>
      </c>
      <c r="AG374" s="163">
        <v>-27789361.600000001</v>
      </c>
      <c r="AH374" s="163">
        <v>-27970171.940000001</v>
      </c>
      <c r="AI374" s="163">
        <v>-27092027.610000003</v>
      </c>
      <c r="AJ374" s="163">
        <v>-27195844.91</v>
      </c>
      <c r="AK374" s="163">
        <v>-35190534.840000004</v>
      </c>
      <c r="AL374" s="163">
        <v>-35327688.310000002</v>
      </c>
      <c r="AM374" s="163">
        <v>-35591343.740000002</v>
      </c>
      <c r="AN374" s="163">
        <v>-31401927.109999996</v>
      </c>
      <c r="AO374" s="163">
        <v>-31220847.27</v>
      </c>
      <c r="AP374" s="163">
        <v>-30840323.91</v>
      </c>
      <c r="AQ374" s="163">
        <v>-30087238.91</v>
      </c>
      <c r="AR374" s="163">
        <v>-29337951.139999997</v>
      </c>
      <c r="AS374" s="163">
        <v>-29589433.439999998</v>
      </c>
      <c r="AT374" s="163">
        <v>-30457098.02</v>
      </c>
      <c r="AU374" s="163">
        <v>-29573248.989999998</v>
      </c>
      <c r="AV374" s="163">
        <v>-29771356.5</v>
      </c>
      <c r="AW374" s="163">
        <v>-29087503.139999997</v>
      </c>
      <c r="AX374" s="163">
        <v>-29313861.579999998</v>
      </c>
      <c r="AY374" s="163">
        <v>-29472516.619999997</v>
      </c>
      <c r="AZ374" s="163">
        <v>-26945534.370000001</v>
      </c>
      <c r="BA374" s="163">
        <v>-26405549.239999998</v>
      </c>
      <c r="BB374" s="163">
        <v>-26282266.909999996</v>
      </c>
      <c r="BC374" s="163">
        <v>-26005749.549999997</v>
      </c>
      <c r="BD374" s="163">
        <v>-26186815.949999999</v>
      </c>
      <c r="BE374" s="163">
        <v>-26373771.039999999</v>
      </c>
      <c r="BF374" s="163">
        <v>-26138562.66</v>
      </c>
      <c r="BG374" s="163">
        <v>-26427384.760000002</v>
      </c>
      <c r="BH374" s="163">
        <v>-26651948.539999999</v>
      </c>
      <c r="BI374" s="163">
        <v>-26038291.499999996</v>
      </c>
      <c r="BJ374" s="163">
        <v>-26178351.539999999</v>
      </c>
      <c r="BK374" s="163">
        <v>-26262227.759999998</v>
      </c>
      <c r="BL374" s="163">
        <v>-28500905.75</v>
      </c>
      <c r="BM374" s="163">
        <v>-28730548.239999998</v>
      </c>
      <c r="BN374" s="163">
        <v>-28892440.729999997</v>
      </c>
      <c r="BO374" s="163">
        <v>-29522613.469999999</v>
      </c>
      <c r="BP374" s="163">
        <v>-28944618.02</v>
      </c>
      <c r="BQ374" s="163">
        <v>-29227676.150000002</v>
      </c>
      <c r="BR374" s="163">
        <v>-29186232.34</v>
      </c>
      <c r="BS374" s="163">
        <v>-29593232.990000002</v>
      </c>
      <c r="BT374" s="163">
        <v>-30362985.409999996</v>
      </c>
      <c r="BU374" s="163">
        <v>-29328244.949999999</v>
      </c>
      <c r="BV374" s="163">
        <v>-30145622.220000003</v>
      </c>
      <c r="BW374" s="163">
        <v>-31252587.749999996</v>
      </c>
      <c r="BX374" s="163">
        <v>-32488465.099999998</v>
      </c>
      <c r="BY374" s="163">
        <v>-32138951.380000003</v>
      </c>
      <c r="BZ374" s="163">
        <v>-32410263.149999999</v>
      </c>
      <c r="CA374" s="163">
        <v>-31766661.430000003</v>
      </c>
      <c r="CB374" s="163">
        <v>-31266241.800000001</v>
      </c>
      <c r="CC374" s="163">
        <v>-31654541.900000002</v>
      </c>
      <c r="CD374" s="163">
        <v>-31749175.52</v>
      </c>
      <c r="CE374" s="163">
        <v>-31420756.960000001</v>
      </c>
      <c r="CF374" s="163">
        <v>-31457185.990000002</v>
      </c>
      <c r="CG374" s="163">
        <v>-30434722.389999997</v>
      </c>
      <c r="CH374" s="163">
        <v>-30469711.049999997</v>
      </c>
      <c r="CI374" s="163">
        <v>-30738108.350000001</v>
      </c>
      <c r="CJ374" s="163">
        <v>-37961354.899999999</v>
      </c>
      <c r="CK374" s="163">
        <v>-37546038.969999999</v>
      </c>
      <c r="CL374" s="163">
        <v>-37911749.079999998</v>
      </c>
      <c r="CM374" s="163">
        <v>-36593528.599999994</v>
      </c>
      <c r="CN374" s="163">
        <v>-36185252.729999997</v>
      </c>
      <c r="CO374" s="163">
        <v>-36416618.199999996</v>
      </c>
      <c r="CP374" s="163">
        <v>-35937594.819999993</v>
      </c>
      <c r="CQ374" s="163">
        <v>-35879100.039999999</v>
      </c>
      <c r="CR374" s="163">
        <v>-35965017.68</v>
      </c>
      <c r="CS374" s="163">
        <v>-35401823.019999996</v>
      </c>
      <c r="CT374" s="163">
        <v>-31340984.740000002</v>
      </c>
      <c r="CU374" s="163">
        <v>-34148677.600000001</v>
      </c>
      <c r="CV374" s="163">
        <v>-26607352.419999998</v>
      </c>
      <c r="CW374" s="163">
        <v>-24718670.939999998</v>
      </c>
      <c r="CX374" s="163">
        <v>-26486800.41</v>
      </c>
      <c r="CY374" s="163">
        <v>-25838896.819999997</v>
      </c>
      <c r="CZ374" s="163">
        <v>-24628250.07</v>
      </c>
      <c r="DA374" s="163">
        <v>-24415077.060000002</v>
      </c>
      <c r="DB374" s="163">
        <v>-24072755.370000001</v>
      </c>
      <c r="DC374" s="163">
        <v>-22398684.670000002</v>
      </c>
      <c r="DD374" s="163">
        <v>-20253497.16</v>
      </c>
      <c r="DE374" s="163">
        <v>-20734589.5</v>
      </c>
      <c r="DF374" s="163">
        <f>VLOOKUP($A374,'[3]BS ACC'!$A$258:$DH$1006,110,FALSE)</f>
        <v>-19670693.359999996</v>
      </c>
      <c r="DG374" s="163">
        <f>VLOOKUP($A374,'[3]BS ACC'!$A$258:$DH$1006,111,FALSE)</f>
        <v>-19522597.84</v>
      </c>
      <c r="DH374" s="163">
        <f>VLOOKUP($A374,'[3]BS ACC'!$A$258:$DH$1006,112,FALSE)</f>
        <v>-27486603.599999998</v>
      </c>
    </row>
    <row r="375" spans="1:112">
      <c r="A375" t="s">
        <v>864</v>
      </c>
      <c r="D375" s="345">
        <v>-15600000</v>
      </c>
      <c r="E375" s="345">
        <v>-16500000</v>
      </c>
      <c r="F375" s="345">
        <v>-12200000</v>
      </c>
      <c r="G375" s="345">
        <v>0</v>
      </c>
      <c r="H375" s="345">
        <v>0</v>
      </c>
      <c r="I375" s="345">
        <v>0</v>
      </c>
      <c r="J375" s="345">
        <v>0</v>
      </c>
      <c r="K375" s="345">
        <v>0</v>
      </c>
      <c r="L375" s="345">
        <v>0</v>
      </c>
      <c r="M375" s="345">
        <v>0</v>
      </c>
      <c r="N375" s="345">
        <v>0</v>
      </c>
      <c r="O375" s="345">
        <v>0</v>
      </c>
      <c r="P375" s="345">
        <v>-12900000</v>
      </c>
      <c r="Q375" s="163">
        <v>-8350000</v>
      </c>
      <c r="R375" s="163">
        <v>-5800000</v>
      </c>
      <c r="S375" s="163">
        <v>0</v>
      </c>
      <c r="T375" s="163">
        <v>0</v>
      </c>
      <c r="U375" s="163">
        <v>0</v>
      </c>
      <c r="V375" s="163">
        <v>0</v>
      </c>
      <c r="W375" s="163">
        <v>0</v>
      </c>
      <c r="X375" s="163">
        <v>0</v>
      </c>
      <c r="Y375" s="163">
        <v>0</v>
      </c>
      <c r="Z375" s="163">
        <v>0</v>
      </c>
      <c r="AA375" s="163">
        <v>0</v>
      </c>
      <c r="AB375" s="163">
        <v>0</v>
      </c>
      <c r="AC375" s="163">
        <v>0</v>
      </c>
      <c r="AD375" s="163">
        <v>-2300000</v>
      </c>
      <c r="AE375" s="163">
        <v>0</v>
      </c>
      <c r="AF375" s="163">
        <v>0</v>
      </c>
      <c r="AG375" s="163">
        <v>0</v>
      </c>
      <c r="AH375" s="163">
        <v>0</v>
      </c>
      <c r="AI375" s="163">
        <v>-1800000</v>
      </c>
      <c r="AJ375" s="163">
        <v>-3150000</v>
      </c>
      <c r="AK375" s="163">
        <v>-700000</v>
      </c>
      <c r="AL375" s="163">
        <v>0</v>
      </c>
      <c r="AM375" s="163">
        <v>-9750000</v>
      </c>
      <c r="AN375" s="163">
        <v>-30050000</v>
      </c>
      <c r="AO375" s="163">
        <v>-41225800</v>
      </c>
      <c r="AP375" s="163">
        <v>-40506800</v>
      </c>
      <c r="AQ375" s="163">
        <v>-41810800</v>
      </c>
      <c r="AR375" s="163">
        <v>-37148300</v>
      </c>
      <c r="AS375" s="163">
        <v>-30142100</v>
      </c>
      <c r="AT375" s="163">
        <v>-36126700</v>
      </c>
      <c r="AU375" s="163">
        <v>-33325400</v>
      </c>
      <c r="AV375" s="163">
        <v>-46233900</v>
      </c>
      <c r="AW375" s="163">
        <v>-48013800</v>
      </c>
      <c r="AX375" s="163">
        <v>-43884100</v>
      </c>
      <c r="AY375" s="163">
        <v>0</v>
      </c>
      <c r="AZ375" s="163">
        <v>-5000000</v>
      </c>
      <c r="BA375" s="163">
        <v>-5000000</v>
      </c>
      <c r="BB375" s="163">
        <v>-58203643.530000001</v>
      </c>
      <c r="BC375" s="163">
        <v>-53438296.759999998</v>
      </c>
      <c r="BD375" s="163">
        <v>-53973759.039999999</v>
      </c>
      <c r="BE375" s="163">
        <v>-86871593.75</v>
      </c>
      <c r="BF375" s="163">
        <v>-32647326.449999999</v>
      </c>
      <c r="BG375" s="163">
        <v>-32403666.739999998</v>
      </c>
      <c r="BH375" s="163">
        <v>-36635669.780000001</v>
      </c>
      <c r="BI375" s="163">
        <v>-44924345.579999998</v>
      </c>
      <c r="BJ375" s="163">
        <v>0</v>
      </c>
      <c r="BK375" s="163">
        <v>-35033765.530000001</v>
      </c>
      <c r="BL375" s="163">
        <v>-53651642.840000004</v>
      </c>
      <c r="BM375" s="163">
        <v>-70274100.799999997</v>
      </c>
      <c r="BN375" s="163">
        <v>-51017831.979999997</v>
      </c>
      <c r="BO375" s="163">
        <v>-43526147.640000001</v>
      </c>
      <c r="BP375" s="163">
        <v>-47854030.259999998</v>
      </c>
      <c r="BQ375" s="163">
        <v>-32302624.949999999</v>
      </c>
      <c r="BR375" s="163">
        <v>-43946027.359999999</v>
      </c>
      <c r="BS375" s="163">
        <v>-30168533.420000002</v>
      </c>
      <c r="BT375" s="163">
        <v>-48717414.859999999</v>
      </c>
      <c r="BU375" s="163">
        <v>-44435200.189999998</v>
      </c>
      <c r="BV375" s="163">
        <v>-47028283.420000002</v>
      </c>
      <c r="BW375" s="163">
        <v>-77517735.260000005</v>
      </c>
      <c r="BX375" s="163">
        <v>-91138979.060000002</v>
      </c>
      <c r="BY375" s="163">
        <v>-104160102.78</v>
      </c>
      <c r="BZ375" s="163">
        <v>-90190820</v>
      </c>
      <c r="CA375" s="163">
        <v>-91778966.859999999</v>
      </c>
      <c r="CB375" s="163">
        <v>-99145211.670000002</v>
      </c>
      <c r="CC375" s="163">
        <v>-104893603</v>
      </c>
      <c r="CD375" s="163">
        <v>-127591365</v>
      </c>
      <c r="CE375" s="163">
        <v>-145194423.19</v>
      </c>
      <c r="CF375" s="163">
        <v>-133998437.38</v>
      </c>
      <c r="CG375" s="163">
        <v>-144415739.19999999</v>
      </c>
      <c r="CH375" s="163">
        <v>-162258206.69999999</v>
      </c>
      <c r="CI375" s="163">
        <v>-179528111.31999999</v>
      </c>
      <c r="CJ375" s="163">
        <v>-214352134.94</v>
      </c>
      <c r="CK375" s="163">
        <v>-236511398.25999999</v>
      </c>
      <c r="CL375" s="163">
        <v>-221147725.66</v>
      </c>
      <c r="CM375" s="163">
        <v>-10000000</v>
      </c>
      <c r="CN375" s="163">
        <v>-17122357</v>
      </c>
      <c r="CO375" s="163">
        <v>-87741525.890000001</v>
      </c>
      <c r="CP375" s="163">
        <v>-99244299.810000002</v>
      </c>
      <c r="CQ375" s="163">
        <v>-111939289</v>
      </c>
      <c r="CR375" s="163">
        <v>-101333505</v>
      </c>
      <c r="CS375" s="163">
        <v>-115219002</v>
      </c>
      <c r="CT375" s="163">
        <v>-136200897</v>
      </c>
      <c r="CU375" s="163">
        <v>-144763516</v>
      </c>
      <c r="CV375" s="163">
        <v>-189522084</v>
      </c>
      <c r="CW375" s="163">
        <v>-210398800</v>
      </c>
      <c r="CX375" s="163">
        <v>-158200102.47999999</v>
      </c>
      <c r="CY375" s="163">
        <v>-166329492.08000001</v>
      </c>
      <c r="CZ375" s="163">
        <v>-174483977.78</v>
      </c>
      <c r="DA375" s="163">
        <v>-177717844.08000001</v>
      </c>
      <c r="DB375" s="163">
        <v>-198344903.18000001</v>
      </c>
      <c r="DC375" s="163">
        <v>-100000000</v>
      </c>
      <c r="DD375" s="163">
        <v>-100000000</v>
      </c>
      <c r="DE375" s="163">
        <v>-156383680.47999999</v>
      </c>
      <c r="DF375" s="163">
        <f>VLOOKUP($A375,'[3]BS ACC'!$A$258:$DH$1006,110,FALSE)</f>
        <v>-159112874.97999999</v>
      </c>
      <c r="DG375" s="163">
        <f>VLOOKUP($A375,'[3]BS ACC'!$A$258:$DH$1006,111,FALSE)</f>
        <v>-161937357.08000001</v>
      </c>
      <c r="DH375" s="163">
        <f>VLOOKUP($A375,'[3]BS ACC'!$A$258:$DH$1006,112,FALSE)</f>
        <v>-166097150.09999999</v>
      </c>
    </row>
    <row r="376" spans="1:112">
      <c r="A376" t="s">
        <v>865</v>
      </c>
      <c r="D376" s="345">
        <v>-25201160.02</v>
      </c>
      <c r="E376" s="345">
        <v>-25863021.370000001</v>
      </c>
      <c r="F376" s="345">
        <v>-21622640.239999998</v>
      </c>
      <c r="G376" s="345">
        <v>-22638521.77</v>
      </c>
      <c r="H376" s="345">
        <v>-21384223.629999999</v>
      </c>
      <c r="I376" s="345">
        <v>-14261679.060000001</v>
      </c>
      <c r="J376" s="345">
        <v>-13605696.17</v>
      </c>
      <c r="K376" s="345">
        <v>-14899841.43</v>
      </c>
      <c r="L376" s="345">
        <v>-20484635.129999999</v>
      </c>
      <c r="M376" s="345">
        <v>-17700722.309999999</v>
      </c>
      <c r="N376" s="345">
        <v>-17465939.41</v>
      </c>
      <c r="O376" s="345">
        <v>-27910000.670000002</v>
      </c>
      <c r="P376" s="345">
        <v>-26863282.289999999</v>
      </c>
      <c r="Q376" s="163">
        <v>-26462627.120000001</v>
      </c>
      <c r="R376" s="163">
        <v>-21964433</v>
      </c>
      <c r="S376" s="163">
        <v>-21097286.960000001</v>
      </c>
      <c r="T376" s="163">
        <v>-21905545.32</v>
      </c>
      <c r="U376" s="163">
        <v>-15199987.51</v>
      </c>
      <c r="V376" s="163">
        <v>-16287474.65</v>
      </c>
      <c r="W376" s="163">
        <v>-16901912.989999998</v>
      </c>
      <c r="X376" s="163">
        <v>-20225915.960000001</v>
      </c>
      <c r="Y376" s="163">
        <v>-18045629.460000001</v>
      </c>
      <c r="Z376" s="163">
        <v>-21118069.800000001</v>
      </c>
      <c r="AA376" s="163">
        <v>-28066771.199999999</v>
      </c>
      <c r="AB376" s="163">
        <v>-23441336.640000001</v>
      </c>
      <c r="AC376" s="163">
        <v>-26628832.050000001</v>
      </c>
      <c r="AD376" s="163">
        <v>-22923258</v>
      </c>
      <c r="AE376" s="163">
        <v>-18171844.780000001</v>
      </c>
      <c r="AF376" s="163">
        <v>-23869078.559999999</v>
      </c>
      <c r="AG376" s="163">
        <v>-18392077.48</v>
      </c>
      <c r="AH376" s="163">
        <v>-24580534.190000001</v>
      </c>
      <c r="AI376" s="163">
        <v>-27253759.93</v>
      </c>
      <c r="AJ376" s="163">
        <v>-25793386.329999998</v>
      </c>
      <c r="AK376" s="163">
        <v>-24787154.68</v>
      </c>
      <c r="AL376" s="163">
        <v>-30907114.719999999</v>
      </c>
      <c r="AM376" s="163">
        <v>-34044265.340000004</v>
      </c>
      <c r="AN376" s="163">
        <v>-30523948.170000002</v>
      </c>
      <c r="AO376" s="163">
        <v>-26403981.18</v>
      </c>
      <c r="AP376" s="163">
        <v>-21001575.57</v>
      </c>
      <c r="AQ376" s="163">
        <v>-20283672.370000001</v>
      </c>
      <c r="AR376" s="163">
        <v>-23047621.210000001</v>
      </c>
      <c r="AS376" s="163">
        <v>-21961435.260000002</v>
      </c>
      <c r="AT376" s="163">
        <v>-19976920.109999999</v>
      </c>
      <c r="AU376" s="163">
        <v>-24331841.18</v>
      </c>
      <c r="AV376" s="163">
        <v>-30557478.48</v>
      </c>
      <c r="AW376" s="163">
        <v>-25155521.34</v>
      </c>
      <c r="AX376" s="163">
        <v>-25134311.530000001</v>
      </c>
      <c r="AY376" s="163">
        <v>-34447339.490000002</v>
      </c>
      <c r="AZ376" s="163">
        <v>-35329912.18</v>
      </c>
      <c r="BA376" s="163">
        <v>-39755796.020000003</v>
      </c>
      <c r="BB376" s="163">
        <v>-25887447.539999999</v>
      </c>
      <c r="BC376" s="163">
        <v>-24545863.199999999</v>
      </c>
      <c r="BD376" s="163">
        <v>-24202680.719999999</v>
      </c>
      <c r="BE376" s="163">
        <v>-28857913.899999999</v>
      </c>
      <c r="BF376" s="163">
        <v>-29617109.41</v>
      </c>
      <c r="BG376" s="163">
        <v>-32346006.789999999</v>
      </c>
      <c r="BH376" s="163">
        <v>-30435191.300000001</v>
      </c>
      <c r="BI376" s="163">
        <v>-33641389.100000001</v>
      </c>
      <c r="BJ376" s="163">
        <v>-41415962.310000002</v>
      </c>
      <c r="BK376" s="163">
        <v>-56649310.359999999</v>
      </c>
      <c r="BL376" s="163">
        <v>-47736415.229999997</v>
      </c>
      <c r="BM376" s="163">
        <v>-41646058.280000001</v>
      </c>
      <c r="BN376" s="163">
        <v>-31572943.609999999</v>
      </c>
      <c r="BO376" s="163">
        <v>-38741742.32</v>
      </c>
      <c r="BP376" s="163">
        <v>-34520011.810000002</v>
      </c>
      <c r="BQ376" s="163">
        <v>-37921362.259999998</v>
      </c>
      <c r="BR376" s="163">
        <v>-34402416.210000001</v>
      </c>
      <c r="BS376" s="163">
        <v>-33788357.719999999</v>
      </c>
      <c r="BT376" s="163">
        <v>-37599088.600000001</v>
      </c>
      <c r="BU376" s="163">
        <v>-36186531.439999998</v>
      </c>
      <c r="BV376" s="163">
        <v>-42101626.149999999</v>
      </c>
      <c r="BW376" s="163">
        <v>-49142385.079999998</v>
      </c>
      <c r="BX376" s="163">
        <v>-59685489.890000001</v>
      </c>
      <c r="BY376" s="163">
        <v>-59329035.710000001</v>
      </c>
      <c r="BZ376" s="163">
        <v>-50686416.420000002</v>
      </c>
      <c r="CA376" s="163">
        <v>-49669086.049999997</v>
      </c>
      <c r="CB376" s="163">
        <v>-54113524.039999999</v>
      </c>
      <c r="CC376" s="163">
        <v>-51846198.890000001</v>
      </c>
      <c r="CD376" s="163">
        <v>-45352400</v>
      </c>
      <c r="CE376" s="163">
        <v>-46436338.109999999</v>
      </c>
      <c r="CF376" s="163">
        <v>-53169130.350000001</v>
      </c>
      <c r="CG376" s="163">
        <v>-59101419.520000003</v>
      </c>
      <c r="CH376" s="163">
        <v>-67496830.409999996</v>
      </c>
      <c r="CI376" s="163">
        <v>-79187003.819999993</v>
      </c>
      <c r="CJ376" s="163">
        <v>-80684738.109999999</v>
      </c>
      <c r="CK376" s="163">
        <v>-69529296.890000001</v>
      </c>
      <c r="CL376" s="163">
        <v>-68737382.090000004</v>
      </c>
      <c r="CM376" s="163">
        <v>-64518023.009999998</v>
      </c>
      <c r="CN376" s="163">
        <v>-57554398.659999996</v>
      </c>
      <c r="CO376" s="163">
        <v>-46492346.649999999</v>
      </c>
      <c r="CP376" s="163">
        <v>-47739331.859999999</v>
      </c>
      <c r="CQ376" s="163">
        <v>-54187540.789999999</v>
      </c>
      <c r="CR376" s="163">
        <v>-58983694.450000003</v>
      </c>
      <c r="CS376" s="163">
        <v>-60757405.090000004</v>
      </c>
      <c r="CT376" s="163">
        <v>-72548704.400000006</v>
      </c>
      <c r="CU376" s="163">
        <v>-83539358.150000006</v>
      </c>
      <c r="CV376" s="163">
        <v>-70733694.540000007</v>
      </c>
      <c r="CW376" s="163">
        <v>-70454889.829999998</v>
      </c>
      <c r="CX376" s="163">
        <v>-63465827.280000001</v>
      </c>
      <c r="CY376" s="163">
        <v>-52841519.210000001</v>
      </c>
      <c r="CZ376" s="163">
        <v>-51517295.780000001</v>
      </c>
      <c r="DA376" s="163">
        <v>-61906654</v>
      </c>
      <c r="DB376" s="163">
        <v>-57909528.460000001</v>
      </c>
      <c r="DC376" s="163">
        <v>-56961843.289999999</v>
      </c>
      <c r="DD376" s="163">
        <v>-60461395.159999996</v>
      </c>
      <c r="DE376" s="163">
        <v>-58245304.710000001</v>
      </c>
      <c r="DF376" s="163">
        <f>VLOOKUP($A376,'[3]BS ACC'!$A$258:$DH$1006,110,FALSE)</f>
        <v>-60554696.649999999</v>
      </c>
      <c r="DG376" s="163">
        <f>VLOOKUP($A376,'[3]BS ACC'!$A$258:$DH$1006,111,FALSE)</f>
        <v>-78273428.310000002</v>
      </c>
      <c r="DH376" s="163">
        <f>VLOOKUP($A376,'[3]BS ACC'!$A$258:$DH$1006,112,FALSE)</f>
        <v>-69856886.260000005</v>
      </c>
    </row>
    <row r="377" spans="1:112">
      <c r="A377" t="s">
        <v>866</v>
      </c>
      <c r="D377" s="345">
        <v>0</v>
      </c>
      <c r="E377" s="345">
        <v>0</v>
      </c>
      <c r="F377" s="345">
        <v>0</v>
      </c>
      <c r="G377" s="345">
        <v>0</v>
      </c>
      <c r="H377" s="345">
        <v>0</v>
      </c>
      <c r="I377" s="345">
        <v>0</v>
      </c>
      <c r="J377" s="345">
        <v>0</v>
      </c>
      <c r="K377" s="345">
        <v>0</v>
      </c>
      <c r="L377" s="345">
        <v>-800000</v>
      </c>
      <c r="M377" s="345">
        <v>-4700000</v>
      </c>
      <c r="N377" s="345">
        <v>0</v>
      </c>
      <c r="O377" s="345">
        <v>0</v>
      </c>
      <c r="P377" s="345">
        <v>0</v>
      </c>
      <c r="Q377" s="163">
        <v>0</v>
      </c>
      <c r="R377" s="163">
        <v>0</v>
      </c>
      <c r="S377" s="163">
        <v>0</v>
      </c>
      <c r="T377" s="163">
        <v>0</v>
      </c>
      <c r="U377" s="163">
        <v>0</v>
      </c>
      <c r="V377" s="163">
        <v>0</v>
      </c>
      <c r="W377" s="163">
        <v>0</v>
      </c>
      <c r="X377" s="163">
        <v>0</v>
      </c>
      <c r="Y377" s="163">
        <v>0</v>
      </c>
      <c r="Z377" s="163">
        <v>0</v>
      </c>
      <c r="AA377" s="163">
        <v>0</v>
      </c>
      <c r="AB377" s="163">
        <v>0</v>
      </c>
      <c r="AC377" s="163">
        <v>0</v>
      </c>
      <c r="AD377" s="163">
        <v>0</v>
      </c>
      <c r="AE377" s="163">
        <v>0</v>
      </c>
      <c r="AF377" s="163">
        <v>0</v>
      </c>
      <c r="AG377" s="163">
        <v>0</v>
      </c>
      <c r="AH377" s="163">
        <v>-600000</v>
      </c>
      <c r="AI377" s="163">
        <v>0</v>
      </c>
      <c r="AJ377" s="163">
        <v>0</v>
      </c>
      <c r="AK377" s="163">
        <v>0</v>
      </c>
      <c r="AL377" s="163">
        <v>0</v>
      </c>
      <c r="AM377" s="163">
        <v>0</v>
      </c>
      <c r="AN377" s="163">
        <v>0</v>
      </c>
      <c r="AO377" s="163">
        <v>0</v>
      </c>
      <c r="AP377" s="163">
        <v>0</v>
      </c>
      <c r="AQ377" s="163">
        <v>0</v>
      </c>
      <c r="AR377" s="163">
        <v>0</v>
      </c>
      <c r="AS377" s="163">
        <v>-1700000</v>
      </c>
      <c r="AT377" s="163">
        <v>0</v>
      </c>
      <c r="AU377" s="163">
        <v>0</v>
      </c>
      <c r="AV377" s="163">
        <v>0</v>
      </c>
      <c r="AW377" s="163">
        <v>0</v>
      </c>
      <c r="AX377" s="163">
        <v>0</v>
      </c>
      <c r="AY377" s="163">
        <v>-46059900</v>
      </c>
      <c r="AZ377" s="163">
        <v>-52684300</v>
      </c>
      <c r="BA377" s="163">
        <v>-50045713</v>
      </c>
      <c r="BB377" s="163">
        <v>0</v>
      </c>
      <c r="BC377" s="163">
        <v>0</v>
      </c>
      <c r="BD377" s="163">
        <v>0</v>
      </c>
      <c r="BE377" s="163">
        <v>0</v>
      </c>
      <c r="BF377" s="163">
        <v>0</v>
      </c>
      <c r="BG377" s="163">
        <v>0</v>
      </c>
      <c r="BH377" s="163">
        <v>0</v>
      </c>
      <c r="BI377" s="163">
        <v>0</v>
      </c>
      <c r="BJ377" s="163">
        <v>-26601973.98</v>
      </c>
      <c r="BK377" s="163">
        <v>0</v>
      </c>
      <c r="BL377" s="163">
        <v>0</v>
      </c>
      <c r="BM377" s="163">
        <v>0</v>
      </c>
      <c r="BN377" s="163">
        <v>0</v>
      </c>
      <c r="BO377" s="163">
        <v>0</v>
      </c>
      <c r="BP377" s="163">
        <v>0</v>
      </c>
      <c r="BQ377" s="163">
        <v>0</v>
      </c>
      <c r="BR377" s="163">
        <v>0</v>
      </c>
      <c r="BS377" s="163">
        <v>0</v>
      </c>
      <c r="BT377" s="163">
        <v>0</v>
      </c>
      <c r="BU377" s="163">
        <v>0</v>
      </c>
      <c r="BV377" s="163">
        <v>0</v>
      </c>
      <c r="BW377" s="163">
        <v>0</v>
      </c>
      <c r="BX377" s="163">
        <v>0</v>
      </c>
      <c r="BY377" s="163">
        <v>0</v>
      </c>
      <c r="BZ377" s="163">
        <v>0</v>
      </c>
      <c r="CA377" s="163">
        <v>0</v>
      </c>
      <c r="CB377" s="163">
        <v>0</v>
      </c>
      <c r="CC377" s="163">
        <v>0</v>
      </c>
      <c r="CD377" s="163">
        <v>0</v>
      </c>
      <c r="CE377" s="163">
        <v>0</v>
      </c>
      <c r="CF377" s="163">
        <v>0</v>
      </c>
      <c r="CG377" s="163">
        <v>0</v>
      </c>
      <c r="CH377" s="163">
        <v>0</v>
      </c>
      <c r="CI377" s="163">
        <v>0</v>
      </c>
      <c r="CJ377" s="163">
        <v>0</v>
      </c>
      <c r="CK377" s="163">
        <v>0</v>
      </c>
      <c r="CL377" s="163">
        <v>0</v>
      </c>
      <c r="CM377" s="163">
        <v>-4181104</v>
      </c>
      <c r="CN377" s="163">
        <v>0</v>
      </c>
      <c r="CO377" s="163">
        <v>0</v>
      </c>
      <c r="CP377" s="163">
        <v>0</v>
      </c>
      <c r="CQ377" s="163">
        <v>0</v>
      </c>
      <c r="CR377" s="163">
        <v>0</v>
      </c>
      <c r="CS377" s="163">
        <v>0</v>
      </c>
      <c r="CT377" s="163">
        <v>0</v>
      </c>
      <c r="CU377" s="163">
        <v>0</v>
      </c>
      <c r="CV377" s="163">
        <v>0</v>
      </c>
      <c r="CW377" s="163">
        <v>0</v>
      </c>
      <c r="CX377" s="163">
        <v>0</v>
      </c>
      <c r="CY377" s="163">
        <v>0</v>
      </c>
      <c r="CZ377" s="163">
        <v>0</v>
      </c>
      <c r="DA377" s="163">
        <v>0</v>
      </c>
      <c r="DB377" s="163">
        <v>0</v>
      </c>
      <c r="DC377" s="163">
        <v>-36571246.979999997</v>
      </c>
      <c r="DD377" s="163">
        <v>-24775692.280000001</v>
      </c>
      <c r="DE377" s="163">
        <v>0</v>
      </c>
      <c r="DF377" s="163">
        <f>VLOOKUP($A377,'[3]BS ACC'!$A$258:$DH$1006,110,FALSE)</f>
        <v>0</v>
      </c>
      <c r="DG377" s="163">
        <f>VLOOKUP($A377,'[3]BS ACC'!$A$258:$DH$1006,111,FALSE)</f>
        <v>0</v>
      </c>
      <c r="DH377" s="163">
        <f>VLOOKUP($A377,'[3]BS ACC'!$A$258:$DH$1006,112,FALSE)</f>
        <v>0</v>
      </c>
    </row>
    <row r="378" spans="1:112">
      <c r="A378" s="130" t="s">
        <v>867</v>
      </c>
      <c r="D378" s="345">
        <v>-7116182.1600000001</v>
      </c>
      <c r="E378" s="345">
        <v>-5784387.4400000004</v>
      </c>
      <c r="F378" s="345">
        <v>-5514670.6600000001</v>
      </c>
      <c r="G378" s="345">
        <v>-5919251.0899999999</v>
      </c>
      <c r="H378" s="345">
        <v>-5377038.4400000004</v>
      </c>
      <c r="I378" s="345">
        <v>-20708921.300000001</v>
      </c>
      <c r="J378" s="345">
        <v>-13845023.880000001</v>
      </c>
      <c r="K378" s="345">
        <v>-6123267.7699999996</v>
      </c>
      <c r="L378" s="345">
        <v>-5130231.83</v>
      </c>
      <c r="M378" s="345">
        <v>-4896454.1900000004</v>
      </c>
      <c r="N378" s="345">
        <v>-4922102.2300000004</v>
      </c>
      <c r="O378" s="345">
        <v>-10883022.02</v>
      </c>
      <c r="P378" s="345">
        <v>-6974327.7699999996</v>
      </c>
      <c r="Q378" s="163">
        <v>-5766072.0599999996</v>
      </c>
      <c r="R378" s="163">
        <v>-5525131.3300000001</v>
      </c>
      <c r="S378" s="163">
        <v>-6172109.96</v>
      </c>
      <c r="T378" s="163">
        <v>-5675107.8099999996</v>
      </c>
      <c r="U378" s="163">
        <v>-10351095.130000001</v>
      </c>
      <c r="V378" s="163">
        <v>-6018559.7800000003</v>
      </c>
      <c r="W378" s="163">
        <v>-6678476.3799999999</v>
      </c>
      <c r="X378" s="163">
        <v>-4918461.8600000003</v>
      </c>
      <c r="Y378" s="163">
        <v>-5126680.08</v>
      </c>
      <c r="Z378" s="163">
        <v>-4962851.42</v>
      </c>
      <c r="AA378" s="163">
        <v>-10730328.890000001</v>
      </c>
      <c r="AB378" s="163">
        <v>-8403205.3499999996</v>
      </c>
      <c r="AC378" s="163">
        <v>-5323791.45</v>
      </c>
      <c r="AD378" s="163">
        <v>-5600323.9500000002</v>
      </c>
      <c r="AE378" s="163">
        <v>-6055332.79</v>
      </c>
      <c r="AF378" s="163">
        <v>-4577077.96</v>
      </c>
      <c r="AG378" s="163">
        <v>-9378541.4000000004</v>
      </c>
      <c r="AH378" s="163">
        <v>-5145419.41</v>
      </c>
      <c r="AI378" s="163">
        <v>-4794919.3499999996</v>
      </c>
      <c r="AJ378" s="163">
        <v>-3198098.24</v>
      </c>
      <c r="AK378" s="163">
        <v>-3354534.96</v>
      </c>
      <c r="AL378" s="163">
        <v>-4471527.16</v>
      </c>
      <c r="AM378" s="163">
        <v>-9428584</v>
      </c>
      <c r="AN378" s="163">
        <v>-8167328.8499999996</v>
      </c>
      <c r="AO378" s="163">
        <v>-2335011.85</v>
      </c>
      <c r="AP378" s="163">
        <v>-11570825.41</v>
      </c>
      <c r="AQ378" s="163">
        <v>-4085818.33</v>
      </c>
      <c r="AR378" s="163">
        <v>-8579654.4199999999</v>
      </c>
      <c r="AS378" s="163">
        <v>-13996852.880000001</v>
      </c>
      <c r="AT378" s="163">
        <v>-2652294.5699999998</v>
      </c>
      <c r="AU378" s="163">
        <v>-7947779.4699999997</v>
      </c>
      <c r="AV378" s="163">
        <v>-4475478.76</v>
      </c>
      <c r="AW378" s="163">
        <v>-3001050.01</v>
      </c>
      <c r="AX378" s="163">
        <v>-4552101.5599999996</v>
      </c>
      <c r="AY378" s="163">
        <v>-11106331.35</v>
      </c>
      <c r="AZ378" s="163">
        <v>-8001423.8399999999</v>
      </c>
      <c r="BA378" s="163">
        <v>-7200932.1200000001</v>
      </c>
      <c r="BB378" s="163">
        <v>-6628314.75</v>
      </c>
      <c r="BC378" s="163">
        <v>-6442004.6100000003</v>
      </c>
      <c r="BD378" s="163">
        <v>-6810752.4900000002</v>
      </c>
      <c r="BE378" s="163">
        <v>-10383811.17</v>
      </c>
      <c r="BF378" s="163">
        <v>-8069878.9900000002</v>
      </c>
      <c r="BG378" s="163">
        <v>-7327866.2999999998</v>
      </c>
      <c r="BH378" s="163">
        <v>-6511592.1900000004</v>
      </c>
      <c r="BI378" s="163">
        <v>-7276455.1500000004</v>
      </c>
      <c r="BJ378" s="163">
        <v>-7215628.9900000002</v>
      </c>
      <c r="BK378" s="163">
        <v>-10352349.220000001</v>
      </c>
      <c r="BL378" s="163">
        <v>-9568954.1999999993</v>
      </c>
      <c r="BM378" s="163">
        <v>-9616311.0399999991</v>
      </c>
      <c r="BN378" s="163">
        <v>-6876694.0800000001</v>
      </c>
      <c r="BO378" s="163">
        <v>-7920958.7300000004</v>
      </c>
      <c r="BP378" s="163">
        <v>-6148636.7999999998</v>
      </c>
      <c r="BQ378" s="163">
        <v>-9403019.9900000002</v>
      </c>
      <c r="BR378" s="163">
        <v>-8706554.6799999997</v>
      </c>
      <c r="BS378" s="163">
        <v>-5766291.2599999998</v>
      </c>
      <c r="BT378" s="163">
        <v>-6705108.0700000003</v>
      </c>
      <c r="BU378" s="163">
        <v>-6340705.25</v>
      </c>
      <c r="BV378" s="163">
        <v>-5809051.1900000004</v>
      </c>
      <c r="BW378" s="163">
        <v>-9435761.0399999991</v>
      </c>
      <c r="BX378" s="163">
        <v>-11465299.789999999</v>
      </c>
      <c r="BY378" s="163">
        <v>-8005256.3899999997</v>
      </c>
      <c r="BZ378" s="163">
        <v>-6583208.2400000002</v>
      </c>
      <c r="CA378" s="163">
        <v>-8367624.71</v>
      </c>
      <c r="CB378" s="163">
        <v>-6436943.6799999997</v>
      </c>
      <c r="CC378" s="163">
        <v>-9806231.4000000004</v>
      </c>
      <c r="CD378" s="163">
        <v>-10042270.17</v>
      </c>
      <c r="CE378" s="163">
        <v>-6059639.7400000002</v>
      </c>
      <c r="CF378" s="163">
        <v>-5253805.97</v>
      </c>
      <c r="CG378" s="163">
        <v>-7058433.2699999996</v>
      </c>
      <c r="CH378" s="163">
        <v>-6069072.0199999996</v>
      </c>
      <c r="CI378" s="163">
        <v>-12802384.42</v>
      </c>
      <c r="CJ378" s="163">
        <v>-14186404.26</v>
      </c>
      <c r="CK378" s="163">
        <v>-12774503.279999999</v>
      </c>
      <c r="CL378" s="163">
        <v>-12213369.23</v>
      </c>
      <c r="CM378" s="163">
        <v>-5551002.8600000003</v>
      </c>
      <c r="CN378" s="163">
        <v>-15103570.75</v>
      </c>
      <c r="CO378" s="163">
        <v>-11668179.66</v>
      </c>
      <c r="CP378" s="163">
        <v>-13634860.560000001</v>
      </c>
      <c r="CQ378" s="163">
        <v>-12336510.57</v>
      </c>
      <c r="CR378" s="163">
        <v>-10228568.550000001</v>
      </c>
      <c r="CS378" s="163">
        <v>-14919462.68</v>
      </c>
      <c r="CT378" s="163">
        <v>-11299470.59</v>
      </c>
      <c r="CU378" s="163">
        <v>-13776142.67</v>
      </c>
      <c r="CV378" s="163">
        <v>-16072202.789999999</v>
      </c>
      <c r="CW378" s="163">
        <v>-13834651.859999999</v>
      </c>
      <c r="CX378" s="163">
        <v>-13329201.52</v>
      </c>
      <c r="CY378" s="163">
        <v>-15230920.619999999</v>
      </c>
      <c r="CZ378" s="163">
        <v>-10942503.539999999</v>
      </c>
      <c r="DA378" s="163">
        <v>-13229110.449999999</v>
      </c>
      <c r="DB378" s="163">
        <v>-15795049.810000001</v>
      </c>
      <c r="DC378" s="163">
        <v>-15179281.59</v>
      </c>
      <c r="DD378" s="163">
        <v>-11760573.24</v>
      </c>
      <c r="DE378" s="163">
        <v>-11920240.18</v>
      </c>
      <c r="DF378" s="163">
        <f>VLOOKUP($A378,'[3]BS ACC'!$A$258:$DH$1006,110,FALSE)</f>
        <v>-9260249.9700000007</v>
      </c>
      <c r="DG378" s="163">
        <f>VLOOKUP($A378,'[3]BS ACC'!$A$258:$DH$1006,111,FALSE)</f>
        <v>-14395230.34</v>
      </c>
      <c r="DH378" s="163">
        <f>VLOOKUP($A378,'[3]BS ACC'!$A$258:$DH$1006,112,FALSE)</f>
        <v>-28136525.460000001</v>
      </c>
    </row>
    <row r="379" spans="1:112">
      <c r="A379" t="s">
        <v>868</v>
      </c>
      <c r="D379" s="345">
        <v>-38962429.020000003</v>
      </c>
      <c r="E379" s="345">
        <v>-39112595.640000001</v>
      </c>
      <c r="F379" s="345">
        <v>-39329145.899999999</v>
      </c>
      <c r="G379" s="345">
        <v>-39461443.399999999</v>
      </c>
      <c r="H379" s="345">
        <v>-39583104.740000002</v>
      </c>
      <c r="I379" s="345">
        <v>-39821823.649999999</v>
      </c>
      <c r="J379" s="345">
        <v>-40036880.060000002</v>
      </c>
      <c r="K379" s="345">
        <v>-40263756.149999999</v>
      </c>
      <c r="L379" s="345">
        <v>-40333365.270000003</v>
      </c>
      <c r="M379" s="345">
        <v>-40544032.380000003</v>
      </c>
      <c r="N379" s="345">
        <v>-40969295.75</v>
      </c>
      <c r="O379" s="345">
        <v>-40712822.090000004</v>
      </c>
      <c r="P379" s="345">
        <v>-40677812.380000003</v>
      </c>
      <c r="Q379" s="163">
        <v>-40827863.630000003</v>
      </c>
      <c r="R379" s="163">
        <v>-40820118.770000003</v>
      </c>
      <c r="S379" s="163">
        <v>-40888398.490000002</v>
      </c>
      <c r="T379" s="163">
        <v>-41089494.909999996</v>
      </c>
      <c r="U379" s="163">
        <v>-41312343.25</v>
      </c>
      <c r="V379" s="163">
        <v>-41383647.420000002</v>
      </c>
      <c r="W379" s="163">
        <v>-41410597.799999997</v>
      </c>
      <c r="X379" s="163">
        <v>-41393510.390000001</v>
      </c>
      <c r="Y379" s="163">
        <v>-41450160.880000003</v>
      </c>
      <c r="Z379" s="163">
        <v>-41587989.280000001</v>
      </c>
      <c r="AA379" s="163">
        <v>-41843452.020000003</v>
      </c>
      <c r="AB379" s="163">
        <v>-41965312.640000001</v>
      </c>
      <c r="AC379" s="163">
        <v>-40665207.799999997</v>
      </c>
      <c r="AD379" s="163">
        <v>-39610666.600000001</v>
      </c>
      <c r="AE379" s="163">
        <v>-38879324.659999996</v>
      </c>
      <c r="AF379" s="163">
        <v>-37845487.399999999</v>
      </c>
      <c r="AG379" s="163">
        <v>-36776756.5</v>
      </c>
      <c r="AH379" s="163">
        <v>-35960623.130000003</v>
      </c>
      <c r="AI379" s="163">
        <v>-34851425.530000001</v>
      </c>
      <c r="AJ379" s="163">
        <v>-33817141.539999999</v>
      </c>
      <c r="AK379" s="163">
        <v>-32932805.510000002</v>
      </c>
      <c r="AL379" s="163">
        <v>-31621202.239999998</v>
      </c>
      <c r="AM379" s="163">
        <v>-30521670.870000001</v>
      </c>
      <c r="AN379" s="163">
        <v>-28903717.68</v>
      </c>
      <c r="AO379" s="163">
        <v>-28196166.109999999</v>
      </c>
      <c r="AP379" s="163">
        <v>-27625247.010000002</v>
      </c>
      <c r="AQ379" s="163">
        <v>-27379223.07</v>
      </c>
      <c r="AR379" s="163">
        <v>-27370196.93</v>
      </c>
      <c r="AS379" s="163">
        <v>-27206476.620000001</v>
      </c>
      <c r="AT379" s="163">
        <v>-27083939.870000001</v>
      </c>
      <c r="AU379" s="163">
        <v>-26895005.5</v>
      </c>
      <c r="AV379" s="163">
        <v>-26863874.789999999</v>
      </c>
      <c r="AW379" s="163">
        <v>-26776195.57</v>
      </c>
      <c r="AX379" s="163">
        <v>-26781165.579999998</v>
      </c>
      <c r="AY379" s="163">
        <v>-26615167.710000001</v>
      </c>
      <c r="AZ379" s="163">
        <v>-26514398.550000001</v>
      </c>
      <c r="BA379" s="163">
        <v>-26363703.129999999</v>
      </c>
      <c r="BB379" s="163">
        <v>-26395380.91</v>
      </c>
      <c r="BC379" s="163">
        <v>-26455339.93</v>
      </c>
      <c r="BD379" s="163">
        <v>-26531333.899999999</v>
      </c>
      <c r="BE379" s="163">
        <v>-26616760.98</v>
      </c>
      <c r="BF379" s="163">
        <v>-26666275.280000001</v>
      </c>
      <c r="BG379" s="163">
        <v>-26688232.690000001</v>
      </c>
      <c r="BH379" s="163">
        <v>-26586983.190000001</v>
      </c>
      <c r="BI379" s="163">
        <v>-26554012.34</v>
      </c>
      <c r="BJ379" s="163">
        <v>-26503257.5</v>
      </c>
      <c r="BK379" s="163">
        <v>-26477855.82</v>
      </c>
      <c r="BL379" s="163">
        <v>-26414685.43</v>
      </c>
      <c r="BM379" s="163">
        <v>-26378705.32</v>
      </c>
      <c r="BN379" s="163">
        <v>-26409455.109999999</v>
      </c>
      <c r="BO379" s="163">
        <v>-26436131.82</v>
      </c>
      <c r="BP379" s="163">
        <v>-26368349.969999999</v>
      </c>
      <c r="BQ379" s="163">
        <v>-26391817.390000001</v>
      </c>
      <c r="BR379" s="163">
        <v>-26389020.23</v>
      </c>
      <c r="BS379" s="163">
        <v>-26373615.09</v>
      </c>
      <c r="BT379" s="163">
        <v>-26281969.59</v>
      </c>
      <c r="BU379" s="163">
        <v>-26203262.850000001</v>
      </c>
      <c r="BV379" s="163">
        <v>-26264380.539999999</v>
      </c>
      <c r="BW379" s="163">
        <v>-26260903.879999999</v>
      </c>
      <c r="BX379" s="163">
        <v>-26273516</v>
      </c>
      <c r="BY379" s="163">
        <v>-26234571.920000002</v>
      </c>
      <c r="BZ379" s="163">
        <v>-26322441.66</v>
      </c>
      <c r="CA379" s="163">
        <v>-26315300.809999999</v>
      </c>
      <c r="CB379" s="163">
        <v>-26262756</v>
      </c>
      <c r="CC379" s="163">
        <v>-26163201.969999999</v>
      </c>
      <c r="CD379" s="163">
        <v>-26058047.059999999</v>
      </c>
      <c r="CE379" s="163">
        <v>-26050799.27</v>
      </c>
      <c r="CF379" s="163">
        <v>-26010773.23</v>
      </c>
      <c r="CG379" s="163">
        <v>-26026972.77</v>
      </c>
      <c r="CH379" s="163">
        <v>-25987550.68</v>
      </c>
      <c r="CI379" s="163">
        <v>-25927305.43</v>
      </c>
      <c r="CJ379" s="163">
        <v>-25669278.079999998</v>
      </c>
      <c r="CK379" s="163">
        <v>-25835811.829999998</v>
      </c>
      <c r="CL379" s="163">
        <v>-25862973.25</v>
      </c>
      <c r="CM379" s="163">
        <v>-25976420.379999999</v>
      </c>
      <c r="CN379" s="163">
        <v>-25907474.699999999</v>
      </c>
      <c r="CO379" s="163">
        <v>-25996263.77</v>
      </c>
      <c r="CP379" s="163">
        <v>-26118439.879999999</v>
      </c>
      <c r="CQ379" s="163">
        <v>-26285203.600000001</v>
      </c>
      <c r="CR379" s="163">
        <v>-26361528.359999999</v>
      </c>
      <c r="CS379" s="163">
        <v>-26541796.670000002</v>
      </c>
      <c r="CT379" s="163">
        <v>-26678226.34</v>
      </c>
      <c r="CU379" s="163">
        <v>-26904461.460000001</v>
      </c>
      <c r="CV379" s="163">
        <v>-27054409.190000001</v>
      </c>
      <c r="CW379" s="163">
        <v>-27328605.280000001</v>
      </c>
      <c r="CX379" s="163">
        <v>-27441940.440000001</v>
      </c>
      <c r="CY379" s="163">
        <v>-27629575.949999999</v>
      </c>
      <c r="CZ379" s="163">
        <v>-27746982.91</v>
      </c>
      <c r="DA379" s="163">
        <v>-27983426.920000002</v>
      </c>
      <c r="DB379" s="163">
        <v>-28348424.100000001</v>
      </c>
      <c r="DC379" s="163">
        <v>-28566511.77</v>
      </c>
      <c r="DD379" s="163">
        <v>-28784521.449999999</v>
      </c>
      <c r="DE379" s="163">
        <v>-29071241.420000002</v>
      </c>
      <c r="DF379" s="163">
        <f>VLOOKUP($A379,'[3]BS ACC'!$A$258:$DH$1006,110,FALSE)</f>
        <v>-29241534.52</v>
      </c>
      <c r="DG379" s="163">
        <f>VLOOKUP($A379,'[3]BS ACC'!$A$258:$DH$1006,111,FALSE)</f>
        <v>-29454164.27</v>
      </c>
      <c r="DH379" s="163">
        <f>VLOOKUP($A379,'[3]BS ACC'!$A$258:$DH$1006,112,FALSE)</f>
        <v>-29859419.059999999</v>
      </c>
    </row>
    <row r="380" spans="1:112">
      <c r="A380" t="s">
        <v>869</v>
      </c>
      <c r="D380" s="345">
        <v>-2661809.34</v>
      </c>
      <c r="E380" s="345">
        <v>-5180760.78</v>
      </c>
      <c r="F380" s="345">
        <v>-8821051.5899999999</v>
      </c>
      <c r="G380" s="345">
        <v>-13537710.529999999</v>
      </c>
      <c r="H380" s="345">
        <v>-8074034.5199999996</v>
      </c>
      <c r="I380" s="345">
        <v>-10106416.33</v>
      </c>
      <c r="J380" s="345">
        <v>-4232470.18</v>
      </c>
      <c r="K380" s="345">
        <v>-4678034.47</v>
      </c>
      <c r="L380" s="345">
        <v>-5537125.4800000004</v>
      </c>
      <c r="M380" s="345">
        <v>-2803181.21</v>
      </c>
      <c r="N380" s="345">
        <v>-8181970.9800000004</v>
      </c>
      <c r="O380" s="345">
        <v>1388230.13</v>
      </c>
      <c r="P380" s="345">
        <v>-3125457.54</v>
      </c>
      <c r="Q380" s="163">
        <v>2874887.69</v>
      </c>
      <c r="R380" s="163">
        <v>448782.35</v>
      </c>
      <c r="S380" s="163">
        <v>-13008565.060000001</v>
      </c>
      <c r="T380" s="163">
        <v>-7852275.29</v>
      </c>
      <c r="U380" s="163">
        <v>-9473014.7899999991</v>
      </c>
      <c r="V380" s="163">
        <v>-4786486.72</v>
      </c>
      <c r="W380" s="163">
        <v>-5742041.29</v>
      </c>
      <c r="X380" s="163">
        <v>-7537266.29</v>
      </c>
      <c r="Y380" s="163">
        <v>-6041060.71</v>
      </c>
      <c r="Z380" s="163">
        <v>-6234959.2199999997</v>
      </c>
      <c r="AA380" s="163">
        <v>2185491.84</v>
      </c>
      <c r="AB380" s="163">
        <v>-3120655.9</v>
      </c>
      <c r="AC380" s="163">
        <v>7715315.5599999996</v>
      </c>
      <c r="AD380" s="163">
        <v>3665281.86</v>
      </c>
      <c r="AE380" s="163">
        <v>-11655581.529999999</v>
      </c>
      <c r="AF380" s="163">
        <v>-7348286.0199999996</v>
      </c>
      <c r="AG380" s="163">
        <v>-8359565.5300000003</v>
      </c>
      <c r="AH380" s="163">
        <v>-3701789.58</v>
      </c>
      <c r="AI380" s="163">
        <v>-3909603.74</v>
      </c>
      <c r="AJ380" s="163">
        <v>-4047479.05</v>
      </c>
      <c r="AK380" s="163">
        <v>-10584268.789999999</v>
      </c>
      <c r="AL380" s="163">
        <v>-9600657.3800000008</v>
      </c>
      <c r="AM380" s="163">
        <v>-892689.84</v>
      </c>
      <c r="AN380" s="163">
        <v>-3323403.18</v>
      </c>
      <c r="AO380" s="163">
        <v>-4081388.93</v>
      </c>
      <c r="AP380" s="163">
        <v>-5102247.07</v>
      </c>
      <c r="AQ380" s="163">
        <v>-6243704.0800000001</v>
      </c>
      <c r="AR380" s="163">
        <v>-8059699.54</v>
      </c>
      <c r="AS380" s="163">
        <v>-7823994.8399999999</v>
      </c>
      <c r="AT380" s="163">
        <v>-8293666.0499999998</v>
      </c>
      <c r="AU380" s="163">
        <v>-7169149.1200000001</v>
      </c>
      <c r="AV380" s="163">
        <v>-7239049.1699999999</v>
      </c>
      <c r="AW380" s="163">
        <v>-9702564.8399999999</v>
      </c>
      <c r="AX380" s="163">
        <v>-8808994.9299999997</v>
      </c>
      <c r="AY380" s="163">
        <v>661714.59</v>
      </c>
      <c r="AZ380" s="163">
        <v>-9211122.5999999996</v>
      </c>
      <c r="BA380" s="163">
        <v>-13572600.4</v>
      </c>
      <c r="BB380" s="163">
        <v>-14600365.470000001</v>
      </c>
      <c r="BC380" s="163">
        <v>-16231247.41</v>
      </c>
      <c r="BD380" s="163">
        <v>-11145731.16</v>
      </c>
      <c r="BE380" s="163">
        <v>-12161457.390000001</v>
      </c>
      <c r="BF380" s="163">
        <v>-11591468.59</v>
      </c>
      <c r="BG380" s="163">
        <v>-11572036.550000001</v>
      </c>
      <c r="BH380" s="163">
        <v>-11799321.119999999</v>
      </c>
      <c r="BI380" s="163">
        <v>-12219601.689999999</v>
      </c>
      <c r="BJ380" s="163">
        <v>-12874721.99</v>
      </c>
      <c r="BK380" s="163">
        <v>463617.95</v>
      </c>
      <c r="BL380" s="163">
        <v>-6451121.5300000003</v>
      </c>
      <c r="BM380" s="163">
        <v>-8941824.9199999999</v>
      </c>
      <c r="BN380" s="163">
        <v>-9832166</v>
      </c>
      <c r="BO380" s="163">
        <v>-11847959.99</v>
      </c>
      <c r="BP380" s="163">
        <v>-10251864.82</v>
      </c>
      <c r="BQ380" s="163">
        <v>-11744991.890000001</v>
      </c>
      <c r="BR380" s="163">
        <v>-11986398.289999999</v>
      </c>
      <c r="BS380" s="163">
        <v>-12146912.060000001</v>
      </c>
      <c r="BT380" s="163">
        <v>-12819012.73</v>
      </c>
      <c r="BU380" s="163">
        <v>-12254391.369999999</v>
      </c>
      <c r="BV380" s="163">
        <v>-13590333.82</v>
      </c>
      <c r="BW380" s="163">
        <v>-3703619.73</v>
      </c>
      <c r="BX380" s="163">
        <v>-4000873.32</v>
      </c>
      <c r="BY380" s="163">
        <v>-7739225.3899999997</v>
      </c>
      <c r="BZ380" s="163">
        <v>-6636305.2599999998</v>
      </c>
      <c r="CA380" s="163">
        <v>-8121303.8300000001</v>
      </c>
      <c r="CB380" s="163">
        <v>-9757295.5199999996</v>
      </c>
      <c r="CC380" s="163">
        <v>-10765886.560000001</v>
      </c>
      <c r="CD380" s="163">
        <v>-12823264.51</v>
      </c>
      <c r="CE380" s="163">
        <v>-12925459.140000001</v>
      </c>
      <c r="CF380" s="163">
        <v>-14466550.1</v>
      </c>
      <c r="CG380" s="163">
        <v>-16083975.449999999</v>
      </c>
      <c r="CH380" s="163">
        <v>-16100457.58</v>
      </c>
      <c r="CI380" s="163">
        <v>-5612356.0300000003</v>
      </c>
      <c r="CJ380" s="163">
        <v>-6793552.75</v>
      </c>
      <c r="CK380" s="163">
        <v>-11092050.33</v>
      </c>
      <c r="CL380" s="163">
        <v>-13454663.57</v>
      </c>
      <c r="CM380" s="163">
        <v>-13696435.42</v>
      </c>
      <c r="CN380" s="163">
        <v>-13245149.210000001</v>
      </c>
      <c r="CO380" s="163">
        <v>-13762335.24</v>
      </c>
      <c r="CP380" s="163">
        <v>-15275107.060000001</v>
      </c>
      <c r="CQ380" s="163">
        <v>-15073857.289999999</v>
      </c>
      <c r="CR380" s="163">
        <v>-16948134.420000002</v>
      </c>
      <c r="CS380" s="163">
        <v>-14409446.15</v>
      </c>
      <c r="CT380" s="163">
        <v>-14270872.98</v>
      </c>
      <c r="CU380" s="163">
        <v>-625641.26</v>
      </c>
      <c r="CV380" s="163">
        <v>-5470037.29</v>
      </c>
      <c r="CW380" s="163">
        <v>-5354349.95</v>
      </c>
      <c r="CX380" s="163">
        <v>-10627889.68</v>
      </c>
      <c r="CY380" s="163">
        <v>-11968092.49</v>
      </c>
      <c r="CZ380" s="163">
        <v>-16722499.220000001</v>
      </c>
      <c r="DA380" s="163">
        <v>-18739025.32</v>
      </c>
      <c r="DB380" s="163">
        <v>-18805484.620000001</v>
      </c>
      <c r="DC380" s="163">
        <v>-18581565.469999999</v>
      </c>
      <c r="DD380" s="163">
        <v>-16900474.149999999</v>
      </c>
      <c r="DE380" s="163">
        <v>-18963908.780000001</v>
      </c>
      <c r="DF380" s="163">
        <f>VLOOKUP($A380,'[3]BS ACC'!$A$258:$DH$1006,110,FALSE)</f>
        <v>-20286578.75</v>
      </c>
      <c r="DG380" s="163">
        <f>VLOOKUP($A380,'[3]BS ACC'!$A$258:$DH$1006,111,FALSE)</f>
        <v>-4641000.38</v>
      </c>
      <c r="DH380" s="163">
        <f>VLOOKUP($A380,'[3]BS ACC'!$A$258:$DH$1006,112,FALSE)</f>
        <v>-5191933.03</v>
      </c>
    </row>
    <row r="381" spans="1:112">
      <c r="A381" t="s">
        <v>870</v>
      </c>
      <c r="D381" s="345">
        <v>-1777759.74</v>
      </c>
      <c r="E381" s="345">
        <v>-2851859.98</v>
      </c>
      <c r="F381" s="345">
        <v>-3924698.87</v>
      </c>
      <c r="G381" s="345">
        <v>-4672118.37</v>
      </c>
      <c r="H381" s="345">
        <v>-5743876.3499999996</v>
      </c>
      <c r="I381" s="345">
        <v>-2200995.88</v>
      </c>
      <c r="J381" s="345">
        <v>-2282197.87</v>
      </c>
      <c r="K381" s="345">
        <v>-3388282.32</v>
      </c>
      <c r="L381" s="345">
        <v>-3585974.15</v>
      </c>
      <c r="M381" s="345">
        <v>-4377324.16</v>
      </c>
      <c r="N381" s="345">
        <v>-5492687.0999999996</v>
      </c>
      <c r="O381" s="345">
        <v>-1755680.89</v>
      </c>
      <c r="P381" s="345">
        <v>-1844901.51</v>
      </c>
      <c r="Q381" s="163">
        <v>-2956754.27</v>
      </c>
      <c r="R381" s="163">
        <v>-4068292.15</v>
      </c>
      <c r="S381" s="163">
        <v>-4853522.32</v>
      </c>
      <c r="T381" s="163">
        <v>-5964777.3600000003</v>
      </c>
      <c r="U381" s="163">
        <v>-2255473.77</v>
      </c>
      <c r="V381" s="163">
        <v>-2408319.5</v>
      </c>
      <c r="W381" s="163">
        <v>-3586757.24</v>
      </c>
      <c r="X381" s="163">
        <v>-3829443.16</v>
      </c>
      <c r="Y381" s="163">
        <v>-4693167.0199999996</v>
      </c>
      <c r="Z381" s="163">
        <v>-5881253.3300000001</v>
      </c>
      <c r="AA381" s="163">
        <v>-1800558.87</v>
      </c>
      <c r="AB381" s="163">
        <v>-1626904.81</v>
      </c>
      <c r="AC381" s="163">
        <v>-2816704.19</v>
      </c>
      <c r="AD381" s="163">
        <v>-4002188.3</v>
      </c>
      <c r="AE381" s="163">
        <v>-4858905.9000000004</v>
      </c>
      <c r="AF381" s="163">
        <v>-6037300.6799999997</v>
      </c>
      <c r="AG381" s="163">
        <v>-1942123.09</v>
      </c>
      <c r="AH381" s="163">
        <v>-2089537.43</v>
      </c>
      <c r="AI381" s="163">
        <v>-3257255.91</v>
      </c>
      <c r="AJ381" s="163">
        <v>-3819198.74</v>
      </c>
      <c r="AK381" s="163">
        <v>-4664755.87</v>
      </c>
      <c r="AL381" s="163">
        <v>-5832516.3899999997</v>
      </c>
      <c r="AM381" s="163">
        <v>-1725098.14</v>
      </c>
      <c r="AN381" s="163">
        <v>-1610349</v>
      </c>
      <c r="AO381" s="163">
        <v>-2770211.73</v>
      </c>
      <c r="AP381" s="163">
        <v>-3926470.74</v>
      </c>
      <c r="AQ381" s="163">
        <v>-4756681.2</v>
      </c>
      <c r="AR381" s="163">
        <v>-5910056.5700000003</v>
      </c>
      <c r="AS381" s="163">
        <v>-1791805.36</v>
      </c>
      <c r="AT381" s="163">
        <v>-1918348.83</v>
      </c>
      <c r="AU381" s="163">
        <v>-3064081.38</v>
      </c>
      <c r="AV381" s="163">
        <v>-4211704.8899999997</v>
      </c>
      <c r="AW381" s="163">
        <v>-5034860.0999999996</v>
      </c>
      <c r="AX381" s="163">
        <v>-6181157.9400000004</v>
      </c>
      <c r="AY381" s="163">
        <v>-2053097.21</v>
      </c>
      <c r="AZ381" s="163">
        <v>-1610109.86</v>
      </c>
      <c r="BA381" s="163">
        <v>-2767509.09</v>
      </c>
      <c r="BB381" s="163">
        <v>-3924170</v>
      </c>
      <c r="BC381" s="163">
        <v>-4753846.54</v>
      </c>
      <c r="BD381" s="163">
        <v>-5908484.71</v>
      </c>
      <c r="BE381" s="163">
        <v>-1665369.45</v>
      </c>
      <c r="BF381" s="163">
        <v>-1537027.2</v>
      </c>
      <c r="BG381" s="163">
        <v>-2909793.69</v>
      </c>
      <c r="BH381" s="163">
        <v>-4075867.62</v>
      </c>
      <c r="BI381" s="163">
        <v>-4916046.93</v>
      </c>
      <c r="BJ381" s="163">
        <v>-6159875.5599999996</v>
      </c>
      <c r="BK381" s="163">
        <v>-3671296.08</v>
      </c>
      <c r="BL381" s="163">
        <v>-1628035.39</v>
      </c>
      <c r="BM381" s="163">
        <v>-2893134.08</v>
      </c>
      <c r="BN381" s="163">
        <v>-4157387.1</v>
      </c>
      <c r="BO381" s="163">
        <v>-5094971.4800000004</v>
      </c>
      <c r="BP381" s="163">
        <v>-6357873.5</v>
      </c>
      <c r="BQ381" s="163">
        <v>-3873812.46</v>
      </c>
      <c r="BR381" s="163">
        <v>-1719866.43</v>
      </c>
      <c r="BS381" s="163">
        <v>-2996951.33</v>
      </c>
      <c r="BT381" s="163">
        <v>-4329094.1399999997</v>
      </c>
      <c r="BU381" s="163">
        <v>-5336768.17</v>
      </c>
      <c r="BV381" s="163">
        <v>-6668669.4100000001</v>
      </c>
      <c r="BW381" s="163">
        <v>-4253442.32</v>
      </c>
      <c r="BX381" s="163">
        <v>-1450837.09</v>
      </c>
      <c r="BY381" s="163">
        <v>-2790870.41</v>
      </c>
      <c r="BZ381" s="163">
        <v>-4130760</v>
      </c>
      <c r="CA381" s="163">
        <v>-5138976.83</v>
      </c>
      <c r="CB381" s="163">
        <v>-6476256.1699999999</v>
      </c>
      <c r="CC381" s="163">
        <v>-4067159.89</v>
      </c>
      <c r="CD381" s="163">
        <v>-1755227.5</v>
      </c>
      <c r="CE381" s="163">
        <v>-3088454.96</v>
      </c>
      <c r="CF381" s="163">
        <v>-4420758.18</v>
      </c>
      <c r="CG381" s="163">
        <v>-5426815.9400000004</v>
      </c>
      <c r="CH381" s="163">
        <v>-6756177.0099999998</v>
      </c>
      <c r="CI381" s="163">
        <v>-4341584.26</v>
      </c>
      <c r="CJ381" s="163">
        <v>-1444460.74</v>
      </c>
      <c r="CK381" s="163">
        <v>-2783860.37</v>
      </c>
      <c r="CL381" s="163">
        <v>-4122852.14</v>
      </c>
      <c r="CM381" s="163">
        <v>-5453952.0800000001</v>
      </c>
      <c r="CN381" s="163">
        <v>-7351672</v>
      </c>
      <c r="CO381" s="163">
        <v>-5292848.7699999996</v>
      </c>
      <c r="CP381" s="163">
        <v>-3437048.73</v>
      </c>
      <c r="CQ381" s="163">
        <v>-5123939.24</v>
      </c>
      <c r="CR381" s="163">
        <v>-6809838.7199999997</v>
      </c>
      <c r="CS381" s="163">
        <v>-4769517.4800000004</v>
      </c>
      <c r="CT381" s="163">
        <v>-6452853.7000000002</v>
      </c>
      <c r="CU381" s="163">
        <v>-5655604.2999999998</v>
      </c>
      <c r="CV381" s="163">
        <v>-3091860.12</v>
      </c>
      <c r="CW381" s="163">
        <v>-4784625.57</v>
      </c>
      <c r="CX381" s="163">
        <v>-6477240.7999999998</v>
      </c>
      <c r="CY381" s="163">
        <v>-4481144.78</v>
      </c>
      <c r="CZ381" s="163">
        <v>-6172977.6900000004</v>
      </c>
      <c r="DA381" s="163">
        <v>-5381666.96</v>
      </c>
      <c r="DB381" s="163">
        <v>-3425060.26</v>
      </c>
      <c r="DC381" s="163">
        <v>-5281656.1399999997</v>
      </c>
      <c r="DD381" s="163">
        <v>-7248784.8700000001</v>
      </c>
      <c r="DE381" s="163">
        <v>-5501163.5499999998</v>
      </c>
      <c r="DF381" s="163">
        <f>VLOOKUP($A381,'[3]BS ACC'!$A$258:$DH$1006,110,FALSE)</f>
        <v>-7413285.6699999999</v>
      </c>
      <c r="DG381" s="163">
        <f>VLOOKUP($A381,'[3]BS ACC'!$A$258:$DH$1006,111,FALSE)</f>
        <v>-6844257.0199999996</v>
      </c>
      <c r="DH381" s="163">
        <f>VLOOKUP($A381,'[3]BS ACC'!$A$258:$DH$1006,112,FALSE)</f>
        <v>-4458906.53</v>
      </c>
    </row>
    <row r="382" spans="1:112">
      <c r="A382" t="s">
        <v>871</v>
      </c>
      <c r="D382" s="345">
        <v>0</v>
      </c>
      <c r="E382" s="345">
        <v>-7357286.6799999997</v>
      </c>
      <c r="F382" s="345">
        <v>0</v>
      </c>
      <c r="G382" s="345">
        <v>0</v>
      </c>
      <c r="H382" s="345">
        <v>-11948603.68</v>
      </c>
      <c r="I382" s="345">
        <v>0</v>
      </c>
      <c r="J382" s="345">
        <v>0</v>
      </c>
      <c r="K382" s="345">
        <v>-9971893.4700000007</v>
      </c>
      <c r="L382" s="345">
        <v>0</v>
      </c>
      <c r="M382" s="345">
        <v>0</v>
      </c>
      <c r="N382" s="345">
        <v>-5874136.4699999997</v>
      </c>
      <c r="O382" s="345">
        <v>0</v>
      </c>
      <c r="P382" s="345">
        <v>0</v>
      </c>
      <c r="Q382" s="163">
        <v>0</v>
      </c>
      <c r="R382" s="163">
        <v>-6579361.9699999997</v>
      </c>
      <c r="S382" s="163">
        <v>0</v>
      </c>
      <c r="T382" s="163">
        <v>-14236193.27</v>
      </c>
      <c r="U382" s="163">
        <v>0</v>
      </c>
      <c r="V382" s="163">
        <v>0</v>
      </c>
      <c r="W382" s="163">
        <v>-8836348.5500000007</v>
      </c>
      <c r="X382" s="163">
        <v>0</v>
      </c>
      <c r="Y382" s="163">
        <v>0</v>
      </c>
      <c r="Z382" s="163">
        <v>0</v>
      </c>
      <c r="AA382" s="163">
        <v>0</v>
      </c>
      <c r="AB382" s="163">
        <v>0</v>
      </c>
      <c r="AC382" s="163">
        <v>0</v>
      </c>
      <c r="AD382" s="163">
        <v>0</v>
      </c>
      <c r="AE382" s="163">
        <v>0</v>
      </c>
      <c r="AF382" s="163">
        <v>0</v>
      </c>
      <c r="AG382" s="163">
        <v>0</v>
      </c>
      <c r="AH382" s="163">
        <v>0</v>
      </c>
      <c r="AI382" s="163">
        <v>0</v>
      </c>
      <c r="AJ382" s="163">
        <v>0</v>
      </c>
      <c r="AK382" s="163">
        <v>0</v>
      </c>
      <c r="AL382" s="163">
        <v>0</v>
      </c>
      <c r="AM382" s="163">
        <v>0</v>
      </c>
      <c r="AN382" s="163">
        <v>0</v>
      </c>
      <c r="AO382" s="163">
        <v>0</v>
      </c>
      <c r="AP382" s="163">
        <v>0</v>
      </c>
      <c r="AQ382" s="163">
        <v>0</v>
      </c>
      <c r="AR382" s="163">
        <v>0</v>
      </c>
      <c r="AS382" s="163">
        <v>0</v>
      </c>
      <c r="AT382" s="163">
        <v>0</v>
      </c>
      <c r="AU382" s="163">
        <v>0</v>
      </c>
      <c r="AV382" s="163">
        <v>0</v>
      </c>
      <c r="AW382" s="163">
        <v>0</v>
      </c>
      <c r="AX382" s="163">
        <v>0</v>
      </c>
      <c r="AY382" s="163">
        <v>0</v>
      </c>
      <c r="AZ382" s="163">
        <v>0</v>
      </c>
      <c r="BA382" s="163">
        <v>0</v>
      </c>
      <c r="BB382" s="163">
        <v>0</v>
      </c>
      <c r="BC382" s="163">
        <v>0</v>
      </c>
      <c r="BD382" s="163">
        <v>0</v>
      </c>
      <c r="BE382" s="163">
        <v>-15456143.34</v>
      </c>
      <c r="BF382" s="163">
        <v>0</v>
      </c>
      <c r="BG382" s="163">
        <v>0</v>
      </c>
      <c r="BH382" s="163">
        <v>0</v>
      </c>
      <c r="BI382" s="163">
        <v>0</v>
      </c>
      <c r="BJ382" s="163">
        <v>0</v>
      </c>
      <c r="BK382" s="163">
        <v>0</v>
      </c>
      <c r="BL382" s="163">
        <v>0</v>
      </c>
      <c r="BM382" s="163">
        <v>0</v>
      </c>
      <c r="BN382" s="163">
        <v>0</v>
      </c>
      <c r="BO382" s="163">
        <v>0</v>
      </c>
      <c r="BP382" s="163">
        <v>0</v>
      </c>
      <c r="BQ382" s="163">
        <v>0</v>
      </c>
      <c r="BR382" s="163">
        <v>0</v>
      </c>
      <c r="BS382" s="163">
        <v>0</v>
      </c>
      <c r="BT382" s="163">
        <v>0</v>
      </c>
      <c r="BU382" s="163">
        <v>0</v>
      </c>
      <c r="BV382" s="163">
        <v>0</v>
      </c>
      <c r="BW382" s="163">
        <v>0</v>
      </c>
      <c r="BX382" s="163">
        <v>0</v>
      </c>
      <c r="BY382" s="163">
        <v>0</v>
      </c>
      <c r="BZ382" s="163">
        <v>0</v>
      </c>
      <c r="CA382" s="163">
        <v>0</v>
      </c>
      <c r="CB382" s="163">
        <v>0</v>
      </c>
      <c r="CC382" s="163">
        <v>0</v>
      </c>
      <c r="CD382" s="163">
        <v>0</v>
      </c>
      <c r="CE382" s="163">
        <v>0</v>
      </c>
      <c r="CF382" s="163">
        <v>0</v>
      </c>
      <c r="CG382" s="163">
        <v>0</v>
      </c>
      <c r="CH382" s="163">
        <v>0</v>
      </c>
      <c r="CI382" s="163">
        <v>0</v>
      </c>
      <c r="CJ382" s="163">
        <v>0</v>
      </c>
      <c r="CK382" s="163">
        <v>0</v>
      </c>
      <c r="CL382" s="163">
        <v>0</v>
      </c>
      <c r="CM382" s="163">
        <v>0</v>
      </c>
      <c r="CN382" s="163">
        <v>-27095926</v>
      </c>
      <c r="CO382" s="163">
        <v>0</v>
      </c>
      <c r="CP382" s="163">
        <v>0</v>
      </c>
      <c r="CQ382" s="163">
        <v>0</v>
      </c>
      <c r="CR382" s="163">
        <v>0</v>
      </c>
      <c r="CS382" s="163">
        <v>0</v>
      </c>
      <c r="CT382" s="163">
        <v>0</v>
      </c>
      <c r="CU382" s="163">
        <v>0</v>
      </c>
      <c r="CV382" s="163">
        <v>0</v>
      </c>
      <c r="CW382" s="163">
        <v>0</v>
      </c>
      <c r="CX382" s="163">
        <v>0</v>
      </c>
      <c r="CY382" s="163">
        <v>0</v>
      </c>
      <c r="CZ382" s="163">
        <v>-29543003</v>
      </c>
      <c r="DA382" s="163">
        <v>0</v>
      </c>
      <c r="DB382" s="163">
        <v>0</v>
      </c>
      <c r="DC382" s="163">
        <v>0</v>
      </c>
      <c r="DD382" s="163">
        <v>0</v>
      </c>
      <c r="DE382" s="163">
        <v>0</v>
      </c>
      <c r="DF382" s="163">
        <f>VLOOKUP($A382,'[3]BS ACC'!$A$258:$DH$1006,110,FALSE)</f>
        <v>-16227366</v>
      </c>
      <c r="DG382" s="163">
        <f>VLOOKUP($A382,'[3]BS ACC'!$A$258:$DH$1006,111,FALSE)</f>
        <v>0</v>
      </c>
      <c r="DH382" s="163">
        <f>VLOOKUP($A382,'[3]BS ACC'!$A$258:$DH$1006,112,FALSE)</f>
        <v>0</v>
      </c>
    </row>
    <row r="383" spans="1:112">
      <c r="A383" t="s">
        <v>872</v>
      </c>
      <c r="D383" s="345">
        <v>-614504.11</v>
      </c>
      <c r="E383" s="345">
        <v>-1811549.86</v>
      </c>
      <c r="F383" s="345">
        <v>-857926.3</v>
      </c>
      <c r="G383" s="345">
        <v>-722767.87</v>
      </c>
      <c r="H383" s="345">
        <v>-644467.26</v>
      </c>
      <c r="I383" s="345">
        <v>-589653.07999999996</v>
      </c>
      <c r="J383" s="345">
        <v>-571462.40000000002</v>
      </c>
      <c r="K383" s="345">
        <v>-575332.19999999995</v>
      </c>
      <c r="L383" s="345">
        <v>-521313.55</v>
      </c>
      <c r="M383" s="345">
        <v>-543111.43999999994</v>
      </c>
      <c r="N383" s="345">
        <v>-566268.68000000005</v>
      </c>
      <c r="O383" s="345">
        <v>-583233.68000000005</v>
      </c>
      <c r="P383" s="345">
        <v>-705383.5</v>
      </c>
      <c r="Q383" s="163">
        <v>-821585.97</v>
      </c>
      <c r="R383" s="163">
        <v>-821348.03</v>
      </c>
      <c r="S383" s="163">
        <v>-777644.03</v>
      </c>
      <c r="T383" s="163">
        <v>-876828.85</v>
      </c>
      <c r="U383" s="163">
        <v>-782945.47</v>
      </c>
      <c r="V383" s="163">
        <v>-589778.24</v>
      </c>
      <c r="W383" s="163">
        <v>-546821.84</v>
      </c>
      <c r="X383" s="163">
        <v>-542540.61</v>
      </c>
      <c r="Y383" s="163">
        <v>-522030.53</v>
      </c>
      <c r="Z383" s="163">
        <v>-523961.29</v>
      </c>
      <c r="AA383" s="163">
        <v>-565244.86</v>
      </c>
      <c r="AB383" s="163">
        <v>-673853.43</v>
      </c>
      <c r="AC383" s="163">
        <v>-744874.22</v>
      </c>
      <c r="AD383" s="163">
        <v>-808152.3</v>
      </c>
      <c r="AE383" s="163">
        <v>-726688.28</v>
      </c>
      <c r="AF383" s="163">
        <v>-679392.72</v>
      </c>
      <c r="AG383" s="163">
        <v>-583746.22</v>
      </c>
      <c r="AH383" s="163">
        <v>-536966.68000000005</v>
      </c>
      <c r="AI383" s="163">
        <v>-511506.26</v>
      </c>
      <c r="AJ383" s="163">
        <v>-498812.41</v>
      </c>
      <c r="AK383" s="163">
        <v>-506211.05</v>
      </c>
      <c r="AL383" s="163">
        <v>-516229.51</v>
      </c>
      <c r="AM383" s="163">
        <v>-553737.23</v>
      </c>
      <c r="AN383" s="163">
        <v>-650854.43999999994</v>
      </c>
      <c r="AO383" s="163">
        <v>-703034.59</v>
      </c>
      <c r="AP383" s="163">
        <v>-705260.46</v>
      </c>
      <c r="AQ383" s="163">
        <v>-694409.3</v>
      </c>
      <c r="AR383" s="163">
        <v>-691374.94</v>
      </c>
      <c r="AS383" s="163">
        <v>-638219.59</v>
      </c>
      <c r="AT383" s="163">
        <v>-596347.6</v>
      </c>
      <c r="AU383" s="163">
        <v>-536500.30000000005</v>
      </c>
      <c r="AV383" s="163">
        <v>-852001.99</v>
      </c>
      <c r="AW383" s="163">
        <v>-563866.84</v>
      </c>
      <c r="AX383" s="163">
        <v>-577410.59</v>
      </c>
      <c r="AY383" s="163">
        <v>-641805.23</v>
      </c>
      <c r="AZ383" s="163">
        <v>-737297.56</v>
      </c>
      <c r="BA383" s="163">
        <v>-969207.6</v>
      </c>
      <c r="BB383" s="163">
        <v>-881359.19</v>
      </c>
      <c r="BC383" s="163">
        <v>-789240.84</v>
      </c>
      <c r="BD383" s="163">
        <v>-748298.9</v>
      </c>
      <c r="BE383" s="163">
        <v>-652970.85</v>
      </c>
      <c r="BF383" s="163">
        <v>-694227.32</v>
      </c>
      <c r="BG383" s="163">
        <v>-599945.51</v>
      </c>
      <c r="BH383" s="163">
        <v>-598232.11</v>
      </c>
      <c r="BI383" s="163">
        <v>-565477.14</v>
      </c>
      <c r="BJ383" s="163">
        <v>-563877.37</v>
      </c>
      <c r="BK383" s="163">
        <v>-600488.21</v>
      </c>
      <c r="BL383" s="163">
        <v>-761687.24</v>
      </c>
      <c r="BM383" s="163">
        <v>-1189908.52</v>
      </c>
      <c r="BN383" s="163">
        <v>-1157077.9099999999</v>
      </c>
      <c r="BO383" s="163">
        <v>-767762.11</v>
      </c>
      <c r="BP383" s="163">
        <v>-801996.15</v>
      </c>
      <c r="BQ383" s="163">
        <v>-654831.82999999996</v>
      </c>
      <c r="BR383" s="163">
        <v>-597644.31999999995</v>
      </c>
      <c r="BS383" s="163">
        <v>-515351.78</v>
      </c>
      <c r="BT383" s="163">
        <v>-519696.6</v>
      </c>
      <c r="BU383" s="163">
        <v>-463586.89</v>
      </c>
      <c r="BV383" s="163">
        <v>-489461.66</v>
      </c>
      <c r="BW383" s="163">
        <v>-590698.63</v>
      </c>
      <c r="BX383" s="163">
        <v>-827364.85</v>
      </c>
      <c r="BY383" s="163">
        <v>-865818.22</v>
      </c>
      <c r="BZ383" s="163">
        <v>-893777.78</v>
      </c>
      <c r="CA383" s="163">
        <v>-819534.78</v>
      </c>
      <c r="CB383" s="163">
        <v>-721348.07</v>
      </c>
      <c r="CC383" s="163">
        <v>-673097.76</v>
      </c>
      <c r="CD383" s="163">
        <v>-550073.23</v>
      </c>
      <c r="CE383" s="163">
        <v>-596933.67000000004</v>
      </c>
      <c r="CF383" s="163">
        <v>-579820.56000000006</v>
      </c>
      <c r="CG383" s="163">
        <v>-536728.48</v>
      </c>
      <c r="CH383" s="163">
        <v>-577097.99</v>
      </c>
      <c r="CI383" s="163">
        <v>-670531.81999999995</v>
      </c>
      <c r="CJ383" s="163">
        <v>-1112227.68</v>
      </c>
      <c r="CK383" s="163">
        <v>-1149761.1000000001</v>
      </c>
      <c r="CL383" s="163">
        <v>-1168005.95</v>
      </c>
      <c r="CM383" s="163">
        <v>-1007973.59</v>
      </c>
      <c r="CN383" s="163">
        <v>-1013886.95</v>
      </c>
      <c r="CO383" s="163">
        <v>-880678.85</v>
      </c>
      <c r="CP383" s="163">
        <v>-837037.71</v>
      </c>
      <c r="CQ383" s="163">
        <v>-836713.12</v>
      </c>
      <c r="CR383" s="163">
        <v>-799103.2</v>
      </c>
      <c r="CS383" s="163">
        <v>-874521.06</v>
      </c>
      <c r="CT383" s="163">
        <v>-786312.01</v>
      </c>
      <c r="CU383" s="163">
        <v>-889837.51</v>
      </c>
      <c r="CV383" s="163">
        <v>-1054156.5</v>
      </c>
      <c r="CW383" s="163">
        <v>-1139143.6799999999</v>
      </c>
      <c r="CX383" s="163">
        <v>-1270646.8899999999</v>
      </c>
      <c r="CY383" s="163">
        <v>-1093904.8799999999</v>
      </c>
      <c r="CZ383" s="163">
        <v>-1022850.36</v>
      </c>
      <c r="DA383" s="163">
        <v>-958148.75</v>
      </c>
      <c r="DB383" s="163">
        <v>-1373536.27</v>
      </c>
      <c r="DC383" s="163">
        <v>-1155455.25</v>
      </c>
      <c r="DD383" s="163">
        <v>-907567</v>
      </c>
      <c r="DE383" s="163">
        <v>-946671.31</v>
      </c>
      <c r="DF383" s="163">
        <f>VLOOKUP($A383,'[3]BS ACC'!$A$258:$DH$1006,110,FALSE)</f>
        <v>-988389.62</v>
      </c>
      <c r="DG383" s="163">
        <f>VLOOKUP($A383,'[3]BS ACC'!$A$258:$DH$1006,111,FALSE)</f>
        <v>-892843.06</v>
      </c>
      <c r="DH383" s="163">
        <f>VLOOKUP($A383,'[3]BS ACC'!$A$258:$DH$1006,112,FALSE)</f>
        <v>-1011036.03</v>
      </c>
    </row>
    <row r="384" spans="1:112">
      <c r="A384" t="s">
        <v>873</v>
      </c>
      <c r="D384" s="345">
        <v>-44931658.340000004</v>
      </c>
      <c r="E384" s="345">
        <v>-44950734.18</v>
      </c>
      <c r="F384" s="345">
        <v>-44981085.130000003</v>
      </c>
      <c r="G384" s="345">
        <v>-42998342.740000002</v>
      </c>
      <c r="H384" s="345">
        <v>-42855031.68</v>
      </c>
      <c r="I384" s="345">
        <v>-42878837.530000001</v>
      </c>
      <c r="J384" s="345">
        <v>-40274815.659999996</v>
      </c>
      <c r="K384" s="345">
        <v>-40312183.32</v>
      </c>
      <c r="L384" s="345">
        <v>-40431842.659999996</v>
      </c>
      <c r="M384" s="345">
        <v>-37834345.350000001</v>
      </c>
      <c r="N384" s="345">
        <v>-37871526.369999997</v>
      </c>
      <c r="O384" s="345">
        <v>-37924514.520000003</v>
      </c>
      <c r="P384" s="345">
        <v>-37665637.189999998</v>
      </c>
      <c r="Q384" s="163">
        <v>-37691692.159999996</v>
      </c>
      <c r="R384" s="163">
        <v>-37725906.149999999</v>
      </c>
      <c r="S384" s="163">
        <v>-37597247.740000002</v>
      </c>
      <c r="T384" s="163">
        <v>-37409931.039999999</v>
      </c>
      <c r="U384" s="163">
        <v>-37435537.549999997</v>
      </c>
      <c r="V384" s="163">
        <v>-37444858.82</v>
      </c>
      <c r="W384" s="163">
        <v>-37484386.979999997</v>
      </c>
      <c r="X384" s="163">
        <v>-37519197.640000001</v>
      </c>
      <c r="Y384" s="163">
        <v>-37525270.340000004</v>
      </c>
      <c r="Z384" s="163">
        <v>-37559458.380000003</v>
      </c>
      <c r="AA384" s="163">
        <v>-37594566.740000002</v>
      </c>
      <c r="AB384" s="163">
        <v>-39216611.390000001</v>
      </c>
      <c r="AC384" s="163">
        <v>-39226731.979999997</v>
      </c>
      <c r="AD384" s="163">
        <v>-39263109.079999998</v>
      </c>
      <c r="AE384" s="163">
        <v>-41309931.350000001</v>
      </c>
      <c r="AF384" s="163">
        <v>-41144131.259999998</v>
      </c>
      <c r="AG384" s="163">
        <v>-40118759.450000003</v>
      </c>
      <c r="AH384" s="163">
        <v>-38156776.299999997</v>
      </c>
      <c r="AI384" s="163">
        <v>-38208518.280000001</v>
      </c>
      <c r="AJ384" s="163">
        <v>-38268696.560000002</v>
      </c>
      <c r="AK384" s="163">
        <v>-38340124.359999999</v>
      </c>
      <c r="AL384" s="163">
        <v>-38381213.890000001</v>
      </c>
      <c r="AM384" s="163">
        <v>-38426476.670000002</v>
      </c>
      <c r="AN384" s="163">
        <v>-36435390.670000002</v>
      </c>
      <c r="AO384" s="163">
        <v>-37305555</v>
      </c>
      <c r="AP384" s="163">
        <v>-36454001.189999998</v>
      </c>
      <c r="AQ384" s="163">
        <v>-35329414.560000002</v>
      </c>
      <c r="AR384" s="163">
        <v>-35121818.450000003</v>
      </c>
      <c r="AS384" s="163">
        <v>-35177616.689999998</v>
      </c>
      <c r="AT384" s="163">
        <v>-35228955.710000001</v>
      </c>
      <c r="AU384" s="163">
        <v>-35223672.200000003</v>
      </c>
      <c r="AV384" s="163">
        <v>-35280628.75</v>
      </c>
      <c r="AW384" s="163">
        <v>-35288535.609999999</v>
      </c>
      <c r="AX384" s="163">
        <v>-35354661.950000003</v>
      </c>
      <c r="AY384" s="163">
        <v>-35397099.969999999</v>
      </c>
      <c r="AZ384" s="163">
        <v>-35093009.659999996</v>
      </c>
      <c r="BA384" s="163">
        <v>-35096027.539999999</v>
      </c>
      <c r="BB384" s="163">
        <v>-35091517.719999999</v>
      </c>
      <c r="BC384" s="163">
        <v>-33007852.68</v>
      </c>
      <c r="BD384" s="163">
        <v>-32629118.93</v>
      </c>
      <c r="BE384" s="163">
        <v>-32615923.190000001</v>
      </c>
      <c r="BF384" s="163">
        <v>-32552070.690000001</v>
      </c>
      <c r="BG384" s="163">
        <v>-32551574.780000001</v>
      </c>
      <c r="BH384" s="163">
        <v>-32573938.859999999</v>
      </c>
      <c r="BI384" s="163">
        <v>-32574637.129999999</v>
      </c>
      <c r="BJ384" s="163">
        <v>-32386470.16</v>
      </c>
      <c r="BK384" s="163">
        <v>-32395268.370000001</v>
      </c>
      <c r="BL384" s="163">
        <v>-33627468.149999999</v>
      </c>
      <c r="BM384" s="163">
        <v>-32481514.039999999</v>
      </c>
      <c r="BN384" s="163">
        <v>-32495951.079999998</v>
      </c>
      <c r="BO384" s="163">
        <v>-33521093.23</v>
      </c>
      <c r="BP384" s="163">
        <v>-33534146.449999999</v>
      </c>
      <c r="BQ384" s="163">
        <v>-33549873.75</v>
      </c>
      <c r="BR384" s="163">
        <v>-33767772.840000004</v>
      </c>
      <c r="BS384" s="163">
        <v>-33319099.469999999</v>
      </c>
      <c r="BT384" s="163">
        <v>-33330380.809999999</v>
      </c>
      <c r="BU384" s="163">
        <v>-34441912.409999996</v>
      </c>
      <c r="BV384" s="163">
        <v>-34453514.259999998</v>
      </c>
      <c r="BW384" s="163">
        <v>-34467074.649999999</v>
      </c>
      <c r="BX384" s="163">
        <v>-27099276.809999999</v>
      </c>
      <c r="BY384" s="163">
        <v>-27073525.079999998</v>
      </c>
      <c r="BZ384" s="163">
        <v>-25771852.690000001</v>
      </c>
      <c r="CA384" s="163">
        <v>-27035077.399999999</v>
      </c>
      <c r="CB384" s="163">
        <v>-27049390.68</v>
      </c>
      <c r="CC384" s="163">
        <v>-27055414.100000001</v>
      </c>
      <c r="CD384" s="163">
        <v>-27307094.52</v>
      </c>
      <c r="CE384" s="163">
        <v>-27321825.260000002</v>
      </c>
      <c r="CF384" s="163">
        <v>-27517296.420000002</v>
      </c>
      <c r="CG384" s="163">
        <v>-27846797.879999999</v>
      </c>
      <c r="CH384" s="163">
        <v>-27683967.57</v>
      </c>
      <c r="CI384" s="163">
        <v>-27667431.43</v>
      </c>
      <c r="CJ384" s="163">
        <v>-25201688.809999999</v>
      </c>
      <c r="CK384" s="163">
        <v>-25199915.57</v>
      </c>
      <c r="CL384" s="163">
        <v>-25229030.93</v>
      </c>
      <c r="CM384" s="163">
        <v>-24325293.280000001</v>
      </c>
      <c r="CN384" s="163">
        <v>-24331805.039999999</v>
      </c>
      <c r="CO384" s="163">
        <v>-24342505.879999999</v>
      </c>
      <c r="CP384" s="163">
        <v>-24637267.989999998</v>
      </c>
      <c r="CQ384" s="163">
        <v>-24639938.170000002</v>
      </c>
      <c r="CR384" s="163">
        <v>-24654333.52</v>
      </c>
      <c r="CS384" s="163">
        <v>-24479449.57</v>
      </c>
      <c r="CT384" s="163">
        <v>-24484217.719999999</v>
      </c>
      <c r="CU384" s="163">
        <v>-24499611.219999999</v>
      </c>
      <c r="CV384" s="163">
        <v>-23188049.550000001</v>
      </c>
      <c r="CW384" s="163">
        <v>-23203090.309999999</v>
      </c>
      <c r="CX384" s="163">
        <v>-23246442.620000001</v>
      </c>
      <c r="CY384" s="163">
        <v>-23072148.850000001</v>
      </c>
      <c r="CZ384" s="163">
        <v>-23085348.789999999</v>
      </c>
      <c r="DA384" s="163">
        <v>-23100372.190000001</v>
      </c>
      <c r="DB384" s="163">
        <v>-21925618.420000002</v>
      </c>
      <c r="DC384" s="163">
        <v>-21937688.309999999</v>
      </c>
      <c r="DD384" s="163">
        <v>-21948802.59</v>
      </c>
      <c r="DE384" s="163">
        <v>-22060992.18</v>
      </c>
      <c r="DF384" s="163">
        <f>VLOOKUP($A384,'[3]BS ACC'!$A$258:$DH$1006,110,FALSE)</f>
        <v>-22078376.82</v>
      </c>
      <c r="DG384" s="163">
        <f>VLOOKUP($A384,'[3]BS ACC'!$A$258:$DH$1006,111,FALSE)</f>
        <v>-22091959.32</v>
      </c>
      <c r="DH384" s="163">
        <f>VLOOKUP($A384,'[3]BS ACC'!$A$258:$DH$1006,112,FALSE)</f>
        <v>-20767787.539999999</v>
      </c>
    </row>
    <row r="385" spans="1:112">
      <c r="A385" t="s">
        <v>874</v>
      </c>
      <c r="D385" s="345">
        <v>-35685</v>
      </c>
      <c r="E385" s="345">
        <v>-16835</v>
      </c>
      <c r="F385" s="345">
        <v>-11185</v>
      </c>
      <c r="G385" s="345">
        <v>-18490</v>
      </c>
      <c r="H385" s="345">
        <v>-800</v>
      </c>
      <c r="I385" s="345">
        <v>-87690</v>
      </c>
      <c r="J385" s="345">
        <v>-187640</v>
      </c>
      <c r="K385" s="345">
        <v>-3248625</v>
      </c>
      <c r="L385" s="345">
        <v>-1525800</v>
      </c>
      <c r="M385" s="345">
        <v>-1617850</v>
      </c>
      <c r="N385" s="345">
        <v>-3658900</v>
      </c>
      <c r="O385" s="345">
        <v>-2703120</v>
      </c>
      <c r="P385" s="345">
        <v>-8985490</v>
      </c>
      <c r="Q385" s="163">
        <v>-9064945</v>
      </c>
      <c r="R385" s="163">
        <v>-7427670</v>
      </c>
      <c r="S385" s="163">
        <v>-7222035</v>
      </c>
      <c r="T385" s="163">
        <v>-6292505</v>
      </c>
      <c r="U385" s="163">
        <v>-6307945</v>
      </c>
      <c r="V385" s="163">
        <v>-5194335</v>
      </c>
      <c r="W385" s="163">
        <v>-5218445</v>
      </c>
      <c r="X385" s="163">
        <v>-5549665</v>
      </c>
      <c r="Y385" s="163">
        <v>-6332365</v>
      </c>
      <c r="Z385" s="163">
        <v>-8044035</v>
      </c>
      <c r="AA385" s="163">
        <v>-8065535</v>
      </c>
      <c r="AB385" s="163">
        <v>-6345955</v>
      </c>
      <c r="AC385" s="163">
        <v>-4883135</v>
      </c>
      <c r="AD385" s="163">
        <v>-5431045</v>
      </c>
      <c r="AE385" s="163">
        <v>-3452550</v>
      </c>
      <c r="AF385" s="163">
        <v>-1971790</v>
      </c>
      <c r="AG385" s="163">
        <v>-1688615</v>
      </c>
      <c r="AH385" s="163">
        <v>-343605</v>
      </c>
      <c r="AI385" s="163">
        <v>-334975</v>
      </c>
      <c r="AJ385" s="163">
        <v>-323425</v>
      </c>
      <c r="AK385" s="163">
        <v>-404265</v>
      </c>
      <c r="AL385" s="163">
        <v>-408515</v>
      </c>
      <c r="AM385" s="163">
        <v>-76785</v>
      </c>
      <c r="AN385" s="163">
        <v>0</v>
      </c>
      <c r="AO385" s="163">
        <v>-56050</v>
      </c>
      <c r="AP385" s="163">
        <v>-389500</v>
      </c>
      <c r="AQ385" s="163">
        <v>-4235</v>
      </c>
      <c r="AR385" s="163">
        <v>0</v>
      </c>
      <c r="AS385" s="163">
        <v>-3920</v>
      </c>
      <c r="AT385" s="163">
        <v>-22280</v>
      </c>
      <c r="AU385" s="163">
        <v>-140025</v>
      </c>
      <c r="AV385" s="163">
        <v>-4680</v>
      </c>
      <c r="AW385" s="163">
        <v>-9230</v>
      </c>
      <c r="AX385" s="163">
        <v>-138225</v>
      </c>
      <c r="AY385" s="163">
        <v>-60555</v>
      </c>
      <c r="AZ385" s="163">
        <v>-181065</v>
      </c>
      <c r="BA385" s="163">
        <v>-1780</v>
      </c>
      <c r="BB385" s="163">
        <v>-113125</v>
      </c>
      <c r="BC385" s="163">
        <v>-32645</v>
      </c>
      <c r="BD385" s="163">
        <v>-25690</v>
      </c>
      <c r="BE385" s="163">
        <v>0</v>
      </c>
      <c r="BF385" s="163">
        <v>-280</v>
      </c>
      <c r="BG385" s="163">
        <v>-11720</v>
      </c>
      <c r="BH385" s="163">
        <v>0</v>
      </c>
      <c r="BI385" s="163">
        <v>0</v>
      </c>
      <c r="BJ385" s="163">
        <v>0</v>
      </c>
      <c r="BK385" s="163">
        <v>0</v>
      </c>
      <c r="BL385" s="163">
        <v>0</v>
      </c>
      <c r="BM385" s="163">
        <v>0</v>
      </c>
      <c r="BN385" s="163">
        <v>0</v>
      </c>
      <c r="BO385" s="163">
        <v>0</v>
      </c>
      <c r="BP385" s="163">
        <v>0</v>
      </c>
      <c r="BQ385" s="163">
        <v>0</v>
      </c>
      <c r="BR385" s="163">
        <v>0</v>
      </c>
      <c r="BS385" s="163">
        <v>0</v>
      </c>
      <c r="BT385" s="163">
        <v>0</v>
      </c>
      <c r="BU385" s="163">
        <v>0</v>
      </c>
      <c r="BV385" s="163">
        <v>0</v>
      </c>
      <c r="BW385" s="163">
        <v>0</v>
      </c>
      <c r="BX385" s="163">
        <v>0</v>
      </c>
      <c r="BY385" s="163">
        <v>0</v>
      </c>
      <c r="BZ385" s="163">
        <v>0</v>
      </c>
      <c r="CA385" s="163">
        <v>0</v>
      </c>
      <c r="CB385" s="163">
        <v>0</v>
      </c>
      <c r="CC385" s="163">
        <v>0</v>
      </c>
      <c r="CD385" s="163">
        <v>0</v>
      </c>
      <c r="CE385" s="163">
        <v>0</v>
      </c>
      <c r="CF385" s="163">
        <v>0</v>
      </c>
      <c r="CG385" s="163">
        <v>0</v>
      </c>
      <c r="CH385" s="163">
        <v>0</v>
      </c>
      <c r="CI385" s="163">
        <v>0</v>
      </c>
      <c r="CJ385" s="163">
        <v>0</v>
      </c>
      <c r="CK385" s="163">
        <v>0</v>
      </c>
      <c r="CL385" s="163">
        <v>0</v>
      </c>
      <c r="CM385" s="163">
        <v>0</v>
      </c>
      <c r="CN385" s="163">
        <v>0</v>
      </c>
      <c r="CO385" s="163">
        <v>0</v>
      </c>
      <c r="CP385" s="163">
        <v>0</v>
      </c>
      <c r="CQ385" s="163">
        <v>0</v>
      </c>
      <c r="CR385" s="163">
        <v>0</v>
      </c>
      <c r="CS385" s="163">
        <v>0</v>
      </c>
      <c r="CT385" s="163">
        <v>0</v>
      </c>
      <c r="CU385" s="163">
        <v>0</v>
      </c>
      <c r="CV385" s="163">
        <v>0</v>
      </c>
      <c r="CW385" s="163">
        <v>0</v>
      </c>
      <c r="CX385" s="163">
        <v>0</v>
      </c>
      <c r="CY385" s="163">
        <v>0</v>
      </c>
      <c r="CZ385" s="163">
        <v>0</v>
      </c>
      <c r="DA385" s="163">
        <v>0</v>
      </c>
      <c r="DB385" s="163">
        <v>0</v>
      </c>
      <c r="DC385" s="163">
        <v>0</v>
      </c>
      <c r="DD385" s="163">
        <v>0</v>
      </c>
      <c r="DE385" s="163">
        <v>0</v>
      </c>
      <c r="DF385" s="163">
        <f>VLOOKUP($A385,'[3]BS ACC'!$A$258:$DH$1006,110,FALSE)</f>
        <v>0</v>
      </c>
      <c r="DG385" s="163">
        <f>VLOOKUP($A385,'[3]BS ACC'!$A$258:$DH$1006,111,FALSE)</f>
        <v>0</v>
      </c>
      <c r="DH385" s="163">
        <f>VLOOKUP($A385,'[3]BS ACC'!$A$258:$DH$1006,112,FALSE)</f>
        <v>0</v>
      </c>
    </row>
    <row r="386" spans="1:112">
      <c r="A386" t="s">
        <v>875</v>
      </c>
      <c r="D386" s="345">
        <v>-7564144.2999999998</v>
      </c>
      <c r="E386" s="345">
        <v>-7714348.2999999998</v>
      </c>
      <c r="F386" s="345">
        <v>-7764979.2999999998</v>
      </c>
      <c r="G386" s="345">
        <v>-7827894.2999999998</v>
      </c>
      <c r="H386" s="345">
        <v>-7873622.2999999998</v>
      </c>
      <c r="I386" s="345">
        <v>-7945592.2999999998</v>
      </c>
      <c r="J386" s="345">
        <v>-8035636.5800000001</v>
      </c>
      <c r="K386" s="345">
        <v>-8825586.5800000001</v>
      </c>
      <c r="L386" s="345">
        <v>-8912566.5800000001</v>
      </c>
      <c r="M386" s="345">
        <v>-8955974.0800000001</v>
      </c>
      <c r="N386" s="345">
        <v>-9024982</v>
      </c>
      <c r="O386" s="345">
        <v>-9822978</v>
      </c>
      <c r="P386" s="345">
        <v>-9842365</v>
      </c>
      <c r="Q386" s="163">
        <v>-9944960.2400000002</v>
      </c>
      <c r="R386" s="163">
        <v>-10017496.24</v>
      </c>
      <c r="S386" s="163">
        <v>-10092194.59</v>
      </c>
      <c r="T386" s="163">
        <v>-10903349.59</v>
      </c>
      <c r="U386" s="163">
        <v>-11184513.59</v>
      </c>
      <c r="V386" s="163">
        <v>-11269305.109999999</v>
      </c>
      <c r="W386" s="163">
        <v>-11293093.109999999</v>
      </c>
      <c r="X386" s="163">
        <v>-11468225.109999999</v>
      </c>
      <c r="Y386" s="163">
        <v>-11498118.130000001</v>
      </c>
      <c r="Z386" s="163">
        <v>-11549763.130000001</v>
      </c>
      <c r="AA386" s="163">
        <v>-11593557.449999999</v>
      </c>
      <c r="AB386" s="163">
        <v>-11625385.449999999</v>
      </c>
      <c r="AC386" s="163">
        <v>-11656524.449999999</v>
      </c>
      <c r="AD386" s="163">
        <v>-11952660.460000001</v>
      </c>
      <c r="AE386" s="163">
        <v>-11992238.460000001</v>
      </c>
      <c r="AF386" s="163">
        <v>-12090722.460000001</v>
      </c>
      <c r="AG386" s="163">
        <v>-12161249.460000001</v>
      </c>
      <c r="AH386" s="163">
        <v>-12372744.460000001</v>
      </c>
      <c r="AI386" s="163">
        <v>-12480523.460000001</v>
      </c>
      <c r="AJ386" s="163">
        <v>-12590723.460000001</v>
      </c>
      <c r="AK386" s="163">
        <v>-12662933.039999999</v>
      </c>
      <c r="AL386" s="163">
        <v>-12745836.039999999</v>
      </c>
      <c r="AM386" s="163">
        <v>-12438231.640000001</v>
      </c>
      <c r="AN386" s="163">
        <v>-12639677.640000001</v>
      </c>
      <c r="AO386" s="163">
        <v>-12165105.75</v>
      </c>
      <c r="AP386" s="163">
        <v>-12044118.57</v>
      </c>
      <c r="AQ386" s="163">
        <v>-12174977.210000001</v>
      </c>
      <c r="AR386" s="163">
        <v>-12309216.210000001</v>
      </c>
      <c r="AS386" s="163">
        <v>-12446195.210000001</v>
      </c>
      <c r="AT386" s="163">
        <v>-11296197.34</v>
      </c>
      <c r="AU386" s="163">
        <v>-9914451.8699999992</v>
      </c>
      <c r="AV386" s="163">
        <v>-9831064.5199999996</v>
      </c>
      <c r="AW386" s="163">
        <v>-9936897.5199999996</v>
      </c>
      <c r="AX386" s="163">
        <v>-10007435.52</v>
      </c>
      <c r="AY386" s="163">
        <v>-10047282.52</v>
      </c>
      <c r="AZ386" s="163">
        <v>-9607066.0800000001</v>
      </c>
      <c r="BA386" s="163">
        <v>-9573848.2899999991</v>
      </c>
      <c r="BB386" s="163">
        <v>-9728965.2899999991</v>
      </c>
      <c r="BC386" s="163">
        <v>-9807070.2899999991</v>
      </c>
      <c r="BD386" s="163">
        <v>-9950721.1799999997</v>
      </c>
      <c r="BE386" s="163">
        <v>-10073247.18</v>
      </c>
      <c r="BF386" s="163">
        <v>-10218869.18</v>
      </c>
      <c r="BG386" s="163">
        <v>-9921752.1600000001</v>
      </c>
      <c r="BH386" s="163">
        <v>-10073764.16</v>
      </c>
      <c r="BI386" s="163">
        <v>-10228447.51</v>
      </c>
      <c r="BJ386" s="163">
        <v>-10362898.27</v>
      </c>
      <c r="BK386" s="163">
        <v>-10539340.27</v>
      </c>
      <c r="BL386" s="163">
        <v>-10634955.27</v>
      </c>
      <c r="BM386" s="163">
        <v>-10826694.27</v>
      </c>
      <c r="BN386" s="163">
        <v>-11003766.27</v>
      </c>
      <c r="BO386" s="163">
        <v>-11120203.27</v>
      </c>
      <c r="BP386" s="163">
        <v>-11325462.27</v>
      </c>
      <c r="BQ386" s="163">
        <v>-11511792.27</v>
      </c>
      <c r="BR386" s="163">
        <v>-11785480.27</v>
      </c>
      <c r="BS386" s="163">
        <v>-11862644.27</v>
      </c>
      <c r="BT386" s="163">
        <v>-12925400.09</v>
      </c>
      <c r="BU386" s="163">
        <v>-12405990.039999999</v>
      </c>
      <c r="BV386" s="163">
        <v>-12710800.039999999</v>
      </c>
      <c r="BW386" s="163">
        <v>-12794821.32</v>
      </c>
      <c r="BX386" s="163">
        <v>-12952701.32</v>
      </c>
      <c r="BY386" s="163">
        <v>-13089078.98</v>
      </c>
      <c r="BZ386" s="163">
        <v>-13337566.98</v>
      </c>
      <c r="CA386" s="163">
        <v>-13479083.98</v>
      </c>
      <c r="CB386" s="163">
        <v>-13776579.98</v>
      </c>
      <c r="CC386" s="163">
        <v>-13915894.98</v>
      </c>
      <c r="CD386" s="163">
        <v>-14332008.98</v>
      </c>
      <c r="CE386" s="163">
        <v>-14545070.98</v>
      </c>
      <c r="CF386" s="163">
        <v>-14664981.98</v>
      </c>
      <c r="CG386" s="163">
        <v>-14788227.98</v>
      </c>
      <c r="CH386" s="163">
        <v>-14958396.98</v>
      </c>
      <c r="CI386" s="163">
        <v>-15370480.98</v>
      </c>
      <c r="CJ386" s="163">
        <v>-15681265.48</v>
      </c>
      <c r="CK386" s="163">
        <v>-15814281.48</v>
      </c>
      <c r="CL386" s="163">
        <v>-15923750.48</v>
      </c>
      <c r="CM386" s="163">
        <v>-16390079.48</v>
      </c>
      <c r="CN386" s="163">
        <v>-16722185.960000001</v>
      </c>
      <c r="CO386" s="163">
        <v>-16873568.960000001</v>
      </c>
      <c r="CP386" s="163">
        <v>-17005221.239999998</v>
      </c>
      <c r="CQ386" s="163">
        <v>-17164304.239999998</v>
      </c>
      <c r="CR386" s="163">
        <v>-17243754.239999998</v>
      </c>
      <c r="CS386" s="163">
        <v>-17573631.640000001</v>
      </c>
      <c r="CT386" s="163">
        <v>-17895821.640000001</v>
      </c>
      <c r="CU386" s="163">
        <v>-18117211.640000001</v>
      </c>
      <c r="CV386" s="163">
        <v>-18210107.640000001</v>
      </c>
      <c r="CW386" s="163">
        <v>-18325299.010000002</v>
      </c>
      <c r="CX386" s="163">
        <v>-18691975.640000001</v>
      </c>
      <c r="CY386" s="163">
        <v>-18995225.640000001</v>
      </c>
      <c r="CZ386" s="163">
        <v>-19514099.91</v>
      </c>
      <c r="DA386" s="163">
        <v>-19823385.920000002</v>
      </c>
      <c r="DB386" s="163">
        <v>-20211822.920000002</v>
      </c>
      <c r="DC386" s="163">
        <v>-20537692.920000002</v>
      </c>
      <c r="DD386" s="163">
        <v>-21002287.420000002</v>
      </c>
      <c r="DE386" s="163">
        <v>-21468778.420000002</v>
      </c>
      <c r="DF386" s="163">
        <f>VLOOKUP($A386,'[3]BS ACC'!$A$258:$DH$1006,110,FALSE)</f>
        <v>-21711739.420000002</v>
      </c>
      <c r="DG386" s="163">
        <f>VLOOKUP($A386,'[3]BS ACC'!$A$258:$DH$1006,111,FALSE)</f>
        <v>-21948610.420000002</v>
      </c>
      <c r="DH386" s="163">
        <f>VLOOKUP($A386,'[3]BS ACC'!$A$258:$DH$1006,112,FALSE)</f>
        <v>-22520306.420000002</v>
      </c>
    </row>
    <row r="387" spans="1:112">
      <c r="A387" t="s">
        <v>876</v>
      </c>
      <c r="D387" s="345">
        <v>-2537502.5</v>
      </c>
      <c r="E387" s="345">
        <v>-2491106.98</v>
      </c>
      <c r="F387" s="345">
        <v>-2562062.44</v>
      </c>
      <c r="G387" s="345">
        <v>-2634680.0299999998</v>
      </c>
      <c r="H387" s="345">
        <v>-2558069.4900000002</v>
      </c>
      <c r="I387" s="345">
        <v>-3430156.09</v>
      </c>
      <c r="J387" s="345">
        <v>-3271015.85</v>
      </c>
      <c r="K387" s="345">
        <v>-3421131.8</v>
      </c>
      <c r="L387" s="345">
        <v>-3318944.34</v>
      </c>
      <c r="M387" s="345">
        <v>-3197132.36</v>
      </c>
      <c r="N387" s="345">
        <v>-3249299.26</v>
      </c>
      <c r="O387" s="345">
        <v>-3179973.49</v>
      </c>
      <c r="P387" s="345">
        <v>-3429205.57</v>
      </c>
      <c r="Q387" s="163">
        <v>-3456080.66</v>
      </c>
      <c r="R387" s="163">
        <v>-3152229.42</v>
      </c>
      <c r="S387" s="163">
        <v>-3054227.7</v>
      </c>
      <c r="T387" s="163">
        <v>-1152967.08</v>
      </c>
      <c r="U387" s="163">
        <v>-1040234.23</v>
      </c>
      <c r="V387" s="163">
        <v>-934211.96</v>
      </c>
      <c r="W387" s="163">
        <v>-752875.16</v>
      </c>
      <c r="X387" s="163">
        <v>-631687.87</v>
      </c>
      <c r="Y387" s="163">
        <v>-614782.81000000006</v>
      </c>
      <c r="Z387" s="163">
        <v>-558284.21</v>
      </c>
      <c r="AA387" s="163">
        <v>-973570.83</v>
      </c>
      <c r="AB387" s="163">
        <v>-1253942.98</v>
      </c>
      <c r="AC387" s="163">
        <v>-1508484.79</v>
      </c>
      <c r="AD387" s="163">
        <v>-1683967.28</v>
      </c>
      <c r="AE387" s="163">
        <v>-1615718.76</v>
      </c>
      <c r="AF387" s="163">
        <v>-1565937.09</v>
      </c>
      <c r="AG387" s="163">
        <v>-1299949.8600000001</v>
      </c>
      <c r="AH387" s="163">
        <v>-931153.86</v>
      </c>
      <c r="AI387" s="163">
        <v>-1174124.02</v>
      </c>
      <c r="AJ387" s="163">
        <v>-1244431.67</v>
      </c>
      <c r="AK387" s="163">
        <v>-1390050.97</v>
      </c>
      <c r="AL387" s="163">
        <v>-1496451.88</v>
      </c>
      <c r="AM387" s="163">
        <v>-1718018.31</v>
      </c>
      <c r="AN387" s="163">
        <v>-2012057.28</v>
      </c>
      <c r="AO387" s="163">
        <v>-1719233.28</v>
      </c>
      <c r="AP387" s="163">
        <v>-1840575.7</v>
      </c>
      <c r="AQ387" s="163">
        <v>-1748104.75</v>
      </c>
      <c r="AR387" s="163">
        <v>-1831797.67</v>
      </c>
      <c r="AS387" s="163">
        <v>-1854845.17</v>
      </c>
      <c r="AT387" s="163">
        <v>-2011499.35</v>
      </c>
      <c r="AU387" s="163">
        <v>-2040676.37</v>
      </c>
      <c r="AV387" s="163">
        <v>-1811770.93</v>
      </c>
      <c r="AW387" s="163">
        <v>-2017494.36</v>
      </c>
      <c r="AX387" s="163">
        <v>-2234049.96</v>
      </c>
      <c r="AY387" s="163">
        <v>-2287224.4300000002</v>
      </c>
      <c r="AZ387" s="163">
        <v>-2441203.64</v>
      </c>
      <c r="BA387" s="163">
        <v>-2309620.98</v>
      </c>
      <c r="BB387" s="163">
        <v>-2478544.2000000002</v>
      </c>
      <c r="BC387" s="163">
        <v>-2780553.2</v>
      </c>
      <c r="BD387" s="163">
        <v>-2828818.83</v>
      </c>
      <c r="BE387" s="163">
        <v>-2992329.5</v>
      </c>
      <c r="BF387" s="163">
        <v>-3322987.42</v>
      </c>
      <c r="BG387" s="163">
        <v>-3451748.67</v>
      </c>
      <c r="BH387" s="163">
        <v>-3674383.04</v>
      </c>
      <c r="BI387" s="163">
        <v>-3871163.79</v>
      </c>
      <c r="BJ387" s="163">
        <v>-4111080.9</v>
      </c>
      <c r="BK387" s="163">
        <v>-4438839.01</v>
      </c>
      <c r="BL387" s="163">
        <v>-3830518.3</v>
      </c>
      <c r="BM387" s="163">
        <v>-3780744.4</v>
      </c>
      <c r="BN387" s="163">
        <v>-3635598.37</v>
      </c>
      <c r="BO387" s="163">
        <v>-3397930.21</v>
      </c>
      <c r="BP387" s="163">
        <v>-3470131.87</v>
      </c>
      <c r="BQ387" s="163">
        <v>-3020551.34</v>
      </c>
      <c r="BR387" s="163">
        <v>-3744280.75</v>
      </c>
      <c r="BS387" s="163">
        <v>-4517563.5</v>
      </c>
      <c r="BT387" s="163">
        <v>-4890041.49</v>
      </c>
      <c r="BU387" s="163">
        <v>-5036683.0599999996</v>
      </c>
      <c r="BV387" s="163">
        <v>-5247323.78</v>
      </c>
      <c r="BW387" s="163">
        <v>-5183880.88</v>
      </c>
      <c r="BX387" s="163">
        <v>-5996477.7599999998</v>
      </c>
      <c r="BY387" s="163">
        <v>-6331458.9199999999</v>
      </c>
      <c r="BZ387" s="163">
        <v>-6020839.4800000004</v>
      </c>
      <c r="CA387" s="163">
        <v>-5804761.9400000004</v>
      </c>
      <c r="CB387" s="163">
        <v>-6855332.7000000002</v>
      </c>
      <c r="CC387" s="163">
        <v>-7704233.2000000002</v>
      </c>
      <c r="CD387" s="163">
        <v>-8545555.4499999993</v>
      </c>
      <c r="CE387" s="163">
        <v>-8557157.5399999991</v>
      </c>
      <c r="CF387" s="163">
        <v>-8313096.7400000002</v>
      </c>
      <c r="CG387" s="163">
        <v>-8440347.4800000004</v>
      </c>
      <c r="CH387" s="163">
        <v>-8303203.4800000004</v>
      </c>
      <c r="CI387" s="163">
        <v>-8235419.8499999996</v>
      </c>
      <c r="CJ387" s="163">
        <v>-8261983.4900000002</v>
      </c>
      <c r="CK387" s="163">
        <v>-8471095.6500000004</v>
      </c>
      <c r="CL387" s="163">
        <v>-6732824.5199999996</v>
      </c>
      <c r="CM387" s="163">
        <v>-2788573.34</v>
      </c>
      <c r="CN387" s="163">
        <v>-2742246.87</v>
      </c>
      <c r="CO387" s="163">
        <v>-2608180.4500000002</v>
      </c>
      <c r="CP387" s="163">
        <v>-2233020.58</v>
      </c>
      <c r="CQ387" s="163">
        <v>-2429196.5699999998</v>
      </c>
      <c r="CR387" s="163">
        <v>-2408390.38</v>
      </c>
      <c r="CS387" s="163">
        <v>-3732072.38</v>
      </c>
      <c r="CT387" s="163">
        <v>-3789244.1</v>
      </c>
      <c r="CU387" s="163">
        <v>-3590964.64</v>
      </c>
      <c r="CV387" s="163">
        <v>-4140079.67</v>
      </c>
      <c r="CW387" s="163">
        <v>-6125143.2400000002</v>
      </c>
      <c r="CX387" s="163">
        <v>-6126205.0999999996</v>
      </c>
      <c r="CY387" s="163">
        <v>-5438089.4900000002</v>
      </c>
      <c r="CZ387" s="163">
        <v>-3417991.74</v>
      </c>
      <c r="DA387" s="163">
        <v>-3219531.42</v>
      </c>
      <c r="DB387" s="163">
        <v>-3472596.82</v>
      </c>
      <c r="DC387" s="163">
        <v>-3397795.36</v>
      </c>
      <c r="DD387" s="163">
        <v>-3326315.48</v>
      </c>
      <c r="DE387" s="163">
        <v>-3588526.19</v>
      </c>
      <c r="DF387" s="163">
        <f>VLOOKUP($A387,'[3]BS ACC'!$A$258:$DH$1006,110,FALSE)</f>
        <v>-3669901.85</v>
      </c>
      <c r="DG387" s="163">
        <f>VLOOKUP($A387,'[3]BS ACC'!$A$258:$DH$1006,111,FALSE)</f>
        <v>-3135686.46</v>
      </c>
      <c r="DH387" s="163">
        <f>VLOOKUP($A387,'[3]BS ACC'!$A$258:$DH$1006,112,FALSE)</f>
        <v>-3322921.45</v>
      </c>
    </row>
    <row r="388" spans="1:112">
      <c r="A388" t="s">
        <v>877</v>
      </c>
      <c r="D388" s="345">
        <v>-1845837.04</v>
      </c>
      <c r="E388" s="345">
        <v>-4451608.71</v>
      </c>
      <c r="F388" s="345">
        <v>-3544296.38</v>
      </c>
      <c r="G388" s="345">
        <v>-2770763.05</v>
      </c>
      <c r="H388" s="345">
        <v>-4789504.72</v>
      </c>
      <c r="I388" s="345">
        <v>-3059763.39</v>
      </c>
      <c r="J388" s="345">
        <v>-2684712.06</v>
      </c>
      <c r="K388" s="345">
        <v>-1497334.73</v>
      </c>
      <c r="L388" s="345">
        <v>-1195389.9099999999</v>
      </c>
      <c r="M388" s="345">
        <v>-1035607.58</v>
      </c>
      <c r="N388" s="345">
        <v>-998429.25</v>
      </c>
      <c r="O388" s="345">
        <v>-954658.92</v>
      </c>
      <c r="P388" s="345">
        <v>-1275395.5900000001</v>
      </c>
      <c r="Q388" s="163">
        <v>-1671458.59</v>
      </c>
      <c r="R388" s="163">
        <v>-2636637.04</v>
      </c>
      <c r="S388" s="163">
        <v>-3171288.8</v>
      </c>
      <c r="T388" s="163">
        <v>-3564711.68</v>
      </c>
      <c r="U388" s="163">
        <v>-3407648.89</v>
      </c>
      <c r="V388" s="163">
        <v>-3406768.59</v>
      </c>
      <c r="W388" s="163">
        <v>-3261951.95</v>
      </c>
      <c r="X388" s="163">
        <v>-2939117.43</v>
      </c>
      <c r="Y388" s="163">
        <v>-2682114.46</v>
      </c>
      <c r="Z388" s="163">
        <v>-2173057.5499999998</v>
      </c>
      <c r="AA388" s="163">
        <v>-2272874.84</v>
      </c>
      <c r="AB388" s="163">
        <v>-2618953.84</v>
      </c>
      <c r="AC388" s="163">
        <v>-2782973.96</v>
      </c>
      <c r="AD388" s="163">
        <v>-3366057.96</v>
      </c>
      <c r="AE388" s="163">
        <v>-3441104.96</v>
      </c>
      <c r="AF388" s="163">
        <v>-3487326.96</v>
      </c>
      <c r="AG388" s="163">
        <v>-3160860.96</v>
      </c>
      <c r="AH388" s="163">
        <v>-13556530.15</v>
      </c>
      <c r="AI388" s="163">
        <v>-13008730.949999999</v>
      </c>
      <c r="AJ388" s="163">
        <v>-11699033.890000001</v>
      </c>
      <c r="AK388" s="163">
        <v>-11094277.76</v>
      </c>
      <c r="AL388" s="163">
        <v>-10169800.630000001</v>
      </c>
      <c r="AM388" s="163">
        <v>-10220756.5</v>
      </c>
      <c r="AN388" s="163">
        <v>-11190657.41</v>
      </c>
      <c r="AO388" s="163">
        <v>-10313656.949999999</v>
      </c>
      <c r="AP388" s="163">
        <v>-10154788.470000001</v>
      </c>
      <c r="AQ388" s="163">
        <v>-10629831.279999999</v>
      </c>
      <c r="AR388" s="163">
        <v>-10540135.970000001</v>
      </c>
      <c r="AS388" s="163">
        <v>-9369693.2599999998</v>
      </c>
      <c r="AT388" s="163">
        <v>-8244316.8899999997</v>
      </c>
      <c r="AU388" s="163">
        <v>-7064040.4199999999</v>
      </c>
      <c r="AV388" s="163">
        <v>-6508073.1900000004</v>
      </c>
      <c r="AW388" s="163">
        <v>-6060167.7199999997</v>
      </c>
      <c r="AX388" s="163">
        <v>-5836007.25</v>
      </c>
      <c r="AY388" s="163">
        <v>-5682433.6699999999</v>
      </c>
      <c r="AZ388" s="163">
        <v>-94566712.319999993</v>
      </c>
      <c r="BA388" s="163">
        <v>-94277929.510000005</v>
      </c>
      <c r="BB388" s="163">
        <v>-95221129.840000004</v>
      </c>
      <c r="BC388" s="163">
        <v>-96479684.719999999</v>
      </c>
      <c r="BD388" s="163">
        <v>-97605035.849999994</v>
      </c>
      <c r="BE388" s="163">
        <v>-98449690.310000002</v>
      </c>
      <c r="BF388" s="163">
        <v>-98729488.599999994</v>
      </c>
      <c r="BG388" s="163">
        <v>-99145857.75</v>
      </c>
      <c r="BH388" s="163">
        <v>-99542075.420000002</v>
      </c>
      <c r="BI388" s="163">
        <v>-93206191.469999999</v>
      </c>
      <c r="BJ388" s="163">
        <v>-92789472.849999994</v>
      </c>
      <c r="BK388" s="163">
        <v>-94318651.109999999</v>
      </c>
      <c r="BL388" s="163">
        <v>-94011638.200000003</v>
      </c>
      <c r="BM388" s="163">
        <v>-94142017.310000002</v>
      </c>
      <c r="BN388" s="163">
        <v>-94188024.530000001</v>
      </c>
      <c r="BO388" s="163">
        <v>-93897697.060000002</v>
      </c>
      <c r="BP388" s="163">
        <v>-93685511.939999998</v>
      </c>
      <c r="BQ388" s="163">
        <v>-93354010.079999998</v>
      </c>
      <c r="BR388" s="163">
        <v>-93161571.730000004</v>
      </c>
      <c r="BS388" s="163">
        <v>-93041303.659999996</v>
      </c>
      <c r="BT388" s="163">
        <v>-92990739.790000007</v>
      </c>
      <c r="BU388" s="163">
        <v>-91655976.379999995</v>
      </c>
      <c r="BV388" s="163">
        <v>-91566662.780000001</v>
      </c>
      <c r="BW388" s="163">
        <v>-91477349.370000005</v>
      </c>
      <c r="BX388" s="163">
        <v>-91671584.010000005</v>
      </c>
      <c r="BY388" s="163">
        <v>-91562047.939999998</v>
      </c>
      <c r="BZ388" s="163">
        <v>-91444205.599999994</v>
      </c>
      <c r="CA388" s="163">
        <v>-90961398.75</v>
      </c>
      <c r="CB388" s="163">
        <v>-90847115.120000005</v>
      </c>
      <c r="CC388" s="163">
        <v>-90706921.439999998</v>
      </c>
      <c r="CD388" s="163">
        <v>-90705746.079999998</v>
      </c>
      <c r="CE388" s="163">
        <v>-90748527.060000002</v>
      </c>
      <c r="CF388" s="163">
        <v>-90704629.430000007</v>
      </c>
      <c r="CG388" s="163">
        <v>-90810172.180000007</v>
      </c>
      <c r="CH388" s="163">
        <v>-93314999.75</v>
      </c>
      <c r="CI388" s="163">
        <v>-93359946.400000006</v>
      </c>
      <c r="CJ388" s="163">
        <v>-93574070.239999995</v>
      </c>
      <c r="CK388" s="163">
        <v>-93406172.519999996</v>
      </c>
      <c r="CL388" s="163">
        <v>-93380929.280000001</v>
      </c>
      <c r="CM388" s="163">
        <v>-93025661.650000006</v>
      </c>
      <c r="CN388" s="163">
        <v>-93121197.5</v>
      </c>
      <c r="CO388" s="163">
        <v>-93144970.900000006</v>
      </c>
      <c r="CP388" s="163">
        <v>-92987853.989999995</v>
      </c>
      <c r="CQ388" s="163">
        <v>-93010829.170000002</v>
      </c>
      <c r="CR388" s="163">
        <v>-93034141.939999998</v>
      </c>
      <c r="CS388" s="163">
        <v>-93513242.489999995</v>
      </c>
      <c r="CT388" s="163">
        <v>-93450676.090000004</v>
      </c>
      <c r="CU388" s="163">
        <v>-93967866.010000005</v>
      </c>
      <c r="CV388" s="163">
        <v>-89297674.010000005</v>
      </c>
      <c r="CW388" s="163">
        <v>-89869391.069999993</v>
      </c>
      <c r="CX388" s="163">
        <v>-91567456.25</v>
      </c>
      <c r="CY388" s="163">
        <v>-91361413.700000003</v>
      </c>
      <c r="CZ388" s="163">
        <v>-92434918.859999999</v>
      </c>
      <c r="DA388" s="163">
        <v>-93199161.120000005</v>
      </c>
      <c r="DB388" s="163">
        <v>-93398041.260000005</v>
      </c>
      <c r="DC388" s="163">
        <v>-93534203.640000001</v>
      </c>
      <c r="DD388" s="163">
        <v>-93276810.120000005</v>
      </c>
      <c r="DE388" s="163">
        <v>-92756909.299999997</v>
      </c>
      <c r="DF388" s="163">
        <f>VLOOKUP($A388,'[3]BS ACC'!$A$258:$DH$1006,110,FALSE)</f>
        <v>-92611655.379999995</v>
      </c>
      <c r="DG388" s="163">
        <f>VLOOKUP($A388,'[3]BS ACC'!$A$258:$DH$1006,111,FALSE)</f>
        <v>-92145419.159999996</v>
      </c>
      <c r="DH388" s="163">
        <f>VLOOKUP($A388,'[3]BS ACC'!$A$258:$DH$1006,112,FALSE)</f>
        <v>-92149754.069999993</v>
      </c>
    </row>
    <row r="389" spans="1:112">
      <c r="A389" t="s">
        <v>878</v>
      </c>
      <c r="D389" s="345">
        <v>-136018535.94999999</v>
      </c>
      <c r="E389" s="345">
        <v>-136651764.65000001</v>
      </c>
      <c r="F389" s="345">
        <v>-137041714.59999999</v>
      </c>
      <c r="G389" s="345">
        <v>-137415040.90000001</v>
      </c>
      <c r="H389" s="345">
        <v>-137784271.86000001</v>
      </c>
      <c r="I389" s="345">
        <v>-138160520.74000001</v>
      </c>
      <c r="J389" s="345">
        <v>-138455911.75</v>
      </c>
      <c r="K389" s="345">
        <v>-138799401.25999999</v>
      </c>
      <c r="L389" s="345">
        <v>-139181538.44999999</v>
      </c>
      <c r="M389" s="345">
        <v>-140886459.38999999</v>
      </c>
      <c r="N389" s="345">
        <v>-140856262.44</v>
      </c>
      <c r="O389" s="345">
        <v>-140300580.05000001</v>
      </c>
      <c r="P389" s="345">
        <v>-148714333.83000001</v>
      </c>
      <c r="Q389" s="163">
        <v>-149215290.75</v>
      </c>
      <c r="R389" s="163">
        <v>-149749811.52000001</v>
      </c>
      <c r="S389" s="163">
        <v>-150306975.47</v>
      </c>
      <c r="T389" s="163">
        <v>-150842782.56</v>
      </c>
      <c r="U389" s="163">
        <v>-151256946.91</v>
      </c>
      <c r="V389" s="163">
        <v>-151802163.63999999</v>
      </c>
      <c r="W389" s="163">
        <v>-151762132.27000001</v>
      </c>
      <c r="X389" s="163">
        <v>-152218180.72999999</v>
      </c>
      <c r="Y389" s="163">
        <v>-153941695.61000001</v>
      </c>
      <c r="Z389" s="163">
        <v>-154711002.78999999</v>
      </c>
      <c r="AA389" s="163">
        <v>-155339710.97</v>
      </c>
      <c r="AB389" s="163">
        <v>-165137719.28</v>
      </c>
      <c r="AC389" s="163">
        <v>-166786033.00999999</v>
      </c>
      <c r="AD389" s="163">
        <v>-168170876.63</v>
      </c>
      <c r="AE389" s="163">
        <v>-169565408.13</v>
      </c>
      <c r="AF389" s="163">
        <v>-171000958.52000001</v>
      </c>
      <c r="AG389" s="163">
        <v>-172465899.62</v>
      </c>
      <c r="AH389" s="163">
        <v>-173139223.94999999</v>
      </c>
      <c r="AI389" s="163">
        <v>-174468475.77000001</v>
      </c>
      <c r="AJ389" s="163">
        <v>-176306098.38999999</v>
      </c>
      <c r="AK389" s="163">
        <v>-176536329.72</v>
      </c>
      <c r="AL389" s="163">
        <v>-178235301.66999999</v>
      </c>
      <c r="AM389" s="163">
        <v>-180086682.59999999</v>
      </c>
      <c r="AN389" s="163">
        <v>-190658408.56999999</v>
      </c>
      <c r="AO389" s="163">
        <v>-192576154.97</v>
      </c>
      <c r="AP389" s="163">
        <v>-194443739.53</v>
      </c>
      <c r="AQ389" s="163">
        <v>-197498276.02000001</v>
      </c>
      <c r="AR389" s="163">
        <v>-199555695.28999999</v>
      </c>
      <c r="AS389" s="163">
        <v>-202634750.22</v>
      </c>
      <c r="AT389" s="163">
        <v>-205496671.06999999</v>
      </c>
      <c r="AU389" s="163">
        <v>-208194268.13</v>
      </c>
      <c r="AV389" s="163">
        <v>-210598967.33000001</v>
      </c>
      <c r="AW389" s="163">
        <v>-212917880.27000001</v>
      </c>
      <c r="AX389" s="163">
        <v>-215328123.28999999</v>
      </c>
      <c r="AY389" s="163">
        <v>-217933475.22</v>
      </c>
      <c r="AZ389" s="163">
        <v>-146511109.03</v>
      </c>
      <c r="BA389" s="163">
        <v>-147566871.25</v>
      </c>
      <c r="BB389" s="163">
        <v>-148672379.83000001</v>
      </c>
      <c r="BC389" s="163">
        <v>-149811271.61000001</v>
      </c>
      <c r="BD389" s="163">
        <v>-150770803.94</v>
      </c>
      <c r="BE389" s="163">
        <v>-151832510.27000001</v>
      </c>
      <c r="BF389" s="163">
        <v>-152794317.62</v>
      </c>
      <c r="BG389" s="163">
        <v>-153821848.46000001</v>
      </c>
      <c r="BH389" s="163">
        <v>-155557043.41</v>
      </c>
      <c r="BI389" s="163">
        <v>-156658442.15000001</v>
      </c>
      <c r="BJ389" s="163">
        <v>-157832325</v>
      </c>
      <c r="BK389" s="163">
        <v>-161624228.12</v>
      </c>
      <c r="BL389" s="163">
        <v>-160744713.66</v>
      </c>
      <c r="BM389" s="163">
        <v>-161676608.05000001</v>
      </c>
      <c r="BN389" s="163">
        <v>-163139348.56999999</v>
      </c>
      <c r="BO389" s="163">
        <v>-164273485.13999999</v>
      </c>
      <c r="BP389" s="163">
        <v>-165447604.44</v>
      </c>
      <c r="BQ389" s="163">
        <v>-166621617.36000001</v>
      </c>
      <c r="BR389" s="163">
        <v>-167841892.08000001</v>
      </c>
      <c r="BS389" s="163">
        <v>-169034357.5</v>
      </c>
      <c r="BT389" s="163">
        <v>-170237160.58000001</v>
      </c>
      <c r="BU389" s="163">
        <v>-171661157.38</v>
      </c>
      <c r="BV389" s="163">
        <v>-172596537.40000001</v>
      </c>
      <c r="BW389" s="163">
        <v>-173711137.56999999</v>
      </c>
      <c r="BX389" s="163">
        <v>-175176329.94999999</v>
      </c>
      <c r="BY389" s="163">
        <v>-175026625.91999999</v>
      </c>
      <c r="BZ389" s="163">
        <v>-177895863.88</v>
      </c>
      <c r="CA389" s="163">
        <v>-179555240.22</v>
      </c>
      <c r="CB389" s="163">
        <v>-180663500.91</v>
      </c>
      <c r="CC389" s="163">
        <v>-182118629.41</v>
      </c>
      <c r="CD389" s="163">
        <v>-183386529.47999999</v>
      </c>
      <c r="CE389" s="163">
        <v>-184824900.94</v>
      </c>
      <c r="CF389" s="163">
        <v>-185485378.16999999</v>
      </c>
      <c r="CG389" s="163">
        <v>-186978766.22999999</v>
      </c>
      <c r="CH389" s="163">
        <v>-187783726.11000001</v>
      </c>
      <c r="CI389" s="163">
        <v>-188924713.21000001</v>
      </c>
      <c r="CJ389" s="163">
        <v>-191023809.21000001</v>
      </c>
      <c r="CK389" s="163">
        <v>-192366785.94999999</v>
      </c>
      <c r="CL389" s="163">
        <v>-193960826.84</v>
      </c>
      <c r="CM389" s="163">
        <v>-195329965.63999999</v>
      </c>
      <c r="CN389" s="163">
        <v>-197096354.34</v>
      </c>
      <c r="CO389" s="163">
        <v>-198933272.94999999</v>
      </c>
      <c r="CP389" s="163">
        <v>-199103075.5</v>
      </c>
      <c r="CQ389" s="163">
        <v>-200702420.62</v>
      </c>
      <c r="CR389" s="163">
        <v>-201747420.58000001</v>
      </c>
      <c r="CS389" s="163">
        <v>-202405991.94</v>
      </c>
      <c r="CT389" s="163">
        <v>-203652797.56</v>
      </c>
      <c r="CU389" s="163">
        <v>-205976668.06999999</v>
      </c>
      <c r="CV389" s="163">
        <v>-208181973.11000001</v>
      </c>
      <c r="CW389" s="163">
        <v>-210179370.68000001</v>
      </c>
      <c r="CX389" s="163">
        <v>-212312408.31999999</v>
      </c>
      <c r="CY389" s="163">
        <v>-213887263.34</v>
      </c>
      <c r="CZ389" s="163">
        <v>-216003546.53</v>
      </c>
      <c r="DA389" s="163">
        <v>-217918893.75</v>
      </c>
      <c r="DB389" s="163">
        <v>-219829649.31</v>
      </c>
      <c r="DC389" s="163">
        <v>-221419814.06</v>
      </c>
      <c r="DD389" s="163">
        <v>-226056955.69</v>
      </c>
      <c r="DE389" s="163">
        <v>-228059690.88999999</v>
      </c>
      <c r="DF389" s="163">
        <f>VLOOKUP($A389,'[3]BS ACC'!$A$258:$DH$1006,110,FALSE)</f>
        <v>-230305142.83000001</v>
      </c>
      <c r="DG389" s="163">
        <f>VLOOKUP($A389,'[3]BS ACC'!$A$258:$DH$1006,111,FALSE)</f>
        <v>-232639027.56</v>
      </c>
      <c r="DH389" s="163">
        <f>VLOOKUP($A389,'[3]BS ACC'!$A$258:$DH$1006,112,FALSE)</f>
        <v>-234529981.81</v>
      </c>
    </row>
    <row r="390" spans="1:112">
      <c r="A390" t="s">
        <v>879</v>
      </c>
      <c r="D390" s="345">
        <v>-16016140.539999999</v>
      </c>
      <c r="E390" s="345">
        <v>-16678093.09</v>
      </c>
      <c r="F390" s="345">
        <v>-15362466.43</v>
      </c>
      <c r="G390" s="345">
        <v>-14851145.77</v>
      </c>
      <c r="H390" s="345">
        <v>-15487593.699999999</v>
      </c>
      <c r="I390" s="345">
        <v>-14183467.23</v>
      </c>
      <c r="J390" s="345">
        <v>-13862158.119999999</v>
      </c>
      <c r="K390" s="345">
        <v>-14723958.82</v>
      </c>
      <c r="L390" s="345">
        <v>-14003438.59</v>
      </c>
      <c r="M390" s="345">
        <v>-15228589.84</v>
      </c>
      <c r="N390" s="345">
        <v>-16088577.07</v>
      </c>
      <c r="O390" s="345">
        <v>-16955050.77</v>
      </c>
      <c r="P390" s="345">
        <v>-20743344.780000001</v>
      </c>
      <c r="Q390" s="163">
        <v>-20467737.579999998</v>
      </c>
      <c r="R390" s="163">
        <v>-20023718.620000001</v>
      </c>
      <c r="S390" s="163">
        <v>-19839312.390000001</v>
      </c>
      <c r="T390" s="163">
        <v>-19578082.43</v>
      </c>
      <c r="U390" s="163">
        <v>-19452551.329999998</v>
      </c>
      <c r="V390" s="163">
        <v>-18154311.649999999</v>
      </c>
      <c r="W390" s="163">
        <v>-18206607.43</v>
      </c>
      <c r="X390" s="163">
        <v>-18437175.579999998</v>
      </c>
      <c r="Y390" s="163">
        <v>-18266856.670000002</v>
      </c>
      <c r="Z390" s="163">
        <v>-19824191.609999999</v>
      </c>
      <c r="AA390" s="163">
        <v>-20664373.77</v>
      </c>
      <c r="AB390" s="163">
        <v>-24152825.280000001</v>
      </c>
      <c r="AC390" s="163">
        <v>-23167534.329999998</v>
      </c>
      <c r="AD390" s="163">
        <v>-21857698.309999999</v>
      </c>
      <c r="AE390" s="163">
        <v>-20924644.140000001</v>
      </c>
      <c r="AF390" s="163">
        <v>-20331094.66</v>
      </c>
      <c r="AG390" s="163">
        <v>-20241572.559999999</v>
      </c>
      <c r="AH390" s="163">
        <v>-19351148.609999999</v>
      </c>
      <c r="AI390" s="163">
        <v>-19315518.739999998</v>
      </c>
      <c r="AJ390" s="163">
        <v>-19236912.239999998</v>
      </c>
      <c r="AK390" s="163">
        <v>-22300343.59</v>
      </c>
      <c r="AL390" s="163">
        <v>-22360616.579999998</v>
      </c>
      <c r="AM390" s="163">
        <v>-22355891.449999999</v>
      </c>
      <c r="AN390" s="163">
        <v>-21161926.59</v>
      </c>
      <c r="AO390" s="163">
        <v>-20620416.379999999</v>
      </c>
      <c r="AP390" s="163">
        <v>-20507456.300000001</v>
      </c>
      <c r="AQ390" s="163">
        <v>-20413640.969999999</v>
      </c>
      <c r="AR390" s="163">
        <v>-20432843.289999999</v>
      </c>
      <c r="AS390" s="163">
        <v>-20297996.550000001</v>
      </c>
      <c r="AT390" s="163">
        <v>-20541592.899999999</v>
      </c>
      <c r="AU390" s="163">
        <v>-20554803.670000002</v>
      </c>
      <c r="AV390" s="163">
        <v>-20565576.579999998</v>
      </c>
      <c r="AW390" s="163">
        <v>-20341899.539999999</v>
      </c>
      <c r="AX390" s="163">
        <v>-21322856.960000001</v>
      </c>
      <c r="AY390" s="163">
        <v>-21760127.010000002</v>
      </c>
      <c r="AZ390" s="163">
        <v>348251.87</v>
      </c>
      <c r="BA390" s="163">
        <v>1017190.28</v>
      </c>
      <c r="BB390" s="163">
        <v>1401501.7</v>
      </c>
      <c r="BC390" s="163">
        <v>1862357.43</v>
      </c>
      <c r="BD390" s="163">
        <v>2154225.65</v>
      </c>
      <c r="BE390" s="163">
        <v>2366851.79</v>
      </c>
      <c r="BF390" s="163">
        <v>2708484.43</v>
      </c>
      <c r="BG390" s="163">
        <v>2909110.61</v>
      </c>
      <c r="BH390" s="163">
        <v>2963676.18</v>
      </c>
      <c r="BI390" s="163">
        <v>1556885.53</v>
      </c>
      <c r="BJ390" s="163">
        <v>1457849.79</v>
      </c>
      <c r="BK390" s="163">
        <v>2129335.42</v>
      </c>
      <c r="BL390" s="163">
        <v>-35587.949999999997</v>
      </c>
      <c r="BM390" s="163">
        <v>436968.28</v>
      </c>
      <c r="BN390" s="163">
        <v>733890.34</v>
      </c>
      <c r="BO390" s="163">
        <v>740433.61</v>
      </c>
      <c r="BP390" s="163">
        <v>755782.57</v>
      </c>
      <c r="BQ390" s="163">
        <v>758433.23</v>
      </c>
      <c r="BR390" s="163">
        <v>859416.56</v>
      </c>
      <c r="BS390" s="163">
        <v>858585.79</v>
      </c>
      <c r="BT390" s="163">
        <v>831583.04</v>
      </c>
      <c r="BU390" s="163">
        <v>581831.12</v>
      </c>
      <c r="BV390" s="163">
        <v>509381.51</v>
      </c>
      <c r="BW390" s="163">
        <v>501579.95</v>
      </c>
      <c r="BX390" s="163">
        <v>387992.55</v>
      </c>
      <c r="BY390" s="163">
        <v>342649.3</v>
      </c>
      <c r="BZ390" s="163">
        <v>324836.90000000002</v>
      </c>
      <c r="CA390" s="163">
        <v>606250.02</v>
      </c>
      <c r="CB390" s="163">
        <v>575891.44999999995</v>
      </c>
      <c r="CC390" s="163">
        <v>536458.66</v>
      </c>
      <c r="CD390" s="163">
        <v>621431.22</v>
      </c>
      <c r="CE390" s="163">
        <v>594787.87</v>
      </c>
      <c r="CF390" s="163">
        <v>150291.56</v>
      </c>
      <c r="CG390" s="163">
        <v>163695.34</v>
      </c>
      <c r="CH390" s="163">
        <v>1020338.65</v>
      </c>
      <c r="CI390" s="163">
        <v>999348.48</v>
      </c>
      <c r="CJ390" s="163">
        <v>-899868.87</v>
      </c>
      <c r="CK390" s="163">
        <v>-969779.28</v>
      </c>
      <c r="CL390" s="163">
        <v>-1054797.0900000001</v>
      </c>
      <c r="CM390" s="163">
        <v>-942066.45</v>
      </c>
      <c r="CN390" s="163">
        <v>-976197.79</v>
      </c>
      <c r="CO390" s="163">
        <v>-1036258.57</v>
      </c>
      <c r="CP390" s="163">
        <v>-974247.47</v>
      </c>
      <c r="CQ390" s="163">
        <v>-1169066.31</v>
      </c>
      <c r="CR390" s="163">
        <v>-1205227</v>
      </c>
      <c r="CS390" s="163">
        <v>-706411.27</v>
      </c>
      <c r="CT390" s="163">
        <v>-1994020.58</v>
      </c>
      <c r="CU390" s="163">
        <v>-3742579.62</v>
      </c>
      <c r="CV390" s="163">
        <v>-3015893.05</v>
      </c>
      <c r="CW390" s="163">
        <v>-1824006.66</v>
      </c>
      <c r="CX390" s="163">
        <v>-391244.59</v>
      </c>
      <c r="CY390" s="163">
        <v>-306777.5</v>
      </c>
      <c r="CZ390" s="163">
        <v>422524.46</v>
      </c>
      <c r="DA390" s="163">
        <v>518178.04</v>
      </c>
      <c r="DB390" s="163">
        <v>470173.23</v>
      </c>
      <c r="DC390" s="163">
        <v>504677.35</v>
      </c>
      <c r="DD390" s="163">
        <v>562473.68000000005</v>
      </c>
      <c r="DE390" s="163">
        <v>536924.28</v>
      </c>
      <c r="DF390" s="163">
        <f>VLOOKUP($A390,'[3]BS ACC'!$A$258:$DH$1006,110,FALSE)</f>
        <v>470935.01</v>
      </c>
      <c r="DG390" s="163">
        <f>VLOOKUP($A390,'[3]BS ACC'!$A$258:$DH$1006,111,FALSE)</f>
        <v>506475.89</v>
      </c>
      <c r="DH390" s="163">
        <f>VLOOKUP($A390,'[3]BS ACC'!$A$258:$DH$1006,112,FALSE)</f>
        <v>-2338110.65</v>
      </c>
    </row>
    <row r="391" spans="1:112" ht="15">
      <c r="R391" s="336"/>
      <c r="BY391" s="163"/>
      <c r="BZ391" s="163"/>
      <c r="CA391" s="163"/>
      <c r="CB391" s="163"/>
      <c r="CC391" s="163"/>
      <c r="CD391" s="163"/>
      <c r="CE391" s="163"/>
      <c r="CF391" s="163"/>
      <c r="CG391" s="163"/>
      <c r="CH391" s="163"/>
      <c r="CI391" s="163"/>
      <c r="CJ391" s="163"/>
      <c r="CK391" s="163"/>
      <c r="CL391" s="163"/>
      <c r="CM391" s="163"/>
      <c r="CN391" s="163"/>
      <c r="CO391" s="163"/>
      <c r="CP391" s="163"/>
      <c r="CQ391" s="163"/>
      <c r="CR391" s="163"/>
      <c r="CS391" s="163"/>
      <c r="CT391" s="163"/>
      <c r="CU391" s="163"/>
      <c r="CV391" s="163"/>
      <c r="CW391" s="163"/>
      <c r="CX391" s="163"/>
      <c r="CY391" s="163"/>
      <c r="CZ391" s="163"/>
      <c r="DA391" s="163"/>
      <c r="DB391" s="163"/>
      <c r="DC391" s="163"/>
      <c r="DD391" s="163"/>
      <c r="DE391" s="163"/>
      <c r="DF391" s="163"/>
      <c r="DG391" s="163"/>
      <c r="DH391" s="163"/>
    </row>
    <row r="392" spans="1:112" ht="15">
      <c r="P392" s="410">
        <f>+P368+P369+P370</f>
        <v>-325074012.11000001</v>
      </c>
      <c r="R392" s="336"/>
      <c r="AB392" s="410">
        <v>-348546295.35000002</v>
      </c>
      <c r="AC392" s="410">
        <v>-353843675.64000005</v>
      </c>
      <c r="AD392" s="410">
        <v>-353463281.07000005</v>
      </c>
      <c r="AE392" s="410">
        <v>-355836446.54000002</v>
      </c>
      <c r="AF392" s="410">
        <f>+AF368+AF369+AF370</f>
        <v>-358782461</v>
      </c>
      <c r="AG392" s="410">
        <f>+AG368+AG369+AG370</f>
        <v>-347857021.10000002</v>
      </c>
      <c r="AH392" s="410">
        <f>+AH368+AH369+AH370</f>
        <v>-341087092.20000005</v>
      </c>
      <c r="AI392" s="410">
        <f>+AI368+AI369+AI370</f>
        <v>-343703189.85000002</v>
      </c>
      <c r="AJ392" s="410">
        <f t="shared" ref="AJ392:AW392" si="26">+AJ368+AJ369+AJ370</f>
        <v>-345723065.63</v>
      </c>
      <c r="AK392" s="410">
        <f t="shared" si="26"/>
        <v>-347682041.71000004</v>
      </c>
      <c r="AL392" s="410">
        <f t="shared" si="26"/>
        <v>-350626022.57000005</v>
      </c>
      <c r="AM392" s="410">
        <f t="shared" si="26"/>
        <v>-347772076.19000006</v>
      </c>
      <c r="AN392" s="410">
        <f t="shared" si="26"/>
        <v>-349825325.24000001</v>
      </c>
      <c r="AO392" s="410">
        <f t="shared" si="26"/>
        <v>-355190154.12</v>
      </c>
      <c r="AP392" s="410">
        <f t="shared" si="26"/>
        <v>-358054052.63</v>
      </c>
      <c r="AQ392" s="410">
        <f t="shared" si="26"/>
        <v>-362590844.06000006</v>
      </c>
      <c r="AR392" s="410">
        <f t="shared" si="26"/>
        <v>-366421812.09000003</v>
      </c>
      <c r="AS392" s="410">
        <f t="shared" si="26"/>
        <v>-374850895.80000001</v>
      </c>
      <c r="AT392" s="410">
        <f t="shared" si="26"/>
        <v>-376932514.87</v>
      </c>
      <c r="AU392" s="410">
        <f t="shared" si="26"/>
        <v>-379691398.63</v>
      </c>
      <c r="AV392" s="410">
        <f t="shared" si="26"/>
        <v>-380102174.06999999</v>
      </c>
      <c r="AW392" s="410">
        <f t="shared" si="26"/>
        <v>-382810092.5</v>
      </c>
      <c r="AX392" s="410">
        <f t="shared" ref="AX392:BC392" si="27">+AX368+AX369+AX370</f>
        <v>-385440242.40999997</v>
      </c>
      <c r="AY392" s="410">
        <f t="shared" si="27"/>
        <v>-388546162.23000002</v>
      </c>
      <c r="AZ392" s="410">
        <f t="shared" si="27"/>
        <v>-394130281.30000001</v>
      </c>
      <c r="BA392" s="410">
        <f t="shared" si="27"/>
        <v>-403432387.59000003</v>
      </c>
      <c r="BB392" s="410">
        <f t="shared" si="27"/>
        <v>-403570338.27999997</v>
      </c>
      <c r="BC392" s="410">
        <f t="shared" si="27"/>
        <v>-405220907</v>
      </c>
      <c r="BD392" s="410">
        <f t="shared" ref="BD392:BI392" si="28">+BD368+BD369+BD370</f>
        <v>-410525808.63999999</v>
      </c>
      <c r="BE392" s="410">
        <f t="shared" si="28"/>
        <v>-412757829.34000003</v>
      </c>
      <c r="BF392" s="410">
        <f t="shared" si="28"/>
        <v>-415854204.33999997</v>
      </c>
      <c r="BG392" s="410">
        <f t="shared" si="28"/>
        <v>-418959474.53999996</v>
      </c>
      <c r="BH392" s="410">
        <f t="shared" si="28"/>
        <v>-420402137.18000001</v>
      </c>
      <c r="BI392" s="410">
        <f t="shared" si="28"/>
        <v>-424100087.69</v>
      </c>
      <c r="BJ392" s="410">
        <v>-426903360.92000002</v>
      </c>
      <c r="BK392" s="410">
        <v>-431089900.25</v>
      </c>
      <c r="BL392" s="410">
        <v>-436583256.00999999</v>
      </c>
      <c r="BM392" s="410">
        <f>+BM368+BM369+BM370</f>
        <v>-443201201.89999998</v>
      </c>
      <c r="BN392" s="410">
        <f>+BN368+BN369+BN370</f>
        <v>-472249371.39999998</v>
      </c>
      <c r="BO392" s="410">
        <f>+BO368+BO369+BO370</f>
        <v>-477745421.70999998</v>
      </c>
      <c r="BP392" s="410">
        <v>-482972351.89999998</v>
      </c>
      <c r="BQ392" s="410">
        <v>-504574854.97000003</v>
      </c>
      <c r="BR392" s="410">
        <v>-508340028.33999997</v>
      </c>
      <c r="BS392" s="410">
        <f t="shared" ref="BS392:BX392" si="29">+BS368+BS369+BS370</f>
        <v>-511398843.72000003</v>
      </c>
      <c r="BT392" s="410">
        <f t="shared" si="29"/>
        <v>-501665462.88</v>
      </c>
      <c r="BU392" s="410">
        <f t="shared" si="29"/>
        <v>-530349322.50999999</v>
      </c>
      <c r="BV392" s="410">
        <f t="shared" si="29"/>
        <v>-533774931.60000002</v>
      </c>
      <c r="BW392" s="410">
        <f t="shared" si="29"/>
        <v>-527592012.31</v>
      </c>
      <c r="BX392" s="410">
        <f t="shared" si="29"/>
        <v>-531653416</v>
      </c>
      <c r="BY392" s="410">
        <f t="shared" ref="BY392:CD392" si="30">+BY368+BY369+BY370</f>
        <v>-539329033.62</v>
      </c>
      <c r="BZ392" s="410">
        <f t="shared" si="30"/>
        <v>-573380849.53999996</v>
      </c>
      <c r="CA392" s="410">
        <f t="shared" si="30"/>
        <v>-578225632.72000003</v>
      </c>
      <c r="CB392" s="410">
        <f t="shared" si="30"/>
        <v>-581936361</v>
      </c>
      <c r="CC392" s="410">
        <f t="shared" si="30"/>
        <v>-597083839.84000003</v>
      </c>
      <c r="CD392" s="410">
        <f t="shared" si="30"/>
        <v>-600293632.98000002</v>
      </c>
      <c r="CE392" s="410">
        <f t="shared" ref="CE392:CJ392" si="31">+CE368+CE369+CE370</f>
        <v>-603389766.39999998</v>
      </c>
      <c r="CF392" s="410">
        <f t="shared" si="31"/>
        <v>-641618721.25</v>
      </c>
      <c r="CG392" s="410">
        <f t="shared" si="31"/>
        <v>-645034078.89999998</v>
      </c>
      <c r="CH392" s="410">
        <f t="shared" si="31"/>
        <v>-647980956.20000005</v>
      </c>
      <c r="CI392" s="410">
        <f t="shared" si="31"/>
        <v>-657801539.28000009</v>
      </c>
      <c r="CJ392" s="410">
        <f t="shared" si="31"/>
        <v>-662421104.25999999</v>
      </c>
      <c r="CK392" s="410">
        <f>+CK368+CK369+CK370</f>
        <v>-673816591.59000003</v>
      </c>
      <c r="CL392" s="410">
        <f>+CL368+CL369+CL370</f>
        <v>-709169890.69000006</v>
      </c>
      <c r="CM392" s="410">
        <f>+CM368+CM369+CM370</f>
        <v>-716860691.16000009</v>
      </c>
      <c r="CN392" s="410">
        <v>-697458498.2700001</v>
      </c>
      <c r="CO392" s="410">
        <v>-722981920.41000009</v>
      </c>
      <c r="CP392" s="410">
        <v>-728424538.59000003</v>
      </c>
      <c r="CQ392" s="410">
        <v>-732859141.05000007</v>
      </c>
      <c r="CR392" s="410">
        <v>-753966894.48000002</v>
      </c>
      <c r="CS392" s="410">
        <v>-759522822.35000002</v>
      </c>
      <c r="CT392" s="410">
        <v>-764628509.5</v>
      </c>
      <c r="CU392" s="410">
        <v>-780671338.2700001</v>
      </c>
      <c r="CV392" s="410">
        <v>-786533938.06000006</v>
      </c>
      <c r="CW392" s="410">
        <v>-796321875.5200001</v>
      </c>
      <c r="CX392" s="410">
        <v>-863401135.88000011</v>
      </c>
      <c r="CY392" s="410">
        <v>-874307767.75</v>
      </c>
      <c r="CZ392" s="410">
        <f t="shared" ref="CZ392:DE392" si="32">+CZ368+CZ369+CZ370</f>
        <v>-851473905.08000004</v>
      </c>
      <c r="DA392" s="410">
        <f t="shared" si="32"/>
        <v>-887729249.3900001</v>
      </c>
      <c r="DB392" s="410">
        <f t="shared" si="32"/>
        <v>-894387809.22000003</v>
      </c>
      <c r="DC392" s="410">
        <f t="shared" si="32"/>
        <v>-898783007.57000005</v>
      </c>
      <c r="DD392" s="410">
        <f t="shared" si="32"/>
        <v>-923722123.07000005</v>
      </c>
      <c r="DE392" s="410">
        <f t="shared" si="32"/>
        <v>-930992131.5</v>
      </c>
      <c r="DF392" s="410">
        <f t="shared" ref="DF392:DH392" si="33">+DF368+DF369+DF370</f>
        <v>-919568831.0200001</v>
      </c>
      <c r="DG392" s="410">
        <f t="shared" si="33"/>
        <v>-950501850.08000004</v>
      </c>
      <c r="DH392" s="410">
        <f t="shared" si="33"/>
        <v>-991608970.00999999</v>
      </c>
    </row>
    <row r="393" spans="1:112" ht="15">
      <c r="P393" s="412">
        <f>+P372+P373</f>
        <v>-241354349.40000001</v>
      </c>
      <c r="R393" s="336"/>
      <c r="AB393" s="412">
        <v>-261337087.22999999</v>
      </c>
      <c r="AC393" s="412">
        <v>-261338791.66999999</v>
      </c>
      <c r="AD393" s="412">
        <v>-261340496.11000001</v>
      </c>
      <c r="AE393" s="412">
        <v>-261342200.55000001</v>
      </c>
      <c r="AF393" s="412">
        <f>+AF372+AF373</f>
        <v>-261343904.99000001</v>
      </c>
      <c r="AG393" s="412">
        <f>+AG372+AG373</f>
        <v>-261345609.43000001</v>
      </c>
      <c r="AH393" s="412">
        <f>+AH372+AH373</f>
        <v>-261347313.87</v>
      </c>
      <c r="AI393" s="412">
        <f>+AI372+AI373</f>
        <v>-261349018.31</v>
      </c>
      <c r="AJ393" s="412">
        <f t="shared" ref="AJ393:AW393" si="34">+AJ372+AJ373</f>
        <v>-261350722.75</v>
      </c>
      <c r="AK393" s="412">
        <f t="shared" si="34"/>
        <v>-261352427.19</v>
      </c>
      <c r="AL393" s="412">
        <f t="shared" si="34"/>
        <v>-261354131.63</v>
      </c>
      <c r="AM393" s="412">
        <f t="shared" si="34"/>
        <v>-261355836.06999999</v>
      </c>
      <c r="AN393" s="412">
        <f t="shared" si="34"/>
        <v>-261357540.50999999</v>
      </c>
      <c r="AO393" s="412">
        <f t="shared" si="34"/>
        <v>-261359244.94999999</v>
      </c>
      <c r="AP393" s="412">
        <f t="shared" si="34"/>
        <v>-261360949.38999999</v>
      </c>
      <c r="AQ393" s="412">
        <f t="shared" si="34"/>
        <v>-261362653.83000001</v>
      </c>
      <c r="AR393" s="412">
        <f t="shared" si="34"/>
        <v>-261364358.27000001</v>
      </c>
      <c r="AS393" s="412">
        <f t="shared" si="34"/>
        <v>-261366062.71000001</v>
      </c>
      <c r="AT393" s="412">
        <f t="shared" si="34"/>
        <v>-261367767.15000001</v>
      </c>
      <c r="AU393" s="412">
        <f t="shared" si="34"/>
        <v>-261369471.59</v>
      </c>
      <c r="AV393" s="412">
        <f t="shared" si="34"/>
        <v>-261371176.03</v>
      </c>
      <c r="AW393" s="412">
        <f t="shared" si="34"/>
        <v>-261372880.47</v>
      </c>
      <c r="AX393" s="412">
        <f t="shared" ref="AX393:BC393" si="35">+AX372+AX373</f>
        <v>-261374584.91</v>
      </c>
      <c r="AY393" s="412">
        <f t="shared" si="35"/>
        <v>-261376289.34999999</v>
      </c>
      <c r="AZ393" s="412">
        <f t="shared" si="35"/>
        <v>-261377993.78999999</v>
      </c>
      <c r="BA393" s="412">
        <f t="shared" si="35"/>
        <v>-261379698.22999999</v>
      </c>
      <c r="BB393" s="412">
        <f t="shared" si="35"/>
        <v>-261381402.66999999</v>
      </c>
      <c r="BC393" s="412">
        <f t="shared" si="35"/>
        <v>-261383107.11000001</v>
      </c>
      <c r="BD393" s="412">
        <f t="shared" ref="BD393:BI393" si="36">+BD372+BD373</f>
        <v>-261384811.55000001</v>
      </c>
      <c r="BE393" s="412">
        <f t="shared" si="36"/>
        <v>-211386515.99000001</v>
      </c>
      <c r="BF393" s="412">
        <f t="shared" si="36"/>
        <v>-286193377.49000001</v>
      </c>
      <c r="BG393" s="412">
        <f t="shared" si="36"/>
        <v>-285990157.00999999</v>
      </c>
      <c r="BH393" s="412">
        <f t="shared" si="36"/>
        <v>-285992978.12</v>
      </c>
      <c r="BI393" s="412">
        <f t="shared" si="36"/>
        <v>-285995799.23000002</v>
      </c>
      <c r="BJ393" s="412">
        <v>-310871216.29000002</v>
      </c>
      <c r="BK393" s="412">
        <v>-310874384.55000001</v>
      </c>
      <c r="BL393" s="412">
        <v>-310877552.81</v>
      </c>
      <c r="BM393" s="412">
        <f>+BM372+BM373</f>
        <v>-310880721.06999999</v>
      </c>
      <c r="BN393" s="412">
        <f>+BN372+BN373</f>
        <v>-310883889.32999998</v>
      </c>
      <c r="BO393" s="412">
        <f>+BO372+BO373</f>
        <v>-310887057.58999997</v>
      </c>
      <c r="BP393" s="412">
        <v>-310890225.85000002</v>
      </c>
      <c r="BQ393" s="412">
        <v>-310893394.11000001</v>
      </c>
      <c r="BR393" s="412">
        <v>-310896562.37</v>
      </c>
      <c r="BS393" s="412">
        <f t="shared" ref="BS393:BX393" si="37">+BS372+BS373</f>
        <v>-335593230.63</v>
      </c>
      <c r="BT393" s="412">
        <f t="shared" si="37"/>
        <v>-335597223.38999999</v>
      </c>
      <c r="BU393" s="412">
        <f t="shared" si="37"/>
        <v>-335601217.80000001</v>
      </c>
      <c r="BV393" s="412">
        <f t="shared" si="37"/>
        <v>-335605212.20999998</v>
      </c>
      <c r="BW393" s="412">
        <f t="shared" si="37"/>
        <v>-335609206.62</v>
      </c>
      <c r="BX393" s="412">
        <f t="shared" si="37"/>
        <v>-335613201.02999997</v>
      </c>
      <c r="BY393" s="412">
        <f t="shared" ref="BY393:CD393" si="38">+BY372+BY373</f>
        <v>-335617195.44</v>
      </c>
      <c r="BZ393" s="412">
        <f t="shared" si="38"/>
        <v>-335621189.85000002</v>
      </c>
      <c r="CA393" s="412">
        <f t="shared" si="38"/>
        <v>-335625184.25999999</v>
      </c>
      <c r="CB393" s="412">
        <f t="shared" si="38"/>
        <v>-335629178.67000002</v>
      </c>
      <c r="CC393" s="412">
        <f t="shared" si="38"/>
        <v>-335633173.07999998</v>
      </c>
      <c r="CD393" s="412">
        <f t="shared" si="38"/>
        <v>-335637167.49000001</v>
      </c>
      <c r="CE393" s="412">
        <f t="shared" ref="CE393:CJ393" si="39">+CE372+CE373</f>
        <v>-335641161.89999998</v>
      </c>
      <c r="CF393" s="412">
        <f t="shared" si="39"/>
        <v>-335645156.31</v>
      </c>
      <c r="CG393" s="412">
        <f t="shared" si="39"/>
        <v>-335649150.72000003</v>
      </c>
      <c r="CH393" s="412">
        <f t="shared" si="39"/>
        <v>-335653145.13</v>
      </c>
      <c r="CI393" s="412">
        <f t="shared" si="39"/>
        <v>-335657139.54000002</v>
      </c>
      <c r="CJ393" s="412">
        <f t="shared" si="39"/>
        <v>-335661133.94999999</v>
      </c>
      <c r="CK393" s="412">
        <f>+CK372+CK373</f>
        <v>-335665128.36000001</v>
      </c>
      <c r="CL393" s="412">
        <f>+CL372+CL373</f>
        <v>-335669122.76999998</v>
      </c>
      <c r="CM393" s="412">
        <f>+CM372+CM373</f>
        <v>-565045603.71000004</v>
      </c>
      <c r="CN393" s="412">
        <v>-565053256.14999998</v>
      </c>
      <c r="CO393" s="412">
        <v>-518296407.08999997</v>
      </c>
      <c r="CP393" s="412">
        <v>-518304238.02999997</v>
      </c>
      <c r="CQ393" s="412">
        <v>-518312068.97000003</v>
      </c>
      <c r="CR393" s="412">
        <v>-518319899.91000003</v>
      </c>
      <c r="CS393" s="412">
        <v>-518327730.85000002</v>
      </c>
      <c r="CT393" s="412">
        <v>-518335561.79000002</v>
      </c>
      <c r="CU393" s="412">
        <v>-518343392.73000002</v>
      </c>
      <c r="CV393" s="412">
        <v>-518351223.67000002</v>
      </c>
      <c r="CW393" s="412">
        <f t="shared" ref="CW393:DB393" si="40">+CW372+CW373</f>
        <v>-518359054.61000001</v>
      </c>
      <c r="CX393" s="412">
        <f t="shared" si="40"/>
        <v>-518366885.55000001</v>
      </c>
      <c r="CY393" s="412">
        <f t="shared" si="40"/>
        <v>-518374716.49000001</v>
      </c>
      <c r="CZ393" s="412">
        <f t="shared" si="40"/>
        <v>-518382547.43000001</v>
      </c>
      <c r="DA393" s="412">
        <f t="shared" si="40"/>
        <v>-518390378.37</v>
      </c>
      <c r="DB393" s="412">
        <f t="shared" si="40"/>
        <v>-518398209.31</v>
      </c>
      <c r="DC393" s="412">
        <f t="shared" ref="DC393:DE393" si="41">+DC372+DC373</f>
        <v>-593345952.29999995</v>
      </c>
      <c r="DD393" s="412">
        <f t="shared" si="41"/>
        <v>-593354508.16999996</v>
      </c>
      <c r="DE393" s="412">
        <f t="shared" si="41"/>
        <v>-568363064.03999996</v>
      </c>
      <c r="DF393" s="412">
        <f t="shared" ref="DF393:DH393" si="42">+DF372+DF373</f>
        <v>-568371365.74000001</v>
      </c>
      <c r="DG393" s="412">
        <f t="shared" si="42"/>
        <v>-568379667.44000006</v>
      </c>
      <c r="DH393" s="412">
        <f t="shared" si="42"/>
        <v>-568387969.13999999</v>
      </c>
    </row>
    <row r="394" spans="1:112" ht="15">
      <c r="R394" s="336"/>
    </row>
    <row r="395" spans="1:112" ht="15">
      <c r="R395" s="336"/>
      <c r="AB395" s="369">
        <f>SUM(AB368:AB390)+SUM(AB335:AB367)</f>
        <v>0</v>
      </c>
      <c r="AC395" s="369">
        <v>0</v>
      </c>
      <c r="AD395" s="369">
        <v>0</v>
      </c>
      <c r="AE395" s="369">
        <v>0</v>
      </c>
      <c r="AF395" s="369">
        <f>SUM(AF368:AF390)+SUM(AF335:AF367)</f>
        <v>0</v>
      </c>
      <c r="AG395" s="369">
        <f>SUM(AG368:AG390)+SUM(AG335:AG367)</f>
        <v>0</v>
      </c>
      <c r="AH395" s="369">
        <f>SUM(AH368:AH390)+SUM(AH335:AH367)</f>
        <v>0</v>
      </c>
      <c r="AI395" s="369">
        <f>SUM(AI335:AI390)</f>
        <v>-4.8428773880004883E-8</v>
      </c>
      <c r="AJ395" s="369">
        <f t="shared" ref="AJ395:AW395" si="43">SUM(AJ335:AJ390)</f>
        <v>7.0780515670776367E-8</v>
      </c>
      <c r="AK395" s="369">
        <f t="shared" si="43"/>
        <v>-1.1548399925231934E-7</v>
      </c>
      <c r="AL395" s="369">
        <f t="shared" si="43"/>
        <v>-1.9371509552001953E-7</v>
      </c>
      <c r="AM395" s="369">
        <f t="shared" si="43"/>
        <v>-1.0058283805847168E-7</v>
      </c>
      <c r="AN395" s="369">
        <f t="shared" si="43"/>
        <v>-3.8370490074157715E-7</v>
      </c>
      <c r="AO395" s="369">
        <f t="shared" si="43"/>
        <v>-6.3329935073852539E-8</v>
      </c>
      <c r="AP395" s="369">
        <f t="shared" si="43"/>
        <v>-4.8428773880004883E-8</v>
      </c>
      <c r="AQ395" s="369">
        <f t="shared" si="43"/>
        <v>0</v>
      </c>
      <c r="AR395" s="369">
        <f t="shared" si="43"/>
        <v>-9.6857547760009766E-8</v>
      </c>
      <c r="AS395" s="369">
        <f t="shared" si="43"/>
        <v>-7.8231096267700195E-8</v>
      </c>
      <c r="AT395" s="369">
        <f t="shared" si="43"/>
        <v>6.7055225372314453E-8</v>
      </c>
      <c r="AU395" s="369">
        <f t="shared" si="43"/>
        <v>-3.1292438507080078E-7</v>
      </c>
      <c r="AV395" s="369">
        <f t="shared" si="43"/>
        <v>-1.9371509552001953E-7</v>
      </c>
      <c r="AW395" s="369">
        <f t="shared" si="43"/>
        <v>-6.7055225372314453E-8</v>
      </c>
      <c r="AX395" s="369">
        <f t="shared" ref="AX395:BC395" si="44">SUM(AX335:AX390)</f>
        <v>1.2665987014770508E-7</v>
      </c>
      <c r="AY395" s="369">
        <f t="shared" si="44"/>
        <v>0</v>
      </c>
      <c r="AZ395" s="369">
        <f t="shared" si="44"/>
        <v>-2.7299392968416214E-7</v>
      </c>
      <c r="BA395" s="369">
        <f>SUM(BA335:BA390)</f>
        <v>-9.0571120381355286E-8</v>
      </c>
      <c r="BB395" s="369">
        <f t="shared" si="44"/>
        <v>-0.99999998812563717</v>
      </c>
      <c r="BC395" s="369">
        <f t="shared" si="44"/>
        <v>-6.6822394728660583E-8</v>
      </c>
      <c r="BD395" s="369">
        <f t="shared" ref="BD395:BI395" si="45">SUM(BD335:BD390)</f>
        <v>-9.5460563898086548E-8</v>
      </c>
      <c r="BE395" s="369">
        <f t="shared" si="45"/>
        <v>-5.1222741603851318E-8</v>
      </c>
      <c r="BF395" s="369">
        <f t="shared" si="45"/>
        <v>0.99999975459650159</v>
      </c>
      <c r="BG395" s="369">
        <f t="shared" si="45"/>
        <v>1.0477378964424133E-7</v>
      </c>
      <c r="BH395" s="369">
        <f t="shared" si="45"/>
        <v>-3.6787241697311401E-8</v>
      </c>
      <c r="BI395" s="369">
        <f t="shared" si="45"/>
        <v>3.564637154340744E-7</v>
      </c>
      <c r="BJ395" s="369">
        <f t="shared" ref="BJ395:BO395" si="46">SUM(BJ335:BJ390)</f>
        <v>-2.1420419216156006E-8</v>
      </c>
      <c r="BK395" s="369">
        <f t="shared" si="46"/>
        <v>4.2840838432312012E-8</v>
      </c>
      <c r="BL395" s="369">
        <f t="shared" si="46"/>
        <v>-3.9934820961207151E-7</v>
      </c>
      <c r="BM395" s="369">
        <f t="shared" si="46"/>
        <v>-2.0978040993213654E-7</v>
      </c>
      <c r="BN395" s="369">
        <f t="shared" si="46"/>
        <v>-3.3411197364330292E-8</v>
      </c>
      <c r="BO395" s="369">
        <f t="shared" si="46"/>
        <v>6.4133200794458389E-7</v>
      </c>
      <c r="BP395" s="369">
        <f t="shared" ref="BP395:BU395" si="47">SUM(BP335:BP390)</f>
        <v>-8.2305632531642914E-8</v>
      </c>
      <c r="BQ395" s="369">
        <f t="shared" si="47"/>
        <v>2.1932646632194519E-7</v>
      </c>
      <c r="BR395" s="369">
        <f t="shared" si="47"/>
        <v>-2.7054920792579651E-7</v>
      </c>
      <c r="BS395" s="369">
        <f t="shared" si="47"/>
        <v>-2.1420419216156006E-8</v>
      </c>
      <c r="BT395" s="369">
        <f t="shared" si="47"/>
        <v>1.2759119272232056E-7</v>
      </c>
      <c r="BU395" s="369">
        <f t="shared" si="47"/>
        <v>1.4423858374357224E-7</v>
      </c>
      <c r="BV395" s="369">
        <f t="shared" ref="BV395:CA395" si="48">SUM(BV335:BV390)</f>
        <v>-1.0000001990702003</v>
      </c>
      <c r="BW395" s="369">
        <f t="shared" si="48"/>
        <v>-0.99999986885813996</v>
      </c>
      <c r="BX395" s="369">
        <f t="shared" si="48"/>
        <v>-1.1932570487260818E-8</v>
      </c>
      <c r="BY395" s="369">
        <f t="shared" si="48"/>
        <v>-3.0995579436421394E-7</v>
      </c>
      <c r="BZ395" s="369">
        <f t="shared" si="48"/>
        <v>-4.8277433961629868E-7</v>
      </c>
      <c r="CA395" s="369">
        <f t="shared" si="48"/>
        <v>-1.0710209608078003E-8</v>
      </c>
      <c r="CB395" s="369">
        <f t="shared" ref="CB395:CG395" si="49">SUM(CB335:CB390)</f>
        <v>-7.7532604336738586E-8</v>
      </c>
      <c r="CC395" s="369">
        <f t="shared" si="49"/>
        <v>3.016320988535881E-7</v>
      </c>
      <c r="CD395" s="369">
        <f t="shared" si="49"/>
        <v>1.203734427690506E-7</v>
      </c>
      <c r="CE395" s="369">
        <f t="shared" si="49"/>
        <v>-2.4319160729646683E-7</v>
      </c>
      <c r="CF395" s="369">
        <f t="shared" si="49"/>
        <v>-8.070492185652256E-7</v>
      </c>
      <c r="CG395" s="369">
        <f t="shared" si="49"/>
        <v>3.540480975061655E-7</v>
      </c>
      <c r="CH395" s="369">
        <f t="shared" ref="CH395:CM395" si="50">SUM(CH335:CH390)</f>
        <v>-3.9336737245321274E-7</v>
      </c>
      <c r="CI395" s="369">
        <f t="shared" si="50"/>
        <v>-1.3830140233039856E-7</v>
      </c>
      <c r="CJ395" s="369">
        <f t="shared" si="50"/>
        <v>-6.8068038672208786E-7</v>
      </c>
      <c r="CK395" s="369">
        <f t="shared" si="50"/>
        <v>-2.8638169169425964E-8</v>
      </c>
      <c r="CL395" s="369">
        <f t="shared" si="50"/>
        <v>-1.4551915228366852E-7</v>
      </c>
      <c r="CM395" s="369">
        <f t="shared" si="50"/>
        <v>3.1595118343830109E-7</v>
      </c>
      <c r="CN395" s="369">
        <f t="shared" ref="CN395:CS395" si="51">SUM(CN335:CN390)</f>
        <v>6.4726918935775757E-7</v>
      </c>
      <c r="CO395" s="369">
        <f t="shared" si="51"/>
        <v>-3.6903657019138336E-8</v>
      </c>
      <c r="CP395" s="369">
        <f t="shared" si="51"/>
        <v>-1.5017576515674591E-7</v>
      </c>
      <c r="CQ395" s="369">
        <f t="shared" si="51"/>
        <v>-5.7276338338851929E-8</v>
      </c>
      <c r="CR395" s="369">
        <f t="shared" si="51"/>
        <v>8.9406967163085938E-8</v>
      </c>
      <c r="CS395" s="369">
        <f t="shared" si="51"/>
        <v>-3.1711533665657043E-7</v>
      </c>
      <c r="CT395" s="369">
        <f t="shared" ref="CT395:CY395" si="52">SUM(CT335:CT390)</f>
        <v>-1.0617077350616455E-7</v>
      </c>
      <c r="CU395" s="369">
        <f t="shared" si="52"/>
        <v>4.2188912630081177E-7</v>
      </c>
      <c r="CV395" s="369">
        <f t="shared" si="52"/>
        <v>-2.859160304069519E-7</v>
      </c>
      <c r="CW395" s="369">
        <f t="shared" si="52"/>
        <v>-1.5250407159328461E-7</v>
      </c>
      <c r="CX395" s="369">
        <f t="shared" si="52"/>
        <v>5.1019014790654182E-7</v>
      </c>
      <c r="CY395" s="369">
        <f t="shared" si="52"/>
        <v>-1.4901161193847656E-7</v>
      </c>
      <c r="CZ395" s="369">
        <f t="shared" ref="CZ395:DB395" si="53">SUM(CZ335:CZ390)</f>
        <v>2.3009488359093666E-7</v>
      </c>
      <c r="DA395" s="369">
        <f t="shared" si="53"/>
        <v>-1.4068791642785072E-7</v>
      </c>
      <c r="DB395" s="369">
        <f t="shared" si="53"/>
        <v>3.9814040064811707E-7</v>
      </c>
      <c r="DC395" s="369">
        <f t="shared" ref="DC395:DE395" si="54">SUM(DC335:DC390)</f>
        <v>3.9336737245321274E-7</v>
      </c>
      <c r="DD395" s="369">
        <f t="shared" si="54"/>
        <v>-4.243338480591774E-7</v>
      </c>
      <c r="DE395" s="369">
        <f t="shared" si="54"/>
        <v>5.0547532737255096E-7</v>
      </c>
      <c r="DF395" s="369">
        <f t="shared" ref="DF395:DH395" si="55">SUM(DF335:DF390)</f>
        <v>-3.7788413465023041E-7</v>
      </c>
      <c r="DG395" s="369">
        <f t="shared" si="55"/>
        <v>4.0174927562475204E-7</v>
      </c>
      <c r="DH395" s="369">
        <f t="shared" si="55"/>
        <v>3.9348378777503967E-7</v>
      </c>
    </row>
    <row r="397" spans="1:112">
      <c r="AC397" s="369">
        <v>0</v>
      </c>
      <c r="AD397" s="369">
        <v>0</v>
      </c>
      <c r="AE397" s="369">
        <v>0</v>
      </c>
      <c r="AF397" s="369">
        <f t="shared" ref="AF397:BK397" si="56">SUM(AF368:AF390)-SUM(AF172:AF330)</f>
        <v>0</v>
      </c>
      <c r="AG397" s="369">
        <f t="shared" si="56"/>
        <v>0</v>
      </c>
      <c r="AH397" s="369">
        <f t="shared" si="56"/>
        <v>199682.99999964237</v>
      </c>
      <c r="AI397" s="369">
        <f t="shared" si="56"/>
        <v>266805</v>
      </c>
      <c r="AJ397" s="369">
        <f t="shared" si="56"/>
        <v>334211.00000011921</v>
      </c>
      <c r="AK397" s="369">
        <f t="shared" si="56"/>
        <v>401903.99999988079</v>
      </c>
      <c r="AL397" s="369">
        <f t="shared" si="56"/>
        <v>469886</v>
      </c>
      <c r="AM397" s="369">
        <f t="shared" si="56"/>
        <v>584615.99999952316</v>
      </c>
      <c r="AN397" s="369">
        <f t="shared" si="56"/>
        <v>676558.00000035763</v>
      </c>
      <c r="AO397" s="369">
        <f t="shared" si="56"/>
        <v>768482.99999940395</v>
      </c>
      <c r="AP397" s="369">
        <f t="shared" si="56"/>
        <v>860803.99999976158</v>
      </c>
      <c r="AQ397" s="369">
        <f t="shared" si="56"/>
        <v>953522.99999976158</v>
      </c>
      <c r="AR397" s="369">
        <f t="shared" si="56"/>
        <v>989835</v>
      </c>
      <c r="AS397" s="369">
        <f t="shared" si="56"/>
        <v>1026083.0000001192</v>
      </c>
      <c r="AT397" s="369">
        <f t="shared" si="56"/>
        <v>1062266</v>
      </c>
      <c r="AU397" s="369">
        <f t="shared" si="56"/>
        <v>1098383.0000004768</v>
      </c>
      <c r="AV397" s="369">
        <f t="shared" si="56"/>
        <v>1134433.0000002384</v>
      </c>
      <c r="AW397" s="369">
        <f t="shared" si="56"/>
        <v>1170415.9999997616</v>
      </c>
      <c r="AX397" s="369">
        <f t="shared" si="56"/>
        <v>1186464.9999997616</v>
      </c>
      <c r="AY397" s="369">
        <f t="shared" si="56"/>
        <v>1202280.9999995232</v>
      </c>
      <c r="AZ397" s="369">
        <f t="shared" si="56"/>
        <v>1217863.9999997616</v>
      </c>
      <c r="BA397" s="369">
        <f t="shared" si="56"/>
        <v>1232547.9999995232</v>
      </c>
      <c r="BB397" s="369">
        <f t="shared" si="56"/>
        <v>1246988.0000004768</v>
      </c>
      <c r="BC397" s="369">
        <f t="shared" si="56"/>
        <v>1261182</v>
      </c>
      <c r="BD397" s="369">
        <f t="shared" si="56"/>
        <v>1275128.9999997616</v>
      </c>
      <c r="BE397" s="369">
        <f t="shared" si="56"/>
        <v>1288826.0000002384</v>
      </c>
      <c r="BF397" s="369">
        <f t="shared" si="56"/>
        <v>1302271.9999997616</v>
      </c>
      <c r="BG397" s="369">
        <f t="shared" si="56"/>
        <v>1315463.9999997616</v>
      </c>
      <c r="BH397" s="369">
        <f t="shared" si="56"/>
        <v>1328400.9999995232</v>
      </c>
      <c r="BI397" s="369">
        <f t="shared" si="56"/>
        <v>1341079.9999992847</v>
      </c>
      <c r="BJ397" s="369">
        <f t="shared" si="56"/>
        <v>1353498.9999995232</v>
      </c>
      <c r="BK397" s="369">
        <f t="shared" si="56"/>
        <v>1365655.9999995232</v>
      </c>
      <c r="BL397" s="369">
        <f t="shared" ref="BL397:CQ397" si="57">SUM(BL368:BL390)-SUM(BL172:BL330)</f>
        <v>1377548.9999997616</v>
      </c>
      <c r="BM397" s="369">
        <f t="shared" si="57"/>
        <v>1388511</v>
      </c>
      <c r="BN397" s="369">
        <f t="shared" si="57"/>
        <v>1399198.9999997616</v>
      </c>
      <c r="BO397" s="369">
        <f t="shared" si="57"/>
        <v>1409611</v>
      </c>
      <c r="BP397" s="369">
        <f t="shared" si="57"/>
        <v>1419743.9999997616</v>
      </c>
      <c r="BQ397" s="369">
        <f t="shared" si="57"/>
        <v>1429595.9999995232</v>
      </c>
      <c r="BR397" s="369">
        <f t="shared" si="57"/>
        <v>1439164</v>
      </c>
      <c r="BS397" s="369">
        <f t="shared" si="57"/>
        <v>1448446.9999997616</v>
      </c>
      <c r="BT397" s="369">
        <f t="shared" si="57"/>
        <v>1457441.9999997616</v>
      </c>
      <c r="BU397" s="369">
        <f t="shared" si="57"/>
        <v>1466145.9999992847</v>
      </c>
      <c r="BV397" s="369">
        <f t="shared" si="57"/>
        <v>1474556</v>
      </c>
      <c r="BW397" s="369">
        <f t="shared" si="57"/>
        <v>1482670.9999992847</v>
      </c>
      <c r="BX397" s="369">
        <f t="shared" si="57"/>
        <v>1490488.9999997616</v>
      </c>
      <c r="BY397" s="369">
        <f t="shared" si="57"/>
        <v>1497342.9999997616</v>
      </c>
      <c r="BZ397" s="369">
        <f t="shared" si="57"/>
        <v>1503890</v>
      </c>
      <c r="CA397" s="369">
        <f t="shared" si="57"/>
        <v>1510126.0000011921</v>
      </c>
      <c r="CB397" s="369">
        <f t="shared" si="57"/>
        <v>1531725.9999997616</v>
      </c>
      <c r="CC397" s="369">
        <f t="shared" si="57"/>
        <v>1553140.0000002384</v>
      </c>
      <c r="CD397" s="369">
        <f t="shared" si="57"/>
        <v>1574365.0000011921</v>
      </c>
      <c r="CE397" s="369">
        <f t="shared" si="57"/>
        <v>1595402.0000009537</v>
      </c>
      <c r="CF397" s="369">
        <f t="shared" si="57"/>
        <v>1616247.0000007153</v>
      </c>
      <c r="CG397" s="369">
        <f t="shared" si="57"/>
        <v>1636898.9999997616</v>
      </c>
      <c r="CH397" s="369">
        <f t="shared" si="57"/>
        <v>1662840</v>
      </c>
      <c r="CI397" s="369">
        <f t="shared" si="57"/>
        <v>1688630.9999997616</v>
      </c>
      <c r="CJ397" s="369">
        <f t="shared" si="57"/>
        <v>-802796.50999975204</v>
      </c>
      <c r="CK397" s="369">
        <f t="shared" si="57"/>
        <v>1739094</v>
      </c>
      <c r="CL397" s="369">
        <f t="shared" si="57"/>
        <v>1763758.0000007153</v>
      </c>
      <c r="CM397" s="369">
        <f t="shared" si="57"/>
        <v>1788261.0000004768</v>
      </c>
      <c r="CN397" s="369">
        <f t="shared" si="57"/>
        <v>1812601.9999997616</v>
      </c>
      <c r="CO397" s="369">
        <f t="shared" si="57"/>
        <v>1836778.9999995232</v>
      </c>
      <c r="CP397" s="369">
        <f t="shared" si="57"/>
        <v>1860791</v>
      </c>
      <c r="CQ397" s="369">
        <f t="shared" si="57"/>
        <v>1884637</v>
      </c>
      <c r="CR397" s="369">
        <f t="shared" ref="CR397:DH397" si="58">SUM(CR368:CR390)-SUM(CR172:CR330)</f>
        <v>1908314.9999992847</v>
      </c>
      <c r="CS397" s="369">
        <f t="shared" si="58"/>
        <v>1931823.9999992847</v>
      </c>
      <c r="CT397" s="369">
        <f t="shared" si="58"/>
        <v>1955161.9999997616</v>
      </c>
      <c r="CU397" s="369">
        <f t="shared" si="58"/>
        <v>1978329.0000004768</v>
      </c>
      <c r="CV397" s="369">
        <f t="shared" si="58"/>
        <v>2001320.9999995232</v>
      </c>
      <c r="CW397" s="369">
        <f t="shared" si="58"/>
        <v>2023476</v>
      </c>
      <c r="CX397" s="369">
        <f t="shared" si="58"/>
        <v>2045451.0000007153</v>
      </c>
      <c r="CY397" s="369">
        <f t="shared" si="58"/>
        <v>1557178.9999997616</v>
      </c>
      <c r="CZ397" s="369">
        <f t="shared" si="58"/>
        <v>1572913</v>
      </c>
      <c r="DA397" s="369">
        <f t="shared" si="58"/>
        <v>1588506.9999997616</v>
      </c>
      <c r="DB397" s="369">
        <f t="shared" si="58"/>
        <v>1603958.9999997616</v>
      </c>
      <c r="DC397" s="369">
        <f t="shared" si="58"/>
        <v>0</v>
      </c>
      <c r="DD397" s="369">
        <f t="shared" si="58"/>
        <v>0</v>
      </c>
      <c r="DE397" s="369">
        <f t="shared" si="58"/>
        <v>0</v>
      </c>
      <c r="DF397" s="369">
        <f t="shared" si="58"/>
        <v>0</v>
      </c>
      <c r="DG397" s="369">
        <f t="shared" si="58"/>
        <v>0</v>
      </c>
      <c r="DH397" s="369">
        <f t="shared" si="58"/>
        <v>0</v>
      </c>
    </row>
    <row r="398" spans="1:112">
      <c r="AH398" s="369">
        <f>+AH397+AH304</f>
        <v>-3.5762786865234375E-7</v>
      </c>
      <c r="AI398" s="369">
        <f>+AI397+AI304</f>
        <v>0</v>
      </c>
      <c r="AJ398" s="369">
        <f t="shared" ref="AJ398:AW398" si="59">+AJ397+AJ304</f>
        <v>1.1920928955078125E-7</v>
      </c>
      <c r="AK398" s="369">
        <f t="shared" si="59"/>
        <v>-1.1920928955078125E-7</v>
      </c>
      <c r="AL398" s="369">
        <f t="shared" si="59"/>
        <v>0</v>
      </c>
      <c r="AM398" s="369">
        <f t="shared" si="59"/>
        <v>-4.76837158203125E-7</v>
      </c>
      <c r="AN398" s="369">
        <f t="shared" si="59"/>
        <v>3.5762786865234375E-7</v>
      </c>
      <c r="AO398" s="369">
        <f t="shared" si="59"/>
        <v>-5.9604644775390625E-7</v>
      </c>
      <c r="AP398" s="369">
        <f t="shared" si="59"/>
        <v>-2.384185791015625E-7</v>
      </c>
      <c r="AQ398" s="369">
        <f t="shared" si="59"/>
        <v>-2.384185791015625E-7</v>
      </c>
      <c r="AR398" s="369">
        <f t="shared" si="59"/>
        <v>0</v>
      </c>
      <c r="AS398" s="369">
        <f t="shared" si="59"/>
        <v>1.1920928955078125E-7</v>
      </c>
      <c r="AT398" s="369">
        <f>+AT397+AT304</f>
        <v>0</v>
      </c>
      <c r="AU398" s="369">
        <f t="shared" si="59"/>
        <v>4.76837158203125E-7</v>
      </c>
      <c r="AV398" s="369">
        <f t="shared" si="59"/>
        <v>2.384185791015625E-7</v>
      </c>
      <c r="AW398" s="369">
        <f t="shared" si="59"/>
        <v>-2.384185791015625E-7</v>
      </c>
      <c r="AX398" s="369">
        <f t="shared" ref="AX398:BC398" si="60">+AX397+AX304</f>
        <v>-2.384185791015625E-7</v>
      </c>
      <c r="AY398" s="369">
        <f t="shared" si="60"/>
        <v>-4.76837158203125E-7</v>
      </c>
      <c r="AZ398" s="369">
        <f t="shared" si="60"/>
        <v>-2.384185791015625E-7</v>
      </c>
      <c r="BA398" s="369">
        <f t="shared" si="60"/>
        <v>-4.76837158203125E-7</v>
      </c>
      <c r="BB398" s="369">
        <f t="shared" si="60"/>
        <v>4.76837158203125E-7</v>
      </c>
      <c r="BC398" s="369">
        <f t="shared" si="60"/>
        <v>0</v>
      </c>
      <c r="BD398" s="369">
        <f t="shared" ref="BD398:BI398" si="61">+BD397+BD304</f>
        <v>-2.384185791015625E-7</v>
      </c>
      <c r="BE398" s="369">
        <f t="shared" si="61"/>
        <v>2.384185791015625E-7</v>
      </c>
      <c r="BF398" s="369">
        <f t="shared" si="61"/>
        <v>-2.384185791015625E-7</v>
      </c>
      <c r="BG398" s="369">
        <f t="shared" si="61"/>
        <v>-2.384185791015625E-7</v>
      </c>
      <c r="BH398" s="369">
        <f t="shared" si="61"/>
        <v>-4.76837158203125E-7</v>
      </c>
      <c r="BI398" s="369">
        <f t="shared" si="61"/>
        <v>-7.152557373046875E-7</v>
      </c>
      <c r="BJ398" s="369">
        <f t="shared" ref="BJ398:BO398" si="62">+BJ397+BJ304</f>
        <v>-4.76837158203125E-7</v>
      </c>
      <c r="BK398" s="369">
        <f t="shared" si="62"/>
        <v>-4.76837158203125E-7</v>
      </c>
      <c r="BL398" s="369">
        <f t="shared" si="62"/>
        <v>-2.384185791015625E-7</v>
      </c>
      <c r="BM398" s="369">
        <f t="shared" si="62"/>
        <v>0</v>
      </c>
      <c r="BN398" s="369">
        <f t="shared" si="62"/>
        <v>-2.384185791015625E-7</v>
      </c>
      <c r="BO398" s="369">
        <f t="shared" si="62"/>
        <v>0</v>
      </c>
      <c r="BP398" s="369">
        <f t="shared" ref="BP398:BU398" si="63">+BP397+BP304</f>
        <v>-2.384185791015625E-7</v>
      </c>
      <c r="BQ398" s="369">
        <f t="shared" si="63"/>
        <v>-4.76837158203125E-7</v>
      </c>
      <c r="BR398" s="369">
        <f t="shared" si="63"/>
        <v>0</v>
      </c>
      <c r="BS398" s="369">
        <f t="shared" si="63"/>
        <v>-2.384185791015625E-7</v>
      </c>
      <c r="BT398" s="369">
        <f t="shared" si="63"/>
        <v>-2.384185791015625E-7</v>
      </c>
      <c r="BU398" s="369">
        <f t="shared" si="63"/>
        <v>-7.152557373046875E-7</v>
      </c>
      <c r="BV398" s="369">
        <f t="shared" ref="BV398:CA398" si="64">+BV397+BV304</f>
        <v>0</v>
      </c>
      <c r="BW398" s="369">
        <f t="shared" si="64"/>
        <v>-7.152557373046875E-7</v>
      </c>
      <c r="BX398" s="369">
        <f t="shared" si="64"/>
        <v>-2.384185791015625E-7</v>
      </c>
      <c r="BY398" s="369">
        <f t="shared" si="64"/>
        <v>-2.384185791015625E-7</v>
      </c>
      <c r="BZ398" s="369">
        <f t="shared" si="64"/>
        <v>0</v>
      </c>
      <c r="CA398" s="369">
        <f t="shared" si="64"/>
        <v>1.1920928955078125E-6</v>
      </c>
      <c r="CB398" s="369">
        <f t="shared" ref="CB398:CG398" si="65">+CB397+CB304</f>
        <v>-2.384185791015625E-7</v>
      </c>
      <c r="CC398" s="369">
        <f t="shared" si="65"/>
        <v>2.384185791015625E-7</v>
      </c>
      <c r="CD398" s="369">
        <f t="shared" si="65"/>
        <v>1.1920928955078125E-6</v>
      </c>
      <c r="CE398" s="369">
        <f t="shared" si="65"/>
        <v>9.5367431640625E-7</v>
      </c>
      <c r="CF398" s="369">
        <f t="shared" si="65"/>
        <v>7.152557373046875E-7</v>
      </c>
      <c r="CG398" s="369">
        <f t="shared" si="65"/>
        <v>-2.384185791015625E-7</v>
      </c>
      <c r="CH398" s="369">
        <f t="shared" ref="CH398:CM398" si="66">+CH397+CH304</f>
        <v>0</v>
      </c>
      <c r="CI398" s="369">
        <f t="shared" si="66"/>
        <v>-2.384185791015625E-7</v>
      </c>
      <c r="CJ398" s="369">
        <f t="shared" si="66"/>
        <v>-2517180.509999752</v>
      </c>
      <c r="CK398" s="369">
        <f t="shared" si="66"/>
        <v>0</v>
      </c>
      <c r="CL398" s="369">
        <f t="shared" si="66"/>
        <v>7.152557373046875E-7</v>
      </c>
      <c r="CM398" s="369">
        <f t="shared" si="66"/>
        <v>4.76837158203125E-7</v>
      </c>
      <c r="CN398" s="369">
        <f t="shared" ref="CN398:CS398" si="67">+CN397+CN304</f>
        <v>-2.384185791015625E-7</v>
      </c>
      <c r="CO398" s="369">
        <f t="shared" si="67"/>
        <v>-4.76837158203125E-7</v>
      </c>
      <c r="CP398" s="369">
        <f t="shared" si="67"/>
        <v>0</v>
      </c>
      <c r="CQ398" s="369">
        <f t="shared" si="67"/>
        <v>0</v>
      </c>
      <c r="CR398" s="369">
        <f t="shared" si="67"/>
        <v>-7.152557373046875E-7</v>
      </c>
      <c r="CS398" s="369">
        <f t="shared" si="67"/>
        <v>-7.152557373046875E-7</v>
      </c>
      <c r="CT398" s="369">
        <f t="shared" ref="CT398:CY398" si="68">+CT397+CT304</f>
        <v>-2.384185791015625E-7</v>
      </c>
      <c r="CU398" s="369">
        <f t="shared" si="68"/>
        <v>4.76837158203125E-7</v>
      </c>
      <c r="CV398" s="369">
        <f t="shared" si="68"/>
        <v>-4.76837158203125E-7</v>
      </c>
      <c r="CW398" s="369">
        <f t="shared" si="68"/>
        <v>0</v>
      </c>
      <c r="CX398" s="369">
        <f t="shared" si="68"/>
        <v>7.152557373046875E-7</v>
      </c>
      <c r="CY398" s="369">
        <f t="shared" si="68"/>
        <v>-2.384185791015625E-7</v>
      </c>
      <c r="CZ398" s="369">
        <f t="shared" ref="CZ398:DB398" si="69">+CZ397+CZ304</f>
        <v>0</v>
      </c>
      <c r="DA398" s="369">
        <f t="shared" si="69"/>
        <v>-2.384185791015625E-7</v>
      </c>
      <c r="DB398" s="369">
        <f t="shared" si="69"/>
        <v>-2.384185791015625E-7</v>
      </c>
      <c r="DC398" s="369">
        <f t="shared" ref="DC398:DE398" si="70">+DC397+DC304</f>
        <v>0</v>
      </c>
      <c r="DD398" s="369">
        <f t="shared" si="70"/>
        <v>0</v>
      </c>
      <c r="DE398" s="369">
        <f t="shared" si="70"/>
        <v>0</v>
      </c>
      <c r="DF398" s="369">
        <f t="shared" ref="DF398:DH398" si="71">+DF397+DF304</f>
        <v>0</v>
      </c>
      <c r="DG398" s="369">
        <f t="shared" si="71"/>
        <v>0</v>
      </c>
      <c r="DH398" s="369">
        <f t="shared" si="71"/>
        <v>0</v>
      </c>
    </row>
    <row r="399" spans="1:112">
      <c r="AH399" s="369">
        <f t="shared" ref="AH399:BM399" si="72">SUM(AH335:AH367)-SUM(AH5:AH171)</f>
        <v>-199683.00000023842</v>
      </c>
      <c r="AI399" s="369">
        <f t="shared" si="72"/>
        <v>-266804.99999976158</v>
      </c>
      <c r="AJ399" s="369">
        <f t="shared" si="72"/>
        <v>-334211.00000011921</v>
      </c>
      <c r="AK399" s="369">
        <f t="shared" si="72"/>
        <v>-401903.99999988079</v>
      </c>
      <c r="AL399" s="369">
        <f t="shared" si="72"/>
        <v>-469885.99999976158</v>
      </c>
      <c r="AM399" s="369">
        <f t="shared" si="72"/>
        <v>-584615.99999988079</v>
      </c>
      <c r="AN399" s="369">
        <f t="shared" si="72"/>
        <v>-676558.00000023842</v>
      </c>
      <c r="AO399" s="369">
        <f t="shared" si="72"/>
        <v>-768483.00000011921</v>
      </c>
      <c r="AP399" s="369">
        <f t="shared" si="72"/>
        <v>-860803.99999976158</v>
      </c>
      <c r="AQ399" s="369">
        <f t="shared" si="72"/>
        <v>-953523.00000011921</v>
      </c>
      <c r="AR399" s="369">
        <f t="shared" si="72"/>
        <v>-989834.99999988079</v>
      </c>
      <c r="AS399" s="369">
        <f t="shared" si="72"/>
        <v>-1026083</v>
      </c>
      <c r="AT399" s="369">
        <f t="shared" si="72"/>
        <v>-1062266.0000002384</v>
      </c>
      <c r="AU399" s="369">
        <f t="shared" si="72"/>
        <v>-1098383.0000004768</v>
      </c>
      <c r="AV399" s="369">
        <f t="shared" si="72"/>
        <v>-1134432.9999997616</v>
      </c>
      <c r="AW399" s="369">
        <f t="shared" si="72"/>
        <v>-1170415.9999997616</v>
      </c>
      <c r="AX399" s="369">
        <f t="shared" si="72"/>
        <v>-1186464.9999997616</v>
      </c>
      <c r="AY399" s="369">
        <f t="shared" si="72"/>
        <v>-1202281</v>
      </c>
      <c r="AZ399" s="369">
        <f t="shared" si="72"/>
        <v>-1217864</v>
      </c>
      <c r="BA399" s="369">
        <f t="shared" si="72"/>
        <v>-1232548.0000007153</v>
      </c>
      <c r="BB399" s="369">
        <f t="shared" si="72"/>
        <v>-1246989.0000002384</v>
      </c>
      <c r="BC399" s="369">
        <f t="shared" si="72"/>
        <v>-1261182.0000002384</v>
      </c>
      <c r="BD399" s="369">
        <f t="shared" si="72"/>
        <v>-1275129</v>
      </c>
      <c r="BE399" s="369">
        <f t="shared" si="72"/>
        <v>-1288826.0000004768</v>
      </c>
      <c r="BF399" s="369">
        <f t="shared" si="72"/>
        <v>-1302271.0000004768</v>
      </c>
      <c r="BG399" s="369">
        <f t="shared" si="72"/>
        <v>-1315463.9999997616</v>
      </c>
      <c r="BH399" s="369">
        <f t="shared" si="72"/>
        <v>-1328401</v>
      </c>
      <c r="BI399" s="369">
        <f t="shared" si="72"/>
        <v>-1341080.0000004768</v>
      </c>
      <c r="BJ399" s="369">
        <f t="shared" si="72"/>
        <v>-1353498.9999992847</v>
      </c>
      <c r="BK399" s="369">
        <f t="shared" si="72"/>
        <v>-1365655.9999995232</v>
      </c>
      <c r="BL399" s="369">
        <f t="shared" si="72"/>
        <v>-1377549</v>
      </c>
      <c r="BM399" s="369">
        <f t="shared" si="72"/>
        <v>-1388510.9999995232</v>
      </c>
      <c r="BN399" s="369">
        <f t="shared" ref="BN399:CS399" si="73">SUM(BN335:BN367)-SUM(BN5:BN171)</f>
        <v>-1399198.9999992847</v>
      </c>
      <c r="BO399" s="369">
        <f t="shared" si="73"/>
        <v>-1409611</v>
      </c>
      <c r="BP399" s="369">
        <f t="shared" si="73"/>
        <v>-1419744</v>
      </c>
      <c r="BQ399" s="369">
        <f t="shared" si="73"/>
        <v>-1429595.9999990463</v>
      </c>
      <c r="BR399" s="369">
        <f t="shared" si="73"/>
        <v>-1439164.0000002384</v>
      </c>
      <c r="BS399" s="369">
        <f t="shared" si="73"/>
        <v>-1448447.0000002384</v>
      </c>
      <c r="BT399" s="369">
        <f t="shared" si="73"/>
        <v>-1457442</v>
      </c>
      <c r="BU399" s="369">
        <f t="shared" si="73"/>
        <v>-1466146.0000002384</v>
      </c>
      <c r="BV399" s="369">
        <f t="shared" si="73"/>
        <v>-1474557.0000002384</v>
      </c>
      <c r="BW399" s="369">
        <f t="shared" si="73"/>
        <v>-1482672</v>
      </c>
      <c r="BX399" s="369">
        <f t="shared" si="73"/>
        <v>-1490488.9999992847</v>
      </c>
      <c r="BY399" s="369">
        <f t="shared" si="73"/>
        <v>-1497342.9999997616</v>
      </c>
      <c r="BZ399" s="369">
        <f t="shared" si="73"/>
        <v>-1503889.9999997616</v>
      </c>
      <c r="CA399" s="369">
        <f t="shared" si="73"/>
        <v>-1510125.9999992847</v>
      </c>
      <c r="CB399" s="369">
        <f t="shared" si="73"/>
        <v>-1531726.0000002384</v>
      </c>
      <c r="CC399" s="369">
        <f t="shared" si="73"/>
        <v>-1553140.0000004768</v>
      </c>
      <c r="CD399" s="369">
        <f t="shared" si="73"/>
        <v>-1574365.0000002384</v>
      </c>
      <c r="CE399" s="369">
        <f t="shared" si="73"/>
        <v>-1595401.9999997616</v>
      </c>
      <c r="CF399" s="369">
        <f t="shared" si="73"/>
        <v>-3819979.0000002384</v>
      </c>
      <c r="CG399" s="369">
        <f t="shared" si="73"/>
        <v>-7179703.0000002384</v>
      </c>
      <c r="CH399" s="369">
        <f t="shared" si="73"/>
        <v>-1662840.0000007153</v>
      </c>
      <c r="CI399" s="369">
        <f t="shared" si="73"/>
        <v>-1688630.9999997616</v>
      </c>
      <c r="CJ399" s="369">
        <f t="shared" si="73"/>
        <v>802796.50999999046</v>
      </c>
      <c r="CK399" s="369">
        <f t="shared" si="73"/>
        <v>-1739093.9999997616</v>
      </c>
      <c r="CL399" s="369">
        <f t="shared" si="73"/>
        <v>-1763757.9999997616</v>
      </c>
      <c r="CM399" s="369">
        <f t="shared" si="73"/>
        <v>-1788260.9999985695</v>
      </c>
      <c r="CN399" s="369">
        <f t="shared" si="73"/>
        <v>-1812601.9999995232</v>
      </c>
      <c r="CO399" s="369">
        <f t="shared" si="73"/>
        <v>-1836779</v>
      </c>
      <c r="CP399" s="369">
        <f t="shared" si="73"/>
        <v>-1860790.9999995232</v>
      </c>
      <c r="CQ399" s="369">
        <f t="shared" si="73"/>
        <v>-1884636.9999990463</v>
      </c>
      <c r="CR399" s="369">
        <f t="shared" si="73"/>
        <v>-1908314.9999992847</v>
      </c>
      <c r="CS399" s="369">
        <f t="shared" si="73"/>
        <v>-1931824.0000002384</v>
      </c>
      <c r="CT399" s="369">
        <f t="shared" ref="CT399:DH399" si="74">SUM(CT335:CT367)-SUM(CT5:CT171)</f>
        <v>-1955162.0000002384</v>
      </c>
      <c r="CU399" s="369">
        <f t="shared" si="74"/>
        <v>-1978328.9999997616</v>
      </c>
      <c r="CV399" s="369">
        <f t="shared" si="74"/>
        <v>-2001320.9999997616</v>
      </c>
      <c r="CW399" s="369">
        <f t="shared" si="74"/>
        <v>-2023476</v>
      </c>
      <c r="CX399" s="369">
        <f t="shared" si="74"/>
        <v>-2045450.9999992847</v>
      </c>
      <c r="CY399" s="369">
        <f t="shared" si="74"/>
        <v>-1557178.9999985695</v>
      </c>
      <c r="CZ399" s="369">
        <f t="shared" si="74"/>
        <v>-1572912.9999997616</v>
      </c>
      <c r="DA399" s="369">
        <f t="shared" si="74"/>
        <v>-1588507.0000002384</v>
      </c>
      <c r="DB399" s="369">
        <f t="shared" si="74"/>
        <v>-1603959.0000002384</v>
      </c>
      <c r="DC399" s="369">
        <f t="shared" si="74"/>
        <v>0</v>
      </c>
      <c r="DD399" s="369">
        <f t="shared" si="74"/>
        <v>0</v>
      </c>
      <c r="DE399" s="369">
        <f t="shared" si="74"/>
        <v>0</v>
      </c>
      <c r="DF399" s="369">
        <f t="shared" si="74"/>
        <v>0</v>
      </c>
      <c r="DG399" s="369">
        <f t="shared" si="74"/>
        <v>0</v>
      </c>
      <c r="DH399" s="369">
        <f t="shared" si="74"/>
        <v>0</v>
      </c>
    </row>
    <row r="400" spans="1:112">
      <c r="AH400" s="369">
        <f t="shared" ref="AH400:BB400" si="75">+AH399-AH304</f>
        <v>-2.384185791015625E-7</v>
      </c>
      <c r="AI400" s="369">
        <f t="shared" si="75"/>
        <v>2.384185791015625E-7</v>
      </c>
      <c r="AJ400" s="369">
        <f t="shared" si="75"/>
        <v>-1.1920928955078125E-7</v>
      </c>
      <c r="AK400" s="369">
        <f t="shared" si="75"/>
        <v>1.1920928955078125E-7</v>
      </c>
      <c r="AL400" s="369">
        <f t="shared" si="75"/>
        <v>2.384185791015625E-7</v>
      </c>
      <c r="AM400" s="369">
        <f t="shared" si="75"/>
        <v>1.1920928955078125E-7</v>
      </c>
      <c r="AN400" s="369">
        <f t="shared" si="75"/>
        <v>-2.384185791015625E-7</v>
      </c>
      <c r="AO400" s="369">
        <f t="shared" si="75"/>
        <v>-1.1920928955078125E-7</v>
      </c>
      <c r="AP400" s="369">
        <f t="shared" si="75"/>
        <v>2.384185791015625E-7</v>
      </c>
      <c r="AQ400" s="369">
        <f t="shared" si="75"/>
        <v>-1.1920928955078125E-7</v>
      </c>
      <c r="AR400" s="369">
        <f t="shared" si="75"/>
        <v>1.1920928955078125E-7</v>
      </c>
      <c r="AS400" s="369">
        <f t="shared" si="75"/>
        <v>0</v>
      </c>
      <c r="AT400" s="369">
        <f t="shared" si="75"/>
        <v>-2.384185791015625E-7</v>
      </c>
      <c r="AU400" s="369">
        <f t="shared" si="75"/>
        <v>-4.76837158203125E-7</v>
      </c>
      <c r="AV400" s="369">
        <f t="shared" si="75"/>
        <v>2.384185791015625E-7</v>
      </c>
      <c r="AW400" s="369">
        <f t="shared" si="75"/>
        <v>2.384185791015625E-7</v>
      </c>
      <c r="AX400" s="369">
        <f t="shared" si="75"/>
        <v>2.384185791015625E-7</v>
      </c>
      <c r="AY400" s="369">
        <f t="shared" si="75"/>
        <v>0</v>
      </c>
      <c r="AZ400" s="369">
        <f t="shared" si="75"/>
        <v>0</v>
      </c>
      <c r="BA400" s="369">
        <f t="shared" si="75"/>
        <v>-7.152557373046875E-7</v>
      </c>
      <c r="BB400" s="369">
        <f t="shared" si="75"/>
        <v>-1.0000002384185791</v>
      </c>
      <c r="BC400" s="369">
        <f t="shared" ref="BC400:BH400" si="76">+BC399-BC304</f>
        <v>-2.384185791015625E-7</v>
      </c>
      <c r="BD400" s="369">
        <f t="shared" si="76"/>
        <v>0</v>
      </c>
      <c r="BE400" s="369">
        <f t="shared" si="76"/>
        <v>-4.76837158203125E-7</v>
      </c>
      <c r="BF400" s="369">
        <f t="shared" si="76"/>
        <v>0.9999995231628418</v>
      </c>
      <c r="BG400" s="369">
        <f t="shared" si="76"/>
        <v>2.384185791015625E-7</v>
      </c>
      <c r="BH400" s="369">
        <f t="shared" si="76"/>
        <v>0</v>
      </c>
      <c r="BI400" s="369">
        <f>+BI399-BI304</f>
        <v>-4.76837158203125E-7</v>
      </c>
      <c r="BJ400" s="369">
        <f t="shared" ref="BJ400:BO400" si="77">+BJ399-BJ304</f>
        <v>7.152557373046875E-7</v>
      </c>
      <c r="BK400" s="369">
        <f t="shared" si="77"/>
        <v>4.76837158203125E-7</v>
      </c>
      <c r="BL400" s="369">
        <f t="shared" si="77"/>
        <v>0</v>
      </c>
      <c r="BM400" s="369">
        <f t="shared" si="77"/>
        <v>4.76837158203125E-7</v>
      </c>
      <c r="BN400" s="369">
        <f t="shared" si="77"/>
        <v>7.152557373046875E-7</v>
      </c>
      <c r="BO400" s="369">
        <f t="shared" si="77"/>
        <v>0</v>
      </c>
      <c r="BP400" s="369">
        <f t="shared" ref="BP400:BU400" si="78">+BP399-BP304</f>
        <v>0</v>
      </c>
      <c r="BQ400" s="369">
        <f t="shared" si="78"/>
        <v>9.5367431640625E-7</v>
      </c>
      <c r="BR400" s="369">
        <f t="shared" si="78"/>
        <v>-2.384185791015625E-7</v>
      </c>
      <c r="BS400" s="369">
        <f t="shared" si="78"/>
        <v>-2.384185791015625E-7</v>
      </c>
      <c r="BT400" s="369">
        <f t="shared" si="78"/>
        <v>0</v>
      </c>
      <c r="BU400" s="369">
        <f t="shared" si="78"/>
        <v>-2.384185791015625E-7</v>
      </c>
      <c r="BV400" s="369">
        <f t="shared" ref="BV400:CA400" si="79">+BV399-BV304</f>
        <v>-1.0000002384185791</v>
      </c>
      <c r="BW400" s="369">
        <f t="shared" si="79"/>
        <v>-1</v>
      </c>
      <c r="BX400" s="369">
        <f t="shared" si="79"/>
        <v>7.152557373046875E-7</v>
      </c>
      <c r="BY400" s="369">
        <f t="shared" si="79"/>
        <v>2.384185791015625E-7</v>
      </c>
      <c r="BZ400" s="369">
        <f t="shared" si="79"/>
        <v>2.384185791015625E-7</v>
      </c>
      <c r="CA400" s="369">
        <f t="shared" si="79"/>
        <v>7.152557373046875E-7</v>
      </c>
      <c r="CB400" s="369">
        <f t="shared" ref="CB400:CG400" si="80">+CB399-CB304</f>
        <v>-2.384185791015625E-7</v>
      </c>
      <c r="CC400" s="369">
        <f t="shared" si="80"/>
        <v>-4.76837158203125E-7</v>
      </c>
      <c r="CD400" s="369">
        <f t="shared" si="80"/>
        <v>-2.384185791015625E-7</v>
      </c>
      <c r="CE400" s="369">
        <f t="shared" si="80"/>
        <v>2.384185791015625E-7</v>
      </c>
      <c r="CF400" s="369">
        <f t="shared" si="80"/>
        <v>-2203732.0000002384</v>
      </c>
      <c r="CG400" s="369">
        <f t="shared" si="80"/>
        <v>-5542804.0000002384</v>
      </c>
      <c r="CH400" s="369">
        <f t="shared" ref="CH400:CM400" si="81">+CH399-CH304</f>
        <v>-7.152557373046875E-7</v>
      </c>
      <c r="CI400" s="369">
        <f t="shared" si="81"/>
        <v>2.384185791015625E-7</v>
      </c>
      <c r="CJ400" s="369">
        <f t="shared" si="81"/>
        <v>2517180.5099999905</v>
      </c>
      <c r="CK400" s="369">
        <f t="shared" si="81"/>
        <v>2.384185791015625E-7</v>
      </c>
      <c r="CL400" s="369">
        <f t="shared" si="81"/>
        <v>2.384185791015625E-7</v>
      </c>
      <c r="CM400" s="369">
        <f t="shared" si="81"/>
        <v>1.430511474609375E-6</v>
      </c>
      <c r="CN400" s="369">
        <f t="shared" ref="CN400:CS400" si="82">+CN399-CN304</f>
        <v>4.76837158203125E-7</v>
      </c>
      <c r="CO400" s="369">
        <f t="shared" si="82"/>
        <v>0</v>
      </c>
      <c r="CP400" s="369">
        <f t="shared" si="82"/>
        <v>4.76837158203125E-7</v>
      </c>
      <c r="CQ400" s="369">
        <f t="shared" si="82"/>
        <v>9.5367431640625E-7</v>
      </c>
      <c r="CR400" s="369">
        <f t="shared" si="82"/>
        <v>7.152557373046875E-7</v>
      </c>
      <c r="CS400" s="369">
        <f t="shared" si="82"/>
        <v>-2.384185791015625E-7</v>
      </c>
      <c r="CT400" s="369">
        <f t="shared" ref="CT400:CY400" si="83">+CT399-CT304</f>
        <v>-2.384185791015625E-7</v>
      </c>
      <c r="CU400" s="369">
        <f t="shared" si="83"/>
        <v>2.384185791015625E-7</v>
      </c>
      <c r="CV400" s="369">
        <f t="shared" si="83"/>
        <v>2.384185791015625E-7</v>
      </c>
      <c r="CW400" s="369">
        <f t="shared" si="83"/>
        <v>0</v>
      </c>
      <c r="CX400" s="369">
        <f t="shared" si="83"/>
        <v>7.152557373046875E-7</v>
      </c>
      <c r="CY400" s="369">
        <f t="shared" si="83"/>
        <v>1.430511474609375E-6</v>
      </c>
      <c r="CZ400" s="369">
        <f t="shared" ref="CZ400:DB400" si="84">+CZ399-CZ304</f>
        <v>2.384185791015625E-7</v>
      </c>
      <c r="DA400" s="369">
        <f t="shared" si="84"/>
        <v>-2.384185791015625E-7</v>
      </c>
      <c r="DB400" s="369">
        <f t="shared" si="84"/>
        <v>-2.384185791015625E-7</v>
      </c>
      <c r="DC400" s="369">
        <f t="shared" ref="DC400:DE400" si="85">+DC399-DC304</f>
        <v>0</v>
      </c>
      <c r="DD400" s="369">
        <f t="shared" si="85"/>
        <v>0</v>
      </c>
      <c r="DE400" s="369">
        <f t="shared" si="85"/>
        <v>0</v>
      </c>
      <c r="DF400" s="369">
        <f t="shared" ref="DF400:DH400" si="86">+DF399-DF304</f>
        <v>0</v>
      </c>
      <c r="DG400" s="369">
        <f t="shared" si="86"/>
        <v>0</v>
      </c>
      <c r="DH400" s="369">
        <f t="shared" si="86"/>
        <v>0</v>
      </c>
    </row>
    <row r="402" spans="1:112">
      <c r="A402" t="s">
        <v>2392</v>
      </c>
      <c r="BL402" s="369">
        <f t="shared" ref="BL402:BW402" si="87">SUM(BL368:BL390)</f>
        <v>-1224685887.01</v>
      </c>
      <c r="BM402" s="369">
        <f t="shared" si="87"/>
        <v>-1245851925.2299998</v>
      </c>
      <c r="BN402" s="369">
        <f t="shared" si="87"/>
        <v>-1246408909.2300003</v>
      </c>
      <c r="BO402" s="369">
        <f t="shared" si="87"/>
        <v>-1257593647.8700001</v>
      </c>
      <c r="BP402" s="369">
        <f t="shared" si="87"/>
        <v>-1261451991.4100001</v>
      </c>
      <c r="BQ402" s="369">
        <f t="shared" si="87"/>
        <v>-1273924807.7200003</v>
      </c>
      <c r="BR402" s="369">
        <f t="shared" si="87"/>
        <v>-1285251394.0599999</v>
      </c>
      <c r="BS402" s="369">
        <f t="shared" si="87"/>
        <v>-1298898817.21</v>
      </c>
      <c r="BT402" s="369">
        <f t="shared" si="87"/>
        <v>-1317782362.8100002</v>
      </c>
      <c r="BU402" s="369">
        <f t="shared" si="87"/>
        <v>-1340764338.6000004</v>
      </c>
      <c r="BV402" s="369">
        <f t="shared" si="87"/>
        <v>-1357190300.23</v>
      </c>
      <c r="BW402" s="369">
        <f t="shared" si="87"/>
        <v>-1382140359.9400001</v>
      </c>
      <c r="BX402" s="369">
        <f t="shared" ref="BX402:CC402" si="88">SUM(BX368:BX390)</f>
        <v>-1406757195.1299999</v>
      </c>
      <c r="BY402" s="369">
        <f t="shared" si="88"/>
        <v>-1428603576.7200005</v>
      </c>
      <c r="BZ402" s="369">
        <f t="shared" si="88"/>
        <v>-1440657003.7799997</v>
      </c>
      <c r="CA402" s="369">
        <f t="shared" si="88"/>
        <v>-1451715116.9100001</v>
      </c>
      <c r="CB402" s="369">
        <f t="shared" si="88"/>
        <v>-1470020729.1400003</v>
      </c>
      <c r="CC402" s="369">
        <f t="shared" si="88"/>
        <v>-1493213205.5600002</v>
      </c>
      <c r="CD402" s="369">
        <f t="shared" ref="CD402:CJ402" si="89">SUM(CD368:CD390)</f>
        <v>-1515171815.78</v>
      </c>
      <c r="CE402" s="369">
        <f t="shared" si="89"/>
        <v>-1535872168.5000002</v>
      </c>
      <c r="CF402" s="369">
        <f t="shared" si="89"/>
        <v>-1572823223.9700003</v>
      </c>
      <c r="CG402" s="369">
        <f t="shared" si="89"/>
        <v>-1598138498.7300003</v>
      </c>
      <c r="CH402" s="369">
        <f t="shared" si="89"/>
        <v>-1630045057.9200001</v>
      </c>
      <c r="CI402" s="369">
        <f t="shared" si="89"/>
        <v>-1664498657.7900002</v>
      </c>
      <c r="CJ402" s="369">
        <f t="shared" si="89"/>
        <v>-1714605078.1199999</v>
      </c>
      <c r="CK402" s="369">
        <f t="shared" ref="CK402:CP402" si="90">SUM(CK368:CK390)</f>
        <v>-1742610525.9999998</v>
      </c>
      <c r="CL402" s="369">
        <f t="shared" si="90"/>
        <v>-1765420000.3699999</v>
      </c>
      <c r="CM402" s="369">
        <f t="shared" si="90"/>
        <v>-1781368533.6600001</v>
      </c>
      <c r="CN402" s="369">
        <f t="shared" si="90"/>
        <v>-1797765653.9400001</v>
      </c>
      <c r="CO402" s="369">
        <f t="shared" si="90"/>
        <v>-1806154158.4800005</v>
      </c>
      <c r="CP402" s="369">
        <f t="shared" si="90"/>
        <v>-1825581512.2899997</v>
      </c>
      <c r="CQ402" s="369">
        <f t="shared" ref="CQ402:CV402" si="91">SUM(CQ368:CQ390)</f>
        <v>-1851639499.4400001</v>
      </c>
      <c r="CR402" s="369">
        <f t="shared" si="91"/>
        <v>-1869701885.3400002</v>
      </c>
      <c r="CS402" s="369">
        <f t="shared" si="91"/>
        <v>-1892848811.7600002</v>
      </c>
      <c r="CT402" s="369">
        <f t="shared" si="91"/>
        <v>-1927505708.0899997</v>
      </c>
      <c r="CU402" s="369">
        <f t="shared" si="91"/>
        <v>-1958911460.7200003</v>
      </c>
      <c r="CV402" s="369">
        <f t="shared" si="91"/>
        <v>-1990225377.3999999</v>
      </c>
      <c r="CW402" s="369">
        <f t="shared" ref="CW402:CY402" si="92">SUM(CW368:CW390)</f>
        <v>-2021923662.22</v>
      </c>
      <c r="CX402" s="369">
        <f t="shared" si="92"/>
        <v>-2041108149.6900001</v>
      </c>
      <c r="CY402" s="369">
        <f t="shared" si="92"/>
        <v>-2050863748.04</v>
      </c>
      <c r="CZ402" s="369">
        <f t="shared" ref="CZ402:DB402" si="93">SUM(CZ368:CZ390)</f>
        <v>-2066379024.8999999</v>
      </c>
      <c r="DA402" s="369">
        <f t="shared" si="93"/>
        <v>-2092904650.5500002</v>
      </c>
      <c r="DB402" s="369">
        <f t="shared" si="93"/>
        <v>-2118941271.2199998</v>
      </c>
      <c r="DC402" s="369">
        <f t="shared" ref="DC402:DE402" si="94">SUM(DC368:DC390)</f>
        <v>-2136862729.3100002</v>
      </c>
      <c r="DD402" s="369">
        <f t="shared" si="94"/>
        <v>-2152934893.7300005</v>
      </c>
      <c r="DE402" s="369">
        <f t="shared" si="94"/>
        <v>-2168239079.9400001</v>
      </c>
      <c r="DF402" s="369">
        <f t="shared" ref="DF402:DH402" si="95">SUM(DF368:DF390)</f>
        <v>-2180322911.5699997</v>
      </c>
      <c r="DG402" s="369">
        <f t="shared" si="95"/>
        <v>-2206019839.0700002</v>
      </c>
      <c r="DH402" s="369">
        <f t="shared" si="95"/>
        <v>-2267449529.5999999</v>
      </c>
    </row>
    <row r="403" spans="1:112">
      <c r="A403" t="s">
        <v>2391</v>
      </c>
      <c r="BL403" s="369">
        <f>+-'Bal Sheet'!DI105*1000</f>
        <v>-1224685887.01</v>
      </c>
      <c r="BM403" s="369">
        <f>+-'Bal Sheet'!DJ105*1000</f>
        <v>-1245851925.23</v>
      </c>
      <c r="BN403" s="369">
        <f>+-'Bal Sheet'!DK105*1000</f>
        <v>-1246408909.2299998</v>
      </c>
      <c r="BO403" s="369">
        <f>+-'Bal Sheet'!DL105*1000</f>
        <v>-1257593647.8699999</v>
      </c>
      <c r="BP403" s="369">
        <f>+-'Bal Sheet'!DM105*1000</f>
        <v>-1261451991.4100001</v>
      </c>
      <c r="BQ403" s="369">
        <f>+-'Bal Sheet'!DN105*1000</f>
        <v>-1273924807.72</v>
      </c>
      <c r="BR403" s="369">
        <f>+-'Bal Sheet'!DO105*1000</f>
        <v>-1285251394.0600002</v>
      </c>
      <c r="BS403" s="369">
        <f>+-'Bal Sheet'!DP105*1000</f>
        <v>-1298898817.21</v>
      </c>
      <c r="BT403" s="369">
        <f>+-'Bal Sheet'!DQ105*1000</f>
        <v>-1317782362.8099999</v>
      </c>
      <c r="BU403" s="369">
        <f>+-'Bal Sheet'!DR105*1000</f>
        <v>-1340764338.6000001</v>
      </c>
      <c r="BV403" s="369">
        <f>+-'Bal Sheet'!DS105*1000</f>
        <v>-1357190300.23</v>
      </c>
      <c r="BW403" s="369">
        <f>+-'Bal Sheet'!DT105*1000</f>
        <v>-1382140359.9399998</v>
      </c>
      <c r="BX403" s="369">
        <f>+-'Bal Sheet'!DU105*1000</f>
        <v>-1406757195.1300001</v>
      </c>
      <c r="BY403" s="369">
        <f>+-'Bal Sheet'!DV105*1000</f>
        <v>-1428603576.72</v>
      </c>
      <c r="BZ403" s="369">
        <f>+-'Bal Sheet'!DW105*1000</f>
        <v>-1440657003.78</v>
      </c>
      <c r="CA403" s="369">
        <f>+-'Bal Sheet'!DX105*1000</f>
        <v>-1451715116.9099998</v>
      </c>
      <c r="CB403" s="369">
        <f>+-'Bal Sheet'!DY105*1000</f>
        <v>-1470020729.1400001</v>
      </c>
      <c r="CC403" s="369">
        <f>+-'Bal Sheet'!DZ105*1000</f>
        <v>-1493213205.5599999</v>
      </c>
      <c r="CD403" s="369">
        <f>+-'Bal Sheet'!EA105*1000</f>
        <v>-1515171815.78</v>
      </c>
      <c r="CE403" s="369">
        <f>+-'Bal Sheet'!EB105*1000</f>
        <v>-1535872168.5000002</v>
      </c>
      <c r="CF403" s="369">
        <f>+-'Bal Sheet'!EC105*1000</f>
        <v>-1572823223.9700003</v>
      </c>
      <c r="CG403" s="369">
        <f>+-'Bal Sheet'!ED105*1000</f>
        <v>-1598138498.73</v>
      </c>
      <c r="CH403" s="369">
        <f>+-'Bal Sheet'!EE105*1000</f>
        <v>-1630045057.9200001</v>
      </c>
      <c r="CI403" s="369">
        <f>+-'Bal Sheet'!EF105*1000</f>
        <v>-1664498657.7900002</v>
      </c>
      <c r="CJ403" s="369">
        <f>+-'Bal Sheet'!EG105*1000</f>
        <v>-1714605078.1199999</v>
      </c>
      <c r="CK403" s="369">
        <f>+-'Bal Sheet'!EH105*1000</f>
        <v>-1742610526</v>
      </c>
      <c r="CL403" s="369">
        <f>+-'Bal Sheet'!EI105*1000</f>
        <v>-1765420000.3700001</v>
      </c>
      <c r="CM403" s="369">
        <f>+-'Bal Sheet'!EJ105*1000</f>
        <v>-1781368533.6599998</v>
      </c>
      <c r="CN403" s="369">
        <f>+-'Bal Sheet'!EK105*1000</f>
        <v>-1797765653.9400001</v>
      </c>
      <c r="CO403" s="369">
        <f>+-'Bal Sheet'!EL105*1000</f>
        <v>-1806154158.4800003</v>
      </c>
      <c r="CP403" s="369">
        <f>+-'Bal Sheet'!EM105*1000</f>
        <v>-1825581512.29</v>
      </c>
      <c r="CQ403" s="369">
        <f>+-'Bal Sheet'!EN105*1000</f>
        <v>-1851639499.4400001</v>
      </c>
      <c r="CR403" s="369">
        <f>+-'Bal Sheet'!EO105*1000</f>
        <v>-1869701885.3400002</v>
      </c>
      <c r="CS403" s="369">
        <f>+-'Bal Sheet'!EP105*1000</f>
        <v>-1892848811.7600002</v>
      </c>
      <c r="CT403" s="369">
        <f>+-'Bal Sheet'!EQ105*1000</f>
        <v>-1927505708.0900004</v>
      </c>
      <c r="CU403" s="369">
        <f>+-'Bal Sheet'!ER105*1000</f>
        <v>-1958911460.7199998</v>
      </c>
      <c r="CV403" s="369">
        <f>+-'Bal Sheet'!ES105*1000</f>
        <v>-1990225377.4000003</v>
      </c>
      <c r="CW403" s="369">
        <f>+-'Bal Sheet'!ET105*1000</f>
        <v>-2021923662.2199998</v>
      </c>
      <c r="CX403" s="369">
        <f>+-'Bal Sheet'!EU105*1000</f>
        <v>-2041108149.6899996</v>
      </c>
      <c r="CY403" s="369">
        <f>+-'Bal Sheet'!EV105*1000</f>
        <v>-2050863748.0400002</v>
      </c>
      <c r="CZ403" s="369">
        <f>+-'Bal Sheet'!EW105*1000</f>
        <v>-2066379024.9000003</v>
      </c>
      <c r="DA403" s="369">
        <f>+-'Bal Sheet'!EX105*1000</f>
        <v>-2092904650.5500002</v>
      </c>
      <c r="DB403" s="369">
        <f>+-'Bal Sheet'!EY105*1000</f>
        <v>-2118941271.22</v>
      </c>
      <c r="DC403" s="369">
        <f>+-'Bal Sheet'!EZ105*1000</f>
        <v>-2136862729.3099999</v>
      </c>
      <c r="DD403" s="369">
        <f>+-'Bal Sheet'!FA105*1000</f>
        <v>-2152934893.73</v>
      </c>
      <c r="DE403" s="369">
        <f>+-'Bal Sheet'!FB105*1000</f>
        <v>-2168239079.9400001</v>
      </c>
      <c r="DF403" s="369">
        <f>+-'Bal Sheet'!FC105*1000</f>
        <v>-2180322911.5700006</v>
      </c>
      <c r="DG403" s="369">
        <f>+-'Bal Sheet'!FD105*1000</f>
        <v>-2206019839.0700002</v>
      </c>
      <c r="DH403" s="369">
        <f>+-'Bal Sheet'!FE105*1000</f>
        <v>-2267449529.5999994</v>
      </c>
    </row>
    <row r="404" spans="1:112">
      <c r="A404" t="s">
        <v>489</v>
      </c>
      <c r="BL404" s="369">
        <f t="shared" ref="BL404:BW404" si="96">+BL402-BL403</f>
        <v>0</v>
      </c>
      <c r="BM404" s="369">
        <f t="shared" si="96"/>
        <v>0</v>
      </c>
      <c r="BN404" s="369">
        <f t="shared" si="96"/>
        <v>0</v>
      </c>
      <c r="BO404" s="369">
        <f t="shared" si="96"/>
        <v>0</v>
      </c>
      <c r="BP404" s="369">
        <f t="shared" si="96"/>
        <v>0</v>
      </c>
      <c r="BQ404" s="369">
        <f t="shared" si="96"/>
        <v>0</v>
      </c>
      <c r="BR404" s="369">
        <f t="shared" si="96"/>
        <v>0</v>
      </c>
      <c r="BS404" s="369">
        <f t="shared" si="96"/>
        <v>0</v>
      </c>
      <c r="BT404" s="369">
        <f t="shared" si="96"/>
        <v>0</v>
      </c>
      <c r="BU404" s="369">
        <f t="shared" si="96"/>
        <v>0</v>
      </c>
      <c r="BV404" s="369">
        <f t="shared" si="96"/>
        <v>0</v>
      </c>
      <c r="BW404" s="369">
        <f t="shared" si="96"/>
        <v>0</v>
      </c>
      <c r="BX404" s="369">
        <f t="shared" ref="BX404:CC404" si="97">+BX402-BX403</f>
        <v>0</v>
      </c>
      <c r="BY404" s="369">
        <f t="shared" si="97"/>
        <v>0</v>
      </c>
      <c r="BZ404" s="369">
        <f t="shared" si="97"/>
        <v>0</v>
      </c>
      <c r="CA404" s="369">
        <f t="shared" si="97"/>
        <v>0</v>
      </c>
      <c r="CB404" s="369">
        <f t="shared" si="97"/>
        <v>0</v>
      </c>
      <c r="CC404" s="369">
        <f t="shared" si="97"/>
        <v>0</v>
      </c>
      <c r="CD404" s="369">
        <f t="shared" ref="CD404:CJ404" si="98">+CD402-CD403</f>
        <v>0</v>
      </c>
      <c r="CE404" s="369">
        <f t="shared" si="98"/>
        <v>0</v>
      </c>
      <c r="CF404" s="369">
        <f t="shared" si="98"/>
        <v>0</v>
      </c>
      <c r="CG404" s="369">
        <f t="shared" si="98"/>
        <v>0</v>
      </c>
      <c r="CH404" s="369">
        <f t="shared" si="98"/>
        <v>0</v>
      </c>
      <c r="CI404" s="369">
        <f t="shared" si="98"/>
        <v>0</v>
      </c>
      <c r="CJ404" s="369">
        <f t="shared" si="98"/>
        <v>0</v>
      </c>
      <c r="CK404" s="369">
        <f t="shared" ref="CK404:CP404" si="99">+CK402-CK403</f>
        <v>0</v>
      </c>
      <c r="CL404" s="369">
        <f t="shared" si="99"/>
        <v>0</v>
      </c>
      <c r="CM404" s="369">
        <f t="shared" si="99"/>
        <v>0</v>
      </c>
      <c r="CN404" s="369">
        <f t="shared" si="99"/>
        <v>0</v>
      </c>
      <c r="CO404" s="369">
        <f t="shared" si="99"/>
        <v>0</v>
      </c>
      <c r="CP404" s="369">
        <f t="shared" si="99"/>
        <v>0</v>
      </c>
      <c r="CQ404" s="369">
        <f t="shared" ref="CQ404:CV404" si="100">+CQ402-CQ403</f>
        <v>0</v>
      </c>
      <c r="CR404" s="369">
        <f t="shared" si="100"/>
        <v>0</v>
      </c>
      <c r="CS404" s="369">
        <f t="shared" si="100"/>
        <v>0</v>
      </c>
      <c r="CT404" s="369">
        <f t="shared" si="100"/>
        <v>0</v>
      </c>
      <c r="CU404" s="369">
        <f t="shared" si="100"/>
        <v>0</v>
      </c>
      <c r="CV404" s="369">
        <f t="shared" si="100"/>
        <v>0</v>
      </c>
      <c r="CW404" s="369">
        <f t="shared" ref="CW404:CY404" si="101">+CW402-CW403</f>
        <v>0</v>
      </c>
      <c r="CX404" s="369">
        <f t="shared" si="101"/>
        <v>0</v>
      </c>
      <c r="CY404" s="369">
        <f t="shared" si="101"/>
        <v>0</v>
      </c>
      <c r="CZ404" s="369">
        <f t="shared" ref="CZ404:DB404" si="102">+CZ402-CZ403</f>
        <v>0</v>
      </c>
      <c r="DA404" s="369">
        <f t="shared" si="102"/>
        <v>0</v>
      </c>
      <c r="DB404" s="369">
        <f t="shared" si="102"/>
        <v>0</v>
      </c>
      <c r="DC404" s="369">
        <f t="shared" ref="DC404:DE404" si="103">+DC402-DC403</f>
        <v>0</v>
      </c>
      <c r="DD404" s="369">
        <f t="shared" si="103"/>
        <v>0</v>
      </c>
      <c r="DE404" s="369">
        <f t="shared" si="103"/>
        <v>0</v>
      </c>
      <c r="DF404" s="369">
        <f t="shared" ref="DF404:DH404" si="104">+DF402-DF403</f>
        <v>0</v>
      </c>
      <c r="DG404" s="369">
        <f t="shared" si="104"/>
        <v>0</v>
      </c>
      <c r="DH404" s="369">
        <f t="shared" si="104"/>
        <v>0</v>
      </c>
    </row>
  </sheetData>
  <autoFilter ref="A4:DH329"/>
  <phoneticPr fontId="66" type="noConversion"/>
  <pageMargins left="0.7" right="0.7" top="0.75" bottom="0.75" header="0.3" footer="0.3"/>
  <pageSetup orientation="portrait" r:id="rId1"/>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A1"/>
  <sheetViews>
    <sheetView workbookViewId="0"/>
  </sheetViews>
  <sheetFormatPr defaultRowHeight="12.75"/>
  <sheetData/>
  <pageMargins left="0.7" right="0.7" top="0.75" bottom="0.75" header="0.3" footer="0.3"/>
  <pageSetup orientation="portrait" r:id="rId1"/>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C000"/>
    <pageSetUpPr fitToPage="1"/>
  </sheetPr>
  <dimension ref="A1:IY134"/>
  <sheetViews>
    <sheetView zoomScale="85" zoomScaleNormal="85" workbookViewId="0">
      <pane xSplit="142" ySplit="6" topLeftCell="ET74" activePane="bottomRight" state="frozen"/>
      <selection pane="topRight" activeCell="EM1" sqref="EM1"/>
      <selection pane="bottomLeft" activeCell="A7" sqref="A7"/>
      <selection pane="bottomRight" activeCell="FC82" sqref="FC82"/>
    </sheetView>
  </sheetViews>
  <sheetFormatPr defaultRowHeight="12.75"/>
  <cols>
    <col min="1" max="1" width="39.5703125" bestFit="1" customWidth="1"/>
    <col min="2" max="13" width="14.85546875" style="52" hidden="1" customWidth="1"/>
    <col min="14" max="29" width="14.85546875" style="35" hidden="1" customWidth="1"/>
    <col min="30" max="44" width="14.85546875" style="52" hidden="1" customWidth="1"/>
    <col min="45" max="109" width="15.42578125" style="52" hidden="1" customWidth="1"/>
    <col min="110" max="113" width="17.140625" style="52" hidden="1" customWidth="1"/>
    <col min="114" max="120" width="16.5703125" style="52" hidden="1" customWidth="1"/>
    <col min="121" max="121" width="0.140625" style="52" hidden="1" customWidth="1"/>
    <col min="122" max="124" width="17.140625" style="52" hidden="1" customWidth="1"/>
    <col min="125" max="134" width="17.85546875" style="52" hidden="1" customWidth="1"/>
    <col min="135" max="135" width="18.5703125" style="52" hidden="1" customWidth="1"/>
    <col min="136" max="136" width="17.85546875" style="52" hidden="1" customWidth="1"/>
    <col min="137" max="137" width="16.5703125" style="52" hidden="1" customWidth="1"/>
    <col min="138" max="142" width="17.85546875" style="52" hidden="1" customWidth="1"/>
    <col min="143" max="149" width="17.85546875" style="52" bestFit="1" customWidth="1"/>
    <col min="150" max="161" width="17.85546875" style="52" customWidth="1"/>
    <col min="162" max="162" width="19.140625" bestFit="1" customWidth="1"/>
    <col min="163" max="164" width="3.42578125" customWidth="1"/>
    <col min="165" max="221" width="16.5703125" style="35" hidden="1" customWidth="1"/>
    <col min="222" max="243" width="16.5703125" style="35" customWidth="1"/>
    <col min="244" max="244" width="22.42578125" bestFit="1" customWidth="1"/>
    <col min="245" max="245" width="15.5703125" bestFit="1" customWidth="1"/>
    <col min="246" max="256" width="10.42578125" bestFit="1" customWidth="1"/>
  </cols>
  <sheetData>
    <row r="1" spans="1:259">
      <c r="A1" s="476">
        <v>9</v>
      </c>
      <c r="B1" s="119"/>
      <c r="C1" s="119"/>
      <c r="D1" s="119"/>
      <c r="E1" s="119"/>
      <c r="F1" s="119"/>
      <c r="G1" s="119"/>
      <c r="H1" s="119"/>
      <c r="I1" s="119"/>
      <c r="J1" s="119"/>
      <c r="K1" s="119"/>
      <c r="L1" s="119"/>
      <c r="M1" s="119"/>
      <c r="N1" s="109"/>
      <c r="O1" s="109"/>
      <c r="P1" s="109"/>
      <c r="Q1" s="109"/>
      <c r="R1" s="109"/>
      <c r="S1" s="109"/>
      <c r="T1" s="109"/>
      <c r="U1" s="109"/>
      <c r="V1" s="109"/>
      <c r="W1" s="109"/>
      <c r="X1" s="109"/>
      <c r="Y1" s="109"/>
      <c r="Z1" s="109"/>
      <c r="AA1" s="109"/>
      <c r="AB1" s="109"/>
      <c r="AC1" s="10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19"/>
      <c r="CD1" s="119"/>
      <c r="CE1" s="119"/>
      <c r="CF1" s="119"/>
      <c r="CG1" s="119"/>
      <c r="CH1" s="119"/>
      <c r="CI1" s="119"/>
      <c r="CJ1" s="119"/>
      <c r="CK1" s="119"/>
      <c r="CL1" s="119"/>
      <c r="CM1" s="119"/>
      <c r="CN1" s="119"/>
      <c r="CO1" s="119"/>
      <c r="CP1" s="119"/>
      <c r="CQ1" s="119"/>
      <c r="CR1" s="119"/>
      <c r="CS1" s="119"/>
      <c r="CT1" s="119"/>
      <c r="CU1" s="119"/>
      <c r="CV1" s="119"/>
      <c r="CW1" s="119"/>
      <c r="CX1" s="119"/>
      <c r="CY1" s="119"/>
      <c r="CZ1" s="119"/>
      <c r="DA1" s="119"/>
      <c r="DB1" s="119"/>
      <c r="DC1" s="119"/>
      <c r="DD1" s="119"/>
      <c r="DE1" s="119"/>
      <c r="DF1" s="119"/>
      <c r="DG1" s="119"/>
      <c r="DH1" s="119"/>
      <c r="DI1" s="119"/>
      <c r="DJ1" s="119"/>
      <c r="DK1" s="119"/>
      <c r="DL1" s="119"/>
      <c r="DM1" s="119"/>
      <c r="DN1" s="119"/>
      <c r="DO1" s="119"/>
      <c r="DP1" s="119"/>
      <c r="DQ1" s="119"/>
      <c r="DR1" s="119"/>
      <c r="DS1" s="119"/>
      <c r="DT1" s="119"/>
      <c r="DU1" s="119"/>
      <c r="DV1" s="119"/>
      <c r="DW1" s="119"/>
      <c r="DX1" s="119"/>
      <c r="DY1" s="119"/>
      <c r="DZ1" s="119"/>
      <c r="EA1" s="119"/>
      <c r="EB1" s="119"/>
      <c r="EC1" s="119"/>
      <c r="ED1" s="119"/>
      <c r="EE1" s="119"/>
      <c r="EF1" s="119"/>
      <c r="EG1" s="119"/>
      <c r="EH1" s="119"/>
      <c r="EI1" s="119"/>
      <c r="EJ1" s="119"/>
      <c r="EK1" s="119"/>
      <c r="EL1" s="119"/>
      <c r="EM1" s="119"/>
      <c r="EN1" s="119"/>
      <c r="EO1" s="119"/>
      <c r="EP1" s="119"/>
      <c r="EQ1" s="119"/>
      <c r="ER1" s="119"/>
      <c r="ES1" s="119"/>
      <c r="ET1" s="119"/>
      <c r="EU1" s="119"/>
      <c r="EV1" s="119"/>
      <c r="EW1" s="119"/>
      <c r="EX1" s="119"/>
      <c r="EY1" s="119"/>
      <c r="EZ1" s="119"/>
      <c r="FA1" s="119"/>
      <c r="FB1" s="119"/>
      <c r="FC1" s="119"/>
      <c r="FD1" s="119"/>
      <c r="FE1" s="119"/>
      <c r="FF1" s="5"/>
      <c r="FG1" s="5"/>
      <c r="FH1" s="5"/>
    </row>
    <row r="2" spans="1:259" ht="15.75">
      <c r="A2" s="33" t="s">
        <v>567</v>
      </c>
      <c r="B2" s="119"/>
      <c r="C2" s="119"/>
      <c r="D2" s="119"/>
      <c r="E2" s="119"/>
      <c r="F2" s="119"/>
      <c r="G2" s="119"/>
      <c r="H2" s="119"/>
      <c r="I2" s="119"/>
      <c r="J2" s="119"/>
      <c r="K2" s="119"/>
      <c r="L2" s="119"/>
      <c r="M2" s="119"/>
      <c r="N2" s="109"/>
      <c r="O2" s="109"/>
      <c r="P2" s="109"/>
      <c r="Q2" s="109"/>
      <c r="R2" s="109"/>
      <c r="S2" s="109"/>
      <c r="T2" s="109"/>
      <c r="U2" s="109"/>
      <c r="V2" s="109"/>
      <c r="W2" s="109"/>
      <c r="X2" s="109"/>
      <c r="Y2" s="109"/>
      <c r="Z2" s="109"/>
      <c r="AA2" s="109"/>
      <c r="AB2" s="109"/>
      <c r="AC2" s="10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c r="CI2" s="119"/>
      <c r="CJ2" s="119"/>
      <c r="CK2" s="119"/>
      <c r="CL2" s="119"/>
      <c r="CM2" s="119"/>
      <c r="CN2" s="119"/>
      <c r="CO2" s="119"/>
      <c r="CP2" s="119"/>
      <c r="CQ2" s="119"/>
      <c r="CR2" s="119"/>
      <c r="CS2" s="119"/>
      <c r="CT2" s="119"/>
      <c r="CU2" s="119"/>
      <c r="CV2" s="119"/>
      <c r="CW2" s="119"/>
      <c r="CX2" s="119"/>
      <c r="CY2" s="119"/>
      <c r="CZ2" s="119"/>
      <c r="DA2" s="119"/>
      <c r="DB2" s="119"/>
      <c r="DC2" s="119"/>
      <c r="DD2" s="119"/>
      <c r="DE2" s="119"/>
      <c r="DF2" s="119"/>
      <c r="DG2" s="119"/>
      <c r="DH2" s="119"/>
      <c r="DI2" s="119"/>
      <c r="DJ2" s="119"/>
      <c r="DK2" s="119"/>
      <c r="DL2" s="119"/>
      <c r="DM2" s="119"/>
      <c r="DN2" s="119"/>
      <c r="DO2" s="119"/>
      <c r="DP2" s="119"/>
      <c r="DQ2" s="119"/>
      <c r="DR2" s="119"/>
      <c r="DS2" s="119"/>
      <c r="DT2" s="119"/>
      <c r="DU2" s="119"/>
      <c r="DV2" s="119"/>
      <c r="DW2" s="119"/>
      <c r="DX2" s="119"/>
      <c r="DY2" s="119"/>
      <c r="DZ2" s="119"/>
      <c r="EA2" s="119"/>
      <c r="EB2" s="119"/>
      <c r="EC2" s="119"/>
      <c r="ED2" s="119"/>
      <c r="EE2" s="119"/>
      <c r="EF2" s="119"/>
      <c r="EG2" s="119"/>
      <c r="EH2" s="119"/>
      <c r="EI2" s="119"/>
      <c r="EJ2" s="119"/>
      <c r="EK2" s="119"/>
      <c r="EL2" s="119"/>
      <c r="EM2" s="119"/>
      <c r="EN2" s="119"/>
      <c r="EO2" s="119"/>
      <c r="EP2" s="119"/>
      <c r="EQ2" s="119"/>
      <c r="ER2" s="119"/>
      <c r="ES2" s="119"/>
      <c r="ET2" s="119"/>
      <c r="EU2" s="119"/>
      <c r="EV2" s="119"/>
      <c r="EW2" s="119"/>
      <c r="EX2" s="119"/>
      <c r="EY2" s="119"/>
      <c r="EZ2" s="119"/>
      <c r="FA2" s="119"/>
      <c r="FB2" s="119"/>
      <c r="FC2" s="119"/>
      <c r="FD2" s="119"/>
      <c r="FE2" s="119"/>
      <c r="FF2" s="5"/>
      <c r="FG2" s="5"/>
      <c r="FH2" s="5"/>
    </row>
    <row r="3" spans="1:259" ht="15.75">
      <c r="A3" s="32" t="s">
        <v>419</v>
      </c>
      <c r="B3" s="119"/>
      <c r="C3" s="119"/>
      <c r="D3" s="119"/>
      <c r="E3" s="119"/>
      <c r="F3" s="119"/>
      <c r="G3" s="119"/>
      <c r="H3" s="119"/>
      <c r="I3" s="119"/>
      <c r="J3" s="119"/>
      <c r="K3" s="119"/>
      <c r="L3" s="119"/>
      <c r="M3" s="119"/>
      <c r="N3" s="109"/>
      <c r="O3" s="109"/>
      <c r="P3" s="109"/>
      <c r="Q3" s="109"/>
      <c r="R3" s="109"/>
      <c r="S3" s="109"/>
      <c r="T3" s="109"/>
      <c r="U3" s="109"/>
      <c r="V3" s="109"/>
      <c r="W3" s="109"/>
      <c r="X3" s="109"/>
      <c r="Y3" s="109"/>
      <c r="Z3" s="109"/>
      <c r="AA3" s="109"/>
      <c r="AB3" s="109"/>
      <c r="AC3" s="10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5"/>
      <c r="FG3" s="5"/>
      <c r="FH3" s="5"/>
    </row>
    <row r="4" spans="1:259" ht="15.75">
      <c r="A4" s="32"/>
      <c r="B4" s="119"/>
      <c r="C4" s="119"/>
      <c r="D4" s="119"/>
      <c r="E4" s="119"/>
      <c r="F4" s="119"/>
      <c r="G4" s="119"/>
      <c r="H4" s="119"/>
      <c r="I4" s="119"/>
      <c r="J4" s="119"/>
      <c r="K4" s="119"/>
      <c r="L4" s="119"/>
      <c r="M4" s="119"/>
      <c r="N4" s="109"/>
      <c r="O4" s="109"/>
      <c r="P4" s="109"/>
      <c r="Q4" s="124" t="s">
        <v>512</v>
      </c>
      <c r="S4" s="109"/>
      <c r="T4" s="109"/>
      <c r="V4" s="109"/>
      <c r="W4" s="109"/>
      <c r="Y4" s="109"/>
      <c r="Z4" s="109"/>
      <c r="AA4" s="109"/>
      <c r="AB4" s="109"/>
      <c r="AC4" s="10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c r="CA4" s="119"/>
      <c r="CB4" s="119"/>
      <c r="CC4" s="119"/>
      <c r="CD4" s="119"/>
      <c r="CE4" s="119"/>
      <c r="CF4" s="119"/>
      <c r="CG4" s="119"/>
      <c r="CH4" s="119"/>
      <c r="CI4" s="119"/>
      <c r="CJ4" s="119"/>
      <c r="CK4" s="119"/>
      <c r="CL4" s="119"/>
      <c r="CM4" s="119"/>
      <c r="CN4" s="119"/>
      <c r="CO4" s="119"/>
      <c r="CP4" s="119"/>
      <c r="CQ4" s="119"/>
      <c r="CR4" s="119"/>
      <c r="CS4" s="119"/>
      <c r="CT4" s="119"/>
      <c r="CU4" s="119"/>
      <c r="CV4" s="119"/>
      <c r="CW4" s="119"/>
      <c r="CX4" s="119"/>
      <c r="CY4" s="119"/>
      <c r="CZ4" s="119"/>
      <c r="DA4" s="119"/>
      <c r="DB4" s="119"/>
      <c r="DC4" s="119"/>
      <c r="DD4" s="119"/>
      <c r="DE4" s="119"/>
      <c r="DF4" s="119"/>
      <c r="DG4" s="119"/>
      <c r="DH4" s="119"/>
      <c r="DI4" s="119"/>
      <c r="DJ4" s="119"/>
      <c r="DK4" s="119"/>
      <c r="DL4" s="119"/>
      <c r="DM4" s="119"/>
      <c r="DN4" s="119"/>
      <c r="DO4" s="119"/>
      <c r="DP4" s="119"/>
      <c r="DQ4" s="119"/>
      <c r="DR4" s="119"/>
      <c r="DS4" s="119"/>
      <c r="DT4" s="119"/>
      <c r="DU4" s="119"/>
      <c r="DV4" s="119"/>
      <c r="DW4" s="119"/>
      <c r="DX4" s="119"/>
      <c r="DY4" s="119"/>
      <c r="DZ4" s="119"/>
      <c r="EA4" s="119"/>
      <c r="EB4" s="119"/>
      <c r="EC4" s="119"/>
      <c r="ED4" s="119"/>
      <c r="EE4" s="119"/>
      <c r="EF4" s="119"/>
      <c r="EG4" s="119"/>
      <c r="EH4" s="119"/>
      <c r="EI4" s="119"/>
      <c r="EJ4" s="119"/>
      <c r="EK4" s="119"/>
      <c r="EL4" s="119"/>
      <c r="EM4" s="119"/>
      <c r="EN4" s="119"/>
      <c r="EO4" s="119"/>
      <c r="EP4" s="119"/>
      <c r="EQ4" s="119"/>
      <c r="ER4" s="119"/>
      <c r="ES4" s="119"/>
      <c r="ET4" s="119"/>
      <c r="EU4" s="119"/>
      <c r="EV4" s="119"/>
      <c r="EW4" s="119"/>
      <c r="EX4" s="119"/>
      <c r="EY4" s="119"/>
      <c r="EZ4" s="119"/>
      <c r="FA4" s="119"/>
      <c r="FB4" s="119"/>
      <c r="FC4" s="119"/>
      <c r="FD4" s="119"/>
      <c r="FE4" s="119"/>
      <c r="FF4" s="942">
        <f>+Input!A6</f>
        <v>44926</v>
      </c>
      <c r="FG4" s="699"/>
      <c r="FH4" s="699"/>
    </row>
    <row r="5" spans="1:259">
      <c r="FC5" s="52">
        <v>110</v>
      </c>
      <c r="FD5" s="52">
        <v>111</v>
      </c>
      <c r="FE5" s="52">
        <v>112</v>
      </c>
      <c r="FF5" s="315" t="s">
        <v>213</v>
      </c>
      <c r="FG5" s="22"/>
      <c r="FH5" s="22"/>
    </row>
    <row r="6" spans="1:259">
      <c r="B6" s="45">
        <v>40071</v>
      </c>
      <c r="C6" s="45">
        <v>40101</v>
      </c>
      <c r="D6" s="45">
        <v>40131</v>
      </c>
      <c r="E6" s="45">
        <v>40161</v>
      </c>
      <c r="F6" s="45">
        <v>40191</v>
      </c>
      <c r="G6" s="45">
        <v>40221</v>
      </c>
      <c r="H6" s="45">
        <v>40251</v>
      </c>
      <c r="I6" s="45">
        <v>40281</v>
      </c>
      <c r="J6" s="45">
        <v>40311</v>
      </c>
      <c r="K6" s="45">
        <v>40341</v>
      </c>
      <c r="L6" s="45">
        <v>40371</v>
      </c>
      <c r="M6" s="45">
        <v>40401</v>
      </c>
      <c r="N6" s="45">
        <v>40431</v>
      </c>
      <c r="O6" s="45">
        <v>40461</v>
      </c>
      <c r="P6" s="45">
        <v>40491</v>
      </c>
      <c r="Q6" s="45">
        <v>40521</v>
      </c>
      <c r="R6" s="45">
        <v>40551</v>
      </c>
      <c r="S6" s="45">
        <v>40581</v>
      </c>
      <c r="T6" s="45">
        <v>40611</v>
      </c>
      <c r="U6" s="45">
        <v>40641</v>
      </c>
      <c r="V6" s="45">
        <v>40671</v>
      </c>
      <c r="W6" s="45">
        <v>40701</v>
      </c>
      <c r="X6" s="45">
        <v>40731</v>
      </c>
      <c r="Y6" s="45">
        <v>40761</v>
      </c>
      <c r="Z6" s="45">
        <v>40791</v>
      </c>
      <c r="AA6" s="45">
        <v>40821</v>
      </c>
      <c r="AB6" s="45">
        <v>40851</v>
      </c>
      <c r="AC6" s="45">
        <v>40881</v>
      </c>
      <c r="AD6" s="45">
        <v>40911</v>
      </c>
      <c r="AE6" s="45">
        <v>40941</v>
      </c>
      <c r="AF6" s="45">
        <v>40971</v>
      </c>
      <c r="AG6" s="45">
        <v>41001</v>
      </c>
      <c r="AH6" s="45">
        <v>41031</v>
      </c>
      <c r="AI6" s="45">
        <v>41061</v>
      </c>
      <c r="AJ6" s="45">
        <v>41091</v>
      </c>
      <c r="AK6" s="45">
        <v>41122</v>
      </c>
      <c r="AL6" s="45">
        <v>41153</v>
      </c>
      <c r="AM6" s="45">
        <v>41184</v>
      </c>
      <c r="AN6" s="45">
        <v>41215</v>
      </c>
      <c r="AO6" s="45">
        <v>41246</v>
      </c>
      <c r="AP6" s="45">
        <v>41277</v>
      </c>
      <c r="AQ6" s="45">
        <v>41308</v>
      </c>
      <c r="AR6" s="45">
        <v>41339</v>
      </c>
      <c r="AS6" s="45">
        <v>41370</v>
      </c>
      <c r="AT6" s="45">
        <v>41401</v>
      </c>
      <c r="AU6" s="45">
        <v>41432</v>
      </c>
      <c r="AV6" s="45">
        <v>41463</v>
      </c>
      <c r="AW6" s="45">
        <v>41494</v>
      </c>
      <c r="AX6" s="45">
        <v>41525</v>
      </c>
      <c r="AY6" s="45">
        <v>41556</v>
      </c>
      <c r="AZ6" s="45">
        <v>41587</v>
      </c>
      <c r="BA6" s="45">
        <v>41618</v>
      </c>
      <c r="BB6" s="45">
        <f t="shared" ref="BB6:BG6" si="0">+BA6+31</f>
        <v>41649</v>
      </c>
      <c r="BC6" s="45">
        <f t="shared" si="0"/>
        <v>41680</v>
      </c>
      <c r="BD6" s="45">
        <f t="shared" si="0"/>
        <v>41711</v>
      </c>
      <c r="BE6" s="45">
        <f t="shared" si="0"/>
        <v>41742</v>
      </c>
      <c r="BF6" s="45">
        <f t="shared" si="0"/>
        <v>41773</v>
      </c>
      <c r="BG6" s="45">
        <f t="shared" si="0"/>
        <v>41804</v>
      </c>
      <c r="BH6" s="45">
        <f t="shared" ref="BH6:BM6" si="1">+BG6+31</f>
        <v>41835</v>
      </c>
      <c r="BI6" s="45">
        <f t="shared" si="1"/>
        <v>41866</v>
      </c>
      <c r="BJ6" s="45">
        <f t="shared" si="1"/>
        <v>41897</v>
      </c>
      <c r="BK6" s="45">
        <f t="shared" si="1"/>
        <v>41928</v>
      </c>
      <c r="BL6" s="45">
        <f t="shared" si="1"/>
        <v>41959</v>
      </c>
      <c r="BM6" s="45">
        <f t="shared" si="1"/>
        <v>41990</v>
      </c>
      <c r="BN6" s="45">
        <v>42021</v>
      </c>
      <c r="BO6" s="45">
        <v>42052</v>
      </c>
      <c r="BP6" s="45">
        <v>42083</v>
      </c>
      <c r="BQ6" s="45">
        <v>42114</v>
      </c>
      <c r="BR6" s="45">
        <v>42145</v>
      </c>
      <c r="BS6" s="45">
        <v>42176</v>
      </c>
      <c r="BT6" s="45">
        <v>42207</v>
      </c>
      <c r="BU6" s="45">
        <v>42238</v>
      </c>
      <c r="BV6" s="45">
        <v>42269</v>
      </c>
      <c r="BW6" s="45">
        <v>42300</v>
      </c>
      <c r="BX6" s="45">
        <v>42331</v>
      </c>
      <c r="BY6" s="45">
        <v>42362</v>
      </c>
      <c r="BZ6" s="45">
        <v>42393</v>
      </c>
      <c r="CA6" s="45">
        <v>42424</v>
      </c>
      <c r="CB6" s="45">
        <v>42455</v>
      </c>
      <c r="CC6" s="45">
        <v>42486</v>
      </c>
      <c r="CD6" s="45">
        <v>42517</v>
      </c>
      <c r="CE6" s="45">
        <v>42548</v>
      </c>
      <c r="CF6" s="45">
        <f t="shared" ref="CF6:CN6" si="2">+CE6+31</f>
        <v>42579</v>
      </c>
      <c r="CG6" s="45">
        <f t="shared" si="2"/>
        <v>42610</v>
      </c>
      <c r="CH6" s="45">
        <f t="shared" si="2"/>
        <v>42641</v>
      </c>
      <c r="CI6" s="45">
        <v>42672</v>
      </c>
      <c r="CJ6" s="45">
        <v>42703</v>
      </c>
      <c r="CK6" s="45">
        <v>42734</v>
      </c>
      <c r="CL6" s="45">
        <f t="shared" si="2"/>
        <v>42765</v>
      </c>
      <c r="CM6" s="45">
        <f>+CL6+28</f>
        <v>42793</v>
      </c>
      <c r="CN6" s="45">
        <f t="shared" si="2"/>
        <v>42824</v>
      </c>
      <c r="CO6" s="45">
        <v>42855</v>
      </c>
      <c r="CP6" s="45">
        <v>42886</v>
      </c>
      <c r="CQ6" s="45">
        <v>42916</v>
      </c>
      <c r="CR6" s="45">
        <f t="shared" ref="CR6:DI6" si="3">+CQ6+30</f>
        <v>42946</v>
      </c>
      <c r="CS6" s="45">
        <f t="shared" si="3"/>
        <v>42976</v>
      </c>
      <c r="CT6" s="45">
        <f t="shared" si="3"/>
        <v>43006</v>
      </c>
      <c r="CU6" s="45">
        <f t="shared" si="3"/>
        <v>43036</v>
      </c>
      <c r="CV6" s="45">
        <f t="shared" si="3"/>
        <v>43066</v>
      </c>
      <c r="CW6" s="45">
        <f t="shared" si="3"/>
        <v>43096</v>
      </c>
      <c r="CX6" s="45">
        <f t="shared" si="3"/>
        <v>43126</v>
      </c>
      <c r="CY6" s="45">
        <f t="shared" si="3"/>
        <v>43156</v>
      </c>
      <c r="CZ6" s="45">
        <f t="shared" si="3"/>
        <v>43186</v>
      </c>
      <c r="DA6" s="45">
        <f t="shared" si="3"/>
        <v>43216</v>
      </c>
      <c r="DB6" s="45">
        <f t="shared" si="3"/>
        <v>43246</v>
      </c>
      <c r="DC6" s="45">
        <f t="shared" si="3"/>
        <v>43276</v>
      </c>
      <c r="DD6" s="45">
        <f t="shared" si="3"/>
        <v>43306</v>
      </c>
      <c r="DE6" s="45">
        <f t="shared" si="3"/>
        <v>43336</v>
      </c>
      <c r="DF6" s="45">
        <f t="shared" si="3"/>
        <v>43366</v>
      </c>
      <c r="DG6" s="45">
        <f t="shared" si="3"/>
        <v>43396</v>
      </c>
      <c r="DH6" s="45">
        <f t="shared" si="3"/>
        <v>43426</v>
      </c>
      <c r="DI6" s="45">
        <f t="shared" si="3"/>
        <v>43456</v>
      </c>
      <c r="DJ6" s="45">
        <f t="shared" ref="DJ6:DO6" si="4">+DI6+30</f>
        <v>43486</v>
      </c>
      <c r="DK6" s="45">
        <f t="shared" si="4"/>
        <v>43516</v>
      </c>
      <c r="DL6" s="45">
        <f t="shared" si="4"/>
        <v>43546</v>
      </c>
      <c r="DM6" s="45">
        <f t="shared" si="4"/>
        <v>43576</v>
      </c>
      <c r="DN6" s="45">
        <f t="shared" si="4"/>
        <v>43606</v>
      </c>
      <c r="DO6" s="45">
        <f t="shared" si="4"/>
        <v>43636</v>
      </c>
      <c r="DP6" s="45">
        <f t="shared" ref="DP6:DU6" si="5">+DO6+30</f>
        <v>43666</v>
      </c>
      <c r="DQ6" s="45">
        <f t="shared" si="5"/>
        <v>43696</v>
      </c>
      <c r="DR6" s="45">
        <f t="shared" si="5"/>
        <v>43726</v>
      </c>
      <c r="DS6" s="45">
        <f t="shared" si="5"/>
        <v>43756</v>
      </c>
      <c r="DT6" s="45">
        <f t="shared" si="5"/>
        <v>43786</v>
      </c>
      <c r="DU6" s="45">
        <f t="shared" si="5"/>
        <v>43816</v>
      </c>
      <c r="DV6" s="45">
        <f t="shared" ref="DV6:EM6" si="6">+DU6+30</f>
        <v>43846</v>
      </c>
      <c r="DW6" s="45">
        <f t="shared" si="6"/>
        <v>43876</v>
      </c>
      <c r="DX6" s="45">
        <f t="shared" si="6"/>
        <v>43906</v>
      </c>
      <c r="DY6" s="45">
        <f t="shared" si="6"/>
        <v>43936</v>
      </c>
      <c r="DZ6" s="45">
        <f t="shared" si="6"/>
        <v>43966</v>
      </c>
      <c r="EA6" s="45">
        <f t="shared" si="6"/>
        <v>43996</v>
      </c>
      <c r="EB6" s="45">
        <f t="shared" si="6"/>
        <v>44026</v>
      </c>
      <c r="EC6" s="45">
        <f t="shared" si="6"/>
        <v>44056</v>
      </c>
      <c r="ED6" s="45">
        <f t="shared" si="6"/>
        <v>44086</v>
      </c>
      <c r="EE6" s="45">
        <f t="shared" si="6"/>
        <v>44116</v>
      </c>
      <c r="EF6" s="45">
        <f t="shared" si="6"/>
        <v>44146</v>
      </c>
      <c r="EG6" s="45">
        <f t="shared" si="6"/>
        <v>44176</v>
      </c>
      <c r="EH6" s="45">
        <f t="shared" si="6"/>
        <v>44206</v>
      </c>
      <c r="EI6" s="45">
        <f t="shared" si="6"/>
        <v>44236</v>
      </c>
      <c r="EJ6" s="45">
        <f t="shared" si="6"/>
        <v>44266</v>
      </c>
      <c r="EK6" s="45">
        <f t="shared" si="6"/>
        <v>44296</v>
      </c>
      <c r="EL6" s="45">
        <f t="shared" si="6"/>
        <v>44326</v>
      </c>
      <c r="EM6" s="45">
        <f t="shared" si="6"/>
        <v>44356</v>
      </c>
      <c r="EN6" s="45">
        <f t="shared" ref="EN6:ES6" si="7">+EM6+30</f>
        <v>44386</v>
      </c>
      <c r="EO6" s="45">
        <f t="shared" si="7"/>
        <v>44416</v>
      </c>
      <c r="EP6" s="45">
        <f t="shared" si="7"/>
        <v>44446</v>
      </c>
      <c r="EQ6" s="45">
        <f t="shared" si="7"/>
        <v>44476</v>
      </c>
      <c r="ER6" s="45">
        <f t="shared" si="7"/>
        <v>44506</v>
      </c>
      <c r="ES6" s="45">
        <f t="shared" si="7"/>
        <v>44536</v>
      </c>
      <c r="ET6" s="45">
        <f t="shared" ref="ET6" si="8">+ES6+30</f>
        <v>44566</v>
      </c>
      <c r="EU6" s="45">
        <f t="shared" ref="EU6" si="9">+ET6+30</f>
        <v>44596</v>
      </c>
      <c r="EV6" s="45">
        <f t="shared" ref="EV6" si="10">+EU6+30</f>
        <v>44626</v>
      </c>
      <c r="EW6" s="45">
        <f t="shared" ref="EW6" si="11">+EV6+30</f>
        <v>44656</v>
      </c>
      <c r="EX6" s="45">
        <f t="shared" ref="EX6" si="12">+EW6+30</f>
        <v>44686</v>
      </c>
      <c r="EY6" s="45">
        <f t="shared" ref="EY6" si="13">+EX6+30</f>
        <v>44716</v>
      </c>
      <c r="EZ6" s="45">
        <f t="shared" ref="EZ6" si="14">+EY6+30</f>
        <v>44746</v>
      </c>
      <c r="FA6" s="45">
        <f t="shared" ref="FA6" si="15">+EZ6+30</f>
        <v>44776</v>
      </c>
      <c r="FB6" s="45">
        <f t="shared" ref="FB6:FE6" si="16">+FA6+30</f>
        <v>44806</v>
      </c>
      <c r="FC6" s="45">
        <f t="shared" si="16"/>
        <v>44836</v>
      </c>
      <c r="FD6" s="45">
        <f t="shared" si="16"/>
        <v>44866</v>
      </c>
      <c r="FE6" s="45">
        <f t="shared" si="16"/>
        <v>44896</v>
      </c>
      <c r="FF6" s="316" t="s">
        <v>421</v>
      </c>
      <c r="FG6" s="22"/>
      <c r="FH6" s="22"/>
      <c r="FI6" s="45">
        <v>42548</v>
      </c>
      <c r="FJ6" s="45">
        <v>42579</v>
      </c>
      <c r="FK6" s="45">
        <v>42610</v>
      </c>
      <c r="FL6" s="45">
        <v>42641</v>
      </c>
      <c r="FM6" s="45">
        <v>42672</v>
      </c>
      <c r="FN6" s="45">
        <v>42703</v>
      </c>
      <c r="FO6" s="45">
        <v>42734</v>
      </c>
      <c r="FP6" s="45">
        <f t="shared" ref="FP6:GU6" si="17">+CL6</f>
        <v>42765</v>
      </c>
      <c r="FQ6" s="45">
        <f t="shared" si="17"/>
        <v>42793</v>
      </c>
      <c r="FR6" s="45">
        <f t="shared" si="17"/>
        <v>42824</v>
      </c>
      <c r="FS6" s="45">
        <f t="shared" si="17"/>
        <v>42855</v>
      </c>
      <c r="FT6" s="45">
        <f t="shared" si="17"/>
        <v>42886</v>
      </c>
      <c r="FU6" s="45">
        <f t="shared" si="17"/>
        <v>42916</v>
      </c>
      <c r="FV6" s="45">
        <f t="shared" si="17"/>
        <v>42946</v>
      </c>
      <c r="FW6" s="45">
        <f t="shared" si="17"/>
        <v>42976</v>
      </c>
      <c r="FX6" s="45">
        <f t="shared" si="17"/>
        <v>43006</v>
      </c>
      <c r="FY6" s="45">
        <f t="shared" si="17"/>
        <v>43036</v>
      </c>
      <c r="FZ6" s="45">
        <f t="shared" si="17"/>
        <v>43066</v>
      </c>
      <c r="GA6" s="45">
        <f t="shared" si="17"/>
        <v>43096</v>
      </c>
      <c r="GB6" s="45">
        <f t="shared" si="17"/>
        <v>43126</v>
      </c>
      <c r="GC6" s="45">
        <f t="shared" si="17"/>
        <v>43156</v>
      </c>
      <c r="GD6" s="45">
        <f t="shared" si="17"/>
        <v>43186</v>
      </c>
      <c r="GE6" s="45">
        <f t="shared" si="17"/>
        <v>43216</v>
      </c>
      <c r="GF6" s="45">
        <f t="shared" si="17"/>
        <v>43246</v>
      </c>
      <c r="GG6" s="45">
        <f t="shared" si="17"/>
        <v>43276</v>
      </c>
      <c r="GH6" s="45">
        <f t="shared" si="17"/>
        <v>43306</v>
      </c>
      <c r="GI6" s="45">
        <f t="shared" si="17"/>
        <v>43336</v>
      </c>
      <c r="GJ6" s="45">
        <f t="shared" si="17"/>
        <v>43366</v>
      </c>
      <c r="GK6" s="45">
        <f t="shared" si="17"/>
        <v>43396</v>
      </c>
      <c r="GL6" s="45">
        <f t="shared" si="17"/>
        <v>43426</v>
      </c>
      <c r="GM6" s="45">
        <f t="shared" si="17"/>
        <v>43456</v>
      </c>
      <c r="GN6" s="45">
        <f t="shared" si="17"/>
        <v>43486</v>
      </c>
      <c r="GO6" s="45">
        <f t="shared" si="17"/>
        <v>43516</v>
      </c>
      <c r="GP6" s="45">
        <f t="shared" si="17"/>
        <v>43546</v>
      </c>
      <c r="GQ6" s="45">
        <f t="shared" si="17"/>
        <v>43576</v>
      </c>
      <c r="GR6" s="45">
        <f t="shared" si="17"/>
        <v>43606</v>
      </c>
      <c r="GS6" s="45">
        <f t="shared" si="17"/>
        <v>43636</v>
      </c>
      <c r="GT6" s="45">
        <f t="shared" si="17"/>
        <v>43666</v>
      </c>
      <c r="GU6" s="45">
        <f t="shared" si="17"/>
        <v>43696</v>
      </c>
      <c r="GV6" s="45">
        <f t="shared" ref="GV6:IA6" si="18">+DR6</f>
        <v>43726</v>
      </c>
      <c r="GW6" s="45">
        <f t="shared" si="18"/>
        <v>43756</v>
      </c>
      <c r="GX6" s="45">
        <f t="shared" si="18"/>
        <v>43786</v>
      </c>
      <c r="GY6" s="45">
        <f t="shared" si="18"/>
        <v>43816</v>
      </c>
      <c r="GZ6" s="45">
        <f t="shared" si="18"/>
        <v>43846</v>
      </c>
      <c r="HA6" s="45">
        <f t="shared" si="18"/>
        <v>43876</v>
      </c>
      <c r="HB6" s="45">
        <f t="shared" si="18"/>
        <v>43906</v>
      </c>
      <c r="HC6" s="45">
        <f t="shared" si="18"/>
        <v>43936</v>
      </c>
      <c r="HD6" s="45">
        <f t="shared" si="18"/>
        <v>43966</v>
      </c>
      <c r="HE6" s="45">
        <f t="shared" si="18"/>
        <v>43996</v>
      </c>
      <c r="HF6" s="45">
        <f t="shared" si="18"/>
        <v>44026</v>
      </c>
      <c r="HG6" s="45">
        <f t="shared" si="18"/>
        <v>44056</v>
      </c>
      <c r="HH6" s="45">
        <f t="shared" si="18"/>
        <v>44086</v>
      </c>
      <c r="HI6" s="45">
        <f t="shared" si="18"/>
        <v>44116</v>
      </c>
      <c r="HJ6" s="45">
        <f t="shared" si="18"/>
        <v>44146</v>
      </c>
      <c r="HK6" s="45">
        <f t="shared" si="18"/>
        <v>44176</v>
      </c>
      <c r="HL6" s="45">
        <f t="shared" si="18"/>
        <v>44206</v>
      </c>
      <c r="HM6" s="45">
        <f t="shared" si="18"/>
        <v>44236</v>
      </c>
      <c r="HN6" s="45">
        <f t="shared" si="18"/>
        <v>44266</v>
      </c>
      <c r="HO6" s="45">
        <f t="shared" si="18"/>
        <v>44296</v>
      </c>
      <c r="HP6" s="45">
        <f t="shared" si="18"/>
        <v>44326</v>
      </c>
      <c r="HQ6" s="45">
        <f t="shared" si="18"/>
        <v>44356</v>
      </c>
      <c r="HR6" s="45">
        <f t="shared" si="18"/>
        <v>44386</v>
      </c>
      <c r="HS6" s="45">
        <f t="shared" si="18"/>
        <v>44416</v>
      </c>
      <c r="HT6" s="45">
        <f t="shared" si="18"/>
        <v>44446</v>
      </c>
      <c r="HU6" s="45">
        <f t="shared" si="18"/>
        <v>44476</v>
      </c>
      <c r="HV6" s="45">
        <f t="shared" si="18"/>
        <v>44506</v>
      </c>
      <c r="HW6" s="45">
        <f t="shared" si="18"/>
        <v>44536</v>
      </c>
      <c r="HX6" s="45">
        <f t="shared" si="18"/>
        <v>44566</v>
      </c>
      <c r="HY6" s="45">
        <f t="shared" si="18"/>
        <v>44596</v>
      </c>
      <c r="HZ6" s="45">
        <f t="shared" si="18"/>
        <v>44626</v>
      </c>
      <c r="IA6" s="45">
        <f t="shared" si="18"/>
        <v>44656</v>
      </c>
      <c r="IB6" s="45">
        <f t="shared" ref="IB6:IF6" si="19">+EX6</f>
        <v>44686</v>
      </c>
      <c r="IC6" s="45">
        <f t="shared" si="19"/>
        <v>44716</v>
      </c>
      <c r="ID6" s="45">
        <f t="shared" si="19"/>
        <v>44746</v>
      </c>
      <c r="IE6" s="45">
        <f t="shared" si="19"/>
        <v>44776</v>
      </c>
      <c r="IF6" s="45">
        <f t="shared" si="19"/>
        <v>44806</v>
      </c>
      <c r="IG6" s="45">
        <f t="shared" ref="IG6:II6" si="20">+FC6</f>
        <v>44836</v>
      </c>
      <c r="IH6" s="45">
        <f t="shared" si="20"/>
        <v>44866</v>
      </c>
      <c r="II6" s="45">
        <f t="shared" si="20"/>
        <v>44896</v>
      </c>
    </row>
    <row r="7" spans="1:259">
      <c r="A7" s="31" t="s">
        <v>216</v>
      </c>
      <c r="FF7" s="277"/>
    </row>
    <row r="8" spans="1:259" ht="15.75">
      <c r="A8" s="32"/>
      <c r="FF8" s="277"/>
    </row>
    <row r="9" spans="1:259">
      <c r="A9" s="4" t="s">
        <v>217</v>
      </c>
      <c r="FF9" s="277"/>
      <c r="IJ9" s="45"/>
      <c r="IK9" s="45"/>
      <c r="IL9" s="45"/>
      <c r="IM9" s="45"/>
      <c r="IN9" s="45"/>
      <c r="IO9" s="45"/>
      <c r="IP9" s="45"/>
      <c r="IQ9" s="45"/>
      <c r="IR9" s="45"/>
      <c r="IS9" s="45"/>
      <c r="IT9" s="45"/>
      <c r="IU9" s="45"/>
      <c r="IV9" s="45"/>
      <c r="IW9" s="45"/>
      <c r="IX9" s="45"/>
      <c r="IY9" s="45"/>
    </row>
    <row r="10" spans="1:259">
      <c r="A10" s="27" t="s">
        <v>218</v>
      </c>
      <c r="B10" s="108">
        <v>1000383.48138</v>
      </c>
      <c r="C10" s="108">
        <v>1012059.21438</v>
      </c>
      <c r="D10" s="108">
        <v>1017214.21938</v>
      </c>
      <c r="E10" s="108">
        <v>1011935.19038</v>
      </c>
      <c r="F10" s="108">
        <v>1014806.4993800001</v>
      </c>
      <c r="G10" s="108">
        <v>1016981.69238</v>
      </c>
      <c r="H10" s="108">
        <v>1019398.81438</v>
      </c>
      <c r="I10" s="108">
        <v>1021742.44138</v>
      </c>
      <c r="J10" s="108">
        <v>1024002.65238</v>
      </c>
      <c r="K10" s="108">
        <v>1025266.43938</v>
      </c>
      <c r="L10" s="108">
        <v>1028407.73338</v>
      </c>
      <c r="M10" s="108">
        <v>1033631.6613799999</v>
      </c>
      <c r="N10" s="108">
        <v>1035786.32138</v>
      </c>
      <c r="O10" s="108">
        <v>1039181</v>
      </c>
      <c r="P10" s="108">
        <v>1043147</v>
      </c>
      <c r="Q10" s="108">
        <v>1055319</v>
      </c>
      <c r="R10" s="108">
        <v>1057598</v>
      </c>
      <c r="S10" s="108">
        <v>1064198</v>
      </c>
      <c r="T10" s="108">
        <v>1070054</v>
      </c>
      <c r="U10" s="108">
        <v>1073172</v>
      </c>
      <c r="V10" s="108">
        <v>1074248</v>
      </c>
      <c r="W10" s="108">
        <v>1074763</v>
      </c>
      <c r="X10" s="108">
        <v>1077492</v>
      </c>
      <c r="Y10" s="108">
        <v>1082396</v>
      </c>
      <c r="Z10" s="108">
        <v>1084837</v>
      </c>
      <c r="AA10" s="108">
        <v>1089187</v>
      </c>
      <c r="AB10" s="108">
        <v>1096122</v>
      </c>
      <c r="AC10" s="108">
        <v>1108506.2919999999</v>
      </c>
      <c r="AD10" s="108">
        <v>1110081</v>
      </c>
      <c r="AE10" s="108">
        <v>1116674</v>
      </c>
      <c r="AF10" s="108">
        <v>1123256</v>
      </c>
      <c r="AG10" s="108">
        <v>1127395</v>
      </c>
      <c r="AH10" s="108">
        <v>1130162</v>
      </c>
      <c r="AI10" s="108">
        <v>1135775.2035000001</v>
      </c>
      <c r="AJ10" s="108">
        <v>1139817.28746</v>
      </c>
      <c r="AK10" s="108">
        <v>1148042.3178000001</v>
      </c>
      <c r="AL10" s="108">
        <v>1153638.7448400001</v>
      </c>
      <c r="AM10" s="206">
        <v>1163197.1286299999</v>
      </c>
      <c r="AN10" s="206">
        <v>1164617.1001599997</v>
      </c>
      <c r="AO10" s="206">
        <v>1165832.96612</v>
      </c>
      <c r="AP10" s="206">
        <v>1191695.0202299999</v>
      </c>
      <c r="AQ10" s="206">
        <v>1194713.3135599999</v>
      </c>
      <c r="AR10" s="206">
        <v>1197983.8481800002</v>
      </c>
      <c r="AS10" s="263">
        <v>1208554.98621</v>
      </c>
      <c r="AT10" s="263">
        <v>1211055.01241</v>
      </c>
      <c r="AU10" s="263">
        <v>1212829.19606</v>
      </c>
      <c r="AV10" s="263">
        <v>1213837.9348500001</v>
      </c>
      <c r="AW10" s="263">
        <v>1219378.6431</v>
      </c>
      <c r="AX10" s="263">
        <v>1221911.6483400001</v>
      </c>
      <c r="AY10" s="253">
        <v>1231799.79073</v>
      </c>
      <c r="AZ10" s="253">
        <v>1234926.7785100001</v>
      </c>
      <c r="BA10" s="346">
        <v>1243593.91653</v>
      </c>
      <c r="BB10" s="346">
        <v>1241152.2440299999</v>
      </c>
      <c r="BC10" s="346">
        <v>1243192.35277</v>
      </c>
      <c r="BD10" s="346">
        <v>1247629.61157</v>
      </c>
      <c r="BE10" s="346">
        <v>1253713.2153999999</v>
      </c>
      <c r="BF10" s="346">
        <v>1257097.21006</v>
      </c>
      <c r="BG10" s="253">
        <v>1259695.8877000001</v>
      </c>
      <c r="BH10" s="253">
        <v>1270534.1354099999</v>
      </c>
      <c r="BI10" s="253">
        <v>1275271.2673699998</v>
      </c>
      <c r="BJ10" s="253">
        <v>1280761.19805</v>
      </c>
      <c r="BK10" s="253">
        <v>1290475.8940399999</v>
      </c>
      <c r="BL10" s="253">
        <v>1296307.4943499998</v>
      </c>
      <c r="BM10" s="253">
        <v>1302933.0566</v>
      </c>
      <c r="BN10" s="253">
        <v>1307842.7940100001</v>
      </c>
      <c r="BO10" s="253">
        <v>1308613.10653</v>
      </c>
      <c r="BP10" s="253">
        <v>1312708.80837</v>
      </c>
      <c r="BQ10" s="253">
        <v>1328279.1166700001</v>
      </c>
      <c r="BR10" s="253">
        <v>1336152.5351100001</v>
      </c>
      <c r="BS10" s="253">
        <v>1353060.9158300001</v>
      </c>
      <c r="BT10" s="253">
        <v>1356619.9553400001</v>
      </c>
      <c r="BU10" s="253">
        <v>1360371.1220799999</v>
      </c>
      <c r="BV10" s="253">
        <v>1367547.4531599998</v>
      </c>
      <c r="BW10" s="253">
        <v>1373196.6223300002</v>
      </c>
      <c r="BX10" s="253">
        <v>1381752.1126399999</v>
      </c>
      <c r="BY10" s="253">
        <v>1392247.9954000001</v>
      </c>
      <c r="BZ10" s="253">
        <v>1402416.7175799999</v>
      </c>
      <c r="CA10" s="253">
        <v>1407641.41622</v>
      </c>
      <c r="CB10" s="253">
        <v>1412890.3059700001</v>
      </c>
      <c r="CC10" s="253">
        <v>1418939.5344799999</v>
      </c>
      <c r="CD10" s="253">
        <v>1422503.3082900001</v>
      </c>
      <c r="CE10" s="439">
        <v>1448413.4322600001</v>
      </c>
      <c r="CF10" s="439">
        <v>1456443.11534</v>
      </c>
      <c r="CG10" s="439">
        <v>1463500.57975</v>
      </c>
      <c r="CH10" s="439">
        <v>1467566.9068499999</v>
      </c>
      <c r="CI10" s="439">
        <v>1484557.5321499999</v>
      </c>
      <c r="CJ10" s="439">
        <v>1491840.2966299998</v>
      </c>
      <c r="CK10" s="439">
        <v>1507435.70845</v>
      </c>
      <c r="CL10" s="439">
        <v>1516479.3960599999</v>
      </c>
      <c r="CM10" s="439">
        <v>1522482.59812</v>
      </c>
      <c r="CN10" s="439">
        <v>1532923.7282799999</v>
      </c>
      <c r="CO10" s="439">
        <v>1538485.7622700001</v>
      </c>
      <c r="CP10" s="439">
        <v>1544475.81485</v>
      </c>
      <c r="CQ10" s="439">
        <v>1550986.0935799999</v>
      </c>
      <c r="CR10" s="439">
        <v>1558211.3684700001</v>
      </c>
      <c r="CS10" s="439">
        <v>1568715.7838200002</v>
      </c>
      <c r="CT10" s="439">
        <v>1583973.7129200001</v>
      </c>
      <c r="CU10" s="439">
        <v>1594889.40692</v>
      </c>
      <c r="CV10" s="439">
        <v>1602746.9758200003</v>
      </c>
      <c r="CW10" s="439">
        <v>1613151.6469700001</v>
      </c>
      <c r="CX10" s="439">
        <v>1626036.6806799998</v>
      </c>
      <c r="CY10" s="439">
        <v>1633022.50082</v>
      </c>
      <c r="CZ10" s="439">
        <v>1644964.51902</v>
      </c>
      <c r="DA10" s="439">
        <v>1652084.33185</v>
      </c>
      <c r="DB10" s="439">
        <v>1668298.5418</v>
      </c>
      <c r="DC10" s="439">
        <v>1675825.4123499999</v>
      </c>
      <c r="DD10" s="439">
        <v>1684329.0998600002</v>
      </c>
      <c r="DE10" s="439">
        <v>1694202.0364999999</v>
      </c>
      <c r="DF10" s="439">
        <v>1701086.99468</v>
      </c>
      <c r="DG10" s="439">
        <v>1712322.8655000001</v>
      </c>
      <c r="DH10" s="439">
        <v>1738754.2584599999</v>
      </c>
      <c r="DI10" s="439">
        <v>1762065.90906</v>
      </c>
      <c r="DJ10" s="439">
        <v>1774055.2858499999</v>
      </c>
      <c r="DK10" s="439">
        <v>1792772.51712</v>
      </c>
      <c r="DL10" s="439">
        <v>1809184.9008500001</v>
      </c>
      <c r="DM10" s="439">
        <v>1821273.9876299999</v>
      </c>
      <c r="DN10" s="439">
        <v>1834439.00239</v>
      </c>
      <c r="DO10" s="439">
        <v>1850083.69731</v>
      </c>
      <c r="DP10" s="439">
        <v>1862268.7733399998</v>
      </c>
      <c r="DQ10" s="439">
        <v>1870726.0528199999</v>
      </c>
      <c r="DR10" s="439">
        <v>1889758.3285300001</v>
      </c>
      <c r="DS10" s="439">
        <v>1900765.04259</v>
      </c>
      <c r="DT10" s="439">
        <v>1924455.1345200001</v>
      </c>
      <c r="DU10" s="439">
        <v>1940875.5429699998</v>
      </c>
      <c r="DV10" s="439">
        <v>1950239.5700700001</v>
      </c>
      <c r="DW10" s="439">
        <v>1964551.3654700001</v>
      </c>
      <c r="DX10" s="439">
        <v>1982872.32278</v>
      </c>
      <c r="DY10" s="439">
        <v>1996012.2223</v>
      </c>
      <c r="DZ10" s="439">
        <v>2008227.86421</v>
      </c>
      <c r="EA10" s="439">
        <v>2022803.4492200001</v>
      </c>
      <c r="EB10" s="439">
        <v>2033865.6456100002</v>
      </c>
      <c r="EC10" s="439">
        <v>2053556.69197</v>
      </c>
      <c r="ED10" s="439">
        <v>2069622.9344300001</v>
      </c>
      <c r="EE10" s="439">
        <v>2147906.9921900001</v>
      </c>
      <c r="EF10" s="439">
        <v>2168569.5812599999</v>
      </c>
      <c r="EG10" s="439">
        <v>2190266.0963099999</v>
      </c>
      <c r="EH10" s="439">
        <v>2210640.8616399998</v>
      </c>
      <c r="EI10" s="439">
        <v>2218263.1992799998</v>
      </c>
      <c r="EJ10" s="439">
        <v>2237535.2581700003</v>
      </c>
      <c r="EK10" s="439">
        <v>2312458.6691000001</v>
      </c>
      <c r="EL10" s="439">
        <v>2326859.5079699997</v>
      </c>
      <c r="EM10" s="439">
        <v>2339306.6069899998</v>
      </c>
      <c r="EN10" s="439">
        <v>2349282.6089499998</v>
      </c>
      <c r="EO10" s="439">
        <v>2360423.2762099998</v>
      </c>
      <c r="EP10" s="439">
        <v>2370466.1430699998</v>
      </c>
      <c r="EQ10" s="439">
        <v>2381121.9106900003</v>
      </c>
      <c r="ER10" s="439">
        <v>2455392.2096199999</v>
      </c>
      <c r="ES10" s="439">
        <v>2478715.9542</v>
      </c>
      <c r="ET10" s="439">
        <v>2490664.2849099999</v>
      </c>
      <c r="EU10" s="439">
        <v>2510368.1822299999</v>
      </c>
      <c r="EV10" s="439">
        <v>2520195.5334899998</v>
      </c>
      <c r="EW10" s="439">
        <v>2537843.1559300004</v>
      </c>
      <c r="EX10" s="439">
        <v>2558270.6101000002</v>
      </c>
      <c r="EY10" s="439">
        <v>2573891.0751799997</v>
      </c>
      <c r="EZ10" s="439">
        <v>2577548.3685099999</v>
      </c>
      <c r="FA10" s="439">
        <v>2593174.0702</v>
      </c>
      <c r="FB10" s="439">
        <v>2604597.7720699999</v>
      </c>
      <c r="FC10" s="439">
        <f>(VLOOKUP("101",'Input BS ACCTS'!$A$5:$DH$1058,110,FALSE)+VLOOKUP("104",'Input BS ACCTS'!$A$5:$DH$1058,110,FALSE)+VLOOKUP("106",'Input BS ACCTS'!$A$5:$DH$1058,110,FALSE))/1000</f>
        <v>2660648.5707199997</v>
      </c>
      <c r="FD10" s="439">
        <f>(VLOOKUP("101",'Input BS ACCTS'!$A$5:$DH$1058,111,FALSE)+VLOOKUP("104",'Input BS ACCTS'!$A$5:$DH$1058,111,FALSE)+VLOOKUP("106",'Input BS ACCTS'!$A$5:$DH$1058,111,FALSE))/1000</f>
        <v>2673300.8299000002</v>
      </c>
      <c r="FE10" s="439">
        <f>(VLOOKUP("101",'Input BS ACCTS'!$A$5:$DH$1058,112,FALSE)+VLOOKUP("104",'Input BS ACCTS'!$A$5:$DH$1058,112,FALSE)+VLOOKUP("106",'Input BS ACCTS'!$A$5:$DH$1058,112,FALSE))/1000</f>
        <v>2680770.2977899997</v>
      </c>
      <c r="FF10" s="403">
        <f>SUM(ES10:FE10)/13</f>
        <v>2573845.285017692</v>
      </c>
      <c r="FG10" s="700"/>
      <c r="FH10" s="700"/>
      <c r="FI10" s="441">
        <v>-7851.9769999999999</v>
      </c>
      <c r="FJ10" s="441">
        <v>-7851.9769999999999</v>
      </c>
      <c r="FK10" s="441">
        <v>-7851.9769999999999</v>
      </c>
      <c r="FL10" s="441">
        <v>-7851.9769999999999</v>
      </c>
      <c r="FM10" s="441">
        <v>-7851.9769999999999</v>
      </c>
      <c r="FN10" s="441">
        <v>-10596.977000000001</v>
      </c>
      <c r="FO10" s="441">
        <v>-10596.977000000001</v>
      </c>
      <c r="FP10" s="441">
        <f>+'Input BS ACCTS'!AO7/1000</f>
        <v>-10596.977000000001</v>
      </c>
      <c r="FQ10" s="441">
        <f>+'Input BS ACCTS'!AP7/1000</f>
        <v>-10596.977000000001</v>
      </c>
      <c r="FR10" s="441">
        <f>+'Input BS ACCTS'!AQ7/1000</f>
        <v>-10596.977000000001</v>
      </c>
      <c r="FS10" s="441">
        <f>+'Input BS ACCTS'!AR7/1000</f>
        <v>-10596.977000000001</v>
      </c>
      <c r="FT10" s="441">
        <f>+'Input BS ACCTS'!AS7/1000</f>
        <v>-10596.977000000001</v>
      </c>
      <c r="FU10" s="441">
        <f>+'Input BS ACCTS'!AT7/1000</f>
        <v>-10596.977000000001</v>
      </c>
      <c r="FV10" s="441">
        <f>+'Input BS ACCTS'!AU7/1000</f>
        <v>-10596.977000000001</v>
      </c>
      <c r="FW10" s="441">
        <f>+'Input BS ACCTS'!AV7/1000</f>
        <v>-10596.977000000001</v>
      </c>
      <c r="FX10" s="441">
        <f>+'Input BS ACCTS'!AW7/1000</f>
        <v>-10596.977000000001</v>
      </c>
      <c r="FY10" s="441">
        <f>+'Input BS ACCTS'!AX7/1000</f>
        <v>-10596.977000000001</v>
      </c>
      <c r="FZ10" s="441">
        <f>+'Input BS ACCTS'!AY7/1000</f>
        <v>-10596.977000000001</v>
      </c>
      <c r="GA10" s="441">
        <f>+'Input BS ACCTS'!AZ7/1000</f>
        <v>-10596.977000000001</v>
      </c>
      <c r="GB10" s="441">
        <f>+'Input BS ACCTS'!BA7/1000</f>
        <v>-10596.977000000001</v>
      </c>
      <c r="GC10" s="441">
        <f>+'Input BS ACCTS'!BB7/1000</f>
        <v>-10596.977000000001</v>
      </c>
      <c r="GD10" s="441">
        <f>+'Input BS ACCTS'!BC7/1000</f>
        <v>-10596.977000000001</v>
      </c>
      <c r="GE10" s="441">
        <f>+'Input BS ACCTS'!BD7/1000</f>
        <v>-10596.977000000001</v>
      </c>
      <c r="GF10" s="441">
        <f>+'Input BS ACCTS'!BE7/1000</f>
        <v>-10596.977000000001</v>
      </c>
      <c r="GG10" s="441">
        <f>+'Input BS ACCTS'!BF7/1000</f>
        <v>-10596.977000000001</v>
      </c>
      <c r="GH10" s="441">
        <f>+'Input BS ACCTS'!BG7/1000</f>
        <v>-10596.977000000001</v>
      </c>
      <c r="GI10" s="441">
        <f>+'Input BS ACCTS'!BH7/1000</f>
        <v>-10596.977000000001</v>
      </c>
      <c r="GJ10" s="441">
        <f>+'Input BS ACCTS'!BI7/1000</f>
        <v>-10596.977000000001</v>
      </c>
      <c r="GK10" s="441">
        <f>+'Input BS ACCTS'!BJ7/1000</f>
        <v>-10596.977000000001</v>
      </c>
      <c r="GL10" s="441">
        <f>+'Input BS ACCTS'!BK7/1000</f>
        <v>-10596.977000000001</v>
      </c>
      <c r="GM10" s="441">
        <f>+'Input BS ACCTS'!BL7/1000</f>
        <v>-10596.977000000001</v>
      </c>
      <c r="GN10" s="441">
        <f>+'Input BS ACCTS'!BM7/1000</f>
        <v>-10596.977000000001</v>
      </c>
      <c r="GO10" s="441">
        <f>+'Input BS ACCTS'!BN7/1000</f>
        <v>-10596.977000000001</v>
      </c>
      <c r="GP10" s="441">
        <f>+'Input BS ACCTS'!BO7/1000</f>
        <v>-10596.977000000001</v>
      </c>
      <c r="GQ10" s="441">
        <f>+'Input BS ACCTS'!BP7/1000</f>
        <v>-10596.977000000001</v>
      </c>
      <c r="GR10" s="441">
        <f>+'Input BS ACCTS'!BQ7/1000</f>
        <v>-10596.977000000001</v>
      </c>
      <c r="GS10" s="441">
        <f>+'Input BS ACCTS'!BR7/1000</f>
        <v>-10596.977000000001</v>
      </c>
      <c r="GT10" s="441">
        <f>+'Input BS ACCTS'!BS7/1000</f>
        <v>-10596.977000000001</v>
      </c>
      <c r="GU10" s="441">
        <f>+'Input BS ACCTS'!BT7/1000</f>
        <v>-10596.977000000001</v>
      </c>
      <c r="GV10" s="441">
        <f>+'Input BS ACCTS'!BU7/1000</f>
        <v>-10596.977000000001</v>
      </c>
      <c r="GW10" s="441">
        <f>+'Input BS ACCTS'!BV7/1000</f>
        <v>-10596.977000000001</v>
      </c>
      <c r="GX10" s="441">
        <f>+'Input BS ACCTS'!BW7/1000</f>
        <v>-10596.977000000001</v>
      </c>
      <c r="GY10" s="441">
        <f>+'Input BS ACCTS'!BX7/1000</f>
        <v>-10596.977000000001</v>
      </c>
      <c r="GZ10" s="441">
        <f>+'Input BS ACCTS'!BY7/1000</f>
        <v>-10596.977000000001</v>
      </c>
      <c r="HA10" s="441">
        <f>+'Input BS ACCTS'!BZ7/1000</f>
        <v>-10596.977000000001</v>
      </c>
      <c r="HB10" s="441">
        <f>+'Input BS ACCTS'!CA7/1000</f>
        <v>-10596.977000000001</v>
      </c>
      <c r="HC10" s="441">
        <f>+'Input BS ACCTS'!CB7/1000</f>
        <v>-10596.977000000001</v>
      </c>
      <c r="HD10" s="441">
        <f>+'Input BS ACCTS'!CC7/1000</f>
        <v>-10596.977000000001</v>
      </c>
      <c r="HE10" s="441">
        <f>+'Input BS ACCTS'!CD7/1000</f>
        <v>-10596.977000000001</v>
      </c>
      <c r="HF10" s="441">
        <f>+'Input BS ACCTS'!CE7/1000</f>
        <v>-10596.977000000001</v>
      </c>
      <c r="HG10" s="441">
        <f>+'Input BS ACCTS'!CF7/1000</f>
        <v>-10596.977000000001</v>
      </c>
      <c r="HH10" s="441">
        <f>+'Input BS ACCTS'!CG7/1000</f>
        <v>-10596.977000000001</v>
      </c>
      <c r="HI10" s="441">
        <f>+'Input BS ACCTS'!CH7/1000</f>
        <v>-10596.977000000001</v>
      </c>
      <c r="HJ10" s="441">
        <f>+'Input BS ACCTS'!CI7/1000</f>
        <v>-10596.977000000001</v>
      </c>
      <c r="HK10" s="441">
        <f>+'Input BS ACCTS'!CJ7/1000</f>
        <v>-10596.977000000001</v>
      </c>
      <c r="HL10" s="441">
        <f>+'Input BS ACCTS'!CK7/1000</f>
        <v>-10596.977000000001</v>
      </c>
      <c r="HM10" s="441">
        <f>+'Input BS ACCTS'!CL7/1000</f>
        <v>-10596.977000000001</v>
      </c>
      <c r="HN10" s="441">
        <f>+'Input BS ACCTS'!CM7/1000</f>
        <v>-10596.977000000001</v>
      </c>
      <c r="HO10" s="441">
        <f>+'Input BS ACCTS'!CN7/1000</f>
        <v>-10596.977000000001</v>
      </c>
      <c r="HP10" s="441">
        <f>+'Input BS ACCTS'!CO7/1000</f>
        <v>-10596.977000000001</v>
      </c>
      <c r="HQ10" s="441">
        <f>+'Input BS ACCTS'!CP7/1000</f>
        <v>-10596.977000000001</v>
      </c>
      <c r="HR10" s="441">
        <f>+'Input BS ACCTS'!CQ7/1000</f>
        <v>-10596.977000000001</v>
      </c>
      <c r="HS10" s="441">
        <f>+'Input BS ACCTS'!CR7/1000</f>
        <v>-10596.977000000001</v>
      </c>
      <c r="HT10" s="441">
        <f>+'Input BS ACCTS'!CS7/1000</f>
        <v>-10596.977000000001</v>
      </c>
      <c r="HU10" s="441">
        <f>+'Input BS ACCTS'!CT7/1000</f>
        <v>-10596.977000000001</v>
      </c>
      <c r="HV10" s="441">
        <f>+'Input BS ACCTS'!CU7/1000</f>
        <v>-10596.977000000001</v>
      </c>
      <c r="HW10" s="441">
        <f>+'Input BS ACCTS'!CV7/1000</f>
        <v>-10596.977000000001</v>
      </c>
      <c r="HX10" s="441">
        <f>+'Input BS ACCTS'!CW7/1000</f>
        <v>-10596.977000000001</v>
      </c>
      <c r="HY10" s="441">
        <f>+'Input BS ACCTS'!CX7/1000</f>
        <v>-10596.977000000001</v>
      </c>
      <c r="HZ10" s="441">
        <f>+'Input BS ACCTS'!CY7/1000</f>
        <v>-7851.9769999999999</v>
      </c>
      <c r="IA10" s="441">
        <f>+'Input BS ACCTS'!CZ7/1000</f>
        <v>-7851.9769999999999</v>
      </c>
      <c r="IB10" s="441">
        <f>+'Input BS ACCTS'!DA7/1000</f>
        <v>-7851.9769999999999</v>
      </c>
      <c r="IC10" s="441">
        <f>+'Input BS ACCTS'!DB7/1000</f>
        <v>-7851.9769999999999</v>
      </c>
      <c r="ID10" s="441">
        <f>+'Input BS ACCTS'!DC7/1000</f>
        <v>0</v>
      </c>
      <c r="IE10" s="441">
        <f>+'Input BS ACCTS'!DD7/1000</f>
        <v>0</v>
      </c>
      <c r="IF10" s="441">
        <f>+'Input BS ACCTS'!DE7/1000</f>
        <v>0</v>
      </c>
      <c r="IG10" s="441">
        <f>+'Input BS ACCTS'!DF7/1000</f>
        <v>0</v>
      </c>
      <c r="IH10" s="441">
        <f>+'Input BS ACCTS'!DG7/1000</f>
        <v>0</v>
      </c>
      <c r="II10" s="441">
        <f>+'Input BS ACCTS'!DH7/1000</f>
        <v>0</v>
      </c>
      <c r="IJ10" s="447" t="s">
        <v>1687</v>
      </c>
      <c r="IK10" s="445">
        <v>1040001</v>
      </c>
      <c r="IL10" s="191"/>
      <c r="IM10" s="35"/>
      <c r="IN10" s="35"/>
      <c r="IO10" s="35"/>
      <c r="IP10" s="35"/>
      <c r="IQ10" s="35"/>
      <c r="IR10" s="35"/>
      <c r="IS10" s="35"/>
      <c r="IT10" s="35"/>
      <c r="IU10" s="35"/>
      <c r="IV10" s="35"/>
      <c r="IW10" s="35"/>
      <c r="IX10" s="35"/>
      <c r="IY10" s="35"/>
    </row>
    <row r="11" spans="1:259">
      <c r="A11" s="27" t="s">
        <v>219</v>
      </c>
      <c r="B11" s="107">
        <v>228.95468</v>
      </c>
      <c r="C11" s="107">
        <v>228.95468</v>
      </c>
      <c r="D11" s="107">
        <v>228.95468</v>
      </c>
      <c r="E11" s="107">
        <v>228.95468</v>
      </c>
      <c r="F11" s="107">
        <v>228.95468</v>
      </c>
      <c r="G11" s="107">
        <v>228.95468</v>
      </c>
      <c r="H11" s="107">
        <v>228.95468</v>
      </c>
      <c r="I11" s="107">
        <v>228.95468</v>
      </c>
      <c r="J11" s="107">
        <v>228.95468</v>
      </c>
      <c r="K11" s="107">
        <v>228.95468</v>
      </c>
      <c r="L11" s="107">
        <v>228.95468</v>
      </c>
      <c r="M11" s="107">
        <v>228.95468</v>
      </c>
      <c r="N11" s="107">
        <v>228.95468</v>
      </c>
      <c r="O11" s="107">
        <v>229</v>
      </c>
      <c r="P11" s="107">
        <v>229</v>
      </c>
      <c r="Q11" s="107">
        <v>229</v>
      </c>
      <c r="R11" s="107">
        <v>229</v>
      </c>
      <c r="S11" s="107">
        <v>229</v>
      </c>
      <c r="T11" s="107">
        <v>229</v>
      </c>
      <c r="U11" s="107">
        <v>229</v>
      </c>
      <c r="V11" s="107">
        <v>229</v>
      </c>
      <c r="W11" s="107">
        <v>229</v>
      </c>
      <c r="X11" s="107">
        <v>229</v>
      </c>
      <c r="Y11" s="107">
        <v>229</v>
      </c>
      <c r="Z11" s="107">
        <v>229</v>
      </c>
      <c r="AA11" s="107">
        <v>229</v>
      </c>
      <c r="AB11" s="107">
        <v>229</v>
      </c>
      <c r="AC11" s="107">
        <v>228.95500000000001</v>
      </c>
      <c r="AD11" s="107">
        <v>229</v>
      </c>
      <c r="AE11" s="107">
        <v>229</v>
      </c>
      <c r="AF11" s="107">
        <v>229</v>
      </c>
      <c r="AG11" s="107">
        <v>229</v>
      </c>
      <c r="AH11" s="107">
        <v>229</v>
      </c>
      <c r="AI11" s="107">
        <v>228.95468</v>
      </c>
      <c r="AJ11" s="107">
        <v>228.95468</v>
      </c>
      <c r="AK11" s="107">
        <v>228.95468</v>
      </c>
      <c r="AL11" s="107">
        <v>228.95468</v>
      </c>
      <c r="AM11" s="187">
        <v>228.95468</v>
      </c>
      <c r="AN11" s="187">
        <v>228.95468</v>
      </c>
      <c r="AO11" s="187">
        <v>228.95468</v>
      </c>
      <c r="AP11" s="187">
        <v>228.95468</v>
      </c>
      <c r="AQ11" s="187">
        <v>228.95468</v>
      </c>
      <c r="AR11" s="187">
        <v>228.95468</v>
      </c>
      <c r="AS11" s="264">
        <v>228.95468</v>
      </c>
      <c r="AT11" s="266">
        <v>228.95468</v>
      </c>
      <c r="AU11" s="187">
        <v>228.95468</v>
      </c>
      <c r="AV11" s="187">
        <v>228.95468</v>
      </c>
      <c r="AW11" s="187">
        <v>228.95468</v>
      </c>
      <c r="AX11" s="187">
        <v>228.95468</v>
      </c>
      <c r="AY11" s="211">
        <v>228.95468</v>
      </c>
      <c r="AZ11" s="211">
        <v>228.95468</v>
      </c>
      <c r="BA11" s="330">
        <v>1937.5744499999998</v>
      </c>
      <c r="BB11" s="330">
        <v>1939.5515500000001</v>
      </c>
      <c r="BC11" s="330">
        <v>1939.5515500000001</v>
      </c>
      <c r="BD11" s="330">
        <v>2983.0163600000001</v>
      </c>
      <c r="BE11" s="330">
        <v>2983.0163600000001</v>
      </c>
      <c r="BF11" s="330">
        <v>2983.0163600000001</v>
      </c>
      <c r="BG11" s="211">
        <v>2983.0163600000001</v>
      </c>
      <c r="BH11" s="211">
        <v>2983.0163600000001</v>
      </c>
      <c r="BI11" s="211">
        <v>2983.0163600000001</v>
      </c>
      <c r="BJ11" s="211">
        <v>2983.0163600000001</v>
      </c>
      <c r="BK11" s="211">
        <v>2983.0669900000003</v>
      </c>
      <c r="BL11" s="211">
        <v>2983.0669900000003</v>
      </c>
      <c r="BM11" s="211">
        <v>2984.6337899999999</v>
      </c>
      <c r="BN11" s="211">
        <v>2984.6337899999999</v>
      </c>
      <c r="BO11" s="211">
        <v>2984.6337899999999</v>
      </c>
      <c r="BP11" s="211">
        <v>2984.6337899999999</v>
      </c>
      <c r="BQ11" s="211">
        <v>2984.6337899999999</v>
      </c>
      <c r="BR11" s="211">
        <v>2984.6337899999999</v>
      </c>
      <c r="BS11" s="211">
        <v>1939.5515500000001</v>
      </c>
      <c r="BT11" s="211">
        <v>1939.5515500000001</v>
      </c>
      <c r="BU11" s="211">
        <v>1939.5515500000001</v>
      </c>
      <c r="BV11" s="211">
        <v>1939.5515500000001</v>
      </c>
      <c r="BW11" s="211">
        <v>1939.5515500000001</v>
      </c>
      <c r="BX11" s="211">
        <v>1939.5515500000001</v>
      </c>
      <c r="BY11" s="211">
        <v>1939.5515500000001</v>
      </c>
      <c r="BZ11" s="211">
        <v>1939.5515500000001</v>
      </c>
      <c r="CA11" s="211">
        <v>1939.5515500000001</v>
      </c>
      <c r="CB11" s="211">
        <v>1939.5515500000001</v>
      </c>
      <c r="CC11" s="211">
        <v>1939.5515500000001</v>
      </c>
      <c r="CD11" s="211">
        <v>1939.5515500000001</v>
      </c>
      <c r="CE11" s="211">
        <v>1939.5515500000001</v>
      </c>
      <c r="CF11" s="211">
        <v>1939.5515500000001</v>
      </c>
      <c r="CG11" s="211">
        <v>1939.5515500000001</v>
      </c>
      <c r="CH11" s="211">
        <v>1939.5515500000001</v>
      </c>
      <c r="CI11" s="211">
        <v>1939.5515500000001</v>
      </c>
      <c r="CJ11" s="211">
        <v>1939.5515500000001</v>
      </c>
      <c r="CK11" s="211">
        <v>1939.5515500000001</v>
      </c>
      <c r="CL11" s="211">
        <v>1939.5515500000001</v>
      </c>
      <c r="CM11" s="211">
        <v>1939.5515500000001</v>
      </c>
      <c r="CN11" s="211">
        <v>1939.5515500000001</v>
      </c>
      <c r="CO11" s="211">
        <v>1939.5515500000001</v>
      </c>
      <c r="CP11" s="211">
        <v>1939.5515500000001</v>
      </c>
      <c r="CQ11" s="211">
        <v>1939.5515500000001</v>
      </c>
      <c r="CR11" s="211">
        <v>1939.5515500000001</v>
      </c>
      <c r="CS11" s="211">
        <v>1939.5515500000001</v>
      </c>
      <c r="CT11" s="211">
        <v>1939.5515500000001</v>
      </c>
      <c r="CU11" s="211">
        <v>1939.5515500000001</v>
      </c>
      <c r="CV11" s="211">
        <v>1939.5515500000001</v>
      </c>
      <c r="CW11" s="211">
        <v>1939.5515500000001</v>
      </c>
      <c r="CX11" s="211">
        <v>1939.5515500000001</v>
      </c>
      <c r="CY11" s="211">
        <v>1939.5515500000001</v>
      </c>
      <c r="CZ11" s="211">
        <v>1939.5515500000001</v>
      </c>
      <c r="DA11" s="211">
        <v>1939.5515500000001</v>
      </c>
      <c r="DB11" s="211">
        <v>1939.5515500000001</v>
      </c>
      <c r="DC11" s="211">
        <v>1939.5515500000001</v>
      </c>
      <c r="DD11" s="211">
        <v>1939.5515500000001</v>
      </c>
      <c r="DE11" s="211">
        <v>1939.5515500000001</v>
      </c>
      <c r="DF11" s="211">
        <v>1939.5515500000001</v>
      </c>
      <c r="DG11" s="211">
        <v>1939.5515500000001</v>
      </c>
      <c r="DH11" s="211">
        <v>1939.5515500000001</v>
      </c>
      <c r="DI11" s="211">
        <v>1939.5515500000001</v>
      </c>
      <c r="DJ11" s="211">
        <v>1939.5515500000001</v>
      </c>
      <c r="DK11" s="211">
        <v>1939.5515500000001</v>
      </c>
      <c r="DL11" s="211">
        <v>1939.5515500000001</v>
      </c>
      <c r="DM11" s="211">
        <v>1939.5515500000001</v>
      </c>
      <c r="DN11" s="211">
        <v>1939.5515500000001</v>
      </c>
      <c r="DO11" s="211">
        <v>1939.5515500000001</v>
      </c>
      <c r="DP11" s="211">
        <v>1939.5515500000001</v>
      </c>
      <c r="DQ11" s="211">
        <v>1939.5515500000001</v>
      </c>
      <c r="DR11" s="211">
        <v>1939.5515500000001</v>
      </c>
      <c r="DS11" s="211">
        <v>1939.5515500000001</v>
      </c>
      <c r="DT11" s="211">
        <v>1939.5515500000001</v>
      </c>
      <c r="DU11" s="211">
        <v>1939.5515500000001</v>
      </c>
      <c r="DV11" s="211">
        <v>1939.5515500000001</v>
      </c>
      <c r="DW11" s="211">
        <v>1939.5515500000001</v>
      </c>
      <c r="DX11" s="211">
        <v>1939.5515500000001</v>
      </c>
      <c r="DY11" s="211">
        <v>1939.5515500000001</v>
      </c>
      <c r="DZ11" s="211">
        <v>1939.5515500000001</v>
      </c>
      <c r="EA11" s="211">
        <v>1939.5515500000001</v>
      </c>
      <c r="EB11" s="211">
        <v>1939.5515500000001</v>
      </c>
      <c r="EC11" s="211">
        <v>1939.5515500000001</v>
      </c>
      <c r="ED11" s="211">
        <v>1939.5515500000001</v>
      </c>
      <c r="EE11" s="211">
        <v>1939.5515500000001</v>
      </c>
      <c r="EF11" s="211">
        <v>1939.5515500000001</v>
      </c>
      <c r="EG11" s="211">
        <v>1939.5515500000001</v>
      </c>
      <c r="EH11" s="211">
        <v>1939.5515500000001</v>
      </c>
      <c r="EI11" s="211">
        <v>1939.5515500000001</v>
      </c>
      <c r="EJ11" s="211">
        <v>1939.5515500000001</v>
      </c>
      <c r="EK11" s="211">
        <v>1939.5515500000001</v>
      </c>
      <c r="EL11" s="211">
        <v>1939.5515500000001</v>
      </c>
      <c r="EM11" s="211">
        <v>1939.5515500000001</v>
      </c>
      <c r="EN11" s="211">
        <v>1939.5515500000001</v>
      </c>
      <c r="EO11" s="211">
        <v>1939.5515500000001</v>
      </c>
      <c r="EP11" s="211">
        <v>1939.5515500000001</v>
      </c>
      <c r="EQ11" s="211">
        <v>1939.5515500000001</v>
      </c>
      <c r="ER11" s="211">
        <v>1939.5515500000001</v>
      </c>
      <c r="ES11" s="211">
        <v>1939.5515500000001</v>
      </c>
      <c r="ET11" s="211">
        <v>1939.5515500000001</v>
      </c>
      <c r="EU11" s="211">
        <v>1939.5515500000001</v>
      </c>
      <c r="EV11" s="211">
        <v>1939.5515500000001</v>
      </c>
      <c r="EW11" s="211">
        <v>1939.5515500000001</v>
      </c>
      <c r="EX11" s="211">
        <v>1939.5515500000001</v>
      </c>
      <c r="EY11" s="211">
        <v>1939.5515500000001</v>
      </c>
      <c r="EZ11" s="211">
        <v>1939.5515500000001</v>
      </c>
      <c r="FA11" s="211">
        <v>1939.5515500000001</v>
      </c>
      <c r="FB11" s="211">
        <v>1939.5515500000001</v>
      </c>
      <c r="FC11" s="211">
        <f>(VLOOKUP("105",'Input BS ACCTS'!$A$5:$DH$1058,110,FALSE)+VLOOKUP("121",'Input BS ACCTS'!$A$5:$DH$1058,110,FALSE))/1000</f>
        <v>1939.5515500000001</v>
      </c>
      <c r="FD11" s="211">
        <f>(VLOOKUP("105",'Input BS ACCTS'!$A$5:$DH$1058,111,FALSE)+VLOOKUP("121",'Input BS ACCTS'!$A$5:$DH$1058,111,FALSE))/1000</f>
        <v>1939.5515500000001</v>
      </c>
      <c r="FE11" s="211">
        <f>(VLOOKUP("105",'Input BS ACCTS'!$A$5:$DH$1058,112,FALSE)+VLOOKUP("121",'Input BS ACCTS'!$A$5:$DH$1058,112,FALSE))/1000</f>
        <v>1939.5515500000001</v>
      </c>
      <c r="FF11" s="403">
        <f t="shared" ref="FF11:FF13" si="21">SUM(ES11:FE11)/13</f>
        <v>1939.5515500000001</v>
      </c>
      <c r="FG11" s="700"/>
      <c r="FH11" s="700"/>
      <c r="IJ11" s="35"/>
      <c r="IK11" s="221"/>
      <c r="IL11" s="191"/>
      <c r="IM11" s="35"/>
      <c r="IN11" s="35"/>
      <c r="IO11" s="35"/>
      <c r="IP11" s="35"/>
      <c r="IQ11" s="35"/>
      <c r="IR11" s="35"/>
      <c r="IS11" s="35"/>
      <c r="IT11" s="35"/>
      <c r="IU11" s="35"/>
      <c r="IV11" s="35"/>
      <c r="IW11" s="35"/>
      <c r="IX11" s="35"/>
      <c r="IY11" s="35"/>
    </row>
    <row r="12" spans="1:259">
      <c r="A12" s="27" t="s">
        <v>4</v>
      </c>
      <c r="B12" s="107">
        <v>21076.176379999997</v>
      </c>
      <c r="C12" s="107">
        <v>11287.265379999999</v>
      </c>
      <c r="D12" s="107">
        <v>9161.8203799999992</v>
      </c>
      <c r="E12" s="107">
        <v>10548.024379999999</v>
      </c>
      <c r="F12" s="107">
        <v>9295.319379999999</v>
      </c>
      <c r="G12" s="107">
        <v>9800.5583799999986</v>
      </c>
      <c r="H12" s="107">
        <v>10084.919379999999</v>
      </c>
      <c r="I12" s="107">
        <v>10471.614379999999</v>
      </c>
      <c r="J12" s="107">
        <v>11469.785379999999</v>
      </c>
      <c r="K12" s="107">
        <v>14346.571379999999</v>
      </c>
      <c r="L12" s="107">
        <v>14754.55438</v>
      </c>
      <c r="M12" s="107">
        <v>13930.481379999999</v>
      </c>
      <c r="N12" s="107">
        <v>17122.969379999999</v>
      </c>
      <c r="O12" s="107">
        <v>18401</v>
      </c>
      <c r="P12" s="107">
        <v>21752</v>
      </c>
      <c r="Q12" s="107">
        <v>19456</v>
      </c>
      <c r="R12" s="107">
        <v>18345</v>
      </c>
      <c r="S12" s="107">
        <v>15773</v>
      </c>
      <c r="T12" s="107">
        <v>14395</v>
      </c>
      <c r="U12" s="107">
        <v>15099</v>
      </c>
      <c r="V12" s="107">
        <v>17152</v>
      </c>
      <c r="W12" s="107">
        <v>17887</v>
      </c>
      <c r="X12" s="107">
        <v>19465</v>
      </c>
      <c r="Y12" s="107">
        <v>19496</v>
      </c>
      <c r="Z12" s="107">
        <v>25203</v>
      </c>
      <c r="AA12" s="107">
        <v>27401</v>
      </c>
      <c r="AB12" s="107">
        <v>25588</v>
      </c>
      <c r="AC12" s="107">
        <v>24120</v>
      </c>
      <c r="AD12" s="107">
        <v>26549</v>
      </c>
      <c r="AE12" s="107">
        <v>25097</v>
      </c>
      <c r="AF12" s="107">
        <v>25159</v>
      </c>
      <c r="AG12" s="107">
        <v>26489</v>
      </c>
      <c r="AH12" s="107">
        <v>29547</v>
      </c>
      <c r="AI12" s="107">
        <v>34896.445709999993</v>
      </c>
      <c r="AJ12" s="107">
        <v>36192.018700000001</v>
      </c>
      <c r="AK12" s="107">
        <v>42253.209869999999</v>
      </c>
      <c r="AL12" s="107">
        <v>48591.969560000005</v>
      </c>
      <c r="AM12" s="187">
        <v>46246.762559999988</v>
      </c>
      <c r="AN12" s="187">
        <v>49331.14754999998</v>
      </c>
      <c r="AO12" s="187">
        <v>53323.410090000005</v>
      </c>
      <c r="AP12" s="187">
        <v>29928.145420000001</v>
      </c>
      <c r="AQ12" s="187">
        <v>29385.077720000001</v>
      </c>
      <c r="AR12" s="187">
        <v>28814.035899999999</v>
      </c>
      <c r="AS12" s="264">
        <v>22570.458589999998</v>
      </c>
      <c r="AT12" s="266">
        <v>25305.156210000001</v>
      </c>
      <c r="AU12" s="187">
        <v>28336.070600000003</v>
      </c>
      <c r="AV12" s="187">
        <v>32151.112209999999</v>
      </c>
      <c r="AW12" s="187">
        <v>31907.974120000003</v>
      </c>
      <c r="AX12" s="187">
        <v>33833.603670000004</v>
      </c>
      <c r="AY12" s="211">
        <v>30459.874319999999</v>
      </c>
      <c r="AZ12" s="211">
        <v>35410.125719999996</v>
      </c>
      <c r="BA12" s="330">
        <v>37999.178799999994</v>
      </c>
      <c r="BB12" s="330">
        <v>35807.420920000004</v>
      </c>
      <c r="BC12" s="330">
        <v>39501.44197</v>
      </c>
      <c r="BD12" s="330">
        <v>40111.903259999999</v>
      </c>
      <c r="BE12" s="330">
        <v>40338.458479999994</v>
      </c>
      <c r="BF12" s="330">
        <v>42218.89746</v>
      </c>
      <c r="BG12" s="211">
        <v>45750.44397</v>
      </c>
      <c r="BH12" s="211">
        <v>40929.057260000001</v>
      </c>
      <c r="BI12" s="211">
        <v>43483.99424</v>
      </c>
      <c r="BJ12" s="211">
        <v>44285.914039999996</v>
      </c>
      <c r="BK12" s="211">
        <v>40392.56151</v>
      </c>
      <c r="BL12" s="211">
        <v>40115.222409999995</v>
      </c>
      <c r="BM12" s="211">
        <v>46635.954680000003</v>
      </c>
      <c r="BN12" s="211">
        <v>46972.143590000007</v>
      </c>
      <c r="BO12" s="211">
        <v>42466.526619999997</v>
      </c>
      <c r="BP12" s="211">
        <v>44747.851289999999</v>
      </c>
      <c r="BQ12" s="211">
        <v>34317.936780000004</v>
      </c>
      <c r="BR12" s="211">
        <v>31350.733390000001</v>
      </c>
      <c r="BS12" s="211">
        <v>23330.873239999997</v>
      </c>
      <c r="BT12" s="211">
        <v>26918.285909999999</v>
      </c>
      <c r="BU12" s="211">
        <v>28581.241000000002</v>
      </c>
      <c r="BV12" s="211">
        <v>27609.368649999997</v>
      </c>
      <c r="BW12" s="211">
        <v>30037.295839999999</v>
      </c>
      <c r="BX12" s="211">
        <v>31116.400140000002</v>
      </c>
      <c r="BY12" s="211">
        <v>32173.444620000002</v>
      </c>
      <c r="BZ12" s="211">
        <v>26347.08584</v>
      </c>
      <c r="CA12" s="211">
        <v>34957.213459999999</v>
      </c>
      <c r="CB12" s="211">
        <v>38950.80947</v>
      </c>
      <c r="CC12" s="211">
        <v>40408.048750000002</v>
      </c>
      <c r="CD12" s="211">
        <v>47638.018750000003</v>
      </c>
      <c r="CE12" s="211">
        <v>31292.455239999999</v>
      </c>
      <c r="CF12" s="211">
        <v>31457.023140000001</v>
      </c>
      <c r="CG12" s="211">
        <v>32878.080419999998</v>
      </c>
      <c r="CH12" s="211">
        <v>39114.341970000001</v>
      </c>
      <c r="CI12" s="211">
        <v>30953.9758</v>
      </c>
      <c r="CJ12" s="211">
        <v>33838.173210000001</v>
      </c>
      <c r="CK12" s="211">
        <v>27484.71487</v>
      </c>
      <c r="CL12" s="211">
        <v>23589.092920000003</v>
      </c>
      <c r="CM12" s="211">
        <v>25860.519969999998</v>
      </c>
      <c r="CN12" s="211">
        <v>22431.305519999998</v>
      </c>
      <c r="CO12" s="211">
        <v>19601.49555</v>
      </c>
      <c r="CP12" s="211">
        <v>22896.68088</v>
      </c>
      <c r="CQ12" s="211">
        <v>23021.023920000003</v>
      </c>
      <c r="CR12" s="211">
        <v>24466.916819999999</v>
      </c>
      <c r="CS12" s="211">
        <v>26444.168329999997</v>
      </c>
      <c r="CT12" s="211">
        <v>19059.484760000003</v>
      </c>
      <c r="CU12" s="211">
        <v>18962.145</v>
      </c>
      <c r="CV12" s="211">
        <v>20898.478719999999</v>
      </c>
      <c r="CW12" s="211">
        <v>22182.235109999998</v>
      </c>
      <c r="CX12" s="211">
        <v>18556.747960000001</v>
      </c>
      <c r="CY12" s="211">
        <v>20715.951399999998</v>
      </c>
      <c r="CZ12" s="211">
        <v>22686.371660000001</v>
      </c>
      <c r="DA12" s="211">
        <v>24764.40857</v>
      </c>
      <c r="DB12" s="211">
        <v>22852.997649999998</v>
      </c>
      <c r="DC12" s="211">
        <v>25749.403039999997</v>
      </c>
      <c r="DD12" s="211">
        <v>27787.37155</v>
      </c>
      <c r="DE12" s="211">
        <v>32937.378980000001</v>
      </c>
      <c r="DF12" s="211">
        <v>42024.779399999999</v>
      </c>
      <c r="DG12" s="211">
        <v>49273.45001</v>
      </c>
      <c r="DH12" s="211">
        <v>40575.117020000005</v>
      </c>
      <c r="DI12" s="211">
        <v>32694.18089</v>
      </c>
      <c r="DJ12" s="211">
        <v>37233.262219999997</v>
      </c>
      <c r="DK12" s="211">
        <v>30935.389950000001</v>
      </c>
      <c r="DL12" s="211">
        <v>31118.917460000001</v>
      </c>
      <c r="DM12" s="211">
        <v>32041.115710000002</v>
      </c>
      <c r="DN12" s="211">
        <v>37503.290119999998</v>
      </c>
      <c r="DO12" s="211">
        <v>39013.136270000003</v>
      </c>
      <c r="DP12" s="211">
        <v>43393.05083</v>
      </c>
      <c r="DQ12" s="211">
        <v>55128.154759999998</v>
      </c>
      <c r="DR12" s="211">
        <v>55798.695200000002</v>
      </c>
      <c r="DS12" s="211">
        <v>62985.742700000003</v>
      </c>
      <c r="DT12" s="211">
        <v>59495.069459999999</v>
      </c>
      <c r="DU12" s="211">
        <v>71222.206430000006</v>
      </c>
      <c r="DV12" s="211">
        <v>87383.269209999999</v>
      </c>
      <c r="DW12" s="211">
        <v>89788.572590000011</v>
      </c>
      <c r="DX12" s="211">
        <v>92714.028870000009</v>
      </c>
      <c r="DY12" s="211">
        <v>105186.28393000001</v>
      </c>
      <c r="DZ12" s="211">
        <v>119487.89845000001</v>
      </c>
      <c r="EA12" s="211">
        <v>129123.89542</v>
      </c>
      <c r="EB12" s="211">
        <v>142981.95392</v>
      </c>
      <c r="EC12" s="211">
        <v>160185.91000999999</v>
      </c>
      <c r="ED12" s="211">
        <v>169862.75434000001</v>
      </c>
      <c r="EE12" s="211">
        <v>123028.33882999999</v>
      </c>
      <c r="EF12" s="211">
        <v>131449.52866000001</v>
      </c>
      <c r="EG12" s="211">
        <v>140807.87794999999</v>
      </c>
      <c r="EH12" s="211">
        <v>142689.49903000001</v>
      </c>
      <c r="EI12" s="211">
        <v>158270.83991000001</v>
      </c>
      <c r="EJ12" s="211">
        <v>168655.14324999999</v>
      </c>
      <c r="EK12" s="211">
        <v>116700.53018999999</v>
      </c>
      <c r="EL12" s="211">
        <v>118593.70979000001</v>
      </c>
      <c r="EM12" s="211">
        <v>130442.94962</v>
      </c>
      <c r="EN12" s="211">
        <v>145786.05718999999</v>
      </c>
      <c r="EO12" s="211">
        <v>159472.17224000001</v>
      </c>
      <c r="EP12" s="211">
        <v>174423.90746000002</v>
      </c>
      <c r="EQ12" s="211">
        <v>191413.44262000002</v>
      </c>
      <c r="ER12" s="211">
        <v>142092.42580000003</v>
      </c>
      <c r="ES12" s="211">
        <v>147483.84961</v>
      </c>
      <c r="ET12" s="211">
        <v>158111.22904000001</v>
      </c>
      <c r="EU12" s="211">
        <v>162199.57815000002</v>
      </c>
      <c r="EV12" s="211">
        <v>174470.93997000001</v>
      </c>
      <c r="EW12" s="211">
        <v>184225.6269</v>
      </c>
      <c r="EX12" s="211">
        <v>188333.22303999998</v>
      </c>
      <c r="EY12" s="211">
        <v>201983.44096000001</v>
      </c>
      <c r="EZ12" s="211">
        <v>212538.81599</v>
      </c>
      <c r="FA12" s="211">
        <v>225280.63212999998</v>
      </c>
      <c r="FB12" s="211">
        <v>235379.56007000001</v>
      </c>
      <c r="FC12" s="211">
        <f>(VLOOKUP("107",'Input BS ACCTS'!$A$5:$DH$1058,110,FALSE))/1000</f>
        <v>200850.23599000002</v>
      </c>
      <c r="FD12" s="211">
        <f>(VLOOKUP("107",'Input BS ACCTS'!$A$5:$DH$1058,111,FALSE))/1000</f>
        <v>210666.56054000001</v>
      </c>
      <c r="FE12" s="211">
        <f>(VLOOKUP("107",'Input BS ACCTS'!$A$5:$DH$1058,112,FALSE))/1000</f>
        <v>246108.95169999998</v>
      </c>
      <c r="FF12" s="403">
        <f t="shared" si="21"/>
        <v>195971.74185307694</v>
      </c>
      <c r="FG12" s="700"/>
      <c r="FH12" s="700"/>
      <c r="IJ12" s="35"/>
      <c r="IK12" s="221"/>
      <c r="IL12" s="191"/>
      <c r="IM12" s="35"/>
      <c r="IN12" s="35"/>
      <c r="IO12" s="35"/>
      <c r="IP12" s="35"/>
      <c r="IQ12" s="35"/>
      <c r="IR12" s="35"/>
      <c r="IS12" s="35"/>
      <c r="IT12" s="35"/>
      <c r="IU12" s="35"/>
      <c r="IV12" s="35"/>
      <c r="IW12" s="35"/>
      <c r="IX12" s="35"/>
      <c r="IY12" s="35"/>
    </row>
    <row r="13" spans="1:259">
      <c r="A13" s="27" t="s">
        <v>220</v>
      </c>
      <c r="B13" s="110">
        <v>5248.6708699999999</v>
      </c>
      <c r="C13" s="110">
        <v>5248.6708699999999</v>
      </c>
      <c r="D13" s="110">
        <v>5248.6708699999999</v>
      </c>
      <c r="E13" s="110">
        <v>5248.6708699999999</v>
      </c>
      <c r="F13" s="110">
        <v>5248.6708699999999</v>
      </c>
      <c r="G13" s="110">
        <v>5248.6708699999999</v>
      </c>
      <c r="H13" s="110">
        <v>5248.6708699999999</v>
      </c>
      <c r="I13" s="110">
        <v>5248.6708699999999</v>
      </c>
      <c r="J13" s="110">
        <v>5248.6708699999999</v>
      </c>
      <c r="K13" s="110">
        <v>5248.6708699999999</v>
      </c>
      <c r="L13" s="110">
        <v>5248.6708699999999</v>
      </c>
      <c r="M13" s="110">
        <v>5248.6708699999999</v>
      </c>
      <c r="N13" s="110">
        <v>5248.6708699999999</v>
      </c>
      <c r="O13" s="110">
        <v>5249</v>
      </c>
      <c r="P13" s="110">
        <v>5249</v>
      </c>
      <c r="Q13" s="110">
        <v>5249</v>
      </c>
      <c r="R13" s="110">
        <v>5249</v>
      </c>
      <c r="S13" s="110">
        <v>5249</v>
      </c>
      <c r="T13" s="110">
        <v>5249</v>
      </c>
      <c r="U13" s="110">
        <v>5249</v>
      </c>
      <c r="V13" s="110">
        <v>5032</v>
      </c>
      <c r="W13" s="110">
        <v>5032</v>
      </c>
      <c r="X13" s="110">
        <v>5032</v>
      </c>
      <c r="Y13" s="110">
        <v>5032</v>
      </c>
      <c r="Z13" s="110">
        <v>5032</v>
      </c>
      <c r="AA13" s="110">
        <v>5032</v>
      </c>
      <c r="AB13" s="110">
        <v>5032</v>
      </c>
      <c r="AC13" s="110">
        <v>5031.8969999999999</v>
      </c>
      <c r="AD13" s="110">
        <v>5031.8969999999999</v>
      </c>
      <c r="AE13" s="110">
        <v>5032</v>
      </c>
      <c r="AF13" s="110">
        <v>5032</v>
      </c>
      <c r="AG13" s="110">
        <v>5032</v>
      </c>
      <c r="AH13" s="110">
        <v>5032</v>
      </c>
      <c r="AI13" s="110">
        <v>5031.8972399999984</v>
      </c>
      <c r="AJ13" s="110">
        <v>5031.8972400000002</v>
      </c>
      <c r="AK13" s="110">
        <v>5031.8972400000002</v>
      </c>
      <c r="AL13" s="110">
        <v>5031.8972400000002</v>
      </c>
      <c r="AM13" s="205">
        <v>5031.8972399999984</v>
      </c>
      <c r="AN13" s="205">
        <v>5031.8972399999984</v>
      </c>
      <c r="AO13" s="205">
        <v>5031.8972400000002</v>
      </c>
      <c r="AP13" s="205">
        <v>5031.8972399999984</v>
      </c>
      <c r="AQ13" s="205">
        <v>5031.8972399999984</v>
      </c>
      <c r="AR13" s="205">
        <v>5031.8972400000002</v>
      </c>
      <c r="AS13" s="265">
        <v>5031.8972400000002</v>
      </c>
      <c r="AT13" s="267">
        <v>5031.8972400000002</v>
      </c>
      <c r="AU13" s="205">
        <v>5031.8972400000002</v>
      </c>
      <c r="AV13" s="205">
        <v>5031.8972400000002</v>
      </c>
      <c r="AW13" s="205">
        <v>5031.8972400000002</v>
      </c>
      <c r="AX13" s="205">
        <v>5031.8972400000002</v>
      </c>
      <c r="AY13" s="212">
        <v>5031.8972400000002</v>
      </c>
      <c r="AZ13" s="212">
        <v>5031.8972400000002</v>
      </c>
      <c r="BA13" s="347">
        <v>5031.8972400000002</v>
      </c>
      <c r="BB13" s="347">
        <v>5031.8972400000002</v>
      </c>
      <c r="BC13" s="347">
        <v>5031.8972400000002</v>
      </c>
      <c r="BD13" s="347">
        <v>5031.8972400000002</v>
      </c>
      <c r="BE13" s="347">
        <v>5031.8972400000002</v>
      </c>
      <c r="BF13" s="347">
        <v>5031.8972400000002</v>
      </c>
      <c r="BG13" s="212">
        <v>5031.8972400000002</v>
      </c>
      <c r="BH13" s="212">
        <v>5031.8972400000002</v>
      </c>
      <c r="BI13" s="212">
        <v>5031.8972400000002</v>
      </c>
      <c r="BJ13" s="212">
        <v>5031.8972400000002</v>
      </c>
      <c r="BK13" s="212">
        <v>5031.8972400000002</v>
      </c>
      <c r="BL13" s="212">
        <v>5031.8972400000002</v>
      </c>
      <c r="BM13" s="212">
        <v>5031.8972400000002</v>
      </c>
      <c r="BN13" s="212">
        <v>5031.8972400000002</v>
      </c>
      <c r="BO13" s="212">
        <v>5031.8972400000002</v>
      </c>
      <c r="BP13" s="212">
        <v>5031.8972400000002</v>
      </c>
      <c r="BQ13" s="212">
        <v>5031.8972400000002</v>
      </c>
      <c r="BR13" s="212">
        <v>5031.8972400000002</v>
      </c>
      <c r="BS13" s="212">
        <v>5031.8972400000002</v>
      </c>
      <c r="BT13" s="212">
        <v>5031.8972400000002</v>
      </c>
      <c r="BU13" s="212">
        <v>5031.8972400000002</v>
      </c>
      <c r="BV13" s="212">
        <v>5031.8972400000002</v>
      </c>
      <c r="BW13" s="212">
        <v>5031.8972400000002</v>
      </c>
      <c r="BX13" s="212">
        <v>5031.8972400000002</v>
      </c>
      <c r="BY13" s="212">
        <v>5031.8972400000002</v>
      </c>
      <c r="BZ13" s="212">
        <v>5031.8972400000002</v>
      </c>
      <c r="CA13" s="212">
        <v>5031.8972400000002</v>
      </c>
      <c r="CB13" s="212">
        <v>5031.8972400000002</v>
      </c>
      <c r="CC13" s="212">
        <v>5031.8972400000002</v>
      </c>
      <c r="CD13" s="212">
        <v>5031.8972400000002</v>
      </c>
      <c r="CE13" s="212">
        <v>5031.8972400000002</v>
      </c>
      <c r="CF13" s="212">
        <v>5031.8972400000002</v>
      </c>
      <c r="CG13" s="212">
        <v>5031.8972400000002</v>
      </c>
      <c r="CH13" s="212">
        <v>5031.8972400000002</v>
      </c>
      <c r="CI13" s="212">
        <v>5031.8972400000002</v>
      </c>
      <c r="CJ13" s="212">
        <v>5031.8972400000002</v>
      </c>
      <c r="CK13" s="212">
        <v>5031.8972400000002</v>
      </c>
      <c r="CL13" s="212">
        <v>5031.8972400000002</v>
      </c>
      <c r="CM13" s="212">
        <v>5031.8972400000002</v>
      </c>
      <c r="CN13" s="212">
        <v>5031.8972400000002</v>
      </c>
      <c r="CO13" s="212">
        <v>5031.8972400000002</v>
      </c>
      <c r="CP13" s="212">
        <v>5031.8972400000002</v>
      </c>
      <c r="CQ13" s="212">
        <v>5031.8972400000002</v>
      </c>
      <c r="CR13" s="212">
        <v>5031.8972400000002</v>
      </c>
      <c r="CS13" s="212">
        <v>5031.8972400000002</v>
      </c>
      <c r="CT13" s="212">
        <v>5031.8972400000002</v>
      </c>
      <c r="CU13" s="212">
        <v>5031.8972400000002</v>
      </c>
      <c r="CV13" s="212">
        <v>5031.8972400000002</v>
      </c>
      <c r="CW13" s="212">
        <v>5031.8972400000002</v>
      </c>
      <c r="CX13" s="212">
        <v>5031.8972400000002</v>
      </c>
      <c r="CY13" s="212">
        <v>5031.8972400000002</v>
      </c>
      <c r="CZ13" s="212">
        <v>5031.8972400000002</v>
      </c>
      <c r="DA13" s="212">
        <v>5031.8972400000002</v>
      </c>
      <c r="DB13" s="212">
        <v>5031.8972400000002</v>
      </c>
      <c r="DC13" s="212">
        <v>5031.8972400000002</v>
      </c>
      <c r="DD13" s="212">
        <v>5031.8972400000002</v>
      </c>
      <c r="DE13" s="212">
        <v>5031.8972400000002</v>
      </c>
      <c r="DF13" s="212">
        <v>5031.8972400000002</v>
      </c>
      <c r="DG13" s="212">
        <v>5031.8972400000002</v>
      </c>
      <c r="DH13" s="212">
        <v>5031.8972400000002</v>
      </c>
      <c r="DI13" s="212">
        <v>5031.8972400000002</v>
      </c>
      <c r="DJ13" s="212">
        <v>5031.8972400000002</v>
      </c>
      <c r="DK13" s="212">
        <v>5031.8972400000002</v>
      </c>
      <c r="DL13" s="212">
        <v>5031.8972400000002</v>
      </c>
      <c r="DM13" s="212">
        <v>5031.8972400000002</v>
      </c>
      <c r="DN13" s="212">
        <v>5031.8972400000002</v>
      </c>
      <c r="DO13" s="212">
        <v>5031.8972400000002</v>
      </c>
      <c r="DP13" s="212">
        <v>5031.8972400000002</v>
      </c>
      <c r="DQ13" s="212">
        <v>5031.8972400000002</v>
      </c>
      <c r="DR13" s="212">
        <v>5031.8972400000002</v>
      </c>
      <c r="DS13" s="212">
        <v>5031.8972400000002</v>
      </c>
      <c r="DT13" s="212">
        <v>5031.8972400000002</v>
      </c>
      <c r="DU13" s="212">
        <v>5031.8972400000002</v>
      </c>
      <c r="DV13" s="212">
        <v>5031.8972400000002</v>
      </c>
      <c r="DW13" s="212">
        <v>5031.8972400000002</v>
      </c>
      <c r="DX13" s="212">
        <v>5031.8972400000002</v>
      </c>
      <c r="DY13" s="212">
        <v>5031.8972400000002</v>
      </c>
      <c r="DZ13" s="212">
        <v>5031.8972400000002</v>
      </c>
      <c r="EA13" s="212">
        <v>5031.8972400000002</v>
      </c>
      <c r="EB13" s="212">
        <v>5031.8972400000002</v>
      </c>
      <c r="EC13" s="212">
        <v>5031.8972400000002</v>
      </c>
      <c r="ED13" s="212">
        <v>5031.8972400000002</v>
      </c>
      <c r="EE13" s="212">
        <v>5031.8972400000002</v>
      </c>
      <c r="EF13" s="212">
        <v>5031.8972400000002</v>
      </c>
      <c r="EG13" s="212">
        <v>5031.8972400000002</v>
      </c>
      <c r="EH13" s="212">
        <v>5031.8972400000002</v>
      </c>
      <c r="EI13" s="212">
        <v>5031.8972400000002</v>
      </c>
      <c r="EJ13" s="212">
        <v>5031.8972400000002</v>
      </c>
      <c r="EK13" s="212">
        <v>5031.8972400000002</v>
      </c>
      <c r="EL13" s="212">
        <v>5031.8972400000002</v>
      </c>
      <c r="EM13" s="212">
        <v>5031.8972400000002</v>
      </c>
      <c r="EN13" s="212">
        <v>5031.8972400000002</v>
      </c>
      <c r="EO13" s="212">
        <v>5031.8972400000002</v>
      </c>
      <c r="EP13" s="212">
        <v>5031.8972400000002</v>
      </c>
      <c r="EQ13" s="212">
        <v>5031.8972400000002</v>
      </c>
      <c r="ER13" s="212">
        <v>5031.8972400000002</v>
      </c>
      <c r="ES13" s="212">
        <v>5031.8972400000002</v>
      </c>
      <c r="ET13" s="212">
        <v>5031.8972400000002</v>
      </c>
      <c r="EU13" s="212">
        <v>5031.8972400000002</v>
      </c>
      <c r="EV13" s="212">
        <v>5031.8972400000002</v>
      </c>
      <c r="EW13" s="212">
        <v>5031.8972400000002</v>
      </c>
      <c r="EX13" s="212">
        <v>5031.8972400000002</v>
      </c>
      <c r="EY13" s="212">
        <v>5031.8972400000002</v>
      </c>
      <c r="EZ13" s="212">
        <v>5031.8972400000002</v>
      </c>
      <c r="FA13" s="212">
        <v>5031.8972400000002</v>
      </c>
      <c r="FB13" s="212">
        <v>5031.8972400000002</v>
      </c>
      <c r="FC13" s="212">
        <f>(VLOOKUP("114",'Input BS ACCTS'!$A$5:$DH$1058,110,FALSE))/1000</f>
        <v>5031.8972400000002</v>
      </c>
      <c r="FD13" s="212">
        <f>(VLOOKUP("114",'Input BS ACCTS'!$A$5:$DH$1058,111,FALSE))/1000</f>
        <v>5031.8972400000002</v>
      </c>
      <c r="FE13" s="212">
        <f>(VLOOKUP("114",'Input BS ACCTS'!$A$5:$DH$1058,112,FALSE))/1000</f>
        <v>5031.8972400000002</v>
      </c>
      <c r="FF13" s="403">
        <f t="shared" si="21"/>
        <v>5031.8972399999993</v>
      </c>
      <c r="FG13" s="700"/>
      <c r="FH13" s="700"/>
      <c r="IJ13" s="35"/>
      <c r="IK13" s="221"/>
      <c r="IL13" s="191"/>
      <c r="IM13" s="35"/>
      <c r="IN13" s="35"/>
      <c r="IO13" s="35"/>
      <c r="IP13" s="35"/>
      <c r="IQ13" s="35"/>
      <c r="IR13" s="35"/>
      <c r="IS13" s="35"/>
      <c r="IT13" s="35"/>
      <c r="IU13" s="35"/>
      <c r="IV13" s="35"/>
      <c r="IW13" s="35"/>
      <c r="IX13" s="35"/>
      <c r="IY13" s="35"/>
    </row>
    <row r="14" spans="1:259">
      <c r="A14" s="29" t="s">
        <v>221</v>
      </c>
      <c r="B14" s="111">
        <v>1026937.28331</v>
      </c>
      <c r="C14" s="111">
        <v>1028824.10531</v>
      </c>
      <c r="D14" s="111">
        <v>1031853.6653100001</v>
      </c>
      <c r="E14" s="111">
        <v>1027960.84031</v>
      </c>
      <c r="F14" s="111">
        <v>1029579.44431</v>
      </c>
      <c r="G14" s="111">
        <v>1032259.87631</v>
      </c>
      <c r="H14" s="111">
        <v>1034961.35931</v>
      </c>
      <c r="I14" s="111">
        <v>1037691.68131</v>
      </c>
      <c r="J14" s="111">
        <v>1040950.06331</v>
      </c>
      <c r="K14" s="111">
        <v>1045090.63631</v>
      </c>
      <c r="L14" s="111">
        <v>1048639.91331</v>
      </c>
      <c r="M14" s="111">
        <v>1053039.76831</v>
      </c>
      <c r="N14" s="111">
        <v>1058386.91631</v>
      </c>
      <c r="O14" s="111">
        <v>1063060</v>
      </c>
      <c r="P14" s="111">
        <v>1070377</v>
      </c>
      <c r="Q14" s="111">
        <v>1080253</v>
      </c>
      <c r="R14" s="111">
        <v>1081421</v>
      </c>
      <c r="S14" s="111">
        <v>1085449</v>
      </c>
      <c r="T14" s="111">
        <v>1089927</v>
      </c>
      <c r="U14" s="111">
        <v>1093749</v>
      </c>
      <c r="V14" s="111">
        <v>1096661</v>
      </c>
      <c r="W14" s="111">
        <v>1097911</v>
      </c>
      <c r="X14" s="111">
        <v>1102218</v>
      </c>
      <c r="Y14" s="111">
        <v>1107153</v>
      </c>
      <c r="Z14" s="111">
        <v>1115301</v>
      </c>
      <c r="AA14" s="111">
        <v>1121849</v>
      </c>
      <c r="AB14" s="111">
        <v>1126971</v>
      </c>
      <c r="AC14" s="111">
        <v>1137887.1440000001</v>
      </c>
      <c r="AD14" s="111">
        <v>1141890.8970000001</v>
      </c>
      <c r="AE14" s="111">
        <v>1147032</v>
      </c>
      <c r="AF14" s="111">
        <v>1153676</v>
      </c>
      <c r="AG14" s="111">
        <v>1159145</v>
      </c>
      <c r="AH14" s="111">
        <v>1164970</v>
      </c>
      <c r="AI14" s="111">
        <v>1175932.50113</v>
      </c>
      <c r="AJ14" s="111">
        <v>1181270.15808</v>
      </c>
      <c r="AK14" s="111">
        <v>1195556.37959</v>
      </c>
      <c r="AL14" s="111">
        <v>1207491.5663200002</v>
      </c>
      <c r="AM14" s="111">
        <v>1214704.7431099999</v>
      </c>
      <c r="AN14" s="111">
        <v>1219209.0996299996</v>
      </c>
      <c r="AO14" s="111">
        <v>1224417.2281299999</v>
      </c>
      <c r="AP14" s="111">
        <v>1226884.0175699999</v>
      </c>
      <c r="AQ14" s="111">
        <v>1229359.2431999999</v>
      </c>
      <c r="AR14" s="111">
        <v>1232058.7360000003</v>
      </c>
      <c r="AS14" s="111">
        <v>1236386.29672</v>
      </c>
      <c r="AT14" s="111">
        <v>1241621.0205399999</v>
      </c>
      <c r="AU14" s="111">
        <v>1246426.11858</v>
      </c>
      <c r="AV14" s="111">
        <v>1251249.8989800001</v>
      </c>
      <c r="AW14" s="111">
        <v>1256547.4691399999</v>
      </c>
      <c r="AX14" s="111">
        <v>1261006.1039300002</v>
      </c>
      <c r="AY14" s="111">
        <v>1267520.51697</v>
      </c>
      <c r="AZ14" s="111">
        <v>1275597.75615</v>
      </c>
      <c r="BA14" s="111">
        <v>1288562.5670200002</v>
      </c>
      <c r="BB14" s="111">
        <v>1283931.1137399999</v>
      </c>
      <c r="BC14" s="111">
        <v>1289665.2435300001</v>
      </c>
      <c r="BD14" s="111">
        <v>1295756.4284300001</v>
      </c>
      <c r="BE14" s="111">
        <v>1302066.58748</v>
      </c>
      <c r="BF14" s="111">
        <v>1307331.0211199999</v>
      </c>
      <c r="BG14" s="111">
        <v>1313461.2452700001</v>
      </c>
      <c r="BH14" s="111">
        <v>1319478.1062699999</v>
      </c>
      <c r="BI14" s="111">
        <v>1326770.1752099998</v>
      </c>
      <c r="BJ14" s="111">
        <v>1333062.02569</v>
      </c>
      <c r="BK14" s="111">
        <v>1338883.4197799999</v>
      </c>
      <c r="BL14" s="111">
        <v>1344437.6809899998</v>
      </c>
      <c r="BM14" s="111">
        <v>1357585.5423100002</v>
      </c>
      <c r="BN14" s="111">
        <v>1362831.4686300003</v>
      </c>
      <c r="BO14" s="111">
        <v>1359096.1641800001</v>
      </c>
      <c r="BP14" s="111">
        <v>1365473.1906900001</v>
      </c>
      <c r="BQ14" s="111">
        <v>1370613.5844800004</v>
      </c>
      <c r="BR14" s="111">
        <v>1375519.7995300002</v>
      </c>
      <c r="BS14" s="111">
        <v>1383363.2378600002</v>
      </c>
      <c r="BT14" s="111">
        <v>1390509.6900400002</v>
      </c>
      <c r="BU14" s="111">
        <v>1395923.8118699999</v>
      </c>
      <c r="BV14" s="111">
        <v>1402128.2705999999</v>
      </c>
      <c r="BW14" s="111">
        <v>1410205.3669600002</v>
      </c>
      <c r="BX14" s="111">
        <v>1419839.96157</v>
      </c>
      <c r="BY14" s="111">
        <v>1431392.8888100001</v>
      </c>
      <c r="BZ14" s="111">
        <v>1435735.2522100001</v>
      </c>
      <c r="CA14" s="111">
        <v>1449570.0784700001</v>
      </c>
      <c r="CB14" s="111">
        <v>1458812.5642300001</v>
      </c>
      <c r="CC14" s="111">
        <v>1466319.03202</v>
      </c>
      <c r="CD14" s="111">
        <v>1477112.7758300002</v>
      </c>
      <c r="CE14" s="111">
        <v>1486677.3362900002</v>
      </c>
      <c r="CF14" s="111">
        <v>1494871.58727</v>
      </c>
      <c r="CG14" s="111">
        <v>1503350.1089600001</v>
      </c>
      <c r="CH14" s="111">
        <v>1513652.6976099999</v>
      </c>
      <c r="CI14" s="111">
        <v>1522482.9567399998</v>
      </c>
      <c r="CJ14" s="111">
        <v>1532649.9186299997</v>
      </c>
      <c r="CK14" s="111">
        <v>1541891.8721100001</v>
      </c>
      <c r="CL14" s="111">
        <f t="shared" ref="CL14:CW14" si="22">SUM(CL10:CL13)</f>
        <v>1547039.93777</v>
      </c>
      <c r="CM14" s="111">
        <f t="shared" si="22"/>
        <v>1555314.5668800001</v>
      </c>
      <c r="CN14" s="111">
        <f t="shared" si="22"/>
        <v>1562326.4825899999</v>
      </c>
      <c r="CO14" s="111">
        <f t="shared" si="22"/>
        <v>1565058.7066100002</v>
      </c>
      <c r="CP14" s="111">
        <f t="shared" si="22"/>
        <v>1574343.9445200001</v>
      </c>
      <c r="CQ14" s="111">
        <f t="shared" si="22"/>
        <v>1580978.56629</v>
      </c>
      <c r="CR14" s="111">
        <f t="shared" si="22"/>
        <v>1589649.7340800001</v>
      </c>
      <c r="CS14" s="111">
        <f t="shared" si="22"/>
        <v>1602131.4009400003</v>
      </c>
      <c r="CT14" s="111">
        <f t="shared" si="22"/>
        <v>1610004.64647</v>
      </c>
      <c r="CU14" s="111">
        <f t="shared" si="22"/>
        <v>1620823.0007100001</v>
      </c>
      <c r="CV14" s="111">
        <f t="shared" si="22"/>
        <v>1630616.9033300004</v>
      </c>
      <c r="CW14" s="111">
        <f t="shared" si="22"/>
        <v>1642305.3308700002</v>
      </c>
      <c r="CX14" s="111">
        <f t="shared" ref="CX14:DC14" si="23">SUM(CX10:CX13)</f>
        <v>1651564.8774299999</v>
      </c>
      <c r="CY14" s="111">
        <f t="shared" si="23"/>
        <v>1660709.9010099999</v>
      </c>
      <c r="CZ14" s="111">
        <f t="shared" si="23"/>
        <v>1674622.33947</v>
      </c>
      <c r="DA14" s="111">
        <f t="shared" si="23"/>
        <v>1683820.18921</v>
      </c>
      <c r="DB14" s="111">
        <f t="shared" si="23"/>
        <v>1698122.9882400001</v>
      </c>
      <c r="DC14" s="111">
        <f t="shared" si="23"/>
        <v>1708546.2641799999</v>
      </c>
      <c r="DD14" s="111">
        <f t="shared" ref="DD14:DI14" si="24">SUM(DD10:DD13)</f>
        <v>1719087.9202000003</v>
      </c>
      <c r="DE14" s="111">
        <f t="shared" si="24"/>
        <v>1734110.86427</v>
      </c>
      <c r="DF14" s="111">
        <f t="shared" si="24"/>
        <v>1750083.2228699999</v>
      </c>
      <c r="DG14" s="111">
        <f t="shared" si="24"/>
        <v>1768567.7643000002</v>
      </c>
      <c r="DH14" s="111">
        <f t="shared" si="24"/>
        <v>1786300.82427</v>
      </c>
      <c r="DI14" s="111">
        <f t="shared" si="24"/>
        <v>1801731.53874</v>
      </c>
      <c r="DJ14" s="111">
        <f t="shared" ref="DJ14:DP14" si="25">SUM(DJ10:DJ13)</f>
        <v>1818259.9968599998</v>
      </c>
      <c r="DK14" s="111">
        <f t="shared" si="25"/>
        <v>1830679.35586</v>
      </c>
      <c r="DL14" s="111">
        <f t="shared" si="25"/>
        <v>1847275.2671000001</v>
      </c>
      <c r="DM14" s="111">
        <f t="shared" si="25"/>
        <v>1860286.55213</v>
      </c>
      <c r="DN14" s="111">
        <f t="shared" si="25"/>
        <v>1878913.7413000001</v>
      </c>
      <c r="DO14" s="111">
        <f t="shared" si="25"/>
        <v>1896068.2823699999</v>
      </c>
      <c r="DP14" s="111">
        <f t="shared" si="25"/>
        <v>1912633.27296</v>
      </c>
      <c r="DQ14" s="111">
        <f>SUM(DQ10:DQ13)</f>
        <v>1932825.65637</v>
      </c>
      <c r="DR14" s="111">
        <f>SUM(DR10:DR13)</f>
        <v>1952528.4725200001</v>
      </c>
      <c r="DS14" s="111">
        <f>SUM(DS10:DS13)</f>
        <v>1970722.2340800001</v>
      </c>
      <c r="DT14" s="111">
        <f>SUM(DT10:DT13)</f>
        <v>1990921.65277</v>
      </c>
      <c r="DU14" s="111">
        <f>SUM(DU10:DU13)</f>
        <v>2019069.1981899999</v>
      </c>
      <c r="DV14" s="111">
        <f t="shared" ref="DV14:EA14" si="26">SUM(DV10:DV13)</f>
        <v>2044594.2880700002</v>
      </c>
      <c r="DW14" s="111">
        <f t="shared" si="26"/>
        <v>2061311.3868500001</v>
      </c>
      <c r="DX14" s="111">
        <f t="shared" si="26"/>
        <v>2082557.8004400001</v>
      </c>
      <c r="DY14" s="111">
        <f t="shared" si="26"/>
        <v>2108169.9550199998</v>
      </c>
      <c r="DZ14" s="111">
        <f t="shared" si="26"/>
        <v>2134687.2114499998</v>
      </c>
      <c r="EA14" s="111">
        <f t="shared" si="26"/>
        <v>2158898.7934300001</v>
      </c>
      <c r="EB14" s="111">
        <f t="shared" ref="EB14:EG14" si="27">SUM(EB10:EB13)</f>
        <v>2183819.0483200001</v>
      </c>
      <c r="EC14" s="111">
        <f t="shared" si="27"/>
        <v>2220714.0507699996</v>
      </c>
      <c r="ED14" s="111">
        <f t="shared" si="27"/>
        <v>2246457.1375600002</v>
      </c>
      <c r="EE14" s="111">
        <f t="shared" si="27"/>
        <v>2277906.7798099997</v>
      </c>
      <c r="EF14" s="111">
        <f t="shared" si="27"/>
        <v>2306990.5587099995</v>
      </c>
      <c r="EG14" s="111">
        <f t="shared" si="27"/>
        <v>2338045.4230499999</v>
      </c>
      <c r="EH14" s="111">
        <f t="shared" ref="EH14:EM14" si="28">SUM(EH10:EH13)</f>
        <v>2360301.8094599997</v>
      </c>
      <c r="EI14" s="111">
        <f t="shared" si="28"/>
        <v>2383505.4879799997</v>
      </c>
      <c r="EJ14" s="111">
        <f t="shared" si="28"/>
        <v>2413161.8502100003</v>
      </c>
      <c r="EK14" s="111">
        <f t="shared" si="28"/>
        <v>2436130.6480799997</v>
      </c>
      <c r="EL14" s="111">
        <f t="shared" si="28"/>
        <v>2452424.6665499997</v>
      </c>
      <c r="EM14" s="111">
        <f t="shared" si="28"/>
        <v>2476721.0053999997</v>
      </c>
      <c r="EN14" s="111">
        <f t="shared" ref="EN14:FF14" si="29">SUM(EN10:EN13)</f>
        <v>2502040.1149299997</v>
      </c>
      <c r="EO14" s="111">
        <f t="shared" si="29"/>
        <v>2526866.8972399998</v>
      </c>
      <c r="EP14" s="111">
        <f t="shared" si="29"/>
        <v>2551861.4993199995</v>
      </c>
      <c r="EQ14" s="111">
        <f t="shared" si="29"/>
        <v>2579506.8021</v>
      </c>
      <c r="ER14" s="111">
        <f t="shared" si="29"/>
        <v>2604456.0842099995</v>
      </c>
      <c r="ES14" s="111">
        <f t="shared" si="29"/>
        <v>2633171.2525999998</v>
      </c>
      <c r="ET14" s="111">
        <f t="shared" ref="ET14:EV14" si="30">SUM(ET10:ET13)</f>
        <v>2655746.9627399999</v>
      </c>
      <c r="EU14" s="111">
        <f t="shared" si="30"/>
        <v>2679539.2091699997</v>
      </c>
      <c r="EV14" s="111">
        <f t="shared" si="30"/>
        <v>2701637.9222499998</v>
      </c>
      <c r="EW14" s="111">
        <f t="shared" ref="EW14:EY14" si="31">SUM(EW10:EW13)</f>
        <v>2729040.2316200002</v>
      </c>
      <c r="EX14" s="111">
        <f t="shared" si="31"/>
        <v>2753575.2819300001</v>
      </c>
      <c r="EY14" s="111">
        <f t="shared" si="31"/>
        <v>2782845.9649299993</v>
      </c>
      <c r="EZ14" s="111">
        <f t="shared" ref="EZ14:FB14" si="32">SUM(EZ10:EZ13)</f>
        <v>2797058.6332899998</v>
      </c>
      <c r="FA14" s="111">
        <f t="shared" si="32"/>
        <v>2825426.1511199996</v>
      </c>
      <c r="FB14" s="111">
        <f t="shared" si="32"/>
        <v>2846948.7809299999</v>
      </c>
      <c r="FC14" s="111">
        <f t="shared" ref="FC14:FE14" si="33">SUM(FC10:FC13)</f>
        <v>2868470.2554999995</v>
      </c>
      <c r="FD14" s="111">
        <f t="shared" si="33"/>
        <v>2890938.83923</v>
      </c>
      <c r="FE14" s="111">
        <f t="shared" si="33"/>
        <v>2933850.6982799997</v>
      </c>
      <c r="FF14" s="360">
        <f t="shared" si="29"/>
        <v>2776788.4756607688</v>
      </c>
      <c r="FG14" s="111"/>
      <c r="FH14" s="111"/>
      <c r="IJ14" s="35"/>
      <c r="IK14" s="220"/>
      <c r="IL14" s="191"/>
      <c r="IM14" s="35"/>
      <c r="IN14" s="35"/>
      <c r="IO14" s="35"/>
      <c r="IP14" s="35"/>
      <c r="IQ14" s="35"/>
      <c r="IR14" s="35"/>
      <c r="IS14" s="35"/>
      <c r="IT14" s="35"/>
      <c r="IU14" s="35"/>
      <c r="IV14" s="35"/>
      <c r="IW14" s="35"/>
      <c r="IX14" s="35"/>
      <c r="IY14" s="35"/>
    </row>
    <row r="15" spans="1:259">
      <c r="A15" s="27" t="s">
        <v>418</v>
      </c>
      <c r="B15" s="110">
        <v>-435716.70876000001</v>
      </c>
      <c r="C15" s="110">
        <v>-438829.28976000001</v>
      </c>
      <c r="D15" s="110">
        <v>-441799.95976</v>
      </c>
      <c r="E15" s="110">
        <v>-439954.39075999998</v>
      </c>
      <c r="F15" s="110">
        <v>-443228.07776000001</v>
      </c>
      <c r="G15" s="110">
        <v>-446424.49776</v>
      </c>
      <c r="H15" s="110">
        <v>-449890.69776000001</v>
      </c>
      <c r="I15" s="110">
        <v>-452931.21175999998</v>
      </c>
      <c r="J15" s="110">
        <v>-456289.49076000002</v>
      </c>
      <c r="K15" s="110">
        <v>-459238.15075999999</v>
      </c>
      <c r="L15" s="110">
        <v>-462565.44876</v>
      </c>
      <c r="M15" s="110">
        <v>-465702.50975999999</v>
      </c>
      <c r="N15" s="110">
        <v>-468709.52376000001</v>
      </c>
      <c r="O15" s="110">
        <v>-471993</v>
      </c>
      <c r="P15" s="110">
        <v>-475194</v>
      </c>
      <c r="Q15" s="110">
        <v>-474746</v>
      </c>
      <c r="R15" s="110">
        <v>-477405</v>
      </c>
      <c r="S15" s="110">
        <v>-480216</v>
      </c>
      <c r="T15" s="110">
        <v>-483433</v>
      </c>
      <c r="U15" s="110">
        <v>-486549</v>
      </c>
      <c r="V15" s="110">
        <v>-488285</v>
      </c>
      <c r="W15" s="110">
        <v>-495161</v>
      </c>
      <c r="X15" s="110">
        <v>-498409</v>
      </c>
      <c r="Y15" s="110">
        <v>-501483</v>
      </c>
      <c r="Z15" s="110">
        <v>-504552</v>
      </c>
      <c r="AA15" s="110">
        <v>-508204</v>
      </c>
      <c r="AB15" s="110">
        <v>-511187</v>
      </c>
      <c r="AC15" s="110">
        <v>-514180</v>
      </c>
      <c r="AD15" s="110">
        <v>-518078</v>
      </c>
      <c r="AE15" s="110">
        <v>-521673</v>
      </c>
      <c r="AF15" s="110">
        <v>-525462</v>
      </c>
      <c r="AG15" s="110">
        <v>-529056</v>
      </c>
      <c r="AH15" s="110">
        <v>-532297</v>
      </c>
      <c r="AI15" s="110">
        <v>-535655.64992999996</v>
      </c>
      <c r="AJ15" s="110">
        <v>-539080.41729999997</v>
      </c>
      <c r="AK15" s="110">
        <v>-542807.91246999998</v>
      </c>
      <c r="AL15" s="205">
        <v>-546325.49164000002</v>
      </c>
      <c r="AM15" s="205">
        <v>-550290.59129999997</v>
      </c>
      <c r="AN15" s="205">
        <v>-553314.38190000015</v>
      </c>
      <c r="AO15" s="205">
        <v>-556950.51393000002</v>
      </c>
      <c r="AP15" s="205">
        <v>-560307.40160999994</v>
      </c>
      <c r="AQ15" s="205">
        <v>-563287.28600999981</v>
      </c>
      <c r="AR15" s="205">
        <v>-567066.39884000004</v>
      </c>
      <c r="AS15" s="249">
        <v>-570442.04452</v>
      </c>
      <c r="AT15" s="249">
        <v>-574065.11288000003</v>
      </c>
      <c r="AU15" s="205">
        <v>-577826.68547000003</v>
      </c>
      <c r="AV15" s="205">
        <v>-581370.02381000004</v>
      </c>
      <c r="AW15" s="205">
        <v>-585637.07634000003</v>
      </c>
      <c r="AX15" s="205">
        <v>-588037.23888000008</v>
      </c>
      <c r="AY15" s="212">
        <v>-591523.88920999994</v>
      </c>
      <c r="AZ15" s="212">
        <v>-593062.44417999999</v>
      </c>
      <c r="BA15" s="347">
        <v>-595695.47701000003</v>
      </c>
      <c r="BB15" s="347">
        <v>-590413.85623999999</v>
      </c>
      <c r="BC15" s="347">
        <v>-593701.73338999995</v>
      </c>
      <c r="BD15" s="347">
        <v>-597393.61892000004</v>
      </c>
      <c r="BE15" s="347">
        <v>-601207.83354999998</v>
      </c>
      <c r="BF15" s="347">
        <v>-604838.32159000007</v>
      </c>
      <c r="BG15" s="212">
        <v>-608296.04910999991</v>
      </c>
      <c r="BH15" s="212">
        <v>-612115.61303000001</v>
      </c>
      <c r="BI15" s="212">
        <v>-615728.61861999996</v>
      </c>
      <c r="BJ15" s="212">
        <v>-619266.61305999989</v>
      </c>
      <c r="BK15" s="212">
        <v>-622783.88657000009</v>
      </c>
      <c r="BL15" s="212">
        <v>-626898.07539999997</v>
      </c>
      <c r="BM15" s="212">
        <v>-630525.97769000009</v>
      </c>
      <c r="BN15" s="212">
        <v>-634421.5038399999</v>
      </c>
      <c r="BO15" s="212">
        <v>-630163.07430000009</v>
      </c>
      <c r="BP15" s="212">
        <v>-633630.82870999991</v>
      </c>
      <c r="BQ15" s="212">
        <v>-637569.16462000005</v>
      </c>
      <c r="BR15" s="212">
        <v>-641287.15982000006</v>
      </c>
      <c r="BS15" s="212">
        <v>-645184.1746899999</v>
      </c>
      <c r="BT15" s="212">
        <v>-649230.18928000005</v>
      </c>
      <c r="BU15" s="212">
        <v>-653423.49766999995</v>
      </c>
      <c r="BV15" s="212">
        <v>-657149.37199999997</v>
      </c>
      <c r="BW15" s="212">
        <v>-661173.29270999995</v>
      </c>
      <c r="BX15" s="212">
        <v>-665467.65026999998</v>
      </c>
      <c r="BY15" s="212">
        <v>-668596.87520999997</v>
      </c>
      <c r="BZ15" s="212">
        <v>-672262.71578999993</v>
      </c>
      <c r="CA15" s="212">
        <v>-676591.87294999999</v>
      </c>
      <c r="CB15" s="212">
        <v>-680575.23612000002</v>
      </c>
      <c r="CC15" s="212">
        <v>-684816.50101999997</v>
      </c>
      <c r="CD15" s="212">
        <v>-689157.55523000006</v>
      </c>
      <c r="CE15" s="440">
        <v>-689010.98207000003</v>
      </c>
      <c r="CF15" s="440">
        <v>-693001.78477999999</v>
      </c>
      <c r="CG15" s="440">
        <v>-696244.72390999994</v>
      </c>
      <c r="CH15" s="440">
        <v>-700747.73003000009</v>
      </c>
      <c r="CI15" s="440">
        <v>-705029.62040000001</v>
      </c>
      <c r="CJ15" s="440">
        <v>-709325.47392000002</v>
      </c>
      <c r="CK15" s="440">
        <v>-691618.21486000007</v>
      </c>
      <c r="CL15" s="440">
        <v>-694592.30956000008</v>
      </c>
      <c r="CM15" s="440">
        <v>-697588.47759999987</v>
      </c>
      <c r="CN15" s="440">
        <v>-698719.32773999998</v>
      </c>
      <c r="CO15" s="440">
        <v>-697644.22645999992</v>
      </c>
      <c r="CP15" s="440">
        <v>-700445.57195000001</v>
      </c>
      <c r="CQ15" s="440">
        <v>-703019.45264000015</v>
      </c>
      <c r="CR15" s="440">
        <v>-705812.23461000004</v>
      </c>
      <c r="CS15" s="440">
        <v>-708424.44625000004</v>
      </c>
      <c r="CT15" s="440">
        <v>-711243.34077999997</v>
      </c>
      <c r="CU15" s="440">
        <v>-713977.76049999997</v>
      </c>
      <c r="CV15" s="440">
        <v>-716670.55470999994</v>
      </c>
      <c r="CW15" s="440">
        <v>-719063.08770000003</v>
      </c>
      <c r="CX15" s="440">
        <v>-722524.05842999998</v>
      </c>
      <c r="CY15" s="440">
        <v>-725240.92523000005</v>
      </c>
      <c r="CZ15" s="440">
        <v>-728378.98065000004</v>
      </c>
      <c r="DA15" s="440">
        <v>-731975.24098</v>
      </c>
      <c r="DB15" s="440">
        <v>-735409.20021000004</v>
      </c>
      <c r="DC15" s="440">
        <v>-738272.05023000005</v>
      </c>
      <c r="DD15" s="440">
        <v>-742118.98193000001</v>
      </c>
      <c r="DE15" s="440">
        <v>-745626.92359999986</v>
      </c>
      <c r="DF15" s="440">
        <v>-748882.24586000002</v>
      </c>
      <c r="DG15" s="440">
        <v>-751684.46262000001</v>
      </c>
      <c r="DH15" s="440">
        <v>-755466.39902000001</v>
      </c>
      <c r="DI15" s="440">
        <v>-758129.24977000011</v>
      </c>
      <c r="DJ15" s="440">
        <v>-760427.69818999991</v>
      </c>
      <c r="DK15" s="440">
        <v>-762641.73822000006</v>
      </c>
      <c r="DL15" s="440">
        <v>-765354.78642999998</v>
      </c>
      <c r="DM15" s="440">
        <v>-767752.14535000001</v>
      </c>
      <c r="DN15" s="440">
        <v>-769711.85453000001</v>
      </c>
      <c r="DO15" s="440">
        <v>-770920.02195000008</v>
      </c>
      <c r="DP15" s="440">
        <v>-772946.63339000009</v>
      </c>
      <c r="DQ15" s="440">
        <v>-775402.83401999995</v>
      </c>
      <c r="DR15" s="440">
        <v>-778136.92920000001</v>
      </c>
      <c r="DS15" s="440">
        <v>-780280.56389999995</v>
      </c>
      <c r="DT15" s="440">
        <v>-783184.96276000002</v>
      </c>
      <c r="DU15" s="440">
        <v>-784450.41515000002</v>
      </c>
      <c r="DV15" s="440">
        <v>-792431.4029300001</v>
      </c>
      <c r="DW15" s="440">
        <v>-788885.87992999994</v>
      </c>
      <c r="DX15" s="440">
        <v>-791623.00071000005</v>
      </c>
      <c r="DY15" s="440">
        <v>-794409.43769000005</v>
      </c>
      <c r="DZ15" s="440">
        <v>-797443.21300999995</v>
      </c>
      <c r="EA15" s="440">
        <v>-800239.97668000008</v>
      </c>
      <c r="EB15" s="440">
        <v>-802710.54394999996</v>
      </c>
      <c r="EC15" s="440">
        <v>-805792.91047</v>
      </c>
      <c r="ED15" s="440">
        <v>-808642.1054</v>
      </c>
      <c r="EE15" s="440">
        <v>-811709.59298000007</v>
      </c>
      <c r="EF15" s="440">
        <v>-814911.56380999996</v>
      </c>
      <c r="EG15" s="440">
        <v>-814871.25658000004</v>
      </c>
      <c r="EH15" s="440">
        <v>-819800.75636999996</v>
      </c>
      <c r="EI15" s="440">
        <v>-819721.29556000012</v>
      </c>
      <c r="EJ15" s="440">
        <v>-823257.64730999991</v>
      </c>
      <c r="EK15" s="440">
        <v>-826598.42756999994</v>
      </c>
      <c r="EL15" s="440">
        <v>-830025.61285999999</v>
      </c>
      <c r="EM15" s="440">
        <v>-832905.90847999998</v>
      </c>
      <c r="EN15" s="440">
        <v>-835760.94222000008</v>
      </c>
      <c r="EO15" s="440">
        <v>-839632.93908000004</v>
      </c>
      <c r="EP15" s="440">
        <v>-842707.3200500001</v>
      </c>
      <c r="EQ15" s="440">
        <f>(VLOOKUP("108",'Input BS ACCTS'!$A$5:$DD$1058,98,FALSE)+VLOOKUP("115",'Input BS ACCTS'!$A$5:$DD$1058,98,FALSE))/1000</f>
        <v>-844274.21498000005</v>
      </c>
      <c r="ER15" s="440">
        <f>(VLOOKUP("108",'Input BS ACCTS'!$A$5:$DD$1058,99,FALSE)+VLOOKUP("115",'Input BS ACCTS'!$A$5:$DD$1058,99,FALSE))/1000</f>
        <v>-845995.66951000004</v>
      </c>
      <c r="ES15" s="440">
        <f>(VLOOKUP("108",'Input BS ACCTS'!$A$5:$DD$1058,100,FALSE)+VLOOKUP("115",'Input BS ACCTS'!$A$5:$DD$1058,100,FALSE))/1000</f>
        <v>-854647.54587999999</v>
      </c>
      <c r="ET15" s="440">
        <v>-858077.48505000002</v>
      </c>
      <c r="EU15" s="440">
        <v>-862162.13824999996</v>
      </c>
      <c r="EV15" s="440">
        <v>-860289.80027000001</v>
      </c>
      <c r="EW15" s="440">
        <v>-863273.22218000004</v>
      </c>
      <c r="EX15" s="440">
        <v>-867290.80287999997</v>
      </c>
      <c r="EY15" s="440">
        <v>-865064.18667000008</v>
      </c>
      <c r="EZ15" s="440">
        <v>-866906.07411000005</v>
      </c>
      <c r="FA15" s="440">
        <v>-870668.67174999998</v>
      </c>
      <c r="FB15" s="440">
        <v>-870244.76711000002</v>
      </c>
      <c r="FC15" s="440">
        <f>(VLOOKUP("108",'Input BS ACCTS'!$A$5:$DH$1058,110,FALSE)+VLOOKUP("115",'Input BS ACCTS'!$A$5:$DH$1058,110,FALSE))/1000</f>
        <v>-874586.28633999999</v>
      </c>
      <c r="FD15" s="440">
        <f>(VLOOKUP("108",'Input BS ACCTS'!$A$5:$DH$1058,111,FALSE)+VLOOKUP("115",'Input BS ACCTS'!$A$5:$DH$1058,111,FALSE))/1000</f>
        <v>-878812.78233000007</v>
      </c>
      <c r="FE15" s="440">
        <f>(VLOOKUP("108",'Input BS ACCTS'!$A$5:$DH$1058,112,FALSE)+VLOOKUP("115",'Input BS ACCTS'!$A$5:$DH$1058,112,FALSE))/1000</f>
        <v>-881239.46013999998</v>
      </c>
      <c r="FF15" s="403">
        <f>SUM(ES15:FE15)/13</f>
        <v>-867174.09407384624</v>
      </c>
      <c r="FG15" s="700"/>
      <c r="FH15" s="700"/>
      <c r="FI15" s="441">
        <v>98.150999999999996</v>
      </c>
      <c r="FJ15" s="441">
        <v>130.86799999999999</v>
      </c>
      <c r="FK15" s="441">
        <v>163.58500000000001</v>
      </c>
      <c r="FL15" s="441">
        <v>196.30199999999999</v>
      </c>
      <c r="FM15" s="441">
        <v>229.01900000000001</v>
      </c>
      <c r="FN15" s="441">
        <v>284.61099999999999</v>
      </c>
      <c r="FO15" s="441">
        <v>328.76600000000002</v>
      </c>
      <c r="FP15" s="441">
        <f>+'Input BS ACCTS'!AO17/1000</f>
        <v>372.92099999999999</v>
      </c>
      <c r="FQ15" s="441">
        <f>+'Input BS ACCTS'!AP17/1000</f>
        <v>417.07600000000002</v>
      </c>
      <c r="FR15" s="441">
        <f>+'Input BS ACCTS'!AQ17/1000</f>
        <v>461.23099999999999</v>
      </c>
      <c r="FS15" s="441">
        <f>+'Input BS ACCTS'!AR17/1000</f>
        <v>505.38600000000002</v>
      </c>
      <c r="FT15" s="441">
        <f>+'Input BS ACCTS'!AS17/1000</f>
        <v>549.54100000000005</v>
      </c>
      <c r="FU15" s="441">
        <f>+'Input BS ACCTS'!AT17/1000</f>
        <v>593.69600000000003</v>
      </c>
      <c r="FV15" s="441">
        <f>+'Input BS ACCTS'!AU17/1000</f>
        <v>637.851</v>
      </c>
      <c r="FW15" s="441">
        <f>+'Input BS ACCTS'!AV17/1000</f>
        <v>682.00599999999997</v>
      </c>
      <c r="FX15" s="441">
        <f>+'Input BS ACCTS'!AW17/1000</f>
        <v>726.16099999999994</v>
      </c>
      <c r="FY15" s="441">
        <f>+'Input BS ACCTS'!AX17/1000</f>
        <v>770.31600000000003</v>
      </c>
      <c r="FZ15" s="441">
        <f>+'Input BS ACCTS'!AY17/1000</f>
        <v>814.471</v>
      </c>
      <c r="GA15" s="441">
        <f>+'Input BS ACCTS'!AZ17/1000</f>
        <v>858.62599999999998</v>
      </c>
      <c r="GB15" s="441">
        <f>+'Input BS ACCTS'!BA17/1000</f>
        <v>902.78099999999995</v>
      </c>
      <c r="GC15" s="441">
        <f>+'Input BS ACCTS'!BB17/1000</f>
        <v>946.93600000000004</v>
      </c>
      <c r="GD15" s="441">
        <f>+'Input BS ACCTS'!BC17/1000</f>
        <v>991.09100000000001</v>
      </c>
      <c r="GE15" s="441">
        <f>+'Input BS ACCTS'!BD17/1000</f>
        <v>1035.2460000000001</v>
      </c>
      <c r="GF15" s="441">
        <f>+'Input BS ACCTS'!BE17/1000</f>
        <v>1079.4010000000001</v>
      </c>
      <c r="GG15" s="441">
        <f>+'Input BS ACCTS'!BF17/1000</f>
        <v>1123.556</v>
      </c>
      <c r="GH15" s="441">
        <f>+'Input BS ACCTS'!BG17/1000</f>
        <v>1167.711</v>
      </c>
      <c r="GI15" s="441">
        <f>+'Input BS ACCTS'!BH17/1000</f>
        <v>1211.866</v>
      </c>
      <c r="GJ15" s="441">
        <f>+'Input BS ACCTS'!BI17/1000</f>
        <v>1256.021</v>
      </c>
      <c r="GK15" s="441">
        <f>+'Input BS ACCTS'!BJ17/1000</f>
        <v>1300.1759999999999</v>
      </c>
      <c r="GL15" s="441">
        <f>+'Input BS ACCTS'!BK17/1000</f>
        <v>1344.3309999999999</v>
      </c>
      <c r="GM15" s="441">
        <f>+'Input BS ACCTS'!BL17/1000</f>
        <v>1388.4860000000001</v>
      </c>
      <c r="GN15" s="441">
        <f>+'Input BS ACCTS'!BM17/1000</f>
        <v>1432.6410000000001</v>
      </c>
      <c r="GO15" s="441">
        <f>+'Input BS ACCTS'!BN17/1000</f>
        <v>1476.796</v>
      </c>
      <c r="GP15" s="441">
        <f>+'Input BS ACCTS'!BO17/1000</f>
        <v>1520.951</v>
      </c>
      <c r="GQ15" s="441">
        <f>+'Input BS ACCTS'!BP17/1000</f>
        <v>1565.106</v>
      </c>
      <c r="GR15" s="441">
        <f>+'Input BS ACCTS'!BQ17/1000</f>
        <v>1609.261</v>
      </c>
      <c r="GS15" s="441">
        <f>+'Input BS ACCTS'!BR17/1000</f>
        <v>1653.4159999999999</v>
      </c>
      <c r="GT15" s="441">
        <f>+'Input BS ACCTS'!BS17/1000</f>
        <v>1697.5709999999999</v>
      </c>
      <c r="GU15" s="441">
        <f>+'Input BS ACCTS'!BT17/1000</f>
        <v>1741.7260000000001</v>
      </c>
      <c r="GV15" s="441">
        <f>+'Input BS ACCTS'!BU17/1000</f>
        <v>1785.8810000000001</v>
      </c>
      <c r="GW15" s="441">
        <f>+'Input BS ACCTS'!BV17/1000</f>
        <v>1830.0360000000001</v>
      </c>
      <c r="GX15" s="441">
        <f>+'Input BS ACCTS'!BW17/1000</f>
        <v>1874.191</v>
      </c>
      <c r="GY15" s="441">
        <f>+'Input BS ACCTS'!BX17/1000</f>
        <v>1918.346</v>
      </c>
      <c r="GZ15" s="441">
        <f>+'Input BS ACCTS'!BY17/1000</f>
        <v>1962.501</v>
      </c>
      <c r="HA15" s="441">
        <f>+'Input BS ACCTS'!BZ17/1000</f>
        <v>2006.6559999999999</v>
      </c>
      <c r="HB15" s="441">
        <f>+'Input BS ACCTS'!CA17/1000</f>
        <v>2050.8110000000001</v>
      </c>
      <c r="HC15" s="441">
        <f>+'Input BS ACCTS'!CB17/1000</f>
        <v>2094.9659999999999</v>
      </c>
      <c r="HD15" s="441">
        <f>+'Input BS ACCTS'!CC17/1000</f>
        <v>2139.1210000000001</v>
      </c>
      <c r="HE15" s="441">
        <f>+'Input BS ACCTS'!CD17/1000</f>
        <v>2183.2759999999998</v>
      </c>
      <c r="HF15" s="441">
        <f>+'Input BS ACCTS'!CE17/1000</f>
        <v>2227.431</v>
      </c>
      <c r="HG15" s="441">
        <f>+'Input BS ACCTS'!CF17/1000</f>
        <v>2271.5859999999998</v>
      </c>
      <c r="HH15" s="441">
        <f>+'Input BS ACCTS'!CG17/1000</f>
        <v>2315.741</v>
      </c>
      <c r="HI15" s="441">
        <f>+'Input BS ACCTS'!CH17/1000</f>
        <v>2359.8960000000002</v>
      </c>
      <c r="HJ15" s="441">
        <f>+'Input BS ACCTS'!CI17/1000</f>
        <v>2404.0509999999999</v>
      </c>
      <c r="HK15" s="441">
        <f>+'Input BS ACCTS'!CJ17/1000</f>
        <v>2448.2060000000001</v>
      </c>
      <c r="HL15" s="441">
        <f>+'Input BS ACCTS'!CK17/1000</f>
        <v>2492.3609999999999</v>
      </c>
      <c r="HM15" s="441">
        <f>+'Input BS ACCTS'!CL17/1000</f>
        <v>2536.5160000000001</v>
      </c>
      <c r="HN15" s="441">
        <f>+'Input BS ACCTS'!CM17/1000</f>
        <v>2580.6709999999998</v>
      </c>
      <c r="HO15" s="441">
        <f>+'Input BS ACCTS'!CN17/1000</f>
        <v>2624.826</v>
      </c>
      <c r="HP15" s="441">
        <f>+'Input BS ACCTS'!CO17/1000</f>
        <v>2668.9810000000002</v>
      </c>
      <c r="HQ15" s="441">
        <f>+'Input BS ACCTS'!CP17/1000</f>
        <v>2713.136</v>
      </c>
      <c r="HR15" s="441">
        <f>+'Input BS ACCTS'!CQ17/1000</f>
        <v>2757.2910000000002</v>
      </c>
      <c r="HS15" s="441">
        <f>+'Input BS ACCTS'!CR17/1000</f>
        <v>2801.4459999999999</v>
      </c>
      <c r="HT15" s="441">
        <f>+'Input BS ACCTS'!CS17/1000</f>
        <v>2845.6010000000001</v>
      </c>
      <c r="HU15" s="441">
        <f>+'Input BS ACCTS'!CT17/1000</f>
        <v>2889.7559999999999</v>
      </c>
      <c r="HV15" s="441">
        <f>+'Input BS ACCTS'!CU17/1000</f>
        <v>2933.9110000000001</v>
      </c>
      <c r="HW15" s="441">
        <f>+'Input BS ACCTS'!CV17/1000</f>
        <v>2978.0659999999998</v>
      </c>
      <c r="HX15" s="441">
        <f>+'Input BS ACCTS'!CW17/1000</f>
        <v>3022.221</v>
      </c>
      <c r="HY15" s="441">
        <f>+'Input BS ACCTS'!CX17/1000</f>
        <v>3066.3760000000002</v>
      </c>
      <c r="HZ15" s="441">
        <f>+'Input BS ACCTS'!CY17/1000</f>
        <v>2355.6239999999998</v>
      </c>
      <c r="IA15" s="441">
        <f>+'Input BS ACCTS'!CZ17/1000</f>
        <v>2388.3409999999999</v>
      </c>
      <c r="IB15" s="441">
        <f>+'Input BS ACCTS'!DA17/1000</f>
        <v>2421.058</v>
      </c>
      <c r="IC15" s="441">
        <f>+'Input BS ACCTS'!DB17/1000</f>
        <v>2453.7750000000001</v>
      </c>
      <c r="ID15" s="441">
        <f>+'Input BS ACCTS'!DC17/1000</f>
        <v>0</v>
      </c>
      <c r="IE15" s="441">
        <f>+'Input BS ACCTS'!DD17/1000</f>
        <v>0</v>
      </c>
      <c r="IF15" s="441">
        <f>+'Input BS ACCTS'!DE17/1000</f>
        <v>0</v>
      </c>
      <c r="IG15" s="441">
        <f>+'Input BS ACCTS'!DF17/1000</f>
        <v>0</v>
      </c>
      <c r="IH15" s="441">
        <f>+'Input BS ACCTS'!DG17/1000</f>
        <v>0</v>
      </c>
      <c r="II15" s="441">
        <f>+'Input BS ACCTS'!DH17/1000</f>
        <v>0</v>
      </c>
      <c r="IJ15" s="447" t="s">
        <v>1686</v>
      </c>
      <c r="IK15" s="445">
        <v>1080901</v>
      </c>
      <c r="IL15" s="191"/>
      <c r="IM15" s="35"/>
      <c r="IN15" s="35"/>
      <c r="IO15" s="35"/>
      <c r="IP15" s="35"/>
      <c r="IQ15" s="35"/>
      <c r="IR15" s="35"/>
      <c r="IS15" s="35"/>
      <c r="IT15" s="35"/>
      <c r="IU15" s="35"/>
      <c r="IV15" s="35"/>
      <c r="IW15" s="35"/>
      <c r="IX15" s="35"/>
      <c r="IY15" s="35"/>
    </row>
    <row r="16" spans="1:259">
      <c r="A16" s="29" t="s">
        <v>223</v>
      </c>
      <c r="B16" s="111">
        <v>591220.57455000002</v>
      </c>
      <c r="C16" s="111">
        <v>589994.81554999994</v>
      </c>
      <c r="D16" s="111">
        <v>590053.70555000007</v>
      </c>
      <c r="E16" s="111">
        <v>588006.44955000002</v>
      </c>
      <c r="F16" s="111">
        <v>586351.36655000004</v>
      </c>
      <c r="G16" s="111">
        <v>585835.37855000002</v>
      </c>
      <c r="H16" s="111">
        <v>585070.66154999996</v>
      </c>
      <c r="I16" s="111">
        <v>584760.46955000004</v>
      </c>
      <c r="J16" s="111">
        <v>584660.57254999992</v>
      </c>
      <c r="K16" s="111">
        <v>585852.48554999998</v>
      </c>
      <c r="L16" s="111">
        <v>586074.46454999992</v>
      </c>
      <c r="M16" s="111">
        <v>587337.25854999991</v>
      </c>
      <c r="N16" s="111">
        <v>589677.39254999999</v>
      </c>
      <c r="O16" s="111">
        <v>591067</v>
      </c>
      <c r="P16" s="111">
        <v>595183</v>
      </c>
      <c r="Q16" s="111">
        <v>605507</v>
      </c>
      <c r="R16" s="111">
        <v>604016</v>
      </c>
      <c r="S16" s="111">
        <v>605233</v>
      </c>
      <c r="T16" s="111">
        <v>606494</v>
      </c>
      <c r="U16" s="111">
        <v>607200</v>
      </c>
      <c r="V16" s="111">
        <v>608376</v>
      </c>
      <c r="W16" s="111">
        <v>602750</v>
      </c>
      <c r="X16" s="111">
        <v>603809</v>
      </c>
      <c r="Y16" s="111">
        <v>605670</v>
      </c>
      <c r="Z16" s="111">
        <v>610749</v>
      </c>
      <c r="AA16" s="111">
        <v>613645</v>
      </c>
      <c r="AB16" s="111">
        <v>615784</v>
      </c>
      <c r="AC16" s="111">
        <v>623707.14400000009</v>
      </c>
      <c r="AD16" s="111">
        <v>623812.89700000011</v>
      </c>
      <c r="AE16" s="111">
        <v>625359</v>
      </c>
      <c r="AF16" s="111">
        <v>628214</v>
      </c>
      <c r="AG16" s="111">
        <v>630089</v>
      </c>
      <c r="AH16" s="111">
        <v>632673</v>
      </c>
      <c r="AI16" s="111">
        <v>640276.85120000003</v>
      </c>
      <c r="AJ16" s="111">
        <v>642189.74077999999</v>
      </c>
      <c r="AK16" s="111">
        <v>652748.46712000004</v>
      </c>
      <c r="AL16" s="111">
        <v>661166.07468000019</v>
      </c>
      <c r="AM16" s="111">
        <v>664414.15180999995</v>
      </c>
      <c r="AN16" s="111">
        <v>665894.71772999945</v>
      </c>
      <c r="AO16" s="111">
        <v>667466.71419999993</v>
      </c>
      <c r="AP16" s="111">
        <v>666576.61595999997</v>
      </c>
      <c r="AQ16" s="111">
        <v>666071.9571900001</v>
      </c>
      <c r="AR16" s="111">
        <v>664992.33716000023</v>
      </c>
      <c r="AS16" s="111">
        <v>665944.25219999999</v>
      </c>
      <c r="AT16" s="111">
        <v>667555.90765999991</v>
      </c>
      <c r="AU16" s="111">
        <v>668599.43310999998</v>
      </c>
      <c r="AV16" s="111">
        <v>669879.87517000001</v>
      </c>
      <c r="AW16" s="111">
        <v>670910.39279999991</v>
      </c>
      <c r="AX16" s="111">
        <v>672968.86505000014</v>
      </c>
      <c r="AY16" s="111">
        <v>675996.62776000006</v>
      </c>
      <c r="AZ16" s="111">
        <v>682535.31197000004</v>
      </c>
      <c r="BA16" s="111">
        <v>692867.09001000016</v>
      </c>
      <c r="BB16" s="111">
        <v>693517.25749999995</v>
      </c>
      <c r="BC16" s="111">
        <v>695963.51014000014</v>
      </c>
      <c r="BD16" s="111">
        <v>698362.80951000005</v>
      </c>
      <c r="BE16" s="111">
        <v>700858.75393000001</v>
      </c>
      <c r="BF16" s="111">
        <v>702492.69952999987</v>
      </c>
      <c r="BG16" s="111">
        <v>705165.19616000017</v>
      </c>
      <c r="BH16" s="111">
        <v>707362.49323999987</v>
      </c>
      <c r="BI16" s="111">
        <v>711041.55658999982</v>
      </c>
      <c r="BJ16" s="111">
        <v>713795.41263000015</v>
      </c>
      <c r="BK16" s="111">
        <v>716099.53320999979</v>
      </c>
      <c r="BL16" s="111">
        <v>717539.60558999982</v>
      </c>
      <c r="BM16" s="111">
        <v>727059.56462000008</v>
      </c>
      <c r="BN16" s="111">
        <v>728409.96479000035</v>
      </c>
      <c r="BO16" s="111">
        <v>728933.08987999998</v>
      </c>
      <c r="BP16" s="111">
        <v>731842.36198000016</v>
      </c>
      <c r="BQ16" s="111">
        <v>733044.41986000037</v>
      </c>
      <c r="BR16" s="111">
        <v>734232.63971000013</v>
      </c>
      <c r="BS16" s="111">
        <v>738179.06317000033</v>
      </c>
      <c r="BT16" s="111">
        <v>741279.5007600002</v>
      </c>
      <c r="BU16" s="111">
        <v>742500.31419999991</v>
      </c>
      <c r="BV16" s="111">
        <v>744978.89859999996</v>
      </c>
      <c r="BW16" s="111">
        <v>749032.0742500003</v>
      </c>
      <c r="BX16" s="111">
        <v>754372.31130000006</v>
      </c>
      <c r="BY16" s="111">
        <v>762796.01360000018</v>
      </c>
      <c r="BZ16" s="111">
        <v>763472.53642000013</v>
      </c>
      <c r="CA16" s="111">
        <v>772978.20552000008</v>
      </c>
      <c r="CB16" s="111">
        <v>778237.32811000012</v>
      </c>
      <c r="CC16" s="111">
        <v>781502.53100000008</v>
      </c>
      <c r="CD16" s="111">
        <v>787955.22060000012</v>
      </c>
      <c r="CE16" s="111">
        <v>797666.35422000021</v>
      </c>
      <c r="CF16" s="111">
        <v>801869.80249000003</v>
      </c>
      <c r="CG16" s="111">
        <v>807105.38505000016</v>
      </c>
      <c r="CH16" s="111">
        <v>812904.96757999982</v>
      </c>
      <c r="CI16" s="111">
        <v>817453.33633999981</v>
      </c>
      <c r="CJ16" s="111">
        <v>823324.44470999972</v>
      </c>
      <c r="CK16" s="111">
        <v>850273.65725000005</v>
      </c>
      <c r="CL16" s="111">
        <f t="shared" ref="CL16:CW16" si="34">SUM(CL14:CL15)</f>
        <v>852447.62820999988</v>
      </c>
      <c r="CM16" s="111">
        <f t="shared" si="34"/>
        <v>857726.08928000019</v>
      </c>
      <c r="CN16" s="111">
        <f t="shared" si="34"/>
        <v>863607.15484999993</v>
      </c>
      <c r="CO16" s="111">
        <f t="shared" si="34"/>
        <v>867414.48015000031</v>
      </c>
      <c r="CP16" s="111">
        <f t="shared" si="34"/>
        <v>873898.37257000012</v>
      </c>
      <c r="CQ16" s="111">
        <f t="shared" si="34"/>
        <v>877959.11364999984</v>
      </c>
      <c r="CR16" s="111">
        <f t="shared" si="34"/>
        <v>883837.49947000004</v>
      </c>
      <c r="CS16" s="111">
        <f t="shared" si="34"/>
        <v>893706.95469000028</v>
      </c>
      <c r="CT16" s="111">
        <f t="shared" si="34"/>
        <v>898761.30569000007</v>
      </c>
      <c r="CU16" s="111">
        <f t="shared" si="34"/>
        <v>906845.24021000008</v>
      </c>
      <c r="CV16" s="111">
        <f t="shared" si="34"/>
        <v>913946.34862000041</v>
      </c>
      <c r="CW16" s="111">
        <f t="shared" si="34"/>
        <v>923242.24317000015</v>
      </c>
      <c r="CX16" s="111">
        <f t="shared" ref="CX16:DC16" si="35">SUM(CX14:CX15)</f>
        <v>929040.8189999999</v>
      </c>
      <c r="CY16" s="111">
        <f t="shared" si="35"/>
        <v>935468.97577999986</v>
      </c>
      <c r="CZ16" s="111">
        <f t="shared" si="35"/>
        <v>946243.35881999996</v>
      </c>
      <c r="DA16" s="111">
        <f t="shared" si="35"/>
        <v>951844.94822999998</v>
      </c>
      <c r="DB16" s="111">
        <f t="shared" si="35"/>
        <v>962713.78803000005</v>
      </c>
      <c r="DC16" s="111">
        <f t="shared" si="35"/>
        <v>970274.21394999989</v>
      </c>
      <c r="DD16" s="111">
        <f t="shared" ref="DD16:DI16" si="36">SUM(DD14:DD15)</f>
        <v>976968.93827000028</v>
      </c>
      <c r="DE16" s="111">
        <f t="shared" si="36"/>
        <v>988483.94067000016</v>
      </c>
      <c r="DF16" s="111">
        <f t="shared" si="36"/>
        <v>1001200.9770099999</v>
      </c>
      <c r="DG16" s="111">
        <f t="shared" si="36"/>
        <v>1016883.3016800001</v>
      </c>
      <c r="DH16" s="111">
        <f t="shared" si="36"/>
        <v>1030834.42525</v>
      </c>
      <c r="DI16" s="111">
        <f t="shared" si="36"/>
        <v>1043602.2889699999</v>
      </c>
      <c r="DJ16" s="111">
        <f t="shared" ref="DJ16:DX16" si="37">SUM(DJ14:DJ15)</f>
        <v>1057832.2986699999</v>
      </c>
      <c r="DK16" s="111">
        <f t="shared" si="37"/>
        <v>1068037.6176399998</v>
      </c>
      <c r="DL16" s="111">
        <f t="shared" si="37"/>
        <v>1081920.48067</v>
      </c>
      <c r="DM16" s="111">
        <f t="shared" si="37"/>
        <v>1092534.4067799998</v>
      </c>
      <c r="DN16" s="111">
        <f t="shared" si="37"/>
        <v>1109201.8867700002</v>
      </c>
      <c r="DO16" s="111">
        <f t="shared" si="37"/>
        <v>1125148.2604199997</v>
      </c>
      <c r="DP16" s="111">
        <f t="shared" si="37"/>
        <v>1139686.6395699999</v>
      </c>
      <c r="DQ16" s="111">
        <f t="shared" si="37"/>
        <v>1157422.82235</v>
      </c>
      <c r="DR16" s="111">
        <f t="shared" si="37"/>
        <v>1174391.5433200002</v>
      </c>
      <c r="DS16" s="111">
        <f t="shared" si="37"/>
        <v>1190441.6701800001</v>
      </c>
      <c r="DT16" s="111">
        <f t="shared" si="37"/>
        <v>1207736.69001</v>
      </c>
      <c r="DU16" s="111">
        <f t="shared" si="37"/>
        <v>1234618.7830399999</v>
      </c>
      <c r="DV16" s="111">
        <f t="shared" si="37"/>
        <v>1252162.8851400001</v>
      </c>
      <c r="DW16" s="111">
        <f t="shared" si="37"/>
        <v>1272425.5069200001</v>
      </c>
      <c r="DX16" s="111">
        <f t="shared" si="37"/>
        <v>1290934.7997300001</v>
      </c>
      <c r="DY16" s="111">
        <f t="shared" ref="DY16:ED16" si="38">SUM(DY14:DY15)</f>
        <v>1313760.5173299997</v>
      </c>
      <c r="DZ16" s="111">
        <f t="shared" si="38"/>
        <v>1337243.9984399998</v>
      </c>
      <c r="EA16" s="111">
        <f t="shared" si="38"/>
        <v>1358658.81675</v>
      </c>
      <c r="EB16" s="111">
        <f t="shared" si="38"/>
        <v>1381108.5043700002</v>
      </c>
      <c r="EC16" s="111">
        <f t="shared" si="38"/>
        <v>1414921.1402999996</v>
      </c>
      <c r="ED16" s="111">
        <f t="shared" si="38"/>
        <v>1437815.0321600002</v>
      </c>
      <c r="EE16" s="111">
        <f t="shared" ref="EE16:EJ16" si="39">SUM(EE14:EE15)</f>
        <v>1466197.1868299996</v>
      </c>
      <c r="EF16" s="111">
        <f t="shared" si="39"/>
        <v>1492078.9948999996</v>
      </c>
      <c r="EG16" s="111">
        <f t="shared" si="39"/>
        <v>1523174.1664699998</v>
      </c>
      <c r="EH16" s="111">
        <f t="shared" si="39"/>
        <v>1540501.0530899996</v>
      </c>
      <c r="EI16" s="111">
        <f t="shared" si="39"/>
        <v>1563784.1924199997</v>
      </c>
      <c r="EJ16" s="111">
        <f t="shared" si="39"/>
        <v>1589904.2029000004</v>
      </c>
      <c r="EK16" s="111">
        <f t="shared" ref="EK16:EP16" si="40">SUM(EK14:EK15)</f>
        <v>1609532.2205099999</v>
      </c>
      <c r="EL16" s="111">
        <f t="shared" si="40"/>
        <v>1622399.0536899997</v>
      </c>
      <c r="EM16" s="111">
        <f t="shared" si="40"/>
        <v>1643815.0969199997</v>
      </c>
      <c r="EN16" s="111">
        <f t="shared" si="40"/>
        <v>1666279.1727099996</v>
      </c>
      <c r="EO16" s="111">
        <f t="shared" si="40"/>
        <v>1687233.9581599999</v>
      </c>
      <c r="EP16" s="111">
        <f t="shared" si="40"/>
        <v>1709154.1792699993</v>
      </c>
      <c r="EQ16" s="111">
        <v>1735232.5871199998</v>
      </c>
      <c r="ER16" s="111">
        <v>1758460.4146999996</v>
      </c>
      <c r="ES16" s="111">
        <v>1778523.7067199997</v>
      </c>
      <c r="ET16" s="111">
        <f t="shared" ref="ET16:FF16" si="41">SUM(ET14:ET15)</f>
        <v>1797669.4776899999</v>
      </c>
      <c r="EU16" s="111">
        <f t="shared" si="41"/>
        <v>1817377.0709199999</v>
      </c>
      <c r="EV16" s="111">
        <f t="shared" si="41"/>
        <v>1841348.1219799998</v>
      </c>
      <c r="EW16" s="111">
        <f t="shared" si="41"/>
        <v>1865767.0094400002</v>
      </c>
      <c r="EX16" s="111">
        <f t="shared" si="41"/>
        <v>1886284.4790500002</v>
      </c>
      <c r="EY16" s="111">
        <f t="shared" si="41"/>
        <v>1917781.7782599991</v>
      </c>
      <c r="EZ16" s="111">
        <f t="shared" ref="EZ16:FB16" si="42">SUM(EZ14:EZ15)</f>
        <v>1930152.5591799999</v>
      </c>
      <c r="FA16" s="111">
        <f t="shared" si="42"/>
        <v>1954757.4793699996</v>
      </c>
      <c r="FB16" s="111">
        <f t="shared" si="42"/>
        <v>1976704.01382</v>
      </c>
      <c r="FC16" s="111">
        <f t="shared" ref="FC16:FE16" si="43">SUM(FC14:FC15)</f>
        <v>1993883.9691599994</v>
      </c>
      <c r="FD16" s="111">
        <f t="shared" si="43"/>
        <v>2012126.0569</v>
      </c>
      <c r="FE16" s="111">
        <f t="shared" si="43"/>
        <v>2052611.2381399996</v>
      </c>
      <c r="FF16" s="360">
        <f t="shared" si="41"/>
        <v>1909614.3815869226</v>
      </c>
      <c r="FG16" s="111"/>
      <c r="FH16" s="111"/>
      <c r="IJ16" s="35"/>
      <c r="IK16" s="220"/>
      <c r="IL16" s="191"/>
      <c r="IM16" s="35"/>
      <c r="IN16" s="35"/>
      <c r="IO16" s="35"/>
      <c r="IP16" s="35"/>
      <c r="IQ16" s="35"/>
      <c r="IR16" s="35"/>
      <c r="IS16" s="35"/>
      <c r="IT16" s="35"/>
      <c r="IU16" s="35"/>
      <c r="IV16" s="35"/>
      <c r="IW16" s="35"/>
      <c r="IX16" s="35"/>
      <c r="IY16" s="35"/>
    </row>
    <row r="17" spans="1:259">
      <c r="A17" s="30"/>
      <c r="B17" s="111">
        <v>0</v>
      </c>
      <c r="C17" s="111">
        <v>0</v>
      </c>
      <c r="D17" s="111">
        <v>0</v>
      </c>
      <c r="E17" s="111">
        <v>0</v>
      </c>
      <c r="F17" s="111">
        <v>0</v>
      </c>
      <c r="G17" s="111">
        <v>0</v>
      </c>
      <c r="H17" s="111">
        <v>0</v>
      </c>
      <c r="I17" s="111">
        <v>0</v>
      </c>
      <c r="J17" s="111">
        <v>0</v>
      </c>
      <c r="K17" s="111">
        <v>0</v>
      </c>
      <c r="L17" s="111">
        <v>0</v>
      </c>
      <c r="M17" s="111">
        <v>0</v>
      </c>
      <c r="N17" s="111">
        <v>0</v>
      </c>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M17" s="111"/>
      <c r="EN17" s="111"/>
      <c r="EO17" s="111"/>
      <c r="EP17" s="111"/>
      <c r="EQ17" s="111"/>
      <c r="ER17" s="111"/>
      <c r="ES17" s="111"/>
      <c r="ET17" s="111"/>
      <c r="EU17" s="111"/>
      <c r="EV17" s="111"/>
      <c r="EW17" s="111"/>
      <c r="EX17" s="111"/>
      <c r="EY17" s="111"/>
      <c r="EZ17" s="111"/>
      <c r="FA17" s="111"/>
      <c r="FB17" s="111"/>
      <c r="FC17" s="111"/>
      <c r="FD17" s="111"/>
      <c r="FE17" s="111"/>
      <c r="FF17" s="111"/>
      <c r="FG17" s="111"/>
      <c r="FH17" s="111"/>
      <c r="IJ17" s="35"/>
      <c r="IK17" s="220"/>
      <c r="IL17" s="191"/>
      <c r="IM17" s="35"/>
      <c r="IN17" s="35"/>
      <c r="IO17" s="35"/>
      <c r="IP17" s="35"/>
      <c r="IQ17" s="35"/>
      <c r="IR17" s="35"/>
      <c r="IS17" s="35"/>
      <c r="IT17" s="35"/>
      <c r="IU17" s="35"/>
      <c r="IV17" s="35"/>
      <c r="IW17" s="35"/>
      <c r="IX17" s="35"/>
      <c r="IY17" s="35"/>
    </row>
    <row r="18" spans="1:259">
      <c r="A18" s="27" t="s">
        <v>224</v>
      </c>
      <c r="B18" s="107">
        <v>1571.0564299999999</v>
      </c>
      <c r="C18" s="107">
        <v>1022.3464300000001</v>
      </c>
      <c r="D18" s="107">
        <v>1520.01043</v>
      </c>
      <c r="E18" s="107">
        <v>1828.91543</v>
      </c>
      <c r="F18" s="107">
        <v>2102.8054300000003</v>
      </c>
      <c r="G18" s="107">
        <v>1285.74443</v>
      </c>
      <c r="H18" s="107">
        <v>1648.4514299999998</v>
      </c>
      <c r="I18" s="107">
        <v>1831.6244299999998</v>
      </c>
      <c r="J18" s="107">
        <v>1213.90443</v>
      </c>
      <c r="K18" s="107">
        <v>1293.29943</v>
      </c>
      <c r="L18" s="107">
        <v>1478.8074299999998</v>
      </c>
      <c r="M18" s="107">
        <v>927.96043000000009</v>
      </c>
      <c r="N18" s="107">
        <v>1297.0094299999998</v>
      </c>
      <c r="O18" s="107">
        <v>1348</v>
      </c>
      <c r="P18" s="107">
        <v>1202</v>
      </c>
      <c r="Q18" s="107">
        <v>1186</v>
      </c>
      <c r="R18" s="107">
        <v>1570</v>
      </c>
      <c r="S18" s="107">
        <v>919</v>
      </c>
      <c r="T18" s="107">
        <v>1330</v>
      </c>
      <c r="U18" s="107">
        <v>1530</v>
      </c>
      <c r="V18" s="107">
        <v>1329</v>
      </c>
      <c r="W18" s="107">
        <v>1765</v>
      </c>
      <c r="X18" s="107">
        <v>2091</v>
      </c>
      <c r="Y18" s="107">
        <v>1363</v>
      </c>
      <c r="Z18" s="107">
        <v>1574</v>
      </c>
      <c r="AA18" s="107">
        <v>1614</v>
      </c>
      <c r="AB18" s="107">
        <v>1036</v>
      </c>
      <c r="AC18" s="107">
        <v>1357.47</v>
      </c>
      <c r="AD18" s="107">
        <v>1010</v>
      </c>
      <c r="AE18" s="107">
        <v>668</v>
      </c>
      <c r="AF18" s="107">
        <v>757.42141000000004</v>
      </c>
      <c r="AG18" s="107">
        <v>980</v>
      </c>
      <c r="AH18" s="107">
        <v>745</v>
      </c>
      <c r="AI18" s="107">
        <v>672.99215000000015</v>
      </c>
      <c r="AJ18" s="107">
        <v>808.23779000000002</v>
      </c>
      <c r="AK18" s="107">
        <v>488.38484000000005</v>
      </c>
      <c r="AL18" s="107">
        <v>629.71031999999991</v>
      </c>
      <c r="AM18" s="187">
        <v>567.81355000000008</v>
      </c>
      <c r="AN18" s="187">
        <v>636.83618999999999</v>
      </c>
      <c r="AO18" s="187">
        <v>981.64323000000002</v>
      </c>
      <c r="AP18" s="187">
        <v>1274.0989500000001</v>
      </c>
      <c r="AQ18" s="187">
        <v>1104.498</v>
      </c>
      <c r="AR18" s="187">
        <v>1411.75333</v>
      </c>
      <c r="AS18" s="219">
        <v>1610.63795</v>
      </c>
      <c r="AT18" s="219">
        <v>996.73739</v>
      </c>
      <c r="AU18" s="187">
        <v>1252.03628</v>
      </c>
      <c r="AV18" s="187">
        <v>764.98145999999997</v>
      </c>
      <c r="AW18" s="187">
        <v>996.40174999999999</v>
      </c>
      <c r="AX18" s="187">
        <v>1256.51947</v>
      </c>
      <c r="AY18" s="211">
        <v>791.08746999999994</v>
      </c>
      <c r="AZ18" s="211">
        <v>898.28373999999997</v>
      </c>
      <c r="BA18" s="330">
        <v>1072.2861399999999</v>
      </c>
      <c r="BB18" s="330">
        <v>690.73743999999999</v>
      </c>
      <c r="BC18" s="330">
        <v>1021.32838</v>
      </c>
      <c r="BD18" s="330">
        <v>1227.8196399999999</v>
      </c>
      <c r="BE18" s="330">
        <v>789.78665999999998</v>
      </c>
      <c r="BF18" s="330">
        <v>968.31389000000001</v>
      </c>
      <c r="BG18" s="211">
        <v>1230.76161</v>
      </c>
      <c r="BH18" s="211">
        <v>805.46203000000003</v>
      </c>
      <c r="BI18" s="211">
        <v>1003.2940699999999</v>
      </c>
      <c r="BJ18" s="211">
        <v>1072.04739</v>
      </c>
      <c r="BK18" s="211">
        <v>665.43833999999993</v>
      </c>
      <c r="BL18" s="211">
        <v>833.78544999999997</v>
      </c>
      <c r="BM18" s="211">
        <v>1026.6660200000001</v>
      </c>
      <c r="BN18" s="211">
        <v>1417.44109</v>
      </c>
      <c r="BO18" s="211">
        <v>1096.97909</v>
      </c>
      <c r="BP18" s="211">
        <v>1247.7423799999999</v>
      </c>
      <c r="BQ18" s="211">
        <v>570.27496999999994</v>
      </c>
      <c r="BR18" s="211">
        <v>794.63467000000003</v>
      </c>
      <c r="BS18" s="211">
        <v>1010.9288399999999</v>
      </c>
      <c r="BT18" s="211">
        <v>671.65309000000002</v>
      </c>
      <c r="BU18" s="211">
        <v>842.69667000000004</v>
      </c>
      <c r="BV18" s="211">
        <v>1066.0349099999999</v>
      </c>
      <c r="BW18" s="211">
        <v>1196.26839</v>
      </c>
      <c r="BX18" s="211">
        <v>846.35731999999996</v>
      </c>
      <c r="BY18" s="211">
        <v>1550.1913300000001</v>
      </c>
      <c r="BZ18" s="211">
        <v>1846.4717900000001</v>
      </c>
      <c r="CA18" s="211">
        <v>1665.4819399999999</v>
      </c>
      <c r="CB18" s="211">
        <v>1768.1379099999999</v>
      </c>
      <c r="CC18" s="211">
        <v>1890.20372</v>
      </c>
      <c r="CD18" s="211">
        <v>817.69690000000003</v>
      </c>
      <c r="CE18" s="211">
        <v>451.27073999999999</v>
      </c>
      <c r="CF18" s="211">
        <v>666.14198999999996</v>
      </c>
      <c r="CG18" s="211">
        <v>943.90738999999996</v>
      </c>
      <c r="CH18" s="211">
        <v>1124.1783799999998</v>
      </c>
      <c r="CI18" s="211">
        <v>1893.57475</v>
      </c>
      <c r="CJ18" s="211">
        <v>1455.0906100000002</v>
      </c>
      <c r="CK18" s="211">
        <v>1676.4076499999999</v>
      </c>
      <c r="CL18" s="211">
        <v>2030.34005</v>
      </c>
      <c r="CM18" s="211">
        <v>1185.82446</v>
      </c>
      <c r="CN18" s="211">
        <v>1472.99361</v>
      </c>
      <c r="CO18" s="211">
        <v>1619.9621599999998</v>
      </c>
      <c r="CP18" s="211">
        <v>1068.5400500000001</v>
      </c>
      <c r="CQ18" s="211">
        <v>915.17888000000005</v>
      </c>
      <c r="CR18" s="211">
        <v>1208.4352699999999</v>
      </c>
      <c r="CS18" s="211">
        <v>564.15692000000001</v>
      </c>
      <c r="CT18" s="211">
        <v>862.12744999999995</v>
      </c>
      <c r="CU18" s="211">
        <v>1107.73821</v>
      </c>
      <c r="CV18" s="211">
        <v>1166.60979</v>
      </c>
      <c r="CW18" s="211">
        <v>1715.6787099999999</v>
      </c>
      <c r="CX18" s="211">
        <v>2142.9444600000002</v>
      </c>
      <c r="CY18" s="211">
        <v>1123.29252</v>
      </c>
      <c r="CZ18" s="211">
        <v>1235.8950199999999</v>
      </c>
      <c r="DA18" s="211">
        <v>1742.17374</v>
      </c>
      <c r="DB18" s="211">
        <v>1049.7999199999999</v>
      </c>
      <c r="DC18" s="211">
        <v>1272.4601100000002</v>
      </c>
      <c r="DD18" s="211">
        <v>1562.0039400000001</v>
      </c>
      <c r="DE18" s="211">
        <v>760.63626999999997</v>
      </c>
      <c r="DF18" s="211">
        <v>935.10873000000004</v>
      </c>
      <c r="DG18" s="211">
        <v>1188.78576</v>
      </c>
      <c r="DH18" s="211">
        <v>777.88049000000001</v>
      </c>
      <c r="DI18" s="211">
        <v>1195.21766</v>
      </c>
      <c r="DJ18" s="211">
        <v>1451.86625</v>
      </c>
      <c r="DK18" s="211">
        <v>823.64361999999994</v>
      </c>
      <c r="DL18" s="211">
        <v>1284.7723600000002</v>
      </c>
      <c r="DM18" s="211">
        <v>1701.8793799999999</v>
      </c>
      <c r="DN18" s="211">
        <v>1022.39748</v>
      </c>
      <c r="DO18" s="211">
        <v>1256.9318000000001</v>
      </c>
      <c r="DP18" s="211">
        <v>1595.8619199999998</v>
      </c>
      <c r="DQ18" s="211">
        <v>1079.8651299999999</v>
      </c>
      <c r="DR18" s="211">
        <v>1299.02946</v>
      </c>
      <c r="DS18" s="211">
        <v>1496.62032</v>
      </c>
      <c r="DT18" s="211">
        <v>673.25096999999994</v>
      </c>
      <c r="DU18" s="211">
        <v>902.04340999999999</v>
      </c>
      <c r="DV18" s="211">
        <v>1028.3160500000001</v>
      </c>
      <c r="DW18" s="211">
        <v>832.64310999999998</v>
      </c>
      <c r="DX18" s="211">
        <v>926.54253000000006</v>
      </c>
      <c r="DY18" s="211">
        <v>1260.9897699999999</v>
      </c>
      <c r="DZ18" s="211">
        <v>1026.2549300000001</v>
      </c>
      <c r="EA18" s="211">
        <v>1250.5963700000002</v>
      </c>
      <c r="EB18" s="211">
        <v>1439.03629</v>
      </c>
      <c r="EC18" s="211">
        <v>781.25278000000003</v>
      </c>
      <c r="ED18" s="211">
        <v>1020.48308</v>
      </c>
      <c r="EE18" s="211">
        <v>1371.2764999999999</v>
      </c>
      <c r="EF18" s="211">
        <v>841.29766000000006</v>
      </c>
      <c r="EG18" s="211">
        <v>1208.3459700000001</v>
      </c>
      <c r="EH18" s="211">
        <v>1542.4809399999999</v>
      </c>
      <c r="EI18" s="211">
        <v>1003.46887</v>
      </c>
      <c r="EJ18" s="211">
        <v>1278.8301899999999</v>
      </c>
      <c r="EK18" s="211">
        <v>612.94316000000003</v>
      </c>
      <c r="EL18" s="211">
        <v>1003.45624</v>
      </c>
      <c r="EM18" s="211">
        <v>1274.9468200000001</v>
      </c>
      <c r="EN18" s="211">
        <v>1549.0675700000002</v>
      </c>
      <c r="EO18" s="211">
        <v>892.66068999999993</v>
      </c>
      <c r="EP18" s="211">
        <v>1188.4883400000001</v>
      </c>
      <c r="EQ18" s="211">
        <v>1502.23612</v>
      </c>
      <c r="ER18" s="211">
        <v>868.33180000000004</v>
      </c>
      <c r="ES18" s="211">
        <v>1027.7767200000001</v>
      </c>
      <c r="ET18" s="211">
        <v>1172.7731200000001</v>
      </c>
      <c r="EU18" s="211">
        <v>679.78675999999996</v>
      </c>
      <c r="EV18" s="211">
        <v>1153.4104499999999</v>
      </c>
      <c r="EW18" s="211">
        <v>538.84781999999996</v>
      </c>
      <c r="EX18" s="211">
        <v>814.85322999999994</v>
      </c>
      <c r="EY18" s="211">
        <v>1037.8276000000001</v>
      </c>
      <c r="EZ18" s="211">
        <v>1474.4403300000001</v>
      </c>
      <c r="FA18" s="211">
        <v>1006.0719200000001</v>
      </c>
      <c r="FB18" s="211">
        <v>1343.62769</v>
      </c>
      <c r="FC18" s="211">
        <f>(VLOOKUP("123",'Input BS ACCTS'!$A$5:$DH$1058,110,FALSE))/1000</f>
        <v>532.97133999999994</v>
      </c>
      <c r="FD18" s="211">
        <f>(VLOOKUP("123",'Input BS ACCTS'!$A$5:$DH$1058,111,FALSE))/1000</f>
        <v>833.07556999999997</v>
      </c>
      <c r="FE18" s="211">
        <f>(VLOOKUP("123",'Input BS ACCTS'!$A$5:$DH$1058,112,FALSE))/1000</f>
        <v>846.20452</v>
      </c>
      <c r="FF18" s="403">
        <f t="shared" ref="FF18:FF20" si="44">SUM(ES18:FE18)/13</f>
        <v>958.58977461538461</v>
      </c>
      <c r="FG18" s="700"/>
      <c r="FH18" s="700"/>
      <c r="IJ18" s="35"/>
      <c r="IK18" s="221"/>
      <c r="IL18" s="191"/>
      <c r="IM18" s="35"/>
      <c r="IN18" s="35"/>
      <c r="IO18" s="35"/>
      <c r="IP18" s="35"/>
      <c r="IQ18" s="35"/>
      <c r="IR18" s="35"/>
      <c r="IS18" s="35"/>
      <c r="IT18" s="35"/>
      <c r="IU18" s="35"/>
      <c r="IV18" s="35"/>
      <c r="IW18" s="35"/>
      <c r="IX18" s="35"/>
      <c r="IY18" s="35"/>
    </row>
    <row r="19" spans="1:259">
      <c r="A19" s="27" t="s">
        <v>225</v>
      </c>
      <c r="B19" s="107">
        <v>0</v>
      </c>
      <c r="C19" s="107">
        <v>0</v>
      </c>
      <c r="D19" s="107">
        <v>0</v>
      </c>
      <c r="E19" s="107">
        <v>0</v>
      </c>
      <c r="F19" s="107">
        <v>0</v>
      </c>
      <c r="G19" s="107">
        <v>0</v>
      </c>
      <c r="H19" s="107">
        <v>0</v>
      </c>
      <c r="I19" s="107">
        <v>0</v>
      </c>
      <c r="J19" s="107">
        <v>0</v>
      </c>
      <c r="K19" s="107">
        <v>0</v>
      </c>
      <c r="L19" s="107">
        <v>0</v>
      </c>
      <c r="M19" s="107">
        <v>0</v>
      </c>
      <c r="N19" s="107">
        <v>0</v>
      </c>
      <c r="O19" s="107">
        <v>0</v>
      </c>
      <c r="P19" s="107">
        <v>0</v>
      </c>
      <c r="Q19" s="107">
        <v>0</v>
      </c>
      <c r="R19" s="107">
        <v>0</v>
      </c>
      <c r="S19" s="107">
        <v>0</v>
      </c>
      <c r="T19" s="107">
        <v>0</v>
      </c>
      <c r="U19" s="107">
        <v>0</v>
      </c>
      <c r="V19" s="107">
        <v>0</v>
      </c>
      <c r="W19" s="107">
        <v>0</v>
      </c>
      <c r="X19" s="107">
        <v>0</v>
      </c>
      <c r="Y19" s="107">
        <v>0</v>
      </c>
      <c r="Z19" s="107">
        <v>0</v>
      </c>
      <c r="AA19" s="107">
        <v>0</v>
      </c>
      <c r="AB19" s="107">
        <v>0</v>
      </c>
      <c r="AC19" s="107">
        <v>0</v>
      </c>
      <c r="AD19" s="107">
        <v>0</v>
      </c>
      <c r="AE19" s="107">
        <v>0</v>
      </c>
      <c r="AF19" s="107">
        <v>0</v>
      </c>
      <c r="AG19" s="107">
        <v>0</v>
      </c>
      <c r="AH19" s="107">
        <v>0</v>
      </c>
      <c r="AI19" s="107">
        <v>0</v>
      </c>
      <c r="AJ19" s="107">
        <v>0</v>
      </c>
      <c r="AK19" s="107">
        <v>0</v>
      </c>
      <c r="AL19" s="107">
        <v>0</v>
      </c>
      <c r="AM19" s="187">
        <v>0</v>
      </c>
      <c r="AN19" s="187">
        <v>0</v>
      </c>
      <c r="AO19" s="187">
        <v>0</v>
      </c>
      <c r="AP19" s="187">
        <v>0</v>
      </c>
      <c r="AQ19" s="187">
        <v>0</v>
      </c>
      <c r="AR19" s="187">
        <v>0</v>
      </c>
      <c r="AS19" s="178">
        <v>0</v>
      </c>
      <c r="AT19" s="178">
        <v>0</v>
      </c>
      <c r="AU19" s="211">
        <v>0</v>
      </c>
      <c r="AV19" s="211">
        <v>0</v>
      </c>
      <c r="AW19" s="211">
        <v>0</v>
      </c>
      <c r="AX19" s="211">
        <v>0</v>
      </c>
      <c r="AY19" s="211">
        <v>0</v>
      </c>
      <c r="AZ19" s="211">
        <v>0</v>
      </c>
      <c r="BA19" s="330">
        <v>0</v>
      </c>
      <c r="BB19" s="330">
        <v>0</v>
      </c>
      <c r="BC19" s="330">
        <v>0</v>
      </c>
      <c r="BD19" s="330">
        <v>0</v>
      </c>
      <c r="BE19" s="330">
        <v>0</v>
      </c>
      <c r="BF19" s="330">
        <v>0</v>
      </c>
      <c r="BG19" s="211">
        <v>0</v>
      </c>
      <c r="BH19" s="211">
        <v>0</v>
      </c>
      <c r="BI19" s="211">
        <v>0</v>
      </c>
      <c r="BJ19" s="211">
        <v>0</v>
      </c>
      <c r="BK19" s="211">
        <v>0</v>
      </c>
      <c r="BL19" s="211">
        <v>0</v>
      </c>
      <c r="BM19" s="211">
        <v>0</v>
      </c>
      <c r="BN19" s="211">
        <v>0</v>
      </c>
      <c r="BO19" s="211">
        <v>0</v>
      </c>
      <c r="BP19" s="211">
        <v>0</v>
      </c>
      <c r="BQ19" s="211">
        <v>0</v>
      </c>
      <c r="BR19" s="211">
        <v>0</v>
      </c>
      <c r="BS19" s="211">
        <v>0</v>
      </c>
      <c r="BT19" s="211">
        <v>0</v>
      </c>
      <c r="BU19" s="211">
        <v>0</v>
      </c>
      <c r="BV19" s="211">
        <v>0</v>
      </c>
      <c r="BW19" s="211">
        <v>0</v>
      </c>
      <c r="BX19" s="211">
        <v>0</v>
      </c>
      <c r="BY19" s="211">
        <v>0</v>
      </c>
      <c r="BZ19" s="211">
        <v>0</v>
      </c>
      <c r="CA19" s="211">
        <v>0</v>
      </c>
      <c r="CB19" s="211">
        <v>0</v>
      </c>
      <c r="CC19" s="211">
        <v>0</v>
      </c>
      <c r="CD19" s="211">
        <v>0</v>
      </c>
      <c r="CE19" s="211">
        <v>0</v>
      </c>
      <c r="CF19" s="211">
        <v>0</v>
      </c>
      <c r="CG19" s="211">
        <v>0</v>
      </c>
      <c r="CH19" s="211">
        <v>0</v>
      </c>
      <c r="CI19" s="211">
        <v>0</v>
      </c>
      <c r="CJ19" s="211">
        <v>0</v>
      </c>
      <c r="CK19" s="211">
        <v>0</v>
      </c>
      <c r="CL19" s="211">
        <v>0</v>
      </c>
      <c r="CM19" s="211">
        <v>0</v>
      </c>
      <c r="CN19" s="211">
        <v>0</v>
      </c>
      <c r="CO19" s="211">
        <v>0</v>
      </c>
      <c r="CP19" s="211">
        <v>0</v>
      </c>
      <c r="CQ19" s="211">
        <v>0</v>
      </c>
      <c r="CR19" s="211">
        <v>0</v>
      </c>
      <c r="CS19" s="211">
        <v>0</v>
      </c>
      <c r="CT19" s="211">
        <v>0</v>
      </c>
      <c r="CU19" s="211">
        <v>0</v>
      </c>
      <c r="CV19" s="211">
        <v>0</v>
      </c>
      <c r="CW19" s="211">
        <v>0</v>
      </c>
      <c r="CX19" s="211">
        <v>0</v>
      </c>
      <c r="CY19" s="211">
        <v>0</v>
      </c>
      <c r="CZ19" s="211">
        <v>0</v>
      </c>
      <c r="DA19" s="211">
        <v>0</v>
      </c>
      <c r="DB19" s="211">
        <v>0</v>
      </c>
      <c r="DC19" s="211">
        <v>0</v>
      </c>
      <c r="DD19" s="211">
        <v>0</v>
      </c>
      <c r="DE19" s="211">
        <v>0</v>
      </c>
      <c r="DF19" s="211">
        <v>0</v>
      </c>
      <c r="DG19" s="211">
        <v>0</v>
      </c>
      <c r="DH19" s="211">
        <v>0</v>
      </c>
      <c r="DI19" s="211">
        <v>0</v>
      </c>
      <c r="DJ19" s="211">
        <v>0</v>
      </c>
      <c r="DK19" s="211">
        <v>0</v>
      </c>
      <c r="DL19" s="211">
        <v>0</v>
      </c>
      <c r="DM19" s="211">
        <v>0</v>
      </c>
      <c r="DN19" s="211">
        <v>0</v>
      </c>
      <c r="DO19" s="211">
        <v>0</v>
      </c>
      <c r="DP19" s="211">
        <v>0</v>
      </c>
      <c r="DQ19" s="211">
        <v>0</v>
      </c>
      <c r="DR19" s="211">
        <v>0</v>
      </c>
      <c r="DS19" s="211">
        <v>0</v>
      </c>
      <c r="DT19" s="211">
        <v>0</v>
      </c>
      <c r="DU19" s="211">
        <v>0</v>
      </c>
      <c r="DV19" s="211">
        <v>0</v>
      </c>
      <c r="DW19" s="211">
        <v>0</v>
      </c>
      <c r="DX19" s="211">
        <v>0</v>
      </c>
      <c r="DY19" s="211">
        <v>0</v>
      </c>
      <c r="DZ19" s="211">
        <v>0</v>
      </c>
      <c r="EA19" s="211">
        <v>0</v>
      </c>
      <c r="EB19" s="211">
        <v>0</v>
      </c>
      <c r="EC19" s="211">
        <v>0</v>
      </c>
      <c r="ED19" s="211">
        <v>0</v>
      </c>
      <c r="EE19" s="211">
        <v>0</v>
      </c>
      <c r="EF19" s="211">
        <v>0</v>
      </c>
      <c r="EG19" s="211">
        <v>0</v>
      </c>
      <c r="EH19" s="211">
        <v>0</v>
      </c>
      <c r="EI19" s="211">
        <v>0</v>
      </c>
      <c r="EJ19" s="211">
        <v>0</v>
      </c>
      <c r="EK19" s="211">
        <v>0</v>
      </c>
      <c r="EL19" s="211">
        <v>0</v>
      </c>
      <c r="EM19" s="211">
        <v>0</v>
      </c>
      <c r="EN19" s="211">
        <v>0</v>
      </c>
      <c r="EO19" s="211">
        <v>0</v>
      </c>
      <c r="EP19" s="211">
        <v>0</v>
      </c>
      <c r="EQ19" s="211">
        <v>0</v>
      </c>
      <c r="ER19" s="211">
        <v>0</v>
      </c>
      <c r="ES19" s="211">
        <v>0</v>
      </c>
      <c r="ET19" s="211">
        <v>0</v>
      </c>
      <c r="EU19" s="211">
        <v>0</v>
      </c>
      <c r="EV19" s="211">
        <v>0</v>
      </c>
      <c r="EW19" s="211">
        <v>0</v>
      </c>
      <c r="EX19" s="211">
        <v>0</v>
      </c>
      <c r="EY19" s="211">
        <v>0</v>
      </c>
      <c r="EZ19" s="211">
        <v>0</v>
      </c>
      <c r="FA19" s="211">
        <v>0</v>
      </c>
      <c r="FB19" s="211">
        <v>0</v>
      </c>
      <c r="FC19" s="211">
        <v>0</v>
      </c>
      <c r="FD19" s="211">
        <v>0</v>
      </c>
      <c r="FE19" s="211">
        <v>0</v>
      </c>
      <c r="FF19" s="403">
        <f t="shared" si="44"/>
        <v>0</v>
      </c>
      <c r="FG19" s="700"/>
      <c r="FH19" s="700"/>
      <c r="IJ19" s="35"/>
      <c r="IK19" s="221"/>
      <c r="IL19" s="191"/>
      <c r="IM19" s="35"/>
      <c r="IN19" s="35"/>
      <c r="IO19" s="35"/>
      <c r="IP19" s="35"/>
      <c r="IQ19" s="35"/>
      <c r="IR19" s="35"/>
      <c r="IS19" s="35"/>
      <c r="IT19" s="35"/>
      <c r="IU19" s="35"/>
      <c r="IV19" s="35"/>
      <c r="IW19" s="35"/>
      <c r="IX19" s="35"/>
      <c r="IY19" s="35"/>
    </row>
    <row r="20" spans="1:259">
      <c r="A20" s="27" t="s">
        <v>226</v>
      </c>
      <c r="B20" s="110">
        <v>0</v>
      </c>
      <c r="C20" s="110">
        <v>0</v>
      </c>
      <c r="D20" s="110">
        <v>0</v>
      </c>
      <c r="E20" s="110">
        <v>0</v>
      </c>
      <c r="F20" s="110">
        <v>0</v>
      </c>
      <c r="G20" s="110">
        <v>0</v>
      </c>
      <c r="H20" s="110">
        <v>0</v>
      </c>
      <c r="I20" s="110">
        <v>0</v>
      </c>
      <c r="J20" s="110">
        <v>0</v>
      </c>
      <c r="K20" s="110">
        <v>0</v>
      </c>
      <c r="L20" s="110">
        <v>0</v>
      </c>
      <c r="M20" s="110">
        <v>0</v>
      </c>
      <c r="N20" s="110">
        <v>0</v>
      </c>
      <c r="O20" s="110">
        <v>0</v>
      </c>
      <c r="P20" s="110">
        <v>0</v>
      </c>
      <c r="Q20" s="110">
        <v>0</v>
      </c>
      <c r="R20" s="110">
        <v>0</v>
      </c>
      <c r="S20" s="110">
        <v>0</v>
      </c>
      <c r="T20" s="110">
        <v>0</v>
      </c>
      <c r="U20" s="110">
        <v>0</v>
      </c>
      <c r="V20" s="110">
        <v>0</v>
      </c>
      <c r="W20" s="110">
        <v>0</v>
      </c>
      <c r="X20" s="110">
        <v>0</v>
      </c>
      <c r="Y20" s="110">
        <v>0</v>
      </c>
      <c r="Z20" s="110">
        <v>0</v>
      </c>
      <c r="AA20" s="110">
        <v>0</v>
      </c>
      <c r="AB20" s="110">
        <v>0</v>
      </c>
      <c r="AC20" s="110">
        <v>0</v>
      </c>
      <c r="AD20" s="110">
        <v>0</v>
      </c>
      <c r="AE20" s="110">
        <v>0</v>
      </c>
      <c r="AF20" s="110">
        <v>0</v>
      </c>
      <c r="AG20" s="110">
        <v>0</v>
      </c>
      <c r="AH20" s="110">
        <v>0</v>
      </c>
      <c r="AI20" s="110">
        <v>0</v>
      </c>
      <c r="AJ20" s="110">
        <v>0</v>
      </c>
      <c r="AK20" s="110">
        <v>0</v>
      </c>
      <c r="AL20" s="110">
        <v>0</v>
      </c>
      <c r="AM20" s="205">
        <v>0</v>
      </c>
      <c r="AN20" s="205">
        <v>0</v>
      </c>
      <c r="AO20" s="205">
        <v>0</v>
      </c>
      <c r="AP20" s="205">
        <v>0</v>
      </c>
      <c r="AQ20" s="205">
        <v>0</v>
      </c>
      <c r="AR20" s="205">
        <v>0</v>
      </c>
      <c r="AS20" s="213">
        <v>0</v>
      </c>
      <c r="AT20" s="213">
        <v>0</v>
      </c>
      <c r="AU20" s="212">
        <v>0</v>
      </c>
      <c r="AV20" s="212">
        <v>0</v>
      </c>
      <c r="AW20" s="212">
        <v>0</v>
      </c>
      <c r="AX20" s="212">
        <v>0</v>
      </c>
      <c r="AY20" s="212">
        <v>0</v>
      </c>
      <c r="AZ20" s="212">
        <v>0</v>
      </c>
      <c r="BA20" s="347">
        <v>0</v>
      </c>
      <c r="BB20" s="347">
        <v>0</v>
      </c>
      <c r="BC20" s="347">
        <v>0</v>
      </c>
      <c r="BD20" s="347">
        <v>0</v>
      </c>
      <c r="BE20" s="347">
        <v>0</v>
      </c>
      <c r="BF20" s="347">
        <v>0</v>
      </c>
      <c r="BG20" s="212">
        <v>0</v>
      </c>
      <c r="BH20" s="212">
        <v>0</v>
      </c>
      <c r="BI20" s="212">
        <v>0</v>
      </c>
      <c r="BJ20" s="212">
        <v>0</v>
      </c>
      <c r="BK20" s="212">
        <v>0</v>
      </c>
      <c r="BL20" s="212">
        <v>0</v>
      </c>
      <c r="BM20" s="212">
        <v>0</v>
      </c>
      <c r="BN20" s="212">
        <v>0</v>
      </c>
      <c r="BO20" s="212">
        <v>0</v>
      </c>
      <c r="BP20" s="212">
        <v>0</v>
      </c>
      <c r="BQ20" s="212">
        <v>0</v>
      </c>
      <c r="BR20" s="212">
        <v>0</v>
      </c>
      <c r="BS20" s="212">
        <v>0</v>
      </c>
      <c r="BT20" s="212">
        <v>0</v>
      </c>
      <c r="BU20" s="212">
        <v>0</v>
      </c>
      <c r="BV20" s="212">
        <v>0</v>
      </c>
      <c r="BW20" s="212">
        <v>0</v>
      </c>
      <c r="BX20" s="212">
        <v>0</v>
      </c>
      <c r="BY20" s="212">
        <v>0</v>
      </c>
      <c r="BZ20" s="212">
        <v>0</v>
      </c>
      <c r="CA20" s="212">
        <v>0</v>
      </c>
      <c r="CB20" s="212">
        <v>0</v>
      </c>
      <c r="CC20" s="212">
        <v>0</v>
      </c>
      <c r="CD20" s="212">
        <v>0</v>
      </c>
      <c r="CE20" s="212">
        <v>0</v>
      </c>
      <c r="CF20" s="212">
        <v>0</v>
      </c>
      <c r="CG20" s="212">
        <v>0</v>
      </c>
      <c r="CH20" s="212">
        <v>0</v>
      </c>
      <c r="CI20" s="212">
        <v>0</v>
      </c>
      <c r="CJ20" s="212">
        <v>0</v>
      </c>
      <c r="CK20" s="212">
        <v>0</v>
      </c>
      <c r="CL20" s="212">
        <v>0</v>
      </c>
      <c r="CM20" s="212">
        <v>0</v>
      </c>
      <c r="CN20" s="212">
        <v>0</v>
      </c>
      <c r="CO20" s="212">
        <v>0</v>
      </c>
      <c r="CP20" s="212">
        <v>0</v>
      </c>
      <c r="CQ20" s="212">
        <v>0</v>
      </c>
      <c r="CR20" s="212">
        <v>0</v>
      </c>
      <c r="CS20" s="212">
        <v>0</v>
      </c>
      <c r="CT20" s="212">
        <v>0</v>
      </c>
      <c r="CU20" s="212">
        <v>0</v>
      </c>
      <c r="CV20" s="212">
        <v>0</v>
      </c>
      <c r="CW20" s="212">
        <v>0</v>
      </c>
      <c r="CX20" s="212">
        <v>0</v>
      </c>
      <c r="CY20" s="212">
        <v>0</v>
      </c>
      <c r="CZ20" s="212">
        <v>0</v>
      </c>
      <c r="DA20" s="212">
        <v>0</v>
      </c>
      <c r="DB20" s="212">
        <v>0</v>
      </c>
      <c r="DC20" s="212">
        <v>0</v>
      </c>
      <c r="DD20" s="212">
        <v>0</v>
      </c>
      <c r="DE20" s="212">
        <v>0</v>
      </c>
      <c r="DF20" s="212">
        <v>0</v>
      </c>
      <c r="DG20" s="212">
        <v>0</v>
      </c>
      <c r="DH20" s="212">
        <v>0</v>
      </c>
      <c r="DI20" s="212">
        <v>0</v>
      </c>
      <c r="DJ20" s="212">
        <v>0</v>
      </c>
      <c r="DK20" s="212">
        <v>0</v>
      </c>
      <c r="DL20" s="212">
        <v>0</v>
      </c>
      <c r="DM20" s="212">
        <v>0</v>
      </c>
      <c r="DN20" s="212">
        <v>0</v>
      </c>
      <c r="DO20" s="212">
        <v>0</v>
      </c>
      <c r="DP20" s="212">
        <v>0</v>
      </c>
      <c r="DQ20" s="212">
        <v>0</v>
      </c>
      <c r="DR20" s="212">
        <v>0</v>
      </c>
      <c r="DS20" s="212">
        <v>0</v>
      </c>
      <c r="DT20" s="212">
        <v>0</v>
      </c>
      <c r="DU20" s="212">
        <v>0</v>
      </c>
      <c r="DV20" s="212">
        <v>0</v>
      </c>
      <c r="DW20" s="212">
        <v>0</v>
      </c>
      <c r="DX20" s="212">
        <v>0</v>
      </c>
      <c r="DY20" s="212">
        <v>0</v>
      </c>
      <c r="DZ20" s="212">
        <v>0</v>
      </c>
      <c r="EA20" s="212">
        <v>0</v>
      </c>
      <c r="EB20" s="212">
        <v>0</v>
      </c>
      <c r="EC20" s="212">
        <v>0</v>
      </c>
      <c r="ED20" s="212">
        <v>0</v>
      </c>
      <c r="EE20" s="212">
        <v>0</v>
      </c>
      <c r="EF20" s="212">
        <v>0</v>
      </c>
      <c r="EG20" s="212">
        <v>0</v>
      </c>
      <c r="EH20" s="212">
        <v>0</v>
      </c>
      <c r="EI20" s="212">
        <v>0</v>
      </c>
      <c r="EJ20" s="212">
        <v>0</v>
      </c>
      <c r="EK20" s="212">
        <v>0</v>
      </c>
      <c r="EL20" s="212">
        <v>0</v>
      </c>
      <c r="EM20" s="212">
        <v>0</v>
      </c>
      <c r="EN20" s="212">
        <v>0</v>
      </c>
      <c r="EO20" s="212">
        <v>0</v>
      </c>
      <c r="EP20" s="212">
        <v>0</v>
      </c>
      <c r="EQ20" s="212">
        <v>0</v>
      </c>
      <c r="ER20" s="212">
        <v>0</v>
      </c>
      <c r="ES20" s="212">
        <v>0</v>
      </c>
      <c r="ET20" s="212">
        <v>0</v>
      </c>
      <c r="EU20" s="212">
        <v>0</v>
      </c>
      <c r="EV20" s="212">
        <v>0</v>
      </c>
      <c r="EW20" s="212">
        <v>0</v>
      </c>
      <c r="EX20" s="212">
        <v>0</v>
      </c>
      <c r="EY20" s="212">
        <v>0</v>
      </c>
      <c r="EZ20" s="212">
        <v>0</v>
      </c>
      <c r="FA20" s="212">
        <v>0</v>
      </c>
      <c r="FB20" s="212">
        <v>0</v>
      </c>
      <c r="FC20" s="212">
        <v>0</v>
      </c>
      <c r="FD20" s="212">
        <v>0</v>
      </c>
      <c r="FE20" s="212">
        <v>0</v>
      </c>
      <c r="FF20" s="403">
        <f t="shared" si="44"/>
        <v>0</v>
      </c>
      <c r="FG20" s="700"/>
      <c r="FH20" s="700"/>
      <c r="IJ20" s="35"/>
      <c r="IK20" s="221"/>
      <c r="IL20" s="191"/>
      <c r="IM20" s="35"/>
      <c r="IN20" s="35"/>
      <c r="IO20" s="35"/>
      <c r="IP20" s="35"/>
      <c r="IQ20" s="35"/>
      <c r="IR20" s="35"/>
      <c r="IS20" s="35"/>
      <c r="IT20" s="35"/>
      <c r="IU20" s="35"/>
      <c r="IV20" s="35"/>
      <c r="IW20" s="35"/>
      <c r="IX20" s="35"/>
      <c r="IY20" s="35"/>
    </row>
    <row r="21" spans="1:259">
      <c r="A21" s="29" t="s">
        <v>227</v>
      </c>
      <c r="B21" s="111">
        <v>1571.0564299999999</v>
      </c>
      <c r="C21" s="111">
        <v>1022.3464300000001</v>
      </c>
      <c r="D21" s="111">
        <v>1520.01043</v>
      </c>
      <c r="E21" s="111">
        <v>1828.91543</v>
      </c>
      <c r="F21" s="111">
        <v>2102.8054300000003</v>
      </c>
      <c r="G21" s="111">
        <v>1285.74443</v>
      </c>
      <c r="H21" s="111">
        <v>1648.4514299999998</v>
      </c>
      <c r="I21" s="111">
        <v>1831.6244299999998</v>
      </c>
      <c r="J21" s="111">
        <v>1213.90443</v>
      </c>
      <c r="K21" s="111">
        <v>1293.29943</v>
      </c>
      <c r="L21" s="111">
        <v>1478.8074299999998</v>
      </c>
      <c r="M21" s="111">
        <v>927.96043000000009</v>
      </c>
      <c r="N21" s="111">
        <v>1297.0094299999998</v>
      </c>
      <c r="O21" s="111">
        <v>1348</v>
      </c>
      <c r="P21" s="111">
        <v>1202</v>
      </c>
      <c r="Q21" s="111">
        <v>1186</v>
      </c>
      <c r="R21" s="111">
        <v>1570</v>
      </c>
      <c r="S21" s="111">
        <v>919</v>
      </c>
      <c r="T21" s="111">
        <v>1330</v>
      </c>
      <c r="U21" s="111">
        <v>1530</v>
      </c>
      <c r="V21" s="111">
        <v>1329</v>
      </c>
      <c r="W21" s="111">
        <v>1765</v>
      </c>
      <c r="X21" s="111">
        <v>2091</v>
      </c>
      <c r="Y21" s="111">
        <v>1363</v>
      </c>
      <c r="Z21" s="111">
        <v>1574</v>
      </c>
      <c r="AA21" s="111">
        <v>1614</v>
      </c>
      <c r="AB21" s="111">
        <v>1036</v>
      </c>
      <c r="AC21" s="111">
        <v>1357.47</v>
      </c>
      <c r="AD21" s="111">
        <v>1010</v>
      </c>
      <c r="AE21" s="111">
        <v>668</v>
      </c>
      <c r="AF21" s="111">
        <v>757.42141000000004</v>
      </c>
      <c r="AG21" s="111">
        <v>980</v>
      </c>
      <c r="AH21" s="111">
        <v>745</v>
      </c>
      <c r="AI21" s="111">
        <v>672.99215000000015</v>
      </c>
      <c r="AJ21" s="111">
        <v>808.23779000000002</v>
      </c>
      <c r="AK21" s="111">
        <v>488.38484000000005</v>
      </c>
      <c r="AL21" s="111">
        <v>629.71031999999991</v>
      </c>
      <c r="AM21" s="111">
        <v>567.81355000000008</v>
      </c>
      <c r="AN21" s="111">
        <v>636.83618999999999</v>
      </c>
      <c r="AO21" s="111">
        <v>981.64323000000002</v>
      </c>
      <c r="AP21" s="111">
        <v>1274.0989500000001</v>
      </c>
      <c r="AQ21" s="111">
        <v>1104.498</v>
      </c>
      <c r="AR21" s="111">
        <v>1411.75333</v>
      </c>
      <c r="AS21" s="111">
        <v>1610.63795</v>
      </c>
      <c r="AT21" s="111">
        <v>996.73739</v>
      </c>
      <c r="AU21" s="111">
        <v>1252.03628</v>
      </c>
      <c r="AV21" s="111">
        <v>764.98145999999997</v>
      </c>
      <c r="AW21" s="111">
        <v>996.40174999999999</v>
      </c>
      <c r="AX21" s="111">
        <v>1256.51947</v>
      </c>
      <c r="AY21" s="111">
        <v>791.08746999999994</v>
      </c>
      <c r="AZ21" s="111">
        <v>898.28373999999997</v>
      </c>
      <c r="BA21" s="111">
        <v>1072.2861399999999</v>
      </c>
      <c r="BB21" s="111">
        <v>690.73743999999999</v>
      </c>
      <c r="BC21" s="111">
        <v>1021.32838</v>
      </c>
      <c r="BD21" s="111">
        <v>1227.8196399999999</v>
      </c>
      <c r="BE21" s="111">
        <v>789.78665999999998</v>
      </c>
      <c r="BF21" s="111">
        <v>968.31389000000001</v>
      </c>
      <c r="BG21" s="111">
        <v>1230.76161</v>
      </c>
      <c r="BH21" s="111">
        <v>805.46203000000003</v>
      </c>
      <c r="BI21" s="111">
        <v>1003.2940699999999</v>
      </c>
      <c r="BJ21" s="111">
        <v>1072.04739</v>
      </c>
      <c r="BK21" s="111">
        <v>665.43833999999993</v>
      </c>
      <c r="BL21" s="111">
        <v>833.78544999999997</v>
      </c>
      <c r="BM21" s="111">
        <v>1026.6660200000001</v>
      </c>
      <c r="BN21" s="111">
        <v>1417.44109</v>
      </c>
      <c r="BO21" s="111">
        <v>1096.97909</v>
      </c>
      <c r="BP21" s="111">
        <v>1247.7423799999999</v>
      </c>
      <c r="BQ21" s="111">
        <v>570.27496999999994</v>
      </c>
      <c r="BR21" s="111">
        <v>794.63467000000003</v>
      </c>
      <c r="BS21" s="111">
        <v>1010.9288399999999</v>
      </c>
      <c r="BT21" s="111">
        <v>671.65309000000002</v>
      </c>
      <c r="BU21" s="111">
        <v>842.69667000000004</v>
      </c>
      <c r="BV21" s="111">
        <v>1066.0349099999999</v>
      </c>
      <c r="BW21" s="111">
        <v>1196.26839</v>
      </c>
      <c r="BX21" s="111">
        <v>846.35731999999996</v>
      </c>
      <c r="BY21" s="111">
        <v>1550.1913300000001</v>
      </c>
      <c r="BZ21" s="111">
        <v>1846.4717900000001</v>
      </c>
      <c r="CA21" s="111">
        <v>1665.4819399999999</v>
      </c>
      <c r="CB21" s="111">
        <v>1768.1379099999999</v>
      </c>
      <c r="CC21" s="111">
        <v>1890.20372</v>
      </c>
      <c r="CD21" s="111">
        <v>817.69690000000003</v>
      </c>
      <c r="CE21" s="111">
        <v>451.27073999999999</v>
      </c>
      <c r="CF21" s="111">
        <v>666.14198999999996</v>
      </c>
      <c r="CG21" s="111">
        <v>943.90738999999996</v>
      </c>
      <c r="CH21" s="111">
        <v>1124.1783799999998</v>
      </c>
      <c r="CI21" s="111">
        <v>1893.57475</v>
      </c>
      <c r="CJ21" s="111">
        <v>1455.0906100000002</v>
      </c>
      <c r="CK21" s="111">
        <v>1676.4076499999999</v>
      </c>
      <c r="CL21" s="111">
        <f t="shared" ref="CL21:CW21" si="45">SUM(CL18:CL20)</f>
        <v>2030.34005</v>
      </c>
      <c r="CM21" s="111">
        <f t="shared" si="45"/>
        <v>1185.82446</v>
      </c>
      <c r="CN21" s="111">
        <f t="shared" si="45"/>
        <v>1472.99361</v>
      </c>
      <c r="CO21" s="111">
        <f t="shared" si="45"/>
        <v>1619.9621599999998</v>
      </c>
      <c r="CP21" s="111">
        <f t="shared" si="45"/>
        <v>1068.5400500000001</v>
      </c>
      <c r="CQ21" s="111">
        <f t="shared" si="45"/>
        <v>915.17888000000005</v>
      </c>
      <c r="CR21" s="111">
        <f t="shared" si="45"/>
        <v>1208.4352699999999</v>
      </c>
      <c r="CS21" s="111">
        <f t="shared" si="45"/>
        <v>564.15692000000001</v>
      </c>
      <c r="CT21" s="111">
        <f t="shared" si="45"/>
        <v>862.12744999999995</v>
      </c>
      <c r="CU21" s="111">
        <f t="shared" si="45"/>
        <v>1107.73821</v>
      </c>
      <c r="CV21" s="111">
        <f t="shared" si="45"/>
        <v>1166.60979</v>
      </c>
      <c r="CW21" s="111">
        <f t="shared" si="45"/>
        <v>1715.6787099999999</v>
      </c>
      <c r="CX21" s="111">
        <f t="shared" ref="CX21:DC21" si="46">SUM(CX18:CX20)</f>
        <v>2142.9444600000002</v>
      </c>
      <c r="CY21" s="111">
        <f t="shared" si="46"/>
        <v>1123.29252</v>
      </c>
      <c r="CZ21" s="111">
        <f t="shared" si="46"/>
        <v>1235.8950199999999</v>
      </c>
      <c r="DA21" s="111">
        <f t="shared" si="46"/>
        <v>1742.17374</v>
      </c>
      <c r="DB21" s="111">
        <f t="shared" si="46"/>
        <v>1049.7999199999999</v>
      </c>
      <c r="DC21" s="111">
        <f t="shared" si="46"/>
        <v>1272.4601100000002</v>
      </c>
      <c r="DD21" s="111">
        <f t="shared" ref="DD21:DI21" si="47">SUM(DD18:DD20)</f>
        <v>1562.0039400000001</v>
      </c>
      <c r="DE21" s="111">
        <f t="shared" si="47"/>
        <v>760.63626999999997</v>
      </c>
      <c r="DF21" s="111">
        <f t="shared" si="47"/>
        <v>935.10873000000004</v>
      </c>
      <c r="DG21" s="111">
        <f t="shared" si="47"/>
        <v>1188.78576</v>
      </c>
      <c r="DH21" s="111">
        <f t="shared" si="47"/>
        <v>777.88049000000001</v>
      </c>
      <c r="DI21" s="111">
        <f t="shared" si="47"/>
        <v>1195.21766</v>
      </c>
      <c r="DJ21" s="111">
        <f t="shared" ref="DJ21:DP21" si="48">SUM(DJ18:DJ20)</f>
        <v>1451.86625</v>
      </c>
      <c r="DK21" s="111">
        <f t="shared" si="48"/>
        <v>823.64361999999994</v>
      </c>
      <c r="DL21" s="111">
        <f t="shared" si="48"/>
        <v>1284.7723600000002</v>
      </c>
      <c r="DM21" s="111">
        <f t="shared" si="48"/>
        <v>1701.8793799999999</v>
      </c>
      <c r="DN21" s="111">
        <f t="shared" si="48"/>
        <v>1022.39748</v>
      </c>
      <c r="DO21" s="111">
        <f t="shared" si="48"/>
        <v>1256.9318000000001</v>
      </c>
      <c r="DP21" s="111">
        <f t="shared" si="48"/>
        <v>1595.8619199999998</v>
      </c>
      <c r="DQ21" s="111">
        <f t="shared" ref="DQ21:DX21" si="49">SUM(DQ18:DQ20)</f>
        <v>1079.8651299999999</v>
      </c>
      <c r="DR21" s="111">
        <f t="shared" si="49"/>
        <v>1299.02946</v>
      </c>
      <c r="DS21" s="111">
        <f t="shared" si="49"/>
        <v>1496.62032</v>
      </c>
      <c r="DT21" s="111">
        <f t="shared" si="49"/>
        <v>673.25096999999994</v>
      </c>
      <c r="DU21" s="111">
        <f t="shared" si="49"/>
        <v>902.04340999999999</v>
      </c>
      <c r="DV21" s="111">
        <f t="shared" si="49"/>
        <v>1028.3160500000001</v>
      </c>
      <c r="DW21" s="111">
        <f t="shared" si="49"/>
        <v>832.64310999999998</v>
      </c>
      <c r="DX21" s="111">
        <f t="shared" si="49"/>
        <v>926.54253000000006</v>
      </c>
      <c r="DY21" s="111">
        <f t="shared" ref="DY21:ED21" si="50">SUM(DY18:DY20)</f>
        <v>1260.9897699999999</v>
      </c>
      <c r="DZ21" s="111">
        <f t="shared" si="50"/>
        <v>1026.2549300000001</v>
      </c>
      <c r="EA21" s="111">
        <f t="shared" si="50"/>
        <v>1250.5963700000002</v>
      </c>
      <c r="EB21" s="111">
        <f t="shared" si="50"/>
        <v>1439.03629</v>
      </c>
      <c r="EC21" s="111">
        <f t="shared" si="50"/>
        <v>781.25278000000003</v>
      </c>
      <c r="ED21" s="111">
        <f t="shared" si="50"/>
        <v>1020.48308</v>
      </c>
      <c r="EE21" s="111">
        <f t="shared" ref="EE21:EJ21" si="51">SUM(EE18:EE20)</f>
        <v>1371.2764999999999</v>
      </c>
      <c r="EF21" s="111">
        <f t="shared" si="51"/>
        <v>841.29766000000006</v>
      </c>
      <c r="EG21" s="111">
        <f t="shared" si="51"/>
        <v>1208.3459700000001</v>
      </c>
      <c r="EH21" s="111">
        <f t="shared" si="51"/>
        <v>1542.4809399999999</v>
      </c>
      <c r="EI21" s="111">
        <f t="shared" si="51"/>
        <v>1003.46887</v>
      </c>
      <c r="EJ21" s="111">
        <f t="shared" si="51"/>
        <v>1278.8301899999999</v>
      </c>
      <c r="EK21" s="111">
        <f t="shared" ref="EK21:EP21" si="52">SUM(EK18:EK20)</f>
        <v>612.94316000000003</v>
      </c>
      <c r="EL21" s="111">
        <f t="shared" si="52"/>
        <v>1003.45624</v>
      </c>
      <c r="EM21" s="111">
        <f t="shared" si="52"/>
        <v>1274.9468200000001</v>
      </c>
      <c r="EN21" s="111">
        <f t="shared" si="52"/>
        <v>1549.0675700000002</v>
      </c>
      <c r="EO21" s="111">
        <f t="shared" si="52"/>
        <v>892.66068999999993</v>
      </c>
      <c r="EP21" s="111">
        <f t="shared" si="52"/>
        <v>1188.4883400000001</v>
      </c>
      <c r="EQ21" s="111">
        <f t="shared" ref="EQ21:FF21" si="53">SUM(EQ18:EQ20)</f>
        <v>1502.23612</v>
      </c>
      <c r="ER21" s="111">
        <f t="shared" si="53"/>
        <v>868.33180000000004</v>
      </c>
      <c r="ES21" s="111">
        <f t="shared" si="53"/>
        <v>1027.7767200000001</v>
      </c>
      <c r="ET21" s="111">
        <f t="shared" si="53"/>
        <v>1172.7731200000001</v>
      </c>
      <c r="EU21" s="111">
        <f t="shared" si="53"/>
        <v>679.78675999999996</v>
      </c>
      <c r="EV21" s="111">
        <f t="shared" si="53"/>
        <v>1153.4104499999999</v>
      </c>
      <c r="EW21" s="111">
        <f t="shared" ref="EW21:EY21" si="54">SUM(EW18:EW20)</f>
        <v>538.84781999999996</v>
      </c>
      <c r="EX21" s="111">
        <f t="shared" si="54"/>
        <v>814.85322999999994</v>
      </c>
      <c r="EY21" s="111">
        <f t="shared" si="54"/>
        <v>1037.8276000000001</v>
      </c>
      <c r="EZ21" s="111">
        <f t="shared" ref="EZ21:FB21" si="55">SUM(EZ18:EZ20)</f>
        <v>1474.4403300000001</v>
      </c>
      <c r="FA21" s="111">
        <f t="shared" si="55"/>
        <v>1006.0719200000001</v>
      </c>
      <c r="FB21" s="111">
        <f t="shared" si="55"/>
        <v>1343.62769</v>
      </c>
      <c r="FC21" s="111">
        <f t="shared" ref="FC21:FE21" si="56">SUM(FC18:FC20)</f>
        <v>532.97133999999994</v>
      </c>
      <c r="FD21" s="111">
        <f t="shared" si="56"/>
        <v>833.07556999999997</v>
      </c>
      <c r="FE21" s="111">
        <f t="shared" si="56"/>
        <v>846.20452</v>
      </c>
      <c r="FF21" s="360">
        <f t="shared" si="53"/>
        <v>958.58977461538461</v>
      </c>
      <c r="FG21" s="111"/>
      <c r="FH21" s="111"/>
      <c r="IJ21" s="35"/>
      <c r="IK21" s="220"/>
      <c r="IL21" s="191"/>
      <c r="IM21" s="35"/>
      <c r="IN21" s="35"/>
      <c r="IO21" s="35"/>
      <c r="IP21" s="35"/>
      <c r="IQ21" s="35"/>
      <c r="IR21" s="35"/>
      <c r="IS21" s="35"/>
      <c r="IT21" s="35"/>
      <c r="IU21" s="35"/>
      <c r="IV21" s="35"/>
      <c r="IW21" s="35"/>
      <c r="IX21" s="35"/>
      <c r="IY21" s="35"/>
    </row>
    <row r="22" spans="1:259">
      <c r="A22" s="30"/>
      <c r="B22" s="111">
        <v>0</v>
      </c>
      <c r="C22" s="111">
        <v>0</v>
      </c>
      <c r="D22" s="111">
        <v>0</v>
      </c>
      <c r="E22" s="111">
        <v>0</v>
      </c>
      <c r="F22" s="111">
        <v>0</v>
      </c>
      <c r="G22" s="111">
        <v>0</v>
      </c>
      <c r="H22" s="111">
        <v>0</v>
      </c>
      <c r="I22" s="111">
        <v>0</v>
      </c>
      <c r="J22" s="111">
        <v>0</v>
      </c>
      <c r="K22" s="111">
        <v>0</v>
      </c>
      <c r="L22" s="111">
        <v>0</v>
      </c>
      <c r="M22" s="111">
        <v>0</v>
      </c>
      <c r="N22" s="111">
        <v>0</v>
      </c>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M22" s="111"/>
      <c r="EN22" s="111"/>
      <c r="EO22" s="111"/>
      <c r="EP22" s="111"/>
      <c r="EQ22" s="111"/>
      <c r="ER22" s="111"/>
      <c r="ES22" s="111"/>
      <c r="ET22" s="111"/>
      <c r="EU22" s="111"/>
      <c r="EV22" s="111"/>
      <c r="EW22" s="111"/>
      <c r="EX22" s="111"/>
      <c r="EY22" s="111"/>
      <c r="EZ22" s="111"/>
      <c r="FA22" s="111"/>
      <c r="FB22" s="111"/>
      <c r="FC22" s="111"/>
      <c r="FD22" s="111"/>
      <c r="FE22" s="111"/>
      <c r="FF22" s="111"/>
      <c r="FG22" s="111"/>
      <c r="FH22" s="111"/>
      <c r="IJ22" s="35"/>
      <c r="IK22" s="220"/>
      <c r="IL22" s="191"/>
      <c r="IM22" s="35"/>
      <c r="IN22" s="35"/>
      <c r="IO22" s="35"/>
      <c r="IP22" s="35"/>
      <c r="IQ22" s="35"/>
      <c r="IR22" s="35"/>
      <c r="IS22" s="35"/>
      <c r="IT22" s="35"/>
      <c r="IU22" s="35"/>
      <c r="IV22" s="35"/>
      <c r="IW22" s="35"/>
      <c r="IX22" s="35"/>
      <c r="IY22" s="35"/>
    </row>
    <row r="23" spans="1:259">
      <c r="A23" s="34" t="s">
        <v>228</v>
      </c>
      <c r="B23" s="111">
        <v>0</v>
      </c>
      <c r="C23" s="111">
        <v>0</v>
      </c>
      <c r="D23" s="111">
        <v>0</v>
      </c>
      <c r="E23" s="111">
        <v>0</v>
      </c>
      <c r="F23" s="111">
        <v>0</v>
      </c>
      <c r="G23" s="111">
        <v>0</v>
      </c>
      <c r="H23" s="111">
        <v>0</v>
      </c>
      <c r="I23" s="111">
        <v>0</v>
      </c>
      <c r="J23" s="111">
        <v>0</v>
      </c>
      <c r="K23" s="111">
        <v>0</v>
      </c>
      <c r="L23" s="111">
        <v>0</v>
      </c>
      <c r="M23" s="111">
        <v>0</v>
      </c>
      <c r="N23" s="111">
        <v>0</v>
      </c>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38" t="s">
        <v>522</v>
      </c>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M23" s="111"/>
      <c r="EN23" s="111"/>
      <c r="EO23" s="111"/>
      <c r="EP23" s="111"/>
      <c r="EQ23" s="111"/>
      <c r="ER23" s="111"/>
      <c r="ES23" s="111"/>
      <c r="ET23" s="111"/>
      <c r="EU23" s="111"/>
      <c r="EV23" s="111"/>
      <c r="EW23" s="111"/>
      <c r="EX23" s="111"/>
      <c r="EY23" s="111"/>
      <c r="EZ23" s="111"/>
      <c r="FA23" s="111"/>
      <c r="FB23" s="111"/>
      <c r="FC23" s="111"/>
      <c r="FD23" s="111"/>
      <c r="FE23" s="111"/>
      <c r="FF23" s="111"/>
      <c r="FG23" s="111"/>
      <c r="FH23" s="111"/>
      <c r="IJ23" s="35"/>
      <c r="IK23" s="220"/>
      <c r="IL23" s="191"/>
      <c r="IM23" s="35"/>
      <c r="IN23" s="35"/>
      <c r="IO23" s="35"/>
      <c r="IP23" s="35"/>
      <c r="IQ23" s="35"/>
      <c r="IR23" s="35"/>
      <c r="IS23" s="35"/>
      <c r="IT23" s="35"/>
      <c r="IU23" s="35"/>
      <c r="IV23" s="35"/>
      <c r="IW23" s="35"/>
      <c r="IX23" s="35"/>
      <c r="IY23" s="35"/>
    </row>
    <row r="24" spans="1:259">
      <c r="A24" s="27" t="s">
        <v>229</v>
      </c>
      <c r="B24" s="107">
        <v>-1850.9234899999999</v>
      </c>
      <c r="C24" s="107">
        <v>12215.031509999999</v>
      </c>
      <c r="D24" s="107">
        <v>-8220.4684900000011</v>
      </c>
      <c r="E24" s="107">
        <v>93.941509999999781</v>
      </c>
      <c r="F24" s="107">
        <v>-3311.0734900000002</v>
      </c>
      <c r="G24" s="107">
        <v>462.60451</v>
      </c>
      <c r="H24" s="107">
        <v>7067.7655100000002</v>
      </c>
      <c r="I24" s="107">
        <v>963.81051000000002</v>
      </c>
      <c r="J24" s="107">
        <v>-2225.7694900000001</v>
      </c>
      <c r="K24" s="107">
        <v>-704.84049000000005</v>
      </c>
      <c r="L24" s="107">
        <v>4069.8105099999998</v>
      </c>
      <c r="M24" s="107">
        <v>-770.22448999999995</v>
      </c>
      <c r="N24" s="107">
        <v>2212.6585099999998</v>
      </c>
      <c r="O24" s="107">
        <v>8056</v>
      </c>
      <c r="P24" s="107">
        <v>-6162</v>
      </c>
      <c r="Q24" s="107">
        <v>-735</v>
      </c>
      <c r="R24" s="107">
        <v>791</v>
      </c>
      <c r="S24" s="107">
        <v>71</v>
      </c>
      <c r="T24" s="107">
        <v>20879</v>
      </c>
      <c r="U24" s="107">
        <v>18456</v>
      </c>
      <c r="V24" s="107">
        <v>-317</v>
      </c>
      <c r="W24" s="107">
        <v>-652</v>
      </c>
      <c r="X24" s="107">
        <v>6424</v>
      </c>
      <c r="Y24" s="107">
        <v>-931</v>
      </c>
      <c r="Z24" s="107">
        <v>1760</v>
      </c>
      <c r="AA24" s="107">
        <v>95</v>
      </c>
      <c r="AB24" s="107">
        <v>-8981</v>
      </c>
      <c r="AC24" s="107">
        <v>3277.5970000000002</v>
      </c>
      <c r="AD24" s="107">
        <v>15193</v>
      </c>
      <c r="AE24" s="107">
        <v>4459</v>
      </c>
      <c r="AF24" s="107">
        <v>3736</v>
      </c>
      <c r="AG24" s="107">
        <v>3998</v>
      </c>
      <c r="AH24" s="107">
        <v>2377</v>
      </c>
      <c r="AI24" s="107">
        <v>31961.128820000002</v>
      </c>
      <c r="AJ24" s="107">
        <v>38047.466719999997</v>
      </c>
      <c r="AK24" s="107">
        <v>5296.4186600000003</v>
      </c>
      <c r="AL24" s="107">
        <v>10496.154330000001</v>
      </c>
      <c r="AM24" s="187">
        <v>13656.476410000001</v>
      </c>
      <c r="AN24" s="187">
        <v>4308.4822300000005</v>
      </c>
      <c r="AO24" s="219">
        <v>4359.3335000000006</v>
      </c>
      <c r="AP24" s="219">
        <v>2557.6497300000001</v>
      </c>
      <c r="AQ24" s="219">
        <v>3238.8864400000002</v>
      </c>
      <c r="AR24" s="219">
        <v>10626.810069999998</v>
      </c>
      <c r="AS24" s="219">
        <v>16054.270150000002</v>
      </c>
      <c r="AT24" s="219">
        <v>13271.37804</v>
      </c>
      <c r="AU24" s="219">
        <v>18109.568039999995</v>
      </c>
      <c r="AV24" s="219">
        <v>16649.230999999996</v>
      </c>
      <c r="AW24" s="219">
        <v>11207.465979999999</v>
      </c>
      <c r="AX24" s="219">
        <v>2292.9294200000004</v>
      </c>
      <c r="AY24" s="178">
        <v>12277.3853</v>
      </c>
      <c r="AZ24" s="178">
        <v>2813.8578900000002</v>
      </c>
      <c r="BA24" s="330">
        <v>3261.02261</v>
      </c>
      <c r="BB24" s="330">
        <v>2806.5513500000002</v>
      </c>
      <c r="BC24" s="330">
        <v>3356.0370600000001</v>
      </c>
      <c r="BD24" s="330">
        <v>4514.6703200000002</v>
      </c>
      <c r="BE24" s="330">
        <v>2388.2084799999998</v>
      </c>
      <c r="BF24" s="330">
        <v>16073.285109999999</v>
      </c>
      <c r="BG24" s="211">
        <v>13138.25589</v>
      </c>
      <c r="BH24" s="211">
        <v>6354.5598399999999</v>
      </c>
      <c r="BI24" s="211">
        <v>2430.6103399999997</v>
      </c>
      <c r="BJ24" s="211">
        <v>2828.7623399999998</v>
      </c>
      <c r="BK24" s="211">
        <v>1627.96507</v>
      </c>
      <c r="BL24" s="211">
        <v>1098.5117</v>
      </c>
      <c r="BM24" s="211">
        <v>3821.0709500000003</v>
      </c>
      <c r="BN24" s="211">
        <v>2567.1213499999999</v>
      </c>
      <c r="BO24" s="211">
        <v>2312.6497400000003</v>
      </c>
      <c r="BP24" s="211">
        <v>6645.5946100000001</v>
      </c>
      <c r="BQ24" s="211">
        <v>2355.4582400000004</v>
      </c>
      <c r="BR24" s="211">
        <v>31675.094219999999</v>
      </c>
      <c r="BS24" s="211">
        <v>22628.1865</v>
      </c>
      <c r="BT24" s="211">
        <v>23994.350109999999</v>
      </c>
      <c r="BU24" s="211">
        <v>26607.939260000003</v>
      </c>
      <c r="BV24" s="211">
        <v>25154.667089999999</v>
      </c>
      <c r="BW24" s="211">
        <v>22362.8534</v>
      </c>
      <c r="BX24" s="211">
        <v>3347.3319500000002</v>
      </c>
      <c r="BY24" s="211">
        <v>4118.3245299999999</v>
      </c>
      <c r="BZ24" s="211">
        <v>3511.0649500000004</v>
      </c>
      <c r="CA24" s="211">
        <v>3416.4337700000001</v>
      </c>
      <c r="CB24" s="211">
        <v>20951.90654</v>
      </c>
      <c r="CC24" s="211">
        <v>1927.2960700000001</v>
      </c>
      <c r="CD24" s="211">
        <v>3695.5201499999998</v>
      </c>
      <c r="CE24" s="211">
        <v>3262.5855999999999</v>
      </c>
      <c r="CF24" s="211">
        <v>3174.2557099999999</v>
      </c>
      <c r="CG24" s="211">
        <v>2896.8185400000002</v>
      </c>
      <c r="CH24" s="211">
        <v>2234.21432</v>
      </c>
      <c r="CI24" s="211">
        <v>3331.0680899999998</v>
      </c>
      <c r="CJ24" s="211">
        <v>2021.5832</v>
      </c>
      <c r="CK24" s="211">
        <v>2842.4850499999998</v>
      </c>
      <c r="CL24" s="211">
        <v>-1311.8254899999999</v>
      </c>
      <c r="CM24" s="211">
        <v>7683.0090700000001</v>
      </c>
      <c r="CN24" s="211">
        <v>5527.9843600000004</v>
      </c>
      <c r="CO24" s="211">
        <v>10732.318499999999</v>
      </c>
      <c r="CP24" s="211">
        <v>13109.00223</v>
      </c>
      <c r="CQ24" s="211">
        <v>7235.2193799999995</v>
      </c>
      <c r="CR24" s="211">
        <v>9454.7994099999996</v>
      </c>
      <c r="CS24" s="211">
        <v>3982.9443300000003</v>
      </c>
      <c r="CT24" s="211">
        <v>9295.5920700000006</v>
      </c>
      <c r="CU24" s="211">
        <v>9556.7676699999993</v>
      </c>
      <c r="CV24" s="211">
        <v>9285.5061000000005</v>
      </c>
      <c r="CW24" s="211">
        <v>9677.3490099999999</v>
      </c>
      <c r="CX24" s="211">
        <v>7688.52376</v>
      </c>
      <c r="CY24" s="211">
        <v>10910.22869</v>
      </c>
      <c r="CZ24" s="211">
        <v>8678.5849899999994</v>
      </c>
      <c r="DA24" s="211">
        <v>7205.1813400000001</v>
      </c>
      <c r="DB24" s="211">
        <v>9524.5121199999994</v>
      </c>
      <c r="DC24" s="211">
        <v>8981.6409999999996</v>
      </c>
      <c r="DD24" s="211">
        <v>8637.22163</v>
      </c>
      <c r="DE24" s="211">
        <v>9145.0041000000001</v>
      </c>
      <c r="DF24" s="211">
        <v>9419.2051999999985</v>
      </c>
      <c r="DG24" s="211">
        <v>8961.32834</v>
      </c>
      <c r="DH24" s="211">
        <v>8984.9199200000003</v>
      </c>
      <c r="DI24" s="211">
        <v>8481.8151899999993</v>
      </c>
      <c r="DJ24" s="211">
        <v>9183.2239499999996</v>
      </c>
      <c r="DK24" s="211">
        <v>8750.163050000001</v>
      </c>
      <c r="DL24" s="211">
        <v>8471.5416300000015</v>
      </c>
      <c r="DM24" s="211">
        <v>8031.7285499999998</v>
      </c>
      <c r="DN24" s="211">
        <v>8438.4384800000007</v>
      </c>
      <c r="DO24" s="211">
        <v>8121.36625</v>
      </c>
      <c r="DP24" s="211">
        <v>7908.7163</v>
      </c>
      <c r="DQ24" s="211">
        <v>8508.869279999999</v>
      </c>
      <c r="DR24" s="211">
        <v>8534.6572899999992</v>
      </c>
      <c r="DS24" s="211">
        <v>7780.8382499999998</v>
      </c>
      <c r="DT24" s="211">
        <v>8085.6366500000004</v>
      </c>
      <c r="DU24" s="211">
        <v>8303.8692900000005</v>
      </c>
      <c r="DV24" s="211">
        <v>7302.5158499999998</v>
      </c>
      <c r="DW24" s="211">
        <v>8287.9159299999992</v>
      </c>
      <c r="DX24" s="211">
        <v>7325.8216299999995</v>
      </c>
      <c r="DY24" s="211">
        <v>8579.0919200000008</v>
      </c>
      <c r="DZ24" s="211">
        <v>7939.8649500000001</v>
      </c>
      <c r="EA24" s="211">
        <v>9217.2904699999999</v>
      </c>
      <c r="EB24" s="211">
        <v>8748.9912899999999</v>
      </c>
      <c r="EC24" s="211">
        <v>9091.1896799999995</v>
      </c>
      <c r="ED24" s="211">
        <v>8693.9527699999999</v>
      </c>
      <c r="EE24" s="211">
        <v>7909.4248299999999</v>
      </c>
      <c r="EF24" s="211">
        <v>-2329.2906499999999</v>
      </c>
      <c r="EG24" s="211">
        <v>0</v>
      </c>
      <c r="EH24" s="211">
        <v>-2689.7489300000002</v>
      </c>
      <c r="EI24" s="211">
        <v>-3162.0561400000001</v>
      </c>
      <c r="EJ24" s="211">
        <v>-11401.52347</v>
      </c>
      <c r="EK24" s="211">
        <v>-5509.3533399999997</v>
      </c>
      <c r="EL24" s="211">
        <v>-6460.9939800000002</v>
      </c>
      <c r="EM24" s="211">
        <v>-6949.0251900000003</v>
      </c>
      <c r="EN24" s="211">
        <v>-7398.45363</v>
      </c>
      <c r="EO24" s="211">
        <v>-8227.6177100000004</v>
      </c>
      <c r="EP24" s="211">
        <v>-7765.8545400000003</v>
      </c>
      <c r="EQ24" s="211">
        <v>-7470.3617300000005</v>
      </c>
      <c r="ER24" s="211">
        <v>-7735.3893499999995</v>
      </c>
      <c r="ES24" s="211">
        <v>2104.29709</v>
      </c>
      <c r="ET24" s="211">
        <v>2421.36841</v>
      </c>
      <c r="EU24" s="211">
        <v>2914.0834199999999</v>
      </c>
      <c r="EV24" s="211">
        <v>2916.9857900000002</v>
      </c>
      <c r="EW24" s="211">
        <v>3086.2512999999999</v>
      </c>
      <c r="EX24" s="211">
        <v>3094.2603399999998</v>
      </c>
      <c r="EY24" s="211">
        <v>3178.44407</v>
      </c>
      <c r="EZ24" s="211">
        <v>3526.5861299999997</v>
      </c>
      <c r="FA24" s="211">
        <v>3591.6478399999996</v>
      </c>
      <c r="FB24" s="211">
        <v>3683.8454400000001</v>
      </c>
      <c r="FC24" s="211">
        <f>(VLOOKUP("131",'Input BS ACCTS'!$A$5:$DH$1058,110,FALSE))/1000</f>
        <v>4119.3302000000003</v>
      </c>
      <c r="FD24" s="211">
        <f>(VLOOKUP("131",'Input BS ACCTS'!$A$5:$DH$1058,111,FALSE))/1000</f>
        <v>3693.1476899999998</v>
      </c>
      <c r="FE24" s="211">
        <f>(VLOOKUP("131",'Input BS ACCTS'!$A$5:$DH$1058,112,FALSE))/1000</f>
        <v>3398.83122</v>
      </c>
      <c r="FF24" s="403">
        <f t="shared" ref="FF24:FF40" si="57">SUM(ES24:FE24)/13</f>
        <v>3209.9291492307693</v>
      </c>
      <c r="FG24" s="700"/>
      <c r="FH24" s="700"/>
      <c r="IJ24" s="35"/>
      <c r="IK24" s="221"/>
      <c r="IL24" s="191"/>
      <c r="IM24" s="35"/>
      <c r="IN24" s="35"/>
      <c r="IO24" s="35"/>
      <c r="IP24" s="35"/>
      <c r="IQ24" s="35"/>
      <c r="IR24" s="35"/>
      <c r="IS24" s="35"/>
      <c r="IT24" s="35"/>
      <c r="IU24" s="35"/>
      <c r="IV24" s="35"/>
      <c r="IW24" s="35"/>
      <c r="IX24" s="35"/>
      <c r="IY24" s="35"/>
    </row>
    <row r="25" spans="1:259">
      <c r="A25" s="27" t="s">
        <v>230</v>
      </c>
      <c r="B25" s="107">
        <v>25</v>
      </c>
      <c r="C25" s="107">
        <v>25</v>
      </c>
      <c r="D25" s="107">
        <v>25</v>
      </c>
      <c r="E25" s="107">
        <v>25</v>
      </c>
      <c r="F25" s="107">
        <v>25</v>
      </c>
      <c r="G25" s="107">
        <v>25</v>
      </c>
      <c r="H25" s="107">
        <v>25</v>
      </c>
      <c r="I25" s="107">
        <v>25</v>
      </c>
      <c r="J25" s="107">
        <v>25</v>
      </c>
      <c r="K25" s="107">
        <v>25</v>
      </c>
      <c r="L25" s="107">
        <v>25</v>
      </c>
      <c r="M25" s="107">
        <v>25</v>
      </c>
      <c r="N25" s="107">
        <v>25</v>
      </c>
      <c r="O25" s="107">
        <v>25</v>
      </c>
      <c r="P25" s="107">
        <v>25</v>
      </c>
      <c r="Q25" s="107">
        <v>25</v>
      </c>
      <c r="R25" s="107">
        <v>25</v>
      </c>
      <c r="S25" s="107">
        <v>25</v>
      </c>
      <c r="T25" s="107">
        <v>25</v>
      </c>
      <c r="U25" s="107">
        <v>25</v>
      </c>
      <c r="V25" s="107">
        <v>25</v>
      </c>
      <c r="W25" s="107">
        <v>25</v>
      </c>
      <c r="X25" s="107">
        <v>25</v>
      </c>
      <c r="Y25" s="107">
        <v>25</v>
      </c>
      <c r="Z25" s="107">
        <v>25</v>
      </c>
      <c r="AA25" s="107">
        <v>25</v>
      </c>
      <c r="AB25" s="107">
        <v>25</v>
      </c>
      <c r="AC25" s="107">
        <v>25</v>
      </c>
      <c r="AD25" s="107">
        <v>25</v>
      </c>
      <c r="AE25" s="107">
        <v>25</v>
      </c>
      <c r="AF25" s="107">
        <v>25</v>
      </c>
      <c r="AG25" s="107">
        <v>25</v>
      </c>
      <c r="AH25" s="107">
        <v>25</v>
      </c>
      <c r="AI25" s="107">
        <v>25</v>
      </c>
      <c r="AJ25" s="107">
        <v>25</v>
      </c>
      <c r="AK25" s="107">
        <v>25</v>
      </c>
      <c r="AL25" s="107">
        <v>25</v>
      </c>
      <c r="AM25" s="187">
        <v>25</v>
      </c>
      <c r="AN25" s="187">
        <v>25</v>
      </c>
      <c r="AO25" s="219">
        <v>25</v>
      </c>
      <c r="AP25" s="219">
        <v>25</v>
      </c>
      <c r="AQ25" s="219">
        <v>25</v>
      </c>
      <c r="AR25" s="219">
        <v>25</v>
      </c>
      <c r="AS25" s="219">
        <v>0</v>
      </c>
      <c r="AT25" s="219">
        <v>0</v>
      </c>
      <c r="AU25" s="219">
        <v>0</v>
      </c>
      <c r="AV25" s="219">
        <v>0</v>
      </c>
      <c r="AW25" s="219">
        <v>0</v>
      </c>
      <c r="AX25" s="219">
        <v>0</v>
      </c>
      <c r="AY25" s="178">
        <v>0</v>
      </c>
      <c r="AZ25" s="178">
        <v>0</v>
      </c>
      <c r="BA25" s="330">
        <v>0</v>
      </c>
      <c r="BB25" s="330">
        <v>0</v>
      </c>
      <c r="BC25" s="330">
        <v>0</v>
      </c>
      <c r="BD25" s="330">
        <v>0</v>
      </c>
      <c r="BE25" s="330">
        <v>0</v>
      </c>
      <c r="BF25" s="330">
        <v>0</v>
      </c>
      <c r="BG25" s="211">
        <v>0</v>
      </c>
      <c r="BH25" s="211">
        <v>0</v>
      </c>
      <c r="BI25" s="211">
        <v>0</v>
      </c>
      <c r="BJ25" s="211">
        <v>0</v>
      </c>
      <c r="BK25" s="211">
        <v>0</v>
      </c>
      <c r="BL25" s="211">
        <v>0</v>
      </c>
      <c r="BM25" s="211">
        <v>0</v>
      </c>
      <c r="BN25" s="211">
        <v>0</v>
      </c>
      <c r="BO25" s="211">
        <v>0</v>
      </c>
      <c r="BP25" s="211">
        <v>0</v>
      </c>
      <c r="BQ25" s="211">
        <v>0</v>
      </c>
      <c r="BR25" s="211">
        <v>0</v>
      </c>
      <c r="BS25" s="211">
        <v>0</v>
      </c>
      <c r="BT25" s="211">
        <v>0</v>
      </c>
      <c r="BU25" s="211">
        <v>0</v>
      </c>
      <c r="BV25" s="211">
        <v>0</v>
      </c>
      <c r="BW25" s="211">
        <v>0</v>
      </c>
      <c r="BX25" s="211">
        <v>0</v>
      </c>
      <c r="BY25" s="211">
        <v>0</v>
      </c>
      <c r="BZ25" s="211">
        <v>0</v>
      </c>
      <c r="CA25" s="211">
        <v>0</v>
      </c>
      <c r="CB25" s="211">
        <v>0</v>
      </c>
      <c r="CC25" s="211">
        <v>0</v>
      </c>
      <c r="CD25" s="211">
        <v>0</v>
      </c>
      <c r="CE25" s="211">
        <v>0</v>
      </c>
      <c r="CF25" s="211">
        <v>0</v>
      </c>
      <c r="CG25" s="211">
        <v>0</v>
      </c>
      <c r="CH25" s="211">
        <v>0</v>
      </c>
      <c r="CI25" s="211">
        <v>0</v>
      </c>
      <c r="CJ25" s="211">
        <v>0</v>
      </c>
      <c r="CK25" s="211">
        <v>0</v>
      </c>
      <c r="CL25" s="211">
        <v>0</v>
      </c>
      <c r="CM25" s="211">
        <v>0</v>
      </c>
      <c r="CN25" s="211">
        <v>0</v>
      </c>
      <c r="CO25" s="211">
        <v>0</v>
      </c>
      <c r="CP25" s="211">
        <v>0</v>
      </c>
      <c r="CQ25" s="211">
        <v>0</v>
      </c>
      <c r="CR25" s="211">
        <v>0</v>
      </c>
      <c r="CS25" s="211">
        <v>0</v>
      </c>
      <c r="CT25" s="211">
        <v>0</v>
      </c>
      <c r="CU25" s="211">
        <v>0</v>
      </c>
      <c r="CV25" s="211">
        <v>0</v>
      </c>
      <c r="CW25" s="211">
        <v>0</v>
      </c>
      <c r="CX25" s="211">
        <v>0</v>
      </c>
      <c r="CY25" s="211">
        <v>0</v>
      </c>
      <c r="CZ25" s="211">
        <v>0</v>
      </c>
      <c r="DA25" s="211">
        <v>0</v>
      </c>
      <c r="DB25" s="211">
        <v>0</v>
      </c>
      <c r="DC25" s="211">
        <v>0</v>
      </c>
      <c r="DD25" s="211">
        <v>0</v>
      </c>
      <c r="DE25" s="211">
        <v>0</v>
      </c>
      <c r="DF25" s="211">
        <v>0</v>
      </c>
      <c r="DG25" s="211">
        <v>0</v>
      </c>
      <c r="DH25" s="211">
        <v>0</v>
      </c>
      <c r="DI25" s="211">
        <v>0</v>
      </c>
      <c r="DJ25" s="211">
        <v>0</v>
      </c>
      <c r="DK25" s="211">
        <v>0</v>
      </c>
      <c r="DL25" s="211">
        <v>0</v>
      </c>
      <c r="DM25" s="211">
        <v>0</v>
      </c>
      <c r="DN25" s="211">
        <v>0</v>
      </c>
      <c r="DO25" s="211">
        <v>0</v>
      </c>
      <c r="DP25" s="211">
        <v>0</v>
      </c>
      <c r="DQ25" s="211">
        <v>0</v>
      </c>
      <c r="DR25" s="211">
        <v>0</v>
      </c>
      <c r="DS25" s="211">
        <v>0</v>
      </c>
      <c r="DT25" s="211">
        <v>0</v>
      </c>
      <c r="DU25" s="211">
        <v>0</v>
      </c>
      <c r="DV25" s="211">
        <v>0</v>
      </c>
      <c r="DW25" s="211">
        <v>0</v>
      </c>
      <c r="DX25" s="211">
        <v>0</v>
      </c>
      <c r="DY25" s="211">
        <v>0</v>
      </c>
      <c r="DZ25" s="211">
        <v>0</v>
      </c>
      <c r="EA25" s="211">
        <v>0</v>
      </c>
      <c r="EB25" s="211">
        <v>0</v>
      </c>
      <c r="EC25" s="211">
        <v>0</v>
      </c>
      <c r="ED25" s="211">
        <v>0</v>
      </c>
      <c r="EE25" s="211">
        <v>0</v>
      </c>
      <c r="EF25" s="211">
        <v>0</v>
      </c>
      <c r="EG25" s="211">
        <v>0</v>
      </c>
      <c r="EH25" s="211">
        <v>0</v>
      </c>
      <c r="EI25" s="211">
        <v>0</v>
      </c>
      <c r="EJ25" s="211">
        <v>0</v>
      </c>
      <c r="EK25" s="211">
        <v>0</v>
      </c>
      <c r="EL25" s="211">
        <v>0</v>
      </c>
      <c r="EM25" s="211">
        <v>0</v>
      </c>
      <c r="EN25" s="211">
        <v>0</v>
      </c>
      <c r="EO25" s="211">
        <v>0</v>
      </c>
      <c r="EP25" s="211">
        <v>0</v>
      </c>
      <c r="EQ25" s="211">
        <v>0</v>
      </c>
      <c r="ER25" s="211">
        <v>0</v>
      </c>
      <c r="ES25" s="211">
        <v>0</v>
      </c>
      <c r="ET25" s="211">
        <v>0</v>
      </c>
      <c r="EU25" s="211">
        <v>0</v>
      </c>
      <c r="EV25" s="211">
        <v>0</v>
      </c>
      <c r="EW25" s="211">
        <v>0</v>
      </c>
      <c r="EX25" s="211">
        <v>0</v>
      </c>
      <c r="EY25" s="211">
        <v>0</v>
      </c>
      <c r="EZ25" s="211">
        <v>0</v>
      </c>
      <c r="FA25" s="211">
        <v>0</v>
      </c>
      <c r="FB25" s="211">
        <v>0</v>
      </c>
      <c r="FC25" s="211">
        <f>(VLOOKUP("136",'Input BS ACCTS'!$A$5:$DH$1058,110,FALSE))/1000</f>
        <v>0</v>
      </c>
      <c r="FD25" s="211">
        <f>(VLOOKUP("136",'Input BS ACCTS'!$A$5:$DH$1058,111,FALSE))/1000</f>
        <v>0</v>
      </c>
      <c r="FE25" s="211">
        <f>(VLOOKUP("136",'Input BS ACCTS'!$A$5:$DH$1058,112,FALSE))/1000</f>
        <v>0</v>
      </c>
      <c r="FF25" s="403">
        <f t="shared" si="57"/>
        <v>0</v>
      </c>
      <c r="FG25" s="700"/>
      <c r="FH25" s="700"/>
      <c r="IJ25" s="35"/>
      <c r="IK25" s="221"/>
      <c r="IL25" s="191"/>
      <c r="IM25" s="35"/>
      <c r="IN25" s="35"/>
      <c r="IO25" s="35"/>
      <c r="IP25" s="35"/>
      <c r="IQ25" s="35"/>
      <c r="IR25" s="35"/>
      <c r="IS25" s="35"/>
      <c r="IT25" s="35"/>
      <c r="IU25" s="35"/>
      <c r="IV25" s="35"/>
      <c r="IW25" s="35"/>
      <c r="IX25" s="35"/>
      <c r="IY25" s="35"/>
    </row>
    <row r="26" spans="1:259">
      <c r="A26" s="27" t="s">
        <v>231</v>
      </c>
      <c r="B26" s="107">
        <v>7.4</v>
      </c>
      <c r="C26" s="107">
        <v>6.7</v>
      </c>
      <c r="D26" s="107">
        <v>6.7</v>
      </c>
      <c r="E26" s="107">
        <v>4.7</v>
      </c>
      <c r="F26" s="107">
        <v>4.7</v>
      </c>
      <c r="G26" s="107">
        <v>4.7</v>
      </c>
      <c r="H26" s="107">
        <v>4.7</v>
      </c>
      <c r="I26" s="107">
        <v>4.7</v>
      </c>
      <c r="J26" s="107">
        <v>4.7</v>
      </c>
      <c r="K26" s="107">
        <v>4.7</v>
      </c>
      <c r="L26" s="107">
        <v>3.9</v>
      </c>
      <c r="M26" s="107">
        <v>3.9</v>
      </c>
      <c r="N26" s="107">
        <v>3.7</v>
      </c>
      <c r="O26" s="107">
        <v>4</v>
      </c>
      <c r="P26" s="107">
        <v>4</v>
      </c>
      <c r="Q26" s="107">
        <v>4</v>
      </c>
      <c r="R26" s="107">
        <v>4</v>
      </c>
      <c r="S26" s="107">
        <v>4</v>
      </c>
      <c r="T26" s="107">
        <v>4</v>
      </c>
      <c r="U26" s="107">
        <v>4</v>
      </c>
      <c r="V26" s="107">
        <v>4</v>
      </c>
      <c r="W26" s="107">
        <v>4</v>
      </c>
      <c r="X26" s="107">
        <v>4</v>
      </c>
      <c r="Y26" s="107">
        <v>4</v>
      </c>
      <c r="Z26" s="107">
        <v>4</v>
      </c>
      <c r="AA26" s="107">
        <v>4</v>
      </c>
      <c r="AB26" s="107">
        <v>4</v>
      </c>
      <c r="AC26" s="107">
        <v>3.7</v>
      </c>
      <c r="AD26" s="107">
        <v>4</v>
      </c>
      <c r="AE26" s="107">
        <v>4</v>
      </c>
      <c r="AF26" s="107">
        <v>4</v>
      </c>
      <c r="AG26" s="107">
        <v>4</v>
      </c>
      <c r="AH26" s="107">
        <v>4</v>
      </c>
      <c r="AI26" s="107">
        <v>3.7</v>
      </c>
      <c r="AJ26" s="107">
        <v>3.7</v>
      </c>
      <c r="AK26" s="107">
        <v>3.7</v>
      </c>
      <c r="AL26" s="107">
        <v>3.7</v>
      </c>
      <c r="AM26" s="187">
        <v>3.7</v>
      </c>
      <c r="AN26" s="187">
        <v>3.7</v>
      </c>
      <c r="AO26" s="219">
        <v>3.5</v>
      </c>
      <c r="AP26" s="219">
        <v>3.5</v>
      </c>
      <c r="AQ26" s="219">
        <v>3.5</v>
      </c>
      <c r="AR26" s="219">
        <v>3.5</v>
      </c>
      <c r="AS26" s="219">
        <v>25</v>
      </c>
      <c r="AT26" s="219">
        <v>25</v>
      </c>
      <c r="AU26" s="219">
        <v>25</v>
      </c>
      <c r="AV26" s="219">
        <v>25</v>
      </c>
      <c r="AW26" s="219">
        <v>25</v>
      </c>
      <c r="AX26" s="219">
        <v>25</v>
      </c>
      <c r="AY26" s="178">
        <v>25</v>
      </c>
      <c r="AZ26" s="178">
        <v>25</v>
      </c>
      <c r="BA26" s="330">
        <v>25</v>
      </c>
      <c r="BB26" s="330">
        <v>25</v>
      </c>
      <c r="BC26" s="330">
        <v>25</v>
      </c>
      <c r="BD26" s="330">
        <v>25</v>
      </c>
      <c r="BE26" s="330">
        <v>25</v>
      </c>
      <c r="BF26" s="330">
        <v>25</v>
      </c>
      <c r="BG26" s="211">
        <v>25</v>
      </c>
      <c r="BH26" s="211">
        <v>25</v>
      </c>
      <c r="BI26" s="211">
        <v>25</v>
      </c>
      <c r="BJ26" s="211">
        <v>25</v>
      </c>
      <c r="BK26" s="211">
        <v>25</v>
      </c>
      <c r="BL26" s="211">
        <v>25</v>
      </c>
      <c r="BM26" s="211">
        <v>25</v>
      </c>
      <c r="BN26" s="211">
        <v>25</v>
      </c>
      <c r="BO26" s="211">
        <v>25</v>
      </c>
      <c r="BP26" s="211">
        <v>25</v>
      </c>
      <c r="BQ26" s="211">
        <v>25</v>
      </c>
      <c r="BR26" s="211">
        <v>25</v>
      </c>
      <c r="BS26" s="211">
        <v>25</v>
      </c>
      <c r="BT26" s="211">
        <v>25</v>
      </c>
      <c r="BU26" s="211">
        <v>25</v>
      </c>
      <c r="BV26" s="211">
        <v>25</v>
      </c>
      <c r="BW26" s="211">
        <v>25</v>
      </c>
      <c r="BX26" s="211">
        <v>25</v>
      </c>
      <c r="BY26" s="211">
        <v>25</v>
      </c>
      <c r="BZ26" s="211">
        <v>25</v>
      </c>
      <c r="CA26" s="211">
        <v>25</v>
      </c>
      <c r="CB26" s="211">
        <v>25</v>
      </c>
      <c r="CC26" s="211">
        <v>25</v>
      </c>
      <c r="CD26" s="211">
        <v>25</v>
      </c>
      <c r="CE26" s="211">
        <v>25</v>
      </c>
      <c r="CF26" s="211">
        <v>25</v>
      </c>
      <c r="CG26" s="211">
        <v>25</v>
      </c>
      <c r="CH26" s="211">
        <v>25</v>
      </c>
      <c r="CI26" s="211">
        <v>25</v>
      </c>
      <c r="CJ26" s="211">
        <v>25</v>
      </c>
      <c r="CK26" s="211">
        <v>25</v>
      </c>
      <c r="CL26" s="211">
        <v>25</v>
      </c>
      <c r="CM26" s="211">
        <v>25</v>
      </c>
      <c r="CN26" s="211">
        <v>25</v>
      </c>
      <c r="CO26" s="211">
        <v>25</v>
      </c>
      <c r="CP26" s="211">
        <v>25</v>
      </c>
      <c r="CQ26" s="211">
        <v>25</v>
      </c>
      <c r="CR26" s="211">
        <v>25</v>
      </c>
      <c r="CS26" s="211">
        <v>25</v>
      </c>
      <c r="CT26" s="211">
        <v>25</v>
      </c>
      <c r="CU26" s="211">
        <v>25</v>
      </c>
      <c r="CV26" s="211">
        <v>25</v>
      </c>
      <c r="CW26" s="211">
        <v>25</v>
      </c>
      <c r="CX26" s="211">
        <v>25</v>
      </c>
      <c r="CY26" s="211">
        <v>25</v>
      </c>
      <c r="CZ26" s="211">
        <v>25</v>
      </c>
      <c r="DA26" s="211">
        <v>25</v>
      </c>
      <c r="DB26" s="211">
        <v>25</v>
      </c>
      <c r="DC26" s="211">
        <v>25</v>
      </c>
      <c r="DD26" s="211">
        <v>25</v>
      </c>
      <c r="DE26" s="211">
        <v>25</v>
      </c>
      <c r="DF26" s="211">
        <v>25</v>
      </c>
      <c r="DG26" s="211">
        <v>25</v>
      </c>
      <c r="DH26" s="211">
        <v>25</v>
      </c>
      <c r="DI26" s="211">
        <v>25</v>
      </c>
      <c r="DJ26" s="211">
        <v>25</v>
      </c>
      <c r="DK26" s="211">
        <v>25</v>
      </c>
      <c r="DL26" s="211">
        <v>25</v>
      </c>
      <c r="DM26" s="211">
        <v>25</v>
      </c>
      <c r="DN26" s="211">
        <v>25</v>
      </c>
      <c r="DO26" s="211">
        <v>25</v>
      </c>
      <c r="DP26" s="211">
        <v>25</v>
      </c>
      <c r="DQ26" s="211">
        <v>25</v>
      </c>
      <c r="DR26" s="211">
        <v>25</v>
      </c>
      <c r="DS26" s="211">
        <v>25</v>
      </c>
      <c r="DT26" s="211">
        <v>25</v>
      </c>
      <c r="DU26" s="211">
        <v>25</v>
      </c>
      <c r="DV26" s="211">
        <v>25</v>
      </c>
      <c r="DW26" s="211">
        <v>25</v>
      </c>
      <c r="DX26" s="211">
        <v>25</v>
      </c>
      <c r="DY26" s="211">
        <v>25</v>
      </c>
      <c r="DZ26" s="211">
        <v>25</v>
      </c>
      <c r="EA26" s="211">
        <v>25</v>
      </c>
      <c r="EB26" s="211">
        <v>25</v>
      </c>
      <c r="EC26" s="211">
        <v>25</v>
      </c>
      <c r="ED26" s="211">
        <v>25</v>
      </c>
      <c r="EE26" s="211">
        <v>25</v>
      </c>
      <c r="EF26" s="211">
        <v>25</v>
      </c>
      <c r="EG26" s="211">
        <v>25</v>
      </c>
      <c r="EH26" s="211">
        <v>25</v>
      </c>
      <c r="EI26" s="211">
        <v>25</v>
      </c>
      <c r="EJ26" s="211">
        <v>25</v>
      </c>
      <c r="EK26" s="211">
        <v>25</v>
      </c>
      <c r="EL26" s="211">
        <v>25</v>
      </c>
      <c r="EM26" s="211">
        <v>25</v>
      </c>
      <c r="EN26" s="211">
        <v>25</v>
      </c>
      <c r="EO26" s="211">
        <v>25</v>
      </c>
      <c r="EP26" s="211">
        <v>25</v>
      </c>
      <c r="EQ26" s="211">
        <v>25</v>
      </c>
      <c r="ER26" s="211">
        <v>25</v>
      </c>
      <c r="ES26" s="211">
        <v>25</v>
      </c>
      <c r="ET26" s="211">
        <v>25</v>
      </c>
      <c r="EU26" s="211">
        <v>25</v>
      </c>
      <c r="EV26" s="211">
        <v>25</v>
      </c>
      <c r="EW26" s="211">
        <v>25</v>
      </c>
      <c r="EX26" s="211">
        <v>25</v>
      </c>
      <c r="EY26" s="211">
        <v>25</v>
      </c>
      <c r="EZ26" s="211">
        <v>25</v>
      </c>
      <c r="FA26" s="211">
        <v>25</v>
      </c>
      <c r="FB26" s="211">
        <v>25</v>
      </c>
      <c r="FC26" s="211">
        <f>(VLOOKUP("134",'Input BS ACCTS'!$A$5:$DH$1058,110,FALSE))/1000</f>
        <v>25</v>
      </c>
      <c r="FD26" s="211">
        <f>(VLOOKUP("134",'Input BS ACCTS'!$A$5:$DH$1058,111,FALSE))/1000</f>
        <v>25</v>
      </c>
      <c r="FE26" s="211">
        <f>(VLOOKUP("134",'Input BS ACCTS'!$A$5:$DH$1058,112,FALSE))/1000</f>
        <v>25</v>
      </c>
      <c r="FF26" s="403">
        <f t="shared" si="57"/>
        <v>25</v>
      </c>
      <c r="FG26" s="700"/>
      <c r="FH26" s="700"/>
      <c r="IJ26" s="35"/>
      <c r="IK26" s="221"/>
      <c r="IL26" s="191"/>
      <c r="IM26" s="35"/>
      <c r="IN26" s="35"/>
      <c r="IO26" s="35"/>
      <c r="IP26" s="35"/>
      <c r="IQ26" s="35"/>
      <c r="IR26" s="35"/>
      <c r="IS26" s="35"/>
      <c r="IT26" s="35"/>
      <c r="IU26" s="35"/>
      <c r="IV26" s="35"/>
      <c r="IW26" s="35"/>
      <c r="IX26" s="35"/>
      <c r="IY26" s="35"/>
    </row>
    <row r="27" spans="1:259">
      <c r="A27" s="27" t="s">
        <v>232</v>
      </c>
      <c r="B27" s="107">
        <v>2.0699999999487773E-3</v>
      </c>
      <c r="C27" s="107">
        <v>2.0699999999487773E-3</v>
      </c>
      <c r="D27" s="107">
        <v>2.0699999999487773E-3</v>
      </c>
      <c r="E27" s="107">
        <v>2.0699999999487773E-3</v>
      </c>
      <c r="F27" s="107">
        <v>2.0699999999487773E-3</v>
      </c>
      <c r="G27" s="107">
        <v>2.0699999999487773E-3</v>
      </c>
      <c r="H27" s="107">
        <v>2.0699999999487773E-3</v>
      </c>
      <c r="I27" s="107">
        <v>2.0699999999487773E-3</v>
      </c>
      <c r="J27" s="107">
        <v>2.0699999999487773E-3</v>
      </c>
      <c r="K27" s="107">
        <v>2.0699999999487773E-3</v>
      </c>
      <c r="L27" s="107">
        <v>2.0699999999487773E-3</v>
      </c>
      <c r="M27" s="107">
        <v>2.0699999999487773E-3</v>
      </c>
      <c r="N27" s="107">
        <v>2.0699999999487773E-3</v>
      </c>
      <c r="O27" s="107">
        <v>0</v>
      </c>
      <c r="P27" s="107">
        <v>0</v>
      </c>
      <c r="Q27" s="107">
        <v>0</v>
      </c>
      <c r="R27" s="107">
        <v>0</v>
      </c>
      <c r="S27" s="107">
        <v>0</v>
      </c>
      <c r="T27" s="107">
        <v>0</v>
      </c>
      <c r="U27" s="107">
        <v>0</v>
      </c>
      <c r="V27" s="107">
        <v>0</v>
      </c>
      <c r="W27" s="107">
        <v>0</v>
      </c>
      <c r="X27" s="107">
        <v>0</v>
      </c>
      <c r="Y27" s="107">
        <v>0</v>
      </c>
      <c r="Z27" s="107">
        <v>0</v>
      </c>
      <c r="AA27" s="107">
        <v>0</v>
      </c>
      <c r="AB27" s="107">
        <v>0</v>
      </c>
      <c r="AC27" s="107">
        <v>0</v>
      </c>
      <c r="AD27" s="107">
        <v>0</v>
      </c>
      <c r="AE27" s="107"/>
      <c r="AF27" s="107"/>
      <c r="AG27" s="107"/>
      <c r="AH27" s="107"/>
      <c r="AI27" s="107">
        <v>0</v>
      </c>
      <c r="AJ27" s="107">
        <v>0</v>
      </c>
      <c r="AK27" s="107">
        <v>0</v>
      </c>
      <c r="AL27" s="107">
        <v>0</v>
      </c>
      <c r="AM27" s="187">
        <v>0</v>
      </c>
      <c r="AN27" s="187">
        <v>0</v>
      </c>
      <c r="AO27" s="219">
        <v>0</v>
      </c>
      <c r="AP27" s="219">
        <v>0</v>
      </c>
      <c r="AQ27" s="219">
        <v>0</v>
      </c>
      <c r="AR27" s="219">
        <v>0</v>
      </c>
      <c r="AS27" s="219">
        <v>3.5</v>
      </c>
      <c r="AT27" s="219">
        <v>3.5</v>
      </c>
      <c r="AU27" s="219">
        <v>3.5</v>
      </c>
      <c r="AV27" s="219">
        <v>3.5</v>
      </c>
      <c r="AW27" s="219">
        <v>3.5</v>
      </c>
      <c r="AX27" s="219">
        <v>3.5</v>
      </c>
      <c r="AY27" s="178">
        <v>3.5</v>
      </c>
      <c r="AZ27" s="178">
        <v>3.5</v>
      </c>
      <c r="BA27" s="330">
        <v>3.5</v>
      </c>
      <c r="BB27" s="330">
        <v>3.5</v>
      </c>
      <c r="BC27" s="330">
        <v>3.5</v>
      </c>
      <c r="BD27" s="330">
        <v>3.5</v>
      </c>
      <c r="BE27" s="330">
        <v>3.5</v>
      </c>
      <c r="BF27" s="330">
        <v>3.5</v>
      </c>
      <c r="BG27" s="211">
        <v>3.5</v>
      </c>
      <c r="BH27" s="211">
        <v>3.45</v>
      </c>
      <c r="BI27" s="211">
        <v>3.45</v>
      </c>
      <c r="BJ27" s="211">
        <v>3.45</v>
      </c>
      <c r="BK27" s="211">
        <v>3.45</v>
      </c>
      <c r="BL27" s="211">
        <v>3.45</v>
      </c>
      <c r="BM27" s="211">
        <v>3.45</v>
      </c>
      <c r="BN27" s="211">
        <v>3.45</v>
      </c>
      <c r="BO27" s="211">
        <v>3.45</v>
      </c>
      <c r="BP27" s="211">
        <v>3.45</v>
      </c>
      <c r="BQ27" s="211">
        <v>3.45</v>
      </c>
      <c r="BR27" s="211">
        <v>2.95</v>
      </c>
      <c r="BS27" s="211">
        <v>2.95</v>
      </c>
      <c r="BT27" s="211">
        <v>2.95</v>
      </c>
      <c r="BU27" s="211">
        <v>2.95</v>
      </c>
      <c r="BV27" s="211">
        <v>2.95</v>
      </c>
      <c r="BW27" s="211">
        <v>2.95</v>
      </c>
      <c r="BX27" s="211">
        <v>2.95</v>
      </c>
      <c r="BY27" s="211">
        <v>2.95</v>
      </c>
      <c r="BZ27" s="211">
        <v>2.95</v>
      </c>
      <c r="CA27" s="211">
        <v>2.95</v>
      </c>
      <c r="CB27" s="211">
        <v>2.95</v>
      </c>
      <c r="CC27" s="211">
        <v>2.95</v>
      </c>
      <c r="CD27" s="211">
        <v>2.95</v>
      </c>
      <c r="CE27" s="211">
        <v>2.95</v>
      </c>
      <c r="CF27" s="211">
        <v>2.95</v>
      </c>
      <c r="CG27" s="211">
        <v>2.95</v>
      </c>
      <c r="CH27" s="211">
        <v>3.45</v>
      </c>
      <c r="CI27" s="211">
        <v>3.45</v>
      </c>
      <c r="CJ27" s="211">
        <v>2.95</v>
      </c>
      <c r="CK27" s="211">
        <v>2.95</v>
      </c>
      <c r="CL27" s="211">
        <v>2.95</v>
      </c>
      <c r="CM27" s="211">
        <v>2.95</v>
      </c>
      <c r="CN27" s="211">
        <v>2.95</v>
      </c>
      <c r="CO27" s="211">
        <v>2.95</v>
      </c>
      <c r="CP27" s="211">
        <v>2.95</v>
      </c>
      <c r="CQ27" s="211">
        <v>2.95</v>
      </c>
      <c r="CR27" s="211">
        <v>2.95</v>
      </c>
      <c r="CS27" s="211">
        <v>2.95</v>
      </c>
      <c r="CT27" s="211">
        <v>2.95</v>
      </c>
      <c r="CU27" s="211">
        <v>2.95</v>
      </c>
      <c r="CV27" s="211">
        <v>2.95</v>
      </c>
      <c r="CW27" s="211">
        <v>2.95</v>
      </c>
      <c r="CX27" s="211">
        <v>2.95</v>
      </c>
      <c r="CY27" s="211">
        <v>2.95</v>
      </c>
      <c r="CZ27" s="211">
        <v>2.95</v>
      </c>
      <c r="DA27" s="211">
        <v>2.95</v>
      </c>
      <c r="DB27" s="211">
        <v>2.95</v>
      </c>
      <c r="DC27" s="211">
        <v>2.95</v>
      </c>
      <c r="DD27" s="211">
        <v>2.95</v>
      </c>
      <c r="DE27" s="211">
        <v>2.95</v>
      </c>
      <c r="DF27" s="211">
        <v>2.95</v>
      </c>
      <c r="DG27" s="211">
        <v>2.95</v>
      </c>
      <c r="DH27" s="211">
        <v>2.95</v>
      </c>
      <c r="DI27" s="211">
        <v>2.95</v>
      </c>
      <c r="DJ27" s="211">
        <v>2.95</v>
      </c>
      <c r="DK27" s="211">
        <v>2.95</v>
      </c>
      <c r="DL27" s="211">
        <v>2.95</v>
      </c>
      <c r="DM27" s="211">
        <v>2.95</v>
      </c>
      <c r="DN27" s="211">
        <v>2.95</v>
      </c>
      <c r="DO27" s="211">
        <v>2.95</v>
      </c>
      <c r="DP27" s="211">
        <v>2.95</v>
      </c>
      <c r="DQ27" s="211">
        <v>2.95</v>
      </c>
      <c r="DR27" s="211">
        <v>2.95</v>
      </c>
      <c r="DS27" s="211">
        <v>2.95</v>
      </c>
      <c r="DT27" s="211">
        <v>2.95</v>
      </c>
      <c r="DU27" s="211">
        <v>2.95</v>
      </c>
      <c r="DV27" s="211">
        <v>2.95</v>
      </c>
      <c r="DW27" s="211">
        <v>2.95</v>
      </c>
      <c r="DX27" s="211">
        <v>2.95</v>
      </c>
      <c r="DY27" s="211">
        <v>2.95</v>
      </c>
      <c r="DZ27" s="211">
        <v>2.95</v>
      </c>
      <c r="EA27" s="211">
        <v>2.95</v>
      </c>
      <c r="EB27" s="211">
        <v>2.95</v>
      </c>
      <c r="EC27" s="211">
        <v>2.95</v>
      </c>
      <c r="ED27" s="211">
        <v>2.95</v>
      </c>
      <c r="EE27" s="211">
        <v>2.95</v>
      </c>
      <c r="EF27" s="211">
        <v>2.95</v>
      </c>
      <c r="EG27" s="211">
        <v>2.95</v>
      </c>
      <c r="EH27" s="211">
        <v>2.95</v>
      </c>
      <c r="EI27" s="211">
        <v>2.95</v>
      </c>
      <c r="EJ27" s="211">
        <v>2.95</v>
      </c>
      <c r="EK27" s="211">
        <v>2.95</v>
      </c>
      <c r="EL27" s="211">
        <v>2.95</v>
      </c>
      <c r="EM27" s="211">
        <v>2.95</v>
      </c>
      <c r="EN27" s="211">
        <v>2.95</v>
      </c>
      <c r="EO27" s="211">
        <v>2.95</v>
      </c>
      <c r="EP27" s="211">
        <v>2.95</v>
      </c>
      <c r="EQ27" s="211">
        <v>2.95</v>
      </c>
      <c r="ER27" s="211">
        <v>2.95</v>
      </c>
      <c r="ES27" s="211">
        <v>2.95</v>
      </c>
      <c r="ET27" s="211">
        <v>2.95</v>
      </c>
      <c r="EU27" s="211">
        <v>2.95</v>
      </c>
      <c r="EV27" s="211">
        <v>2.95</v>
      </c>
      <c r="EW27" s="211">
        <v>2.95</v>
      </c>
      <c r="EX27" s="211">
        <v>2.95</v>
      </c>
      <c r="EY27" s="211">
        <v>2.95</v>
      </c>
      <c r="EZ27" s="211">
        <v>2.95</v>
      </c>
      <c r="FA27" s="211">
        <v>2.95</v>
      </c>
      <c r="FB27" s="211">
        <v>2.95</v>
      </c>
      <c r="FC27" s="211">
        <f>(VLOOKUP("135",'Input BS ACCTS'!$A$5:$DH$1058,110,FALSE)+VLOOKUP("136",'Input BS ACCTS'!$A$5:$DH$1058,110,FALSE))/1000</f>
        <v>2.95</v>
      </c>
      <c r="FD27" s="211">
        <f>(VLOOKUP("135",'Input BS ACCTS'!$A$5:$DH$1058,111,FALSE)+VLOOKUP("136",'Input BS ACCTS'!$A$5:$DH$1058,111,FALSE))/1000</f>
        <v>2.95</v>
      </c>
      <c r="FE27" s="211">
        <f>(VLOOKUP("135",'Input BS ACCTS'!$A$5:$DH$1058,112,FALSE)+VLOOKUP("136",'Input BS ACCTS'!$A$5:$DH$1058,112,FALSE))/1000</f>
        <v>2.95</v>
      </c>
      <c r="FF27" s="403">
        <f t="shared" si="57"/>
        <v>2.95</v>
      </c>
      <c r="FG27" s="700"/>
      <c r="FH27" s="700"/>
      <c r="IJ27" s="35"/>
      <c r="IK27" s="221"/>
      <c r="IL27" s="191"/>
      <c r="IM27" s="35"/>
      <c r="IN27" s="35"/>
      <c r="IO27" s="35"/>
      <c r="IP27" s="35"/>
      <c r="IQ27" s="35"/>
      <c r="IR27" s="35"/>
      <c r="IS27" s="35"/>
      <c r="IT27" s="35"/>
      <c r="IU27" s="35"/>
      <c r="IV27" s="35"/>
      <c r="IW27" s="35"/>
      <c r="IX27" s="35"/>
      <c r="IY27" s="35"/>
    </row>
    <row r="28" spans="1:259">
      <c r="A28" s="27" t="s">
        <v>233</v>
      </c>
      <c r="B28" s="107">
        <v>0</v>
      </c>
      <c r="C28" s="107">
        <v>0</v>
      </c>
      <c r="D28" s="107">
        <v>0</v>
      </c>
      <c r="E28" s="107">
        <v>0</v>
      </c>
      <c r="F28" s="107">
        <v>0</v>
      </c>
      <c r="G28" s="107">
        <v>0</v>
      </c>
      <c r="H28" s="107">
        <v>0</v>
      </c>
      <c r="I28" s="107">
        <v>0</v>
      </c>
      <c r="J28" s="107">
        <v>0</v>
      </c>
      <c r="K28" s="107">
        <v>0</v>
      </c>
      <c r="L28" s="107">
        <v>0</v>
      </c>
      <c r="M28" s="107">
        <v>0</v>
      </c>
      <c r="N28" s="107">
        <v>0</v>
      </c>
      <c r="O28" s="107">
        <v>0</v>
      </c>
      <c r="P28" s="107">
        <v>0</v>
      </c>
      <c r="Q28" s="107">
        <v>0</v>
      </c>
      <c r="R28" s="107">
        <v>0</v>
      </c>
      <c r="S28" s="107">
        <v>0</v>
      </c>
      <c r="T28" s="107">
        <v>0</v>
      </c>
      <c r="U28" s="107">
        <v>0</v>
      </c>
      <c r="V28" s="107">
        <v>0</v>
      </c>
      <c r="W28" s="107">
        <v>0</v>
      </c>
      <c r="X28" s="107">
        <v>0</v>
      </c>
      <c r="Y28" s="107">
        <v>0</v>
      </c>
      <c r="Z28" s="107">
        <v>0</v>
      </c>
      <c r="AA28" s="107">
        <v>0</v>
      </c>
      <c r="AB28" s="107">
        <v>0</v>
      </c>
      <c r="AC28" s="107">
        <v>0</v>
      </c>
      <c r="AD28" s="107">
        <v>0</v>
      </c>
      <c r="AE28" s="107"/>
      <c r="AF28" s="107"/>
      <c r="AG28" s="107"/>
      <c r="AH28" s="107"/>
      <c r="AI28" s="107">
        <v>0</v>
      </c>
      <c r="AJ28" s="107">
        <v>0</v>
      </c>
      <c r="AK28" s="107">
        <v>0</v>
      </c>
      <c r="AL28" s="107">
        <v>0</v>
      </c>
      <c r="AM28" s="187">
        <v>0</v>
      </c>
      <c r="AN28" s="187">
        <v>0</v>
      </c>
      <c r="AO28" s="219">
        <v>0</v>
      </c>
      <c r="AP28" s="219">
        <v>0</v>
      </c>
      <c r="AQ28" s="219">
        <v>0</v>
      </c>
      <c r="AR28" s="219">
        <v>0</v>
      </c>
      <c r="AS28" s="219">
        <v>0</v>
      </c>
      <c r="AT28" s="219">
        <v>0</v>
      </c>
      <c r="AU28" s="219">
        <v>0</v>
      </c>
      <c r="AV28" s="219">
        <v>0</v>
      </c>
      <c r="AW28" s="219">
        <v>0</v>
      </c>
      <c r="AX28" s="219">
        <v>0</v>
      </c>
      <c r="AY28" s="178">
        <v>0</v>
      </c>
      <c r="AZ28" s="178">
        <v>0</v>
      </c>
      <c r="BA28" s="348">
        <v>0</v>
      </c>
      <c r="BB28" s="348">
        <v>0</v>
      </c>
      <c r="BC28" s="348">
        <v>0</v>
      </c>
      <c r="BD28" s="348">
        <v>0</v>
      </c>
      <c r="BE28" s="348">
        <v>0</v>
      </c>
      <c r="BF28" s="348">
        <v>0</v>
      </c>
      <c r="BG28" s="178">
        <v>0</v>
      </c>
      <c r="BH28" s="178">
        <v>0</v>
      </c>
      <c r="BI28" s="178">
        <v>0</v>
      </c>
      <c r="BJ28" s="178">
        <v>0</v>
      </c>
      <c r="BK28" s="178">
        <v>0</v>
      </c>
      <c r="BL28" s="178">
        <v>0</v>
      </c>
      <c r="BM28" s="178">
        <v>0</v>
      </c>
      <c r="BN28" s="178">
        <v>0</v>
      </c>
      <c r="BO28" s="178">
        <v>0</v>
      </c>
      <c r="BP28" s="178">
        <v>0</v>
      </c>
      <c r="BQ28" s="178">
        <v>0</v>
      </c>
      <c r="BR28" s="178">
        <v>0</v>
      </c>
      <c r="BS28" s="178">
        <v>0</v>
      </c>
      <c r="BT28" s="178">
        <v>0</v>
      </c>
      <c r="BU28" s="178">
        <v>0</v>
      </c>
      <c r="BV28" s="178">
        <v>0</v>
      </c>
      <c r="BW28" s="178">
        <v>0</v>
      </c>
      <c r="BX28" s="178">
        <v>0</v>
      </c>
      <c r="BY28" s="178">
        <v>0</v>
      </c>
      <c r="BZ28" s="178">
        <v>0</v>
      </c>
      <c r="CA28" s="178">
        <v>0</v>
      </c>
      <c r="CB28" s="178">
        <v>0</v>
      </c>
      <c r="CC28" s="178">
        <v>0</v>
      </c>
      <c r="CD28" s="178">
        <v>0</v>
      </c>
      <c r="CE28" s="178">
        <v>0</v>
      </c>
      <c r="CF28" s="178">
        <v>0</v>
      </c>
      <c r="CG28" s="178">
        <v>0</v>
      </c>
      <c r="CH28" s="178">
        <v>0</v>
      </c>
      <c r="CI28" s="178">
        <v>0</v>
      </c>
      <c r="CJ28" s="178">
        <v>0</v>
      </c>
      <c r="CK28" s="178">
        <v>0</v>
      </c>
      <c r="CL28" s="178">
        <v>0</v>
      </c>
      <c r="CM28" s="178">
        <v>0</v>
      </c>
      <c r="CN28" s="178">
        <v>0</v>
      </c>
      <c r="CO28" s="178">
        <v>0</v>
      </c>
      <c r="CP28" s="178">
        <v>0</v>
      </c>
      <c r="CQ28" s="178">
        <v>0</v>
      </c>
      <c r="CR28" s="178">
        <v>0</v>
      </c>
      <c r="CS28" s="178">
        <v>0</v>
      </c>
      <c r="CT28" s="178">
        <v>0</v>
      </c>
      <c r="CU28" s="178">
        <v>0</v>
      </c>
      <c r="CV28" s="178">
        <v>0</v>
      </c>
      <c r="CW28" s="178">
        <v>0</v>
      </c>
      <c r="CX28" s="178">
        <v>0</v>
      </c>
      <c r="CY28" s="178">
        <v>0</v>
      </c>
      <c r="CZ28" s="178">
        <v>0</v>
      </c>
      <c r="DA28" s="178">
        <v>0</v>
      </c>
      <c r="DB28" s="178">
        <v>0</v>
      </c>
      <c r="DC28" s="178">
        <v>0</v>
      </c>
      <c r="DD28" s="178">
        <v>0</v>
      </c>
      <c r="DE28" s="178">
        <v>0</v>
      </c>
      <c r="DF28" s="178">
        <v>0</v>
      </c>
      <c r="DG28" s="178">
        <v>0</v>
      </c>
      <c r="DH28" s="178">
        <v>0</v>
      </c>
      <c r="DI28" s="178">
        <v>0</v>
      </c>
      <c r="DJ28" s="178">
        <v>0</v>
      </c>
      <c r="DK28" s="178">
        <v>0</v>
      </c>
      <c r="DL28" s="178">
        <v>0</v>
      </c>
      <c r="DM28" s="178">
        <v>0</v>
      </c>
      <c r="DN28" s="178">
        <v>0</v>
      </c>
      <c r="DO28" s="178">
        <v>0</v>
      </c>
      <c r="DP28" s="178">
        <v>0</v>
      </c>
      <c r="DQ28" s="178">
        <v>0</v>
      </c>
      <c r="DR28" s="178">
        <v>0</v>
      </c>
      <c r="DS28" s="178">
        <v>0</v>
      </c>
      <c r="DT28" s="178">
        <v>0</v>
      </c>
      <c r="DU28" s="178">
        <v>0</v>
      </c>
      <c r="DV28" s="178">
        <v>0</v>
      </c>
      <c r="DW28" s="178">
        <v>0</v>
      </c>
      <c r="DX28" s="178">
        <v>0</v>
      </c>
      <c r="DY28" s="178">
        <v>0</v>
      </c>
      <c r="DZ28" s="178">
        <v>0</v>
      </c>
      <c r="EA28" s="178">
        <v>0</v>
      </c>
      <c r="EB28" s="178">
        <v>0</v>
      </c>
      <c r="EC28" s="178">
        <v>0</v>
      </c>
      <c r="ED28" s="178">
        <v>0</v>
      </c>
      <c r="EE28" s="178">
        <v>0</v>
      </c>
      <c r="EF28" s="178">
        <v>0</v>
      </c>
      <c r="EG28" s="178">
        <v>0</v>
      </c>
      <c r="EH28" s="178">
        <v>0</v>
      </c>
      <c r="EI28" s="178">
        <v>0</v>
      </c>
      <c r="EJ28" s="178">
        <v>0</v>
      </c>
      <c r="EK28" s="178">
        <v>0</v>
      </c>
      <c r="EL28" s="178">
        <v>0</v>
      </c>
      <c r="EM28" s="178">
        <v>0</v>
      </c>
      <c r="EN28" s="178">
        <v>0</v>
      </c>
      <c r="EO28" s="178">
        <v>0</v>
      </c>
      <c r="EP28" s="178">
        <v>0</v>
      </c>
      <c r="EQ28" s="178">
        <v>0</v>
      </c>
      <c r="ER28" s="178">
        <v>0</v>
      </c>
      <c r="ES28" s="178">
        <v>0</v>
      </c>
      <c r="ET28" s="178">
        <v>0</v>
      </c>
      <c r="EU28" s="178">
        <v>0</v>
      </c>
      <c r="EV28" s="178">
        <v>0</v>
      </c>
      <c r="EW28" s="178">
        <v>0</v>
      </c>
      <c r="EX28" s="178">
        <v>0</v>
      </c>
      <c r="EY28" s="178">
        <v>0</v>
      </c>
      <c r="EZ28" s="178">
        <v>0</v>
      </c>
      <c r="FA28" s="178">
        <v>0</v>
      </c>
      <c r="FB28" s="178">
        <v>0</v>
      </c>
      <c r="FC28" s="178">
        <v>0</v>
      </c>
      <c r="FD28" s="178">
        <v>0</v>
      </c>
      <c r="FE28" s="178">
        <v>0</v>
      </c>
      <c r="FF28" s="403">
        <f t="shared" si="57"/>
        <v>0</v>
      </c>
      <c r="FG28" s="700"/>
      <c r="FH28" s="700"/>
      <c r="IJ28" s="35"/>
      <c r="IK28" s="221"/>
      <c r="IL28" s="191"/>
      <c r="IM28" s="35"/>
      <c r="IN28" s="35"/>
      <c r="IO28" s="35"/>
      <c r="IP28" s="35"/>
      <c r="IQ28" s="35"/>
      <c r="IR28" s="35"/>
      <c r="IS28" s="35"/>
      <c r="IT28" s="35"/>
      <c r="IU28" s="35"/>
      <c r="IV28" s="35"/>
      <c r="IW28" s="35"/>
      <c r="IX28" s="35"/>
      <c r="IY28" s="35"/>
    </row>
    <row r="29" spans="1:259">
      <c r="A29" s="27" t="s">
        <v>234</v>
      </c>
      <c r="B29" s="107">
        <v>26073.827189999996</v>
      </c>
      <c r="C29" s="107">
        <v>28968.042189999996</v>
      </c>
      <c r="D29" s="107">
        <v>23431.616189999997</v>
      </c>
      <c r="E29" s="107">
        <v>27144.861189999996</v>
      </c>
      <c r="F29" s="107">
        <v>48451.31119</v>
      </c>
      <c r="G29" s="107">
        <v>45955.519189999999</v>
      </c>
      <c r="H29" s="107">
        <v>43240.590189999995</v>
      </c>
      <c r="I29" s="107">
        <v>30117.490189999997</v>
      </c>
      <c r="J29" s="107">
        <v>30857.152189999997</v>
      </c>
      <c r="K29" s="107">
        <v>29010.698189999999</v>
      </c>
      <c r="L29" s="107">
        <v>29562.793189999997</v>
      </c>
      <c r="M29" s="107">
        <v>27131.999189999999</v>
      </c>
      <c r="N29" s="107">
        <v>24927.842189999999</v>
      </c>
      <c r="O29" s="107">
        <v>19349</v>
      </c>
      <c r="P29" s="107">
        <v>20080</v>
      </c>
      <c r="Q29" s="107">
        <v>32112</v>
      </c>
      <c r="R29" s="107">
        <v>40313</v>
      </c>
      <c r="S29" s="107">
        <v>40391</v>
      </c>
      <c r="T29" s="107">
        <v>27791</v>
      </c>
      <c r="U29" s="107">
        <v>27093</v>
      </c>
      <c r="V29" s="107">
        <v>27440</v>
      </c>
      <c r="W29" s="107">
        <v>22986</v>
      </c>
      <c r="X29" s="107">
        <v>23604</v>
      </c>
      <c r="Y29" s="107">
        <v>20194</v>
      </c>
      <c r="Z29" s="107">
        <v>19495</v>
      </c>
      <c r="AA29" s="107">
        <v>15960</v>
      </c>
      <c r="AB29" s="107">
        <v>20003</v>
      </c>
      <c r="AC29" s="107">
        <v>25640.91488</v>
      </c>
      <c r="AD29" s="107">
        <v>32226</v>
      </c>
      <c r="AE29" s="107">
        <v>26243</v>
      </c>
      <c r="AF29" s="107">
        <v>26379</v>
      </c>
      <c r="AG29" s="107">
        <v>24853</v>
      </c>
      <c r="AH29" s="107">
        <v>25234</v>
      </c>
      <c r="AI29" s="107">
        <v>23712.391950000005</v>
      </c>
      <c r="AJ29" s="107">
        <v>27517.07475</v>
      </c>
      <c r="AK29" s="107">
        <v>23911.414110000002</v>
      </c>
      <c r="AL29" s="107">
        <v>23607.088100000001</v>
      </c>
      <c r="AM29" s="187">
        <v>23141.694440000007</v>
      </c>
      <c r="AN29" s="187">
        <v>23586.686990000006</v>
      </c>
      <c r="AO29" s="219">
        <v>24652.858930000002</v>
      </c>
      <c r="AP29" s="219">
        <v>28621.49121</v>
      </c>
      <c r="AQ29" s="219">
        <v>28358.372480000002</v>
      </c>
      <c r="AR29" s="219">
        <v>30554.07962</v>
      </c>
      <c r="AS29" s="219">
        <v>29262.990700000002</v>
      </c>
      <c r="AT29" s="219">
        <v>23890.974420000002</v>
      </c>
      <c r="AU29" s="219">
        <v>24258.116800000003</v>
      </c>
      <c r="AV29" s="219">
        <v>21498.815369999997</v>
      </c>
      <c r="AW29" s="219">
        <v>20415.455160000001</v>
      </c>
      <c r="AX29" s="219">
        <v>22417.3482</v>
      </c>
      <c r="AY29" s="178">
        <v>21109.634320000001</v>
      </c>
      <c r="AZ29" s="178">
        <v>22898.66618</v>
      </c>
      <c r="BA29" s="330">
        <v>22917.00477</v>
      </c>
      <c r="BB29" s="330">
        <v>33888.23947</v>
      </c>
      <c r="BC29" s="330">
        <v>34564.177649999998</v>
      </c>
      <c r="BD29" s="330">
        <v>30784.053600000003</v>
      </c>
      <c r="BE29" s="330">
        <v>29663.92784</v>
      </c>
      <c r="BF29" s="330">
        <v>22479.626829999997</v>
      </c>
      <c r="BG29" s="211">
        <v>22504.133269999998</v>
      </c>
      <c r="BH29" s="211">
        <v>23241.237089999999</v>
      </c>
      <c r="BI29" s="211">
        <v>23878.46387</v>
      </c>
      <c r="BJ29" s="211">
        <v>22321.09878</v>
      </c>
      <c r="BK29" s="211">
        <v>22099.793280000002</v>
      </c>
      <c r="BL29" s="211">
        <v>26323.347600000001</v>
      </c>
      <c r="BM29" s="211">
        <v>26034.82632</v>
      </c>
      <c r="BN29" s="211">
        <v>32187.52692</v>
      </c>
      <c r="BO29" s="211">
        <v>34039.835079999997</v>
      </c>
      <c r="BP29" s="211">
        <v>29541.3541</v>
      </c>
      <c r="BQ29" s="211">
        <v>28240.355520000001</v>
      </c>
      <c r="BR29" s="211">
        <v>23565.407480000002</v>
      </c>
      <c r="BS29" s="211">
        <v>24075.458019999998</v>
      </c>
      <c r="BT29" s="211">
        <v>21417.409149999999</v>
      </c>
      <c r="BU29" s="211">
        <v>24298.84994</v>
      </c>
      <c r="BV29" s="211">
        <v>23816.25893</v>
      </c>
      <c r="BW29" s="211">
        <v>23772.05904</v>
      </c>
      <c r="BX29" s="211">
        <v>26518.734390000001</v>
      </c>
      <c r="BY29" s="211">
        <v>23370.304820000001</v>
      </c>
      <c r="BZ29" s="211">
        <v>31850.535170000003</v>
      </c>
      <c r="CA29" s="211">
        <v>33660.304320000003</v>
      </c>
      <c r="CB29" s="211">
        <v>27396.780070000001</v>
      </c>
      <c r="CC29" s="211">
        <v>26991.418980000002</v>
      </c>
      <c r="CD29" s="211">
        <v>25680.4725</v>
      </c>
      <c r="CE29" s="211">
        <v>25214.431510000002</v>
      </c>
      <c r="CF29" s="211">
        <v>27415.095079999999</v>
      </c>
      <c r="CG29" s="211">
        <v>23394.824629999999</v>
      </c>
      <c r="CH29" s="211">
        <v>21229.562679999999</v>
      </c>
      <c r="CI29" s="211">
        <v>22666.835920000001</v>
      </c>
      <c r="CJ29" s="211">
        <v>17869.442899999998</v>
      </c>
      <c r="CK29" s="211">
        <v>20407.143399999997</v>
      </c>
      <c r="CL29" s="211">
        <v>29988.88334</v>
      </c>
      <c r="CM29" s="211">
        <v>30496.22898</v>
      </c>
      <c r="CN29" s="211">
        <v>25425.34894</v>
      </c>
      <c r="CO29" s="211">
        <v>29266.124250000001</v>
      </c>
      <c r="CP29" s="211">
        <v>26763.987870000001</v>
      </c>
      <c r="CQ29" s="211">
        <v>23778.38897</v>
      </c>
      <c r="CR29" s="211">
        <v>24866.772410000001</v>
      </c>
      <c r="CS29" s="211">
        <v>19382.73099</v>
      </c>
      <c r="CT29" s="211">
        <v>26222.13406</v>
      </c>
      <c r="CU29" s="211">
        <v>21363.062819999999</v>
      </c>
      <c r="CV29" s="211">
        <v>23526.603070000001</v>
      </c>
      <c r="CW29" s="211">
        <v>29589.589309999999</v>
      </c>
      <c r="CX29" s="211">
        <v>39142.637479999998</v>
      </c>
      <c r="CY29" s="211">
        <v>33520.126620000003</v>
      </c>
      <c r="CZ29" s="211">
        <v>28369.965609999999</v>
      </c>
      <c r="DA29" s="211">
        <v>30347.437300000001</v>
      </c>
      <c r="DB29" s="211">
        <v>26461.489610000001</v>
      </c>
      <c r="DC29" s="211">
        <v>26323.048569999999</v>
      </c>
      <c r="DD29" s="211">
        <v>27677.789359999999</v>
      </c>
      <c r="DE29" s="211">
        <v>22422.804370000002</v>
      </c>
      <c r="DF29" s="211">
        <v>26981.163199999999</v>
      </c>
      <c r="DG29" s="211">
        <v>25315.728010000003</v>
      </c>
      <c r="DH29" s="211">
        <v>24158.601609999998</v>
      </c>
      <c r="DI29" s="211">
        <v>29542.589260000001</v>
      </c>
      <c r="DJ29" s="211">
        <v>32582.158719999999</v>
      </c>
      <c r="DK29" s="211">
        <v>32195.81365</v>
      </c>
      <c r="DL29" s="211">
        <v>29074.433710000001</v>
      </c>
      <c r="DM29" s="211">
        <v>27185.46384</v>
      </c>
      <c r="DN29" s="211">
        <v>25642.351340000001</v>
      </c>
      <c r="DO29" s="211">
        <v>23881.225350000001</v>
      </c>
      <c r="DP29" s="211">
        <v>21407.37066</v>
      </c>
      <c r="DQ29" s="211">
        <v>20163.176579999999</v>
      </c>
      <c r="DR29" s="211">
        <v>23570.156899999998</v>
      </c>
      <c r="DS29" s="211">
        <v>20921.762350000001</v>
      </c>
      <c r="DT29" s="211">
        <v>25051.047790000001</v>
      </c>
      <c r="DU29" s="211">
        <v>28445.71646</v>
      </c>
      <c r="DV29" s="211">
        <v>33690.965270000001</v>
      </c>
      <c r="DW29" s="211">
        <v>31434.966370000002</v>
      </c>
      <c r="DX29" s="211">
        <v>28960.246870000003</v>
      </c>
      <c r="DY29" s="211">
        <v>25442.43147</v>
      </c>
      <c r="DZ29" s="211">
        <v>24859.606969999997</v>
      </c>
      <c r="EA29" s="211">
        <v>24328.61275</v>
      </c>
      <c r="EB29" s="211">
        <v>22554.22565</v>
      </c>
      <c r="EC29" s="211">
        <v>22331.643629999999</v>
      </c>
      <c r="ED29" s="211">
        <v>23076.572399999997</v>
      </c>
      <c r="EE29" s="211">
        <v>21627.94054</v>
      </c>
      <c r="EF29" s="211">
        <v>25437.275010000001</v>
      </c>
      <c r="EG29" s="211">
        <v>29061.274129999998</v>
      </c>
      <c r="EH29" s="211">
        <v>41434.704340000004</v>
      </c>
      <c r="EI29" s="211">
        <v>43191.845930000003</v>
      </c>
      <c r="EJ29" s="211">
        <v>37311.112030000004</v>
      </c>
      <c r="EK29" s="211">
        <v>33050.040489999999</v>
      </c>
      <c r="EL29" s="211">
        <v>31383.89314</v>
      </c>
      <c r="EM29" s="211">
        <v>28707.721799999999</v>
      </c>
      <c r="EN29" s="211">
        <v>28842.32962</v>
      </c>
      <c r="EO29" s="211">
        <v>27207.266440000003</v>
      </c>
      <c r="EP29" s="211">
        <v>28836.682519999998</v>
      </c>
      <c r="EQ29" s="211">
        <v>30680.668960000003</v>
      </c>
      <c r="ER29" s="211">
        <v>29358.886930000001</v>
      </c>
      <c r="ES29" s="211">
        <v>34889.403490000004</v>
      </c>
      <c r="ET29" s="211">
        <v>46802.983999999997</v>
      </c>
      <c r="EU29" s="211">
        <v>51862.174679999996</v>
      </c>
      <c r="EV29" s="211">
        <v>42268.944790000001</v>
      </c>
      <c r="EW29" s="211">
        <v>40632.814960000003</v>
      </c>
      <c r="EX29" s="211">
        <v>41650.049290000003</v>
      </c>
      <c r="EY29" s="211">
        <v>37929.803</v>
      </c>
      <c r="EZ29" s="211">
        <v>40669.428009999996</v>
      </c>
      <c r="FA29" s="211">
        <v>36887.532149999999</v>
      </c>
      <c r="FB29" s="211">
        <v>36611.247779999998</v>
      </c>
      <c r="FC29" s="211">
        <f>(VLOOKUP("142",'Input BS ACCTS'!$A$5:$DH$1058,110,FALSE))/1000</f>
        <v>34676.257579999998</v>
      </c>
      <c r="FD29" s="211">
        <f>(VLOOKUP("142",'Input BS ACCTS'!$A$5:$DH$1058,111,FALSE))/1000</f>
        <v>32838.622920000002</v>
      </c>
      <c r="FE29" s="211">
        <f>(VLOOKUP("142",'Input BS ACCTS'!$A$5:$DH$1058,112,FALSE))/1000</f>
        <v>37678.297049999994</v>
      </c>
      <c r="FF29" s="403">
        <f t="shared" si="57"/>
        <v>39645.966130769222</v>
      </c>
      <c r="FG29" s="700"/>
      <c r="FH29" s="700"/>
      <c r="IJ29" s="35"/>
      <c r="IK29" s="221"/>
      <c r="IL29" s="191"/>
      <c r="IM29" s="35"/>
      <c r="IN29" s="35"/>
      <c r="IO29" s="35"/>
      <c r="IP29" s="35"/>
      <c r="IQ29" s="35"/>
      <c r="IR29" s="35"/>
      <c r="IS29" s="35"/>
      <c r="IT29" s="35"/>
      <c r="IU29" s="35"/>
      <c r="IV29" s="35"/>
      <c r="IW29" s="35"/>
      <c r="IX29" s="35"/>
      <c r="IY29" s="35"/>
    </row>
    <row r="30" spans="1:259">
      <c r="A30" s="27" t="s">
        <v>235</v>
      </c>
      <c r="B30" s="107">
        <v>4016.6773199999998</v>
      </c>
      <c r="C30" s="107">
        <v>4063.4323199999999</v>
      </c>
      <c r="D30" s="107">
        <v>4091.0753199999999</v>
      </c>
      <c r="E30" s="107">
        <v>11836.13132</v>
      </c>
      <c r="F30" s="107">
        <v>4136.3753200000001</v>
      </c>
      <c r="G30" s="107">
        <v>4527.2553200000002</v>
      </c>
      <c r="H30" s="107">
        <v>9575.464320000001</v>
      </c>
      <c r="I30" s="107">
        <v>4620.1463200000007</v>
      </c>
      <c r="J30" s="107">
        <v>4606.0673200000001</v>
      </c>
      <c r="K30" s="107">
        <v>4649.48632</v>
      </c>
      <c r="L30" s="107">
        <v>4710.7843200000007</v>
      </c>
      <c r="M30" s="107">
        <v>4710.7583199999999</v>
      </c>
      <c r="N30" s="107">
        <v>4772.4013199999999</v>
      </c>
      <c r="O30" s="107">
        <v>4817</v>
      </c>
      <c r="P30" s="107">
        <v>4791</v>
      </c>
      <c r="Q30" s="125">
        <v>6123</v>
      </c>
      <c r="R30" s="107">
        <v>6244</v>
      </c>
      <c r="S30" s="107">
        <v>6403</v>
      </c>
      <c r="T30" s="107">
        <v>5159</v>
      </c>
      <c r="U30" s="107">
        <v>5087</v>
      </c>
      <c r="V30" s="107">
        <v>5189</v>
      </c>
      <c r="W30" s="107">
        <v>5852</v>
      </c>
      <c r="X30" s="107">
        <v>5228</v>
      </c>
      <c r="Y30" s="107">
        <v>5268</v>
      </c>
      <c r="Z30" s="107">
        <v>5260</v>
      </c>
      <c r="AA30" s="107">
        <v>5296</v>
      </c>
      <c r="AB30" s="107">
        <v>5331</v>
      </c>
      <c r="AC30" s="107">
        <v>8397.3140000000003</v>
      </c>
      <c r="AD30" s="107">
        <v>5434</v>
      </c>
      <c r="AE30" s="107">
        <v>5439</v>
      </c>
      <c r="AF30" s="107">
        <v>5489</v>
      </c>
      <c r="AG30" s="107">
        <v>5505</v>
      </c>
      <c r="AH30" s="107">
        <v>5544</v>
      </c>
      <c r="AI30" s="107">
        <v>5823.0592900000011</v>
      </c>
      <c r="AJ30" s="107">
        <v>5871.6419699999997</v>
      </c>
      <c r="AK30" s="107">
        <v>5839.1761000000006</v>
      </c>
      <c r="AL30" s="107">
        <v>5874.0325800000001</v>
      </c>
      <c r="AM30" s="187">
        <v>5878.5899299999992</v>
      </c>
      <c r="AN30" s="187">
        <v>8531.8308699999998</v>
      </c>
      <c r="AO30" s="219">
        <v>8837.1636299999991</v>
      </c>
      <c r="AP30" s="219">
        <v>6892.6947199999995</v>
      </c>
      <c r="AQ30" s="219">
        <v>7273.6963100000003</v>
      </c>
      <c r="AR30" s="219">
        <v>6826.2935499999994</v>
      </c>
      <c r="AS30" s="219">
        <v>6902.1948400000001</v>
      </c>
      <c r="AT30" s="219">
        <v>6881.3904599999996</v>
      </c>
      <c r="AU30" s="219">
        <v>7053.8425100000004</v>
      </c>
      <c r="AV30" s="219">
        <v>6720.2058699999998</v>
      </c>
      <c r="AW30" s="219">
        <v>6644.3532999999998</v>
      </c>
      <c r="AX30" s="219">
        <v>6579.3013999999994</v>
      </c>
      <c r="AY30" s="178">
        <v>6361.4432200000001</v>
      </c>
      <c r="AZ30" s="178">
        <v>6295.5151200000009</v>
      </c>
      <c r="BA30" s="330">
        <v>6933.4106600000005</v>
      </c>
      <c r="BB30" s="330">
        <v>5883.4865499999996</v>
      </c>
      <c r="BC30" s="330">
        <v>5824.4375899999995</v>
      </c>
      <c r="BD30" s="330">
        <v>5777.8572000000004</v>
      </c>
      <c r="BE30" s="330">
        <v>5772.9004299999997</v>
      </c>
      <c r="BF30" s="330">
        <v>5646.4845599999999</v>
      </c>
      <c r="BG30" s="211">
        <v>5532.7716</v>
      </c>
      <c r="BH30" s="211">
        <v>5652.0632800000003</v>
      </c>
      <c r="BI30" s="211">
        <v>5324.76595</v>
      </c>
      <c r="BJ30" s="211">
        <v>5334.7475999999997</v>
      </c>
      <c r="BK30" s="211">
        <v>5311.8398399999996</v>
      </c>
      <c r="BL30" s="211">
        <v>5376.1191200000003</v>
      </c>
      <c r="BM30" s="211">
        <v>15706.678980000001</v>
      </c>
      <c r="BN30" s="211">
        <v>5800.9664000000002</v>
      </c>
      <c r="BO30" s="211">
        <v>5900.60779</v>
      </c>
      <c r="BP30" s="211">
        <v>5914.3837000000003</v>
      </c>
      <c r="BQ30" s="211">
        <v>5959.1777000000002</v>
      </c>
      <c r="BR30" s="211">
        <v>6361.03413</v>
      </c>
      <c r="BS30" s="211">
        <v>6176.91561</v>
      </c>
      <c r="BT30" s="211">
        <v>6986.8298199999999</v>
      </c>
      <c r="BU30" s="211">
        <v>6080.7206100000003</v>
      </c>
      <c r="BV30" s="211">
        <v>6232.4800300000006</v>
      </c>
      <c r="BW30" s="211">
        <v>6271.0783600000004</v>
      </c>
      <c r="BX30" s="211">
        <v>6205.6649800000005</v>
      </c>
      <c r="BY30" s="211">
        <v>20173.951489999999</v>
      </c>
      <c r="BZ30" s="211">
        <v>6357.3854199999996</v>
      </c>
      <c r="CA30" s="211">
        <v>6817.7368699999997</v>
      </c>
      <c r="CB30" s="211">
        <v>6504.8470299999999</v>
      </c>
      <c r="CC30" s="211">
        <v>6589.8600700000006</v>
      </c>
      <c r="CD30" s="211">
        <v>6565.5817800000004</v>
      </c>
      <c r="CE30" s="446">
        <v>6303.04756</v>
      </c>
      <c r="CF30" s="446">
        <v>6635.5912699999999</v>
      </c>
      <c r="CG30" s="446">
        <v>6625.8835199999994</v>
      </c>
      <c r="CH30" s="446">
        <v>7369.0221500000007</v>
      </c>
      <c r="CI30" s="446">
        <v>6447.6920300000002</v>
      </c>
      <c r="CJ30" s="446">
        <v>6572.2063200000002</v>
      </c>
      <c r="CK30" s="446">
        <v>7886.6317900000004</v>
      </c>
      <c r="CL30" s="446">
        <v>6087.6171100000001</v>
      </c>
      <c r="CM30" s="446">
        <v>6172.0228299999999</v>
      </c>
      <c r="CN30" s="446">
        <v>6196.4625900000001</v>
      </c>
      <c r="CO30" s="446">
        <v>5795.7047199999997</v>
      </c>
      <c r="CP30" s="446">
        <v>6018.7200700000003</v>
      </c>
      <c r="CQ30" s="446">
        <v>5669.4922200000001</v>
      </c>
      <c r="CR30" s="446">
        <v>5125.17749</v>
      </c>
      <c r="CS30" s="446">
        <v>4739.0860700000003</v>
      </c>
      <c r="CT30" s="446">
        <v>4631.8351600000005</v>
      </c>
      <c r="CU30" s="446">
        <v>4457.6022999999996</v>
      </c>
      <c r="CV30" s="446">
        <v>4244.8139900000006</v>
      </c>
      <c r="CW30" s="446">
        <v>4383.6045899999999</v>
      </c>
      <c r="CX30" s="446">
        <v>4161.4626699999999</v>
      </c>
      <c r="CY30" s="446">
        <v>3979.33142</v>
      </c>
      <c r="CZ30" s="446">
        <v>3806.1103499999999</v>
      </c>
      <c r="DA30" s="446">
        <v>3613.90427</v>
      </c>
      <c r="DB30" s="446">
        <v>3896.2269700000002</v>
      </c>
      <c r="DC30" s="446">
        <v>3557.2132700000002</v>
      </c>
      <c r="DD30" s="446">
        <v>3186.2670899999998</v>
      </c>
      <c r="DE30" s="446">
        <v>3210.9202</v>
      </c>
      <c r="DF30" s="446">
        <v>2980.0737799999997</v>
      </c>
      <c r="DG30" s="446">
        <v>2806.9069399999998</v>
      </c>
      <c r="DH30" s="446">
        <v>2450.8917700000002</v>
      </c>
      <c r="DI30" s="446">
        <v>2653.97253</v>
      </c>
      <c r="DJ30" s="446">
        <v>2331.8029900000001</v>
      </c>
      <c r="DK30" s="446">
        <v>2227.5472999999997</v>
      </c>
      <c r="DL30" s="446">
        <v>1943.3202099999999</v>
      </c>
      <c r="DM30" s="446">
        <v>1737.12609</v>
      </c>
      <c r="DN30" s="446">
        <v>1704.7474099999999</v>
      </c>
      <c r="DO30" s="446">
        <v>1711.3189399999999</v>
      </c>
      <c r="DP30" s="446">
        <v>1624.2636399999999</v>
      </c>
      <c r="DQ30" s="446">
        <v>1471.1828500000001</v>
      </c>
      <c r="DR30" s="446">
        <v>1369.29252</v>
      </c>
      <c r="DS30" s="446">
        <v>1167.1250400000001</v>
      </c>
      <c r="DT30" s="446">
        <v>1141.3553400000001</v>
      </c>
      <c r="DU30" s="446">
        <v>1394.5312200000001</v>
      </c>
      <c r="DV30" s="446">
        <v>1189.5704900000001</v>
      </c>
      <c r="DW30" s="446">
        <v>1177.1706399999998</v>
      </c>
      <c r="DX30" s="446">
        <v>1427.78595</v>
      </c>
      <c r="DY30" s="446">
        <v>1303.7188999999998</v>
      </c>
      <c r="DZ30" s="446">
        <v>1513.5950700000001</v>
      </c>
      <c r="EA30" s="446">
        <v>1657.45327</v>
      </c>
      <c r="EB30" s="446">
        <v>1666.52377</v>
      </c>
      <c r="EC30" s="446">
        <v>1315.23272</v>
      </c>
      <c r="ED30" s="446">
        <v>1134.16428</v>
      </c>
      <c r="EE30" s="446">
        <v>513.32558000000006</v>
      </c>
      <c r="EF30" s="446">
        <v>1398.2170900000001</v>
      </c>
      <c r="EG30" s="446">
        <v>621.52270999999996</v>
      </c>
      <c r="EH30" s="446">
        <v>258.84895</v>
      </c>
      <c r="EI30" s="446">
        <v>339.72192999999999</v>
      </c>
      <c r="EJ30" s="446">
        <v>248.66470000000001</v>
      </c>
      <c r="EK30" s="446">
        <v>380.07317</v>
      </c>
      <c r="EL30" s="446">
        <v>367.84702000000004</v>
      </c>
      <c r="EM30" s="446">
        <v>311.07601</v>
      </c>
      <c r="EN30" s="446">
        <v>413.51828999999998</v>
      </c>
      <c r="EO30" s="446">
        <v>490.88663000000003</v>
      </c>
      <c r="EP30" s="446">
        <v>621.24131999999997</v>
      </c>
      <c r="EQ30" s="446">
        <v>403.06855999999999</v>
      </c>
      <c r="ER30" s="446">
        <v>425.06536</v>
      </c>
      <c r="ES30" s="446">
        <v>4473.6198099999992</v>
      </c>
      <c r="ET30" s="446">
        <v>334.65398999999996</v>
      </c>
      <c r="EU30" s="446">
        <v>639.10868999999991</v>
      </c>
      <c r="EV30" s="446">
        <v>446.41818999999998</v>
      </c>
      <c r="EW30" s="446">
        <v>467.66415999999998</v>
      </c>
      <c r="EX30" s="446">
        <v>549.19646</v>
      </c>
      <c r="EY30" s="446">
        <v>1602.8360500000001</v>
      </c>
      <c r="EZ30" s="446">
        <v>3601.35707</v>
      </c>
      <c r="FA30" s="446">
        <v>706.08162000000004</v>
      </c>
      <c r="FB30" s="446">
        <v>2131.3829999999998</v>
      </c>
      <c r="FC30" s="446">
        <f>(VLOOKUP("143",'Input BS ACCTS'!$A$5:$DH$1058,110,FALSE))/1000</f>
        <v>1460.70973</v>
      </c>
      <c r="FD30" s="446">
        <f>(VLOOKUP("143",'Input BS ACCTS'!$A$5:$DH$1058,111,FALSE))/1000</f>
        <v>2753.1477200000004</v>
      </c>
      <c r="FE30" s="446">
        <f>(VLOOKUP("143",'Input BS ACCTS'!$A$5:$DH$1058,112,FALSE))/1000</f>
        <v>1528.4873799999998</v>
      </c>
      <c r="FF30" s="403">
        <f t="shared" si="57"/>
        <v>1591.8972207692309</v>
      </c>
      <c r="FG30" s="700"/>
      <c r="FH30" s="700"/>
      <c r="FI30" s="441">
        <v>454.46</v>
      </c>
      <c r="FJ30" s="441">
        <v>480.32</v>
      </c>
      <c r="FK30" s="441">
        <v>506.18099999999998</v>
      </c>
      <c r="FL30" s="441">
        <v>719.93</v>
      </c>
      <c r="FM30" s="441">
        <v>777.10599999999999</v>
      </c>
      <c r="FN30" s="441">
        <v>984.01499999999999</v>
      </c>
      <c r="FO30" s="441">
        <v>1050.1469999999999</v>
      </c>
      <c r="FP30" s="441">
        <f>+'Input BS ACCTS'!AO114/1000</f>
        <v>1160.3409999999999</v>
      </c>
      <c r="FQ30" s="441">
        <f>+'Input BS ACCTS'!AP114/1000</f>
        <v>1237.6780000000001</v>
      </c>
      <c r="FR30" s="441">
        <f>+'Input BS ACCTS'!AQ114/1000</f>
        <v>1315.0139999999999</v>
      </c>
      <c r="FS30" s="441">
        <f>+'Input BS ACCTS'!AR114/1000</f>
        <v>1335.5440000000001</v>
      </c>
      <c r="FT30" s="441">
        <f>+'Input BS ACCTS'!AS114/1000</f>
        <v>1356.0740000000001</v>
      </c>
      <c r="FU30" s="441">
        <f>+'Input BS ACCTS'!AT114/1000</f>
        <v>1376.6030000000001</v>
      </c>
      <c r="FV30" s="441">
        <f>+'Input BS ACCTS'!AU114/1000</f>
        <v>1397.1320000000001</v>
      </c>
      <c r="FW30" s="441">
        <f>+'Input BS ACCTS'!AV114/1000</f>
        <v>1417.6610000000001</v>
      </c>
      <c r="FX30" s="441">
        <f>+'Input BS ACCTS'!AW114/1000</f>
        <v>1438.191</v>
      </c>
      <c r="FY30" s="441">
        <f>+'Input BS ACCTS'!AX114/1000</f>
        <v>1438.8530000000001</v>
      </c>
      <c r="FZ30" s="441">
        <f>+'Input BS ACCTS'!AY114/1000</f>
        <v>1439.5150000000001</v>
      </c>
      <c r="GA30" s="441">
        <f>+'Input BS ACCTS'!AZ114/1000</f>
        <v>1440.1769999999999</v>
      </c>
      <c r="GB30" s="441">
        <f>+'Input BS ACCTS'!BA114/1000</f>
        <v>1440.84</v>
      </c>
      <c r="GC30" s="441">
        <f>+'Input BS ACCTS'!BB114/1000</f>
        <v>1441.5029999999999</v>
      </c>
      <c r="GD30" s="441">
        <f>+'Input BS ACCTS'!BC114/1000</f>
        <v>1442.164</v>
      </c>
      <c r="GE30" s="441">
        <f>+'Input BS ACCTS'!BD114/1000</f>
        <v>1442.827</v>
      </c>
      <c r="GF30" s="441">
        <f>+'Input BS ACCTS'!BE114/1000</f>
        <v>1443.489</v>
      </c>
      <c r="GG30" s="441">
        <f>+'Input BS ACCTS'!BF114/1000</f>
        <v>1444.152</v>
      </c>
      <c r="GH30" s="441">
        <f>+'Input BS ACCTS'!BG114/1000</f>
        <v>1444.8130000000001</v>
      </c>
      <c r="GI30" s="441">
        <f>+'Input BS ACCTS'!BH114/1000</f>
        <v>1445.4760000000001</v>
      </c>
      <c r="GJ30" s="441">
        <f>+'Input BS ACCTS'!BI114/1000</f>
        <v>1446.1389999999999</v>
      </c>
      <c r="GK30" s="441">
        <f>+'Input BS ACCTS'!BJ114/1000</f>
        <v>1446.8009999999999</v>
      </c>
      <c r="GL30" s="441">
        <f>+'Input BS ACCTS'!BK114/1000</f>
        <v>1447.463</v>
      </c>
      <c r="GM30" s="441">
        <f>+'Input BS ACCTS'!BL114/1000</f>
        <v>1448.125</v>
      </c>
      <c r="GN30" s="441">
        <f>+'Input BS ACCTS'!BM114/1000</f>
        <v>1448.788</v>
      </c>
      <c r="GO30" s="441">
        <f>+'Input BS ACCTS'!BN114/1000</f>
        <v>1449.45</v>
      </c>
      <c r="GP30" s="441">
        <f>+'Input BS ACCTS'!BO114/1000</f>
        <v>1450.1120000000001</v>
      </c>
      <c r="GQ30" s="441">
        <f>+'Input BS ACCTS'!BP114/1000</f>
        <v>1435.096</v>
      </c>
      <c r="GR30" s="441">
        <f>+'Input BS ACCTS'!BQ114/1000</f>
        <v>1420.0809999999999</v>
      </c>
      <c r="GS30" s="441">
        <f>+'Input BS ACCTS'!BR114/1000</f>
        <v>1405.066</v>
      </c>
      <c r="GT30" s="441">
        <f>+'Input BS ACCTS'!BS114/1000</f>
        <v>1390.05</v>
      </c>
      <c r="GU30" s="441">
        <f>+'Input BS ACCTS'!BT114/1000</f>
        <v>1375.0340000000001</v>
      </c>
      <c r="GV30" s="441">
        <f>+'Input BS ACCTS'!BU114/1000</f>
        <v>1360.018</v>
      </c>
      <c r="GW30" s="441">
        <f>+'Input BS ACCTS'!BV114/1000</f>
        <v>1339.52</v>
      </c>
      <c r="GX30" s="441">
        <f>+'Input BS ACCTS'!BW114/1000</f>
        <v>1319.021</v>
      </c>
      <c r="GY30" s="441">
        <f>+'Input BS ACCTS'!BX114/1000</f>
        <v>1298.5229999999999</v>
      </c>
      <c r="GZ30" s="441">
        <f>+'Input BS ACCTS'!BY114/1000</f>
        <v>1278.0250000000001</v>
      </c>
      <c r="HA30" s="441">
        <f>+'Input BS ACCTS'!BZ114/1000</f>
        <v>425.12799999999999</v>
      </c>
      <c r="HB30" s="441">
        <f>+'Input BS ACCTS'!CA114/1000</f>
        <v>1237.027</v>
      </c>
      <c r="HC30" s="441">
        <f>+'Input BS ACCTS'!CB114/1000</f>
        <v>1232.2059999999999</v>
      </c>
      <c r="HD30" s="441">
        <f>+'Input BS ACCTS'!CC114/1000</f>
        <v>1227.386</v>
      </c>
      <c r="HE30" s="441">
        <f>+'Input BS ACCTS'!CD114/1000</f>
        <v>1222.5650000000001</v>
      </c>
      <c r="HF30" s="441">
        <f>+'Input BS ACCTS'!CE114/1000</f>
        <v>1217.7439999999999</v>
      </c>
      <c r="HG30" s="441">
        <f>+'Input BS ACCTS'!CF114/1000</f>
        <v>1212.923</v>
      </c>
      <c r="HH30" s="441">
        <f>+'Input BS ACCTS'!CG114/1000</f>
        <v>1208.1030000000001</v>
      </c>
      <c r="HI30" s="441">
        <f>+'Input BS ACCTS'!CH114/1000</f>
        <v>1208.7660000000001</v>
      </c>
      <c r="HJ30" s="441">
        <f>+'Input BS ACCTS'!CI114/1000</f>
        <v>1209.4269999999999</v>
      </c>
      <c r="HK30" s="441">
        <f>+'Input BS ACCTS'!CJ114/1000</f>
        <v>1210.0899999999999</v>
      </c>
      <c r="HL30" s="441">
        <f>+'Input BS ACCTS'!CK114/1000</f>
        <v>1210.752</v>
      </c>
      <c r="HM30" s="441">
        <f>+'Input BS ACCTS'!CL114/1000</f>
        <v>1211.415</v>
      </c>
      <c r="HN30" s="441">
        <f>+'Input BS ACCTS'!CM114/1000</f>
        <v>1212.076</v>
      </c>
      <c r="HO30" s="441">
        <f>+'Input BS ACCTS'!CN114/1000</f>
        <v>1212.739</v>
      </c>
      <c r="HP30" s="441">
        <f>+'Input BS ACCTS'!CO114/1000</f>
        <v>1213.402</v>
      </c>
      <c r="HQ30" s="441">
        <f>+'Input BS ACCTS'!CP114/1000</f>
        <v>1214.0640000000001</v>
      </c>
      <c r="HR30" s="441">
        <f>+'Input BS ACCTS'!CQ114/1000</f>
        <v>1214.7260000000001</v>
      </c>
      <c r="HS30" s="441">
        <f>+'Input BS ACCTS'!CR114/1000</f>
        <v>1215.3879999999999</v>
      </c>
      <c r="HT30" s="441">
        <f>+'Input BS ACCTS'!CS114/1000</f>
        <v>1216.0509999999999</v>
      </c>
      <c r="HU30" s="441">
        <f>+'Input BS ACCTS'!CT114/1000</f>
        <v>1216.713</v>
      </c>
      <c r="HV30" s="441">
        <f>+'Input BS ACCTS'!CU114/1000</f>
        <v>1217.375</v>
      </c>
      <c r="HW30" s="441">
        <f>+'Input BS ACCTS'!CV114/1000</f>
        <v>1218.037</v>
      </c>
      <c r="HX30" s="441">
        <f>+'Input BS ACCTS'!CW114/1000</f>
        <v>1218.7</v>
      </c>
      <c r="HY30" s="441">
        <f>+'Input BS ACCTS'!CX114/1000</f>
        <v>1219.3620000000001</v>
      </c>
      <c r="HZ30" s="441">
        <f>+'Input BS ACCTS'!CY114/1000</f>
        <v>904.66</v>
      </c>
      <c r="IA30" s="441">
        <f>+'Input BS ACCTS'!CZ114/1000</f>
        <v>905.15099999999995</v>
      </c>
      <c r="IB30" s="441">
        <f>+'Input BS ACCTS'!DA114/1000</f>
        <v>905.64200000000005</v>
      </c>
      <c r="IC30" s="441">
        <f>+'Input BS ACCTS'!DB114/1000</f>
        <v>906.13199999999995</v>
      </c>
      <c r="ID30" s="441">
        <f>+'Input BS ACCTS'!DC114/1000</f>
        <v>0</v>
      </c>
      <c r="IE30" s="441">
        <f>+'Input BS ACCTS'!DD114/1000</f>
        <v>0</v>
      </c>
      <c r="IF30" s="441">
        <f>+'Input BS ACCTS'!DE114/1000</f>
        <v>0</v>
      </c>
      <c r="IG30" s="441">
        <f>+'Input BS ACCTS'!DF114/1000</f>
        <v>0</v>
      </c>
      <c r="IH30" s="441">
        <f>+'Input BS ACCTS'!DG114/1000</f>
        <v>0</v>
      </c>
      <c r="II30" s="441">
        <f>+'Input BS ACCTS'!DH114/1000</f>
        <v>0</v>
      </c>
      <c r="IJ30" s="447" t="s">
        <v>1685</v>
      </c>
      <c r="IK30" s="445">
        <v>1720101</v>
      </c>
      <c r="IL30" s="191"/>
      <c r="IM30" s="35"/>
      <c r="IN30" s="35"/>
      <c r="IO30" s="35"/>
      <c r="IP30" s="35"/>
      <c r="IQ30" s="35"/>
      <c r="IR30" s="35"/>
      <c r="IS30" s="35"/>
      <c r="IT30" s="35"/>
      <c r="IU30" s="35"/>
      <c r="IV30" s="35"/>
      <c r="IW30" s="35"/>
      <c r="IX30" s="35"/>
      <c r="IY30" s="35"/>
    </row>
    <row r="31" spans="1:259" ht="15">
      <c r="A31" s="27" t="s">
        <v>236</v>
      </c>
      <c r="B31" s="107">
        <v>-455.02755999999999</v>
      </c>
      <c r="C31" s="107">
        <v>-437.42856</v>
      </c>
      <c r="D31" s="107">
        <v>-460.94956000000002</v>
      </c>
      <c r="E31" s="107">
        <v>-528.99456000000009</v>
      </c>
      <c r="F31" s="107">
        <v>-664.20856000000003</v>
      </c>
      <c r="G31" s="107">
        <v>-778.10756000000003</v>
      </c>
      <c r="H31" s="107">
        <v>-919.52156000000002</v>
      </c>
      <c r="I31" s="107">
        <v>-909.56856000000005</v>
      </c>
      <c r="J31" s="107">
        <v>-850.53956000000005</v>
      </c>
      <c r="K31" s="107">
        <v>-791.98156000000006</v>
      </c>
      <c r="L31" s="107">
        <v>-686.71356000000003</v>
      </c>
      <c r="M31" s="107">
        <v>-563.70456000000001</v>
      </c>
      <c r="N31" s="107">
        <v>-515.12855999999999</v>
      </c>
      <c r="O31" s="107">
        <v>-490</v>
      </c>
      <c r="P31" s="107">
        <v>-478</v>
      </c>
      <c r="Q31" s="107">
        <v>-560</v>
      </c>
      <c r="R31" s="107">
        <v>-687</v>
      </c>
      <c r="S31" s="107">
        <v>-780</v>
      </c>
      <c r="T31" s="107">
        <v>-759</v>
      </c>
      <c r="U31" s="107">
        <v>-713</v>
      </c>
      <c r="V31" s="107">
        <v>-650</v>
      </c>
      <c r="W31" s="107">
        <v>-578</v>
      </c>
      <c r="X31" s="107">
        <v>-591</v>
      </c>
      <c r="Y31" s="107">
        <v>-578</v>
      </c>
      <c r="Z31" s="107">
        <v>-580</v>
      </c>
      <c r="AA31" s="107">
        <v>-598</v>
      </c>
      <c r="AB31" s="107">
        <v>-644</v>
      </c>
      <c r="AC31" s="107">
        <v>-675.37</v>
      </c>
      <c r="AD31" s="107">
        <v>-771</v>
      </c>
      <c r="AE31" s="107">
        <v>-831</v>
      </c>
      <c r="AF31" s="107">
        <v>-856</v>
      </c>
      <c r="AG31" s="107">
        <v>-866</v>
      </c>
      <c r="AH31" s="107">
        <v>-861</v>
      </c>
      <c r="AI31" s="107">
        <v>-842.09547999999995</v>
      </c>
      <c r="AJ31" s="107">
        <v>-834.90708999999993</v>
      </c>
      <c r="AK31" s="107">
        <v>-812.34865000000002</v>
      </c>
      <c r="AL31" s="107">
        <v>-806.14300000000003</v>
      </c>
      <c r="AM31" s="187">
        <v>-800.01909000000001</v>
      </c>
      <c r="AN31" s="187">
        <v>-809.00762999999995</v>
      </c>
      <c r="AO31" s="219">
        <v>-857.66458</v>
      </c>
      <c r="AP31" s="254">
        <v>-1173.1955499999999</v>
      </c>
      <c r="AQ31" s="254">
        <v>-1197.9515000000001</v>
      </c>
      <c r="AR31" s="254">
        <v>-1206.4012499999999</v>
      </c>
      <c r="AS31" s="219">
        <v>-1191.64364</v>
      </c>
      <c r="AT31" s="219">
        <v>-1170.9369499999998</v>
      </c>
      <c r="AU31" s="219">
        <v>-1150.83653</v>
      </c>
      <c r="AV31" s="219">
        <v>-1132.0032700000002</v>
      </c>
      <c r="AW31" s="219">
        <v>-1074.9106400000001</v>
      </c>
      <c r="AX31" s="219">
        <v>-1035.75109</v>
      </c>
      <c r="AY31" s="178">
        <v>-1019.30238</v>
      </c>
      <c r="AZ31" s="178">
        <v>-1029.23377</v>
      </c>
      <c r="BA31" s="330">
        <v>-731.32908999999995</v>
      </c>
      <c r="BB31" s="330">
        <v>-782.74828000000002</v>
      </c>
      <c r="BC31" s="330">
        <v>-917.71605</v>
      </c>
      <c r="BD31" s="330">
        <v>-957.27909999999997</v>
      </c>
      <c r="BE31" s="330">
        <v>-935.20756000000006</v>
      </c>
      <c r="BF31" s="330">
        <v>-856.77770999999996</v>
      </c>
      <c r="BG31" s="211">
        <v>-816.52819999999997</v>
      </c>
      <c r="BH31" s="211">
        <v>-794.09456</v>
      </c>
      <c r="BI31" s="211">
        <v>-747.60847999999999</v>
      </c>
      <c r="BJ31" s="211">
        <v>-725.35890000000006</v>
      </c>
      <c r="BK31" s="211">
        <v>-695.53687000000002</v>
      </c>
      <c r="BL31" s="211">
        <v>-707.43092000000001</v>
      </c>
      <c r="BM31" s="211">
        <v>-716.18051000000003</v>
      </c>
      <c r="BN31" s="211">
        <v>-764.56398000000002</v>
      </c>
      <c r="BO31" s="211">
        <v>-833.68214</v>
      </c>
      <c r="BP31" s="211">
        <v>-866.98719999999992</v>
      </c>
      <c r="BQ31" s="211">
        <v>-866.89018999999996</v>
      </c>
      <c r="BR31" s="211">
        <v>-848.57669999999996</v>
      </c>
      <c r="BS31" s="211">
        <v>-848.49146999999994</v>
      </c>
      <c r="BT31" s="211">
        <v>-838.88191000000006</v>
      </c>
      <c r="BU31" s="211">
        <v>-842.81272999999999</v>
      </c>
      <c r="BV31" s="211">
        <v>-837.64599999999996</v>
      </c>
      <c r="BW31" s="211">
        <v>-838.11168999999995</v>
      </c>
      <c r="BX31" s="211">
        <v>-847.21273999999994</v>
      </c>
      <c r="BY31" s="211">
        <v>-849.69038</v>
      </c>
      <c r="BZ31" s="211">
        <v>-887.53624000000002</v>
      </c>
      <c r="CA31" s="211">
        <v>-944.53557999999998</v>
      </c>
      <c r="CB31" s="211">
        <v>-956.84649999999999</v>
      </c>
      <c r="CC31" s="211">
        <v>-941.98509000000001</v>
      </c>
      <c r="CD31" s="211">
        <v>-940.28794999999991</v>
      </c>
      <c r="CE31" s="211">
        <v>-903.51258999999993</v>
      </c>
      <c r="CF31" s="211">
        <v>-849.49854000000005</v>
      </c>
      <c r="CG31" s="211">
        <v>-845.09379000000001</v>
      </c>
      <c r="CH31" s="211">
        <v>-801.43325000000004</v>
      </c>
      <c r="CI31" s="211">
        <v>-783.65075999999999</v>
      </c>
      <c r="CJ31" s="211">
        <v>-787.92529999999999</v>
      </c>
      <c r="CK31" s="211">
        <v>-113.41849999999999</v>
      </c>
      <c r="CL31" s="211">
        <v>-207.04419000000001</v>
      </c>
      <c r="CM31" s="211">
        <v>-288.99347999999998</v>
      </c>
      <c r="CN31" s="211">
        <v>-453.04740999999996</v>
      </c>
      <c r="CO31" s="211">
        <v>-288.87128999999999</v>
      </c>
      <c r="CP31" s="211">
        <v>-310.80003999999997</v>
      </c>
      <c r="CQ31" s="211">
        <v>-222.27127999999999</v>
      </c>
      <c r="CR31" s="211">
        <v>-283.59184000000005</v>
      </c>
      <c r="CS31" s="211">
        <v>-271.50496000000004</v>
      </c>
      <c r="CT31" s="211">
        <v>-260.75554</v>
      </c>
      <c r="CU31" s="211">
        <v>-259.62815000000001</v>
      </c>
      <c r="CV31" s="211">
        <v>-275.75657000000001</v>
      </c>
      <c r="CW31" s="211">
        <v>-302.18698999999998</v>
      </c>
      <c r="CX31" s="211">
        <v>-382.59059999999999</v>
      </c>
      <c r="CY31" s="211">
        <v>-281.09752000000003</v>
      </c>
      <c r="CZ31" s="211">
        <v>-251.70170000000002</v>
      </c>
      <c r="DA31" s="211">
        <v>-213.84951999999998</v>
      </c>
      <c r="DB31" s="211">
        <v>-201.88492000000002</v>
      </c>
      <c r="DC31" s="211">
        <v>-195.49482</v>
      </c>
      <c r="DD31" s="211">
        <v>-201.99557999999999</v>
      </c>
      <c r="DE31" s="211">
        <v>-221.12253000000001</v>
      </c>
      <c r="DF31" s="211">
        <v>-220.73206999999999</v>
      </c>
      <c r="DG31" s="211">
        <v>-205.02083999999999</v>
      </c>
      <c r="DH31" s="211">
        <v>-208.15711999999999</v>
      </c>
      <c r="DI31" s="211">
        <v>-248.77445</v>
      </c>
      <c r="DJ31" s="211">
        <v>-268.02341999999999</v>
      </c>
      <c r="DK31" s="211">
        <v>-261.91167000000002</v>
      </c>
      <c r="DL31" s="211">
        <v>-260.67527999999999</v>
      </c>
      <c r="DM31" s="211">
        <v>-260.92232999999999</v>
      </c>
      <c r="DN31" s="211">
        <v>-252.48989</v>
      </c>
      <c r="DO31" s="211">
        <v>-230.23067</v>
      </c>
      <c r="DP31" s="211">
        <v>-41.51567</v>
      </c>
      <c r="DQ31" s="211">
        <v>-32.340849999999996</v>
      </c>
      <c r="DR31" s="211">
        <v>1.25783</v>
      </c>
      <c r="DS31" s="211">
        <v>-14.3606</v>
      </c>
      <c r="DT31" s="211">
        <v>-32.95722</v>
      </c>
      <c r="DU31" s="211">
        <v>-36.809249999999999</v>
      </c>
      <c r="DV31" s="211">
        <v>-59.079529999999998</v>
      </c>
      <c r="DW31" s="211">
        <v>-25.68627</v>
      </c>
      <c r="DX31" s="211">
        <v>-207.87317999999999</v>
      </c>
      <c r="DY31" s="211">
        <v>-452.78482000000002</v>
      </c>
      <c r="DZ31" s="211">
        <v>-804.53057999999999</v>
      </c>
      <c r="EA31" s="211">
        <v>-1102.6375600000001</v>
      </c>
      <c r="EB31" s="211">
        <v>-1311.63338</v>
      </c>
      <c r="EC31" s="211">
        <v>-1549.8083799999999</v>
      </c>
      <c r="ED31" s="211">
        <v>-1725.01656</v>
      </c>
      <c r="EE31" s="211">
        <v>-1516.63996</v>
      </c>
      <c r="EF31" s="211">
        <v>-1648.0353700000001</v>
      </c>
      <c r="EG31" s="211">
        <v>-1047.18869</v>
      </c>
      <c r="EH31" s="211">
        <v>-1240.2019599999999</v>
      </c>
      <c r="EI31" s="211">
        <v>-1410.58762</v>
      </c>
      <c r="EJ31" s="211">
        <v>-1088.1991</v>
      </c>
      <c r="EK31" s="211">
        <v>-1175.9852800000001</v>
      </c>
      <c r="EL31" s="211">
        <v>-1250.5653600000001</v>
      </c>
      <c r="EM31" s="211">
        <v>-1225.4410800000001</v>
      </c>
      <c r="EN31" s="211">
        <v>-1256.98207</v>
      </c>
      <c r="EO31" s="211">
        <v>-1305.7005200000001</v>
      </c>
      <c r="EP31" s="211">
        <v>-1353.8476000000001</v>
      </c>
      <c r="EQ31" s="211">
        <v>-1419.7396799999999</v>
      </c>
      <c r="ER31" s="211">
        <v>-1392.4896299999998</v>
      </c>
      <c r="ES31" s="211">
        <v>-1399.5217299999999</v>
      </c>
      <c r="ET31" s="211">
        <v>-1454.3242</v>
      </c>
      <c r="EU31" s="211">
        <v>-1452.66841</v>
      </c>
      <c r="EV31" s="211">
        <v>-1468.6395500000001</v>
      </c>
      <c r="EW31" s="211">
        <v>-1385.69353</v>
      </c>
      <c r="EX31" s="211">
        <v>-1400.06124</v>
      </c>
      <c r="EY31" s="211">
        <v>-1421.2813600000002</v>
      </c>
      <c r="EZ31" s="211">
        <v>-1418.4673700000001</v>
      </c>
      <c r="FA31" s="211">
        <v>-1499.4611299999999</v>
      </c>
      <c r="FB31" s="211">
        <v>-1499.7898300000002</v>
      </c>
      <c r="FC31" s="211">
        <f>(VLOOKUP("144",'Input BS ACCTS'!$A$5:$DH$1058,110,FALSE))/1000</f>
        <v>-1499.66741</v>
      </c>
      <c r="FD31" s="211">
        <f>(VLOOKUP("144",'Input BS ACCTS'!$A$5:$DH$1058,111,FALSE))/1000</f>
        <v>-1403.5660500000001</v>
      </c>
      <c r="FE31" s="211">
        <f>(VLOOKUP("144",'Input BS ACCTS'!$A$5:$DH$1058,112,FALSE))/1000</f>
        <v>-888.66498999999999</v>
      </c>
      <c r="FF31" s="403">
        <f t="shared" si="57"/>
        <v>-1399.369753846154</v>
      </c>
      <c r="FG31" s="700"/>
      <c r="FH31" s="700"/>
      <c r="IJ31" s="35"/>
      <c r="IK31" s="221"/>
      <c r="IL31" s="191"/>
      <c r="IM31" s="35"/>
      <c r="IN31" s="35"/>
      <c r="IO31" s="35"/>
      <c r="IP31" s="35"/>
      <c r="IQ31" s="35"/>
      <c r="IR31" s="35"/>
      <c r="IS31" s="35"/>
      <c r="IT31" s="35"/>
      <c r="IU31" s="35"/>
      <c r="IV31" s="35"/>
      <c r="IW31" s="35"/>
      <c r="IX31" s="35"/>
      <c r="IY31" s="35"/>
    </row>
    <row r="32" spans="1:259">
      <c r="A32" s="141" t="s">
        <v>237</v>
      </c>
      <c r="B32" s="107">
        <v>0</v>
      </c>
      <c r="C32" s="107">
        <v>0</v>
      </c>
      <c r="D32" s="107">
        <v>13148.244000000001</v>
      </c>
      <c r="E32" s="107">
        <v>0</v>
      </c>
      <c r="F32" s="107">
        <v>469.67</v>
      </c>
      <c r="G32" s="107">
        <v>0</v>
      </c>
      <c r="H32" s="107">
        <v>22786.147000000001</v>
      </c>
      <c r="I32" s="107">
        <v>29092.914000000001</v>
      </c>
      <c r="J32" s="107">
        <v>23601.084999999999</v>
      </c>
      <c r="K32" s="107">
        <v>16014.725</v>
      </c>
      <c r="L32" s="107">
        <v>0</v>
      </c>
      <c r="M32" s="107">
        <v>0</v>
      </c>
      <c r="N32" s="107">
        <v>0</v>
      </c>
      <c r="O32" s="107">
        <v>0</v>
      </c>
      <c r="P32" s="107">
        <v>0</v>
      </c>
      <c r="Q32" s="107">
        <v>0</v>
      </c>
      <c r="R32" s="107">
        <v>0</v>
      </c>
      <c r="S32" s="107">
        <v>0</v>
      </c>
      <c r="T32" s="107">
        <v>0</v>
      </c>
      <c r="U32" s="107">
        <v>0</v>
      </c>
      <c r="V32" s="142">
        <v>15000</v>
      </c>
      <c r="W32" s="142">
        <v>12500</v>
      </c>
      <c r="X32" s="107">
        <v>0</v>
      </c>
      <c r="Y32" s="142">
        <v>0</v>
      </c>
      <c r="Z32" s="107">
        <v>0</v>
      </c>
      <c r="AA32" s="107">
        <v>0</v>
      </c>
      <c r="AB32" s="107">
        <v>0</v>
      </c>
      <c r="AC32" s="107">
        <v>0</v>
      </c>
      <c r="AD32" s="107">
        <v>0</v>
      </c>
      <c r="AE32" s="107"/>
      <c r="AF32" s="107">
        <v>0</v>
      </c>
      <c r="AG32" s="107"/>
      <c r="AH32" s="107"/>
      <c r="AI32" s="107">
        <v>0</v>
      </c>
      <c r="AJ32" s="107">
        <v>1461.8889299999998</v>
      </c>
      <c r="AK32" s="107">
        <v>-32.765819999999962</v>
      </c>
      <c r="AL32" s="107">
        <v>1831.48739</v>
      </c>
      <c r="AM32" s="187">
        <v>0</v>
      </c>
      <c r="AN32" s="187">
        <v>0</v>
      </c>
      <c r="AO32" s="219">
        <v>0</v>
      </c>
      <c r="AP32" s="219">
        <v>0</v>
      </c>
      <c r="AQ32" s="219">
        <v>0</v>
      </c>
      <c r="AR32" s="219">
        <v>0</v>
      </c>
      <c r="AS32" s="219">
        <v>0</v>
      </c>
      <c r="AT32" s="219">
        <v>11000</v>
      </c>
      <c r="AU32" s="219">
        <v>0</v>
      </c>
      <c r="AV32" s="219">
        <v>0</v>
      </c>
      <c r="AW32" s="219">
        <v>0</v>
      </c>
      <c r="AX32" s="219">
        <v>12300</v>
      </c>
      <c r="AY32" s="178">
        <v>0</v>
      </c>
      <c r="AZ32" s="178">
        <v>0</v>
      </c>
      <c r="BA32" s="330">
        <v>0</v>
      </c>
      <c r="BB32" s="330">
        <v>0</v>
      </c>
      <c r="BC32" s="330">
        <v>0</v>
      </c>
      <c r="BD32" s="330">
        <v>1500</v>
      </c>
      <c r="BE32" s="330">
        <v>0</v>
      </c>
      <c r="BF32" s="330">
        <v>0</v>
      </c>
      <c r="BG32" s="211">
        <v>0</v>
      </c>
      <c r="BH32" s="211">
        <v>0</v>
      </c>
      <c r="BI32" s="211">
        <v>0</v>
      </c>
      <c r="BJ32" s="211">
        <v>0</v>
      </c>
      <c r="BK32" s="211">
        <v>0</v>
      </c>
      <c r="BL32" s="211">
        <v>0</v>
      </c>
      <c r="BM32" s="211">
        <v>0</v>
      </c>
      <c r="BN32" s="211">
        <v>0</v>
      </c>
      <c r="BO32" s="211">
        <v>0</v>
      </c>
      <c r="BP32" s="211">
        <v>4600</v>
      </c>
      <c r="BQ32" s="211">
        <v>10450</v>
      </c>
      <c r="BR32" s="211">
        <v>0</v>
      </c>
      <c r="BS32" s="211">
        <v>0</v>
      </c>
      <c r="BT32" s="211">
        <v>0</v>
      </c>
      <c r="BU32" s="211">
        <v>0</v>
      </c>
      <c r="BV32" s="211">
        <v>0</v>
      </c>
      <c r="BW32" s="211">
        <v>0</v>
      </c>
      <c r="BX32" s="211">
        <v>12000</v>
      </c>
      <c r="BY32" s="211">
        <v>4500</v>
      </c>
      <c r="BZ32" s="211">
        <v>3000</v>
      </c>
      <c r="CA32" s="211">
        <v>0</v>
      </c>
      <c r="CB32" s="211">
        <v>0</v>
      </c>
      <c r="CC32" s="211">
        <v>23200</v>
      </c>
      <c r="CD32" s="211">
        <v>5650</v>
      </c>
      <c r="CE32" s="211">
        <v>0</v>
      </c>
      <c r="CF32" s="211">
        <v>0</v>
      </c>
      <c r="CG32" s="211">
        <v>0</v>
      </c>
      <c r="CH32" s="211">
        <v>0</v>
      </c>
      <c r="CI32" s="211">
        <v>0</v>
      </c>
      <c r="CJ32" s="211">
        <v>0</v>
      </c>
      <c r="CK32" s="211">
        <v>0</v>
      </c>
      <c r="CL32" s="211">
        <v>0</v>
      </c>
      <c r="CM32" s="211">
        <v>0</v>
      </c>
      <c r="CN32" s="211">
        <v>0</v>
      </c>
      <c r="CO32" s="211">
        <v>0</v>
      </c>
      <c r="CP32" s="211">
        <v>0</v>
      </c>
      <c r="CQ32" s="211">
        <v>0</v>
      </c>
      <c r="CR32" s="211">
        <v>0</v>
      </c>
      <c r="CS32" s="211">
        <v>0</v>
      </c>
      <c r="CT32" s="211">
        <v>0</v>
      </c>
      <c r="CU32" s="211">
        <v>0</v>
      </c>
      <c r="CV32" s="211">
        <v>0</v>
      </c>
      <c r="CW32" s="211">
        <v>0</v>
      </c>
      <c r="CX32" s="211">
        <v>0</v>
      </c>
      <c r="CY32" s="211">
        <v>0</v>
      </c>
      <c r="CZ32" s="211">
        <v>0</v>
      </c>
      <c r="DA32" s="211">
        <v>0</v>
      </c>
      <c r="DB32" s="211">
        <v>0</v>
      </c>
      <c r="DC32" s="211">
        <v>0</v>
      </c>
      <c r="DD32" s="211">
        <v>0</v>
      </c>
      <c r="DE32" s="211">
        <v>0</v>
      </c>
      <c r="DF32" s="211">
        <v>0</v>
      </c>
      <c r="DG32" s="211">
        <v>0</v>
      </c>
      <c r="DH32" s="211">
        <v>0</v>
      </c>
      <c r="DI32" s="211">
        <v>0</v>
      </c>
      <c r="DJ32" s="211">
        <v>0</v>
      </c>
      <c r="DK32" s="211">
        <v>0</v>
      </c>
      <c r="DL32" s="211">
        <v>0</v>
      </c>
      <c r="DM32" s="211">
        <v>0</v>
      </c>
      <c r="DN32" s="211">
        <v>0</v>
      </c>
      <c r="DO32" s="211">
        <v>0</v>
      </c>
      <c r="DP32" s="211">
        <v>0</v>
      </c>
      <c r="DQ32" s="211">
        <v>0</v>
      </c>
      <c r="DR32" s="211">
        <v>0</v>
      </c>
      <c r="DS32" s="211">
        <v>0</v>
      </c>
      <c r="DT32" s="211">
        <v>0</v>
      </c>
      <c r="DU32" s="211">
        <v>0</v>
      </c>
      <c r="DV32" s="211">
        <v>0</v>
      </c>
      <c r="DW32" s="211">
        <v>0</v>
      </c>
      <c r="DX32" s="211">
        <v>0</v>
      </c>
      <c r="DY32" s="211">
        <v>0</v>
      </c>
      <c r="DZ32" s="211">
        <v>0</v>
      </c>
      <c r="EA32" s="211">
        <v>0</v>
      </c>
      <c r="EB32" s="211">
        <v>0</v>
      </c>
      <c r="EC32" s="211">
        <v>0</v>
      </c>
      <c r="ED32" s="211">
        <v>0</v>
      </c>
      <c r="EE32" s="211">
        <v>0</v>
      </c>
      <c r="EF32" s="211">
        <v>9532.7538199999999</v>
      </c>
      <c r="EG32" s="211">
        <v>9933.65949</v>
      </c>
      <c r="EH32" s="211">
        <v>10459.212380000001</v>
      </c>
      <c r="EI32" s="211">
        <v>9618.3033200000009</v>
      </c>
      <c r="EJ32" s="211">
        <v>10315.787269999999</v>
      </c>
      <c r="EK32" s="211">
        <v>9943.2950999999994</v>
      </c>
      <c r="EL32" s="211">
        <v>10267.36</v>
      </c>
      <c r="EM32" s="211">
        <v>9828.8352899999991</v>
      </c>
      <c r="EN32" s="211">
        <v>9719.8535900000006</v>
      </c>
      <c r="EO32" s="211">
        <v>10043.801519999999</v>
      </c>
      <c r="EP32" s="211">
        <v>9672.4492899999987</v>
      </c>
      <c r="EQ32" s="211">
        <v>9146.8085800000008</v>
      </c>
      <c r="ER32" s="211">
        <v>9368.7775999999994</v>
      </c>
      <c r="ES32" s="211">
        <v>9985.2147299999997</v>
      </c>
      <c r="ET32" s="211">
        <v>8951.9654800000008</v>
      </c>
      <c r="EU32" s="211">
        <v>10205.36274</v>
      </c>
      <c r="EV32" s="211">
        <v>10528.065710000001</v>
      </c>
      <c r="EW32" s="211">
        <v>9956.7176400000008</v>
      </c>
      <c r="EX32" s="211">
        <v>10337.559310000001</v>
      </c>
      <c r="EY32" s="211">
        <v>9979.1676400000015</v>
      </c>
      <c r="EZ32" s="211">
        <v>9678.8863599999986</v>
      </c>
      <c r="FA32" s="211">
        <v>10135.31781</v>
      </c>
      <c r="FB32" s="211">
        <v>9639.0074199999999</v>
      </c>
      <c r="FC32" s="211">
        <f>(VLOOKUP("145",'Input BS ACCTS'!$A$5:$DH$1058,110,FALSE))/1000</f>
        <v>9123.3623000000007</v>
      </c>
      <c r="FD32" s="211">
        <f>(VLOOKUP("145",'Input BS ACCTS'!$A$5:$DH$1058,111,FALSE))/1000</f>
        <v>9579.0745900000002</v>
      </c>
      <c r="FE32" s="211">
        <f>(VLOOKUP("145",'Input BS ACCTS'!$A$5:$DH$1058,112,FALSE))/1000</f>
        <v>9393.6656600000006</v>
      </c>
      <c r="FF32" s="403">
        <f t="shared" si="57"/>
        <v>9807.1821069230773</v>
      </c>
      <c r="FG32" s="700"/>
      <c r="FH32" s="700"/>
      <c r="IJ32" s="35"/>
      <c r="IK32" s="221"/>
      <c r="IL32" s="191"/>
      <c r="IM32" s="35"/>
      <c r="IN32" s="35"/>
      <c r="IO32" s="35"/>
      <c r="IP32" s="35"/>
      <c r="IQ32" s="35"/>
      <c r="IR32" s="35"/>
      <c r="IS32" s="35"/>
      <c r="IT32" s="35"/>
      <c r="IU32" s="35"/>
      <c r="IV32" s="35"/>
      <c r="IW32" s="35"/>
      <c r="IX32" s="35"/>
      <c r="IY32" s="35"/>
    </row>
    <row r="33" spans="1:259">
      <c r="A33" s="141" t="s">
        <v>238</v>
      </c>
      <c r="B33" s="107">
        <v>-3.0000000000000001E-3</v>
      </c>
      <c r="C33" s="107">
        <v>-3.0000000000000001E-3</v>
      </c>
      <c r="D33" s="107">
        <v>-8526.7520000000004</v>
      </c>
      <c r="E33" s="107">
        <v>-5.0000000000000001E-3</v>
      </c>
      <c r="F33" s="107">
        <v>3636.6950000000002</v>
      </c>
      <c r="G33" s="107">
        <v>-8.9999999999999993E-3</v>
      </c>
      <c r="H33" s="107">
        <v>-9417.3310000000001</v>
      </c>
      <c r="I33" s="107">
        <v>-7115.6350000000002</v>
      </c>
      <c r="J33" s="107">
        <v>-10557.49</v>
      </c>
      <c r="K33" s="107">
        <v>-8062.9880000000003</v>
      </c>
      <c r="L33" s="107">
        <v>1E-3</v>
      </c>
      <c r="M33" s="107">
        <v>0</v>
      </c>
      <c r="N33" s="107">
        <v>2E-3</v>
      </c>
      <c r="O33" s="107">
        <v>0</v>
      </c>
      <c r="P33" s="107">
        <v>0</v>
      </c>
      <c r="Q33" s="107">
        <v>0</v>
      </c>
      <c r="R33" s="107">
        <v>0</v>
      </c>
      <c r="S33" s="107">
        <v>0</v>
      </c>
      <c r="T33" s="107">
        <v>0</v>
      </c>
      <c r="U33" s="107">
        <v>0</v>
      </c>
      <c r="V33" s="142">
        <v>0</v>
      </c>
      <c r="W33" s="142">
        <v>0</v>
      </c>
      <c r="X33" s="107">
        <v>0</v>
      </c>
      <c r="Y33" s="107">
        <v>0</v>
      </c>
      <c r="Z33" s="107">
        <v>0</v>
      </c>
      <c r="AA33" s="107">
        <v>0</v>
      </c>
      <c r="AB33" s="107">
        <v>0</v>
      </c>
      <c r="AC33" s="107">
        <v>0</v>
      </c>
      <c r="AD33" s="107">
        <v>0</v>
      </c>
      <c r="AE33" s="107">
        <v>12100</v>
      </c>
      <c r="AF33" s="107">
        <v>19700</v>
      </c>
      <c r="AG33" s="107">
        <v>21000</v>
      </c>
      <c r="AH33" s="107">
        <v>16900</v>
      </c>
      <c r="AI33" s="107">
        <v>0</v>
      </c>
      <c r="AJ33" s="107">
        <v>0</v>
      </c>
      <c r="AK33" s="107">
        <v>0</v>
      </c>
      <c r="AL33" s="107">
        <v>0</v>
      </c>
      <c r="AM33" s="187">
        <v>2270.4649200000003</v>
      </c>
      <c r="AN33" s="187">
        <v>1835.57743</v>
      </c>
      <c r="AO33" s="219">
        <v>4384.5424800000001</v>
      </c>
      <c r="AP33" s="219">
        <v>3552.3394699999999</v>
      </c>
      <c r="AQ33" s="219">
        <v>3045.8218099999995</v>
      </c>
      <c r="AR33" s="219">
        <v>3931.28008</v>
      </c>
      <c r="AS33" s="219">
        <v>4278.1769199999999</v>
      </c>
      <c r="AT33" s="219">
        <v>3990.9047100000003</v>
      </c>
      <c r="AU33" s="219">
        <v>3967.0117899999996</v>
      </c>
      <c r="AV33" s="219">
        <v>2894.4988699999994</v>
      </c>
      <c r="AW33" s="219">
        <v>969.50959999999998</v>
      </c>
      <c r="AX33" s="219">
        <v>928.82862999999998</v>
      </c>
      <c r="AY33" s="178">
        <v>1659.1915400000003</v>
      </c>
      <c r="AZ33" s="178">
        <v>415.70960000000002</v>
      </c>
      <c r="BA33" s="330">
        <v>1682.57818</v>
      </c>
      <c r="BB33" s="330">
        <v>1462.6165100000001</v>
      </c>
      <c r="BC33" s="330">
        <v>728.19931000000008</v>
      </c>
      <c r="BD33" s="330">
        <v>979.89058</v>
      </c>
      <c r="BE33" s="330">
        <v>2479.68408</v>
      </c>
      <c r="BF33" s="330">
        <v>10648.66353</v>
      </c>
      <c r="BG33" s="211">
        <v>1488.2719999999999</v>
      </c>
      <c r="BH33" s="211">
        <v>2089.7937900000002</v>
      </c>
      <c r="BI33" s="211">
        <v>2483.00398</v>
      </c>
      <c r="BJ33" s="211">
        <v>1882.64885</v>
      </c>
      <c r="BK33" s="211">
        <v>3905.4356499999999</v>
      </c>
      <c r="BL33" s="211">
        <v>1301.60832</v>
      </c>
      <c r="BM33" s="211">
        <v>4052.6313399999999</v>
      </c>
      <c r="BN33" s="211">
        <v>931.28267000000005</v>
      </c>
      <c r="BO33" s="211">
        <v>2163.2559000000001</v>
      </c>
      <c r="BP33" s="211">
        <v>2254.58808</v>
      </c>
      <c r="BQ33" s="211">
        <v>2013.8412499999999</v>
      </c>
      <c r="BR33" s="211">
        <v>1614.3322499999999</v>
      </c>
      <c r="BS33" s="211">
        <v>2837.8909199999998</v>
      </c>
      <c r="BT33" s="211">
        <v>2766.4763599999997</v>
      </c>
      <c r="BU33" s="211">
        <v>2516.2002499999999</v>
      </c>
      <c r="BV33" s="211">
        <v>928.63187000000005</v>
      </c>
      <c r="BW33" s="211">
        <v>1675.9608400000002</v>
      </c>
      <c r="BX33" s="211">
        <v>2349.9484300000004</v>
      </c>
      <c r="BY33" s="211">
        <v>1457.29919</v>
      </c>
      <c r="BZ33" s="211">
        <v>2829.7426499999997</v>
      </c>
      <c r="CA33" s="211">
        <v>2457.2294300000003</v>
      </c>
      <c r="CB33" s="211">
        <v>2948.5185200000001</v>
      </c>
      <c r="CC33" s="211">
        <v>1635.07698</v>
      </c>
      <c r="CD33" s="211">
        <v>86.58399</v>
      </c>
      <c r="CE33" s="211">
        <v>360.36574000000002</v>
      </c>
      <c r="CF33" s="211">
        <v>518.68703000000005</v>
      </c>
      <c r="CG33" s="211">
        <v>291.02431000000001</v>
      </c>
      <c r="CH33" s="211">
        <v>48.746960000000001</v>
      </c>
      <c r="CI33" s="211">
        <v>261.65440999999998</v>
      </c>
      <c r="CJ33" s="211">
        <v>158.58785</v>
      </c>
      <c r="CK33" s="211">
        <v>503.31303000000003</v>
      </c>
      <c r="CL33" s="211">
        <v>619.80268999999998</v>
      </c>
      <c r="CM33" s="211">
        <v>634.64260999999999</v>
      </c>
      <c r="CN33" s="211">
        <v>939.79313999999999</v>
      </c>
      <c r="CO33" s="211">
        <v>408.07337999999999</v>
      </c>
      <c r="CP33" s="211">
        <v>1572.72947</v>
      </c>
      <c r="CQ33" s="211">
        <v>1404.36923</v>
      </c>
      <c r="CR33" s="211">
        <v>1100.67823</v>
      </c>
      <c r="CS33" s="211">
        <v>20878.471289999998</v>
      </c>
      <c r="CT33" s="211">
        <v>5018.4910999999993</v>
      </c>
      <c r="CU33" s="211">
        <v>1025.1634899999999</v>
      </c>
      <c r="CV33" s="211">
        <v>435.68347</v>
      </c>
      <c r="CW33" s="211">
        <v>1710.0338100000001</v>
      </c>
      <c r="CX33" s="211">
        <v>3492.4702200000002</v>
      </c>
      <c r="CY33" s="211">
        <v>2241.7507500000002</v>
      </c>
      <c r="CZ33" s="211">
        <v>890.00284999999997</v>
      </c>
      <c r="DA33" s="211">
        <v>318.54793000000001</v>
      </c>
      <c r="DB33" s="211">
        <v>1161.3851100000002</v>
      </c>
      <c r="DC33" s="211">
        <v>3415.4628199999997</v>
      </c>
      <c r="DD33" s="211">
        <v>2333.7491400000004</v>
      </c>
      <c r="DE33" s="211">
        <v>1768.84213</v>
      </c>
      <c r="DF33" s="211">
        <v>3627.74386</v>
      </c>
      <c r="DG33" s="211">
        <v>5204.9230700000007</v>
      </c>
      <c r="DH33" s="211">
        <v>4402.6377199999997</v>
      </c>
      <c r="DI33" s="211">
        <v>713.31309999999996</v>
      </c>
      <c r="DJ33" s="211">
        <v>3029.00092</v>
      </c>
      <c r="DK33" s="211">
        <v>922.45672000000002</v>
      </c>
      <c r="DL33" s="211">
        <v>2538.9434300000003</v>
      </c>
      <c r="DM33" s="211">
        <v>985.41375000000005</v>
      </c>
      <c r="DN33" s="211">
        <v>2162.6116400000001</v>
      </c>
      <c r="DO33" s="211">
        <v>793.87063999999998</v>
      </c>
      <c r="DP33" s="211">
        <v>899.72450000000003</v>
      </c>
      <c r="DQ33" s="211">
        <v>1123.6444899999999</v>
      </c>
      <c r="DR33" s="211">
        <v>3093.5126700000001</v>
      </c>
      <c r="DS33" s="211">
        <v>2962.53656</v>
      </c>
      <c r="DT33" s="211">
        <v>790.71066000000008</v>
      </c>
      <c r="DU33" s="211">
        <v>1028.39149</v>
      </c>
      <c r="DV33" s="211">
        <v>1617.2676200000001</v>
      </c>
      <c r="DW33" s="211">
        <v>615.54357999999991</v>
      </c>
      <c r="DX33" s="211">
        <v>1051.8504499999999</v>
      </c>
      <c r="DY33" s="211">
        <v>320.40886999999998</v>
      </c>
      <c r="DZ33" s="211">
        <v>925.31073000000004</v>
      </c>
      <c r="EA33" s="211">
        <v>964.79186000000004</v>
      </c>
      <c r="EB33" s="211">
        <v>1181.4413999999999</v>
      </c>
      <c r="EC33" s="211">
        <v>941.5471</v>
      </c>
      <c r="ED33" s="211">
        <v>485.40080999999998</v>
      </c>
      <c r="EE33" s="211">
        <v>651.19672000000003</v>
      </c>
      <c r="EF33" s="211">
        <v>498.78246999999999</v>
      </c>
      <c r="EG33" s="211">
        <v>692.22036000000003</v>
      </c>
      <c r="EH33" s="211">
        <v>445.12609999999995</v>
      </c>
      <c r="EI33" s="211">
        <v>585.52635999999995</v>
      </c>
      <c r="EJ33" s="211">
        <v>1317.4557</v>
      </c>
      <c r="EK33" s="211">
        <v>1448.72</v>
      </c>
      <c r="EL33" s="211">
        <v>797.51106000000004</v>
      </c>
      <c r="EM33" s="211">
        <v>2124.0678199999998</v>
      </c>
      <c r="EN33" s="211">
        <v>2972.5672799999998</v>
      </c>
      <c r="EO33" s="211">
        <v>2620.58151</v>
      </c>
      <c r="EP33" s="211">
        <v>1434.04691</v>
      </c>
      <c r="EQ33" s="211">
        <v>1871.28954</v>
      </c>
      <c r="ER33" s="211">
        <v>906.42084999999997</v>
      </c>
      <c r="ES33" s="211">
        <v>828.79310999999996</v>
      </c>
      <c r="ET33" s="211">
        <v>1924.0427500000001</v>
      </c>
      <c r="EU33" s="211">
        <v>1004.31377</v>
      </c>
      <c r="EV33" s="211">
        <v>2367.83097</v>
      </c>
      <c r="EW33" s="211">
        <v>1594.4240199999999</v>
      </c>
      <c r="EX33" s="211">
        <v>5390.5550400000002</v>
      </c>
      <c r="EY33" s="211">
        <v>7130.6475700000001</v>
      </c>
      <c r="EZ33" s="211">
        <v>4630.4276399999999</v>
      </c>
      <c r="FA33" s="211">
        <v>5402.5178599999999</v>
      </c>
      <c r="FB33" s="211">
        <v>4004.2515899999999</v>
      </c>
      <c r="FC33" s="211">
        <f>(VLOOKUP("146",'Input BS ACCTS'!$A$5:$DH$1058,110,FALSE))/1000</f>
        <v>2491.0508599999998</v>
      </c>
      <c r="FD33" s="211">
        <f>(VLOOKUP("146",'Input BS ACCTS'!$A$5:$DH$1058,111,FALSE))/1000</f>
        <v>1993.2344800000001</v>
      </c>
      <c r="FE33" s="211">
        <f>(VLOOKUP("146",'Input BS ACCTS'!$A$5:$DH$1058,112,FALSE))/1000</f>
        <v>3816.94281</v>
      </c>
      <c r="FF33" s="403">
        <f t="shared" si="57"/>
        <v>3275.3101900000006</v>
      </c>
      <c r="FG33" s="700"/>
      <c r="FH33" s="700"/>
      <c r="IJ33" s="35"/>
      <c r="IK33" s="221"/>
      <c r="IL33" s="191"/>
      <c r="IM33" s="35"/>
      <c r="IN33" s="35"/>
      <c r="IO33" s="35"/>
      <c r="IP33" s="35"/>
      <c r="IQ33" s="35"/>
      <c r="IR33" s="35"/>
      <c r="IS33" s="35"/>
      <c r="IT33" s="35"/>
      <c r="IU33" s="35"/>
      <c r="IV33" s="35"/>
      <c r="IW33" s="35"/>
      <c r="IX33" s="35"/>
      <c r="IY33" s="35"/>
    </row>
    <row r="34" spans="1:259">
      <c r="A34" s="27" t="s">
        <v>400</v>
      </c>
      <c r="B34" s="107">
        <v>0</v>
      </c>
      <c r="C34" s="107">
        <v>0</v>
      </c>
      <c r="D34" s="107">
        <v>0</v>
      </c>
      <c r="E34" s="107">
        <v>0</v>
      </c>
      <c r="F34" s="107">
        <v>0</v>
      </c>
      <c r="G34" s="107">
        <v>0</v>
      </c>
      <c r="H34" s="107">
        <v>0</v>
      </c>
      <c r="I34" s="107">
        <v>0</v>
      </c>
      <c r="J34" s="107">
        <v>0</v>
      </c>
      <c r="K34" s="107">
        <v>0</v>
      </c>
      <c r="L34" s="107">
        <v>0</v>
      </c>
      <c r="M34" s="107">
        <v>236.505</v>
      </c>
      <c r="N34" s="107">
        <v>87.174000000000007</v>
      </c>
      <c r="O34" s="107">
        <v>41</v>
      </c>
      <c r="P34" s="107">
        <v>0</v>
      </c>
      <c r="Q34" s="107">
        <v>0</v>
      </c>
      <c r="R34" s="107">
        <v>0</v>
      </c>
      <c r="S34" s="107">
        <v>0</v>
      </c>
      <c r="T34" s="107">
        <v>0</v>
      </c>
      <c r="U34" s="107">
        <v>0</v>
      </c>
      <c r="V34" s="107">
        <v>0</v>
      </c>
      <c r="W34" s="107">
        <v>0</v>
      </c>
      <c r="X34" s="107">
        <v>0</v>
      </c>
      <c r="Y34" s="107">
        <v>0</v>
      </c>
      <c r="Z34" s="107">
        <v>0</v>
      </c>
      <c r="AA34" s="107">
        <v>0</v>
      </c>
      <c r="AB34" s="107">
        <v>0</v>
      </c>
      <c r="AC34" s="107">
        <v>0</v>
      </c>
      <c r="AD34" s="107">
        <v>0</v>
      </c>
      <c r="AE34" s="107">
        <v>0</v>
      </c>
      <c r="AF34" s="107">
        <v>0</v>
      </c>
      <c r="AG34" s="107"/>
      <c r="AH34" s="107"/>
      <c r="AI34" s="107">
        <v>0</v>
      </c>
      <c r="AJ34" s="107">
        <v>1406.25</v>
      </c>
      <c r="AK34" s="107">
        <v>1134.825</v>
      </c>
      <c r="AL34" s="107">
        <v>1134.825</v>
      </c>
      <c r="AM34" s="187">
        <v>1134.825</v>
      </c>
      <c r="AN34" s="187">
        <v>1134.825</v>
      </c>
      <c r="AO34" s="219">
        <v>963.08739000000003</v>
      </c>
      <c r="AP34" s="219">
        <v>897.54996999999992</v>
      </c>
      <c r="AQ34" s="219">
        <v>527.17496999999992</v>
      </c>
      <c r="AR34" s="219">
        <v>0</v>
      </c>
      <c r="AS34" s="219">
        <v>0</v>
      </c>
      <c r="AT34" s="219">
        <v>0</v>
      </c>
      <c r="AU34" s="219">
        <v>0</v>
      </c>
      <c r="AV34" s="219">
        <v>0</v>
      </c>
      <c r="AW34" s="219">
        <v>0</v>
      </c>
      <c r="AX34" s="219">
        <v>0</v>
      </c>
      <c r="AY34" s="178">
        <v>0</v>
      </c>
      <c r="AZ34" s="178">
        <v>0</v>
      </c>
      <c r="BA34" s="330">
        <v>0</v>
      </c>
      <c r="BB34" s="330">
        <v>0</v>
      </c>
      <c r="BC34" s="330">
        <v>0</v>
      </c>
      <c r="BD34" s="330">
        <v>0</v>
      </c>
      <c r="BE34" s="330">
        <v>0</v>
      </c>
      <c r="BF34" s="330">
        <v>674.23469999999998</v>
      </c>
      <c r="BG34" s="211">
        <v>915.62868000000003</v>
      </c>
      <c r="BH34" s="211">
        <v>566.43319999999994</v>
      </c>
      <c r="BI34" s="211">
        <v>526.87473</v>
      </c>
      <c r="BJ34" s="211">
        <v>526.87473</v>
      </c>
      <c r="BK34" s="211">
        <v>371.45866999999998</v>
      </c>
      <c r="BL34" s="211">
        <v>371.45866999999998</v>
      </c>
      <c r="BM34" s="211">
        <v>8.9999999999999992E-5</v>
      </c>
      <c r="BN34" s="211">
        <v>8.9999999999999992E-5</v>
      </c>
      <c r="BO34" s="211">
        <v>126.38275999999999</v>
      </c>
      <c r="BP34" s="211">
        <v>126.46297</v>
      </c>
      <c r="BQ34" s="211">
        <v>303.35752000000002</v>
      </c>
      <c r="BR34" s="211">
        <v>328.22068999999999</v>
      </c>
      <c r="BS34" s="211">
        <v>152.30604</v>
      </c>
      <c r="BT34" s="211">
        <v>275.33645000000001</v>
      </c>
      <c r="BU34" s="211">
        <v>188.05391</v>
      </c>
      <c r="BV34" s="211">
        <v>274.69152000000003</v>
      </c>
      <c r="BW34" s="211">
        <v>274.69152000000003</v>
      </c>
      <c r="BX34" s="211">
        <v>234.99036999999998</v>
      </c>
      <c r="BY34" s="211">
        <v>158.62606</v>
      </c>
      <c r="BZ34" s="211">
        <v>116.97752</v>
      </c>
      <c r="CA34" s="211">
        <v>141.29051999999999</v>
      </c>
      <c r="CB34" s="211">
        <v>180.75119000000001</v>
      </c>
      <c r="CC34" s="211">
        <v>128.60699</v>
      </c>
      <c r="CD34" s="211">
        <v>175.06251</v>
      </c>
      <c r="CE34" s="211">
        <v>175.77932000000001</v>
      </c>
      <c r="CF34" s="211">
        <v>159.17711</v>
      </c>
      <c r="CG34" s="211">
        <v>610.20192000000009</v>
      </c>
      <c r="CH34" s="211">
        <v>610.20192000000009</v>
      </c>
      <c r="CI34" s="211">
        <v>537.00662999999997</v>
      </c>
      <c r="CJ34" s="211">
        <v>537.00662999999997</v>
      </c>
      <c r="CK34" s="211">
        <v>376.42021</v>
      </c>
      <c r="CL34" s="211">
        <v>332.84199000000001</v>
      </c>
      <c r="CM34" s="211">
        <v>441.10059000000001</v>
      </c>
      <c r="CN34" s="211">
        <v>276.58972999999997</v>
      </c>
      <c r="CO34" s="211">
        <v>326.1728</v>
      </c>
      <c r="CP34" s="211">
        <v>326.1728</v>
      </c>
      <c r="CQ34" s="211">
        <v>467.07808</v>
      </c>
      <c r="CR34" s="211">
        <v>344.97122999999999</v>
      </c>
      <c r="CS34" s="211">
        <v>354.48354999999998</v>
      </c>
      <c r="CT34" s="211">
        <v>-2.3700000000000001E-3</v>
      </c>
      <c r="CU34" s="211">
        <v>-2.3700000000000001E-3</v>
      </c>
      <c r="CV34" s="211">
        <v>-2.3700000000000001E-3</v>
      </c>
      <c r="CW34" s="211">
        <v>-2.3700000000000001E-3</v>
      </c>
      <c r="CX34" s="211">
        <v>-2.3700000000000001E-3</v>
      </c>
      <c r="CY34" s="211">
        <v>-2.3700000000000001E-3</v>
      </c>
      <c r="CZ34" s="211">
        <v>-2.3700000000000001E-3</v>
      </c>
      <c r="DA34" s="211">
        <v>-2.3700000000000001E-3</v>
      </c>
      <c r="DB34" s="211">
        <v>-2.3700000000000001E-3</v>
      </c>
      <c r="DC34" s="211">
        <v>-2.3700000000000001E-3</v>
      </c>
      <c r="DD34" s="211">
        <v>0</v>
      </c>
      <c r="DE34" s="211">
        <v>0</v>
      </c>
      <c r="DF34" s="211">
        <v>0</v>
      </c>
      <c r="DG34" s="211">
        <v>0</v>
      </c>
      <c r="DH34" s="211">
        <v>0</v>
      </c>
      <c r="DI34" s="211">
        <v>0</v>
      </c>
      <c r="DJ34" s="211">
        <v>0</v>
      </c>
      <c r="DK34" s="211">
        <v>0</v>
      </c>
      <c r="DL34" s="211">
        <v>0</v>
      </c>
      <c r="DM34" s="211">
        <v>0</v>
      </c>
      <c r="DN34" s="211">
        <v>0</v>
      </c>
      <c r="DO34" s="211">
        <v>0</v>
      </c>
      <c r="DP34" s="211">
        <v>0</v>
      </c>
      <c r="DQ34" s="211">
        <v>0</v>
      </c>
      <c r="DR34" s="211">
        <v>0</v>
      </c>
      <c r="DS34" s="211">
        <v>0</v>
      </c>
      <c r="DT34" s="211">
        <v>0</v>
      </c>
      <c r="DU34" s="211">
        <v>0</v>
      </c>
      <c r="DV34" s="211">
        <v>0</v>
      </c>
      <c r="DW34" s="211">
        <v>0</v>
      </c>
      <c r="DX34" s="211">
        <v>0</v>
      </c>
      <c r="DY34" s="211">
        <v>0</v>
      </c>
      <c r="DZ34" s="211">
        <v>0</v>
      </c>
      <c r="EA34" s="211">
        <v>0</v>
      </c>
      <c r="EB34" s="211">
        <v>0</v>
      </c>
      <c r="EC34" s="211">
        <v>0</v>
      </c>
      <c r="ED34" s="211">
        <v>0</v>
      </c>
      <c r="EE34" s="211">
        <v>0</v>
      </c>
      <c r="EF34" s="211">
        <v>0</v>
      </c>
      <c r="EG34" s="211">
        <v>0</v>
      </c>
      <c r="EH34" s="211">
        <v>0</v>
      </c>
      <c r="EI34" s="211">
        <v>0</v>
      </c>
      <c r="EJ34" s="211">
        <v>0</v>
      </c>
      <c r="EK34" s="211">
        <v>0</v>
      </c>
      <c r="EL34" s="211">
        <v>0</v>
      </c>
      <c r="EM34" s="211">
        <v>0</v>
      </c>
      <c r="EN34" s="211">
        <v>0</v>
      </c>
      <c r="EO34" s="211">
        <v>0</v>
      </c>
      <c r="EP34" s="211">
        <v>0</v>
      </c>
      <c r="EQ34" s="211">
        <v>0</v>
      </c>
      <c r="ER34" s="211">
        <v>995.77774999999997</v>
      </c>
      <c r="ES34" s="211">
        <v>864.73208999999997</v>
      </c>
      <c r="ET34" s="211">
        <v>891.56741</v>
      </c>
      <c r="EU34" s="211">
        <v>785.93759999999997</v>
      </c>
      <c r="EV34" s="211">
        <v>566.42501000000004</v>
      </c>
      <c r="EW34" s="211">
        <v>566.42501000000004</v>
      </c>
      <c r="EX34" s="211">
        <v>566.42501000000004</v>
      </c>
      <c r="EY34" s="211">
        <v>708.42912999999999</v>
      </c>
      <c r="EZ34" s="211">
        <v>708.42912999999999</v>
      </c>
      <c r="FA34" s="211">
        <v>703.62182999999993</v>
      </c>
      <c r="FB34" s="211">
        <v>769.73397999999997</v>
      </c>
      <c r="FC34" s="211">
        <f>(VLOOKUP("164",'Input BS ACCTS'!$A$5:$DH$1058,110,FALSE))/1000</f>
        <v>933.79704000000004</v>
      </c>
      <c r="FD34" s="211">
        <f>(VLOOKUP("164",'Input BS ACCTS'!$A$5:$DH$1058,111,FALSE))/1000</f>
        <v>959.43250999999998</v>
      </c>
      <c r="FE34" s="211">
        <f>(VLOOKUP("164",'Input BS ACCTS'!$A$5:$DH$1058,112,FALSE))/1000</f>
        <v>413.68946999999997</v>
      </c>
      <c r="FF34" s="403">
        <f t="shared" si="57"/>
        <v>726.04963230769238</v>
      </c>
      <c r="FG34" s="700"/>
      <c r="FH34" s="700"/>
      <c r="IJ34" s="35"/>
      <c r="IK34" s="221"/>
      <c r="IL34" s="191"/>
      <c r="IM34" s="35"/>
      <c r="IN34" s="35"/>
      <c r="IO34" s="35"/>
      <c r="IP34" s="35"/>
      <c r="IQ34" s="35"/>
      <c r="IR34" s="35"/>
      <c r="IS34" s="35"/>
      <c r="IT34" s="35"/>
      <c r="IU34" s="35"/>
      <c r="IV34" s="35"/>
      <c r="IW34" s="35"/>
      <c r="IX34" s="35"/>
      <c r="IY34" s="35"/>
    </row>
    <row r="35" spans="1:259">
      <c r="A35" s="27" t="s">
        <v>239</v>
      </c>
      <c r="B35" s="107">
        <v>1226.30405</v>
      </c>
      <c r="C35" s="107">
        <v>1347.00405</v>
      </c>
      <c r="D35" s="107">
        <v>1294.70605</v>
      </c>
      <c r="E35" s="107">
        <v>1293.5500500000001</v>
      </c>
      <c r="F35" s="107">
        <v>1405.74505</v>
      </c>
      <c r="G35" s="107">
        <v>1345.0290500000001</v>
      </c>
      <c r="H35" s="107">
        <v>1379.0860500000001</v>
      </c>
      <c r="I35" s="107">
        <v>1380.6040500000001</v>
      </c>
      <c r="J35" s="107">
        <v>1470.43605</v>
      </c>
      <c r="K35" s="107">
        <v>1437.52305</v>
      </c>
      <c r="L35" s="107">
        <v>1617.76505</v>
      </c>
      <c r="M35" s="107">
        <v>1415.7470499999999</v>
      </c>
      <c r="N35" s="107">
        <v>1411.0480500000001</v>
      </c>
      <c r="O35" s="107">
        <v>1530</v>
      </c>
      <c r="P35" s="107">
        <v>1429</v>
      </c>
      <c r="Q35" s="107">
        <v>1483</v>
      </c>
      <c r="R35" s="107">
        <v>1515</v>
      </c>
      <c r="S35" s="107">
        <v>1665</v>
      </c>
      <c r="T35" s="107">
        <v>1736</v>
      </c>
      <c r="U35" s="107">
        <v>1610</v>
      </c>
      <c r="V35" s="107">
        <v>1524</v>
      </c>
      <c r="W35" s="107">
        <v>1807</v>
      </c>
      <c r="X35" s="107">
        <v>1905</v>
      </c>
      <c r="Y35" s="107">
        <v>1724</v>
      </c>
      <c r="Z35" s="107">
        <v>1766</v>
      </c>
      <c r="AA35" s="107">
        <v>2384</v>
      </c>
      <c r="AB35" s="107">
        <v>2488</v>
      </c>
      <c r="AC35" s="107">
        <v>2279</v>
      </c>
      <c r="AD35" s="107">
        <v>2225</v>
      </c>
      <c r="AE35" s="107">
        <v>2071</v>
      </c>
      <c r="AF35" s="107">
        <v>2103</v>
      </c>
      <c r="AG35" s="107">
        <v>1977</v>
      </c>
      <c r="AH35" s="107">
        <v>2057</v>
      </c>
      <c r="AI35" s="107">
        <v>2130.3759099999997</v>
      </c>
      <c r="AJ35" s="107">
        <v>2198.97237</v>
      </c>
      <c r="AK35" s="107">
        <v>2345.8584900000001</v>
      </c>
      <c r="AL35" s="107">
        <v>2532.4078399999999</v>
      </c>
      <c r="AM35" s="187">
        <v>2435.1360499999996</v>
      </c>
      <c r="AN35" s="187">
        <v>2458.3148900000001</v>
      </c>
      <c r="AO35" s="219">
        <v>2729.3077800000001</v>
      </c>
      <c r="AP35" s="219">
        <v>2658.9406300000001</v>
      </c>
      <c r="AQ35" s="219">
        <v>2875.6864599999999</v>
      </c>
      <c r="AR35" s="219">
        <v>3007.2994699999999</v>
      </c>
      <c r="AS35" s="219">
        <v>2916.3013500000002</v>
      </c>
      <c r="AT35" s="219">
        <v>2489.1038399999998</v>
      </c>
      <c r="AU35" s="219">
        <v>2713.4328700000001</v>
      </c>
      <c r="AV35" s="219">
        <v>3167.7876800000004</v>
      </c>
      <c r="AW35" s="219">
        <v>3193.25999</v>
      </c>
      <c r="AX35" s="219">
        <v>2779.6622200000002</v>
      </c>
      <c r="AY35" s="178">
        <v>2672.1439500000001</v>
      </c>
      <c r="AZ35" s="178">
        <v>2880.1073700000002</v>
      </c>
      <c r="BA35" s="330">
        <v>3062.7828599999998</v>
      </c>
      <c r="BB35" s="330">
        <v>2461.7448300000001</v>
      </c>
      <c r="BC35" s="330">
        <v>2565.5287699999999</v>
      </c>
      <c r="BD35" s="330">
        <v>2101.72561</v>
      </c>
      <c r="BE35" s="330">
        <v>2087.17227</v>
      </c>
      <c r="BF35" s="330">
        <v>1960.3797199999999</v>
      </c>
      <c r="BG35" s="211">
        <v>1883.60653</v>
      </c>
      <c r="BH35" s="211">
        <v>1886.8695</v>
      </c>
      <c r="BI35" s="211">
        <v>1975.21506</v>
      </c>
      <c r="BJ35" s="211">
        <v>1938.99396</v>
      </c>
      <c r="BK35" s="211">
        <v>1755.2388600000002</v>
      </c>
      <c r="BL35" s="211">
        <v>1763.11205</v>
      </c>
      <c r="BM35" s="211">
        <v>1799.6391999999998</v>
      </c>
      <c r="BN35" s="211">
        <v>1795.2567900000001</v>
      </c>
      <c r="BO35" s="211">
        <v>1882.3306200000002</v>
      </c>
      <c r="BP35" s="211">
        <v>1995.6468300000001</v>
      </c>
      <c r="BQ35" s="211">
        <v>1941.3644899999999</v>
      </c>
      <c r="BR35" s="211">
        <v>1971.0505600000001</v>
      </c>
      <c r="BS35" s="211">
        <v>2109.9398200000001</v>
      </c>
      <c r="BT35" s="211">
        <v>2392.3663500000002</v>
      </c>
      <c r="BU35" s="211">
        <v>2373.5140699999997</v>
      </c>
      <c r="BV35" s="211">
        <v>2155.5661099999998</v>
      </c>
      <c r="BW35" s="211">
        <v>2415.3726099999999</v>
      </c>
      <c r="BX35" s="211">
        <v>2065.0670700000001</v>
      </c>
      <c r="BY35" s="211">
        <v>1914.6618899999999</v>
      </c>
      <c r="BZ35" s="211">
        <v>1876.25486</v>
      </c>
      <c r="CA35" s="211">
        <v>1981.1578</v>
      </c>
      <c r="CB35" s="211">
        <v>1959.6195700000001</v>
      </c>
      <c r="CC35" s="211">
        <v>1899.6032399999999</v>
      </c>
      <c r="CD35" s="211">
        <v>2257.6114600000001</v>
      </c>
      <c r="CE35" s="211">
        <v>1808.1453000000001</v>
      </c>
      <c r="CF35" s="211">
        <v>1956.1166899999998</v>
      </c>
      <c r="CG35" s="211">
        <v>1919.0243600000001</v>
      </c>
      <c r="CH35" s="211">
        <v>2077.1504599999998</v>
      </c>
      <c r="CI35" s="211">
        <v>1860.6361200000001</v>
      </c>
      <c r="CJ35" s="211">
        <v>1623.39573</v>
      </c>
      <c r="CK35" s="211">
        <v>1700.7023999999999</v>
      </c>
      <c r="CL35" s="211">
        <v>1858.85581</v>
      </c>
      <c r="CM35" s="211">
        <v>1904.81791</v>
      </c>
      <c r="CN35" s="211">
        <v>1988.6876599999998</v>
      </c>
      <c r="CO35" s="211">
        <v>1926.6388700000002</v>
      </c>
      <c r="CP35" s="211">
        <v>2100.7299199999998</v>
      </c>
      <c r="CQ35" s="211">
        <v>2046.6683600000001</v>
      </c>
      <c r="CR35" s="211">
        <v>2071.0376799999999</v>
      </c>
      <c r="CS35" s="211">
        <v>2016.8184199999998</v>
      </c>
      <c r="CT35" s="211">
        <v>2131.6477999999997</v>
      </c>
      <c r="CU35" s="211">
        <v>2042.21668</v>
      </c>
      <c r="CV35" s="211">
        <v>1900.58482</v>
      </c>
      <c r="CW35" s="211">
        <v>1887.6953899999999</v>
      </c>
      <c r="CX35" s="211">
        <v>2070.9976499999998</v>
      </c>
      <c r="CY35" s="211">
        <v>2149.8761099999997</v>
      </c>
      <c r="CZ35" s="211">
        <v>2006.6903200000002</v>
      </c>
      <c r="DA35" s="211">
        <v>1972.0976699999999</v>
      </c>
      <c r="DB35" s="211">
        <v>2190.1771699999999</v>
      </c>
      <c r="DC35" s="211">
        <v>2163.4520299999999</v>
      </c>
      <c r="DD35" s="211">
        <v>2125.5768499999999</v>
      </c>
      <c r="DE35" s="211">
        <v>2476.3780499999998</v>
      </c>
      <c r="DF35" s="211">
        <v>2741.2183300000002</v>
      </c>
      <c r="DG35" s="211">
        <v>2360.1098500000003</v>
      </c>
      <c r="DH35" s="211">
        <v>2172.17722</v>
      </c>
      <c r="DI35" s="211">
        <v>2073.1301000000003</v>
      </c>
      <c r="DJ35" s="211">
        <v>2183.6043300000001</v>
      </c>
      <c r="DK35" s="211">
        <v>2363.7887900000001</v>
      </c>
      <c r="DL35" s="211">
        <v>2385.5491000000002</v>
      </c>
      <c r="DM35" s="211">
        <v>2474.7155499999999</v>
      </c>
      <c r="DN35" s="211">
        <v>2512.81936</v>
      </c>
      <c r="DO35" s="211">
        <v>2780.05456</v>
      </c>
      <c r="DP35" s="211">
        <v>2687.2378199999998</v>
      </c>
      <c r="DQ35" s="211">
        <v>2783.1900099999998</v>
      </c>
      <c r="DR35" s="211">
        <v>2571.7018800000001</v>
      </c>
      <c r="DS35" s="211">
        <v>2738.6709500000002</v>
      </c>
      <c r="DT35" s="211">
        <v>2709.3845899999997</v>
      </c>
      <c r="DU35" s="211">
        <v>2401.2287299999998</v>
      </c>
      <c r="DV35" s="211">
        <v>2400.7927300000001</v>
      </c>
      <c r="DW35" s="211">
        <v>2617.7897499999999</v>
      </c>
      <c r="DX35" s="211">
        <v>2444.4091699999999</v>
      </c>
      <c r="DY35" s="211">
        <v>2661.1590499999998</v>
      </c>
      <c r="DZ35" s="211">
        <v>2807.18921</v>
      </c>
      <c r="EA35" s="211">
        <v>2832.0857400000004</v>
      </c>
      <c r="EB35" s="211">
        <v>2649.7683700000002</v>
      </c>
      <c r="EC35" s="211">
        <v>2895.9602999999997</v>
      </c>
      <c r="ED35" s="211">
        <v>2763.2782499999998</v>
      </c>
      <c r="EE35" s="211">
        <v>3044.5369999999998</v>
      </c>
      <c r="EF35" s="211">
        <v>2851.20361</v>
      </c>
      <c r="EG35" s="211">
        <v>2998.3360899999998</v>
      </c>
      <c r="EH35" s="211">
        <v>3185.9684300000004</v>
      </c>
      <c r="EI35" s="211">
        <v>3089.8690299999998</v>
      </c>
      <c r="EJ35" s="211">
        <v>3262.0091499999999</v>
      </c>
      <c r="EK35" s="211">
        <v>3750.2274900000002</v>
      </c>
      <c r="EL35" s="211">
        <v>3835.2547999999997</v>
      </c>
      <c r="EM35" s="211">
        <v>4186.3105500000001</v>
      </c>
      <c r="EN35" s="211">
        <v>3842.9464500000004</v>
      </c>
      <c r="EO35" s="211">
        <v>4056.1723500000003</v>
      </c>
      <c r="EP35" s="211">
        <v>4544.3318499999996</v>
      </c>
      <c r="EQ35" s="211">
        <v>4167.0122599999995</v>
      </c>
      <c r="ER35" s="211">
        <v>4010.6269900000002</v>
      </c>
      <c r="ES35" s="211">
        <v>2635.0119900000004</v>
      </c>
      <c r="ET35" s="211">
        <v>3634.1590200000001</v>
      </c>
      <c r="EU35" s="211">
        <v>3462.77367</v>
      </c>
      <c r="EV35" s="211">
        <v>3847.4987900000001</v>
      </c>
      <c r="EW35" s="211">
        <v>4272.2143399999995</v>
      </c>
      <c r="EX35" s="211">
        <v>4533.2977300000002</v>
      </c>
      <c r="EY35" s="211">
        <v>4553.4972500000003</v>
      </c>
      <c r="EZ35" s="211">
        <v>4636.4796299999998</v>
      </c>
      <c r="FA35" s="211">
        <v>4527.0092999999997</v>
      </c>
      <c r="FB35" s="211">
        <v>5185.6639400000004</v>
      </c>
      <c r="FC35" s="211">
        <f>(VLOOKUP("154",'Input BS ACCTS'!$A$5:$DH$1058,110,FALSE))/1000</f>
        <v>6167.0613200000007</v>
      </c>
      <c r="FD35" s="211">
        <f>(VLOOKUP("154",'Input BS ACCTS'!$A$5:$DH$1058,111,FALSE))/1000</f>
        <v>6268.2998899999993</v>
      </c>
      <c r="FE35" s="211">
        <f>(VLOOKUP("154",'Input BS ACCTS'!$A$5:$DH$1058,112,FALSE))/1000</f>
        <v>4817.1544800000001</v>
      </c>
      <c r="FF35" s="403">
        <f t="shared" si="57"/>
        <v>4503.0862576923082</v>
      </c>
      <c r="FG35" s="700"/>
      <c r="FH35" s="700"/>
      <c r="IJ35" s="35"/>
      <c r="IK35" s="221"/>
      <c r="IL35" s="191"/>
      <c r="IM35" s="35"/>
      <c r="IN35" s="35"/>
      <c r="IO35" s="35"/>
      <c r="IP35" s="35"/>
      <c r="IQ35" s="35"/>
      <c r="IR35" s="35"/>
      <c r="IS35" s="35"/>
      <c r="IT35" s="35"/>
      <c r="IU35" s="35"/>
      <c r="IV35" s="35"/>
      <c r="IW35" s="35"/>
      <c r="IX35" s="35"/>
      <c r="IY35" s="35"/>
    </row>
    <row r="36" spans="1:259">
      <c r="A36" s="27" t="s">
        <v>240</v>
      </c>
      <c r="B36" s="107">
        <v>0</v>
      </c>
      <c r="C36" s="107">
        <v>0</v>
      </c>
      <c r="D36" s="107">
        <v>0</v>
      </c>
      <c r="E36" s="107">
        <v>0</v>
      </c>
      <c r="F36" s="107">
        <v>0</v>
      </c>
      <c r="G36" s="107">
        <v>0</v>
      </c>
      <c r="H36" s="107">
        <v>0</v>
      </c>
      <c r="I36" s="107">
        <v>46</v>
      </c>
      <c r="J36" s="107">
        <v>41.5</v>
      </c>
      <c r="K36" s="107">
        <v>30.5</v>
      </c>
      <c r="L36" s="107">
        <v>26.5</v>
      </c>
      <c r="M36" s="107">
        <v>19.5</v>
      </c>
      <c r="N36" s="107">
        <v>15.5</v>
      </c>
      <c r="O36" s="107">
        <v>8</v>
      </c>
      <c r="P36" s="107">
        <v>5</v>
      </c>
      <c r="Q36" s="107">
        <v>1</v>
      </c>
      <c r="R36" s="107">
        <v>53</v>
      </c>
      <c r="S36" s="107">
        <v>52</v>
      </c>
      <c r="T36" s="107">
        <v>49</v>
      </c>
      <c r="U36" s="107">
        <v>47</v>
      </c>
      <c r="V36" s="107">
        <v>32</v>
      </c>
      <c r="W36" s="107">
        <v>29</v>
      </c>
      <c r="X36" s="107">
        <v>26</v>
      </c>
      <c r="Y36" s="107">
        <v>24</v>
      </c>
      <c r="Z36" s="107">
        <v>57</v>
      </c>
      <c r="AA36" s="107">
        <v>35</v>
      </c>
      <c r="AB36" s="107">
        <v>43</v>
      </c>
      <c r="AC36" s="107">
        <v>48</v>
      </c>
      <c r="AD36" s="107">
        <v>75</v>
      </c>
      <c r="AE36" s="107">
        <v>63</v>
      </c>
      <c r="AF36" s="107">
        <v>71</v>
      </c>
      <c r="AG36" s="107">
        <v>64</v>
      </c>
      <c r="AH36" s="107">
        <v>79</v>
      </c>
      <c r="AI36" s="107">
        <v>0</v>
      </c>
      <c r="AJ36" s="107">
        <v>0</v>
      </c>
      <c r="AK36" s="107">
        <v>0</v>
      </c>
      <c r="AL36" s="107">
        <v>0</v>
      </c>
      <c r="AM36" s="187">
        <v>0</v>
      </c>
      <c r="AN36" s="187">
        <v>0</v>
      </c>
      <c r="AO36" s="219">
        <v>0</v>
      </c>
      <c r="AP36" s="219">
        <v>0</v>
      </c>
      <c r="AQ36" s="219">
        <v>0</v>
      </c>
      <c r="AR36" s="219">
        <v>0</v>
      </c>
      <c r="AS36" s="219">
        <v>0</v>
      </c>
      <c r="AT36" s="219">
        <v>0</v>
      </c>
      <c r="AU36" s="219">
        <v>0</v>
      </c>
      <c r="AV36" s="219">
        <v>0</v>
      </c>
      <c r="AW36" s="219">
        <v>0</v>
      </c>
      <c r="AX36" s="219">
        <v>0</v>
      </c>
      <c r="AY36" s="178">
        <v>0</v>
      </c>
      <c r="AZ36" s="178">
        <v>0</v>
      </c>
      <c r="BA36" s="330">
        <v>0</v>
      </c>
      <c r="BB36" s="330">
        <v>0</v>
      </c>
      <c r="BC36" s="330">
        <v>0</v>
      </c>
      <c r="BD36" s="330">
        <v>0</v>
      </c>
      <c r="BE36" s="330">
        <v>0</v>
      </c>
      <c r="BF36" s="330">
        <v>0</v>
      </c>
      <c r="BG36" s="211">
        <v>0</v>
      </c>
      <c r="BH36" s="211">
        <v>0</v>
      </c>
      <c r="BI36" s="211">
        <v>0</v>
      </c>
      <c r="BJ36" s="211">
        <v>0</v>
      </c>
      <c r="BK36" s="211">
        <v>0</v>
      </c>
      <c r="BL36" s="211">
        <v>0</v>
      </c>
      <c r="BM36" s="211">
        <v>0</v>
      </c>
      <c r="BN36" s="211">
        <v>0</v>
      </c>
      <c r="BO36" s="211">
        <v>0</v>
      </c>
      <c r="BP36" s="211">
        <v>0</v>
      </c>
      <c r="BQ36" s="211">
        <v>0</v>
      </c>
      <c r="BR36" s="211">
        <v>0</v>
      </c>
      <c r="BS36" s="211">
        <v>0</v>
      </c>
      <c r="BT36" s="211">
        <v>0</v>
      </c>
      <c r="BU36" s="211">
        <v>0</v>
      </c>
      <c r="BV36" s="211">
        <v>0</v>
      </c>
      <c r="BW36" s="211">
        <v>0</v>
      </c>
      <c r="BX36" s="211">
        <v>0</v>
      </c>
      <c r="BY36" s="211">
        <v>0</v>
      </c>
      <c r="BZ36" s="211">
        <v>0</v>
      </c>
      <c r="CA36" s="211">
        <v>0</v>
      </c>
      <c r="CB36" s="211">
        <v>0</v>
      </c>
      <c r="CC36" s="211">
        <v>0</v>
      </c>
      <c r="CD36" s="211">
        <v>0</v>
      </c>
      <c r="CE36" s="211">
        <v>0</v>
      </c>
      <c r="CF36" s="211">
        <v>0</v>
      </c>
      <c r="CG36" s="211">
        <v>0</v>
      </c>
      <c r="CH36" s="211">
        <v>0</v>
      </c>
      <c r="CI36" s="211">
        <v>0</v>
      </c>
      <c r="CJ36" s="211">
        <v>0</v>
      </c>
      <c r="CK36" s="211">
        <v>0</v>
      </c>
      <c r="CL36" s="211">
        <v>0</v>
      </c>
      <c r="CM36" s="211">
        <v>0</v>
      </c>
      <c r="CN36" s="211">
        <v>0</v>
      </c>
      <c r="CO36" s="211">
        <v>0</v>
      </c>
      <c r="CP36" s="211">
        <v>0</v>
      </c>
      <c r="CQ36" s="211">
        <v>0</v>
      </c>
      <c r="CR36" s="211">
        <v>0</v>
      </c>
      <c r="CS36" s="211">
        <v>0</v>
      </c>
      <c r="CT36" s="211">
        <v>0</v>
      </c>
      <c r="CU36" s="211">
        <v>0</v>
      </c>
      <c r="CV36" s="211">
        <v>0</v>
      </c>
      <c r="CW36" s="211">
        <v>0</v>
      </c>
      <c r="CX36" s="211">
        <v>0</v>
      </c>
      <c r="CY36" s="211">
        <v>0</v>
      </c>
      <c r="CZ36" s="211">
        <v>0</v>
      </c>
      <c r="DA36" s="211">
        <v>0</v>
      </c>
      <c r="DB36" s="211">
        <v>0</v>
      </c>
      <c r="DC36" s="211">
        <v>0</v>
      </c>
      <c r="DD36" s="211">
        <v>0</v>
      </c>
      <c r="DE36" s="211">
        <v>0</v>
      </c>
      <c r="DF36" s="211">
        <v>0</v>
      </c>
      <c r="DG36" s="211">
        <v>0</v>
      </c>
      <c r="DH36" s="211">
        <v>0</v>
      </c>
      <c r="DI36" s="211">
        <v>0</v>
      </c>
      <c r="DJ36" s="211">
        <v>0</v>
      </c>
      <c r="DK36" s="211">
        <v>0</v>
      </c>
      <c r="DL36" s="211">
        <v>0</v>
      </c>
      <c r="DM36" s="211">
        <v>0</v>
      </c>
      <c r="DN36" s="211">
        <v>0</v>
      </c>
      <c r="DO36" s="211">
        <v>0</v>
      </c>
      <c r="DP36" s="211">
        <v>0</v>
      </c>
      <c r="DQ36" s="211">
        <v>0</v>
      </c>
      <c r="DR36" s="211">
        <v>0</v>
      </c>
      <c r="DS36" s="211">
        <v>0</v>
      </c>
      <c r="DT36" s="211">
        <v>0</v>
      </c>
      <c r="DU36" s="211">
        <v>0</v>
      </c>
      <c r="DV36" s="211">
        <v>0</v>
      </c>
      <c r="DW36" s="211">
        <v>0</v>
      </c>
      <c r="DX36" s="211">
        <v>0</v>
      </c>
      <c r="DY36" s="211">
        <v>0</v>
      </c>
      <c r="DZ36" s="211">
        <v>0</v>
      </c>
      <c r="EA36" s="211">
        <v>0</v>
      </c>
      <c r="EB36" s="211">
        <v>0</v>
      </c>
      <c r="EC36" s="211">
        <v>0</v>
      </c>
      <c r="ED36" s="211">
        <v>0</v>
      </c>
      <c r="EE36" s="211">
        <v>0</v>
      </c>
      <c r="EF36" s="211">
        <v>0</v>
      </c>
      <c r="EG36" s="211">
        <v>0</v>
      </c>
      <c r="EH36" s="211">
        <v>0</v>
      </c>
      <c r="EI36" s="211">
        <v>0</v>
      </c>
      <c r="EJ36" s="211">
        <v>0</v>
      </c>
      <c r="EK36" s="211">
        <v>0</v>
      </c>
      <c r="EL36" s="211">
        <v>0</v>
      </c>
      <c r="EM36" s="211">
        <v>0</v>
      </c>
      <c r="EN36" s="211">
        <v>0</v>
      </c>
      <c r="EO36" s="211">
        <v>0</v>
      </c>
      <c r="EP36" s="211">
        <v>0</v>
      </c>
      <c r="EQ36" s="211">
        <v>0</v>
      </c>
      <c r="ER36" s="211">
        <v>0</v>
      </c>
      <c r="ES36" s="211">
        <v>0</v>
      </c>
      <c r="ET36" s="211">
        <v>0</v>
      </c>
      <c r="EU36" s="211">
        <v>0</v>
      </c>
      <c r="EV36" s="211">
        <v>0</v>
      </c>
      <c r="EW36" s="211">
        <v>0</v>
      </c>
      <c r="EX36" s="211">
        <v>0</v>
      </c>
      <c r="EY36" s="211">
        <v>0</v>
      </c>
      <c r="EZ36" s="211">
        <v>0</v>
      </c>
      <c r="FA36" s="211">
        <v>0</v>
      </c>
      <c r="FB36" s="211">
        <v>0</v>
      </c>
      <c r="FC36" s="211">
        <f>(VLOOKUP("155",'Input BS ACCTS'!$A$5:$DH$1058,110,FALSE))/1000</f>
        <v>0</v>
      </c>
      <c r="FD36" s="211">
        <f>(VLOOKUP("155",'Input BS ACCTS'!$A$5:$DH$1058,111,FALSE))/1000</f>
        <v>0</v>
      </c>
      <c r="FE36" s="211">
        <f>(VLOOKUP("155",'Input BS ACCTS'!$A$5:$DH$1058,112,FALSE))/1000</f>
        <v>0</v>
      </c>
      <c r="FF36" s="403">
        <f t="shared" si="57"/>
        <v>0</v>
      </c>
      <c r="FG36" s="700"/>
      <c r="FH36" s="700"/>
      <c r="IJ36" s="35"/>
      <c r="IK36" s="221"/>
      <c r="IL36" s="191"/>
      <c r="IM36" s="35"/>
      <c r="IN36" s="35"/>
      <c r="IO36" s="35"/>
      <c r="IP36" s="35"/>
      <c r="IQ36" s="35"/>
      <c r="IR36" s="35"/>
      <c r="IS36" s="35"/>
      <c r="IT36" s="35"/>
      <c r="IU36" s="35"/>
      <c r="IV36" s="35"/>
      <c r="IW36" s="35"/>
      <c r="IX36" s="35"/>
      <c r="IY36" s="35"/>
    </row>
    <row r="37" spans="1:259">
      <c r="A37" s="27" t="s">
        <v>241</v>
      </c>
      <c r="B37" s="107">
        <v>148.29512</v>
      </c>
      <c r="C37" s="107">
        <v>33.554120000000005</v>
      </c>
      <c r="D37" s="107">
        <v>24.107119999999998</v>
      </c>
      <c r="E37" s="107">
        <v>-2.8800000000082948E-3</v>
      </c>
      <c r="F37" s="107">
        <v>-62.904879999999999</v>
      </c>
      <c r="G37" s="107">
        <v>-18.081880000000002</v>
      </c>
      <c r="H37" s="107">
        <v>-3.2308800000000084</v>
      </c>
      <c r="I37" s="107">
        <v>21.28012</v>
      </c>
      <c r="J37" s="107">
        <v>4.9971199999999918</v>
      </c>
      <c r="K37" s="107">
        <v>-0.54888000000000825</v>
      </c>
      <c r="L37" s="107">
        <v>-105.99388</v>
      </c>
      <c r="M37" s="107">
        <v>57.209120000000006</v>
      </c>
      <c r="N37" s="107">
        <v>-0.1998800000000083</v>
      </c>
      <c r="O37" s="107">
        <v>27</v>
      </c>
      <c r="P37" s="107">
        <v>42</v>
      </c>
      <c r="Q37" s="107">
        <v>0</v>
      </c>
      <c r="R37" s="107">
        <v>24</v>
      </c>
      <c r="S37" s="107">
        <v>51</v>
      </c>
      <c r="T37" s="107">
        <v>0</v>
      </c>
      <c r="U37" s="107">
        <v>11</v>
      </c>
      <c r="V37" s="107">
        <v>26</v>
      </c>
      <c r="W37" s="107">
        <v>0</v>
      </c>
      <c r="X37" s="107">
        <v>19</v>
      </c>
      <c r="Y37" s="107">
        <v>27</v>
      </c>
      <c r="Z37" s="107">
        <v>9</v>
      </c>
      <c r="AA37" s="107">
        <v>15</v>
      </c>
      <c r="AB37" s="107">
        <v>19</v>
      </c>
      <c r="AC37" s="107">
        <v>0</v>
      </c>
      <c r="AD37" s="107">
        <v>9</v>
      </c>
      <c r="AE37" s="107">
        <v>2</v>
      </c>
      <c r="AF37" s="107">
        <v>4</v>
      </c>
      <c r="AG37" s="107">
        <v>2</v>
      </c>
      <c r="AH37" s="107">
        <v>2</v>
      </c>
      <c r="AI37" s="107">
        <v>0</v>
      </c>
      <c r="AJ37" s="107">
        <v>0</v>
      </c>
      <c r="AK37" s="107">
        <v>0</v>
      </c>
      <c r="AL37" s="107">
        <v>0</v>
      </c>
      <c r="AM37" s="187">
        <v>0</v>
      </c>
      <c r="AN37" s="187">
        <v>0</v>
      </c>
      <c r="AO37" s="219">
        <v>0</v>
      </c>
      <c r="AP37" s="219">
        <v>0</v>
      </c>
      <c r="AQ37" s="219">
        <v>0</v>
      </c>
      <c r="AR37" s="219">
        <v>0</v>
      </c>
      <c r="AS37" s="219">
        <v>0</v>
      </c>
      <c r="AT37" s="219">
        <v>0</v>
      </c>
      <c r="AU37" s="219">
        <v>0</v>
      </c>
      <c r="AV37" s="219">
        <v>0</v>
      </c>
      <c r="AW37" s="219">
        <v>0</v>
      </c>
      <c r="AX37" s="219">
        <v>0</v>
      </c>
      <c r="AY37" s="178">
        <v>0</v>
      </c>
      <c r="AZ37" s="178">
        <v>0</v>
      </c>
      <c r="BA37" s="330">
        <v>0</v>
      </c>
      <c r="BB37" s="330">
        <v>0</v>
      </c>
      <c r="BC37" s="330">
        <v>0</v>
      </c>
      <c r="BD37" s="330">
        <v>0</v>
      </c>
      <c r="BE37" s="330">
        <v>0</v>
      </c>
      <c r="BF37" s="330">
        <v>0</v>
      </c>
      <c r="BG37" s="211">
        <v>0</v>
      </c>
      <c r="BH37" s="211">
        <v>0</v>
      </c>
      <c r="BI37" s="211">
        <v>0</v>
      </c>
      <c r="BJ37" s="211">
        <v>0</v>
      </c>
      <c r="BK37" s="211">
        <v>0</v>
      </c>
      <c r="BL37" s="211">
        <v>0</v>
      </c>
      <c r="BM37" s="211">
        <v>0</v>
      </c>
      <c r="BN37" s="211">
        <v>0</v>
      </c>
      <c r="BO37" s="211">
        <v>0</v>
      </c>
      <c r="BP37" s="211">
        <v>0</v>
      </c>
      <c r="BQ37" s="211">
        <v>0</v>
      </c>
      <c r="BR37" s="211">
        <v>0</v>
      </c>
      <c r="BS37" s="211">
        <v>0</v>
      </c>
      <c r="BT37" s="211">
        <v>0</v>
      </c>
      <c r="BU37" s="211">
        <v>0</v>
      </c>
      <c r="BV37" s="211">
        <v>0</v>
      </c>
      <c r="BW37" s="211">
        <v>0</v>
      </c>
      <c r="BX37" s="211">
        <v>0</v>
      </c>
      <c r="BY37" s="211">
        <v>0</v>
      </c>
      <c r="BZ37" s="211">
        <v>0</v>
      </c>
      <c r="CA37" s="211">
        <v>0</v>
      </c>
      <c r="CB37" s="211">
        <v>0</v>
      </c>
      <c r="CC37" s="211">
        <v>0</v>
      </c>
      <c r="CD37" s="211">
        <v>0</v>
      </c>
      <c r="CE37" s="211">
        <v>0</v>
      </c>
      <c r="CF37" s="211">
        <v>0</v>
      </c>
      <c r="CG37" s="211">
        <v>0</v>
      </c>
      <c r="CH37" s="211">
        <v>0</v>
      </c>
      <c r="CI37" s="211">
        <v>0</v>
      </c>
      <c r="CJ37" s="211">
        <v>0</v>
      </c>
      <c r="CK37" s="211">
        <v>0</v>
      </c>
      <c r="CL37" s="211">
        <v>0</v>
      </c>
      <c r="CM37" s="211">
        <v>0</v>
      </c>
      <c r="CN37" s="211">
        <v>0</v>
      </c>
      <c r="CO37" s="211">
        <v>0</v>
      </c>
      <c r="CP37" s="211">
        <v>0</v>
      </c>
      <c r="CQ37" s="211">
        <v>0</v>
      </c>
      <c r="CR37" s="211">
        <v>0</v>
      </c>
      <c r="CS37" s="211">
        <v>0</v>
      </c>
      <c r="CT37" s="211">
        <v>0</v>
      </c>
      <c r="CU37" s="211">
        <v>0</v>
      </c>
      <c r="CV37" s="211">
        <v>0</v>
      </c>
      <c r="CW37" s="211">
        <v>0</v>
      </c>
      <c r="CX37" s="211">
        <v>0</v>
      </c>
      <c r="CY37" s="211">
        <v>0</v>
      </c>
      <c r="CZ37" s="211">
        <v>0</v>
      </c>
      <c r="DA37" s="211">
        <v>0</v>
      </c>
      <c r="DB37" s="211">
        <v>0</v>
      </c>
      <c r="DC37" s="211">
        <v>0</v>
      </c>
      <c r="DD37" s="211">
        <v>0</v>
      </c>
      <c r="DE37" s="211">
        <v>0</v>
      </c>
      <c r="DF37" s="211">
        <v>0</v>
      </c>
      <c r="DG37" s="211">
        <v>0</v>
      </c>
      <c r="DH37" s="211">
        <v>0</v>
      </c>
      <c r="DI37" s="211">
        <v>0</v>
      </c>
      <c r="DJ37" s="211">
        <v>0</v>
      </c>
      <c r="DK37" s="211">
        <v>0</v>
      </c>
      <c r="DL37" s="211">
        <v>0</v>
      </c>
      <c r="DM37" s="211">
        <v>0</v>
      </c>
      <c r="DN37" s="211">
        <v>0</v>
      </c>
      <c r="DO37" s="211">
        <v>0</v>
      </c>
      <c r="DP37" s="211">
        <v>0</v>
      </c>
      <c r="DQ37" s="211">
        <v>0</v>
      </c>
      <c r="DR37" s="211">
        <v>0</v>
      </c>
      <c r="DS37" s="211">
        <v>0</v>
      </c>
      <c r="DT37" s="211">
        <v>0</v>
      </c>
      <c r="DU37" s="211">
        <v>0</v>
      </c>
      <c r="DV37" s="211">
        <v>0</v>
      </c>
      <c r="DW37" s="211">
        <v>0</v>
      </c>
      <c r="DX37" s="211">
        <v>0</v>
      </c>
      <c r="DY37" s="211">
        <v>0</v>
      </c>
      <c r="DZ37" s="211">
        <v>0</v>
      </c>
      <c r="EA37" s="211">
        <v>0</v>
      </c>
      <c r="EB37" s="211">
        <v>0</v>
      </c>
      <c r="EC37" s="211">
        <v>0</v>
      </c>
      <c r="ED37" s="211">
        <v>0</v>
      </c>
      <c r="EE37" s="211">
        <v>0</v>
      </c>
      <c r="EF37" s="211">
        <v>0</v>
      </c>
      <c r="EG37" s="211">
        <v>0</v>
      </c>
      <c r="EH37" s="211">
        <v>0</v>
      </c>
      <c r="EI37" s="211">
        <v>0</v>
      </c>
      <c r="EJ37" s="211">
        <v>0</v>
      </c>
      <c r="EK37" s="211">
        <v>0</v>
      </c>
      <c r="EL37" s="211">
        <v>0</v>
      </c>
      <c r="EM37" s="211">
        <v>0</v>
      </c>
      <c r="EN37" s="211">
        <v>0</v>
      </c>
      <c r="EO37" s="211">
        <v>0</v>
      </c>
      <c r="EP37" s="211">
        <v>0</v>
      </c>
      <c r="EQ37" s="211">
        <v>0</v>
      </c>
      <c r="ER37" s="211">
        <v>0</v>
      </c>
      <c r="ES37" s="211">
        <v>0</v>
      </c>
      <c r="ET37" s="211">
        <v>0</v>
      </c>
      <c r="EU37" s="211">
        <v>0</v>
      </c>
      <c r="EV37" s="211">
        <v>0</v>
      </c>
      <c r="EW37" s="211">
        <v>0</v>
      </c>
      <c r="EX37" s="211">
        <v>0</v>
      </c>
      <c r="EY37" s="211">
        <v>0</v>
      </c>
      <c r="EZ37" s="211">
        <v>0</v>
      </c>
      <c r="FA37" s="211">
        <v>0</v>
      </c>
      <c r="FB37" s="211">
        <v>0</v>
      </c>
      <c r="FC37" s="211">
        <f>(VLOOKUP("163",'Input BS ACCTS'!$A$5:$DH$1058,110,FALSE))/1000</f>
        <v>0</v>
      </c>
      <c r="FD37" s="211">
        <f>(VLOOKUP("163",'Input BS ACCTS'!$A$5:$DH$1058,111,FALSE))/1000</f>
        <v>0</v>
      </c>
      <c r="FE37" s="211">
        <f>(VLOOKUP("163",'Input BS ACCTS'!$A$5:$DH$1058,112,FALSE))/1000</f>
        <v>0</v>
      </c>
      <c r="FF37" s="403">
        <f t="shared" si="57"/>
        <v>0</v>
      </c>
      <c r="FG37" s="700"/>
      <c r="FH37" s="700"/>
      <c r="IJ37" s="35"/>
      <c r="IK37" s="221"/>
      <c r="IL37" s="191"/>
      <c r="IM37" s="35"/>
      <c r="IN37" s="35"/>
      <c r="IO37" s="35"/>
      <c r="IP37" s="35"/>
      <c r="IQ37" s="35"/>
      <c r="IR37" s="35"/>
      <c r="IS37" s="35"/>
      <c r="IT37" s="35"/>
      <c r="IU37" s="35"/>
      <c r="IV37" s="35"/>
      <c r="IW37" s="35"/>
      <c r="IX37" s="35"/>
      <c r="IY37" s="35"/>
    </row>
    <row r="38" spans="1:259">
      <c r="A38" s="27" t="s">
        <v>525</v>
      </c>
      <c r="B38" s="107">
        <v>1388.22235</v>
      </c>
      <c r="C38" s="107">
        <v>1287.8413500000001</v>
      </c>
      <c r="D38" s="107">
        <v>1175.6033500000001</v>
      </c>
      <c r="E38" s="107">
        <v>1558.67535</v>
      </c>
      <c r="F38" s="107">
        <v>951.12734999999998</v>
      </c>
      <c r="G38" s="107">
        <v>841.32634999999993</v>
      </c>
      <c r="H38" s="107">
        <v>731.35735</v>
      </c>
      <c r="I38" s="107">
        <v>621.38834999999995</v>
      </c>
      <c r="J38" s="107">
        <v>596.06735000000003</v>
      </c>
      <c r="K38" s="107">
        <v>491.79834999999997</v>
      </c>
      <c r="L38" s="107">
        <v>1319.1593500000001</v>
      </c>
      <c r="M38" s="107">
        <v>1304.8233500000001</v>
      </c>
      <c r="N38" s="107">
        <v>1194.8543500000001</v>
      </c>
      <c r="O38" s="107">
        <v>1092</v>
      </c>
      <c r="P38" s="107">
        <v>1000</v>
      </c>
      <c r="Q38" s="107">
        <v>1405</v>
      </c>
      <c r="R38" s="107">
        <v>788</v>
      </c>
      <c r="S38" s="107">
        <v>579</v>
      </c>
      <c r="T38" s="107">
        <v>471</v>
      </c>
      <c r="U38" s="107">
        <v>363</v>
      </c>
      <c r="V38" s="107">
        <v>340</v>
      </c>
      <c r="W38" s="107">
        <v>590</v>
      </c>
      <c r="X38" s="107">
        <v>399</v>
      </c>
      <c r="Y38" s="107">
        <v>1358</v>
      </c>
      <c r="Z38" s="107">
        <v>1235</v>
      </c>
      <c r="AA38" s="107">
        <v>1392</v>
      </c>
      <c r="AB38" s="107">
        <v>1269</v>
      </c>
      <c r="AC38" s="107">
        <v>1478</v>
      </c>
      <c r="AD38" s="107">
        <v>1016</v>
      </c>
      <c r="AE38" s="107">
        <v>893</v>
      </c>
      <c r="AF38" s="107">
        <v>769</v>
      </c>
      <c r="AG38" s="107">
        <v>735</v>
      </c>
      <c r="AH38" s="107">
        <v>611</v>
      </c>
      <c r="AI38" s="107">
        <v>1567.2492400000003</v>
      </c>
      <c r="AJ38" s="107">
        <v>1473.8377600000001</v>
      </c>
      <c r="AK38" s="107">
        <v>1379.9047599999999</v>
      </c>
      <c r="AL38" s="107">
        <v>1261.2227000000005</v>
      </c>
      <c r="AM38" s="187">
        <v>1142.5406399999999</v>
      </c>
      <c r="AN38" s="187">
        <v>1056.1152199999999</v>
      </c>
      <c r="AO38" s="219">
        <v>1158.6614799999998</v>
      </c>
      <c r="AP38" s="219">
        <v>851.00773999999979</v>
      </c>
      <c r="AQ38" s="219">
        <v>749.30750000000012</v>
      </c>
      <c r="AR38" s="219">
        <v>646.75375999999994</v>
      </c>
      <c r="AS38" s="219">
        <v>630.76483000000007</v>
      </c>
      <c r="AT38" s="219">
        <v>531.01945000000012</v>
      </c>
      <c r="AU38" s="219">
        <v>567.19936000000007</v>
      </c>
      <c r="AV38" s="219">
        <v>1712.6858999999999</v>
      </c>
      <c r="AW38" s="219">
        <v>1590.4799600000003</v>
      </c>
      <c r="AX38" s="219">
        <v>1433.6511700000003</v>
      </c>
      <c r="AY38" s="178">
        <v>1304.9131799999998</v>
      </c>
      <c r="AZ38" s="178">
        <v>1170.0533300000002</v>
      </c>
      <c r="BA38" s="330">
        <v>1368.7761399999999</v>
      </c>
      <c r="BB38" s="330">
        <v>1039.52034</v>
      </c>
      <c r="BC38" s="330">
        <v>907.14662999999996</v>
      </c>
      <c r="BD38" s="330">
        <v>831.24605000000008</v>
      </c>
      <c r="BE38" s="330">
        <v>782.11305000000004</v>
      </c>
      <c r="BF38" s="330">
        <v>656.51396999999997</v>
      </c>
      <c r="BG38" s="211">
        <v>631.61904000000004</v>
      </c>
      <c r="BH38" s="211">
        <v>1953.9800500000001</v>
      </c>
      <c r="BI38" s="211">
        <v>1772.6973600000001</v>
      </c>
      <c r="BJ38" s="211">
        <v>1628.93326</v>
      </c>
      <c r="BK38" s="211">
        <v>1485.29755</v>
      </c>
      <c r="BL38" s="211">
        <v>1334.4684</v>
      </c>
      <c r="BM38" s="211">
        <v>1647.94832</v>
      </c>
      <c r="BN38" s="211">
        <v>1354.4063999999998</v>
      </c>
      <c r="BO38" s="211">
        <v>1184.8863999999999</v>
      </c>
      <c r="BP38" s="211">
        <v>1059.9052300000001</v>
      </c>
      <c r="BQ38" s="211">
        <v>1057.2138400000001</v>
      </c>
      <c r="BR38" s="211">
        <v>957.68383999999992</v>
      </c>
      <c r="BS38" s="211">
        <v>774.69727999999998</v>
      </c>
      <c r="BT38" s="211">
        <v>2204.5933399999999</v>
      </c>
      <c r="BU38" s="211">
        <v>2007.7770800000001</v>
      </c>
      <c r="BV38" s="211">
        <v>1843.0058200000001</v>
      </c>
      <c r="BW38" s="211">
        <v>1643.5191399999999</v>
      </c>
      <c r="BX38" s="211">
        <v>1444.0324599999999</v>
      </c>
      <c r="BY38" s="211">
        <v>1885.9071899999999</v>
      </c>
      <c r="BZ38" s="211">
        <v>1578.3676599999999</v>
      </c>
      <c r="CA38" s="211">
        <v>1352.29666</v>
      </c>
      <c r="CB38" s="211">
        <v>1326.32518</v>
      </c>
      <c r="CC38" s="211">
        <v>1113.3430600000002</v>
      </c>
      <c r="CD38" s="211">
        <v>935.97793000000001</v>
      </c>
      <c r="CE38" s="211">
        <v>734.9750600000001</v>
      </c>
      <c r="CF38" s="211">
        <v>2058.17499</v>
      </c>
      <c r="CG38" s="211">
        <v>1876.1623200000001</v>
      </c>
      <c r="CH38" s="211">
        <v>1722.4102399999999</v>
      </c>
      <c r="CI38" s="211">
        <v>1480.7096200000001</v>
      </c>
      <c r="CJ38" s="211">
        <v>1441.9575</v>
      </c>
      <c r="CK38" s="211">
        <v>2571.94805</v>
      </c>
      <c r="CL38" s="211">
        <v>2637.0799099999999</v>
      </c>
      <c r="CM38" s="211">
        <v>2412.6867699999998</v>
      </c>
      <c r="CN38" s="211">
        <v>2493.8299900000002</v>
      </c>
      <c r="CO38" s="211">
        <v>2161.50191</v>
      </c>
      <c r="CP38" s="211">
        <v>1938.41113</v>
      </c>
      <c r="CQ38" s="211">
        <v>1711.05675</v>
      </c>
      <c r="CR38" s="211">
        <v>1533.56122</v>
      </c>
      <c r="CS38" s="211">
        <v>1302.4572499999999</v>
      </c>
      <c r="CT38" s="211">
        <v>1068.4173400000002</v>
      </c>
      <c r="CU38" s="211">
        <v>814.98104000000001</v>
      </c>
      <c r="CV38" s="211">
        <v>580.51129000000003</v>
      </c>
      <c r="CW38" s="211">
        <v>1546.85229</v>
      </c>
      <c r="CX38" s="211">
        <v>2611.1723900000002</v>
      </c>
      <c r="CY38" s="211">
        <v>2661.3756800000001</v>
      </c>
      <c r="CZ38" s="211">
        <v>2747.6321699999999</v>
      </c>
      <c r="DA38" s="211">
        <v>2397.4975800000002</v>
      </c>
      <c r="DB38" s="211">
        <v>2167.9458</v>
      </c>
      <c r="DC38" s="211">
        <v>1836.9848</v>
      </c>
      <c r="DD38" s="211">
        <v>1481.3093700000002</v>
      </c>
      <c r="DE38" s="211">
        <v>1278.4829399999999</v>
      </c>
      <c r="DF38" s="211">
        <v>1030.99389</v>
      </c>
      <c r="DG38" s="211">
        <v>805.90486999999996</v>
      </c>
      <c r="DH38" s="211">
        <v>548.55631999999991</v>
      </c>
      <c r="DI38" s="211">
        <v>619.35390000000007</v>
      </c>
      <c r="DJ38" s="211">
        <v>2100.32987</v>
      </c>
      <c r="DK38" s="211">
        <v>2804.7330200000001</v>
      </c>
      <c r="DL38" s="211">
        <v>2555.7909799999998</v>
      </c>
      <c r="DM38" s="211">
        <v>2236.0284300000003</v>
      </c>
      <c r="DN38" s="211">
        <v>1973.52477</v>
      </c>
      <c r="DO38" s="211">
        <v>1716.8366599999999</v>
      </c>
      <c r="DP38" s="211">
        <v>1570.5801899999999</v>
      </c>
      <c r="DQ38" s="211">
        <v>1545.0938899999999</v>
      </c>
      <c r="DR38" s="211">
        <v>1550.6350400000001</v>
      </c>
      <c r="DS38" s="211">
        <v>1228.4786200000001</v>
      </c>
      <c r="DT38" s="211">
        <v>967.25804000000005</v>
      </c>
      <c r="DU38" s="211">
        <v>1409.7787599999999</v>
      </c>
      <c r="DV38" s="211">
        <v>3557.4746299999997</v>
      </c>
      <c r="DW38" s="211">
        <v>3489.93318</v>
      </c>
      <c r="DX38" s="211">
        <v>3363.9924700000001</v>
      </c>
      <c r="DY38" s="211">
        <v>2969.9907599999997</v>
      </c>
      <c r="DZ38" s="211">
        <v>2639.3216299999999</v>
      </c>
      <c r="EA38" s="211">
        <v>2532.9717999999998</v>
      </c>
      <c r="EB38" s="211">
        <v>2080.12122</v>
      </c>
      <c r="EC38" s="211">
        <v>1822.0522900000001</v>
      </c>
      <c r="ED38" s="211">
        <v>1503.25596</v>
      </c>
      <c r="EE38" s="211">
        <v>1044.0214100000001</v>
      </c>
      <c r="EF38" s="211">
        <v>703.36581999999999</v>
      </c>
      <c r="EG38" s="211">
        <v>1156.9128000000001</v>
      </c>
      <c r="EH38" s="211">
        <v>3134.7263499999999</v>
      </c>
      <c r="EI38" s="211">
        <v>3235.2801199999999</v>
      </c>
      <c r="EJ38" s="211">
        <v>3057.3586099999998</v>
      </c>
      <c r="EK38" s="211">
        <v>2786.9159199999999</v>
      </c>
      <c r="EL38" s="211">
        <v>2369.6821</v>
      </c>
      <c r="EM38" s="211">
        <v>2210.4805899999997</v>
      </c>
      <c r="EN38" s="211">
        <v>4759.7897599999997</v>
      </c>
      <c r="EO38" s="211">
        <v>4377.5653300000004</v>
      </c>
      <c r="EP38" s="211">
        <v>3826.77277</v>
      </c>
      <c r="EQ38" s="211">
        <v>3194.1755099999996</v>
      </c>
      <c r="ER38" s="211">
        <v>2743.1066800000003</v>
      </c>
      <c r="ES38" s="211">
        <v>3413.03042</v>
      </c>
      <c r="ET38" s="211">
        <v>6193.2354699999996</v>
      </c>
      <c r="EU38" s="211">
        <v>6227.4814500000002</v>
      </c>
      <c r="EV38" s="211">
        <v>5022.5029500000001</v>
      </c>
      <c r="EW38" s="211">
        <v>4682.7540599999993</v>
      </c>
      <c r="EX38" s="211">
        <v>3907.1144800000002</v>
      </c>
      <c r="EY38" s="211">
        <v>3587.7756199999999</v>
      </c>
      <c r="EZ38" s="211">
        <v>7492.9475300000004</v>
      </c>
      <c r="FA38" s="211">
        <v>7172.5128099999993</v>
      </c>
      <c r="FB38" s="211">
        <v>5981.2952000000005</v>
      </c>
      <c r="FC38" s="211">
        <f>(VLOOKUP("165",'Input BS ACCTS'!$A$5:$DH$1058,110,FALSE))/1000</f>
        <v>5185.9816600000004</v>
      </c>
      <c r="FD38" s="211">
        <f>(VLOOKUP("165",'Input BS ACCTS'!$A$5:$DH$1058,111,FALSE))/1000</f>
        <v>4429.9679000000006</v>
      </c>
      <c r="FE38" s="211">
        <f>(VLOOKUP("165",'Input BS ACCTS'!$A$5:$DH$1058,112,FALSE))/1000</f>
        <v>3955.6176399999999</v>
      </c>
      <c r="FF38" s="403">
        <f t="shared" si="57"/>
        <v>5173.247476153846</v>
      </c>
      <c r="FG38" s="700"/>
      <c r="FH38" s="700"/>
      <c r="IJ38" s="35"/>
      <c r="IK38" s="221"/>
      <c r="IL38" s="191"/>
      <c r="IM38" s="35"/>
      <c r="IN38" s="35"/>
      <c r="IO38" s="35"/>
      <c r="IP38" s="35"/>
      <c r="IQ38" s="35"/>
      <c r="IR38" s="35"/>
      <c r="IS38" s="35"/>
      <c r="IT38" s="35"/>
      <c r="IU38" s="35"/>
      <c r="IV38" s="35"/>
      <c r="IW38" s="35"/>
      <c r="IX38" s="35"/>
      <c r="IY38" s="35"/>
    </row>
    <row r="39" spans="1:259">
      <c r="A39" s="27" t="s">
        <v>243</v>
      </c>
      <c r="B39" s="107">
        <v>13178.953280000002</v>
      </c>
      <c r="C39" s="107">
        <v>12807.11728</v>
      </c>
      <c r="D39" s="107">
        <v>13868.193280000001</v>
      </c>
      <c r="E39" s="107">
        <v>16660.33628</v>
      </c>
      <c r="F39" s="107">
        <v>23970.296280000002</v>
      </c>
      <c r="G39" s="107">
        <v>23065.92928</v>
      </c>
      <c r="H39" s="107">
        <v>23495.097280000002</v>
      </c>
      <c r="I39" s="107">
        <v>19988.350280000002</v>
      </c>
      <c r="J39" s="107">
        <v>15643.934280000001</v>
      </c>
      <c r="K39" s="107">
        <v>13775.507280000002</v>
      </c>
      <c r="L39" s="107">
        <v>13395.67928</v>
      </c>
      <c r="M39" s="107">
        <v>13068.869280000001</v>
      </c>
      <c r="N39" s="107">
        <v>13092.333280000001</v>
      </c>
      <c r="O39" s="107">
        <v>13126</v>
      </c>
      <c r="P39" s="107">
        <v>14064</v>
      </c>
      <c r="Q39" s="107">
        <v>18039</v>
      </c>
      <c r="R39" s="107">
        <v>24505</v>
      </c>
      <c r="S39" s="107">
        <v>21481</v>
      </c>
      <c r="T39" s="107">
        <v>18628</v>
      </c>
      <c r="U39" s="107">
        <v>16409</v>
      </c>
      <c r="V39" s="107">
        <v>14948</v>
      </c>
      <c r="W39" s="107">
        <v>14095</v>
      </c>
      <c r="X39" s="107">
        <v>13788</v>
      </c>
      <c r="Y39" s="107">
        <v>13057</v>
      </c>
      <c r="Z39" s="107">
        <v>13105</v>
      </c>
      <c r="AA39" s="107">
        <v>13349</v>
      </c>
      <c r="AB39" s="107">
        <v>12664</v>
      </c>
      <c r="AC39" s="138">
        <v>14258</v>
      </c>
      <c r="AD39" s="138">
        <v>16975</v>
      </c>
      <c r="AE39" s="138">
        <v>15293</v>
      </c>
      <c r="AF39" s="138">
        <v>14400</v>
      </c>
      <c r="AG39" s="138">
        <v>13554</v>
      </c>
      <c r="AH39" s="138">
        <v>13034</v>
      </c>
      <c r="AI39" s="138">
        <v>12238.883360000002</v>
      </c>
      <c r="AJ39" s="138">
        <v>11832.336520000001</v>
      </c>
      <c r="AK39" s="138">
        <v>11646.084490000001</v>
      </c>
      <c r="AL39" s="138">
        <v>11644.833200000001</v>
      </c>
      <c r="AM39" s="187">
        <v>12043.054389999999</v>
      </c>
      <c r="AN39" s="187">
        <v>13344.11778</v>
      </c>
      <c r="AO39" s="187">
        <v>14783.049299999999</v>
      </c>
      <c r="AP39" s="187">
        <v>16900.968420000001</v>
      </c>
      <c r="AQ39" s="187">
        <v>15962.043809999999</v>
      </c>
      <c r="AR39" s="187">
        <v>16942.109700000001</v>
      </c>
      <c r="AS39" s="219">
        <v>16135.152730000002</v>
      </c>
      <c r="AT39" s="219">
        <v>13609.77046</v>
      </c>
      <c r="AU39" s="219">
        <v>12977.86479</v>
      </c>
      <c r="AV39" s="219">
        <v>12727.462659999999</v>
      </c>
      <c r="AW39" s="219">
        <v>12247.77275</v>
      </c>
      <c r="AX39" s="219">
        <v>12380.96703</v>
      </c>
      <c r="AY39" s="190">
        <v>12704.24667</v>
      </c>
      <c r="AZ39" s="190">
        <v>13373.335059999999</v>
      </c>
      <c r="BA39" s="351">
        <v>14603.02284</v>
      </c>
      <c r="BB39" s="351">
        <v>18003.073899999999</v>
      </c>
      <c r="BC39" s="351">
        <v>18097.256450000001</v>
      </c>
      <c r="BD39" s="351">
        <v>15566.671609999999</v>
      </c>
      <c r="BE39" s="351">
        <v>14418.22507</v>
      </c>
      <c r="BF39" s="351">
        <v>12586.642519999999</v>
      </c>
      <c r="BG39" s="138">
        <v>12155.687379999999</v>
      </c>
      <c r="BH39" s="138">
        <v>11443.97464</v>
      </c>
      <c r="BI39" s="138">
        <v>10961.037259999999</v>
      </c>
      <c r="BJ39" s="138">
        <v>11166.634300000002</v>
      </c>
      <c r="BK39" s="138">
        <v>11590.345359999999</v>
      </c>
      <c r="BL39" s="138">
        <v>12512.740689999999</v>
      </c>
      <c r="BM39" s="138">
        <v>14951.76534</v>
      </c>
      <c r="BN39" s="138">
        <v>16506.99901</v>
      </c>
      <c r="BO39" s="138">
        <v>16498.946980000001</v>
      </c>
      <c r="BP39" s="138">
        <v>15740.588009999999</v>
      </c>
      <c r="BQ39" s="138">
        <v>12945.647439999999</v>
      </c>
      <c r="BR39" s="138">
        <v>11536.4805</v>
      </c>
      <c r="BS39" s="138">
        <v>11824.40791</v>
      </c>
      <c r="BT39" s="138">
        <v>11059.21026</v>
      </c>
      <c r="BU39" s="138">
        <v>11066.841550000001</v>
      </c>
      <c r="BV39" s="138">
        <v>10911.27824</v>
      </c>
      <c r="BW39" s="138">
        <v>11261.693090000001</v>
      </c>
      <c r="BX39" s="138">
        <v>11959.54918</v>
      </c>
      <c r="BY39" s="138">
        <v>13184.88999</v>
      </c>
      <c r="BZ39" s="138">
        <v>15794.47651</v>
      </c>
      <c r="CA39" s="138">
        <v>17161.24181</v>
      </c>
      <c r="CB39" s="138">
        <v>15315.13042</v>
      </c>
      <c r="CC39" s="138">
        <v>13803.28392</v>
      </c>
      <c r="CD39" s="138">
        <v>12484.123539999999</v>
      </c>
      <c r="CE39" s="138">
        <v>11544.413120000001</v>
      </c>
      <c r="CF39" s="138">
        <v>10823.42949</v>
      </c>
      <c r="CG39" s="138">
        <v>10774.776169999999</v>
      </c>
      <c r="CH39" s="138">
        <v>10872.57984</v>
      </c>
      <c r="CI39" s="138">
        <v>10998.585120000002</v>
      </c>
      <c r="CJ39" s="138">
        <v>11978.31847</v>
      </c>
      <c r="CK39" s="138">
        <v>13463.34103</v>
      </c>
      <c r="CL39" s="138">
        <v>14793.90136</v>
      </c>
      <c r="CM39" s="138">
        <v>14647.02475</v>
      </c>
      <c r="CN39" s="138">
        <v>13891.25894</v>
      </c>
      <c r="CO39" s="138">
        <v>13674.195830000001</v>
      </c>
      <c r="CP39" s="138">
        <v>12482.27217</v>
      </c>
      <c r="CQ39" s="138">
        <v>11616.502460000002</v>
      </c>
      <c r="CR39" s="138">
        <v>11103.855129999998</v>
      </c>
      <c r="CS39" s="138">
        <v>11058.723689999999</v>
      </c>
      <c r="CT39" s="138">
        <v>11559.348890000001</v>
      </c>
      <c r="CU39" s="138">
        <v>11936.884789999998</v>
      </c>
      <c r="CV39" s="138">
        <v>13068.461640000001</v>
      </c>
      <c r="CW39" s="138">
        <v>14923.24071</v>
      </c>
      <c r="CX39" s="138">
        <v>19709.78095</v>
      </c>
      <c r="CY39" s="138">
        <v>17782.254499999999</v>
      </c>
      <c r="CZ39" s="138">
        <v>15051.948460000001</v>
      </c>
      <c r="DA39" s="138">
        <v>15420.493490000001</v>
      </c>
      <c r="DB39" s="138">
        <v>13318.813340000001</v>
      </c>
      <c r="DC39" s="138">
        <v>12093.90439</v>
      </c>
      <c r="DD39" s="138">
        <v>11886.70873</v>
      </c>
      <c r="DE39" s="138">
        <v>11640.14566</v>
      </c>
      <c r="DF39" s="138">
        <v>11662.559230000001</v>
      </c>
      <c r="DG39" s="138">
        <v>11825.160310000001</v>
      </c>
      <c r="DH39" s="138">
        <v>13201.89531</v>
      </c>
      <c r="DI39" s="138">
        <v>15400.69614</v>
      </c>
      <c r="DJ39" s="138">
        <v>16928.492259999999</v>
      </c>
      <c r="DK39" s="138">
        <v>14775.235269999999</v>
      </c>
      <c r="DL39" s="138">
        <v>15319.771419999999</v>
      </c>
      <c r="DM39" s="138">
        <v>15017.36967</v>
      </c>
      <c r="DN39" s="138">
        <v>13805.728929999999</v>
      </c>
      <c r="DO39" s="138">
        <v>12437.552470000001</v>
      </c>
      <c r="DP39" s="138">
        <v>12103.067550000002</v>
      </c>
      <c r="DQ39" s="138">
        <v>11409.97128</v>
      </c>
      <c r="DR39" s="138">
        <v>11774.779460000002</v>
      </c>
      <c r="DS39" s="138">
        <v>11943.43881</v>
      </c>
      <c r="DT39" s="138">
        <v>14474.12564</v>
      </c>
      <c r="DU39" s="138">
        <v>15620.86781</v>
      </c>
      <c r="DV39" s="138">
        <v>16930.267980000001</v>
      </c>
      <c r="DW39" s="138">
        <v>16289.747710000001</v>
      </c>
      <c r="DX39" s="138">
        <v>14402.74877</v>
      </c>
      <c r="DY39" s="138">
        <v>13045.89567</v>
      </c>
      <c r="DZ39" s="138">
        <v>12219.947970000001</v>
      </c>
      <c r="EA39" s="138">
        <v>12196.21343</v>
      </c>
      <c r="EB39" s="138">
        <v>11554.755009999999</v>
      </c>
      <c r="EC39" s="138">
        <v>11615.52332</v>
      </c>
      <c r="ED39" s="138">
        <v>11591.304679999999</v>
      </c>
      <c r="EE39" s="138">
        <v>12294.438970000001</v>
      </c>
      <c r="EF39" s="138">
        <v>13578.59181</v>
      </c>
      <c r="EG39" s="138">
        <v>18296.16387</v>
      </c>
      <c r="EH39" s="138">
        <v>22112.605070000001</v>
      </c>
      <c r="EI39" s="138">
        <v>18587.515509999997</v>
      </c>
      <c r="EJ39" s="138">
        <v>19522.572199999999</v>
      </c>
      <c r="EK39" s="138">
        <v>19357.34979</v>
      </c>
      <c r="EL39" s="138">
        <v>17195.15754</v>
      </c>
      <c r="EM39" s="138">
        <v>16430.362300000001</v>
      </c>
      <c r="EN39" s="138">
        <v>16061.876699999999</v>
      </c>
      <c r="EO39" s="138">
        <v>15505.416999999999</v>
      </c>
      <c r="EP39" s="138">
        <v>16065.272199999999</v>
      </c>
      <c r="EQ39" s="138">
        <v>16090.04326</v>
      </c>
      <c r="ER39" s="138">
        <v>17707.285210000002</v>
      </c>
      <c r="ES39" s="138">
        <v>20933.310990000002</v>
      </c>
      <c r="ET39" s="138">
        <v>26483.953750000001</v>
      </c>
      <c r="EU39" s="138">
        <v>25252.832039999998</v>
      </c>
      <c r="EV39" s="138">
        <v>22032.305809999998</v>
      </c>
      <c r="EW39" s="138">
        <v>20486.81135</v>
      </c>
      <c r="EX39" s="138">
        <v>19034.18259</v>
      </c>
      <c r="EY39" s="138">
        <v>17118.975899999998</v>
      </c>
      <c r="EZ39" s="138">
        <v>16220.343490000001</v>
      </c>
      <c r="FA39" s="138">
        <v>17742.28645</v>
      </c>
      <c r="FB39" s="138">
        <v>16780.03011</v>
      </c>
      <c r="FC39" s="138">
        <f>(VLOOKUP("173",'Input BS ACCTS'!$A$5:$DH$1058,110,FALSE)+VLOOKUP("1823070",'Input BS ACCTS'!$A$5:$DH$1058,110,FALSE))/1000</f>
        <v>19784.86536</v>
      </c>
      <c r="FD39" s="138">
        <f>(VLOOKUP("173",'Input BS ACCTS'!$A$5:$DH$1058,111,FALSE)+VLOOKUP("1823070",'Input BS ACCTS'!$A$5:$DH$1058,111,FALSE))/1000</f>
        <v>17916.29279</v>
      </c>
      <c r="FE39" s="138">
        <f>(VLOOKUP("173",'Input BS ACCTS'!$A$5:$DH$1058,112,FALSE)+VLOOKUP("1823070",'Input BS ACCTS'!$A$5:$DH$1058,112,FALSE))/1000</f>
        <v>20018.75834</v>
      </c>
      <c r="FF39" s="403">
        <f t="shared" si="57"/>
        <v>19984.996074615385</v>
      </c>
      <c r="FG39" s="700"/>
      <c r="FH39" s="700"/>
      <c r="IJ39" s="35"/>
      <c r="IK39" s="221"/>
      <c r="IL39" s="191"/>
      <c r="IM39" s="35"/>
      <c r="IN39" s="35"/>
      <c r="IO39" s="35"/>
      <c r="IP39" s="35"/>
      <c r="IQ39" s="35"/>
      <c r="IR39" s="35"/>
      <c r="IS39" s="35"/>
      <c r="IT39" s="35"/>
      <c r="IU39" s="35"/>
      <c r="IV39" s="35"/>
      <c r="IW39" s="35"/>
      <c r="IX39" s="35"/>
      <c r="IY39" s="35"/>
    </row>
    <row r="40" spans="1:259">
      <c r="A40" s="27" t="s">
        <v>520</v>
      </c>
      <c r="B40" s="110">
        <v>475.42</v>
      </c>
      <c r="C40" s="110">
        <v>0</v>
      </c>
      <c r="D40" s="110">
        <v>11.4</v>
      </c>
      <c r="E40" s="110">
        <v>0</v>
      </c>
      <c r="F40" s="110">
        <v>0</v>
      </c>
      <c r="G40" s="110">
        <v>0.5</v>
      </c>
      <c r="H40" s="110">
        <v>0</v>
      </c>
      <c r="I40" s="110">
        <v>0</v>
      </c>
      <c r="J40" s="110">
        <v>0</v>
      </c>
      <c r="K40" s="110">
        <v>0</v>
      </c>
      <c r="L40" s="110">
        <v>20.45</v>
      </c>
      <c r="M40" s="110">
        <v>87.19</v>
      </c>
      <c r="N40" s="110">
        <v>2.76</v>
      </c>
      <c r="O40" s="110">
        <v>4</v>
      </c>
      <c r="P40" s="110">
        <v>79</v>
      </c>
      <c r="Q40" s="110">
        <v>24</v>
      </c>
      <c r="R40" s="110">
        <v>7</v>
      </c>
      <c r="S40" s="110">
        <v>68</v>
      </c>
      <c r="T40" s="110">
        <v>524</v>
      </c>
      <c r="U40" s="110">
        <v>1379</v>
      </c>
      <c r="V40" s="110">
        <v>1011</v>
      </c>
      <c r="W40" s="110">
        <v>111</v>
      </c>
      <c r="X40" s="110">
        <v>0</v>
      </c>
      <c r="Y40" s="110">
        <v>22</v>
      </c>
      <c r="Z40" s="110">
        <v>0</v>
      </c>
      <c r="AA40" s="110">
        <v>1</v>
      </c>
      <c r="AB40" s="110">
        <v>0</v>
      </c>
      <c r="AC40" s="110">
        <v>0</v>
      </c>
      <c r="AD40" s="110">
        <v>0</v>
      </c>
      <c r="AE40" s="110"/>
      <c r="AF40" s="110">
        <v>0</v>
      </c>
      <c r="AG40" s="110">
        <v>0</v>
      </c>
      <c r="AH40" s="110">
        <v>0</v>
      </c>
      <c r="AI40" s="110">
        <v>22.655000000000001</v>
      </c>
      <c r="AJ40" s="110">
        <v>134.19999999999999</v>
      </c>
      <c r="AK40" s="110">
        <v>0</v>
      </c>
      <c r="AL40" s="110">
        <v>354.63</v>
      </c>
      <c r="AM40" s="205">
        <v>487.02499999999998</v>
      </c>
      <c r="AN40" s="205">
        <v>89.015000000000001</v>
      </c>
      <c r="AO40" s="249">
        <v>59.17</v>
      </c>
      <c r="AP40" s="205">
        <v>68.674999999999997</v>
      </c>
      <c r="AQ40" s="205">
        <v>83.364999999999995</v>
      </c>
      <c r="AR40" s="205">
        <v>1392.53</v>
      </c>
      <c r="AS40" s="249">
        <v>2535.88</v>
      </c>
      <c r="AT40" s="249">
        <v>735.495</v>
      </c>
      <c r="AU40" s="249">
        <v>0</v>
      </c>
      <c r="AV40" s="249">
        <v>0</v>
      </c>
      <c r="AW40" s="249">
        <v>11.55</v>
      </c>
      <c r="AX40" s="249">
        <v>4.3499999999999996</v>
      </c>
      <c r="AY40" s="272">
        <v>0</v>
      </c>
      <c r="AZ40" s="272">
        <v>79.205000000000013</v>
      </c>
      <c r="BA40" s="347">
        <v>1135.145</v>
      </c>
      <c r="BB40" s="347">
        <v>3564.4450000000002</v>
      </c>
      <c r="BC40" s="347">
        <v>2489.5149999999999</v>
      </c>
      <c r="BD40" s="347">
        <v>1505.0450000000001</v>
      </c>
      <c r="BE40" s="347">
        <v>3092.5786800000001</v>
      </c>
      <c r="BF40" s="347">
        <v>1180.6099999999999</v>
      </c>
      <c r="BG40" s="212">
        <v>677.755</v>
      </c>
      <c r="BH40" s="212">
        <v>0</v>
      </c>
      <c r="BI40" s="212">
        <v>4.9749999999999996</v>
      </c>
      <c r="BJ40" s="212">
        <v>0</v>
      </c>
      <c r="BK40" s="212">
        <v>0</v>
      </c>
      <c r="BL40" s="212">
        <v>0</v>
      </c>
      <c r="BM40" s="212">
        <v>0</v>
      </c>
      <c r="BN40" s="212">
        <v>0</v>
      </c>
      <c r="BO40" s="212">
        <v>0</v>
      </c>
      <c r="BP40" s="212">
        <v>27.523919999999997</v>
      </c>
      <c r="BQ40" s="212">
        <v>187.78792000000001</v>
      </c>
      <c r="BR40" s="212">
        <v>0</v>
      </c>
      <c r="BS40" s="212">
        <v>0.36</v>
      </c>
      <c r="BT40" s="212">
        <v>0</v>
      </c>
      <c r="BU40" s="212">
        <v>0</v>
      </c>
      <c r="BV40" s="212">
        <v>0</v>
      </c>
      <c r="BW40" s="212">
        <v>0</v>
      </c>
      <c r="BX40" s="212">
        <v>0</v>
      </c>
      <c r="BY40" s="212">
        <v>0</v>
      </c>
      <c r="BZ40" s="212">
        <v>2.52</v>
      </c>
      <c r="CA40" s="212">
        <v>0</v>
      </c>
      <c r="CB40" s="212">
        <v>2.79</v>
      </c>
      <c r="CC40" s="212">
        <v>56.284999999999997</v>
      </c>
      <c r="CD40" s="212">
        <v>78.685000000000002</v>
      </c>
      <c r="CE40" s="212">
        <v>358.63499999999999</v>
      </c>
      <c r="CF40" s="212">
        <v>351.745</v>
      </c>
      <c r="CG40" s="212">
        <v>201.625</v>
      </c>
      <c r="CH40" s="212">
        <v>118.295</v>
      </c>
      <c r="CI40" s="212">
        <v>153.405</v>
      </c>
      <c r="CJ40" s="212">
        <v>532.14499999999998</v>
      </c>
      <c r="CK40" s="212">
        <v>1989.24</v>
      </c>
      <c r="CL40" s="212">
        <v>535.4</v>
      </c>
      <c r="CM40" s="212">
        <v>31.52</v>
      </c>
      <c r="CN40" s="212">
        <v>482.88</v>
      </c>
      <c r="CO40" s="212">
        <v>538.84500000000003</v>
      </c>
      <c r="CP40" s="212">
        <v>169.52500000000001</v>
      </c>
      <c r="CQ40" s="212">
        <v>88.275000000000006</v>
      </c>
      <c r="CR40" s="212">
        <v>8.4499999999999993</v>
      </c>
      <c r="CS40" s="212">
        <v>101.19499999999999</v>
      </c>
      <c r="CT40" s="212">
        <v>79.745000000000005</v>
      </c>
      <c r="CU40" s="212">
        <v>4.8</v>
      </c>
      <c r="CV40" s="212">
        <v>7.23</v>
      </c>
      <c r="CW40" s="212">
        <v>0</v>
      </c>
      <c r="CX40" s="212">
        <v>77.894999999999996</v>
      </c>
      <c r="CY40" s="212">
        <v>0</v>
      </c>
      <c r="CZ40" s="212">
        <v>0</v>
      </c>
      <c r="DA40" s="212">
        <v>2.04</v>
      </c>
      <c r="DB40" s="212">
        <v>20.02</v>
      </c>
      <c r="DC40" s="212">
        <v>15.33</v>
      </c>
      <c r="DD40" s="212">
        <v>0</v>
      </c>
      <c r="DE40" s="212">
        <v>3.5</v>
      </c>
      <c r="DF40" s="212">
        <v>10.039999999999999</v>
      </c>
      <c r="DG40" s="212">
        <v>14.65</v>
      </c>
      <c r="DH40" s="212">
        <v>0</v>
      </c>
      <c r="DI40" s="212">
        <v>0</v>
      </c>
      <c r="DJ40" s="212">
        <v>0</v>
      </c>
      <c r="DK40" s="212">
        <v>0</v>
      </c>
      <c r="DL40" s="212">
        <v>0</v>
      </c>
      <c r="DM40" s="212">
        <v>0</v>
      </c>
      <c r="DN40" s="212">
        <v>0</v>
      </c>
      <c r="DO40" s="212">
        <v>0</v>
      </c>
      <c r="DP40" s="212">
        <v>0</v>
      </c>
      <c r="DQ40" s="212">
        <v>0</v>
      </c>
      <c r="DR40" s="212">
        <v>0</v>
      </c>
      <c r="DS40" s="212">
        <v>0</v>
      </c>
      <c r="DT40" s="212">
        <v>0</v>
      </c>
      <c r="DU40" s="212">
        <v>0</v>
      </c>
      <c r="DV40" s="212">
        <v>0</v>
      </c>
      <c r="DW40" s="212">
        <v>0</v>
      </c>
      <c r="DX40" s="212">
        <v>0</v>
      </c>
      <c r="DY40" s="212">
        <v>0</v>
      </c>
      <c r="DZ40" s="212">
        <v>0</v>
      </c>
      <c r="EA40" s="212">
        <v>0</v>
      </c>
      <c r="EB40" s="212">
        <v>0</v>
      </c>
      <c r="EC40" s="212">
        <v>0</v>
      </c>
      <c r="ED40" s="212">
        <v>0</v>
      </c>
      <c r="EE40" s="212">
        <v>0</v>
      </c>
      <c r="EF40" s="212">
        <v>0</v>
      </c>
      <c r="EG40" s="212">
        <v>0</v>
      </c>
      <c r="EH40" s="212">
        <v>0</v>
      </c>
      <c r="EI40" s="212">
        <v>0</v>
      </c>
      <c r="EJ40" s="212">
        <v>0</v>
      </c>
      <c r="EK40" s="212">
        <v>0</v>
      </c>
      <c r="EL40" s="212">
        <v>0</v>
      </c>
      <c r="EM40" s="212">
        <v>0</v>
      </c>
      <c r="EN40" s="212">
        <v>0</v>
      </c>
      <c r="EO40" s="212">
        <v>0</v>
      </c>
      <c r="EP40" s="212">
        <v>0</v>
      </c>
      <c r="EQ40" s="212">
        <v>0</v>
      </c>
      <c r="ER40" s="212">
        <v>0</v>
      </c>
      <c r="ES40" s="212">
        <v>0</v>
      </c>
      <c r="ET40" s="212">
        <v>0</v>
      </c>
      <c r="EU40" s="212">
        <v>0</v>
      </c>
      <c r="EV40" s="212">
        <v>0</v>
      </c>
      <c r="EW40" s="212">
        <v>0</v>
      </c>
      <c r="EX40" s="212">
        <v>0</v>
      </c>
      <c r="EY40" s="212">
        <v>0</v>
      </c>
      <c r="EZ40" s="212">
        <v>0</v>
      </c>
      <c r="FA40" s="212">
        <v>0</v>
      </c>
      <c r="FB40" s="212">
        <v>0</v>
      </c>
      <c r="FC40" s="212">
        <f>(VLOOKUP("176",'Input BS ACCTS'!$A$5:$DH$1058,110,FALSE))/1000</f>
        <v>0</v>
      </c>
      <c r="FD40" s="212">
        <f>(VLOOKUP("176",'Input BS ACCTS'!$A$5:$DH$1058,111,FALSE))/1000</f>
        <v>0</v>
      </c>
      <c r="FE40" s="212">
        <f>(VLOOKUP("176",'Input BS ACCTS'!$A$5:$DH$1058,112,FALSE))/1000</f>
        <v>0</v>
      </c>
      <c r="FF40" s="403">
        <f t="shared" si="57"/>
        <v>0</v>
      </c>
      <c r="FG40" s="700"/>
      <c r="FH40" s="700"/>
      <c r="IJ40" s="35"/>
      <c r="IK40" s="221"/>
      <c r="IL40" s="191"/>
      <c r="IM40" s="35"/>
      <c r="IN40" s="35"/>
      <c r="IO40" s="35"/>
      <c r="IP40" s="35"/>
      <c r="IQ40" s="35"/>
      <c r="IR40" s="35"/>
      <c r="IS40" s="35"/>
      <c r="IT40" s="35"/>
      <c r="IU40" s="35"/>
      <c r="IV40" s="35"/>
      <c r="IW40" s="35"/>
      <c r="IX40" s="35"/>
      <c r="IY40" s="35"/>
    </row>
    <row r="41" spans="1:259">
      <c r="A41" s="29" t="s">
        <v>245</v>
      </c>
      <c r="B41" s="111">
        <v>44234.147329999993</v>
      </c>
      <c r="C41" s="111">
        <v>60316.29333</v>
      </c>
      <c r="D41" s="111">
        <v>39868.477330000002</v>
      </c>
      <c r="E41" s="111">
        <v>58088.195330000002</v>
      </c>
      <c r="F41" s="111">
        <v>79012.735329999996</v>
      </c>
      <c r="G41" s="111">
        <v>75431.667329999997</v>
      </c>
      <c r="H41" s="111">
        <v>97965.126329999985</v>
      </c>
      <c r="I41" s="111">
        <v>78856.482329999999</v>
      </c>
      <c r="J41" s="111">
        <v>63217.142329999988</v>
      </c>
      <c r="K41" s="111">
        <v>55879.581330000001</v>
      </c>
      <c r="L41" s="111">
        <v>53959.137329999998</v>
      </c>
      <c r="M41" s="111">
        <v>46727.574330000003</v>
      </c>
      <c r="N41" s="111">
        <v>47229.947330000003</v>
      </c>
      <c r="O41" s="111">
        <v>47589</v>
      </c>
      <c r="P41" s="111">
        <v>34879</v>
      </c>
      <c r="Q41" s="111">
        <v>57921</v>
      </c>
      <c r="R41" s="111">
        <v>73582</v>
      </c>
      <c r="S41" s="111">
        <v>70010</v>
      </c>
      <c r="T41" s="111">
        <v>74507</v>
      </c>
      <c r="U41" s="111">
        <v>69771</v>
      </c>
      <c r="V41" s="111">
        <v>64572</v>
      </c>
      <c r="W41" s="111">
        <v>56769</v>
      </c>
      <c r="X41" s="111">
        <v>50831</v>
      </c>
      <c r="Y41" s="111">
        <v>40194</v>
      </c>
      <c r="Z41" s="111">
        <v>42136</v>
      </c>
      <c r="AA41" s="111">
        <v>37958</v>
      </c>
      <c r="AB41" s="111">
        <v>32221</v>
      </c>
      <c r="AC41" s="111">
        <v>54732.155879999998</v>
      </c>
      <c r="AD41" s="111">
        <v>72411</v>
      </c>
      <c r="AE41" s="111">
        <v>65761</v>
      </c>
      <c r="AF41" s="111">
        <v>71824</v>
      </c>
      <c r="AG41" s="111">
        <v>70851</v>
      </c>
      <c r="AH41" s="111">
        <v>65006</v>
      </c>
      <c r="AI41" s="111">
        <v>76642.34809</v>
      </c>
      <c r="AJ41" s="111">
        <v>89137.46192999999</v>
      </c>
      <c r="AK41" s="111">
        <v>50737.267139999996</v>
      </c>
      <c r="AL41" s="111">
        <v>57959.238139999994</v>
      </c>
      <c r="AM41" s="111">
        <v>61418.487690000002</v>
      </c>
      <c r="AN41" s="111">
        <v>55564.657780000001</v>
      </c>
      <c r="AO41" s="111">
        <v>61098.009910000015</v>
      </c>
      <c r="AP41" s="111">
        <v>61856.621339999998</v>
      </c>
      <c r="AQ41" s="111">
        <v>60944.903279999991</v>
      </c>
      <c r="AR41" s="111">
        <v>72749.25499999999</v>
      </c>
      <c r="AS41" s="111">
        <v>77552.587880000006</v>
      </c>
      <c r="AT41" s="111">
        <v>75257.599430000002</v>
      </c>
      <c r="AU41" s="111">
        <v>68524.699629999988</v>
      </c>
      <c r="AV41" s="111">
        <v>64267.184079999992</v>
      </c>
      <c r="AW41" s="111">
        <v>55233.436099999992</v>
      </c>
      <c r="AX41" s="111">
        <v>60109.786979999997</v>
      </c>
      <c r="AY41" s="111">
        <v>57098.1558</v>
      </c>
      <c r="AZ41" s="111">
        <v>48925.715779999999</v>
      </c>
      <c r="BA41" s="111">
        <v>54260.913969999994</v>
      </c>
      <c r="BB41" s="111">
        <v>68355.429670000012</v>
      </c>
      <c r="BC41" s="111">
        <v>67643.082410000003</v>
      </c>
      <c r="BD41" s="111">
        <v>62632.380870000001</v>
      </c>
      <c r="BE41" s="111">
        <v>59778.102339999998</v>
      </c>
      <c r="BF41" s="111">
        <v>71078.163229999991</v>
      </c>
      <c r="BG41" s="111">
        <v>58139.701189999985</v>
      </c>
      <c r="BH41" s="111">
        <v>52423.26683</v>
      </c>
      <c r="BI41" s="111">
        <v>48638.485070000002</v>
      </c>
      <c r="BJ41" s="111">
        <v>46931.784920000006</v>
      </c>
      <c r="BK41" s="111">
        <v>47480.287410000004</v>
      </c>
      <c r="BL41" s="111">
        <v>49402.385630000004</v>
      </c>
      <c r="BM41" s="111">
        <v>67326.830029999997</v>
      </c>
      <c r="BN41" s="111">
        <v>60407.445650000001</v>
      </c>
      <c r="BO41" s="111">
        <v>63303.663130000008</v>
      </c>
      <c r="BP41" s="111">
        <v>67067.510249999992</v>
      </c>
      <c r="BQ41" s="111">
        <v>64615.763729999999</v>
      </c>
      <c r="BR41" s="111">
        <v>77188.676970000015</v>
      </c>
      <c r="BS41" s="111">
        <v>69759.62062999999</v>
      </c>
      <c r="BT41" s="111">
        <v>70285.639930000005</v>
      </c>
      <c r="BU41" s="111">
        <v>74325.033940000008</v>
      </c>
      <c r="BV41" s="111">
        <v>70506.88360999999</v>
      </c>
      <c r="BW41" s="111">
        <v>68867.066309999995</v>
      </c>
      <c r="BX41" s="111">
        <v>65306.056090000005</v>
      </c>
      <c r="BY41" s="111">
        <v>69942.224780000004</v>
      </c>
      <c r="BZ41" s="111">
        <v>66057.738499999992</v>
      </c>
      <c r="CA41" s="111">
        <v>66071.10560000001</v>
      </c>
      <c r="CB41" s="111">
        <v>75657.772019999989</v>
      </c>
      <c r="CC41" s="111">
        <v>76430.739220000003</v>
      </c>
      <c r="CD41" s="111">
        <v>56697.280910000009</v>
      </c>
      <c r="CE41" s="111">
        <v>48886.815620000001</v>
      </c>
      <c r="CF41" s="111">
        <v>52270.723830000003</v>
      </c>
      <c r="CG41" s="111">
        <v>47773.196980000001</v>
      </c>
      <c r="CH41" s="111">
        <v>45509.200319999996</v>
      </c>
      <c r="CI41" s="111">
        <v>46982.392180000003</v>
      </c>
      <c r="CJ41" s="111">
        <v>41974.668299999998</v>
      </c>
      <c r="CK41" s="111">
        <v>51655.756459999997</v>
      </c>
      <c r="CL41" s="111">
        <f t="shared" ref="CL41:CW41" si="58">SUM(CL24:CL40)</f>
        <v>55363.462529999997</v>
      </c>
      <c r="CM41" s="111">
        <f t="shared" si="58"/>
        <v>64162.010029999998</v>
      </c>
      <c r="CN41" s="111">
        <f t="shared" si="58"/>
        <v>56797.737939999999</v>
      </c>
      <c r="CO41" s="111">
        <f t="shared" si="58"/>
        <v>64568.653969999999</v>
      </c>
      <c r="CP41" s="111">
        <f t="shared" si="58"/>
        <v>64198.700619999996</v>
      </c>
      <c r="CQ41" s="111">
        <f t="shared" si="58"/>
        <v>53822.729170000006</v>
      </c>
      <c r="CR41" s="111">
        <f t="shared" si="58"/>
        <v>55353.660960000001</v>
      </c>
      <c r="CS41" s="111">
        <f t="shared" si="58"/>
        <v>63573.355629999998</v>
      </c>
      <c r="CT41" s="111">
        <f t="shared" si="58"/>
        <v>59774.403510000004</v>
      </c>
      <c r="CU41" s="111">
        <f t="shared" si="58"/>
        <v>50969.798269999992</v>
      </c>
      <c r="CV41" s="111">
        <f t="shared" si="58"/>
        <v>52801.585440000017</v>
      </c>
      <c r="CW41" s="111">
        <f t="shared" si="58"/>
        <v>63444.125749999999</v>
      </c>
      <c r="CX41" s="111">
        <f t="shared" ref="CX41:DC41" si="59">SUM(CX24:CX40)</f>
        <v>78600.297149999999</v>
      </c>
      <c r="CY41" s="111">
        <f t="shared" si="59"/>
        <v>72991.793879999997</v>
      </c>
      <c r="CZ41" s="111">
        <f t="shared" si="59"/>
        <v>61327.180679999998</v>
      </c>
      <c r="DA41" s="111">
        <f t="shared" si="59"/>
        <v>61091.297689999999</v>
      </c>
      <c r="DB41" s="111">
        <f t="shared" si="59"/>
        <v>58566.63283000001</v>
      </c>
      <c r="DC41" s="111">
        <f t="shared" si="59"/>
        <v>58219.489690000002</v>
      </c>
      <c r="DD41" s="111">
        <f t="shared" ref="DD41:DI41" si="60">SUM(DD24:DD40)</f>
        <v>57154.576589999997</v>
      </c>
      <c r="DE41" s="111">
        <f t="shared" si="60"/>
        <v>51752.904920000001</v>
      </c>
      <c r="DF41" s="111">
        <f t="shared" si="60"/>
        <v>58260.21542</v>
      </c>
      <c r="DG41" s="111">
        <f t="shared" si="60"/>
        <v>57117.640550000004</v>
      </c>
      <c r="DH41" s="111">
        <f t="shared" si="60"/>
        <v>55739.472749999994</v>
      </c>
      <c r="DI41" s="111">
        <f t="shared" si="60"/>
        <v>59264.045770000004</v>
      </c>
      <c r="DJ41" s="111">
        <f t="shared" ref="DJ41:DP41" si="61">SUM(DJ24:DJ40)</f>
        <v>68098.539619999996</v>
      </c>
      <c r="DK41" s="111">
        <f t="shared" si="61"/>
        <v>63805.776129999998</v>
      </c>
      <c r="DL41" s="111">
        <f t="shared" si="61"/>
        <v>62056.625199999995</v>
      </c>
      <c r="DM41" s="111">
        <f t="shared" si="61"/>
        <v>57434.873549999997</v>
      </c>
      <c r="DN41" s="111">
        <f t="shared" si="61"/>
        <v>56015.68204</v>
      </c>
      <c r="DO41" s="111">
        <f t="shared" si="61"/>
        <v>51239.944200000005</v>
      </c>
      <c r="DP41" s="111">
        <f t="shared" si="61"/>
        <v>48187.394990000001</v>
      </c>
      <c r="DQ41" s="111">
        <f t="shared" ref="DQ41:DX41" si="62">SUM(DQ24:DQ40)</f>
        <v>47000.737529999991</v>
      </c>
      <c r="DR41" s="111">
        <f t="shared" si="62"/>
        <v>52493.94359000001</v>
      </c>
      <c r="DS41" s="111">
        <f t="shared" si="62"/>
        <v>48756.439980000003</v>
      </c>
      <c r="DT41" s="111">
        <f t="shared" si="62"/>
        <v>53214.511490000004</v>
      </c>
      <c r="DU41" s="111">
        <f t="shared" si="62"/>
        <v>58595.524510000003</v>
      </c>
      <c r="DV41" s="111">
        <f t="shared" si="62"/>
        <v>66657.72503999999</v>
      </c>
      <c r="DW41" s="111">
        <f t="shared" si="62"/>
        <v>63915.330889999997</v>
      </c>
      <c r="DX41" s="111">
        <f t="shared" si="62"/>
        <v>58796.932129999994</v>
      </c>
      <c r="DY41" s="111">
        <f t="shared" ref="DY41:ED41" si="63">SUM(DY24:DY40)</f>
        <v>53897.861819999998</v>
      </c>
      <c r="DZ41" s="111">
        <f t="shared" si="63"/>
        <v>52128.255949999992</v>
      </c>
      <c r="EA41" s="111">
        <f t="shared" si="63"/>
        <v>52654.731759999995</v>
      </c>
      <c r="EB41" s="111">
        <f t="shared" si="63"/>
        <v>49152.143330000006</v>
      </c>
      <c r="EC41" s="111">
        <f t="shared" si="63"/>
        <v>48491.290659999999</v>
      </c>
      <c r="ED41" s="111">
        <f t="shared" si="63"/>
        <v>47550.862589999997</v>
      </c>
      <c r="EE41" s="111">
        <f t="shared" ref="EE41:EJ41" si="64">SUM(EE24:EE40)</f>
        <v>45596.195090000001</v>
      </c>
      <c r="EF41" s="111">
        <f t="shared" si="64"/>
        <v>50050.81360999999</v>
      </c>
      <c r="EG41" s="111">
        <f t="shared" si="64"/>
        <v>61740.850760000001</v>
      </c>
      <c r="EH41" s="111">
        <f t="shared" si="64"/>
        <v>77129.190730000017</v>
      </c>
      <c r="EI41" s="111">
        <f t="shared" si="64"/>
        <v>74103.368440000006</v>
      </c>
      <c r="EJ41" s="111">
        <f t="shared" si="64"/>
        <v>62573.187090000007</v>
      </c>
      <c r="EK41" s="111">
        <f t="shared" ref="EK41:EP41" si="65">SUM(EK24:EK40)</f>
        <v>64059.233339999992</v>
      </c>
      <c r="EL41" s="111">
        <f t="shared" si="65"/>
        <v>58533.096319999997</v>
      </c>
      <c r="EM41" s="111">
        <f t="shared" si="65"/>
        <v>55652.338089999997</v>
      </c>
      <c r="EN41" s="111">
        <f t="shared" si="65"/>
        <v>57985.395990000005</v>
      </c>
      <c r="EO41" s="111">
        <f t="shared" si="65"/>
        <v>54796.322550000004</v>
      </c>
      <c r="EP41" s="111">
        <f t="shared" si="65"/>
        <v>55909.044719999998</v>
      </c>
      <c r="EQ41" s="111">
        <f t="shared" ref="EQ41:FF41" si="66">SUM(EQ24:EQ40)</f>
        <v>56690.915260000002</v>
      </c>
      <c r="ER41" s="111">
        <f t="shared" si="66"/>
        <v>56416.018389999997</v>
      </c>
      <c r="ES41" s="111">
        <f t="shared" si="66"/>
        <v>78755.841990000001</v>
      </c>
      <c r="ET41" s="111">
        <f t="shared" si="66"/>
        <v>96211.556079999995</v>
      </c>
      <c r="EU41" s="111">
        <f t="shared" si="66"/>
        <v>100929.34964999999</v>
      </c>
      <c r="EV41" s="111">
        <f t="shared" si="66"/>
        <v>88556.288460000011</v>
      </c>
      <c r="EW41" s="111">
        <f t="shared" ref="EW41:EY41" si="67">SUM(EW24:EW40)</f>
        <v>84388.333310000002</v>
      </c>
      <c r="EX41" s="111">
        <f t="shared" si="67"/>
        <v>87690.529009999984</v>
      </c>
      <c r="EY41" s="111">
        <f t="shared" si="67"/>
        <v>84396.244869999995</v>
      </c>
      <c r="EZ41" s="111">
        <f t="shared" ref="EZ41:FB41" si="68">SUM(EZ24:EZ40)</f>
        <v>89774.36761999999</v>
      </c>
      <c r="FA41" s="111">
        <f t="shared" si="68"/>
        <v>85397.016539999982</v>
      </c>
      <c r="FB41" s="111">
        <f t="shared" si="68"/>
        <v>83314.618629999983</v>
      </c>
      <c r="FC41" s="111">
        <f t="shared" ref="FC41:FE41" si="69">SUM(FC24:FC40)</f>
        <v>82470.698640000002</v>
      </c>
      <c r="FD41" s="111">
        <f t="shared" si="69"/>
        <v>79055.60444000001</v>
      </c>
      <c r="FE41" s="111">
        <f t="shared" si="69"/>
        <v>84160.729059999983</v>
      </c>
      <c r="FF41" s="360">
        <f t="shared" si="66"/>
        <v>86546.244484615381</v>
      </c>
      <c r="FG41" s="111"/>
      <c r="FH41" s="111"/>
      <c r="IJ41" s="35"/>
      <c r="IK41" s="220"/>
      <c r="IL41" s="191"/>
      <c r="IM41" s="35"/>
      <c r="IN41" s="35"/>
      <c r="IO41" s="35"/>
      <c r="IP41" s="35"/>
      <c r="IQ41" s="35"/>
      <c r="IR41" s="35"/>
      <c r="IS41" s="35"/>
      <c r="IT41" s="35"/>
      <c r="IU41" s="35"/>
      <c r="IV41" s="35"/>
      <c r="IW41" s="35"/>
      <c r="IX41" s="35"/>
      <c r="IY41" s="35"/>
    </row>
    <row r="42" spans="1:259">
      <c r="A42" s="30"/>
      <c r="B42" s="111">
        <v>0</v>
      </c>
      <c r="C42" s="111">
        <v>0</v>
      </c>
      <c r="D42" s="111">
        <v>0</v>
      </c>
      <c r="E42" s="111">
        <v>0</v>
      </c>
      <c r="F42" s="111">
        <v>0</v>
      </c>
      <c r="G42" s="111">
        <v>0</v>
      </c>
      <c r="H42" s="111">
        <v>0</v>
      </c>
      <c r="I42" s="111">
        <v>0</v>
      </c>
      <c r="J42" s="111">
        <v>0</v>
      </c>
      <c r="K42" s="111">
        <v>0</v>
      </c>
      <c r="L42" s="111">
        <v>0</v>
      </c>
      <c r="M42" s="111">
        <v>0</v>
      </c>
      <c r="N42" s="111">
        <v>0</v>
      </c>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111"/>
      <c r="EJ42" s="111"/>
      <c r="EK42" s="111"/>
      <c r="EL42" s="111"/>
      <c r="EM42" s="111"/>
      <c r="EN42" s="111"/>
      <c r="EO42" s="111"/>
      <c r="EP42" s="111"/>
      <c r="EQ42" s="111"/>
      <c r="ER42" s="111"/>
      <c r="ES42" s="111"/>
      <c r="ET42" s="111"/>
      <c r="EU42" s="111"/>
      <c r="EV42" s="111"/>
      <c r="EW42" s="111"/>
      <c r="EX42" s="111"/>
      <c r="EY42" s="111"/>
      <c r="EZ42" s="111"/>
      <c r="FA42" s="111"/>
      <c r="FB42" s="111"/>
      <c r="FC42" s="111"/>
      <c r="FD42" s="111"/>
      <c r="FE42" s="111"/>
      <c r="FF42" s="111"/>
      <c r="FG42" s="111"/>
      <c r="FH42" s="111"/>
      <c r="IJ42" s="35"/>
      <c r="IK42" s="220"/>
      <c r="IL42" s="191"/>
      <c r="IM42" s="35"/>
      <c r="IN42" s="35"/>
      <c r="IO42" s="35"/>
      <c r="IP42" s="35"/>
      <c r="IQ42" s="35"/>
      <c r="IR42" s="35"/>
      <c r="IS42" s="35"/>
      <c r="IT42" s="35"/>
      <c r="IU42" s="35"/>
      <c r="IV42" s="35"/>
      <c r="IW42" s="35"/>
      <c r="IX42" s="35"/>
      <c r="IY42" s="35"/>
    </row>
    <row r="43" spans="1:259">
      <c r="A43" s="34" t="s">
        <v>246</v>
      </c>
      <c r="B43" s="111">
        <v>0</v>
      </c>
      <c r="C43" s="111">
        <v>0</v>
      </c>
      <c r="D43" s="111">
        <v>0</v>
      </c>
      <c r="E43" s="111">
        <v>0</v>
      </c>
      <c r="F43" s="111">
        <v>0</v>
      </c>
      <c r="G43" s="111">
        <v>0</v>
      </c>
      <c r="H43" s="111">
        <v>0</v>
      </c>
      <c r="I43" s="111">
        <v>0</v>
      </c>
      <c r="J43" s="111">
        <v>0</v>
      </c>
      <c r="K43" s="111">
        <v>0</v>
      </c>
      <c r="L43" s="111">
        <v>0</v>
      </c>
      <c r="M43" s="111">
        <v>0</v>
      </c>
      <c r="N43" s="111">
        <v>0</v>
      </c>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111"/>
      <c r="EJ43" s="111"/>
      <c r="EK43" s="111"/>
      <c r="EL43" s="111"/>
      <c r="EM43" s="111"/>
      <c r="EN43" s="111"/>
      <c r="EO43" s="111"/>
      <c r="EP43" s="111"/>
      <c r="EQ43" s="111"/>
      <c r="ER43" s="111"/>
      <c r="ES43" s="111"/>
      <c r="ET43" s="111"/>
      <c r="EU43" s="111"/>
      <c r="EV43" s="111"/>
      <c r="EW43" s="111"/>
      <c r="EX43" s="111"/>
      <c r="EY43" s="111"/>
      <c r="EZ43" s="111"/>
      <c r="FA43" s="111"/>
      <c r="FB43" s="111"/>
      <c r="FC43" s="111"/>
      <c r="FD43" s="111"/>
      <c r="FE43" s="111"/>
      <c r="FF43" s="111"/>
      <c r="FG43" s="111"/>
      <c r="FH43" s="111"/>
      <c r="IJ43" s="35"/>
      <c r="IK43" s="220"/>
      <c r="IL43" s="191"/>
      <c r="IM43" s="35"/>
      <c r="IN43" s="35"/>
      <c r="IO43" s="35"/>
      <c r="IP43" s="35"/>
      <c r="IQ43" s="35"/>
      <c r="IR43" s="35"/>
      <c r="IS43" s="35"/>
      <c r="IT43" s="35"/>
      <c r="IU43" s="35"/>
      <c r="IV43" s="35"/>
      <c r="IW43" s="35"/>
      <c r="IX43" s="35"/>
      <c r="IY43" s="35"/>
    </row>
    <row r="44" spans="1:259">
      <c r="A44" s="27" t="s">
        <v>247</v>
      </c>
      <c r="B44" s="107">
        <v>2644.9611400000003</v>
      </c>
      <c r="C44" s="107">
        <v>2582.2221400000003</v>
      </c>
      <c r="D44" s="107">
        <v>2519.4831400000003</v>
      </c>
      <c r="E44" s="107">
        <v>2456.7441400000002</v>
      </c>
      <c r="F44" s="107">
        <v>2394.0051400000002</v>
      </c>
      <c r="G44" s="107">
        <v>2331.2661400000002</v>
      </c>
      <c r="H44" s="107">
        <v>2268.5271400000001</v>
      </c>
      <c r="I44" s="107">
        <v>2205.7881400000001</v>
      </c>
      <c r="J44" s="107">
        <v>2143.0491400000001</v>
      </c>
      <c r="K44" s="107">
        <v>2080.31014</v>
      </c>
      <c r="L44" s="107">
        <v>2017.6131399999999</v>
      </c>
      <c r="M44" s="107">
        <v>1954.9171399999998</v>
      </c>
      <c r="N44" s="107">
        <v>1892.2211399999999</v>
      </c>
      <c r="O44" s="107">
        <v>1830</v>
      </c>
      <c r="P44" s="107">
        <v>1767</v>
      </c>
      <c r="Q44" s="107">
        <v>1961</v>
      </c>
      <c r="R44" s="107">
        <v>1887</v>
      </c>
      <c r="S44" s="107">
        <v>1811</v>
      </c>
      <c r="T44" s="107">
        <v>1741</v>
      </c>
      <c r="U44" s="107">
        <v>1665</v>
      </c>
      <c r="V44" s="107">
        <v>1597</v>
      </c>
      <c r="W44" s="107">
        <v>1527</v>
      </c>
      <c r="X44" s="107">
        <v>1454</v>
      </c>
      <c r="Y44" s="107">
        <v>1378</v>
      </c>
      <c r="Z44" s="107">
        <v>1301</v>
      </c>
      <c r="AA44" s="107">
        <v>1225</v>
      </c>
      <c r="AB44" s="107">
        <v>1148</v>
      </c>
      <c r="AC44" s="107">
        <v>1071</v>
      </c>
      <c r="AD44" s="107">
        <v>995</v>
      </c>
      <c r="AE44" s="107">
        <v>918</v>
      </c>
      <c r="AF44" s="107">
        <v>842</v>
      </c>
      <c r="AG44" s="107">
        <v>765</v>
      </c>
      <c r="AH44" s="107">
        <v>689</v>
      </c>
      <c r="AI44" s="107">
        <v>1092.07682</v>
      </c>
      <c r="AJ44" s="107">
        <v>1020.6470899999999</v>
      </c>
      <c r="AK44" s="107">
        <v>990.46615999999995</v>
      </c>
      <c r="AL44" s="107">
        <v>1168.9336000000001</v>
      </c>
      <c r="AM44" s="187">
        <v>1186.8225199999999</v>
      </c>
      <c r="AN44" s="187">
        <v>1179.68469</v>
      </c>
      <c r="AO44" s="187">
        <v>1179.82277</v>
      </c>
      <c r="AP44" s="187">
        <v>1172.58357</v>
      </c>
      <c r="AQ44" s="187">
        <v>1165.4093400000002</v>
      </c>
      <c r="AR44" s="187">
        <v>1158.2351100000001</v>
      </c>
      <c r="AS44" s="219">
        <v>1151.06088</v>
      </c>
      <c r="AT44" s="219">
        <v>1143.8866499999999</v>
      </c>
      <c r="AU44" s="219">
        <v>1136.7124199999998</v>
      </c>
      <c r="AV44" s="219">
        <v>1130.1549399999999</v>
      </c>
      <c r="AW44" s="219">
        <v>1122.9566599999998</v>
      </c>
      <c r="AX44" s="219">
        <v>1116.1136999999999</v>
      </c>
      <c r="AY44" s="178">
        <v>1108.9346599999999</v>
      </c>
      <c r="AZ44" s="178">
        <v>1101.7556200000001</v>
      </c>
      <c r="BA44" s="330">
        <v>1094.5765800000001</v>
      </c>
      <c r="BB44" s="330">
        <v>1087.3975399999999</v>
      </c>
      <c r="BC44" s="330">
        <v>1080.2184999999999</v>
      </c>
      <c r="BD44" s="330">
        <v>1073.03946</v>
      </c>
      <c r="BE44" s="330">
        <v>1065.86042</v>
      </c>
      <c r="BF44" s="330">
        <v>1151.4688799999999</v>
      </c>
      <c r="BG44" s="211">
        <v>1146.2596899999999</v>
      </c>
      <c r="BH44" s="211">
        <v>1141.3574199999998</v>
      </c>
      <c r="BI44" s="211">
        <v>1134.10501</v>
      </c>
      <c r="BJ44" s="211">
        <v>1136.8983899999998</v>
      </c>
      <c r="BK44" s="211">
        <v>1129.58024</v>
      </c>
      <c r="BL44" s="211">
        <v>1122.0975100000001</v>
      </c>
      <c r="BM44" s="211">
        <v>1114.6147800000001</v>
      </c>
      <c r="BN44" s="211">
        <v>1107.1320499999999</v>
      </c>
      <c r="BO44" s="211">
        <v>1099.64932</v>
      </c>
      <c r="BP44" s="211">
        <v>1092.16659</v>
      </c>
      <c r="BQ44" s="211">
        <v>1084.6838600000001</v>
      </c>
      <c r="BR44" s="211">
        <v>1266.2268100000001</v>
      </c>
      <c r="BS44" s="211">
        <v>1277.9586899999999</v>
      </c>
      <c r="BT44" s="211">
        <v>1271.07864</v>
      </c>
      <c r="BU44" s="211">
        <v>1263.0125500000001</v>
      </c>
      <c r="BV44" s="211">
        <v>1264.8353400000001</v>
      </c>
      <c r="BW44" s="211">
        <v>1256.7414699999999</v>
      </c>
      <c r="BX44" s="211">
        <v>1248.64831</v>
      </c>
      <c r="BY44" s="211">
        <v>1240.5544399999999</v>
      </c>
      <c r="BZ44" s="211">
        <v>1232.46057</v>
      </c>
      <c r="CA44" s="211">
        <v>1224.3667</v>
      </c>
      <c r="CB44" s="211">
        <v>1216.2728300000001</v>
      </c>
      <c r="CC44" s="211">
        <v>1208.17896</v>
      </c>
      <c r="CD44" s="211">
        <v>1200.08509</v>
      </c>
      <c r="CE44" s="211">
        <v>1191.9912199999999</v>
      </c>
      <c r="CF44" s="211">
        <v>1183.8973500000002</v>
      </c>
      <c r="CG44" s="211">
        <v>1175.80348</v>
      </c>
      <c r="CH44" s="211">
        <v>1167.7096100000001</v>
      </c>
      <c r="CI44" s="211">
        <v>1159.61574</v>
      </c>
      <c r="CJ44" s="211">
        <v>1151.52187</v>
      </c>
      <c r="CK44" s="211">
        <v>1143.4280000000001</v>
      </c>
      <c r="CL44" s="211">
        <v>1135.33413</v>
      </c>
      <c r="CM44" s="211">
        <v>1127.24026</v>
      </c>
      <c r="CN44" s="211">
        <v>1119.1463899999999</v>
      </c>
      <c r="CO44" s="211">
        <v>1111.05252</v>
      </c>
      <c r="CP44" s="211">
        <v>1102.9586499999998</v>
      </c>
      <c r="CQ44" s="211">
        <v>1094.8647800000001</v>
      </c>
      <c r="CR44" s="211">
        <v>1086.77091</v>
      </c>
      <c r="CS44" s="211">
        <v>1078.67704</v>
      </c>
      <c r="CT44" s="211">
        <v>1070.5831699999999</v>
      </c>
      <c r="CU44" s="211">
        <v>1062.4893</v>
      </c>
      <c r="CV44" s="211">
        <v>1054.39543</v>
      </c>
      <c r="CW44" s="211">
        <v>1046.3015600000001</v>
      </c>
      <c r="CX44" s="211">
        <v>1038.20769</v>
      </c>
      <c r="CY44" s="211">
        <v>1030.11382</v>
      </c>
      <c r="CZ44" s="211">
        <v>1067.87933</v>
      </c>
      <c r="DA44" s="211">
        <v>1053.2341200000001</v>
      </c>
      <c r="DB44" s="211">
        <v>1040.1659300000001</v>
      </c>
      <c r="DC44" s="211">
        <v>1785.06277</v>
      </c>
      <c r="DD44" s="211">
        <v>1787.67147</v>
      </c>
      <c r="DE44" s="211">
        <v>1779.1369099999999</v>
      </c>
      <c r="DF44" s="211">
        <v>1807.0138899999999</v>
      </c>
      <c r="DG44" s="211">
        <v>2037.07448</v>
      </c>
      <c r="DH44" s="211">
        <v>2030.6094499999999</v>
      </c>
      <c r="DI44" s="211">
        <v>2027.97783</v>
      </c>
      <c r="DJ44" s="211">
        <v>2020.07215</v>
      </c>
      <c r="DK44" s="211">
        <v>2012.1834799999999</v>
      </c>
      <c r="DL44" s="211">
        <v>2018.04828</v>
      </c>
      <c r="DM44" s="211">
        <v>2010.10456</v>
      </c>
      <c r="DN44" s="211">
        <v>2002.16084</v>
      </c>
      <c r="DO44" s="211">
        <v>1994.21712</v>
      </c>
      <c r="DP44" s="211">
        <v>2205.5789</v>
      </c>
      <c r="DQ44" s="211">
        <v>2242.15967</v>
      </c>
      <c r="DR44" s="211">
        <v>2244.4437000000003</v>
      </c>
      <c r="DS44" s="211">
        <v>2235.7572300000002</v>
      </c>
      <c r="DT44" s="211">
        <v>2227.0707599999996</v>
      </c>
      <c r="DU44" s="211">
        <v>2233.0608900000002</v>
      </c>
      <c r="DV44" s="211">
        <v>2224.3343199999999</v>
      </c>
      <c r="DW44" s="211">
        <v>2226.9272999999998</v>
      </c>
      <c r="DX44" s="211">
        <v>2222.0164199999999</v>
      </c>
      <c r="DY44" s="211">
        <v>2211.8215099999998</v>
      </c>
      <c r="DZ44" s="211">
        <v>2201.6266000000001</v>
      </c>
      <c r="EA44" s="211">
        <v>2191.4316899999999</v>
      </c>
      <c r="EB44" s="211">
        <v>2181.2367799999997</v>
      </c>
      <c r="EC44" s="211">
        <v>2171.04187</v>
      </c>
      <c r="ED44" s="211">
        <v>2160.8469599999999</v>
      </c>
      <c r="EE44" s="211">
        <v>2150.6520499999997</v>
      </c>
      <c r="EF44" s="211">
        <v>2140.45714</v>
      </c>
      <c r="EG44" s="211">
        <v>2130.2622299999998</v>
      </c>
      <c r="EH44" s="211">
        <v>2126.6312200000002</v>
      </c>
      <c r="EI44" s="211">
        <v>2115.7154100000002</v>
      </c>
      <c r="EJ44" s="211">
        <v>3962.9508900000001</v>
      </c>
      <c r="EK44" s="211">
        <v>4083.4283599999999</v>
      </c>
      <c r="EL44" s="211">
        <v>4214.9540700000007</v>
      </c>
      <c r="EM44" s="211">
        <v>4360.24496</v>
      </c>
      <c r="EN44" s="211">
        <v>4339.27621</v>
      </c>
      <c r="EO44" s="211">
        <v>4318.30746</v>
      </c>
      <c r="EP44" s="211">
        <v>4297.33871</v>
      </c>
      <c r="EQ44" s="211">
        <v>4276.36996</v>
      </c>
      <c r="ER44" s="211">
        <v>4255.40121</v>
      </c>
      <c r="ES44" s="211">
        <v>4248.9452799999999</v>
      </c>
      <c r="ET44" s="211">
        <v>4226.5231299999996</v>
      </c>
      <c r="EU44" s="211">
        <v>4204.3671599999998</v>
      </c>
      <c r="EV44" s="211">
        <v>4182.21119</v>
      </c>
      <c r="EW44" s="211">
        <v>4161.0365000000002</v>
      </c>
      <c r="EX44" s="211">
        <v>4138.7578700000004</v>
      </c>
      <c r="EY44" s="211">
        <v>4116.4792400000006</v>
      </c>
      <c r="EZ44" s="211">
        <v>4568.2277899999999</v>
      </c>
      <c r="FA44" s="211">
        <v>4607.0475999999999</v>
      </c>
      <c r="FB44" s="211">
        <v>4577.8456399999995</v>
      </c>
      <c r="FC44" s="211">
        <f>(VLOOKUP("181",'Input BS ACCTS'!$A$5:$DH$1058,110,FALSE)+VLOOKUP("189",'Input BS ACCTS'!$A$5:$DH$1058,110,FALSE))/1000</f>
        <v>4562.2672300000004</v>
      </c>
      <c r="FD44" s="211">
        <f>(VLOOKUP("181",'Input BS ACCTS'!$A$5:$DH$1058,111,FALSE)+VLOOKUP("189",'Input BS ACCTS'!$A$5:$DH$1058,111,FALSE))/1000</f>
        <v>4533.6203099999993</v>
      </c>
      <c r="FE44" s="211">
        <f>(VLOOKUP("181",'Input BS ACCTS'!$A$5:$DH$1058,112,FALSE)+VLOOKUP("189",'Input BS ACCTS'!$A$5:$DH$1058,112,FALSE))/1000</f>
        <v>4543.2443700000003</v>
      </c>
      <c r="FF44" s="403">
        <f t="shared" ref="FF44:FF53" si="70">SUM(ES44:FE44)/13</f>
        <v>4359.2748699999993</v>
      </c>
      <c r="FG44" s="700"/>
      <c r="FH44" s="700"/>
      <c r="IJ44" s="35"/>
      <c r="IK44" s="221"/>
      <c r="IL44" s="191"/>
      <c r="IM44" s="35"/>
      <c r="IN44" s="35"/>
      <c r="IO44" s="35"/>
      <c r="IP44" s="35"/>
      <c r="IQ44" s="35"/>
      <c r="IR44" s="35"/>
      <c r="IS44" s="35"/>
      <c r="IT44" s="35"/>
      <c r="IU44" s="35"/>
      <c r="IV44" s="35"/>
      <c r="IW44" s="35"/>
      <c r="IX44" s="35"/>
      <c r="IY44" s="35"/>
    </row>
    <row r="45" spans="1:259">
      <c r="A45" s="27" t="s">
        <v>248</v>
      </c>
      <c r="B45" s="107">
        <v>47931.094819999998</v>
      </c>
      <c r="C45" s="107">
        <v>48937.509819999999</v>
      </c>
      <c r="D45" s="107">
        <v>47501.880819999998</v>
      </c>
      <c r="E45" s="107">
        <v>43982.346819999999</v>
      </c>
      <c r="F45" s="107">
        <v>44909.326820000002</v>
      </c>
      <c r="G45" s="107">
        <v>45260.946819999997</v>
      </c>
      <c r="H45" s="107">
        <v>45995.997819999997</v>
      </c>
      <c r="I45" s="107">
        <v>45722.446819999997</v>
      </c>
      <c r="J45" s="107">
        <v>44919.139819999997</v>
      </c>
      <c r="K45" s="107">
        <v>45660.712820000001</v>
      </c>
      <c r="L45" s="107">
        <v>45548.207820000003</v>
      </c>
      <c r="M45" s="107">
        <v>47224.72582</v>
      </c>
      <c r="N45" s="107">
        <v>48783.086819999997</v>
      </c>
      <c r="O45" s="107">
        <v>48718</v>
      </c>
      <c r="P45" s="107">
        <v>49382</v>
      </c>
      <c r="Q45" s="107">
        <v>45608</v>
      </c>
      <c r="R45" s="107">
        <v>45256</v>
      </c>
      <c r="S45" s="107">
        <v>45191</v>
      </c>
      <c r="T45" s="107">
        <v>43459</v>
      </c>
      <c r="U45" s="107">
        <v>41381</v>
      </c>
      <c r="V45" s="107">
        <v>40911</v>
      </c>
      <c r="W45" s="107">
        <v>39906</v>
      </c>
      <c r="X45" s="107">
        <v>40456</v>
      </c>
      <c r="Y45" s="107">
        <v>40400</v>
      </c>
      <c r="Z45" s="107">
        <v>40739</v>
      </c>
      <c r="AA45" s="107">
        <v>40716</v>
      </c>
      <c r="AB45" s="107">
        <v>42102</v>
      </c>
      <c r="AC45" s="107">
        <v>42957</v>
      </c>
      <c r="AD45" s="107">
        <v>45779</v>
      </c>
      <c r="AE45" s="107">
        <v>44870</v>
      </c>
      <c r="AF45" s="107">
        <v>44704</v>
      </c>
      <c r="AG45" s="107">
        <v>44216</v>
      </c>
      <c r="AH45" s="107">
        <v>43927</v>
      </c>
      <c r="AI45" s="107">
        <v>39086.75965</v>
      </c>
      <c r="AJ45" s="107">
        <v>38227.049179999995</v>
      </c>
      <c r="AK45" s="107">
        <v>38830.639999999999</v>
      </c>
      <c r="AL45" s="107">
        <v>37211.067650000005</v>
      </c>
      <c r="AM45" s="187">
        <v>38131.689100000011</v>
      </c>
      <c r="AN45" s="187">
        <v>38112.260040000001</v>
      </c>
      <c r="AO45" s="187">
        <v>38978.492359999997</v>
      </c>
      <c r="AP45" s="187">
        <v>38623.57897000001</v>
      </c>
      <c r="AQ45" s="187">
        <v>38191.925810000001</v>
      </c>
      <c r="AR45" s="187">
        <v>37907.22262</v>
      </c>
      <c r="AS45" s="219">
        <v>38571.569669999997</v>
      </c>
      <c r="AT45" s="219">
        <v>37822.634819999999</v>
      </c>
      <c r="AU45" s="219">
        <v>37882.073470000003</v>
      </c>
      <c r="AV45" s="219">
        <v>38137.814050000001</v>
      </c>
      <c r="AW45" s="219">
        <v>37624.241930000004</v>
      </c>
      <c r="AX45" s="219">
        <v>37113.782670000001</v>
      </c>
      <c r="AY45" s="178">
        <v>37163.278050000001</v>
      </c>
      <c r="AZ45" s="178">
        <v>36300.6466</v>
      </c>
      <c r="BA45" s="330">
        <v>33632.5694</v>
      </c>
      <c r="BB45" s="330">
        <v>34115.887170000002</v>
      </c>
      <c r="BC45" s="330">
        <v>33476.44225</v>
      </c>
      <c r="BD45" s="330">
        <v>33438.251449999996</v>
      </c>
      <c r="BE45" s="330">
        <v>34168.992740000002</v>
      </c>
      <c r="BF45" s="330">
        <v>33607.386250000003</v>
      </c>
      <c r="BG45" s="211">
        <v>33202.927830000001</v>
      </c>
      <c r="BH45" s="211">
        <v>34007.322810000005</v>
      </c>
      <c r="BI45" s="211">
        <v>32991.204550000002</v>
      </c>
      <c r="BJ45" s="211">
        <v>33564.193740000002</v>
      </c>
      <c r="BK45" s="211">
        <v>34746.329539999999</v>
      </c>
      <c r="BL45" s="211">
        <v>31973.53397</v>
      </c>
      <c r="BM45" s="211">
        <v>35824.575880000004</v>
      </c>
      <c r="BN45" s="211">
        <v>36311.754649999995</v>
      </c>
      <c r="BO45" s="211">
        <v>34870.467409999997</v>
      </c>
      <c r="BP45" s="211">
        <v>35437.049509999997</v>
      </c>
      <c r="BQ45" s="211">
        <v>35337.99843</v>
      </c>
      <c r="BR45" s="211">
        <v>35258.929229999994</v>
      </c>
      <c r="BS45" s="211">
        <v>34305.872170000002</v>
      </c>
      <c r="BT45" s="211">
        <v>34334.123570000003</v>
      </c>
      <c r="BU45" s="211">
        <v>35158.97683</v>
      </c>
      <c r="BV45" s="211">
        <v>35281.260710000002</v>
      </c>
      <c r="BW45" s="211">
        <v>35947.425719999999</v>
      </c>
      <c r="BX45" s="211">
        <v>36112.242049999993</v>
      </c>
      <c r="BY45" s="211">
        <v>38423.22193</v>
      </c>
      <c r="BZ45" s="211">
        <v>38148.757689999999</v>
      </c>
      <c r="CA45" s="211">
        <v>37941.736039999996</v>
      </c>
      <c r="CB45" s="211">
        <v>37398.992290000002</v>
      </c>
      <c r="CC45" s="211">
        <v>37003.099119999999</v>
      </c>
      <c r="CD45" s="211">
        <v>36995.409409999993</v>
      </c>
      <c r="CE45" s="211">
        <v>36049.062399999995</v>
      </c>
      <c r="CF45" s="211">
        <v>36156.380880000004</v>
      </c>
      <c r="CG45" s="211">
        <v>36602.801350000002</v>
      </c>
      <c r="CH45" s="211">
        <v>40013.408029999999</v>
      </c>
      <c r="CI45" s="211">
        <v>39966.717700000001</v>
      </c>
      <c r="CJ45" s="211">
        <v>39774.589039999999</v>
      </c>
      <c r="CK45" s="211">
        <v>47861.884270000002</v>
      </c>
      <c r="CL45" s="211">
        <v>48216.61666</v>
      </c>
      <c r="CM45" s="211">
        <v>46704.51627</v>
      </c>
      <c r="CN45" s="211">
        <v>47090.265090000001</v>
      </c>
      <c r="CO45" s="211">
        <v>47407.65726</v>
      </c>
      <c r="CP45" s="211">
        <v>47433.163059999999</v>
      </c>
      <c r="CQ45" s="211">
        <v>47955.941989999999</v>
      </c>
      <c r="CR45" s="211">
        <v>48144.508670000003</v>
      </c>
      <c r="CS45" s="211">
        <v>48101.782039999998</v>
      </c>
      <c r="CT45" s="211">
        <v>50081.276340000004</v>
      </c>
      <c r="CU45" s="211">
        <v>50006.575429999997</v>
      </c>
      <c r="CV45" s="211">
        <v>50110.54724</v>
      </c>
      <c r="CW45" s="211">
        <v>48257.584149999995</v>
      </c>
      <c r="CX45" s="211">
        <v>48838.259310000001</v>
      </c>
      <c r="CY45" s="211">
        <v>48545.168709999998</v>
      </c>
      <c r="CZ45" s="211">
        <v>49500.818460000002</v>
      </c>
      <c r="DA45" s="211">
        <v>49805.606399999997</v>
      </c>
      <c r="DB45" s="211">
        <v>50060.779259999996</v>
      </c>
      <c r="DC45" s="211">
        <v>50103.163070000002</v>
      </c>
      <c r="DD45" s="211">
        <v>50170.800889999999</v>
      </c>
      <c r="DE45" s="211">
        <v>50206.779840000003</v>
      </c>
      <c r="DF45" s="211">
        <v>51841.777099999999</v>
      </c>
      <c r="DG45" s="211">
        <v>51915.224390000003</v>
      </c>
      <c r="DH45" s="211">
        <v>52443.29264</v>
      </c>
      <c r="DI45" s="211">
        <v>53579.534350000002</v>
      </c>
      <c r="DJ45" s="211">
        <v>53810.178520000001</v>
      </c>
      <c r="DK45" s="211">
        <v>53025.245880000002</v>
      </c>
      <c r="DL45" s="211">
        <v>53554.50389</v>
      </c>
      <c r="DM45" s="211">
        <v>53675.832280000002</v>
      </c>
      <c r="DN45" s="211">
        <v>53712.964659999998</v>
      </c>
      <c r="DO45" s="211">
        <v>53733.761479999994</v>
      </c>
      <c r="DP45" s="211">
        <v>54023.538009999997</v>
      </c>
      <c r="DQ45" s="211">
        <v>54120.208020000005</v>
      </c>
      <c r="DR45" s="211">
        <v>53966.607810000001</v>
      </c>
      <c r="DS45" s="211">
        <v>54087.865170000005</v>
      </c>
      <c r="DT45" s="211">
        <v>54371.823479999999</v>
      </c>
      <c r="DU45" s="211">
        <v>54966.422409999999</v>
      </c>
      <c r="DV45" s="211">
        <v>55524.351119999999</v>
      </c>
      <c r="DW45" s="211">
        <v>54592.50808</v>
      </c>
      <c r="DX45" s="211">
        <v>54777.93939</v>
      </c>
      <c r="DY45" s="211">
        <v>55026.802189999995</v>
      </c>
      <c r="DZ45" s="211">
        <v>55161.969799999999</v>
      </c>
      <c r="EA45" s="211">
        <v>55446.318920000005</v>
      </c>
      <c r="EB45" s="211">
        <v>55534.916149999997</v>
      </c>
      <c r="EC45" s="211">
        <v>55479.405709999999</v>
      </c>
      <c r="ED45" s="211">
        <v>55670.420039999997</v>
      </c>
      <c r="EE45" s="211">
        <v>56074.141859999996</v>
      </c>
      <c r="EF45" s="211">
        <v>55851.066880000006</v>
      </c>
      <c r="EG45" s="211">
        <v>58693.568859999999</v>
      </c>
      <c r="EH45" s="211">
        <v>59351.200259999998</v>
      </c>
      <c r="EI45" s="211">
        <v>59691.522689999998</v>
      </c>
      <c r="EJ45" s="211">
        <v>57907.116580000002</v>
      </c>
      <c r="EK45" s="211">
        <v>58338.223229999996</v>
      </c>
      <c r="EL45" s="211">
        <v>58283.557430000001</v>
      </c>
      <c r="EM45" s="211">
        <v>58536.297549999996</v>
      </c>
      <c r="EN45" s="211">
        <v>58652.68002</v>
      </c>
      <c r="EO45" s="211">
        <v>58933.954409999998</v>
      </c>
      <c r="EP45" s="211">
        <v>59497.046470000001</v>
      </c>
      <c r="EQ45" s="211">
        <v>58863.673240000004</v>
      </c>
      <c r="ER45" s="211">
        <v>59548.096990000005</v>
      </c>
      <c r="ES45" s="211">
        <v>58824.206109999999</v>
      </c>
      <c r="ET45" s="211">
        <v>59182.826119999998</v>
      </c>
      <c r="EU45" s="211">
        <v>60411.84274</v>
      </c>
      <c r="EV45" s="211">
        <v>58537.919139999998</v>
      </c>
      <c r="EW45" s="211">
        <v>58883.217750000003</v>
      </c>
      <c r="EX45" s="211">
        <v>59124.026039999997</v>
      </c>
      <c r="EY45" s="211">
        <v>59227.864950000003</v>
      </c>
      <c r="EZ45" s="211">
        <v>59234.740399999995</v>
      </c>
      <c r="FA45" s="211">
        <v>58915.849070000004</v>
      </c>
      <c r="FB45" s="211">
        <v>59442.146409999994</v>
      </c>
      <c r="FC45" s="211">
        <f>(VLOOKUP("190",'Input BS ACCTS'!$A$5:$DH$1058,110,FALSE))/1000</f>
        <v>59602.49613</v>
      </c>
      <c r="FD45" s="211">
        <f>(VLOOKUP("190",'Input BS ACCTS'!$A$5:$DH$1058,111,FALSE))/1000</f>
        <v>59999.36606</v>
      </c>
      <c r="FE45" s="211">
        <f>(VLOOKUP("190",'Input BS ACCTS'!$A$5:$DH$1058,112,FALSE))/1000</f>
        <v>62146.609060000003</v>
      </c>
      <c r="FF45" s="403">
        <f t="shared" si="70"/>
        <v>59502.546921538473</v>
      </c>
      <c r="FG45" s="700"/>
      <c r="FH45" s="700"/>
      <c r="IJ45" s="35"/>
      <c r="IK45" s="221"/>
      <c r="IL45" s="191"/>
      <c r="IM45" s="35"/>
      <c r="IN45" s="35"/>
      <c r="IO45" s="35"/>
      <c r="IP45" s="35"/>
      <c r="IQ45" s="35"/>
      <c r="IR45" s="35"/>
      <c r="IS45" s="35"/>
      <c r="IT45" s="35"/>
      <c r="IU45" s="35"/>
      <c r="IV45" s="35"/>
      <c r="IW45" s="35"/>
      <c r="IX45" s="35"/>
      <c r="IY45" s="35"/>
    </row>
    <row r="46" spans="1:259">
      <c r="A46" s="27" t="s">
        <v>249</v>
      </c>
      <c r="B46" s="107">
        <v>-4.0000000000000001E-3</v>
      </c>
      <c r="C46" s="107">
        <v>-8.0000000000000002E-3</v>
      </c>
      <c r="D46" s="107">
        <v>-5.0000000000000001E-3</v>
      </c>
      <c r="E46" s="107">
        <v>-8.0000000000000002E-3</v>
      </c>
      <c r="F46" s="107">
        <v>-5.0000000000000001E-3</v>
      </c>
      <c r="G46" s="107">
        <v>-0.28999999999999998</v>
      </c>
      <c r="H46" s="107">
        <v>-4.0000000000000001E-3</v>
      </c>
      <c r="I46" s="107">
        <v>0</v>
      </c>
      <c r="J46" s="107">
        <v>0</v>
      </c>
      <c r="K46" s="107">
        <v>0</v>
      </c>
      <c r="L46" s="107">
        <v>-4.0000000000000001E-3</v>
      </c>
      <c r="M46" s="107">
        <v>-5.0000000000000001E-3</v>
      </c>
      <c r="N46" s="107">
        <v>-8.9999999999999993E-3</v>
      </c>
      <c r="O46" s="107">
        <v>0</v>
      </c>
      <c r="P46" s="107">
        <v>0</v>
      </c>
      <c r="Q46" s="107">
        <v>0</v>
      </c>
      <c r="R46" s="107">
        <v>0</v>
      </c>
      <c r="S46" s="107">
        <v>0</v>
      </c>
      <c r="T46" s="107">
        <v>0</v>
      </c>
      <c r="U46" s="107">
        <v>0</v>
      </c>
      <c r="V46" s="107">
        <v>0</v>
      </c>
      <c r="W46" s="107">
        <v>0</v>
      </c>
      <c r="X46" s="107">
        <v>0</v>
      </c>
      <c r="Y46" s="107">
        <v>0</v>
      </c>
      <c r="Z46" s="107">
        <v>0</v>
      </c>
      <c r="AA46" s="107">
        <v>0</v>
      </c>
      <c r="AB46" s="107">
        <v>0</v>
      </c>
      <c r="AC46" s="107">
        <v>0</v>
      </c>
      <c r="AD46" s="107">
        <v>0</v>
      </c>
      <c r="AE46" s="107">
        <v>0</v>
      </c>
      <c r="AF46" s="107">
        <v>0</v>
      </c>
      <c r="AG46" s="107"/>
      <c r="AH46" s="107"/>
      <c r="AI46" s="107">
        <v>4.6900000000000006E-3</v>
      </c>
      <c r="AJ46" s="107">
        <v>4.15E-3</v>
      </c>
      <c r="AK46" s="107">
        <v>4.15E-3</v>
      </c>
      <c r="AL46" s="107">
        <v>4.15E-3</v>
      </c>
      <c r="AM46" s="187">
        <v>4.15E-3</v>
      </c>
      <c r="AN46" s="187">
        <v>4.15E-3</v>
      </c>
      <c r="AO46" s="187">
        <v>4.15E-3</v>
      </c>
      <c r="AP46" s="187">
        <v>5.9527700000000001</v>
      </c>
      <c r="AQ46" s="187">
        <v>5.9527700000000001</v>
      </c>
      <c r="AR46" s="187">
        <v>5.9527700000000001</v>
      </c>
      <c r="AS46" s="219">
        <v>5.9527700000000001</v>
      </c>
      <c r="AT46" s="219">
        <v>5.9227700000000008</v>
      </c>
      <c r="AU46" s="219">
        <v>5.8627700000000003</v>
      </c>
      <c r="AV46" s="219">
        <v>5.8027700000000006</v>
      </c>
      <c r="AW46" s="219">
        <v>5.7427700000000002</v>
      </c>
      <c r="AX46" s="219">
        <v>5.6827700000000005</v>
      </c>
      <c r="AY46" s="178">
        <v>5.6197700000000008</v>
      </c>
      <c r="AZ46" s="178">
        <v>5.5577700000000005</v>
      </c>
      <c r="BA46" s="330">
        <v>5.5027600000000003</v>
      </c>
      <c r="BB46" s="330">
        <v>5.5627599999999999</v>
      </c>
      <c r="BC46" s="330">
        <v>5.6227600000000004</v>
      </c>
      <c r="BD46" s="330">
        <v>5.68276</v>
      </c>
      <c r="BE46" s="330">
        <v>5.7427600000000005</v>
      </c>
      <c r="BF46" s="330">
        <v>5.8027600000000001</v>
      </c>
      <c r="BG46" s="211">
        <v>5.8627600000000006</v>
      </c>
      <c r="BH46" s="211">
        <v>5.9227600000000002</v>
      </c>
      <c r="BI46" s="211">
        <v>5.9827599999999999</v>
      </c>
      <c r="BJ46" s="211">
        <v>6.0427600000000004</v>
      </c>
      <c r="BK46" s="211">
        <v>0</v>
      </c>
      <c r="BL46" s="211">
        <v>0</v>
      </c>
      <c r="BM46" s="211">
        <v>0</v>
      </c>
      <c r="BN46" s="211">
        <v>0</v>
      </c>
      <c r="BO46" s="211">
        <v>0</v>
      </c>
      <c r="BP46" s="211">
        <v>0</v>
      </c>
      <c r="BQ46" s="211">
        <v>0</v>
      </c>
      <c r="BR46" s="211">
        <v>0</v>
      </c>
      <c r="BS46" s="211">
        <v>0</v>
      </c>
      <c r="BT46" s="211">
        <v>0</v>
      </c>
      <c r="BU46" s="211">
        <v>0</v>
      </c>
      <c r="BV46" s="211">
        <v>0</v>
      </c>
      <c r="BW46" s="211">
        <v>0</v>
      </c>
      <c r="BX46" s="211">
        <v>0</v>
      </c>
      <c r="BY46" s="211">
        <v>0</v>
      </c>
      <c r="BZ46" s="211">
        <v>0</v>
      </c>
      <c r="CA46" s="211">
        <v>0</v>
      </c>
      <c r="CB46" s="211">
        <v>0</v>
      </c>
      <c r="CC46" s="211">
        <v>0</v>
      </c>
      <c r="CD46" s="211">
        <v>0</v>
      </c>
      <c r="CE46" s="211">
        <v>0</v>
      </c>
      <c r="CF46" s="211">
        <v>0</v>
      </c>
      <c r="CG46" s="211">
        <v>0</v>
      </c>
      <c r="CH46" s="211">
        <v>41.828069999999997</v>
      </c>
      <c r="CI46" s="211">
        <v>0</v>
      </c>
      <c r="CJ46" s="211">
        <v>0</v>
      </c>
      <c r="CK46" s="211">
        <v>0</v>
      </c>
      <c r="CL46" s="211">
        <v>0</v>
      </c>
      <c r="CM46" s="211">
        <v>0</v>
      </c>
      <c r="CN46" s="211">
        <v>0</v>
      </c>
      <c r="CO46" s="211">
        <v>0</v>
      </c>
      <c r="CP46" s="211">
        <v>0</v>
      </c>
      <c r="CQ46" s="211">
        <v>0</v>
      </c>
      <c r="CR46" s="211">
        <v>0</v>
      </c>
      <c r="CS46" s="211">
        <v>0</v>
      </c>
      <c r="CT46" s="211">
        <v>0</v>
      </c>
      <c r="CU46" s="211">
        <v>0</v>
      </c>
      <c r="CV46" s="211">
        <v>0</v>
      </c>
      <c r="CW46" s="211">
        <v>0</v>
      </c>
      <c r="CX46" s="211">
        <v>0</v>
      </c>
      <c r="CY46" s="211">
        <v>0</v>
      </c>
      <c r="CZ46" s="211">
        <v>0</v>
      </c>
      <c r="DA46" s="211">
        <v>0</v>
      </c>
      <c r="DB46" s="211">
        <v>0</v>
      </c>
      <c r="DC46" s="211">
        <v>0</v>
      </c>
      <c r="DD46" s="211">
        <v>0</v>
      </c>
      <c r="DE46" s="211">
        <v>0</v>
      </c>
      <c r="DF46" s="211">
        <v>0</v>
      </c>
      <c r="DG46" s="211">
        <v>0</v>
      </c>
      <c r="DH46" s="211">
        <v>0</v>
      </c>
      <c r="DI46" s="211">
        <v>0</v>
      </c>
      <c r="DJ46" s="211">
        <v>0</v>
      </c>
      <c r="DK46" s="211">
        <v>0</v>
      </c>
      <c r="DL46" s="211">
        <v>0</v>
      </c>
      <c r="DM46" s="211">
        <v>0</v>
      </c>
      <c r="DN46" s="211">
        <v>0</v>
      </c>
      <c r="DO46" s="211">
        <v>0</v>
      </c>
      <c r="DP46" s="211">
        <v>0</v>
      </c>
      <c r="DQ46" s="211">
        <v>0</v>
      </c>
      <c r="DR46" s="211">
        <v>0</v>
      </c>
      <c r="DS46" s="211">
        <v>0</v>
      </c>
      <c r="DT46" s="211">
        <v>0</v>
      </c>
      <c r="DU46" s="211">
        <v>0</v>
      </c>
      <c r="DV46" s="211">
        <v>0</v>
      </c>
      <c r="DW46" s="211">
        <v>0</v>
      </c>
      <c r="DX46" s="211">
        <v>0</v>
      </c>
      <c r="DY46" s="211">
        <v>0</v>
      </c>
      <c r="DZ46" s="211">
        <v>0</v>
      </c>
      <c r="EA46" s="211">
        <v>0</v>
      </c>
      <c r="EB46" s="211">
        <v>0</v>
      </c>
      <c r="EC46" s="211">
        <v>0</v>
      </c>
      <c r="ED46" s="211">
        <v>0</v>
      </c>
      <c r="EE46" s="211">
        <v>0.06</v>
      </c>
      <c r="EF46" s="211">
        <v>0</v>
      </c>
      <c r="EG46" s="211">
        <v>0</v>
      </c>
      <c r="EH46" s="211">
        <v>0</v>
      </c>
      <c r="EI46" s="211">
        <v>0</v>
      </c>
      <c r="EJ46" s="211">
        <v>0</v>
      </c>
      <c r="EK46" s="211">
        <v>0</v>
      </c>
      <c r="EL46" s="211">
        <v>0</v>
      </c>
      <c r="EM46" s="211">
        <v>0</v>
      </c>
      <c r="EN46" s="211">
        <v>0</v>
      </c>
      <c r="EO46" s="211">
        <v>0</v>
      </c>
      <c r="EP46" s="211">
        <v>0</v>
      </c>
      <c r="EQ46" s="211">
        <v>0</v>
      </c>
      <c r="ER46" s="211">
        <v>0</v>
      </c>
      <c r="ES46" s="211">
        <v>0</v>
      </c>
      <c r="ET46" s="211">
        <v>0</v>
      </c>
      <c r="EU46" s="211">
        <v>0</v>
      </c>
      <c r="EV46" s="211">
        <v>0</v>
      </c>
      <c r="EW46" s="211">
        <v>0</v>
      </c>
      <c r="EX46" s="211">
        <v>0</v>
      </c>
      <c r="EY46" s="211">
        <v>0</v>
      </c>
      <c r="EZ46" s="211">
        <v>0</v>
      </c>
      <c r="FA46" s="211">
        <v>0</v>
      </c>
      <c r="FB46" s="211">
        <v>0</v>
      </c>
      <c r="FC46" s="211">
        <f>(VLOOKUP("184",'Input BS ACCTS'!$A$5:$DH$1058,110,FALSE))/1000</f>
        <v>0</v>
      </c>
      <c r="FD46" s="211">
        <f>(VLOOKUP("184",'Input BS ACCTS'!$A$5:$DH$1058,111,FALSE))/1000</f>
        <v>0</v>
      </c>
      <c r="FE46" s="211">
        <f>(VLOOKUP("184",'Input BS ACCTS'!$A$5:$DH$1058,112,FALSE))/1000</f>
        <v>0</v>
      </c>
      <c r="FF46" s="403">
        <f t="shared" si="70"/>
        <v>0</v>
      </c>
      <c r="FG46" s="700"/>
      <c r="FH46" s="700"/>
      <c r="IJ46" s="35"/>
      <c r="IK46" s="221"/>
      <c r="IL46" s="191"/>
      <c r="IM46" s="35"/>
      <c r="IN46" s="35"/>
      <c r="IO46" s="35"/>
      <c r="IP46" s="35"/>
      <c r="IQ46" s="35"/>
      <c r="IR46" s="35"/>
      <c r="IS46" s="35"/>
      <c r="IT46" s="35"/>
      <c r="IU46" s="35"/>
      <c r="IV46" s="35"/>
      <c r="IW46" s="35"/>
      <c r="IX46" s="35"/>
      <c r="IY46" s="35"/>
    </row>
    <row r="47" spans="1:259">
      <c r="A47" s="27" t="s">
        <v>250</v>
      </c>
      <c r="B47" s="107">
        <v>38614.078289999998</v>
      </c>
      <c r="C47" s="107">
        <v>38694.798289999999</v>
      </c>
      <c r="D47" s="107">
        <v>38747.580289999998</v>
      </c>
      <c r="E47" s="107">
        <v>48592.096290000001</v>
      </c>
      <c r="F47" s="107">
        <v>48555.316290000002</v>
      </c>
      <c r="G47" s="107">
        <v>48720.12429</v>
      </c>
      <c r="H47" s="107">
        <v>48236.242290000002</v>
      </c>
      <c r="I47" s="107">
        <v>52688.991289999998</v>
      </c>
      <c r="J47" s="107">
        <v>55513.310290000001</v>
      </c>
      <c r="K47" s="107">
        <v>59439.386290000002</v>
      </c>
      <c r="L47" s="107">
        <v>63005.284289999996</v>
      </c>
      <c r="M47" s="107">
        <v>67025.625289999996</v>
      </c>
      <c r="N47" s="107">
        <v>70000.430289999989</v>
      </c>
      <c r="O47" s="107">
        <v>53852</v>
      </c>
      <c r="P47" s="107">
        <v>54330</v>
      </c>
      <c r="Q47" s="107">
        <v>54108</v>
      </c>
      <c r="R47" s="107">
        <v>49052</v>
      </c>
      <c r="S47" s="107">
        <v>49293</v>
      </c>
      <c r="T47" s="107">
        <v>50668</v>
      </c>
      <c r="U47" s="107">
        <v>50733</v>
      </c>
      <c r="V47" s="107">
        <v>51107</v>
      </c>
      <c r="W47" s="107">
        <v>48013</v>
      </c>
      <c r="X47" s="107">
        <v>47998</v>
      </c>
      <c r="Y47" s="107">
        <v>49035</v>
      </c>
      <c r="Z47" s="107">
        <v>48704</v>
      </c>
      <c r="AA47" s="107">
        <v>48741</v>
      </c>
      <c r="AB47" s="107">
        <v>48452</v>
      </c>
      <c r="AC47" s="107">
        <v>55857</v>
      </c>
      <c r="AD47" s="107">
        <v>58055</v>
      </c>
      <c r="AE47" s="107">
        <v>58139</v>
      </c>
      <c r="AF47" s="107">
        <v>57737</v>
      </c>
      <c r="AG47" s="107">
        <v>57768</v>
      </c>
      <c r="AH47" s="107">
        <v>58113</v>
      </c>
      <c r="AI47" s="107">
        <v>64346.419880000001</v>
      </c>
      <c r="AJ47" s="107">
        <v>64313.958929999993</v>
      </c>
      <c r="AK47" s="107">
        <v>64723.593589999997</v>
      </c>
      <c r="AL47" s="107">
        <v>64281.782789999997</v>
      </c>
      <c r="AM47" s="187">
        <v>64919.187389999999</v>
      </c>
      <c r="AN47" s="187">
        <v>65182.681919999995</v>
      </c>
      <c r="AO47" s="187">
        <v>76631.208750000005</v>
      </c>
      <c r="AP47" s="187">
        <v>76612.00556000002</v>
      </c>
      <c r="AQ47" s="187">
        <v>76457.673750000002</v>
      </c>
      <c r="AR47" s="187">
        <v>75566.056869999986</v>
      </c>
      <c r="AS47" s="219">
        <v>75363.227220000015</v>
      </c>
      <c r="AT47" s="219">
        <v>75658.341549999997</v>
      </c>
      <c r="AU47" s="219">
        <v>75188.345040000015</v>
      </c>
      <c r="AV47" s="219">
        <v>75465.393190000003</v>
      </c>
      <c r="AW47" s="219">
        <v>76026.486140000008</v>
      </c>
      <c r="AX47" s="219">
        <v>75946.689259999999</v>
      </c>
      <c r="AY47" s="190">
        <v>76324.656820000018</v>
      </c>
      <c r="AZ47" s="190">
        <v>76459.051229999983</v>
      </c>
      <c r="BA47" s="351">
        <v>70471.292509999999</v>
      </c>
      <c r="BB47" s="351">
        <v>69997.01122</v>
      </c>
      <c r="BC47" s="351">
        <v>71088.2641</v>
      </c>
      <c r="BD47" s="351">
        <v>68368.324699999997</v>
      </c>
      <c r="BE47" s="351">
        <v>69611.010649999997</v>
      </c>
      <c r="BF47" s="351">
        <v>70483.194969999997</v>
      </c>
      <c r="BG47" s="138">
        <v>68576.12328</v>
      </c>
      <c r="BH47" s="138">
        <v>69847.259180000008</v>
      </c>
      <c r="BI47" s="138">
        <v>71419.094570000001</v>
      </c>
      <c r="BJ47" s="138">
        <v>68818.619189999998</v>
      </c>
      <c r="BK47" s="138">
        <v>68963.470189999993</v>
      </c>
      <c r="BL47" s="138">
        <v>69249.646699999998</v>
      </c>
      <c r="BM47" s="138">
        <v>72467.400840000002</v>
      </c>
      <c r="BN47" s="138">
        <v>72592.189459999994</v>
      </c>
      <c r="BO47" s="138">
        <v>72602.958590000009</v>
      </c>
      <c r="BP47" s="138">
        <v>73158.85867999999</v>
      </c>
      <c r="BQ47" s="138">
        <v>71571.61112999999</v>
      </c>
      <c r="BR47" s="138">
        <v>71805.709930000012</v>
      </c>
      <c r="BS47" s="138">
        <v>71108.554209999988</v>
      </c>
      <c r="BT47" s="138">
        <v>71248.431559999997</v>
      </c>
      <c r="BU47" s="138">
        <v>71120.119780000008</v>
      </c>
      <c r="BV47" s="138">
        <v>70513.24613</v>
      </c>
      <c r="BW47" s="138">
        <v>73525.377469999992</v>
      </c>
      <c r="BX47" s="138">
        <v>74074.467680000002</v>
      </c>
      <c r="BY47" s="138">
        <v>82232.976849999992</v>
      </c>
      <c r="BZ47" s="138">
        <v>82304.015400000004</v>
      </c>
      <c r="CA47" s="138">
        <v>82297.403550000003</v>
      </c>
      <c r="CB47" s="138">
        <v>82119.597129999995</v>
      </c>
      <c r="CC47" s="138">
        <v>82086.495020000002</v>
      </c>
      <c r="CD47" s="138">
        <v>82146.20379</v>
      </c>
      <c r="CE47" s="448">
        <v>82149.043580000012</v>
      </c>
      <c r="CF47" s="448">
        <v>82147.67108</v>
      </c>
      <c r="CG47" s="448">
        <v>82246.670050000001</v>
      </c>
      <c r="CH47" s="448">
        <v>90709.415110000002</v>
      </c>
      <c r="CI47" s="448">
        <v>90866.217529999994</v>
      </c>
      <c r="CJ47" s="448">
        <v>91010.741269999999</v>
      </c>
      <c r="CK47" s="448">
        <v>68651.538419999997</v>
      </c>
      <c r="CL47" s="448">
        <v>70830.252769999992</v>
      </c>
      <c r="CM47" s="448">
        <v>70254.901520000014</v>
      </c>
      <c r="CN47" s="448">
        <v>68535.840510000009</v>
      </c>
      <c r="CO47" s="448">
        <v>68112.887950000004</v>
      </c>
      <c r="CP47" s="448">
        <v>67688.72024000001</v>
      </c>
      <c r="CQ47" s="448">
        <v>68115.282019999999</v>
      </c>
      <c r="CR47" s="448">
        <v>67731.605639999994</v>
      </c>
      <c r="CS47" s="448">
        <v>67890.483330000003</v>
      </c>
      <c r="CT47" s="448">
        <v>66962.067909999998</v>
      </c>
      <c r="CU47" s="448">
        <v>66619.551349999994</v>
      </c>
      <c r="CV47" s="448">
        <v>66264.137279999995</v>
      </c>
      <c r="CW47" s="448">
        <v>64835.58266</v>
      </c>
      <c r="CX47" s="448">
        <v>64933.396590000004</v>
      </c>
      <c r="CY47" s="448">
        <v>65244.409619999999</v>
      </c>
      <c r="CZ47" s="448">
        <v>59827.964010000003</v>
      </c>
      <c r="DA47" s="448">
        <v>60105.970669999995</v>
      </c>
      <c r="DB47" s="448">
        <v>60086.399309999993</v>
      </c>
      <c r="DC47" s="448">
        <v>59622.403859999999</v>
      </c>
      <c r="DD47" s="448">
        <v>59973.886749999998</v>
      </c>
      <c r="DE47" s="448">
        <v>60632.430609999996</v>
      </c>
      <c r="DF47" s="448">
        <v>53375.956300000005</v>
      </c>
      <c r="DG47" s="448">
        <v>54283.035830000001</v>
      </c>
      <c r="DH47" s="448">
        <v>55830.138780000001</v>
      </c>
      <c r="DI47" s="448">
        <v>58277.144090000002</v>
      </c>
      <c r="DJ47" s="448">
        <v>58080.181830000001</v>
      </c>
      <c r="DK47" s="448">
        <v>58864.521289999997</v>
      </c>
      <c r="DL47" s="448">
        <v>58624.363279999998</v>
      </c>
      <c r="DM47" s="448">
        <v>59133.599669999996</v>
      </c>
      <c r="DN47" s="448">
        <v>59790.011739999994</v>
      </c>
      <c r="DO47" s="448">
        <v>59988.540849999998</v>
      </c>
      <c r="DP47" s="448">
        <v>60019.876629999999</v>
      </c>
      <c r="DQ47" s="448">
        <v>60424.509920000004</v>
      </c>
      <c r="DR47" s="448">
        <v>61106.555189999999</v>
      </c>
      <c r="DS47" s="448">
        <v>61357.266819999997</v>
      </c>
      <c r="DT47" s="448">
        <v>62186.112700000005</v>
      </c>
      <c r="DU47" s="448">
        <v>54632.48934</v>
      </c>
      <c r="DV47" s="448">
        <v>54624.616520000003</v>
      </c>
      <c r="DW47" s="448">
        <v>54848.027120000006</v>
      </c>
      <c r="DX47" s="448">
        <v>54894.123350000002</v>
      </c>
      <c r="DY47" s="448">
        <v>55206.396160000004</v>
      </c>
      <c r="DZ47" s="448">
        <v>55954.289480000007</v>
      </c>
      <c r="EA47" s="448">
        <v>55732.483930000002</v>
      </c>
      <c r="EB47" s="448">
        <v>56163.926220000001</v>
      </c>
      <c r="EC47" s="448">
        <v>57439.180289999997</v>
      </c>
      <c r="ED47" s="448">
        <v>58517.494700000003</v>
      </c>
      <c r="EE47" s="448">
        <v>58105.062389999999</v>
      </c>
      <c r="EF47" s="448">
        <v>59291.394589999996</v>
      </c>
      <c r="EG47" s="448">
        <v>61848.501990000004</v>
      </c>
      <c r="EH47" s="448">
        <v>61431.951190000007</v>
      </c>
      <c r="EI47" s="448">
        <v>62507.009010000009</v>
      </c>
      <c r="EJ47" s="448">
        <v>62885.483009999996</v>
      </c>
      <c r="EK47" s="448">
        <v>62852.994260000007</v>
      </c>
      <c r="EL47" s="448">
        <v>64288.750349999995</v>
      </c>
      <c r="EM47" s="448">
        <v>64171.958269999996</v>
      </c>
      <c r="EN47" s="448">
        <v>65457.203960000006</v>
      </c>
      <c r="EO47" s="448">
        <v>65526.210789999997</v>
      </c>
      <c r="EP47" s="448">
        <v>63159.92985</v>
      </c>
      <c r="EQ47" s="448">
        <v>63487.314690000007</v>
      </c>
      <c r="ER47" s="448">
        <v>64304.817139999999</v>
      </c>
      <c r="ES47" s="448">
        <v>54783.441789999997</v>
      </c>
      <c r="ET47" s="448">
        <v>54802.484989999997</v>
      </c>
      <c r="EU47" s="448">
        <v>54476.854079999997</v>
      </c>
      <c r="EV47" s="448">
        <v>53656.083579999999</v>
      </c>
      <c r="EW47" s="448">
        <v>53893.433839999998</v>
      </c>
      <c r="EX47" s="448">
        <v>54557.734810000002</v>
      </c>
      <c r="EY47" s="448">
        <v>52421.864460000004</v>
      </c>
      <c r="EZ47" s="448">
        <v>52496.172849999995</v>
      </c>
      <c r="FA47" s="448">
        <v>52694.693240000001</v>
      </c>
      <c r="FB47" s="448">
        <v>52216.605019999995</v>
      </c>
      <c r="FC47" s="448">
        <f>((VLOOKUP("182",'Input BS ACCTS'!$A$5:$DH$1058,110,FALSE)+(VLOOKUP("186",'Input BS ACCTS'!$A$5:$DH$1058,110,FALSE)-VLOOKUP("1823040",'Input BS ACCTS'!$A$5:$DH$1058,110,FALSE)-VLOOKUP("1823070",'Input BS ACCTS'!$A$5:$DH$1058,110,FALSE)-VLOOKUP("1823071",'Input BS ACCTS'!$A$5:$DH$1058,110,FALSE)-VLOOKUP("1823102",'Input BS ACCTS'!$A$5:$DH$1058,110,FALSE)-VLOOKUP("1823105",'Input BS ACCTS'!$A$5:$DH$1058,110,FALSE)-VLOOKUP("1823205",'Input BS ACCTS'!$A$5:$DH$1058,110,FALSE)-VLOOKUP("1823202",'Input BS ACCTS'!$A$5:$DH$1058,110,FALSE)))/1000)</f>
        <v>51696.577039999996</v>
      </c>
      <c r="FD47" s="448">
        <f>((VLOOKUP("182",'Input BS ACCTS'!$A$5:$DH$1058,111,FALSE)+(VLOOKUP("186",'Input BS ACCTS'!$A$5:$DH$1058,111,FALSE)-VLOOKUP("1823040",'Input BS ACCTS'!$A$5:$DH$1058,111,FALSE)-VLOOKUP("1823070",'Input BS ACCTS'!$A$5:$DH$1058,111,FALSE)-VLOOKUP("1823071",'Input BS ACCTS'!$A$5:$DH$1058,111,FALSE)-VLOOKUP("1823102",'Input BS ACCTS'!$A$5:$DH$1058,111,FALSE)-VLOOKUP("1823105",'Input BS ACCTS'!$A$5:$DH$1058,111,FALSE)-VLOOKUP("1823205",'Input BS ACCTS'!$A$5:$DH$1058,111,FALSE)-VLOOKUP("1823202",'Input BS ACCTS'!$A$5:$DH$1058,111,FALSE)))/1000)</f>
        <v>51887.732459999999</v>
      </c>
      <c r="FE47" s="448">
        <f>((VLOOKUP("182",'Input BS ACCTS'!$A$5:$DH$1058,112,FALSE)+(VLOOKUP("186",'Input BS ACCTS'!$A$5:$DH$1058,112,FALSE)-VLOOKUP("1823040",'Input BS ACCTS'!$A$5:$DH$1058,112,FALSE)-VLOOKUP("1823070",'Input BS ACCTS'!$A$5:$DH$1058,112,FALSE)-VLOOKUP("1823071",'Input BS ACCTS'!$A$5:$DH$1058,112,FALSE)-VLOOKUP("1823102",'Input BS ACCTS'!$A$5:$DH$1058,112,FALSE)-VLOOKUP("1823105",'Input BS ACCTS'!$A$5:$DH$1058,112,FALSE)-VLOOKUP("1823205",'Input BS ACCTS'!$A$5:$DH$1058,112,FALSE)-VLOOKUP("1823202",'Input BS ACCTS'!$A$5:$DH$1058,112,FALSE)))/1000)</f>
        <v>59791.088340000002</v>
      </c>
      <c r="FF47" s="403">
        <f t="shared" si="70"/>
        <v>53798.058961538452</v>
      </c>
      <c r="FG47" s="700"/>
      <c r="FH47" s="700"/>
      <c r="FI47" s="441">
        <v>7499.049</v>
      </c>
      <c r="FJ47" s="441">
        <v>7507.5940000000001</v>
      </c>
      <c r="FK47" s="441">
        <v>7516.4219999999996</v>
      </c>
      <c r="FL47" s="441">
        <v>7337.6480000000001</v>
      </c>
      <c r="FM47" s="441">
        <v>7315.7370000000001</v>
      </c>
      <c r="FN47" s="441">
        <v>9912.9660000000003</v>
      </c>
      <c r="FO47" s="441">
        <v>9894.6209999999992</v>
      </c>
      <c r="FP47" s="441">
        <f>(+'Input BS ACCTS'!AO115+'Input BS ACCTS'!AO116)/1000</f>
        <v>9832.1970000000001</v>
      </c>
      <c r="FQ47" s="441">
        <f>(+'Input BS ACCTS'!AP115+'Input BS ACCTS'!AP116)/1000</f>
        <v>9803.0259999999998</v>
      </c>
      <c r="FR47" s="441">
        <f>(+'Input BS ACCTS'!AQ115+'Input BS ACCTS'!AQ116)/1000</f>
        <v>9774.2540000000008</v>
      </c>
      <c r="FS47" s="441">
        <f>(+'Input BS ACCTS'!AR115+'Input BS ACCTS'!AR116)/1000</f>
        <v>9745.8819999999996</v>
      </c>
      <c r="FT47" s="441">
        <f>(+'Input BS ACCTS'!AS115+'Input BS ACCTS'!AS116)/1000</f>
        <v>9717.4449999999997</v>
      </c>
      <c r="FU47" s="441">
        <f>(+'Input BS ACCTS'!AT115+'Input BS ACCTS'!AT116)/1000</f>
        <v>9688.9439999999995</v>
      </c>
      <c r="FV47" s="441">
        <f>(+'Input BS ACCTS'!AU115+'Input BS ACCTS'!AU116)/1000</f>
        <v>9660.3770000000004</v>
      </c>
      <c r="FW47" s="441">
        <f>(+'Input BS ACCTS'!AV115+'Input BS ACCTS'!AV116)/1000</f>
        <v>9631.7430000000004</v>
      </c>
      <c r="FX47" s="441">
        <f>(+'Input BS ACCTS'!AW115+'Input BS ACCTS'!AW116)/1000</f>
        <v>9603.0409999999993</v>
      </c>
      <c r="FY47" s="441">
        <f>(+'Input BS ACCTS'!AX115+'Input BS ACCTS'!AX116)/1000</f>
        <v>9574.2729999999992</v>
      </c>
      <c r="FZ47" s="441">
        <f>(+'Input BS ACCTS'!AY115+'Input BS ACCTS'!AY116)/1000</f>
        <v>9545.2729999999992</v>
      </c>
      <c r="GA47" s="441">
        <f>(+'Input BS ACCTS'!AZ115+'Input BS ACCTS'!AZ116)/1000</f>
        <v>9516.0390000000007</v>
      </c>
      <c r="GB47" s="441">
        <f>(+'Input BS ACCTS'!BA115+'Input BS ACCTS'!BA116)/1000</f>
        <v>9485.9050000000007</v>
      </c>
      <c r="GC47" s="441">
        <f>(+'Input BS ACCTS'!BB115+'Input BS ACCTS'!BB116)/1000</f>
        <v>9455.5280000000002</v>
      </c>
      <c r="GD47" s="441">
        <f>(+'Input BS ACCTS'!BC115+'Input BS ACCTS'!BC116)/1000</f>
        <v>9424.9069999999992</v>
      </c>
      <c r="GE47" s="441">
        <f>(+'Input BS ACCTS'!BD115+'Input BS ACCTS'!BD116)/1000</f>
        <v>9394.0370000000003</v>
      </c>
      <c r="GF47" s="441">
        <f>(+'Input BS ACCTS'!BE115+'Input BS ACCTS'!BE116)/1000</f>
        <v>9362.9169999999995</v>
      </c>
      <c r="GG47" s="441">
        <f>(+'Input BS ACCTS'!BF115+'Input BS ACCTS'!BF116)/1000</f>
        <v>9331.5400000000009</v>
      </c>
      <c r="GH47" s="441">
        <f>(+'Input BS ACCTS'!BG115+'Input BS ACCTS'!BG116)/1000</f>
        <v>9299.9159999999993</v>
      </c>
      <c r="GI47" s="441">
        <f>(+'Input BS ACCTS'!BH115+'Input BS ACCTS'!BH116)/1000</f>
        <v>9268.0349999999999</v>
      </c>
      <c r="GJ47" s="441">
        <f>(+'Input BS ACCTS'!BI115+'Input BS ACCTS'!BI116)/1000</f>
        <v>9235.8960000000006</v>
      </c>
      <c r="GK47" s="441">
        <f>(+'Input BS ACCTS'!BJ115+'Input BS ACCTS'!BJ116)/1000</f>
        <v>9203.4979999999996</v>
      </c>
      <c r="GL47" s="441">
        <f>(+'Input BS ACCTS'!BK115+'Input BS ACCTS'!BK116)/1000</f>
        <v>9170.8379999999997</v>
      </c>
      <c r="GM47" s="441">
        <f>(+'Input BS ACCTS'!BL115+'Input BS ACCTS'!BL116)/1000</f>
        <v>9137.9140000000007</v>
      </c>
      <c r="GN47" s="441">
        <f>(+'Input BS ACCTS'!BM115+'Input BS ACCTS'!BM116)/1000</f>
        <v>9104.0580000000009</v>
      </c>
      <c r="GO47" s="441">
        <f>(+'Input BS ACCTS'!BN115+'Input BS ACCTS'!BN116)/1000</f>
        <v>9069.9290000000001</v>
      </c>
      <c r="GP47" s="441">
        <f>(+'Input BS ACCTS'!BO115+'Input BS ACCTS'!BO116)/1000</f>
        <v>9035.5239999999994</v>
      </c>
      <c r="GQ47" s="441">
        <f>(+'Input BS ACCTS'!BP115+'Input BS ACCTS'!BP116)/1000</f>
        <v>9016.518</v>
      </c>
      <c r="GR47" s="441">
        <f>(+'Input BS ACCTS'!BQ115+'Input BS ACCTS'!BQ116)/1000</f>
        <v>8997.23</v>
      </c>
      <c r="GS47" s="441">
        <f>(+'Input BS ACCTS'!BR115+'Input BS ACCTS'!BR116)/1000</f>
        <v>8977.6579999999994</v>
      </c>
      <c r="GT47" s="441">
        <f>(+'Input BS ACCTS'!BS115+'Input BS ACCTS'!BS116)/1000</f>
        <v>8957.8019999999997</v>
      </c>
      <c r="GU47" s="441">
        <f>(+'Input BS ACCTS'!BT115+'Input BS ACCTS'!BT116)/1000</f>
        <v>8937.6579999999994</v>
      </c>
      <c r="GV47" s="441">
        <f>(+'Input BS ACCTS'!BU115+'Input BS ACCTS'!BU116)/1000</f>
        <v>8917.223</v>
      </c>
      <c r="GW47" s="441">
        <f>(+'Input BS ACCTS'!BV115+'Input BS ACCTS'!BV116)/1000</f>
        <v>8901.9770000000008</v>
      </c>
      <c r="GX47" s="441">
        <f>(+'Input BS ACCTS'!BW115+'Input BS ACCTS'!BW116)/1000</f>
        <v>8886.4359999999997</v>
      </c>
      <c r="GY47" s="441">
        <f>(+'Input BS ACCTS'!BX115+'Input BS ACCTS'!BX116)/1000</f>
        <v>8870.5969999999998</v>
      </c>
      <c r="GZ47" s="441">
        <f>(+'Input BS ACCTS'!BY115+'Input BS ACCTS'!BY116)/1000</f>
        <v>8853.7939999999999</v>
      </c>
      <c r="HA47" s="441">
        <f>(+'Input BS ACCTS'!BZ115+'Input BS ACCTS'!BZ116)/1000</f>
        <v>9669.0830000000005</v>
      </c>
      <c r="HB47" s="441">
        <f>(+'Input BS ACCTS'!CA115+'Input BS ACCTS'!CA116)/1000</f>
        <v>8819.2649999999994</v>
      </c>
      <c r="HC47" s="441">
        <f>(+'Input BS ACCTS'!CB115+'Input BS ACCTS'!CB116)/1000</f>
        <v>8801.5310000000009</v>
      </c>
      <c r="HD47" s="441">
        <f>(+'Input BS ACCTS'!CC115+'Input BS ACCTS'!CC116)/1000</f>
        <v>8783.61</v>
      </c>
      <c r="HE47" s="441">
        <f>(+'Input BS ACCTS'!CD115+'Input BS ACCTS'!CD116)/1000</f>
        <v>8765.5010000000002</v>
      </c>
      <c r="HF47" s="441">
        <f>(+'Input BS ACCTS'!CE115+'Input BS ACCTS'!CE116)/1000</f>
        <v>8747.2029999999995</v>
      </c>
      <c r="HG47" s="441">
        <f>(+'Input BS ACCTS'!CF115+'Input BS ACCTS'!CF116)/1000</f>
        <v>8728.7139999999999</v>
      </c>
      <c r="HH47" s="441">
        <f>(+'Input BS ACCTS'!CG115+'Input BS ACCTS'!CG116)/1000</f>
        <v>8710.0310000000009</v>
      </c>
      <c r="HI47" s="441">
        <f>(+'Input BS ACCTS'!CH115+'Input BS ACCTS'!CH116)/1000</f>
        <v>8691.1540000000005</v>
      </c>
      <c r="HJ47" s="441">
        <f>(+'Input BS ACCTS'!CI115+'Input BS ACCTS'!CI116)/1000</f>
        <v>8672.1290000000008</v>
      </c>
      <c r="HK47" s="441">
        <f>(+'Input BS ACCTS'!CJ115+'Input BS ACCTS'!CJ116)/1000</f>
        <v>8653.0640000000003</v>
      </c>
      <c r="HL47" s="441">
        <f>(+'Input BS ACCTS'!CK115+'Input BS ACCTS'!CK116)/1000</f>
        <v>8632.9570000000003</v>
      </c>
      <c r="HM47" s="441">
        <f>(+'Input BS ACCTS'!CL115+'Input BS ACCTS'!CL116)/1000</f>
        <v>8612.8029999999999</v>
      </c>
      <c r="HN47" s="441">
        <f>(+'Input BS ACCTS'!CM115+'Input BS ACCTS'!CM116)/1000</f>
        <v>8592.49</v>
      </c>
      <c r="HO47" s="441">
        <f>(+'Input BS ACCTS'!CN115+'Input BS ACCTS'!CN116)/1000</f>
        <v>8572.0130000000008</v>
      </c>
      <c r="HP47" s="441">
        <f>(+'Input BS ACCTS'!CO115+'Input BS ACCTS'!CO116)/1000</f>
        <v>8551.3729999999996</v>
      </c>
      <c r="HQ47" s="441">
        <f>(+'Input BS ACCTS'!CP115+'Input BS ACCTS'!CP116)/1000</f>
        <v>8530.5679999999993</v>
      </c>
      <c r="HR47" s="441">
        <f>(+'Input BS ACCTS'!CQ115+'Input BS ACCTS'!CQ116)/1000</f>
        <v>8509.5969999999998</v>
      </c>
      <c r="HS47" s="441">
        <f>(+'Input BS ACCTS'!CR115+'Input BS ACCTS'!CR116)/1000</f>
        <v>8488.4580000000005</v>
      </c>
      <c r="HT47" s="441">
        <f>(+'Input BS ACCTS'!CS115+'Input BS ACCTS'!CS116)/1000</f>
        <v>8467.1489999999994</v>
      </c>
      <c r="HU47" s="441">
        <f>(+'Input BS ACCTS'!CT115+'Input BS ACCTS'!CT116)/1000</f>
        <v>8445.67</v>
      </c>
      <c r="HV47" s="441">
        <f>(+'Input BS ACCTS'!CU115+'Input BS ACCTS'!CU116)/1000</f>
        <v>8424.02</v>
      </c>
      <c r="HW47" s="441">
        <f>(+'Input BS ACCTS'!CV115+'Input BS ACCTS'!CV116)/1000</f>
        <v>8402.1949999999997</v>
      </c>
      <c r="HX47" s="441">
        <f>(+'Input BS ACCTS'!CW115+'Input BS ACCTS'!CW116)/1000</f>
        <v>8379.5319999999992</v>
      </c>
      <c r="HY47" s="441">
        <f>(+'Input BS ACCTS'!CX115+'Input BS ACCTS'!CX116)/1000</f>
        <v>8356.69</v>
      </c>
      <c r="HZ47" s="441">
        <f>(+'Input BS ACCTS'!CY115+'Input BS ACCTS'!CY116)/1000</f>
        <v>6148.8720000000003</v>
      </c>
      <c r="IA47" s="441">
        <f>(+'Input BS ACCTS'!CZ115+'Input BS ACCTS'!CZ116)/1000</f>
        <v>6131.3980000000001</v>
      </c>
      <c r="IB47" s="441">
        <f>(+'Input BS ACCTS'!DA115+'Input BS ACCTS'!DA116)/1000</f>
        <v>6113.7839999999997</v>
      </c>
      <c r="IC47" s="441">
        <f>(+'Input BS ACCTS'!DB115+'Input BS ACCTS'!DB116)/1000</f>
        <v>6096.0290000000005</v>
      </c>
      <c r="ID47" s="441">
        <f>(+'Input BS ACCTS'!DC115+'Input BS ACCTS'!DC116)/1000</f>
        <v>0</v>
      </c>
      <c r="IE47" s="441">
        <f>(+'Input BS ACCTS'!DD115+'Input BS ACCTS'!DD116)/1000</f>
        <v>0</v>
      </c>
      <c r="IF47" s="441">
        <f>(+'Input BS ACCTS'!DE115+'Input BS ACCTS'!DE116)/1000</f>
        <v>0</v>
      </c>
      <c r="IG47" s="441">
        <f>(+'Input BS ACCTS'!DF115+'Input BS ACCTS'!DF116)/1000</f>
        <v>0</v>
      </c>
      <c r="IH47" s="441">
        <f>(+'Input BS ACCTS'!DG115+'Input BS ACCTS'!DG116)/1000</f>
        <v>0</v>
      </c>
      <c r="II47" s="441">
        <f>(+'Input BS ACCTS'!DH115+'Input BS ACCTS'!DH116)/1000</f>
        <v>0</v>
      </c>
      <c r="IJ47" s="447" t="s">
        <v>1685</v>
      </c>
      <c r="IK47" s="445" t="s">
        <v>1477</v>
      </c>
      <c r="IL47" s="191"/>
      <c r="IM47" s="35"/>
      <c r="IN47" s="35"/>
      <c r="IO47" s="35"/>
      <c r="IP47" s="35"/>
      <c r="IQ47" s="35"/>
      <c r="IR47" s="35"/>
      <c r="IS47" s="35"/>
      <c r="IT47" s="35"/>
      <c r="IU47" s="35"/>
      <c r="IV47" s="35"/>
      <c r="IW47" s="35"/>
      <c r="IX47" s="35"/>
      <c r="IY47" s="35"/>
    </row>
    <row r="48" spans="1:259">
      <c r="A48" s="686" t="s">
        <v>1830</v>
      </c>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87"/>
      <c r="AN48" s="187"/>
      <c r="AO48" s="187"/>
      <c r="AP48" s="187"/>
      <c r="AQ48" s="187"/>
      <c r="AR48" s="187"/>
      <c r="AS48" s="219"/>
      <c r="AT48" s="219"/>
      <c r="AU48" s="219"/>
      <c r="AV48" s="219"/>
      <c r="AW48" s="219"/>
      <c r="AX48" s="219"/>
      <c r="AY48" s="190"/>
      <c r="AZ48" s="190"/>
      <c r="BA48" s="351"/>
      <c r="BB48" s="351"/>
      <c r="BC48" s="351"/>
      <c r="BD48" s="351"/>
      <c r="BE48" s="351"/>
      <c r="BF48" s="351"/>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448"/>
      <c r="CF48" s="448"/>
      <c r="CG48" s="448"/>
      <c r="CH48" s="138"/>
      <c r="CI48" s="138"/>
      <c r="CJ48" s="138"/>
      <c r="CK48" s="138"/>
      <c r="CL48" s="138"/>
      <c r="CM48" s="138"/>
      <c r="CN48" s="138"/>
      <c r="CO48" s="138"/>
      <c r="CP48" s="138"/>
      <c r="CQ48" s="138"/>
      <c r="CR48" s="211">
        <v>0</v>
      </c>
      <c r="CS48" s="211">
        <v>644.17999999999995</v>
      </c>
      <c r="CT48" s="211">
        <v>1043.8399999999999</v>
      </c>
      <c r="CU48" s="211">
        <v>2243.0770000000002</v>
      </c>
      <c r="CV48" s="211">
        <v>2637.5909999999999</v>
      </c>
      <c r="CW48" s="211">
        <v>2498.4279999999999</v>
      </c>
      <c r="CX48" s="211">
        <v>1599.3420000000001</v>
      </c>
      <c r="CY48" s="211">
        <v>1232.539</v>
      </c>
      <c r="CZ48" s="211">
        <v>1526.2539999999999</v>
      </c>
      <c r="DA48" s="211">
        <v>2526.5859999999998</v>
      </c>
      <c r="DB48" s="211">
        <v>2276.018</v>
      </c>
      <c r="DC48" s="211">
        <v>2209.5439999999999</v>
      </c>
      <c r="DD48" s="211">
        <v>3301.2719999999999</v>
      </c>
      <c r="DE48" s="211">
        <v>3838.4580000000001</v>
      </c>
      <c r="DF48" s="211">
        <v>3615.23</v>
      </c>
      <c r="DG48" s="211">
        <v>4659.576</v>
      </c>
      <c r="DH48" s="211">
        <v>4538.8100000000004</v>
      </c>
      <c r="DI48" s="211">
        <v>4327.5010000000002</v>
      </c>
      <c r="DJ48" s="211">
        <v>3928.9780000000001</v>
      </c>
      <c r="DK48" s="211">
        <v>2604.221</v>
      </c>
      <c r="DL48" s="211">
        <v>1941.3720000000001</v>
      </c>
      <c r="DM48" s="211">
        <v>1695.605</v>
      </c>
      <c r="DN48" s="211">
        <v>1332.769</v>
      </c>
      <c r="DO48" s="211">
        <v>1894.2370000000001</v>
      </c>
      <c r="DP48" s="211">
        <v>2877.2060000000001</v>
      </c>
      <c r="DQ48" s="211">
        <v>3118.9749999999999</v>
      </c>
      <c r="DR48" s="211">
        <v>2922.4319999999998</v>
      </c>
      <c r="DS48" s="211">
        <v>3370.67</v>
      </c>
      <c r="DT48" s="211">
        <v>3465.7420000000002</v>
      </c>
      <c r="DU48" s="211">
        <v>3036.8220000000001</v>
      </c>
      <c r="DV48" s="211">
        <v>2633.6970000000001</v>
      </c>
      <c r="DW48" s="211">
        <v>1715.623</v>
      </c>
      <c r="DX48" s="211">
        <v>691.83600000000001</v>
      </c>
      <c r="DY48" s="211">
        <v>723.55700000000002</v>
      </c>
      <c r="DZ48" s="211">
        <v>748.01800000000003</v>
      </c>
      <c r="EA48" s="211">
        <v>833.63699999999994</v>
      </c>
      <c r="EB48" s="211">
        <v>867.66099999999994</v>
      </c>
      <c r="EC48" s="211">
        <v>1134.3910000000001</v>
      </c>
      <c r="ED48" s="211">
        <v>1694.7570000000001</v>
      </c>
      <c r="EE48" s="211">
        <v>2368.913</v>
      </c>
      <c r="EF48" s="211">
        <v>2272.665</v>
      </c>
      <c r="EG48" s="211">
        <v>1885.1020000000001</v>
      </c>
      <c r="EH48" s="211">
        <v>889.68399999999997</v>
      </c>
      <c r="EI48" s="211">
        <v>650.52</v>
      </c>
      <c r="EJ48" s="211">
        <v>483.07799999999997</v>
      </c>
      <c r="EK48" s="211">
        <v>194.67500000000001</v>
      </c>
      <c r="EL48" s="211">
        <v>88.787000000000006</v>
      </c>
      <c r="EM48" s="211">
        <v>5.1230000000000002</v>
      </c>
      <c r="EN48" s="211">
        <v>209.42</v>
      </c>
      <c r="EO48" s="211">
        <v>59.927</v>
      </c>
      <c r="EP48" s="211">
        <v>468.40600000000001</v>
      </c>
      <c r="EQ48" s="211">
        <v>764.14599999999996</v>
      </c>
      <c r="ER48" s="211">
        <v>808.83299999999997</v>
      </c>
      <c r="ES48" s="211">
        <v>601.75800000000004</v>
      </c>
      <c r="ET48" s="211">
        <v>0</v>
      </c>
      <c r="EU48" s="211">
        <v>0</v>
      </c>
      <c r="EV48" s="211">
        <v>0</v>
      </c>
      <c r="EW48" s="211">
        <v>0</v>
      </c>
      <c r="EX48" s="211">
        <v>0</v>
      </c>
      <c r="EY48" s="211">
        <v>0</v>
      </c>
      <c r="EZ48" s="211">
        <v>0</v>
      </c>
      <c r="FA48" s="211">
        <v>0</v>
      </c>
      <c r="FB48" s="211">
        <v>0</v>
      </c>
      <c r="FC48" s="211">
        <f>(VLOOKUP("1823040",'Input BS ACCTS'!$A$5:$DH$1058,110,FALSE)/1000)</f>
        <v>0</v>
      </c>
      <c r="FD48" s="211">
        <f>(VLOOKUP("1823040",'Input BS ACCTS'!$A$5:$DH$1058,111,FALSE)/1000)</f>
        <v>0</v>
      </c>
      <c r="FE48" s="211">
        <f>(VLOOKUP("1823040",'Input BS ACCTS'!$A$5:$DH$1058,112,FALSE)/1000)</f>
        <v>0</v>
      </c>
      <c r="FF48" s="403">
        <f t="shared" si="70"/>
        <v>46.289076923076927</v>
      </c>
      <c r="FG48" s="700"/>
      <c r="FH48" s="700"/>
      <c r="FI48" s="441"/>
      <c r="FJ48" s="441"/>
      <c r="FK48" s="441"/>
      <c r="FL48" s="441"/>
      <c r="FM48" s="687"/>
      <c r="FN48" s="687"/>
      <c r="FO48" s="687"/>
      <c r="FP48" s="687"/>
      <c r="FQ48" s="687"/>
      <c r="FR48" s="687"/>
      <c r="FS48" s="687"/>
      <c r="FT48" s="687"/>
      <c r="FU48" s="687"/>
      <c r="FV48" s="687"/>
      <c r="FW48" s="687"/>
      <c r="FX48" s="687"/>
      <c r="FY48" s="687"/>
      <c r="FZ48" s="687"/>
      <c r="GA48" s="687"/>
      <c r="GB48" s="687"/>
      <c r="GC48" s="687"/>
      <c r="GD48" s="687"/>
      <c r="GE48" s="687"/>
      <c r="GF48" s="687"/>
      <c r="GG48" s="687"/>
      <c r="GH48" s="687"/>
      <c r="GI48" s="687"/>
      <c r="GJ48" s="687"/>
      <c r="GK48" s="687"/>
      <c r="GL48" s="687"/>
      <c r="GM48" s="687"/>
      <c r="GN48" s="687"/>
      <c r="GO48" s="687"/>
      <c r="GP48" s="687"/>
      <c r="GQ48" s="687"/>
      <c r="GR48" s="687"/>
      <c r="GS48" s="687"/>
      <c r="GT48" s="687"/>
      <c r="GU48" s="687"/>
      <c r="GV48" s="687"/>
      <c r="GW48" s="687"/>
      <c r="GX48" s="687"/>
      <c r="GY48" s="687"/>
      <c r="GZ48" s="687"/>
      <c r="HA48" s="687"/>
      <c r="HB48" s="687"/>
      <c r="HC48" s="687"/>
      <c r="HD48" s="687"/>
      <c r="HE48" s="687"/>
      <c r="HF48" s="687"/>
      <c r="HG48" s="687"/>
      <c r="HH48" s="687"/>
      <c r="HI48" s="687"/>
      <c r="HJ48" s="687"/>
      <c r="HK48" s="687"/>
      <c r="HL48" s="687"/>
      <c r="HM48" s="687"/>
      <c r="HN48" s="687"/>
      <c r="HO48" s="687"/>
      <c r="HP48" s="687"/>
      <c r="HQ48" s="687"/>
      <c r="HR48" s="687"/>
      <c r="HS48" s="687"/>
      <c r="HT48" s="687"/>
      <c r="HU48" s="687"/>
      <c r="HV48" s="687"/>
      <c r="HW48" s="687"/>
      <c r="HX48" s="687"/>
      <c r="HY48" s="687"/>
      <c r="HZ48" s="687"/>
      <c r="IA48" s="687"/>
      <c r="IB48" s="687"/>
      <c r="IC48" s="687"/>
      <c r="ID48" s="687"/>
      <c r="IE48" s="687"/>
      <c r="IF48" s="687"/>
      <c r="IG48" s="687"/>
      <c r="IH48" s="687"/>
      <c r="II48" s="687"/>
      <c r="IJ48" s="116"/>
      <c r="IK48" s="688"/>
      <c r="IL48" s="226"/>
      <c r="IM48" s="52"/>
      <c r="IN48" s="52"/>
      <c r="IO48" s="35"/>
      <c r="IP48" s="35"/>
      <c r="IQ48" s="35"/>
      <c r="IR48" s="35"/>
      <c r="IS48" s="35"/>
      <c r="IT48" s="35"/>
      <c r="IU48" s="35"/>
      <c r="IV48" s="35"/>
      <c r="IW48" s="35"/>
      <c r="IX48" s="35"/>
      <c r="IY48" s="35"/>
    </row>
    <row r="49" spans="1:259">
      <c r="A49" s="686" t="s">
        <v>1831</v>
      </c>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87"/>
      <c r="AN49" s="187"/>
      <c r="AO49" s="187"/>
      <c r="AP49" s="187"/>
      <c r="AQ49" s="187"/>
      <c r="AR49" s="187"/>
      <c r="AS49" s="219"/>
      <c r="AT49" s="219"/>
      <c r="AU49" s="219"/>
      <c r="AV49" s="219"/>
      <c r="AW49" s="219"/>
      <c r="AX49" s="219"/>
      <c r="AY49" s="190"/>
      <c r="AZ49" s="190"/>
      <c r="BA49" s="351"/>
      <c r="BB49" s="351"/>
      <c r="BC49" s="351"/>
      <c r="BD49" s="351"/>
      <c r="BE49" s="351"/>
      <c r="BF49" s="351"/>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448"/>
      <c r="CF49" s="448"/>
      <c r="CG49" s="448"/>
      <c r="CH49" s="138"/>
      <c r="CI49" s="138"/>
      <c r="CJ49" s="138"/>
      <c r="CK49" s="138"/>
      <c r="CL49" s="138"/>
      <c r="CM49" s="138"/>
      <c r="CN49" s="138"/>
      <c r="CO49" s="138"/>
      <c r="CP49" s="138"/>
      <c r="CQ49" s="138"/>
      <c r="CR49" s="211">
        <v>0</v>
      </c>
      <c r="CS49" s="211">
        <v>0</v>
      </c>
      <c r="CT49" s="211">
        <v>20.891999999999999</v>
      </c>
      <c r="CU49" s="211">
        <v>374.99400000000003</v>
      </c>
      <c r="CV49" s="211">
        <v>691.18499999999995</v>
      </c>
      <c r="CW49" s="211">
        <v>1030.5519999999999</v>
      </c>
      <c r="CX49" s="211">
        <v>409.47899999999998</v>
      </c>
      <c r="CY49" s="211">
        <v>0</v>
      </c>
      <c r="CZ49" s="211">
        <v>0</v>
      </c>
      <c r="DA49" s="211">
        <v>0</v>
      </c>
      <c r="DB49" s="211">
        <v>0</v>
      </c>
      <c r="DC49" s="211">
        <v>0</v>
      </c>
      <c r="DD49" s="211">
        <v>0</v>
      </c>
      <c r="DE49" s="211">
        <v>0</v>
      </c>
      <c r="DF49" s="211">
        <v>0</v>
      </c>
      <c r="DG49" s="211">
        <v>0</v>
      </c>
      <c r="DH49" s="211">
        <v>0</v>
      </c>
      <c r="DI49" s="211">
        <v>0</v>
      </c>
      <c r="DJ49" s="211">
        <v>0</v>
      </c>
      <c r="DK49" s="211">
        <v>0</v>
      </c>
      <c r="DL49" s="211">
        <v>0</v>
      </c>
      <c r="DM49" s="211">
        <v>0</v>
      </c>
      <c r="DN49" s="211">
        <v>0</v>
      </c>
      <c r="DO49" s="211">
        <v>296.89600000000002</v>
      </c>
      <c r="DP49" s="211">
        <v>764.38</v>
      </c>
      <c r="DQ49" s="211">
        <v>1275.1410000000001</v>
      </c>
      <c r="DR49" s="211">
        <v>1795.596</v>
      </c>
      <c r="DS49" s="211">
        <v>2279.5509999999999</v>
      </c>
      <c r="DT49" s="211">
        <v>2772.7640000000001</v>
      </c>
      <c r="DU49" s="211">
        <v>3382.549</v>
      </c>
      <c r="DV49" s="211">
        <v>2748.2489999999998</v>
      </c>
      <c r="DW49" s="211">
        <v>2185.6979999999999</v>
      </c>
      <c r="DX49" s="211">
        <v>1786.204</v>
      </c>
      <c r="DY49" s="211">
        <v>1888.6959999999999</v>
      </c>
      <c r="DZ49" s="211">
        <v>2168.596</v>
      </c>
      <c r="EA49" s="211">
        <v>2473.6979999999999</v>
      </c>
      <c r="EB49" s="211">
        <v>2911.0990000000002</v>
      </c>
      <c r="EC49" s="211">
        <v>3383.4540000000002</v>
      </c>
      <c r="ED49" s="211">
        <v>3892.511</v>
      </c>
      <c r="EE49" s="211">
        <v>4349.6639999999998</v>
      </c>
      <c r="EF49" s="211">
        <v>4644.3119999999999</v>
      </c>
      <c r="EG49" s="211">
        <v>4581.2120000000004</v>
      </c>
      <c r="EH49" s="211">
        <v>3927.8789999999999</v>
      </c>
      <c r="EI49" s="211">
        <v>3358.08</v>
      </c>
      <c r="EJ49" s="211">
        <v>2895.96</v>
      </c>
      <c r="EK49" s="211">
        <v>2471.0880000000002</v>
      </c>
      <c r="EL49" s="211">
        <v>2144.0070000000001</v>
      </c>
      <c r="EM49" s="211">
        <v>1861.7829999999999</v>
      </c>
      <c r="EN49" s="211">
        <v>1609.829</v>
      </c>
      <c r="EO49" s="211">
        <v>1407.7550000000001</v>
      </c>
      <c r="EP49" s="211">
        <v>1200.758</v>
      </c>
      <c r="EQ49" s="211">
        <v>1033.527</v>
      </c>
      <c r="ER49" s="211">
        <v>837.17</v>
      </c>
      <c r="ES49" s="211">
        <v>563.79399999999998</v>
      </c>
      <c r="ET49" s="211">
        <v>359.09500000000003</v>
      </c>
      <c r="EU49" s="211">
        <v>131.72800000000001</v>
      </c>
      <c r="EV49" s="211">
        <v>4.6779999999999999</v>
      </c>
      <c r="EW49" s="211">
        <v>0</v>
      </c>
      <c r="EX49" s="211">
        <v>0</v>
      </c>
      <c r="EY49" s="211">
        <v>0</v>
      </c>
      <c r="EZ49" s="211">
        <v>0</v>
      </c>
      <c r="FA49" s="211">
        <v>0</v>
      </c>
      <c r="FB49" s="211">
        <v>318.93860999999998</v>
      </c>
      <c r="FC49" s="211">
        <f>(VLOOKUP("1823071",'Input BS ACCTS'!$A$5:$DH$1058,110,FALSE)/1000)</f>
        <v>426.78361000000001</v>
      </c>
      <c r="FD49" s="211">
        <f>(VLOOKUP("1823071",'Input BS ACCTS'!$A$5:$DH$1058,111,FALSE)/1000)</f>
        <v>525.66061000000002</v>
      </c>
      <c r="FE49" s="211">
        <f>(VLOOKUP("1823071",'Input BS ACCTS'!$A$5:$DH$1058,112,FALSE)/1000)</f>
        <v>845.04710999999998</v>
      </c>
      <c r="FF49" s="403">
        <f t="shared" si="70"/>
        <v>244.28653384615384</v>
      </c>
      <c r="FG49" s="700"/>
      <c r="FH49" s="700"/>
      <c r="FI49" s="441"/>
      <c r="FJ49" s="441"/>
      <c r="FK49" s="441"/>
      <c r="FL49" s="441"/>
      <c r="FM49" s="687"/>
      <c r="FN49" s="687"/>
      <c r="FO49" s="687"/>
      <c r="FP49" s="687"/>
      <c r="FQ49" s="687"/>
      <c r="FR49" s="687"/>
      <c r="FS49" s="687"/>
      <c r="FT49" s="687"/>
      <c r="FU49" s="687"/>
      <c r="FV49" s="687"/>
      <c r="FW49" s="687"/>
      <c r="FX49" s="687"/>
      <c r="FY49" s="687"/>
      <c r="FZ49" s="687"/>
      <c r="GA49" s="687"/>
      <c r="GB49" s="687"/>
      <c r="GC49" s="687"/>
      <c r="GD49" s="687"/>
      <c r="GE49" s="687"/>
      <c r="GF49" s="687"/>
      <c r="GG49" s="687"/>
      <c r="GH49" s="687"/>
      <c r="GI49" s="687"/>
      <c r="GJ49" s="687"/>
      <c r="GK49" s="687"/>
      <c r="GL49" s="687"/>
      <c r="GM49" s="687"/>
      <c r="GN49" s="687"/>
      <c r="GO49" s="687"/>
      <c r="GP49" s="687"/>
      <c r="GQ49" s="687"/>
      <c r="GR49" s="687"/>
      <c r="GS49" s="687"/>
      <c r="GT49" s="687"/>
      <c r="GU49" s="687"/>
      <c r="GV49" s="687"/>
      <c r="GW49" s="687"/>
      <c r="GX49" s="687"/>
      <c r="GY49" s="687"/>
      <c r="GZ49" s="687"/>
      <c r="HA49" s="687"/>
      <c r="HB49" s="687"/>
      <c r="HC49" s="687"/>
      <c r="HD49" s="687"/>
      <c r="HE49" s="687"/>
      <c r="HF49" s="687"/>
      <c r="HG49" s="687"/>
      <c r="HH49" s="687"/>
      <c r="HI49" s="687"/>
      <c r="HJ49" s="687"/>
      <c r="HK49" s="687"/>
      <c r="HL49" s="687"/>
      <c r="HM49" s="687"/>
      <c r="HN49" s="687"/>
      <c r="HO49" s="687"/>
      <c r="HP49" s="687"/>
      <c r="HQ49" s="687"/>
      <c r="HR49" s="687"/>
      <c r="HS49" s="687"/>
      <c r="HT49" s="687"/>
      <c r="HU49" s="687"/>
      <c r="HV49" s="687"/>
      <c r="HW49" s="687"/>
      <c r="HX49" s="687"/>
      <c r="HY49" s="687"/>
      <c r="HZ49" s="687"/>
      <c r="IA49" s="687"/>
      <c r="IB49" s="687"/>
      <c r="IC49" s="687"/>
      <c r="ID49" s="687"/>
      <c r="IE49" s="687"/>
      <c r="IF49" s="687"/>
      <c r="IG49" s="687"/>
      <c r="IH49" s="687"/>
      <c r="II49" s="687"/>
      <c r="IJ49" s="116"/>
      <c r="IK49" s="688"/>
      <c r="IL49" s="226"/>
      <c r="IM49" s="52"/>
      <c r="IN49" s="52"/>
      <c r="IO49" s="35"/>
      <c r="IP49" s="35"/>
      <c r="IQ49" s="35"/>
      <c r="IR49" s="35"/>
      <c r="IS49" s="35"/>
      <c r="IT49" s="35"/>
      <c r="IU49" s="35"/>
      <c r="IV49" s="35"/>
      <c r="IW49" s="35"/>
      <c r="IX49" s="35"/>
      <c r="IY49" s="35"/>
    </row>
    <row r="50" spans="1:259">
      <c r="A50" s="27" t="s">
        <v>251</v>
      </c>
      <c r="B50" s="107">
        <v>0</v>
      </c>
      <c r="C50" s="107">
        <v>0</v>
      </c>
      <c r="D50" s="107">
        <v>0</v>
      </c>
      <c r="E50" s="107">
        <v>0</v>
      </c>
      <c r="F50" s="107">
        <v>0</v>
      </c>
      <c r="G50" s="107">
        <v>0</v>
      </c>
      <c r="H50" s="107">
        <v>0</v>
      </c>
      <c r="I50" s="107">
        <v>0</v>
      </c>
      <c r="J50" s="107">
        <v>0</v>
      </c>
      <c r="K50" s="107">
        <v>0</v>
      </c>
      <c r="L50" s="107">
        <v>0</v>
      </c>
      <c r="M50" s="107">
        <v>0</v>
      </c>
      <c r="N50" s="107">
        <v>0</v>
      </c>
      <c r="O50" s="107">
        <v>0</v>
      </c>
      <c r="P50" s="107">
        <v>0</v>
      </c>
      <c r="Q50" s="107">
        <v>0</v>
      </c>
      <c r="R50" s="107">
        <v>0</v>
      </c>
      <c r="S50" s="107">
        <v>0</v>
      </c>
      <c r="T50" s="107">
        <v>0</v>
      </c>
      <c r="U50" s="107">
        <v>0</v>
      </c>
      <c r="V50" s="107">
        <v>0</v>
      </c>
      <c r="W50" s="107">
        <v>0</v>
      </c>
      <c r="X50" s="107">
        <v>0</v>
      </c>
      <c r="Y50" s="107">
        <v>0</v>
      </c>
      <c r="Z50" s="107">
        <v>0</v>
      </c>
      <c r="AA50" s="107">
        <v>0</v>
      </c>
      <c r="AB50" s="107">
        <v>0</v>
      </c>
      <c r="AC50" s="107">
        <v>0</v>
      </c>
      <c r="AD50" s="107">
        <v>0</v>
      </c>
      <c r="AE50" s="107">
        <v>0</v>
      </c>
      <c r="AF50" s="107">
        <v>0</v>
      </c>
      <c r="AG50" s="107"/>
      <c r="AH50" s="107"/>
      <c r="AI50" s="107">
        <v>0</v>
      </c>
      <c r="AJ50" s="107">
        <v>0</v>
      </c>
      <c r="AK50" s="107">
        <v>0</v>
      </c>
      <c r="AL50" s="107">
        <v>0</v>
      </c>
      <c r="AM50" s="187">
        <v>0</v>
      </c>
      <c r="AN50" s="187">
        <v>0</v>
      </c>
      <c r="AO50" s="187">
        <v>0</v>
      </c>
      <c r="AP50" s="187">
        <v>0</v>
      </c>
      <c r="AQ50" s="187">
        <v>0</v>
      </c>
      <c r="AR50" s="187">
        <v>0</v>
      </c>
      <c r="AS50" s="219">
        <v>0</v>
      </c>
      <c r="AT50" s="219">
        <v>0</v>
      </c>
      <c r="AU50" s="219">
        <v>0</v>
      </c>
      <c r="AV50" s="219">
        <v>0</v>
      </c>
      <c r="AW50" s="219">
        <v>0</v>
      </c>
      <c r="AX50" s="219">
        <v>0</v>
      </c>
      <c r="AY50" s="219">
        <v>0</v>
      </c>
      <c r="AZ50" s="219">
        <v>0</v>
      </c>
      <c r="BA50" s="352">
        <v>0</v>
      </c>
      <c r="BB50" s="352">
        <v>0</v>
      </c>
      <c r="BC50" s="352">
        <v>0</v>
      </c>
      <c r="BD50" s="352">
        <v>0</v>
      </c>
      <c r="BE50" s="352">
        <v>0</v>
      </c>
      <c r="BF50" s="352">
        <v>0</v>
      </c>
      <c r="BG50" s="219">
        <v>0</v>
      </c>
      <c r="BH50" s="219">
        <v>0</v>
      </c>
      <c r="BI50" s="219">
        <v>0</v>
      </c>
      <c r="BJ50" s="219">
        <v>0</v>
      </c>
      <c r="BK50" s="219">
        <v>0</v>
      </c>
      <c r="BL50" s="219">
        <v>0</v>
      </c>
      <c r="BM50" s="219">
        <v>0</v>
      </c>
      <c r="BN50" s="219">
        <v>0</v>
      </c>
      <c r="BO50" s="219">
        <v>0</v>
      </c>
      <c r="BP50" s="219">
        <v>0</v>
      </c>
      <c r="BQ50" s="219">
        <v>0</v>
      </c>
      <c r="BR50" s="219">
        <v>0</v>
      </c>
      <c r="BS50" s="219">
        <v>0</v>
      </c>
      <c r="BT50" s="219">
        <v>0</v>
      </c>
      <c r="BU50" s="219">
        <v>0</v>
      </c>
      <c r="BV50" s="219">
        <v>0</v>
      </c>
      <c r="BW50" s="219">
        <v>0</v>
      </c>
      <c r="BX50" s="219">
        <v>0</v>
      </c>
      <c r="BY50" s="219">
        <v>0</v>
      </c>
      <c r="BZ50" s="219">
        <v>0</v>
      </c>
      <c r="CA50" s="219">
        <v>0</v>
      </c>
      <c r="CB50" s="219">
        <v>0</v>
      </c>
      <c r="CC50" s="219">
        <v>0</v>
      </c>
      <c r="CD50" s="219">
        <v>0</v>
      </c>
      <c r="CE50" s="219">
        <v>0</v>
      </c>
      <c r="CF50" s="219">
        <v>0</v>
      </c>
      <c r="CG50" s="219">
        <v>0</v>
      </c>
      <c r="CH50" s="219">
        <v>0</v>
      </c>
      <c r="CI50" s="219">
        <v>0</v>
      </c>
      <c r="CJ50" s="219">
        <v>0</v>
      </c>
      <c r="CK50" s="219">
        <v>0</v>
      </c>
      <c r="CL50" s="219">
        <v>0</v>
      </c>
      <c r="CM50" s="219">
        <v>0</v>
      </c>
      <c r="CN50" s="219">
        <v>0</v>
      </c>
      <c r="CO50" s="219">
        <v>0</v>
      </c>
      <c r="CP50" s="219">
        <v>0</v>
      </c>
      <c r="CQ50" s="219">
        <v>0</v>
      </c>
      <c r="CR50" s="219">
        <v>0</v>
      </c>
      <c r="CS50" s="219">
        <v>0</v>
      </c>
      <c r="CT50" s="219">
        <v>0</v>
      </c>
      <c r="CU50" s="219">
        <v>0</v>
      </c>
      <c r="CV50" s="219">
        <v>0</v>
      </c>
      <c r="CW50" s="219">
        <v>0</v>
      </c>
      <c r="CX50" s="219">
        <v>0</v>
      </c>
      <c r="CY50" s="219">
        <v>0</v>
      </c>
      <c r="CZ50" s="219">
        <v>0</v>
      </c>
      <c r="DA50" s="219">
        <v>0</v>
      </c>
      <c r="DB50" s="219">
        <v>0</v>
      </c>
      <c r="DC50" s="219">
        <v>0</v>
      </c>
      <c r="DD50" s="219">
        <v>0</v>
      </c>
      <c r="DE50" s="219">
        <v>0</v>
      </c>
      <c r="DF50" s="219">
        <v>0</v>
      </c>
      <c r="DG50" s="219">
        <v>0</v>
      </c>
      <c r="DH50" s="219">
        <v>0</v>
      </c>
      <c r="DI50" s="219">
        <v>0</v>
      </c>
      <c r="DJ50" s="219">
        <v>0</v>
      </c>
      <c r="DK50" s="219">
        <v>0</v>
      </c>
      <c r="DL50" s="219">
        <v>0</v>
      </c>
      <c r="DM50" s="219">
        <v>0</v>
      </c>
      <c r="DN50" s="219">
        <v>0</v>
      </c>
      <c r="DO50" s="219">
        <v>0</v>
      </c>
      <c r="DP50" s="219">
        <v>0</v>
      </c>
      <c r="DQ50" s="219">
        <v>0</v>
      </c>
      <c r="DR50" s="219">
        <v>0</v>
      </c>
      <c r="DS50" s="219">
        <v>0</v>
      </c>
      <c r="DT50" s="219">
        <v>0</v>
      </c>
      <c r="DU50" s="219">
        <v>0</v>
      </c>
      <c r="DV50" s="219">
        <v>0</v>
      </c>
      <c r="DW50" s="219">
        <v>0</v>
      </c>
      <c r="DX50" s="219">
        <v>0</v>
      </c>
      <c r="DY50" s="219">
        <v>0</v>
      </c>
      <c r="DZ50" s="219">
        <v>0</v>
      </c>
      <c r="EA50" s="219">
        <v>0</v>
      </c>
      <c r="EB50" s="219">
        <v>0</v>
      </c>
      <c r="EC50" s="219">
        <v>0</v>
      </c>
      <c r="ED50" s="219">
        <v>0</v>
      </c>
      <c r="EE50" s="219">
        <v>0</v>
      </c>
      <c r="EF50" s="219">
        <v>0</v>
      </c>
      <c r="EG50" s="219">
        <v>0</v>
      </c>
      <c r="EH50" s="219">
        <v>0</v>
      </c>
      <c r="EI50" s="219">
        <v>0</v>
      </c>
      <c r="EJ50" s="219">
        <v>0</v>
      </c>
      <c r="EK50" s="219">
        <v>0</v>
      </c>
      <c r="EL50" s="219">
        <v>0</v>
      </c>
      <c r="EM50" s="219">
        <v>0</v>
      </c>
      <c r="EN50" s="219">
        <v>0</v>
      </c>
      <c r="EO50" s="219">
        <v>0</v>
      </c>
      <c r="EP50" s="219">
        <v>0</v>
      </c>
      <c r="EQ50" s="219">
        <v>0</v>
      </c>
      <c r="ER50" s="219">
        <v>0</v>
      </c>
      <c r="ES50" s="219">
        <v>0</v>
      </c>
      <c r="ET50" s="219">
        <v>0</v>
      </c>
      <c r="EU50" s="219">
        <v>0</v>
      </c>
      <c r="EV50" s="219">
        <v>0</v>
      </c>
      <c r="EW50" s="219">
        <v>0</v>
      </c>
      <c r="EX50" s="219">
        <v>0</v>
      </c>
      <c r="EY50" s="219">
        <v>0</v>
      </c>
      <c r="EZ50" s="219">
        <v>0</v>
      </c>
      <c r="FA50" s="219">
        <v>0</v>
      </c>
      <c r="FB50" s="219">
        <v>0</v>
      </c>
      <c r="FC50" s="219">
        <v>0</v>
      </c>
      <c r="FD50" s="219">
        <v>0</v>
      </c>
      <c r="FE50" s="219">
        <v>0</v>
      </c>
      <c r="FF50" s="403">
        <f t="shared" si="70"/>
        <v>0</v>
      </c>
      <c r="FG50" s="700"/>
      <c r="FH50" s="700"/>
      <c r="FM50" s="52"/>
      <c r="FN50" s="52"/>
      <c r="FO50" s="52"/>
      <c r="FP50" s="52"/>
      <c r="FQ50" s="52"/>
      <c r="FR50" s="52"/>
      <c r="FS50" s="52"/>
      <c r="FT50" s="52"/>
      <c r="FU50" s="52"/>
      <c r="FV50" s="52"/>
      <c r="FW50" s="52"/>
      <c r="FX50" s="52"/>
      <c r="FY50" s="52"/>
      <c r="FZ50" s="52"/>
      <c r="GA50" s="52"/>
      <c r="GB50" s="52"/>
      <c r="GC50" s="52"/>
      <c r="GD50" s="52"/>
      <c r="GE50" s="52"/>
      <c r="GF50" s="52"/>
      <c r="GG50" s="52"/>
      <c r="GH50" s="52"/>
      <c r="GI50" s="52"/>
      <c r="GJ50" s="52"/>
      <c r="GK50" s="52"/>
      <c r="GL50" s="52"/>
      <c r="GM50" s="52"/>
      <c r="GN50" s="52"/>
      <c r="GO50" s="52"/>
      <c r="GP50" s="52"/>
      <c r="GQ50" s="52"/>
      <c r="GR50" s="52"/>
      <c r="GS50" s="52"/>
      <c r="GT50" s="52"/>
      <c r="GU50" s="52"/>
      <c r="GV50" s="52"/>
      <c r="GW50" s="52"/>
      <c r="GX50" s="52"/>
      <c r="GY50" s="52"/>
      <c r="GZ50" s="52"/>
      <c r="HA50" s="52"/>
      <c r="HB50" s="52"/>
      <c r="HC50" s="52"/>
      <c r="HD50" s="52"/>
      <c r="HE50" s="52"/>
      <c r="HF50" s="52"/>
      <c r="HG50" s="52"/>
      <c r="HH50" s="52"/>
      <c r="HI50" s="52"/>
      <c r="HJ50" s="52"/>
      <c r="HK50" s="52"/>
      <c r="HL50" s="52"/>
      <c r="HM50" s="52"/>
      <c r="HN50" s="52"/>
      <c r="HO50" s="52"/>
      <c r="HP50" s="52"/>
      <c r="HQ50" s="52"/>
      <c r="HR50" s="52"/>
      <c r="HS50" s="52"/>
      <c r="HT50" s="52"/>
      <c r="HU50" s="52"/>
      <c r="HV50" s="52"/>
      <c r="HW50" s="52"/>
      <c r="HX50" s="52"/>
      <c r="HY50" s="52"/>
      <c r="HZ50" s="52"/>
      <c r="IA50" s="52"/>
      <c r="IB50" s="52"/>
      <c r="IC50" s="52"/>
      <c r="ID50" s="52"/>
      <c r="IE50" s="52"/>
      <c r="IF50" s="52"/>
      <c r="IG50" s="52"/>
      <c r="IH50" s="52"/>
      <c r="II50" s="52"/>
      <c r="IJ50" s="52"/>
      <c r="IK50" s="221"/>
      <c r="IL50" s="226"/>
      <c r="IM50" s="52"/>
      <c r="IN50" s="52"/>
      <c r="IO50" s="35"/>
      <c r="IP50" s="35"/>
      <c r="IQ50" s="35"/>
      <c r="IR50" s="35"/>
      <c r="IS50" s="35"/>
      <c r="IT50" s="35"/>
      <c r="IU50" s="35"/>
      <c r="IV50" s="35"/>
      <c r="IW50" s="35"/>
      <c r="IX50" s="35"/>
      <c r="IY50" s="35"/>
    </row>
    <row r="51" spans="1:259">
      <c r="A51" s="27" t="s">
        <v>2585</v>
      </c>
      <c r="B51" s="107">
        <v>627.45829000000003</v>
      </c>
      <c r="C51" s="107">
        <v>613.19829000000004</v>
      </c>
      <c r="D51" s="107">
        <v>598.93829000000005</v>
      </c>
      <c r="E51" s="107">
        <v>584.67829000000006</v>
      </c>
      <c r="F51" s="107">
        <v>570.41829000000007</v>
      </c>
      <c r="G51" s="107">
        <v>559.37629000000004</v>
      </c>
      <c r="H51" s="107">
        <v>541.89829000000009</v>
      </c>
      <c r="I51" s="107">
        <v>532.72629000000006</v>
      </c>
      <c r="J51" s="107">
        <v>513.37828999999999</v>
      </c>
      <c r="K51" s="107">
        <v>499.11829</v>
      </c>
      <c r="L51" s="107">
        <v>484.85828999999995</v>
      </c>
      <c r="M51" s="107">
        <v>470.59828999999996</v>
      </c>
      <c r="N51" s="107">
        <v>456.33828999999997</v>
      </c>
      <c r="O51" s="107">
        <v>442</v>
      </c>
      <c r="P51" s="107">
        <v>428</v>
      </c>
      <c r="Q51" s="107">
        <v>414</v>
      </c>
      <c r="R51" s="107">
        <v>399</v>
      </c>
      <c r="S51" s="107">
        <v>385</v>
      </c>
      <c r="T51" s="107">
        <v>371</v>
      </c>
      <c r="U51" s="107">
        <v>357</v>
      </c>
      <c r="V51" s="107">
        <v>342</v>
      </c>
      <c r="W51" s="107">
        <v>328</v>
      </c>
      <c r="X51" s="107">
        <v>314</v>
      </c>
      <c r="Y51" s="107">
        <v>299</v>
      </c>
      <c r="Z51" s="107">
        <v>285</v>
      </c>
      <c r="AA51" s="107">
        <v>271</v>
      </c>
      <c r="AB51" s="107">
        <v>257</v>
      </c>
      <c r="AC51" s="107">
        <v>242</v>
      </c>
      <c r="AD51" s="107">
        <v>228</v>
      </c>
      <c r="AE51" s="107">
        <v>214</v>
      </c>
      <c r="AF51" s="107">
        <v>200</v>
      </c>
      <c r="AG51" s="107">
        <v>185</v>
      </c>
      <c r="AH51" s="107">
        <v>171</v>
      </c>
      <c r="AI51" s="107">
        <v>156.86445999999998</v>
      </c>
      <c r="AJ51" s="107">
        <v>142.60404</v>
      </c>
      <c r="AK51" s="107">
        <v>128.34361999999999</v>
      </c>
      <c r="AL51" s="107">
        <v>114.08319999999999</v>
      </c>
      <c r="AM51" s="187">
        <v>99.822779999999995</v>
      </c>
      <c r="AN51" s="187">
        <v>85.562359999999998</v>
      </c>
      <c r="AO51" s="187">
        <v>71.301940000000002</v>
      </c>
      <c r="AP51" s="187">
        <v>57.041519999999998</v>
      </c>
      <c r="AQ51" s="187">
        <v>42.781099999999995</v>
      </c>
      <c r="AR51" s="187">
        <v>28.520679999999999</v>
      </c>
      <c r="AS51" s="219">
        <v>14.260260000000001</v>
      </c>
      <c r="AT51" s="219">
        <v>0</v>
      </c>
      <c r="AU51" s="219">
        <v>0</v>
      </c>
      <c r="AV51" s="219">
        <v>0</v>
      </c>
      <c r="AW51" s="219">
        <v>0</v>
      </c>
      <c r="AX51" s="219">
        <v>0</v>
      </c>
      <c r="AY51" s="178">
        <v>0</v>
      </c>
      <c r="AZ51" s="178">
        <v>0</v>
      </c>
      <c r="BA51" s="354">
        <v>0</v>
      </c>
      <c r="BB51" s="354">
        <v>0</v>
      </c>
      <c r="BC51" s="354">
        <v>0</v>
      </c>
      <c r="BD51" s="354">
        <v>0</v>
      </c>
      <c r="BE51" s="354">
        <v>0</v>
      </c>
      <c r="BF51" s="354">
        <v>0</v>
      </c>
      <c r="BG51" s="400">
        <v>0</v>
      </c>
      <c r="BH51" s="400">
        <v>0</v>
      </c>
      <c r="BI51" s="400">
        <v>0</v>
      </c>
      <c r="BJ51" s="400">
        <v>0</v>
      </c>
      <c r="BK51" s="400">
        <v>0</v>
      </c>
      <c r="BL51" s="400">
        <v>0</v>
      </c>
      <c r="BM51" s="400">
        <v>0</v>
      </c>
      <c r="BN51" s="400">
        <v>0</v>
      </c>
      <c r="BO51" s="400">
        <v>0</v>
      </c>
      <c r="BP51" s="400">
        <v>0</v>
      </c>
      <c r="BQ51" s="400">
        <v>0</v>
      </c>
      <c r="BR51" s="400">
        <v>0</v>
      </c>
      <c r="BS51" s="400">
        <v>0</v>
      </c>
      <c r="BT51" s="400">
        <v>0</v>
      </c>
      <c r="BU51" s="400">
        <v>0</v>
      </c>
      <c r="BV51" s="400">
        <v>0</v>
      </c>
      <c r="BW51" s="400">
        <v>0</v>
      </c>
      <c r="BX51" s="400">
        <v>0</v>
      </c>
      <c r="BY51" s="400">
        <v>0</v>
      </c>
      <c r="BZ51" s="400">
        <v>0</v>
      </c>
      <c r="CA51" s="400">
        <v>0</v>
      </c>
      <c r="CB51" s="400">
        <v>0</v>
      </c>
      <c r="CC51" s="400">
        <v>0</v>
      </c>
      <c r="CD51" s="400">
        <v>0</v>
      </c>
      <c r="CE51" s="400">
        <v>0</v>
      </c>
      <c r="CF51" s="400">
        <v>0</v>
      </c>
      <c r="CG51" s="400">
        <v>0</v>
      </c>
      <c r="CH51" s="400">
        <v>0</v>
      </c>
      <c r="CI51" s="400">
        <v>0</v>
      </c>
      <c r="CJ51" s="400">
        <v>0</v>
      </c>
      <c r="CK51" s="400">
        <v>0</v>
      </c>
      <c r="CL51" s="400">
        <v>0</v>
      </c>
      <c r="CM51" s="400">
        <v>0</v>
      </c>
      <c r="CN51" s="400">
        <v>0</v>
      </c>
      <c r="CO51" s="400">
        <v>0</v>
      </c>
      <c r="CP51" s="400">
        <v>0</v>
      </c>
      <c r="CQ51" s="400">
        <v>0</v>
      </c>
      <c r="CR51" s="400">
        <v>0</v>
      </c>
      <c r="CS51" s="400">
        <v>0</v>
      </c>
      <c r="CT51" s="400">
        <v>0</v>
      </c>
      <c r="CU51" s="400">
        <v>0</v>
      </c>
      <c r="CV51" s="400">
        <v>0</v>
      </c>
      <c r="CW51" s="400">
        <v>0</v>
      </c>
      <c r="CX51" s="400">
        <v>0</v>
      </c>
      <c r="CY51" s="400">
        <v>0</v>
      </c>
      <c r="CZ51" s="400">
        <v>0</v>
      </c>
      <c r="DA51" s="400">
        <v>0</v>
      </c>
      <c r="DB51" s="400">
        <v>0</v>
      </c>
      <c r="DC51" s="400">
        <v>0</v>
      </c>
      <c r="DD51" s="400">
        <v>0</v>
      </c>
      <c r="DE51" s="400">
        <v>0</v>
      </c>
      <c r="DF51" s="400">
        <v>0</v>
      </c>
      <c r="DG51" s="400">
        <v>0</v>
      </c>
      <c r="DH51" s="400">
        <v>0</v>
      </c>
      <c r="DI51" s="400">
        <v>0</v>
      </c>
      <c r="DJ51" s="400">
        <v>0</v>
      </c>
      <c r="DK51" s="400">
        <v>0</v>
      </c>
      <c r="DL51" s="400">
        <v>0</v>
      </c>
      <c r="DM51" s="400">
        <v>0</v>
      </c>
      <c r="DN51" s="400">
        <v>0</v>
      </c>
      <c r="DO51" s="400">
        <v>0</v>
      </c>
      <c r="DP51" s="400">
        <v>0</v>
      </c>
      <c r="DQ51" s="400">
        <v>0</v>
      </c>
      <c r="DR51" s="400">
        <v>0</v>
      </c>
      <c r="DS51" s="400">
        <v>0</v>
      </c>
      <c r="DT51" s="400">
        <v>0</v>
      </c>
      <c r="DU51" s="400">
        <v>0</v>
      </c>
      <c r="DV51" s="400">
        <v>0</v>
      </c>
      <c r="DW51" s="400">
        <v>0</v>
      </c>
      <c r="DX51" s="400">
        <v>0</v>
      </c>
      <c r="DY51" s="400">
        <v>0</v>
      </c>
      <c r="DZ51" s="400">
        <v>0</v>
      </c>
      <c r="EA51" s="400">
        <v>0</v>
      </c>
      <c r="EB51" s="400">
        <v>0</v>
      </c>
      <c r="EC51" s="400">
        <v>0</v>
      </c>
      <c r="ED51" s="400">
        <v>0</v>
      </c>
      <c r="EE51" s="400">
        <v>0</v>
      </c>
      <c r="EF51" s="400">
        <v>0</v>
      </c>
      <c r="EG51" s="400">
        <v>1230.44886</v>
      </c>
      <c r="EH51" s="400">
        <v>1224.81459</v>
      </c>
      <c r="EI51" s="400">
        <v>1190.2958899999999</v>
      </c>
      <c r="EJ51" s="400">
        <v>1155.32736</v>
      </c>
      <c r="EK51" s="400">
        <v>1120.31744</v>
      </c>
      <c r="EL51" s="400">
        <v>1093.98074</v>
      </c>
      <c r="EM51" s="400">
        <v>1058.6910399999999</v>
      </c>
      <c r="EN51" s="400">
        <v>1023.40134</v>
      </c>
      <c r="EO51" s="400">
        <v>988.11163999999997</v>
      </c>
      <c r="EP51" s="400">
        <v>952.82193999999993</v>
      </c>
      <c r="EQ51" s="400">
        <v>917.53224</v>
      </c>
      <c r="ER51" s="400">
        <v>882.24253999999996</v>
      </c>
      <c r="ES51" s="400">
        <v>846.95283999999992</v>
      </c>
      <c r="ET51" s="400">
        <v>811.66313999999988</v>
      </c>
      <c r="EU51" s="400">
        <v>776.37343999999996</v>
      </c>
      <c r="EV51" s="400">
        <v>741.08374000000003</v>
      </c>
      <c r="EW51" s="400">
        <v>705.79404</v>
      </c>
      <c r="EX51" s="400">
        <v>670.50433999999996</v>
      </c>
      <c r="EY51" s="400">
        <v>635.21463999999992</v>
      </c>
      <c r="EZ51" s="400">
        <v>599.92493999999999</v>
      </c>
      <c r="FA51" s="400">
        <v>564.63523999999995</v>
      </c>
      <c r="FB51" s="400">
        <v>529.34553999999991</v>
      </c>
      <c r="FC51" s="400">
        <f>(VLOOKUP("1823102",'Input BS ACCTS'!$A$5:$DH$1058,110,FALSE))/1000+(VLOOKUP("1823202",'Input BS ACCTS'!$A$5:$DH$1058,110,FALSE))/1000</f>
        <v>494.05583999999999</v>
      </c>
      <c r="FD51" s="400">
        <f>(VLOOKUP("1823102",'Input BS ACCTS'!$A$5:$DH$1058,111,FALSE))/1000+(VLOOKUP("1823202",'Input BS ACCTS'!$A$5:$DH$1058,111,FALSE))/1000</f>
        <v>458.76613999999995</v>
      </c>
      <c r="FE51" s="400">
        <f>(VLOOKUP("1823102",'Input BS ACCTS'!$A$5:$DH$1058,112,FALSE))/1000+(VLOOKUP("1823202",'Input BS ACCTS'!$A$5:$DH$1058,112,FALSE))/1000</f>
        <v>423.47641999999996</v>
      </c>
      <c r="FF51" s="403">
        <f t="shared" si="70"/>
        <v>635.21463846153847</v>
      </c>
      <c r="FG51" s="700"/>
      <c r="FH51" s="700"/>
      <c r="IJ51" s="35"/>
      <c r="IK51" s="221"/>
      <c r="IL51" s="191"/>
      <c r="IM51" s="35"/>
      <c r="IN51" s="35"/>
      <c r="IO51" s="35"/>
      <c r="IP51" s="35"/>
      <c r="IQ51" s="35"/>
      <c r="IR51" s="35"/>
      <c r="IS51" s="35"/>
      <c r="IT51" s="35"/>
      <c r="IU51" s="35"/>
      <c r="IV51" s="35"/>
      <c r="IW51" s="35"/>
      <c r="IX51" s="35"/>
      <c r="IY51" s="35"/>
    </row>
    <row r="52" spans="1:259">
      <c r="A52" s="117" t="s">
        <v>521</v>
      </c>
      <c r="B52" s="112">
        <v>-3438.4031600000003</v>
      </c>
      <c r="C52" s="112">
        <v>-277.88115999999997</v>
      </c>
      <c r="D52" s="112">
        <v>3775.9618399999999</v>
      </c>
      <c r="E52" s="112">
        <v>6649.1068399999995</v>
      </c>
      <c r="F52" s="112">
        <v>1480.0968400000002</v>
      </c>
      <c r="G52" s="112">
        <v>-562.57716000000005</v>
      </c>
      <c r="H52" s="112">
        <v>-7006.4071599999997</v>
      </c>
      <c r="I52" s="112">
        <v>-10183.22616</v>
      </c>
      <c r="J52" s="112">
        <v>-10698.70516</v>
      </c>
      <c r="K52" s="112">
        <v>-11038.274160000001</v>
      </c>
      <c r="L52" s="112">
        <v>-7506.0361600000006</v>
      </c>
      <c r="M52" s="112">
        <v>-9008.5761600000005</v>
      </c>
      <c r="N52" s="112">
        <v>-7442.4601600000005</v>
      </c>
      <c r="O52" s="121">
        <v>-664.00300000001153</v>
      </c>
      <c r="P52" s="121">
        <v>6315.9630000000034</v>
      </c>
      <c r="Q52" s="121">
        <v>10603.276840000004</v>
      </c>
      <c r="R52" s="121">
        <v>1036</v>
      </c>
      <c r="S52" s="121">
        <v>-4768</v>
      </c>
      <c r="T52" s="121">
        <v>-1891</v>
      </c>
      <c r="U52" s="140">
        <v>-2372.5179999999964</v>
      </c>
      <c r="V52" s="140">
        <v>-9368.4040000000095</v>
      </c>
      <c r="W52" s="140">
        <v>-10412.503000000012</v>
      </c>
      <c r="X52" s="140">
        <v>-10191.448999999993</v>
      </c>
      <c r="Y52" s="149">
        <v>-8488.23999</v>
      </c>
      <c r="Z52" s="149">
        <v>-7264.6000000000058</v>
      </c>
      <c r="AA52" s="149">
        <v>-3350.3976599999964</v>
      </c>
      <c r="AB52" s="149">
        <v>-72.217179999992254</v>
      </c>
      <c r="AC52" s="149">
        <v>-700</v>
      </c>
      <c r="AD52" s="149">
        <v>-3474.9510000000009</v>
      </c>
      <c r="AE52" s="149">
        <v>-833.47500000000582</v>
      </c>
      <c r="AF52" s="149">
        <v>43</v>
      </c>
      <c r="AG52" s="149">
        <v>303.28162999999523</v>
      </c>
      <c r="AH52" s="149">
        <v>-404.2669800000042</v>
      </c>
      <c r="AI52" s="149">
        <v>-358.11307999999821</v>
      </c>
      <c r="AJ52" s="149">
        <v>-1547.1483699999953</v>
      </c>
      <c r="AK52" s="149">
        <v>-2688.9853700000094</v>
      </c>
      <c r="AL52" s="149">
        <v>-2941</v>
      </c>
      <c r="AM52" s="149">
        <v>-1639</v>
      </c>
      <c r="AN52" s="149">
        <v>1254.0035999999818</v>
      </c>
      <c r="AO52" s="255">
        <v>1773.8144199999952</v>
      </c>
      <c r="AP52" s="256">
        <v>-366.72316999999748</v>
      </c>
      <c r="AQ52" s="256">
        <v>-215.96954999999434</v>
      </c>
      <c r="AR52" s="256">
        <v>-438.70205000000715</v>
      </c>
      <c r="AS52" s="219">
        <v>-4796.6526899999881</v>
      </c>
      <c r="AT52" s="219">
        <v>-4379.3465399999986</v>
      </c>
      <c r="AU52" s="219">
        <v>-4815.4747799999896</v>
      </c>
      <c r="AV52" s="219">
        <v>-3868.5467799999897</v>
      </c>
      <c r="AW52" s="219">
        <v>-3019.1824299999862</v>
      </c>
      <c r="AX52" s="219">
        <v>-2552.3837799999892</v>
      </c>
      <c r="AY52" s="178">
        <v>138.33722000000125</v>
      </c>
      <c r="AZ52" s="178">
        <v>3050.5392199999915</v>
      </c>
      <c r="BA52" s="330">
        <v>3028.97622</v>
      </c>
      <c r="BB52" s="330">
        <v>2328.3177000000001</v>
      </c>
      <c r="BC52" s="330">
        <v>-2690.3802999999998</v>
      </c>
      <c r="BD52" s="330">
        <v>-1871.1873000000001</v>
      </c>
      <c r="BE52" s="330">
        <v>-3825.4810600000001</v>
      </c>
      <c r="BF52" s="330">
        <v>-1871.3850600000001</v>
      </c>
      <c r="BG52" s="211">
        <v>-3731.5799900000002</v>
      </c>
      <c r="BH52" s="211">
        <v>-4495.6860399999996</v>
      </c>
      <c r="BI52" s="211">
        <v>-4685.3030399999998</v>
      </c>
      <c r="BJ52" s="211">
        <v>-4415.6190399999996</v>
      </c>
      <c r="BK52" s="211">
        <v>-2426.5390400000001</v>
      </c>
      <c r="BL52" s="211">
        <v>3262.1099599999998</v>
      </c>
      <c r="BM52" s="211">
        <v>822.72206000000006</v>
      </c>
      <c r="BN52" s="211">
        <v>0.39906000000000003</v>
      </c>
      <c r="BO52" s="211">
        <v>524.58106000000009</v>
      </c>
      <c r="BP52" s="211">
        <v>-1116.13194</v>
      </c>
      <c r="BQ52" s="211">
        <v>556.28506000000004</v>
      </c>
      <c r="BR52" s="211">
        <v>1052.61806</v>
      </c>
      <c r="BS52" s="211">
        <v>-1241.4639399999999</v>
      </c>
      <c r="BT52" s="211">
        <v>-106.14194000000001</v>
      </c>
      <c r="BU52" s="211">
        <v>-587.0299399999999</v>
      </c>
      <c r="BV52" s="211">
        <v>-165.11194</v>
      </c>
      <c r="BW52" s="211">
        <v>2251.20406</v>
      </c>
      <c r="BX52" s="211">
        <v>4566.4820599999994</v>
      </c>
      <c r="BY52" s="211">
        <v>4817.53107</v>
      </c>
      <c r="BZ52" s="211">
        <v>3876.6620699999999</v>
      </c>
      <c r="CA52" s="211">
        <v>-1124.46813</v>
      </c>
      <c r="CB52" s="211">
        <v>-2680.7141299999998</v>
      </c>
      <c r="CC52" s="211">
        <v>-3391.79513</v>
      </c>
      <c r="CD52" s="211">
        <v>-4918.1541299999999</v>
      </c>
      <c r="CE52" s="211">
        <v>-6825.0291299999999</v>
      </c>
      <c r="CF52" s="211">
        <v>-8051.7024599999995</v>
      </c>
      <c r="CG52" s="211">
        <v>-8821.9664600000015</v>
      </c>
      <c r="CH52" s="211">
        <v>-8283.9264600000006</v>
      </c>
      <c r="CI52" s="211">
        <v>-5545.72246</v>
      </c>
      <c r="CJ52" s="211">
        <v>-2658.0414599999999</v>
      </c>
      <c r="CK52" s="211">
        <v>-2176.6693999999998</v>
      </c>
      <c r="CL52" s="211">
        <v>-2642.3463999999999</v>
      </c>
      <c r="CM52" s="211">
        <v>-5804.9904100000003</v>
      </c>
      <c r="CN52" s="211">
        <v>-2294.8544100000004</v>
      </c>
      <c r="CO52" s="211">
        <v>-3251.3334100000002</v>
      </c>
      <c r="CP52" s="211">
        <v>-3259.4184100000002</v>
      </c>
      <c r="CQ52" s="211">
        <v>-2333.7824100000003</v>
      </c>
      <c r="CR52" s="211">
        <v>-1140.35977</v>
      </c>
      <c r="CS52" s="211">
        <v>62.853230000000003</v>
      </c>
      <c r="CT52" s="211">
        <v>-1125.28477</v>
      </c>
      <c r="CU52" s="211">
        <v>2293.4382300000002</v>
      </c>
      <c r="CV52" s="211">
        <v>3505.8082300000001</v>
      </c>
      <c r="CW52" s="211">
        <v>2834.6660699999998</v>
      </c>
      <c r="CX52" s="211">
        <v>-2384.06493</v>
      </c>
      <c r="CY52" s="211">
        <v>-8545.5559300000004</v>
      </c>
      <c r="CZ52" s="211">
        <v>-5868.12093</v>
      </c>
      <c r="DA52" s="211">
        <v>-9522.9779299999991</v>
      </c>
      <c r="DB52" s="211">
        <v>-9400.2139299999999</v>
      </c>
      <c r="DC52" s="211">
        <v>-9953.1939299999995</v>
      </c>
      <c r="DD52" s="211">
        <v>-10094.4262</v>
      </c>
      <c r="DE52" s="211">
        <v>-9688.2971999999991</v>
      </c>
      <c r="DF52" s="211">
        <v>-10202.183199999999</v>
      </c>
      <c r="DG52" s="211">
        <v>-7149.3702499999999</v>
      </c>
      <c r="DH52" s="211">
        <v>-834.98125000000005</v>
      </c>
      <c r="DI52" s="211">
        <v>2412.1773399999997</v>
      </c>
      <c r="DJ52" s="211">
        <v>629.81018999999992</v>
      </c>
      <c r="DK52" s="211">
        <v>-2764.29981</v>
      </c>
      <c r="DL52" s="211">
        <v>-3806.5178100000003</v>
      </c>
      <c r="DM52" s="211">
        <v>-6734.3098099999997</v>
      </c>
      <c r="DN52" s="211">
        <v>-9153.0648099999999</v>
      </c>
      <c r="DO52" s="211">
        <v>-10301.39481</v>
      </c>
      <c r="DP52" s="211">
        <v>-10461.658810000001</v>
      </c>
      <c r="DQ52" s="211">
        <v>-8902.0558099999998</v>
      </c>
      <c r="DR52" s="211">
        <v>-9455.8124700000008</v>
      </c>
      <c r="DS52" s="211">
        <v>-6835.5414700000001</v>
      </c>
      <c r="DT52" s="211">
        <v>-4507.6064699999997</v>
      </c>
      <c r="DU52" s="211">
        <v>-5610.4994699999997</v>
      </c>
      <c r="DV52" s="211">
        <v>-9000.5974700000006</v>
      </c>
      <c r="DW52" s="211">
        <v>-12085.26064</v>
      </c>
      <c r="DX52" s="211">
        <v>-13315.27664</v>
      </c>
      <c r="DY52" s="211">
        <v>-13955.91264</v>
      </c>
      <c r="DZ52" s="211">
        <v>-13419.80364</v>
      </c>
      <c r="EA52" s="211">
        <v>-14069.898640000001</v>
      </c>
      <c r="EB52" s="211">
        <v>-13486.354640000001</v>
      </c>
      <c r="EC52" s="211">
        <v>-10977.932640000001</v>
      </c>
      <c r="ED52" s="211">
        <v>-10183.908800000001</v>
      </c>
      <c r="EE52" s="211">
        <v>-6168.0937999999996</v>
      </c>
      <c r="EF52" s="211">
        <v>-2672.3439900000003</v>
      </c>
      <c r="EG52" s="211">
        <v>-1887.38102</v>
      </c>
      <c r="EH52" s="211">
        <v>-5514.3590199999999</v>
      </c>
      <c r="EI52" s="211">
        <v>-2984.17236</v>
      </c>
      <c r="EJ52" s="211">
        <v>-1677.6023600000001</v>
      </c>
      <c r="EK52" s="211">
        <v>-5499.4693600000001</v>
      </c>
      <c r="EL52" s="211">
        <v>-5895.4843600000004</v>
      </c>
      <c r="EM52" s="211">
        <v>-5154.9673600000006</v>
      </c>
      <c r="EN52" s="211">
        <v>-5465.9473600000001</v>
      </c>
      <c r="EO52" s="211">
        <v>-4455.3223600000001</v>
      </c>
      <c r="EP52" s="211">
        <v>-2979.20154</v>
      </c>
      <c r="EQ52" s="211">
        <v>4737.4064600000002</v>
      </c>
      <c r="ER52" s="211">
        <v>12530.13495</v>
      </c>
      <c r="ES52" s="211">
        <v>12048.953949999999</v>
      </c>
      <c r="ET52" s="211">
        <v>7487.2629500000003</v>
      </c>
      <c r="EU52" s="211">
        <v>2120.7769399999997</v>
      </c>
      <c r="EV52" s="211">
        <v>2683.9515000000001</v>
      </c>
      <c r="EW52" s="211">
        <v>-1958.6478</v>
      </c>
      <c r="EX52" s="211">
        <v>-376.23379999999997</v>
      </c>
      <c r="EY52" s="211">
        <v>-676.00280000000009</v>
      </c>
      <c r="EZ52" s="211">
        <v>-1437.7038</v>
      </c>
      <c r="FA52" s="211">
        <v>-5007.8992500000004</v>
      </c>
      <c r="FB52" s="211">
        <v>-10208.06142</v>
      </c>
      <c r="FC52" s="211">
        <f>(VLOOKUP("191",'Input BS ACCTS'!$A$5:$DH$1058,110,FALSE))/1000</f>
        <v>-13346.90742</v>
      </c>
      <c r="FD52" s="211">
        <f>(VLOOKUP("191",'Input BS ACCTS'!$A$5:$DH$1058,111,FALSE))/1000</f>
        <v>-3400.04342</v>
      </c>
      <c r="FE52" s="211">
        <f>(VLOOKUP("191",'Input BS ACCTS'!$A$5:$DH$1058,112,FALSE))/1000</f>
        <v>2081.8925800000002</v>
      </c>
      <c r="FF52" s="403">
        <f t="shared" si="70"/>
        <v>-768.35859923076919</v>
      </c>
      <c r="FG52" s="700"/>
      <c r="FH52" s="700"/>
      <c r="IJ52" s="35"/>
      <c r="IK52" s="218"/>
      <c r="IL52" s="191"/>
      <c r="IM52" s="35"/>
      <c r="IN52" s="35"/>
      <c r="IO52" s="35"/>
      <c r="IP52" s="35"/>
      <c r="IQ52" s="35"/>
      <c r="IR52" s="35"/>
      <c r="IS52" s="35"/>
      <c r="IT52" s="35"/>
      <c r="IU52" s="35"/>
      <c r="IV52" s="35"/>
      <c r="IW52" s="35"/>
      <c r="IX52" s="35"/>
      <c r="IY52" s="35"/>
    </row>
    <row r="53" spans="1:259">
      <c r="A53" s="118" t="s">
        <v>524</v>
      </c>
      <c r="B53" s="110">
        <v>8731.67</v>
      </c>
      <c r="C53" s="110">
        <v>11554.7</v>
      </c>
      <c r="D53" s="110">
        <v>13521.98</v>
      </c>
      <c r="E53" s="110">
        <v>7759.35</v>
      </c>
      <c r="F53" s="110">
        <v>8829.9699999999993</v>
      </c>
      <c r="G53" s="110">
        <v>8988.98</v>
      </c>
      <c r="H53" s="110">
        <v>12377.32</v>
      </c>
      <c r="I53" s="110">
        <v>10778.83</v>
      </c>
      <c r="J53" s="110">
        <v>8567.17</v>
      </c>
      <c r="K53" s="110">
        <v>7279.58</v>
      </c>
      <c r="L53" s="110">
        <v>6522.55</v>
      </c>
      <c r="M53" s="110">
        <v>10856.52</v>
      </c>
      <c r="N53" s="110">
        <v>12107.47</v>
      </c>
      <c r="O53" s="122">
        <v>11835.01</v>
      </c>
      <c r="P53" s="122">
        <v>10534.08</v>
      </c>
      <c r="Q53" s="122">
        <v>7883.63</v>
      </c>
      <c r="R53" s="122">
        <v>6119</v>
      </c>
      <c r="S53" s="122">
        <v>6341</v>
      </c>
      <c r="T53" s="122">
        <v>2376</v>
      </c>
      <c r="U53" s="122">
        <v>132.11500000000001</v>
      </c>
      <c r="V53" s="122">
        <v>346.94499999999999</v>
      </c>
      <c r="W53" s="122">
        <v>2750.2649999999999</v>
      </c>
      <c r="X53" s="122">
        <v>4460.5050000000001</v>
      </c>
      <c r="Y53" s="150">
        <v>4710.8850000000002</v>
      </c>
      <c r="Z53" s="150">
        <v>7331.1350000000002</v>
      </c>
      <c r="AA53" s="150">
        <v>7477.41</v>
      </c>
      <c r="AB53" s="150">
        <v>10935.28</v>
      </c>
      <c r="AC53" s="150">
        <v>14232.67</v>
      </c>
      <c r="AD53" s="150">
        <v>15205.951000000001</v>
      </c>
      <c r="AE53" s="150">
        <v>12426.475000000006</v>
      </c>
      <c r="AF53" s="150">
        <v>12237</v>
      </c>
      <c r="AG53" s="150">
        <v>10708.065000000001</v>
      </c>
      <c r="AH53" s="150">
        <v>9120.7350000000006</v>
      </c>
      <c r="AI53" s="150">
        <v>6823.3</v>
      </c>
      <c r="AJ53" s="150">
        <v>4973.55</v>
      </c>
      <c r="AK53" s="150">
        <v>6521.39</v>
      </c>
      <c r="AL53" s="150">
        <v>3570.7092699999916</v>
      </c>
      <c r="AM53" s="207">
        <v>2879.8349999999996</v>
      </c>
      <c r="AN53" s="207">
        <v>3476.73</v>
      </c>
      <c r="AO53" s="257">
        <v>4281.25</v>
      </c>
      <c r="AP53" s="258">
        <v>3100.915</v>
      </c>
      <c r="AQ53" s="258">
        <v>1453.645</v>
      </c>
      <c r="AR53" s="258">
        <v>103.03</v>
      </c>
      <c r="AS53" s="249">
        <v>44.1</v>
      </c>
      <c r="AT53" s="249">
        <v>184.9</v>
      </c>
      <c r="AU53" s="249">
        <v>1573.61</v>
      </c>
      <c r="AV53" s="249">
        <v>1917.0450000000001</v>
      </c>
      <c r="AW53" s="249">
        <v>1127.355</v>
      </c>
      <c r="AX53" s="249">
        <v>1557.98</v>
      </c>
      <c r="AY53" s="272">
        <v>2211.3150000000001</v>
      </c>
      <c r="AZ53" s="272">
        <v>503.84</v>
      </c>
      <c r="BA53" s="353">
        <v>35.685000000000002</v>
      </c>
      <c r="BB53" s="353">
        <v>16.835000000000001</v>
      </c>
      <c r="BC53" s="353">
        <v>11.185</v>
      </c>
      <c r="BD53" s="353">
        <v>18.489999999999998</v>
      </c>
      <c r="BE53" s="353">
        <v>0.8</v>
      </c>
      <c r="BF53" s="353">
        <v>87.69</v>
      </c>
      <c r="BG53" s="401">
        <v>187.64</v>
      </c>
      <c r="BH53" s="401">
        <v>3248.625</v>
      </c>
      <c r="BI53" s="401">
        <v>1525.8</v>
      </c>
      <c r="BJ53" s="401">
        <v>1617.85</v>
      </c>
      <c r="BK53" s="401">
        <v>3658.9</v>
      </c>
      <c r="BL53" s="401">
        <v>2703.12</v>
      </c>
      <c r="BM53" s="401">
        <v>8985.49</v>
      </c>
      <c r="BN53" s="401">
        <v>9064.9449999999997</v>
      </c>
      <c r="BO53" s="401">
        <v>7427.67</v>
      </c>
      <c r="BP53" s="401">
        <v>7222.0349999999999</v>
      </c>
      <c r="BQ53" s="401">
        <v>6292.5050000000001</v>
      </c>
      <c r="BR53" s="401">
        <v>6307.9449999999997</v>
      </c>
      <c r="BS53" s="401">
        <v>5194.335</v>
      </c>
      <c r="BT53" s="401">
        <v>5218.4449999999997</v>
      </c>
      <c r="BU53" s="401">
        <v>5549.665</v>
      </c>
      <c r="BV53" s="401">
        <v>6332.3649999999998</v>
      </c>
      <c r="BW53" s="401">
        <v>8044.0349999999999</v>
      </c>
      <c r="BX53" s="401">
        <v>8065.5349999999999</v>
      </c>
      <c r="BY53" s="401">
        <v>6345.9549999999999</v>
      </c>
      <c r="BZ53" s="401">
        <v>4883.1350000000002</v>
      </c>
      <c r="CA53" s="401">
        <v>5431.0450000000001</v>
      </c>
      <c r="CB53" s="401">
        <v>3452.55</v>
      </c>
      <c r="CC53" s="401">
        <v>1971.79</v>
      </c>
      <c r="CD53" s="401">
        <v>1688.615</v>
      </c>
      <c r="CE53" s="401">
        <v>343.60500000000002</v>
      </c>
      <c r="CF53" s="401">
        <v>334.97500000000002</v>
      </c>
      <c r="CG53" s="401">
        <v>323.42500000000001</v>
      </c>
      <c r="CH53" s="401">
        <v>404.26499999999999</v>
      </c>
      <c r="CI53" s="401">
        <v>408.51499999999999</v>
      </c>
      <c r="CJ53" s="401">
        <v>76.784999999999997</v>
      </c>
      <c r="CK53" s="401">
        <v>0</v>
      </c>
      <c r="CL53" s="401">
        <v>56.05</v>
      </c>
      <c r="CM53" s="401">
        <v>389.5</v>
      </c>
      <c r="CN53" s="401">
        <v>4.2350000000000003</v>
      </c>
      <c r="CO53" s="401">
        <v>0</v>
      </c>
      <c r="CP53" s="401">
        <v>3.92</v>
      </c>
      <c r="CQ53" s="401">
        <v>22.28</v>
      </c>
      <c r="CR53" s="401">
        <v>140.02500000000001</v>
      </c>
      <c r="CS53" s="401">
        <v>4.68</v>
      </c>
      <c r="CT53" s="401">
        <v>9.23</v>
      </c>
      <c r="CU53" s="401">
        <v>138.22499999999999</v>
      </c>
      <c r="CV53" s="401">
        <v>60.555</v>
      </c>
      <c r="CW53" s="401">
        <v>181.065</v>
      </c>
      <c r="CX53" s="401">
        <v>1.78</v>
      </c>
      <c r="CY53" s="401">
        <v>113.125</v>
      </c>
      <c r="CZ53" s="401">
        <v>32.645000000000003</v>
      </c>
      <c r="DA53" s="401">
        <v>25.69</v>
      </c>
      <c r="DB53" s="401">
        <v>0</v>
      </c>
      <c r="DC53" s="401">
        <v>0.28000000000000003</v>
      </c>
      <c r="DD53" s="401">
        <v>11.72</v>
      </c>
      <c r="DE53" s="401">
        <v>0</v>
      </c>
      <c r="DF53" s="401">
        <v>0</v>
      </c>
      <c r="DG53" s="401">
        <v>0</v>
      </c>
      <c r="DH53" s="401">
        <v>0</v>
      </c>
      <c r="DI53" s="401">
        <v>0</v>
      </c>
      <c r="DJ53" s="401">
        <v>0</v>
      </c>
      <c r="DK53" s="401">
        <v>0</v>
      </c>
      <c r="DL53" s="401">
        <v>0</v>
      </c>
      <c r="DM53" s="401">
        <v>0</v>
      </c>
      <c r="DN53" s="401">
        <v>0</v>
      </c>
      <c r="DO53" s="401">
        <v>0</v>
      </c>
      <c r="DP53" s="401">
        <v>0</v>
      </c>
      <c r="DQ53" s="401">
        <v>0</v>
      </c>
      <c r="DR53" s="401">
        <v>0</v>
      </c>
      <c r="DS53" s="401">
        <v>0</v>
      </c>
      <c r="DT53" s="401">
        <v>0</v>
      </c>
      <c r="DU53" s="401">
        <v>0</v>
      </c>
      <c r="DV53" s="401">
        <v>0</v>
      </c>
      <c r="DW53" s="401">
        <v>0</v>
      </c>
      <c r="DX53" s="401">
        <v>0</v>
      </c>
      <c r="DY53" s="401">
        <v>0</v>
      </c>
      <c r="DZ53" s="401">
        <v>0</v>
      </c>
      <c r="EA53" s="401">
        <v>0</v>
      </c>
      <c r="EB53" s="401">
        <v>0</v>
      </c>
      <c r="EC53" s="401">
        <v>0</v>
      </c>
      <c r="ED53" s="401">
        <v>0</v>
      </c>
      <c r="EE53" s="401">
        <v>0</v>
      </c>
      <c r="EF53" s="401">
        <v>0</v>
      </c>
      <c r="EG53" s="401">
        <v>0</v>
      </c>
      <c r="EH53" s="401">
        <v>0</v>
      </c>
      <c r="EI53" s="401">
        <v>0</v>
      </c>
      <c r="EJ53" s="401">
        <v>0</v>
      </c>
      <c r="EK53" s="401">
        <v>0</v>
      </c>
      <c r="EL53" s="401">
        <v>0</v>
      </c>
      <c r="EM53" s="401">
        <v>0</v>
      </c>
      <c r="EN53" s="401">
        <v>0</v>
      </c>
      <c r="EO53" s="401">
        <v>0</v>
      </c>
      <c r="EP53" s="401">
        <v>0</v>
      </c>
      <c r="EQ53" s="401">
        <v>0</v>
      </c>
      <c r="ER53" s="401">
        <v>0</v>
      </c>
      <c r="ES53" s="401">
        <v>0</v>
      </c>
      <c r="ET53" s="401">
        <v>0</v>
      </c>
      <c r="EU53" s="401">
        <v>0</v>
      </c>
      <c r="EV53" s="401">
        <v>0</v>
      </c>
      <c r="EW53" s="401">
        <v>0</v>
      </c>
      <c r="EX53" s="401">
        <v>0</v>
      </c>
      <c r="EY53" s="401">
        <v>0</v>
      </c>
      <c r="EZ53" s="401">
        <v>0</v>
      </c>
      <c r="FA53" s="401">
        <v>0</v>
      </c>
      <c r="FB53" s="401">
        <v>0</v>
      </c>
      <c r="FC53" s="401">
        <f>(VLOOKUP("1823105",'Input BS ACCTS'!$A$5:$DH$1058,110,FALSE)+VLOOKUP("1823205",'Input BS ACCTS'!$A$5:$DH$1058,110,FALSE))/1000</f>
        <v>0</v>
      </c>
      <c r="FD53" s="401">
        <f>(VLOOKUP("1823105",'Input BS ACCTS'!$A$5:$DH$1058,111,FALSE)+VLOOKUP("1823205",'Input BS ACCTS'!$A$5:$DH$1058,111,FALSE))/1000</f>
        <v>0</v>
      </c>
      <c r="FE53" s="401">
        <f>(VLOOKUP("1823105",'Input BS ACCTS'!$A$5:$DH$1058,112,FALSE)+VLOOKUP("1823205",'Input BS ACCTS'!$A$5:$DH$1058,112,FALSE))/1000</f>
        <v>0</v>
      </c>
      <c r="FF53" s="403">
        <f t="shared" si="70"/>
        <v>0</v>
      </c>
      <c r="FG53" s="700"/>
      <c r="FH53" s="700"/>
      <c r="IJ53" s="35"/>
      <c r="IK53" s="218"/>
      <c r="IL53" s="191"/>
      <c r="IM53" s="35"/>
      <c r="IN53" s="35"/>
      <c r="IO53" s="35"/>
      <c r="IP53" s="35"/>
      <c r="IQ53" s="35"/>
      <c r="IR53" s="35"/>
      <c r="IS53" s="35"/>
      <c r="IT53" s="35"/>
      <c r="IU53" s="35"/>
      <c r="IV53" s="35"/>
      <c r="IW53" s="35"/>
      <c r="IX53" s="35"/>
      <c r="IY53" s="35"/>
    </row>
    <row r="54" spans="1:259">
      <c r="A54" s="29" t="s">
        <v>254</v>
      </c>
      <c r="B54" s="111">
        <v>95110.855379999979</v>
      </c>
      <c r="C54" s="111">
        <v>102104.53937999999</v>
      </c>
      <c r="D54" s="111">
        <v>106665.81938</v>
      </c>
      <c r="E54" s="111">
        <v>110024.31438</v>
      </c>
      <c r="F54" s="111">
        <v>106739.12838000001</v>
      </c>
      <c r="G54" s="111">
        <v>105297.82638</v>
      </c>
      <c r="H54" s="111">
        <v>102413.57437999998</v>
      </c>
      <c r="I54" s="111">
        <v>101745.55637999999</v>
      </c>
      <c r="J54" s="111">
        <v>100957.34237999999</v>
      </c>
      <c r="K54" s="111">
        <v>103920.83338</v>
      </c>
      <c r="L54" s="111">
        <v>110072.47338000001</v>
      </c>
      <c r="M54" s="111">
        <v>118523.80537999999</v>
      </c>
      <c r="N54" s="111">
        <v>125797.07737999999</v>
      </c>
      <c r="O54" s="111">
        <v>116013.00699999998</v>
      </c>
      <c r="P54" s="111">
        <v>122757.04300000001</v>
      </c>
      <c r="Q54" s="111">
        <v>120577.90684000001</v>
      </c>
      <c r="R54" s="111">
        <v>103749</v>
      </c>
      <c r="S54" s="111">
        <v>98253</v>
      </c>
      <c r="T54" s="111">
        <v>96724</v>
      </c>
      <c r="U54" s="111">
        <v>91895.597000000009</v>
      </c>
      <c r="V54" s="111">
        <v>84935.540999999997</v>
      </c>
      <c r="W54" s="111">
        <v>82111.761999999988</v>
      </c>
      <c r="X54" s="111">
        <v>84491.056000000011</v>
      </c>
      <c r="Y54" s="111">
        <v>87334.645009999993</v>
      </c>
      <c r="Z54" s="111">
        <v>91095.534999999989</v>
      </c>
      <c r="AA54" s="111">
        <v>95080.012340000001</v>
      </c>
      <c r="AB54" s="111">
        <v>102822.06282000001</v>
      </c>
      <c r="AC54" s="111">
        <v>113659.67</v>
      </c>
      <c r="AD54" s="111">
        <v>116788</v>
      </c>
      <c r="AE54" s="111">
        <v>115734</v>
      </c>
      <c r="AF54" s="111">
        <v>115763</v>
      </c>
      <c r="AG54" s="111">
        <v>113945.34663</v>
      </c>
      <c r="AH54" s="111">
        <v>111616.46802</v>
      </c>
      <c r="AI54" s="111">
        <v>111147.31242000002</v>
      </c>
      <c r="AJ54" s="111">
        <v>107130.66502</v>
      </c>
      <c r="AK54" s="111">
        <v>108505.45214999998</v>
      </c>
      <c r="AL54" s="111">
        <v>103405.58065999998</v>
      </c>
      <c r="AM54" s="111">
        <v>105578.36094000001</v>
      </c>
      <c r="AN54" s="111">
        <v>109290.92675999997</v>
      </c>
      <c r="AO54" s="111">
        <v>122915.89439</v>
      </c>
      <c r="AP54" s="111">
        <v>119205.35422000004</v>
      </c>
      <c r="AQ54" s="111">
        <v>117101.41822000001</v>
      </c>
      <c r="AR54" s="111">
        <v>114330.31599999999</v>
      </c>
      <c r="AS54" s="111">
        <v>110353.51811000002</v>
      </c>
      <c r="AT54" s="111">
        <v>110436.33924999999</v>
      </c>
      <c r="AU54" s="111">
        <v>110971.12892000003</v>
      </c>
      <c r="AV54" s="111">
        <v>112787.66317000001</v>
      </c>
      <c r="AW54" s="111">
        <v>112887.60007000001</v>
      </c>
      <c r="AX54" s="111">
        <v>113187.86462000001</v>
      </c>
      <c r="AY54" s="111">
        <v>116952.14152000002</v>
      </c>
      <c r="AZ54" s="111">
        <v>117421.39043999997</v>
      </c>
      <c r="BA54" s="111">
        <v>108268.60247</v>
      </c>
      <c r="BB54" s="111">
        <v>107551.01139</v>
      </c>
      <c r="BC54" s="111">
        <v>102971.35231</v>
      </c>
      <c r="BD54" s="111">
        <v>101032.60107</v>
      </c>
      <c r="BE54" s="111">
        <v>101026.92551</v>
      </c>
      <c r="BF54" s="111">
        <v>103464.1578</v>
      </c>
      <c r="BG54" s="111">
        <v>99387.233569999997</v>
      </c>
      <c r="BH54" s="111">
        <v>103754.80113000001</v>
      </c>
      <c r="BI54" s="111">
        <v>102390.88385</v>
      </c>
      <c r="BJ54" s="111">
        <v>100727.98504</v>
      </c>
      <c r="BK54" s="111">
        <v>106071.74092999999</v>
      </c>
      <c r="BL54" s="111">
        <v>108310.50813999999</v>
      </c>
      <c r="BM54" s="111">
        <v>119214.80356000001</v>
      </c>
      <c r="BN54" s="111">
        <v>119076.42022</v>
      </c>
      <c r="BO54" s="111">
        <v>116525.32638</v>
      </c>
      <c r="BP54" s="111">
        <v>115793.97783999999</v>
      </c>
      <c r="BQ54" s="111">
        <v>114843.08347999999</v>
      </c>
      <c r="BR54" s="111">
        <v>115691.42903</v>
      </c>
      <c r="BS54" s="111">
        <v>110645.25612999999</v>
      </c>
      <c r="BT54" s="111">
        <v>111965.93682999999</v>
      </c>
      <c r="BU54" s="111">
        <v>112504.74422000001</v>
      </c>
      <c r="BV54" s="111">
        <v>113226.59524000001</v>
      </c>
      <c r="BW54" s="111">
        <v>121024.78371999999</v>
      </c>
      <c r="BX54" s="111">
        <v>124067.37509999999</v>
      </c>
      <c r="BY54" s="111">
        <v>133060.23928999997</v>
      </c>
      <c r="BZ54" s="111">
        <v>130445.03073</v>
      </c>
      <c r="CA54" s="111">
        <v>125770.08315999999</v>
      </c>
      <c r="CB54" s="111">
        <v>121506.69812000002</v>
      </c>
      <c r="CC54" s="111">
        <v>118877.76796999999</v>
      </c>
      <c r="CD54" s="111">
        <v>117112.15916000001</v>
      </c>
      <c r="CE54" s="111">
        <v>112908.67307</v>
      </c>
      <c r="CF54" s="111">
        <v>111771.22185</v>
      </c>
      <c r="CG54" s="111">
        <v>111526.73342000002</v>
      </c>
      <c r="CH54" s="111">
        <v>124052.69936</v>
      </c>
      <c r="CI54" s="111">
        <v>126855.34350999998</v>
      </c>
      <c r="CJ54" s="111">
        <v>129355.59572</v>
      </c>
      <c r="CK54" s="111">
        <v>115480.18128999999</v>
      </c>
      <c r="CL54" s="111">
        <f t="shared" ref="CL54:CW54" si="71">SUM(CL44:CL53)</f>
        <v>117595.90716</v>
      </c>
      <c r="CM54" s="111">
        <f t="shared" si="71"/>
        <v>112671.16764000001</v>
      </c>
      <c r="CN54" s="111">
        <f t="shared" si="71"/>
        <v>114454.63258000002</v>
      </c>
      <c r="CO54" s="111">
        <f t="shared" si="71"/>
        <v>113380.26432</v>
      </c>
      <c r="CP54" s="111">
        <f t="shared" si="71"/>
        <v>112969.34354</v>
      </c>
      <c r="CQ54" s="111">
        <f t="shared" si="71"/>
        <v>114854.58638000001</v>
      </c>
      <c r="CR54" s="111">
        <f t="shared" si="71"/>
        <v>115962.55045</v>
      </c>
      <c r="CS54" s="111">
        <f t="shared" si="71"/>
        <v>117782.65563999998</v>
      </c>
      <c r="CT54" s="111">
        <f t="shared" si="71"/>
        <v>118062.60464999999</v>
      </c>
      <c r="CU54" s="111">
        <f t="shared" si="71"/>
        <v>122738.35031000001</v>
      </c>
      <c r="CV54" s="111">
        <f t="shared" si="71"/>
        <v>124324.21917999997</v>
      </c>
      <c r="CW54" s="111">
        <f t="shared" si="71"/>
        <v>120684.17943999999</v>
      </c>
      <c r="CX54" s="111">
        <f t="shared" ref="CX54:DC54" si="72">SUM(CX44:CX53)</f>
        <v>114436.39966000002</v>
      </c>
      <c r="CY54" s="111">
        <f t="shared" si="72"/>
        <v>107619.80021999999</v>
      </c>
      <c r="CZ54" s="111">
        <f t="shared" si="72"/>
        <v>106087.43987</v>
      </c>
      <c r="DA54" s="111">
        <f t="shared" si="72"/>
        <v>103994.10926</v>
      </c>
      <c r="DB54" s="111">
        <f t="shared" si="72"/>
        <v>104063.14856999999</v>
      </c>
      <c r="DC54" s="111">
        <f t="shared" si="72"/>
        <v>103767.25976999999</v>
      </c>
      <c r="DD54" s="111">
        <f t="shared" ref="DD54:DI54" si="73">SUM(DD44:DD53)</f>
        <v>105150.92490999999</v>
      </c>
      <c r="DE54" s="111">
        <f t="shared" si="73"/>
        <v>106768.50816</v>
      </c>
      <c r="DF54" s="111">
        <f t="shared" si="73"/>
        <v>100437.79409</v>
      </c>
      <c r="DG54" s="111">
        <f t="shared" si="73"/>
        <v>105745.54045</v>
      </c>
      <c r="DH54" s="111">
        <f t="shared" si="73"/>
        <v>114007.86962</v>
      </c>
      <c r="DI54" s="111">
        <f t="shared" si="73"/>
        <v>120624.33461000001</v>
      </c>
      <c r="DJ54" s="111">
        <f t="shared" ref="DJ54:DP54" si="74">SUM(DJ44:DJ53)</f>
        <v>118469.22069</v>
      </c>
      <c r="DK54" s="111">
        <f t="shared" si="74"/>
        <v>113741.87184000001</v>
      </c>
      <c r="DL54" s="111">
        <f t="shared" si="74"/>
        <v>112331.76964</v>
      </c>
      <c r="DM54" s="111">
        <f t="shared" si="74"/>
        <v>109780.8317</v>
      </c>
      <c r="DN54" s="111">
        <f t="shared" si="74"/>
        <v>107684.84142999999</v>
      </c>
      <c r="DO54" s="111">
        <f t="shared" si="74"/>
        <v>107606.25763999998</v>
      </c>
      <c r="DP54" s="111">
        <f t="shared" si="74"/>
        <v>109428.92073000001</v>
      </c>
      <c r="DQ54" s="111">
        <f t="shared" ref="DQ54:DX54" si="75">SUM(DQ44:DQ53)</f>
        <v>112278.93780000001</v>
      </c>
      <c r="DR54" s="111">
        <f t="shared" si="75"/>
        <v>112579.82223000001</v>
      </c>
      <c r="DS54" s="111">
        <f t="shared" si="75"/>
        <v>116495.56875000002</v>
      </c>
      <c r="DT54" s="111">
        <f t="shared" si="75"/>
        <v>120515.90647</v>
      </c>
      <c r="DU54" s="111">
        <f t="shared" si="75"/>
        <v>112640.84417</v>
      </c>
      <c r="DV54" s="111">
        <f t="shared" si="75"/>
        <v>108754.65049</v>
      </c>
      <c r="DW54" s="111">
        <f t="shared" si="75"/>
        <v>103483.52286000003</v>
      </c>
      <c r="DX54" s="111">
        <f t="shared" si="75"/>
        <v>101056.84251999999</v>
      </c>
      <c r="DY54" s="111">
        <f t="shared" ref="DY54:ED54" si="76">SUM(DY44:DY53)</f>
        <v>101101.36022</v>
      </c>
      <c r="DZ54" s="111">
        <f t="shared" si="76"/>
        <v>102814.69624000002</v>
      </c>
      <c r="EA54" s="111">
        <f t="shared" si="76"/>
        <v>102607.67090000001</v>
      </c>
      <c r="EB54" s="111">
        <f t="shared" si="76"/>
        <v>104172.48450999999</v>
      </c>
      <c r="EC54" s="111">
        <f t="shared" si="76"/>
        <v>108629.54023</v>
      </c>
      <c r="ED54" s="111">
        <f t="shared" si="76"/>
        <v>111752.12089999999</v>
      </c>
      <c r="EE54" s="111">
        <f t="shared" ref="EE54:EJ54" si="77">SUM(EE44:EE53)</f>
        <v>116880.39949999998</v>
      </c>
      <c r="EF54" s="111">
        <f t="shared" si="77"/>
        <v>121527.55162</v>
      </c>
      <c r="EG54" s="111">
        <f t="shared" si="77"/>
        <v>128481.71492000001</v>
      </c>
      <c r="EH54" s="111">
        <f t="shared" si="77"/>
        <v>123437.80124</v>
      </c>
      <c r="EI54" s="111">
        <f t="shared" si="77"/>
        <v>126528.97064</v>
      </c>
      <c r="EJ54" s="111">
        <f t="shared" si="77"/>
        <v>127612.31348</v>
      </c>
      <c r="EK54" s="111">
        <f t="shared" ref="EK54:EP54" si="78">SUM(EK44:EK53)</f>
        <v>123561.25693</v>
      </c>
      <c r="EL54" s="111">
        <f t="shared" si="78"/>
        <v>124218.55222999999</v>
      </c>
      <c r="EM54" s="111">
        <f t="shared" si="78"/>
        <v>124839.13046000001</v>
      </c>
      <c r="EN54" s="111">
        <f t="shared" si="78"/>
        <v>125825.86316999998</v>
      </c>
      <c r="EO54" s="111">
        <f t="shared" si="78"/>
        <v>126778.94393999998</v>
      </c>
      <c r="EP54" s="111">
        <f t="shared" si="78"/>
        <v>126597.09943</v>
      </c>
      <c r="EQ54" s="111">
        <f t="shared" ref="EQ54:FF54" si="79">SUM(EQ44:EQ53)</f>
        <v>134079.96959000002</v>
      </c>
      <c r="ER54" s="111">
        <f t="shared" si="79"/>
        <v>143166.69583000001</v>
      </c>
      <c r="ES54" s="111">
        <f t="shared" si="79"/>
        <v>131918.05197</v>
      </c>
      <c r="ET54" s="111">
        <f t="shared" si="79"/>
        <v>126869.85533000001</v>
      </c>
      <c r="EU54" s="111">
        <f t="shared" si="79"/>
        <v>122121.94236</v>
      </c>
      <c r="EV54" s="111">
        <f t="shared" si="79"/>
        <v>119805.92714999999</v>
      </c>
      <c r="EW54" s="111">
        <f t="shared" ref="EW54:EY54" si="80">SUM(EW44:EW53)</f>
        <v>115684.83433</v>
      </c>
      <c r="EX54" s="111">
        <f t="shared" si="80"/>
        <v>118114.78925999999</v>
      </c>
      <c r="EY54" s="111">
        <f t="shared" si="80"/>
        <v>115725.42049000002</v>
      </c>
      <c r="EZ54" s="111">
        <f t="shared" ref="EZ54:FB54" si="81">SUM(EZ44:EZ53)</f>
        <v>115461.36217999998</v>
      </c>
      <c r="FA54" s="111">
        <f t="shared" si="81"/>
        <v>111774.32590000001</v>
      </c>
      <c r="FB54" s="111">
        <f t="shared" si="81"/>
        <v>106876.81979999998</v>
      </c>
      <c r="FC54" s="111">
        <f t="shared" ref="FC54:FE54" si="82">SUM(FC44:FC53)</f>
        <v>103435.27242999998</v>
      </c>
      <c r="FD54" s="111">
        <f t="shared" si="82"/>
        <v>114005.10216000001</v>
      </c>
      <c r="FE54" s="111">
        <f t="shared" si="82"/>
        <v>129831.35788000001</v>
      </c>
      <c r="FF54" s="360">
        <f t="shared" si="79"/>
        <v>117817.31240307692</v>
      </c>
      <c r="FG54" s="111"/>
      <c r="FH54" s="111"/>
      <c r="IJ54" s="35"/>
      <c r="IK54" s="220"/>
      <c r="IL54" s="191"/>
      <c r="IM54" s="35"/>
      <c r="IN54" s="35"/>
      <c r="IO54" s="35"/>
      <c r="IP54" s="35"/>
      <c r="IQ54" s="35"/>
      <c r="IR54" s="35"/>
      <c r="IS54" s="35"/>
      <c r="IT54" s="35"/>
      <c r="IU54" s="35"/>
      <c r="IV54" s="35"/>
      <c r="IW54" s="35"/>
      <c r="IX54" s="35"/>
      <c r="IY54" s="35"/>
    </row>
    <row r="55" spans="1:259" s="53" customFormat="1">
      <c r="A55" s="30"/>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c r="AD55" s="113"/>
      <c r="AE55" s="113"/>
      <c r="AF55" s="113"/>
      <c r="AG55" s="113"/>
      <c r="AH55" s="113"/>
      <c r="AI55" s="113"/>
      <c r="AJ55" s="113"/>
      <c r="AK55" s="113"/>
      <c r="AL55" s="113"/>
      <c r="AM55" s="113"/>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3"/>
      <c r="BQ55" s="113"/>
      <c r="BR55" s="113"/>
      <c r="BS55" s="113"/>
      <c r="BT55" s="113"/>
      <c r="BU55" s="113"/>
      <c r="BV55" s="113"/>
      <c r="BW55" s="113"/>
      <c r="BX55" s="113"/>
      <c r="BY55" s="113"/>
      <c r="BZ55" s="113"/>
      <c r="CA55" s="113"/>
      <c r="CB55" s="113"/>
      <c r="CC55" s="113"/>
      <c r="CD55" s="113"/>
      <c r="CE55" s="113"/>
      <c r="CF55" s="113"/>
      <c r="CG55" s="113"/>
      <c r="CH55" s="113"/>
      <c r="CI55" s="113"/>
      <c r="CJ55" s="113"/>
      <c r="CK55" s="113"/>
      <c r="CL55" s="113"/>
      <c r="CM55" s="113"/>
      <c r="CN55" s="113"/>
      <c r="CO55" s="113"/>
      <c r="CP55" s="113"/>
      <c r="CQ55" s="113"/>
      <c r="CR55" s="113"/>
      <c r="CS55" s="113"/>
      <c r="CT55" s="113"/>
      <c r="CU55" s="113"/>
      <c r="CV55" s="113"/>
      <c r="CW55" s="113"/>
      <c r="CX55" s="113"/>
      <c r="CY55" s="113"/>
      <c r="CZ55" s="113"/>
      <c r="DA55" s="113"/>
      <c r="DB55" s="113"/>
      <c r="DC55" s="113"/>
      <c r="DD55" s="113"/>
      <c r="DE55" s="113"/>
      <c r="DF55" s="113"/>
      <c r="DG55" s="113"/>
      <c r="DH55" s="113"/>
      <c r="DI55" s="113"/>
      <c r="DJ55" s="113"/>
      <c r="DK55" s="113"/>
      <c r="DL55" s="113"/>
      <c r="DM55" s="113"/>
      <c r="DN55" s="113"/>
      <c r="DO55" s="113"/>
      <c r="DP55" s="113"/>
      <c r="DQ55" s="113"/>
      <c r="DR55" s="113"/>
      <c r="DS55" s="113"/>
      <c r="DT55" s="113"/>
      <c r="DU55" s="113"/>
      <c r="DV55" s="113"/>
      <c r="DW55" s="113"/>
      <c r="DX55" s="113"/>
      <c r="DY55" s="113"/>
      <c r="DZ55" s="113"/>
      <c r="EA55" s="113"/>
      <c r="EB55" s="113"/>
      <c r="EC55" s="113"/>
      <c r="ED55" s="113"/>
      <c r="EE55" s="113"/>
      <c r="EF55" s="113"/>
      <c r="EG55" s="113"/>
      <c r="EH55" s="113"/>
      <c r="EI55" s="113"/>
      <c r="EJ55" s="113"/>
      <c r="EK55" s="113"/>
      <c r="EL55" s="113"/>
      <c r="EM55" s="113"/>
      <c r="EN55" s="113"/>
      <c r="EO55" s="113"/>
      <c r="EP55" s="113"/>
      <c r="EQ55" s="113"/>
      <c r="ER55" s="113"/>
      <c r="ES55" s="113"/>
      <c r="ET55" s="113"/>
      <c r="EU55" s="113"/>
      <c r="EV55" s="113"/>
      <c r="EW55" s="113"/>
      <c r="EX55" s="113"/>
      <c r="EY55" s="113"/>
      <c r="EZ55" s="113"/>
      <c r="FA55" s="113"/>
      <c r="FB55" s="113"/>
      <c r="FC55" s="113"/>
      <c r="FD55" s="113"/>
      <c r="FE55" s="113"/>
      <c r="FF55" s="113"/>
      <c r="FG55" s="113"/>
      <c r="FH55" s="113"/>
      <c r="FI55" s="35"/>
      <c r="FJ55" s="35"/>
      <c r="FK55" s="35"/>
      <c r="FL55" s="35"/>
      <c r="FM55" s="35"/>
      <c r="FN55" s="35"/>
      <c r="FO55" s="35"/>
      <c r="FP55" s="35"/>
      <c r="FQ55" s="35"/>
      <c r="FR55" s="35"/>
      <c r="FS55" s="35"/>
      <c r="FT55" s="35"/>
      <c r="FU55" s="35"/>
      <c r="FV55" s="35"/>
      <c r="FW55" s="35"/>
      <c r="FX55" s="35"/>
      <c r="FY55" s="35"/>
      <c r="FZ55" s="35"/>
      <c r="GA55" s="35"/>
      <c r="GB55" s="35"/>
      <c r="GC55" s="35"/>
      <c r="GD55" s="35"/>
      <c r="GE55" s="35"/>
      <c r="GF55" s="35"/>
      <c r="GG55" s="35"/>
      <c r="GH55" s="35"/>
      <c r="GI55" s="35"/>
      <c r="GJ55" s="35"/>
      <c r="GK55" s="35"/>
      <c r="GL55" s="35"/>
      <c r="GM55" s="35"/>
      <c r="GN55" s="35"/>
      <c r="GO55" s="35"/>
      <c r="GP55" s="35"/>
      <c r="GQ55" s="35"/>
      <c r="GR55" s="35"/>
      <c r="GS55" s="35"/>
      <c r="GT55" s="35"/>
      <c r="GU55" s="35"/>
      <c r="GV55" s="35"/>
      <c r="GW55" s="35"/>
      <c r="GX55" s="35"/>
      <c r="GY55" s="35"/>
      <c r="GZ55" s="35"/>
      <c r="HA55" s="35"/>
      <c r="HB55" s="35"/>
      <c r="HC55" s="35"/>
      <c r="HD55" s="35"/>
      <c r="HE55" s="35"/>
      <c r="HF55" s="35"/>
      <c r="HG55" s="35"/>
      <c r="HH55" s="35"/>
      <c r="HI55" s="35"/>
      <c r="HJ55" s="35"/>
      <c r="HK55" s="35"/>
      <c r="HL55" s="35"/>
      <c r="HM55" s="35"/>
      <c r="HN55" s="35"/>
      <c r="HO55" s="35"/>
      <c r="HP55" s="35"/>
      <c r="HQ55" s="35"/>
      <c r="HR55" s="35"/>
      <c r="HS55" s="35"/>
      <c r="HT55" s="35"/>
      <c r="HU55" s="35"/>
      <c r="HV55" s="35"/>
      <c r="HW55" s="35"/>
      <c r="HX55" s="35"/>
      <c r="HY55" s="35"/>
      <c r="HZ55" s="35"/>
      <c r="IA55" s="35"/>
      <c r="IB55" s="35"/>
      <c r="IC55" s="35"/>
      <c r="ID55" s="35"/>
      <c r="IE55" s="35"/>
      <c r="IF55" s="35"/>
      <c r="IG55" s="35"/>
      <c r="IH55" s="35"/>
      <c r="II55" s="35"/>
      <c r="IJ55" s="35"/>
      <c r="IK55" s="222"/>
      <c r="IL55" s="191"/>
      <c r="IM55" s="35"/>
      <c r="IN55" s="35"/>
      <c r="IO55" s="35"/>
      <c r="IP55" s="35"/>
      <c r="IQ55" s="35"/>
      <c r="IR55" s="35"/>
      <c r="IS55" s="35"/>
      <c r="IT55" s="35"/>
      <c r="IU55" s="35"/>
      <c r="IV55" s="35"/>
      <c r="IW55" s="35"/>
      <c r="IX55" s="35"/>
      <c r="IY55" s="35"/>
    </row>
    <row r="56" spans="1:259" ht="13.5" thickBot="1">
      <c r="A56" s="29" t="s">
        <v>255</v>
      </c>
      <c r="B56" s="114">
        <v>732136.63368999993</v>
      </c>
      <c r="C56" s="114">
        <v>753437.99468999996</v>
      </c>
      <c r="D56" s="114">
        <v>738108.01269000012</v>
      </c>
      <c r="E56" s="114">
        <v>757947.87469000008</v>
      </c>
      <c r="F56" s="114">
        <v>774206.03568999993</v>
      </c>
      <c r="G56" s="114">
        <v>767850.61668999994</v>
      </c>
      <c r="H56" s="114">
        <v>787097.81368999998</v>
      </c>
      <c r="I56" s="114">
        <v>767194.13269</v>
      </c>
      <c r="J56" s="114">
        <v>750048.96168999979</v>
      </c>
      <c r="K56" s="114">
        <v>746946.19968999992</v>
      </c>
      <c r="L56" s="114">
        <v>751584.88269</v>
      </c>
      <c r="M56" s="114">
        <v>753516.5986899999</v>
      </c>
      <c r="N56" s="114">
        <v>764001.42668999999</v>
      </c>
      <c r="O56" s="114">
        <v>756017.00699999998</v>
      </c>
      <c r="P56" s="114">
        <v>754021.04300000006</v>
      </c>
      <c r="Q56" s="114">
        <v>785191.90684000007</v>
      </c>
      <c r="R56" s="114">
        <v>782917</v>
      </c>
      <c r="S56" s="114">
        <v>774415</v>
      </c>
      <c r="T56" s="114">
        <v>779055</v>
      </c>
      <c r="U56" s="114">
        <v>770396.59700000007</v>
      </c>
      <c r="V56" s="114">
        <v>759212.54099999997</v>
      </c>
      <c r="W56" s="114">
        <v>743395.76199999999</v>
      </c>
      <c r="X56" s="114">
        <v>741222.05599999998</v>
      </c>
      <c r="Y56" s="114">
        <v>734561.64500999998</v>
      </c>
      <c r="Z56" s="114">
        <v>745554.53500000003</v>
      </c>
      <c r="AA56" s="114">
        <v>748297.01234000002</v>
      </c>
      <c r="AB56" s="114">
        <v>751863.06281999999</v>
      </c>
      <c r="AC56" s="114">
        <v>793456.43988000008</v>
      </c>
      <c r="AD56" s="114">
        <v>814021.89700000011</v>
      </c>
      <c r="AE56" s="114">
        <v>807522</v>
      </c>
      <c r="AF56" s="114">
        <v>816558.42140999995</v>
      </c>
      <c r="AG56" s="114">
        <v>815865.34663000004</v>
      </c>
      <c r="AH56" s="114">
        <v>810040.46802000003</v>
      </c>
      <c r="AI56" s="114">
        <v>828739.50385999994</v>
      </c>
      <c r="AJ56" s="114">
        <v>839266.10551999998</v>
      </c>
      <c r="AK56" s="114">
        <v>812479.57125000004</v>
      </c>
      <c r="AL56" s="114">
        <v>823160.60380000016</v>
      </c>
      <c r="AM56" s="114">
        <v>831978.81398999994</v>
      </c>
      <c r="AN56" s="114">
        <v>831387.13845999935</v>
      </c>
      <c r="AO56" s="114">
        <v>852462.26173000003</v>
      </c>
      <c r="AP56" s="114">
        <v>848912.69047000003</v>
      </c>
      <c r="AQ56" s="114">
        <v>845222.77669000009</v>
      </c>
      <c r="AR56" s="114">
        <v>853483.6614900002</v>
      </c>
      <c r="AS56" s="114">
        <v>855460.99614000006</v>
      </c>
      <c r="AT56" s="114">
        <v>854246.58372999984</v>
      </c>
      <c r="AU56" s="114">
        <v>849347.29793999996</v>
      </c>
      <c r="AV56" s="114">
        <v>847699.70388000016</v>
      </c>
      <c r="AW56" s="114">
        <v>840027.83071999985</v>
      </c>
      <c r="AX56" s="114">
        <v>847523.03612000018</v>
      </c>
      <c r="AY56" s="114">
        <v>850838.0125500001</v>
      </c>
      <c r="AZ56" s="114">
        <v>849780.70192999998</v>
      </c>
      <c r="BA56" s="114">
        <v>856468.89259000018</v>
      </c>
      <c r="BB56" s="114">
        <v>870114.43599999999</v>
      </c>
      <c r="BC56" s="114">
        <v>867599.27324000013</v>
      </c>
      <c r="BD56" s="114">
        <v>863255.61109000002</v>
      </c>
      <c r="BE56" s="114">
        <v>862453.56843999994</v>
      </c>
      <c r="BF56" s="114">
        <v>878003.33444999985</v>
      </c>
      <c r="BG56" s="114">
        <v>863922.89253000019</v>
      </c>
      <c r="BH56" s="114">
        <v>864346.02322999993</v>
      </c>
      <c r="BI56" s="114">
        <v>863074.2195799998</v>
      </c>
      <c r="BJ56" s="114">
        <v>862527.22998000006</v>
      </c>
      <c r="BK56" s="114">
        <v>870316.99988999974</v>
      </c>
      <c r="BL56" s="114">
        <v>876086.28480999987</v>
      </c>
      <c r="BM56" s="114">
        <v>914627.86423000006</v>
      </c>
      <c r="BN56" s="114">
        <v>909311.27175000031</v>
      </c>
      <c r="BO56" s="114">
        <v>909859.05848000001</v>
      </c>
      <c r="BP56" s="114">
        <v>915951.59245</v>
      </c>
      <c r="BQ56" s="114">
        <v>913073.54204000044</v>
      </c>
      <c r="BR56" s="114">
        <v>927907.38038000022</v>
      </c>
      <c r="BS56" s="114">
        <v>919594.86877000029</v>
      </c>
      <c r="BT56" s="114">
        <v>924202.7306100002</v>
      </c>
      <c r="BU56" s="114">
        <v>930172.78902999987</v>
      </c>
      <c r="BV56" s="114">
        <v>929778.41236000007</v>
      </c>
      <c r="BW56" s="114">
        <v>940120.19267000025</v>
      </c>
      <c r="BX56" s="114">
        <v>944592.09980999993</v>
      </c>
      <c r="BY56" s="114">
        <v>967348.66900000011</v>
      </c>
      <c r="BZ56" s="114">
        <v>961821.77744000009</v>
      </c>
      <c r="CA56" s="114">
        <v>966484.87622000009</v>
      </c>
      <c r="CB56" s="114">
        <v>977169.93616000027</v>
      </c>
      <c r="CC56" s="114">
        <v>978701.2419100001</v>
      </c>
      <c r="CD56" s="114">
        <v>962582.35757000011</v>
      </c>
      <c r="CE56" s="114">
        <v>959913.11365000019</v>
      </c>
      <c r="CF56" s="114">
        <v>966577.89016000007</v>
      </c>
      <c r="CG56" s="114">
        <v>967349.22284000018</v>
      </c>
      <c r="CH56" s="114">
        <v>983591.04563999979</v>
      </c>
      <c r="CI56" s="114">
        <v>993184.64677999984</v>
      </c>
      <c r="CJ56" s="114">
        <v>996109.79933999968</v>
      </c>
      <c r="CK56" s="114">
        <v>1019086.0026499999</v>
      </c>
      <c r="CL56" s="114">
        <f>CL16+CL21+CL41+CL54</f>
        <v>1027437.3379499998</v>
      </c>
      <c r="CM56" s="114">
        <f>CM16+CM21+CM41+CM54</f>
        <v>1035745.0914100002</v>
      </c>
      <c r="CN56" s="114">
        <f>CN16+CN21+CN41+CN54</f>
        <v>1036332.5189799999</v>
      </c>
      <c r="CO56" s="114">
        <v>1046983.3606000002</v>
      </c>
      <c r="CP56" s="114">
        <v>1052134.9567800001</v>
      </c>
      <c r="CQ56" s="114">
        <v>1047551.6080799999</v>
      </c>
      <c r="CR56" s="114">
        <f t="shared" ref="CR56:CW56" si="83">CR16+CR21+CR41+CR54</f>
        <v>1056362.1461500002</v>
      </c>
      <c r="CS56" s="114">
        <f t="shared" si="83"/>
        <v>1075627.1228800002</v>
      </c>
      <c r="CT56" s="114">
        <f t="shared" si="83"/>
        <v>1077460.4413000001</v>
      </c>
      <c r="CU56" s="114">
        <f t="shared" si="83"/>
        <v>1081661.1270000001</v>
      </c>
      <c r="CV56" s="114">
        <f t="shared" si="83"/>
        <v>1092238.7630300005</v>
      </c>
      <c r="CW56" s="114">
        <f t="shared" si="83"/>
        <v>1109086.2270700003</v>
      </c>
      <c r="CX56" s="114">
        <f t="shared" ref="CX56:DC56" si="84">CX16+CX21+CX41+CX54</f>
        <v>1124220.4602699999</v>
      </c>
      <c r="CY56" s="114">
        <f t="shared" si="84"/>
        <v>1117203.8624</v>
      </c>
      <c r="CZ56" s="114">
        <f t="shared" si="84"/>
        <v>1114893.87439</v>
      </c>
      <c r="DA56" s="114">
        <f t="shared" si="84"/>
        <v>1118672.52892</v>
      </c>
      <c r="DB56" s="114">
        <f t="shared" si="84"/>
        <v>1126393.3693500001</v>
      </c>
      <c r="DC56" s="114">
        <f t="shared" si="84"/>
        <v>1133533.4235199997</v>
      </c>
      <c r="DD56" s="114">
        <f t="shared" ref="DD56:DI56" si="85">DD16+DD21+DD41+DD54</f>
        <v>1140836.4437100003</v>
      </c>
      <c r="DE56" s="114">
        <f t="shared" si="85"/>
        <v>1147765.9900200001</v>
      </c>
      <c r="DF56" s="114">
        <f t="shared" si="85"/>
        <v>1160834.0952499998</v>
      </c>
      <c r="DG56" s="114">
        <f t="shared" si="85"/>
        <v>1180935.26844</v>
      </c>
      <c r="DH56" s="114">
        <f t="shared" si="85"/>
        <v>1201359.64811</v>
      </c>
      <c r="DI56" s="114">
        <f t="shared" si="85"/>
        <v>1224685.8870099999</v>
      </c>
      <c r="DJ56" s="114">
        <f t="shared" ref="DJ56:DO56" si="86">DJ16+DJ21+DJ41+DJ54</f>
        <v>1245851.9252299999</v>
      </c>
      <c r="DK56" s="114">
        <f t="shared" si="86"/>
        <v>1246408.9092299996</v>
      </c>
      <c r="DL56" s="114">
        <f t="shared" si="86"/>
        <v>1257593.64787</v>
      </c>
      <c r="DM56" s="114">
        <f t="shared" si="86"/>
        <v>1261451.9914099998</v>
      </c>
      <c r="DN56" s="114">
        <f t="shared" si="86"/>
        <v>1273924.8077200004</v>
      </c>
      <c r="DO56" s="114">
        <f t="shared" si="86"/>
        <v>1285251.3940599996</v>
      </c>
      <c r="DP56" s="114">
        <f t="shared" ref="DP56:DU56" si="87">DP16+DP21+DP41+DP54</f>
        <v>1298898.81721</v>
      </c>
      <c r="DQ56" s="114">
        <f t="shared" si="87"/>
        <v>1317782.3628100001</v>
      </c>
      <c r="DR56" s="114">
        <f t="shared" si="87"/>
        <v>1340764.3386000004</v>
      </c>
      <c r="DS56" s="114">
        <f t="shared" si="87"/>
        <v>1357190.2992300002</v>
      </c>
      <c r="DT56" s="114">
        <f t="shared" si="87"/>
        <v>1382140.3589399999</v>
      </c>
      <c r="DU56" s="114">
        <f t="shared" si="87"/>
        <v>1406757.1951299997</v>
      </c>
      <c r="DV56" s="114">
        <f t="shared" ref="DV56:EA56" si="88">DV16+DV21+DV41+DV54</f>
        <v>1428603.57672</v>
      </c>
      <c r="DW56" s="114">
        <f t="shared" si="88"/>
        <v>1440657.0037800004</v>
      </c>
      <c r="DX56" s="114">
        <f t="shared" si="88"/>
        <v>1451715.1169100001</v>
      </c>
      <c r="DY56" s="114">
        <f t="shared" si="88"/>
        <v>1470020.7291399997</v>
      </c>
      <c r="DZ56" s="114">
        <f t="shared" si="88"/>
        <v>1493213.2055599997</v>
      </c>
      <c r="EA56" s="114">
        <f t="shared" si="88"/>
        <v>1515171.8157800001</v>
      </c>
      <c r="EB56" s="114">
        <f t="shared" ref="EB56:EG56" si="89">EB16+EB21+EB41+EB54</f>
        <v>1535872.1685000004</v>
      </c>
      <c r="EC56" s="114">
        <f t="shared" si="89"/>
        <v>1572823.2239699995</v>
      </c>
      <c r="ED56" s="114">
        <f t="shared" si="89"/>
        <v>1598138.4987300001</v>
      </c>
      <c r="EE56" s="114">
        <f t="shared" si="89"/>
        <v>1630045.0579199996</v>
      </c>
      <c r="EF56" s="114">
        <f t="shared" si="89"/>
        <v>1664498.6577899996</v>
      </c>
      <c r="EG56" s="114">
        <f t="shared" si="89"/>
        <v>1714605.0781199997</v>
      </c>
      <c r="EH56" s="114">
        <f t="shared" ref="EH56:EM56" si="90">EH16+EH21+EH41+EH54</f>
        <v>1742610.5259999994</v>
      </c>
      <c r="EI56" s="114">
        <f t="shared" si="90"/>
        <v>1765420.0003699998</v>
      </c>
      <c r="EJ56" s="114">
        <f t="shared" si="90"/>
        <v>1781368.5336600002</v>
      </c>
      <c r="EK56" s="114">
        <f t="shared" si="90"/>
        <v>1797765.6539399999</v>
      </c>
      <c r="EL56" s="114">
        <f t="shared" si="90"/>
        <v>1806154.1584799998</v>
      </c>
      <c r="EM56" s="114">
        <f t="shared" si="90"/>
        <v>1825581.5122899995</v>
      </c>
      <c r="EN56" s="114">
        <f t="shared" ref="EN56:FF56" si="91">EN16+EN21+EN41+EN54</f>
        <v>1851639.4994399997</v>
      </c>
      <c r="EO56" s="114">
        <f t="shared" si="91"/>
        <v>1869701.8853399998</v>
      </c>
      <c r="EP56" s="114">
        <f t="shared" si="91"/>
        <v>1892848.811759999</v>
      </c>
      <c r="EQ56" s="114">
        <f t="shared" si="91"/>
        <v>1927505.7080899999</v>
      </c>
      <c r="ER56" s="114">
        <f t="shared" si="91"/>
        <v>1958911.4607199999</v>
      </c>
      <c r="ES56" s="114">
        <f t="shared" si="91"/>
        <v>1990225.3773999996</v>
      </c>
      <c r="ET56" s="114">
        <f t="shared" ref="ET56:EV56" si="92">ET16+ET21+ET41+ET54</f>
        <v>2021923.6622199998</v>
      </c>
      <c r="EU56" s="114">
        <f t="shared" si="92"/>
        <v>2041108.1496899999</v>
      </c>
      <c r="EV56" s="114">
        <f t="shared" si="92"/>
        <v>2050863.7480399997</v>
      </c>
      <c r="EW56" s="114">
        <f t="shared" ref="EW56:EY56" si="93">EW16+EW21+EW41+EW54</f>
        <v>2066379.0249000001</v>
      </c>
      <c r="EX56" s="114">
        <f t="shared" si="93"/>
        <v>2092904.6505500001</v>
      </c>
      <c r="EY56" s="114">
        <f t="shared" si="93"/>
        <v>2118941.2712199991</v>
      </c>
      <c r="EZ56" s="114">
        <f t="shared" ref="EZ56:FB56" si="94">EZ16+EZ21+EZ41+EZ54</f>
        <v>2136862.7293099998</v>
      </c>
      <c r="FA56" s="114">
        <f t="shared" si="94"/>
        <v>2152934.8937299997</v>
      </c>
      <c r="FB56" s="114">
        <f t="shared" si="94"/>
        <v>2168239.0799400001</v>
      </c>
      <c r="FC56" s="114">
        <f t="shared" ref="FC56:FE56" si="95">FC16+FC21+FC41+FC54</f>
        <v>2180322.9115699995</v>
      </c>
      <c r="FD56" s="114">
        <f t="shared" si="95"/>
        <v>2206019.8390699998</v>
      </c>
      <c r="FE56" s="114">
        <f t="shared" si="95"/>
        <v>2267449.5295999995</v>
      </c>
      <c r="FF56" s="407">
        <f t="shared" si="91"/>
        <v>2114936.5282492302</v>
      </c>
      <c r="FG56" s="112"/>
      <c r="FH56" s="112"/>
      <c r="IJ56" s="35"/>
      <c r="IK56" s="220"/>
      <c r="IL56" s="191"/>
      <c r="IM56" s="35"/>
      <c r="IN56" s="35"/>
      <c r="IO56" s="35"/>
      <c r="IP56" s="35"/>
      <c r="IQ56" s="35"/>
      <c r="IR56" s="35"/>
      <c r="IS56" s="35"/>
      <c r="IT56" s="35"/>
      <c r="IU56" s="35"/>
      <c r="IV56" s="35"/>
      <c r="IW56" s="35"/>
      <c r="IX56" s="35"/>
      <c r="IY56" s="35"/>
    </row>
    <row r="57" spans="1:259" ht="13.5" thickTop="1">
      <c r="A57" s="30"/>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v>4.1500000515952706E-3</v>
      </c>
      <c r="AP57" s="111">
        <v>0</v>
      </c>
      <c r="AQ57" s="111">
        <v>0</v>
      </c>
      <c r="AR57" s="111">
        <v>0</v>
      </c>
      <c r="AS57" s="178">
        <v>0</v>
      </c>
      <c r="AT57" s="178">
        <v>0</v>
      </c>
      <c r="AU57" s="178">
        <v>0</v>
      </c>
      <c r="AV57" s="178">
        <v>0</v>
      </c>
      <c r="AW57" s="178">
        <v>0</v>
      </c>
      <c r="AX57" s="178">
        <v>0</v>
      </c>
      <c r="AY57" s="178">
        <v>0</v>
      </c>
      <c r="AZ57" s="178">
        <v>0</v>
      </c>
      <c r="BA57" s="178">
        <v>0</v>
      </c>
      <c r="BB57" s="178">
        <v>0.23600000003352761</v>
      </c>
      <c r="BC57" s="178">
        <v>-0.22675999987404794</v>
      </c>
      <c r="BD57" s="178">
        <v>0.51109000004362315</v>
      </c>
      <c r="BE57" s="178">
        <v>0.16843999980483204</v>
      </c>
      <c r="BF57" s="178">
        <v>-6.5549999941140413E-2</v>
      </c>
      <c r="BG57" s="178">
        <v>0.29253000032622367</v>
      </c>
      <c r="BH57" s="178">
        <v>-0.3767700003227219</v>
      </c>
      <c r="BI57" s="178">
        <v>1.9579999847337604E-2</v>
      </c>
      <c r="BJ57" s="178">
        <v>0.32998000038787723</v>
      </c>
      <c r="BK57" s="178">
        <v>-0.30011000018566847</v>
      </c>
      <c r="BL57" s="178">
        <v>-0.51519000018015504</v>
      </c>
      <c r="BM57" s="178">
        <v>0.26423000020440668</v>
      </c>
      <c r="BN57" s="178">
        <v>0.2717500003054738</v>
      </c>
      <c r="BO57" s="178">
        <v>5.8479999890550971E-2</v>
      </c>
      <c r="BP57" s="178">
        <v>9.2450000112876296E-2</v>
      </c>
      <c r="BQ57" s="178">
        <v>0.1420400005299598</v>
      </c>
      <c r="BR57" s="178">
        <v>8.0380000406876206E-2</v>
      </c>
      <c r="BS57" s="178">
        <v>6.877000059466809E-2</v>
      </c>
      <c r="BT57" s="178">
        <v>3.0610000248998404E-2</v>
      </c>
      <c r="BU57" s="178">
        <v>-0.21097000024747103</v>
      </c>
      <c r="BV57" s="178">
        <v>-0.18763999990187585</v>
      </c>
      <c r="BW57" s="178">
        <v>-0.20732999953906983</v>
      </c>
      <c r="BX57" s="178">
        <v>-0.10019000002648681</v>
      </c>
      <c r="BY57" s="178">
        <v>0.26900000032037497</v>
      </c>
      <c r="BZ57" s="178">
        <v>-0.22255999990738928</v>
      </c>
      <c r="CA57" s="178">
        <v>-0.32377999997697771</v>
      </c>
      <c r="CB57" s="178">
        <v>-0.16383999958634377</v>
      </c>
      <c r="CC57" s="178">
        <v>-5.8089999947696924E-2</v>
      </c>
      <c r="CD57" s="178">
        <v>-4.24299999140203E-2</v>
      </c>
      <c r="CE57" s="444">
        <v>-0.10334999983479065</v>
      </c>
      <c r="CF57" s="444">
        <v>9.515999997529434E-2</v>
      </c>
      <c r="CG57" s="444">
        <v>-0.16615999980058405</v>
      </c>
      <c r="CH57" s="444">
        <v>-0.15136000029906427</v>
      </c>
      <c r="CI57" s="444">
        <v>3.177999995295977E-2</v>
      </c>
      <c r="CJ57" s="444">
        <v>-0.28566000027603877</v>
      </c>
      <c r="CK57" s="444">
        <v>-4.0350000173930312E-2</v>
      </c>
      <c r="CL57" s="444">
        <v>-8.0050000531628029E-2</v>
      </c>
      <c r="CM57" s="444">
        <v>9.4410000061543542E-2</v>
      </c>
      <c r="CN57" s="444">
        <v>-5.9020000042437459E-2</v>
      </c>
      <c r="CO57" s="444">
        <v>-0.10439999980007997</v>
      </c>
      <c r="CP57" s="444">
        <v>-6.0219999970286153E-2</v>
      </c>
      <c r="CQ57" s="444">
        <v>-0.22592000017539249</v>
      </c>
      <c r="CR57" s="444">
        <v>-7.0849999699930777E-2</v>
      </c>
      <c r="CS57" s="444">
        <v>-0.24411999989206379</v>
      </c>
      <c r="CT57" s="444">
        <v>0.25730000020303123</v>
      </c>
      <c r="CU57" s="444">
        <v>-0.30800000004637695</v>
      </c>
      <c r="CV57" s="444">
        <v>-5.4969999599052244E-2</v>
      </c>
      <c r="CW57" s="444">
        <v>-0.50792999983787013</v>
      </c>
      <c r="CX57" s="444">
        <v>0.20926999964467541</v>
      </c>
      <c r="CY57" s="444">
        <v>-4.7600000389138586E-2</v>
      </c>
      <c r="CZ57" s="444">
        <v>-4.0610000081869657E-2</v>
      </c>
      <c r="DA57" s="444">
        <v>-3.8079999767433037E-2</v>
      </c>
      <c r="DB57" s="444">
        <v>9.9349999956757529E-2</v>
      </c>
      <c r="DC57" s="444">
        <v>-0.20548000018607127</v>
      </c>
      <c r="DD57" s="444">
        <v>-0.19328999984099937</v>
      </c>
      <c r="DE57" s="444">
        <v>9.0020000328877359E-2</v>
      </c>
      <c r="DF57" s="444">
        <v>-0.32575000022006861</v>
      </c>
      <c r="DG57" s="444">
        <v>-0.33355999984814844</v>
      </c>
      <c r="DH57" s="444">
        <v>-9.6890000422718003E-2</v>
      </c>
      <c r="DI57" s="444">
        <v>-0.26499000000512751</v>
      </c>
      <c r="DJ57" s="444">
        <v>-0.16476999992482888</v>
      </c>
      <c r="DK57" s="444">
        <v>-9.2770000544987852E-2</v>
      </c>
      <c r="DL57" s="444">
        <v>-0.14212999992196274</v>
      </c>
      <c r="DM57" s="444">
        <v>-6.5590000263910042E-2</v>
      </c>
      <c r="DN57" s="444">
        <v>-0.29727999956412532</v>
      </c>
      <c r="DO57" s="444">
        <v>0.35705999989113479</v>
      </c>
      <c r="DP57" s="444">
        <v>-0.13678999990042939</v>
      </c>
      <c r="DQ57" s="444">
        <v>-0.19618999968952266</v>
      </c>
      <c r="DR57" s="444">
        <v>8.3600000458318391E-2</v>
      </c>
      <c r="DS57" s="444">
        <v>-0.14476999976250227</v>
      </c>
      <c r="DT57" s="444">
        <v>-7.0059999912700732E-2</v>
      </c>
      <c r="DU57" s="444">
        <v>-1.5870000530412653E-2</v>
      </c>
      <c r="DV57" s="444">
        <f>DV56-'[1]Balance Sheet Detail'!BW57+GZ10+GZ15+GZ30+GZ47</f>
        <v>0.41972000001078413</v>
      </c>
      <c r="DW57" s="444">
        <f>DW56-'[1]Balance Sheet Detail'!BX57+HA10+HA15+HA30+HA47</f>
        <v>-0.30621999980758119</v>
      </c>
      <c r="DX57" s="444">
        <f>DX56-'[1]Balance Sheet Detail'!BY57+HB10+HB15+HB30+HB47</f>
        <v>-0.35708999953021703</v>
      </c>
      <c r="DY57" s="444">
        <f>DY56-'[1]Balance Sheet Detail'!BZ57+HC10+HC15+HC30+HC47</f>
        <v>-0.1448600003732281</v>
      </c>
      <c r="DZ57" s="444">
        <f>DZ56-'[1]Balance Sheet Detail'!CA57+HD10+HD15+HD30+HD47</f>
        <v>0.24556000005577516</v>
      </c>
      <c r="EA57" s="444">
        <f>EA56-'[1]Balance Sheet Detail'!CB57+HE10+HE15+HE30+HE47</f>
        <v>8.078000020213949E-2</v>
      </c>
      <c r="EB57" s="444">
        <f>EB56-'[1]Balance Sheet Detail'!CC57+HF10+HF15+HF30+HF47</f>
        <v>-0.33049999952891085</v>
      </c>
      <c r="EC57" s="444">
        <f>EC56-'[1]Balance Sheet Detail'!CD57+HG10+HG15+HG30+HG47</f>
        <v>-0.33003000081225764</v>
      </c>
      <c r="ED57" s="444">
        <f>ED56-'[1]Balance Sheet Detail'!CE57+HH10+HH15+HH30+HH47</f>
        <v>-0.30326999961289403</v>
      </c>
      <c r="EE57" s="444">
        <f>EE56-'[1]Balance Sheet Detail'!CF57+HI10+HI15+HI30+HI47</f>
        <v>-0.10308000041550258</v>
      </c>
      <c r="EF57" s="444">
        <f>EF56-'[1]Balance Sheet Detail'!CG57+HJ10+HJ15+HJ30+HJ47</f>
        <v>-0.41221000010227726</v>
      </c>
      <c r="EG57" s="444">
        <f>EG56-'[1]Balance Sheet Detail'!CH57+HK10+HK15+HK30+HK47</f>
        <v>2516.6611199999152</v>
      </c>
      <c r="EH57" s="444">
        <f>EH56-'[1]Balance Sheet Detail'!CI57+HL10+HL15+HL30+HL47</f>
        <v>-0.38100000039594306</v>
      </c>
      <c r="EI57" s="444">
        <f>EI56-'[1]Balance Sheet Detail'!CJ57+HM10+HM15+HM30+HM47</f>
        <v>-0.54262999979255255</v>
      </c>
      <c r="EJ57" s="444">
        <f>EJ56-'[1]Balance Sheet Detail'!CK57+HN10+HN15+HN30+HN47</f>
        <v>-0.10634000018217193</v>
      </c>
      <c r="EK57" s="444">
        <f>EK56-'[1]Balance Sheet Detail'!CL57+HO10+HO15+HO30+HO47</f>
        <v>-4.5059999709337717E-2</v>
      </c>
      <c r="EL57" s="444">
        <f>EL56-'[1]Balance Sheet Detail'!CM57+HP10+HP15+HP30+HP47</f>
        <v>-0.26252000043677981</v>
      </c>
      <c r="EM57" s="444">
        <f>EM56-'[1]Balance Sheet Detail'!CN57+HQ10+HQ15+HQ30+HQ47</f>
        <v>0.10328999979719811</v>
      </c>
      <c r="EN57" s="444">
        <f>EN56-'[1]Balance Sheet Detail'!CO57+HR10+HR15+HR30+HR47</f>
        <v>3.6439999832509784E-2</v>
      </c>
      <c r="EO57" s="444">
        <f>EO56-'[1]Balance Sheet Detail'!CP57+HS10+HS15+HS30+HS47</f>
        <v>-0.29966000019521744</v>
      </c>
      <c r="EP57" s="444">
        <f>EP56-'[1]Balance Sheet Detail'!CQ57+HT10+HT15+HT30+HT47</f>
        <v>-6.4240000700010569E-2</v>
      </c>
      <c r="EQ57" s="444">
        <f>EQ56-'[1]Balance Sheet Detail'!CR57+HU10+HU15+HU30+HU47</f>
        <v>-2.9909999821029487E-2</v>
      </c>
      <c r="ER57" s="444">
        <f>ER56-'[1]Balance Sheet Detail'!CS57+HV10+HV15+HV30+HV47</f>
        <v>-1.0279999956765096E-2</v>
      </c>
      <c r="ES57" s="444">
        <f>ES56-'[1]Balance Sheet Detail'!CT57+HW10+HW15+HW30+HW47</f>
        <v>-1.6000003051885869E-3</v>
      </c>
      <c r="ET57" s="444">
        <f>ET56-'[1]Balance Sheet Detail'!CU57+HX10+HX15+HX30+HX47</f>
        <v>-0.26178000031723059</v>
      </c>
      <c r="EU57" s="444">
        <f>EU56-'[1]Balance Sheet Detail'!CV57+HY10+HY15+HY30+HY47</f>
        <v>-0.19931000063843385</v>
      </c>
      <c r="EV57" s="444">
        <f>EV56-'[1]Balance Sheet Detail'!CW57+HZ10+HZ15+HZ30+HZ47</f>
        <v>2.7039999372391321E-2</v>
      </c>
      <c r="EW57" s="444">
        <f>EW56-'[1]Balance Sheet Detail'!CX57+IA10+IA15+IA30+IA47</f>
        <v>0.13789999979871936</v>
      </c>
      <c r="EX57" s="444">
        <f>EX56-'[1]Balance Sheet Detail'!CY57+IB10+IB15+IB30+IB47</f>
        <v>-4.2450000281860412E-2</v>
      </c>
      <c r="EY57" s="444">
        <f>EY56-'[1]Balance Sheet Detail'!CZ57+IC10+IC15+IC30+IC47</f>
        <v>0.13021999897136993</v>
      </c>
      <c r="EZ57" s="444">
        <v>2.9310000129044056E-2</v>
      </c>
      <c r="FA57" s="444">
        <v>9.3729999382048845E-2</v>
      </c>
      <c r="FB57" s="444">
        <v>-0.22006000019609928</v>
      </c>
      <c r="FC57" s="444">
        <f>FC56-'[1]Balance Sheet Detail'!DD57+IG10+IG15+IG30+IG47</f>
        <v>-0.28843000112101436</v>
      </c>
      <c r="FD57" s="444">
        <f>FD56-'[1]Balance Sheet Detail'!DE57+IH10+IH15+IH30+IH47</f>
        <v>-0.4609300009906292</v>
      </c>
      <c r="FE57" s="444">
        <f>FE56-'[1]Balance Sheet Detail'!DF57+II10+II15+II30+II47</f>
        <v>-0.17040000064298511</v>
      </c>
      <c r="FF57" s="403">
        <f t="shared" ref="FF57" si="96">SUM(EP57:FB57)/13</f>
        <v>-3.1648461889464949E-2</v>
      </c>
      <c r="FG57" s="700"/>
      <c r="FH57" s="700"/>
      <c r="IJ57" s="35"/>
      <c r="IK57" s="220"/>
      <c r="IL57" s="191"/>
      <c r="IM57" s="35"/>
      <c r="IN57" s="35"/>
      <c r="IO57" s="35"/>
      <c r="IP57" s="35"/>
      <c r="IQ57" s="35"/>
      <c r="IR57" s="35"/>
      <c r="IS57" s="35"/>
      <c r="IT57" s="35"/>
      <c r="IU57" s="35"/>
      <c r="IV57" s="35"/>
      <c r="IW57" s="35"/>
      <c r="IX57" s="35"/>
      <c r="IY57" s="35"/>
    </row>
    <row r="58" spans="1:259">
      <c r="A58" s="19" t="s">
        <v>256</v>
      </c>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111"/>
      <c r="CJ58" s="111"/>
      <c r="CK58" s="111"/>
      <c r="CL58" s="111"/>
      <c r="CM58" s="111"/>
      <c r="CN58" s="111"/>
      <c r="CO58" s="111"/>
      <c r="CP58" s="111"/>
      <c r="CQ58" s="111"/>
      <c r="CR58" s="111"/>
      <c r="CS58" s="111"/>
      <c r="CT58" s="111"/>
      <c r="CU58" s="111"/>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c r="EA58" s="111"/>
      <c r="EB58" s="111"/>
      <c r="EC58" s="111"/>
      <c r="ED58" s="111"/>
      <c r="EE58" s="111"/>
      <c r="EF58" s="111"/>
      <c r="EG58" s="111"/>
      <c r="EH58" s="111"/>
      <c r="EI58" s="111"/>
      <c r="EJ58" s="111"/>
      <c r="EK58" s="111"/>
      <c r="EL58" s="111"/>
      <c r="EM58" s="111"/>
      <c r="EN58" s="111"/>
      <c r="EO58" s="111"/>
      <c r="EP58" s="111"/>
      <c r="EQ58" s="111"/>
      <c r="ER58" s="111"/>
      <c r="ES58" s="111"/>
      <c r="ET58" s="111"/>
      <c r="EU58" s="111"/>
      <c r="EV58" s="111"/>
      <c r="EW58" s="111"/>
      <c r="EX58" s="111"/>
      <c r="EY58" s="111"/>
      <c r="EZ58" s="111"/>
      <c r="FA58" s="111"/>
      <c r="FB58" s="111"/>
      <c r="FC58" s="111"/>
      <c r="FD58" s="111"/>
      <c r="FE58" s="111"/>
      <c r="FF58" s="111"/>
      <c r="FG58" s="111"/>
      <c r="FH58" s="111"/>
      <c r="IJ58" s="35"/>
      <c r="IK58" s="217"/>
      <c r="IL58" s="35"/>
      <c r="IM58" s="35"/>
      <c r="IN58" s="35"/>
      <c r="IO58" s="35"/>
      <c r="IP58" s="35"/>
      <c r="IQ58" s="35"/>
      <c r="IR58" s="35"/>
      <c r="IS58" s="35"/>
      <c r="IT58" s="35"/>
      <c r="IU58" s="35"/>
      <c r="IV58" s="35"/>
      <c r="IW58" s="35"/>
      <c r="IX58" s="35"/>
      <c r="IY58" s="35"/>
    </row>
    <row r="59" spans="1:259">
      <c r="A59" s="30"/>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c r="CB59" s="111"/>
      <c r="CC59" s="111"/>
      <c r="CD59" s="111"/>
      <c r="CE59" s="111"/>
      <c r="CF59" s="111"/>
      <c r="CG59" s="111"/>
      <c r="CH59" s="111"/>
      <c r="CI59" s="111"/>
      <c r="CJ59" s="111"/>
      <c r="CK59" s="111"/>
      <c r="CL59" s="111"/>
      <c r="CM59" s="111"/>
      <c r="CN59" s="111"/>
      <c r="CO59" s="111"/>
      <c r="CP59" s="111"/>
      <c r="CQ59" s="111"/>
      <c r="CR59" s="111"/>
      <c r="CS59" s="111"/>
      <c r="CT59" s="111"/>
      <c r="CU59" s="111"/>
      <c r="CV59" s="111"/>
      <c r="CW59" s="111"/>
      <c r="CX59" s="111"/>
      <c r="CY59" s="111"/>
      <c r="CZ59" s="111"/>
      <c r="DA59" s="111"/>
      <c r="DB59" s="111"/>
      <c r="DC59" s="111"/>
      <c r="DD59" s="111"/>
      <c r="DE59" s="111"/>
      <c r="DF59" s="111"/>
      <c r="DG59" s="111"/>
      <c r="DH59" s="111"/>
      <c r="DI59" s="111"/>
      <c r="DJ59" s="111"/>
      <c r="DK59" s="111"/>
      <c r="DL59" s="111"/>
      <c r="DM59" s="111"/>
      <c r="DN59" s="111"/>
      <c r="DO59" s="111"/>
      <c r="DP59" s="111"/>
      <c r="DQ59" s="111"/>
      <c r="DR59" s="111"/>
      <c r="DS59" s="111"/>
      <c r="DT59" s="111"/>
      <c r="DU59" s="111"/>
      <c r="DV59" s="111"/>
      <c r="DW59" s="111"/>
      <c r="DX59" s="111"/>
      <c r="DY59" s="111"/>
      <c r="DZ59" s="111"/>
      <c r="EA59" s="111"/>
      <c r="EB59" s="111"/>
      <c r="EC59" s="111"/>
      <c r="ED59" s="111"/>
      <c r="EE59" s="111"/>
      <c r="EF59" s="111"/>
      <c r="EG59" s="111"/>
      <c r="EH59" s="111"/>
      <c r="EI59" s="111"/>
      <c r="EJ59" s="111"/>
      <c r="EK59" s="111"/>
      <c r="EL59" s="111"/>
      <c r="EM59" s="111"/>
      <c r="EN59" s="111"/>
      <c r="EO59" s="111"/>
      <c r="EP59" s="111"/>
      <c r="EQ59" s="111"/>
      <c r="ER59" s="111"/>
      <c r="ES59" s="111"/>
      <c r="ET59" s="111"/>
      <c r="EU59" s="111"/>
      <c r="EV59" s="111"/>
      <c r="EW59" s="111"/>
      <c r="EX59" s="111"/>
      <c r="EY59" s="111"/>
      <c r="EZ59" s="111"/>
      <c r="FA59" s="111"/>
      <c r="FB59" s="111"/>
      <c r="FC59" s="111"/>
      <c r="FD59" s="111"/>
      <c r="FE59" s="111"/>
      <c r="FF59" s="111"/>
      <c r="FG59" s="111"/>
      <c r="FH59" s="111"/>
      <c r="IJ59" s="35"/>
      <c r="IK59" s="220"/>
      <c r="IL59" s="226"/>
      <c r="IM59" s="35"/>
      <c r="IN59" s="35"/>
      <c r="IO59" s="35"/>
      <c r="IP59" s="35"/>
      <c r="IQ59" s="35"/>
      <c r="IR59" s="35"/>
      <c r="IS59" s="35"/>
      <c r="IT59" s="35"/>
      <c r="IU59" s="35"/>
      <c r="IV59" s="35"/>
      <c r="IW59" s="35"/>
      <c r="IX59" s="35"/>
      <c r="IY59" s="35"/>
    </row>
    <row r="60" spans="1:259">
      <c r="A60" s="27" t="s">
        <v>258</v>
      </c>
      <c r="B60" s="107">
        <v>0</v>
      </c>
      <c r="C60" s="107">
        <v>0</v>
      </c>
      <c r="D60" s="107">
        <v>0</v>
      </c>
      <c r="E60" s="107">
        <v>0</v>
      </c>
      <c r="F60" s="107">
        <v>0</v>
      </c>
      <c r="G60" s="107">
        <v>0</v>
      </c>
      <c r="H60" s="107">
        <v>0</v>
      </c>
      <c r="I60" s="107">
        <v>0</v>
      </c>
      <c r="J60" s="107">
        <v>0</v>
      </c>
      <c r="K60" s="107">
        <v>0</v>
      </c>
      <c r="L60" s="107">
        <v>0</v>
      </c>
      <c r="M60" s="107">
        <v>0</v>
      </c>
      <c r="N60" s="107">
        <v>0</v>
      </c>
      <c r="O60" s="107">
        <v>0</v>
      </c>
      <c r="P60" s="107">
        <v>0</v>
      </c>
      <c r="Q60" s="107">
        <v>0</v>
      </c>
      <c r="R60" s="107">
        <v>0</v>
      </c>
      <c r="S60" s="107">
        <v>0</v>
      </c>
      <c r="T60" s="107">
        <v>0</v>
      </c>
      <c r="U60" s="107">
        <v>0</v>
      </c>
      <c r="V60" s="107">
        <v>0</v>
      </c>
      <c r="W60" s="107">
        <v>0</v>
      </c>
      <c r="X60" s="107">
        <v>0</v>
      </c>
      <c r="Y60" s="107">
        <v>0</v>
      </c>
      <c r="Z60" s="107">
        <v>0</v>
      </c>
      <c r="AA60" s="107">
        <v>0</v>
      </c>
      <c r="AB60" s="107">
        <v>0</v>
      </c>
      <c r="AC60" s="107">
        <v>0</v>
      </c>
      <c r="AD60" s="107">
        <v>0</v>
      </c>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c r="DG60" s="107"/>
      <c r="DH60" s="107"/>
      <c r="DI60" s="107"/>
      <c r="DJ60" s="107"/>
      <c r="DK60" s="107"/>
      <c r="DL60" s="107"/>
      <c r="DM60" s="107"/>
      <c r="DN60" s="107"/>
      <c r="DO60" s="107"/>
      <c r="DP60" s="107"/>
      <c r="DQ60" s="107"/>
      <c r="DR60" s="107"/>
      <c r="DS60" s="107"/>
      <c r="DT60" s="107"/>
      <c r="DU60" s="107"/>
      <c r="DV60" s="107"/>
      <c r="DW60" s="107"/>
      <c r="DX60" s="107"/>
      <c r="DY60" s="107"/>
      <c r="DZ60" s="107"/>
      <c r="EA60" s="107"/>
      <c r="EB60" s="107"/>
      <c r="EC60" s="107"/>
      <c r="ED60" s="107"/>
      <c r="EE60" s="107"/>
      <c r="EF60" s="107"/>
      <c r="EG60" s="107"/>
      <c r="EH60" s="107"/>
      <c r="EI60" s="107"/>
      <c r="EJ60" s="107"/>
      <c r="EK60" s="107"/>
      <c r="EL60" s="107"/>
      <c r="EM60" s="107"/>
      <c r="EN60" s="107"/>
      <c r="EO60" s="107"/>
      <c r="EP60" s="107"/>
      <c r="EQ60" s="107"/>
      <c r="ER60" s="107"/>
      <c r="ES60" s="107"/>
      <c r="ET60" s="107"/>
      <c r="EU60" s="107"/>
      <c r="EV60" s="107"/>
      <c r="EW60" s="107"/>
      <c r="EX60" s="107"/>
      <c r="EY60" s="107"/>
      <c r="EZ60" s="107"/>
      <c r="FA60" s="107"/>
      <c r="FB60" s="107"/>
      <c r="FC60" s="107"/>
      <c r="FD60" s="107"/>
      <c r="FE60" s="107"/>
      <c r="FF60" s="107"/>
      <c r="FG60" s="107"/>
      <c r="FH60" s="107"/>
      <c r="IJ60" s="35"/>
      <c r="IK60" s="218"/>
      <c r="IL60" s="226"/>
      <c r="IM60" s="35"/>
      <c r="IN60" s="35"/>
      <c r="IO60" s="35"/>
      <c r="IP60" s="35"/>
      <c r="IQ60" s="35"/>
      <c r="IR60" s="35"/>
      <c r="IS60" s="35"/>
      <c r="IT60" s="35"/>
      <c r="IU60" s="35"/>
      <c r="IV60" s="35"/>
      <c r="IW60" s="35"/>
      <c r="IX60" s="35"/>
      <c r="IY60" s="35"/>
    </row>
    <row r="61" spans="1:259">
      <c r="A61" s="27" t="s">
        <v>259</v>
      </c>
      <c r="B61" s="107">
        <v>155550.16918999999</v>
      </c>
      <c r="C61" s="107">
        <v>155550.16918999999</v>
      </c>
      <c r="D61" s="107">
        <v>155550.16918999999</v>
      </c>
      <c r="E61" s="107">
        <v>155550.16918999999</v>
      </c>
      <c r="F61" s="107">
        <v>155550.16918999999</v>
      </c>
      <c r="G61" s="107">
        <v>155550.16918999999</v>
      </c>
      <c r="H61" s="107">
        <v>165550.16918999999</v>
      </c>
      <c r="I61" s="107">
        <v>165550.16918999999</v>
      </c>
      <c r="J61" s="107">
        <v>165550.16918999999</v>
      </c>
      <c r="K61" s="107">
        <v>165550.16918999999</v>
      </c>
      <c r="L61" s="107">
        <v>165550.16918999999</v>
      </c>
      <c r="M61" s="107">
        <v>165550.16918999999</v>
      </c>
      <c r="N61" s="107">
        <v>165550.16918999999</v>
      </c>
      <c r="O61" s="107">
        <v>165550</v>
      </c>
      <c r="P61" s="107">
        <v>165550</v>
      </c>
      <c r="Q61" s="107">
        <v>165550</v>
      </c>
      <c r="R61" s="107">
        <v>165550</v>
      </c>
      <c r="S61" s="107">
        <v>165550</v>
      </c>
      <c r="T61" s="107">
        <v>165550</v>
      </c>
      <c r="U61" s="107">
        <v>165550</v>
      </c>
      <c r="V61" s="107">
        <v>165550</v>
      </c>
      <c r="W61" s="107">
        <v>165550</v>
      </c>
      <c r="X61" s="107">
        <v>165550.16899999999</v>
      </c>
      <c r="Y61" s="107">
        <v>165550</v>
      </c>
      <c r="Z61" s="107">
        <v>165550</v>
      </c>
      <c r="AA61" s="107">
        <v>165550</v>
      </c>
      <c r="AB61" s="107">
        <v>165550</v>
      </c>
      <c r="AC61" s="107">
        <v>165550</v>
      </c>
      <c r="AD61" s="107">
        <v>165550</v>
      </c>
      <c r="AE61" s="107">
        <v>165550</v>
      </c>
      <c r="AF61" s="107">
        <v>165550</v>
      </c>
      <c r="AG61" s="107">
        <v>165550</v>
      </c>
      <c r="AH61" s="107">
        <v>165550</v>
      </c>
      <c r="AI61" s="185">
        <v>165550.16919000002</v>
      </c>
      <c r="AJ61" s="185">
        <v>165550.16919000002</v>
      </c>
      <c r="AK61" s="185">
        <v>173550.16919000002</v>
      </c>
      <c r="AL61" s="185">
        <v>173550.16919000002</v>
      </c>
      <c r="AM61" s="204">
        <v>173550.16919000002</v>
      </c>
      <c r="AN61" s="204">
        <v>175550.16919000002</v>
      </c>
      <c r="AO61" s="204">
        <v>175550.16919000002</v>
      </c>
      <c r="AP61" s="204">
        <v>175550.16919000002</v>
      </c>
      <c r="AQ61" s="204">
        <v>175550.16919000002</v>
      </c>
      <c r="AR61" s="204">
        <v>175550.16919000002</v>
      </c>
      <c r="AS61" s="214">
        <v>175550.16919000002</v>
      </c>
      <c r="AT61" s="214">
        <v>185550.16919000002</v>
      </c>
      <c r="AU61" s="214">
        <v>185550.16919000002</v>
      </c>
      <c r="AV61" s="214">
        <v>185550.16919000002</v>
      </c>
      <c r="AW61" s="214">
        <v>185550.16919000002</v>
      </c>
      <c r="AX61" s="214">
        <v>185550.16919000002</v>
      </c>
      <c r="AY61" s="214">
        <v>185550.16919000002</v>
      </c>
      <c r="AZ61" s="214">
        <v>185550.16919000002</v>
      </c>
      <c r="BA61" s="330">
        <v>185550.16919000002</v>
      </c>
      <c r="BB61" s="330">
        <v>185550.16919000002</v>
      </c>
      <c r="BC61" s="330">
        <v>192550.16919000002</v>
      </c>
      <c r="BD61" s="330">
        <v>192550.16919000002</v>
      </c>
      <c r="BE61" s="330">
        <v>192550.16919000002</v>
      </c>
      <c r="BF61" s="330">
        <v>202550.16919000002</v>
      </c>
      <c r="BG61" s="211">
        <v>202550.16919000002</v>
      </c>
      <c r="BH61" s="211">
        <v>202550.16919000002</v>
      </c>
      <c r="BI61" s="211">
        <v>205050.16919000002</v>
      </c>
      <c r="BJ61" s="211">
        <v>205050.16919000002</v>
      </c>
      <c r="BK61" s="211">
        <v>205050.16919000002</v>
      </c>
      <c r="BL61" s="211">
        <v>210550.16919000002</v>
      </c>
      <c r="BM61" s="211">
        <v>210550.16919000002</v>
      </c>
      <c r="BN61" s="211">
        <v>210550.16919000002</v>
      </c>
      <c r="BO61" s="211">
        <v>210550.16919000002</v>
      </c>
      <c r="BP61" s="211">
        <v>210550.16919000002</v>
      </c>
      <c r="BQ61" s="211">
        <v>210550.16919000002</v>
      </c>
      <c r="BR61" s="211">
        <v>220550.16919000002</v>
      </c>
      <c r="BS61" s="211">
        <v>220550.16919000002</v>
      </c>
      <c r="BT61" s="211">
        <v>220550.16919000002</v>
      </c>
      <c r="BU61" s="211">
        <v>228550.16919000002</v>
      </c>
      <c r="BV61" s="211">
        <v>228550.16919000002</v>
      </c>
      <c r="BW61" s="211">
        <v>228550.16919000002</v>
      </c>
      <c r="BX61" s="211">
        <v>235550.16919000002</v>
      </c>
      <c r="BY61" s="211">
        <v>235550.16919000002</v>
      </c>
      <c r="BZ61" s="211">
        <v>235550.16919000002</v>
      </c>
      <c r="CA61" s="211">
        <v>235550.16919000002</v>
      </c>
      <c r="CB61" s="211">
        <v>235550.16919000002</v>
      </c>
      <c r="CC61" s="211">
        <v>235550.16919000002</v>
      </c>
      <c r="CD61" s="211">
        <v>235550.16919000002</v>
      </c>
      <c r="CE61" s="211">
        <v>235550.16919000002</v>
      </c>
      <c r="CF61" s="211">
        <v>235550.16919000002</v>
      </c>
      <c r="CG61" s="211">
        <v>235550.16919000002</v>
      </c>
      <c r="CH61" s="211">
        <v>235550.16919000002</v>
      </c>
      <c r="CI61" s="211">
        <v>235550.16919000002</v>
      </c>
      <c r="CJ61" s="211">
        <v>235550.16919000002</v>
      </c>
      <c r="CK61" s="211">
        <v>235550.16919000002</v>
      </c>
      <c r="CL61" s="211">
        <v>235550.16919000002</v>
      </c>
      <c r="CM61" s="211">
        <v>242550.16919000002</v>
      </c>
      <c r="CN61" s="211">
        <v>242550.16919000002</v>
      </c>
      <c r="CO61" s="211">
        <v>242550.16919000002</v>
      </c>
      <c r="CP61" s="211">
        <v>258550.16919000002</v>
      </c>
      <c r="CQ61" s="211">
        <v>258550.16919000002</v>
      </c>
      <c r="CR61" s="211">
        <v>258550.16919000002</v>
      </c>
      <c r="CS61" s="211">
        <v>268550.16918999999</v>
      </c>
      <c r="CT61" s="211">
        <v>268550.16918999999</v>
      </c>
      <c r="CU61" s="211">
        <v>268550.16918999999</v>
      </c>
      <c r="CV61" s="211">
        <v>275550.16918999999</v>
      </c>
      <c r="CW61" s="211">
        <v>275550.16918999999</v>
      </c>
      <c r="CX61" s="211">
        <v>275550.16918999999</v>
      </c>
      <c r="CY61" s="211">
        <v>285550.16918999999</v>
      </c>
      <c r="CZ61" s="211">
        <v>285550.16918999999</v>
      </c>
      <c r="DA61" s="211">
        <v>285550.16918999999</v>
      </c>
      <c r="DB61" s="211">
        <v>300550.16918999999</v>
      </c>
      <c r="DC61" s="211">
        <v>300550.16918999999</v>
      </c>
      <c r="DD61" s="211">
        <v>300550.16918999999</v>
      </c>
      <c r="DE61" s="211">
        <v>310550.16918999999</v>
      </c>
      <c r="DF61" s="211">
        <v>310550.16918999999</v>
      </c>
      <c r="DG61" s="211">
        <v>310550.16918999999</v>
      </c>
      <c r="DH61" s="211">
        <v>320550.16918999999</v>
      </c>
      <c r="DI61" s="211">
        <v>320550.16918999999</v>
      </c>
      <c r="DJ61" s="211">
        <v>320550.16918999999</v>
      </c>
      <c r="DK61" s="211">
        <v>355550.16918999999</v>
      </c>
      <c r="DL61" s="211">
        <v>355550.16918999999</v>
      </c>
      <c r="DM61" s="211">
        <v>355550.16918999999</v>
      </c>
      <c r="DN61" s="211">
        <v>390550.16918999999</v>
      </c>
      <c r="DO61" s="211">
        <v>390550.16918999999</v>
      </c>
      <c r="DP61" s="211">
        <v>390550.16918999999</v>
      </c>
      <c r="DQ61" s="211">
        <v>390550.16918999999</v>
      </c>
      <c r="DR61" s="211">
        <v>415550.16918999999</v>
      </c>
      <c r="DS61" s="211">
        <v>415550.16918999999</v>
      </c>
      <c r="DT61" s="211">
        <v>415550.16918999999</v>
      </c>
      <c r="DU61" s="211">
        <v>415550.16918999999</v>
      </c>
      <c r="DV61" s="211">
        <v>415550.16918999999</v>
      </c>
      <c r="DW61" s="211">
        <v>455550.16918999999</v>
      </c>
      <c r="DX61" s="211">
        <v>455550.16918999999</v>
      </c>
      <c r="DY61" s="211">
        <v>455550.16918999999</v>
      </c>
      <c r="DZ61" s="211">
        <v>485550.16918999999</v>
      </c>
      <c r="EA61" s="211">
        <v>485550.16918999999</v>
      </c>
      <c r="EB61" s="211">
        <v>485550.16918999999</v>
      </c>
      <c r="EC61" s="211">
        <v>530550.16919000004</v>
      </c>
      <c r="ED61" s="211">
        <v>530550.16919000004</v>
      </c>
      <c r="EE61" s="211">
        <v>530550.16919000004</v>
      </c>
      <c r="EF61" s="211">
        <v>545550.16919000004</v>
      </c>
      <c r="EG61" s="211">
        <v>545550.16919000004</v>
      </c>
      <c r="EH61" s="211">
        <v>545550.16919000004</v>
      </c>
      <c r="EI61" s="211">
        <v>585550.16919000004</v>
      </c>
      <c r="EJ61" s="211">
        <v>585550.16919000004</v>
      </c>
      <c r="EK61" s="211">
        <v>585550.16919000004</v>
      </c>
      <c r="EL61" s="211">
        <v>605550.16919000004</v>
      </c>
      <c r="EM61" s="211">
        <v>605550.16919000004</v>
      </c>
      <c r="EN61" s="211">
        <v>605550.16919000004</v>
      </c>
      <c r="EO61" s="211">
        <v>640550.16919000004</v>
      </c>
      <c r="EP61" s="211">
        <v>640550.16919000004</v>
      </c>
      <c r="EQ61" s="211">
        <v>640550.16919000004</v>
      </c>
      <c r="ER61" s="211">
        <v>665550.16919000004</v>
      </c>
      <c r="ES61" s="211">
        <v>665550.16919000004</v>
      </c>
      <c r="ET61" s="211">
        <v>665550.16919000004</v>
      </c>
      <c r="EU61" s="211">
        <v>740550.16919000004</v>
      </c>
      <c r="EV61" s="211">
        <v>740550.16919000004</v>
      </c>
      <c r="EW61" s="211">
        <v>740550.16919000004</v>
      </c>
      <c r="EX61" s="211">
        <v>770550.16919000004</v>
      </c>
      <c r="EY61" s="211">
        <v>770550.16919000004</v>
      </c>
      <c r="EZ61" s="211">
        <v>770550.16919000004</v>
      </c>
      <c r="FA61" s="211">
        <v>810550.16919000004</v>
      </c>
      <c r="FB61" s="211">
        <v>810550.16919000004</v>
      </c>
      <c r="FC61" s="211">
        <f>-(VLOOKUP("207",'Input BS ACCTS'!$A$5:$DH$1058,110,FALSE)+VLOOKUP("211",'Input BS ACCTS'!$A$5:$DH$1058,110,FALSE))/1000</f>
        <v>810550.16919000004</v>
      </c>
      <c r="FD61" s="211">
        <f>-(VLOOKUP("207",'Input BS ACCTS'!$A$5:$DH$1058,111,FALSE)+VLOOKUP("211",'Input BS ACCTS'!$A$5:$DH$1058,111,FALSE))/1000</f>
        <v>835550.16919000004</v>
      </c>
      <c r="FE61" s="211">
        <f>-(VLOOKUP("207",'Input BS ACCTS'!$A$5:$DH$1058,112,FALSE)+VLOOKUP("211",'Input BS ACCTS'!$A$5:$DH$1058,112,FALSE))/1000</f>
        <v>870550.16919000004</v>
      </c>
      <c r="FF61" s="403">
        <f t="shared" ref="FF61:FF63" si="97">SUM(ES61:FE61)/13</f>
        <v>769396.32303615392</v>
      </c>
      <c r="FG61" s="700"/>
      <c r="FH61" s="700"/>
      <c r="IJ61" s="35"/>
      <c r="IK61" s="221"/>
      <c r="IL61" s="226"/>
      <c r="IM61" s="35"/>
      <c r="IN61" s="35"/>
      <c r="IO61" s="35"/>
      <c r="IP61" s="35"/>
      <c r="IQ61" s="35"/>
      <c r="IR61" s="35"/>
      <c r="IS61" s="35"/>
      <c r="IT61" s="35"/>
      <c r="IU61" s="35"/>
      <c r="IV61" s="35"/>
      <c r="IW61" s="35"/>
      <c r="IX61" s="35"/>
      <c r="IY61" s="35"/>
    </row>
    <row r="62" spans="1:259">
      <c r="A62" s="166" t="s">
        <v>260</v>
      </c>
      <c r="B62" s="167">
        <v>109294.75547000002</v>
      </c>
      <c r="C62" s="167">
        <v>108229.94647000001</v>
      </c>
      <c r="D62" s="167">
        <v>114558.24647000001</v>
      </c>
      <c r="E62" s="167">
        <v>118603.64147000002</v>
      </c>
      <c r="F62" s="167">
        <v>126091.14847000001</v>
      </c>
      <c r="G62" s="167">
        <v>120646.61447000001</v>
      </c>
      <c r="H62" s="167">
        <v>126151.00147000002</v>
      </c>
      <c r="I62" s="167">
        <v>129965.31547000002</v>
      </c>
      <c r="J62" s="167">
        <v>115600.53347000001</v>
      </c>
      <c r="K62" s="167">
        <v>114806.79447000001</v>
      </c>
      <c r="L62" s="167">
        <v>117053.51447000001</v>
      </c>
      <c r="M62" s="167">
        <v>107798.70347000001</v>
      </c>
      <c r="N62" s="167">
        <v>107151.12447000001</v>
      </c>
      <c r="O62" s="167">
        <v>108917</v>
      </c>
      <c r="P62" s="167">
        <v>107379</v>
      </c>
      <c r="Q62" s="167">
        <v>110951</v>
      </c>
      <c r="R62" s="167">
        <v>118333</v>
      </c>
      <c r="S62" s="167">
        <v>118965</v>
      </c>
      <c r="T62" s="167">
        <v>122503</v>
      </c>
      <c r="U62" s="167">
        <v>125500</v>
      </c>
      <c r="V62" s="167">
        <v>113103.238</v>
      </c>
      <c r="W62" s="167">
        <v>113654.605</v>
      </c>
      <c r="X62" s="167">
        <v>115531.21500000001</v>
      </c>
      <c r="Y62" s="167">
        <v>107431.10881999999</v>
      </c>
      <c r="Z62" s="167">
        <v>109535.76274999999</v>
      </c>
      <c r="AA62" s="167">
        <v>110994.13166</v>
      </c>
      <c r="AB62" s="167">
        <v>110160.34196999999</v>
      </c>
      <c r="AC62" s="167">
        <v>113528.64700000001</v>
      </c>
      <c r="AD62" s="167">
        <v>118624</v>
      </c>
      <c r="AE62" s="167">
        <v>115455.992</v>
      </c>
      <c r="AF62" s="167">
        <v>118617</v>
      </c>
      <c r="AG62" s="167">
        <v>122076.16545999999</v>
      </c>
      <c r="AH62" s="167">
        <v>114016</v>
      </c>
      <c r="AI62" s="195">
        <v>116322.30747000001</v>
      </c>
      <c r="AJ62" s="195">
        <v>118623.31238</v>
      </c>
      <c r="AK62" s="195">
        <v>111459.37164</v>
      </c>
      <c r="AL62" s="195">
        <v>113519.41815</v>
      </c>
      <c r="AM62" s="208">
        <v>107938.38733000001</v>
      </c>
      <c r="AN62" s="208">
        <v>110329.66400999999</v>
      </c>
      <c r="AO62" s="204">
        <v>113360.77571</v>
      </c>
      <c r="AP62" s="204">
        <v>118546.73678000001</v>
      </c>
      <c r="AQ62" s="204">
        <v>116037.67297000001</v>
      </c>
      <c r="AR62" s="204">
        <v>121033.89447</v>
      </c>
      <c r="AS62" s="214">
        <v>125032.48626000001</v>
      </c>
      <c r="AT62" s="214">
        <v>115259.77868999999</v>
      </c>
      <c r="AU62" s="214">
        <v>117152.52176999999</v>
      </c>
      <c r="AV62" s="214">
        <v>108147.84500999999</v>
      </c>
      <c r="AW62" s="214">
        <v>109479.60280000001</v>
      </c>
      <c r="AX62" s="214">
        <v>111504.75254</v>
      </c>
      <c r="AY62" s="214">
        <v>107981.54383</v>
      </c>
      <c r="AZ62" s="214">
        <v>111571.88115</v>
      </c>
      <c r="BA62" s="330">
        <v>113841.66134999999</v>
      </c>
      <c r="BB62" s="330">
        <v>111660.57131</v>
      </c>
      <c r="BC62" s="330">
        <v>116163.19815</v>
      </c>
      <c r="BD62" s="330">
        <v>121045.08171</v>
      </c>
      <c r="BE62" s="330">
        <v>112372.27353999999</v>
      </c>
      <c r="BF62" s="330">
        <v>114186.48793999999</v>
      </c>
      <c r="BG62" s="211">
        <v>116665.03001999999</v>
      </c>
      <c r="BH62" s="211">
        <v>108377.66984</v>
      </c>
      <c r="BI62" s="211">
        <v>110088.73094000001</v>
      </c>
      <c r="BJ62" s="211">
        <v>111423.39767999999</v>
      </c>
      <c r="BK62" s="211">
        <v>107968.84884000001</v>
      </c>
      <c r="BL62" s="211">
        <v>110793.95643999999</v>
      </c>
      <c r="BM62" s="211">
        <v>114523.84291999998</v>
      </c>
      <c r="BN62" s="211">
        <v>120069.51996999999</v>
      </c>
      <c r="BO62" s="211">
        <v>118450.78774</v>
      </c>
      <c r="BP62" s="211">
        <v>122572.27042999999</v>
      </c>
      <c r="BQ62" s="211">
        <v>110707.12529</v>
      </c>
      <c r="BR62" s="211">
        <v>113050.94301999999</v>
      </c>
      <c r="BS62" s="211">
        <v>115846.7638</v>
      </c>
      <c r="BT62" s="211">
        <v>108844.00087999999</v>
      </c>
      <c r="BU62" s="211">
        <v>111355.67753</v>
      </c>
      <c r="BV62" s="211">
        <v>113216.12493999999</v>
      </c>
      <c r="BW62" s="211">
        <v>115381.13481999999</v>
      </c>
      <c r="BX62" s="211">
        <v>110047.09287000001</v>
      </c>
      <c r="BY62" s="211">
        <v>112996.12616</v>
      </c>
      <c r="BZ62" s="211">
        <v>118293.50645</v>
      </c>
      <c r="CA62" s="211">
        <v>117913.11188</v>
      </c>
      <c r="CB62" s="211">
        <v>120286.27734999999</v>
      </c>
      <c r="CC62" s="211">
        <v>123232.29181</v>
      </c>
      <c r="CD62" s="211">
        <v>112306.85191000001</v>
      </c>
      <c r="CE62" s="211">
        <v>105536.92300999998</v>
      </c>
      <c r="CF62" s="211">
        <v>108153.02065999999</v>
      </c>
      <c r="CG62" s="211">
        <v>110172.89644</v>
      </c>
      <c r="CH62" s="211">
        <v>112131.87251999999</v>
      </c>
      <c r="CI62" s="211">
        <v>115075.85338</v>
      </c>
      <c r="CJ62" s="211">
        <v>112221.90700000001</v>
      </c>
      <c r="CK62" s="211">
        <v>114275.15604999999</v>
      </c>
      <c r="CL62" s="211">
        <v>119639.98492999999</v>
      </c>
      <c r="CM62" s="211">
        <v>115503.88343999999</v>
      </c>
      <c r="CN62" s="211">
        <v>120040.67487</v>
      </c>
      <c r="CO62" s="211">
        <v>123871.64290000001</v>
      </c>
      <c r="CP62" s="211">
        <v>116300.72661</v>
      </c>
      <c r="CQ62" s="211">
        <v>118382.34568000001</v>
      </c>
      <c r="CR62" s="211">
        <v>121141.22944</v>
      </c>
      <c r="CS62" s="211">
        <v>111552.00487999999</v>
      </c>
      <c r="CT62" s="211">
        <v>114259.92331</v>
      </c>
      <c r="CU62" s="211">
        <v>116890.07322000001</v>
      </c>
      <c r="CV62" s="211">
        <v>112995.99304</v>
      </c>
      <c r="CW62" s="211">
        <v>118580.11211</v>
      </c>
      <c r="CX62" s="211">
        <v>127882.21840000001</v>
      </c>
      <c r="CY62" s="211">
        <v>118020.16909</v>
      </c>
      <c r="CZ62" s="211">
        <v>119670.73780999999</v>
      </c>
      <c r="DA62" s="211">
        <v>124975.63945</v>
      </c>
      <c r="DB62" s="211">
        <v>112207.66015000001</v>
      </c>
      <c r="DC62" s="211">
        <v>115304.03515</v>
      </c>
      <c r="DD62" s="211">
        <v>118409.30535</v>
      </c>
      <c r="DE62" s="211">
        <v>109851.96798999999</v>
      </c>
      <c r="DF62" s="211">
        <v>113549.9185</v>
      </c>
      <c r="DG62" s="211">
        <v>116353.19173000001</v>
      </c>
      <c r="DH62" s="211">
        <v>110539.73106000001</v>
      </c>
      <c r="DI62" s="211">
        <v>116033.08682</v>
      </c>
      <c r="DJ62" s="211">
        <v>122651.03271</v>
      </c>
      <c r="DK62" s="211">
        <v>116699.20221</v>
      </c>
      <c r="DL62" s="211">
        <v>122195.25251999999</v>
      </c>
      <c r="DM62" s="211">
        <v>127422.18271000001</v>
      </c>
      <c r="DN62" s="211">
        <v>114024.68578</v>
      </c>
      <c r="DO62" s="211">
        <v>117789.85914999999</v>
      </c>
      <c r="DP62" s="211">
        <v>120848.67453</v>
      </c>
      <c r="DQ62" s="211">
        <v>111115.29369000001</v>
      </c>
      <c r="DR62" s="211">
        <v>114799.15332000001</v>
      </c>
      <c r="DS62" s="211">
        <v>118224.76241000001</v>
      </c>
      <c r="DT62" s="211">
        <v>112041.84311999999</v>
      </c>
      <c r="DU62" s="211">
        <v>116103.24680999998</v>
      </c>
      <c r="DV62" s="211">
        <v>123778.86442999999</v>
      </c>
      <c r="DW62" s="211">
        <v>117830.68035</v>
      </c>
      <c r="DX62" s="211">
        <v>122675.46353000001</v>
      </c>
      <c r="DY62" s="211">
        <v>126386.19180999999</v>
      </c>
      <c r="DZ62" s="211">
        <v>111533.67065</v>
      </c>
      <c r="EA62" s="211">
        <v>114743.46379000001</v>
      </c>
      <c r="EB62" s="211">
        <v>117839.59721000001</v>
      </c>
      <c r="EC62" s="211">
        <v>111068.55206</v>
      </c>
      <c r="ED62" s="211">
        <v>114483.90970999999</v>
      </c>
      <c r="EE62" s="211">
        <v>117430.78700999999</v>
      </c>
      <c r="EF62" s="211">
        <v>112251.37008999998</v>
      </c>
      <c r="EG62" s="211">
        <v>116870.93506999999</v>
      </c>
      <c r="EH62" s="211">
        <v>128266.4224</v>
      </c>
      <c r="EI62" s="211">
        <v>123619.7215</v>
      </c>
      <c r="EJ62" s="211">
        <v>131310.52197</v>
      </c>
      <c r="EK62" s="211">
        <v>111908.32908</v>
      </c>
      <c r="EL62" s="211">
        <v>117431.75122000002</v>
      </c>
      <c r="EM62" s="211">
        <v>122874.36940000001</v>
      </c>
      <c r="EN62" s="211">
        <v>127308.97186000001</v>
      </c>
      <c r="EO62" s="211">
        <v>113416.72528999999</v>
      </c>
      <c r="EP62" s="211">
        <v>118972.65316</v>
      </c>
      <c r="EQ62" s="211">
        <v>124078.34031</v>
      </c>
      <c r="ER62" s="211">
        <v>115121.16907999999</v>
      </c>
      <c r="ES62" s="211">
        <v>120983.76886999999</v>
      </c>
      <c r="ET62" s="211">
        <v>130771.70633</v>
      </c>
      <c r="EU62" s="211">
        <v>122850.96669</v>
      </c>
      <c r="EV62" s="211">
        <v>133757.59856000001</v>
      </c>
      <c r="EW62" s="211">
        <v>110923.73589</v>
      </c>
      <c r="EX62" s="211">
        <v>117179.0802</v>
      </c>
      <c r="EY62" s="211">
        <v>123837.64003</v>
      </c>
      <c r="EZ62" s="211">
        <v>128232.83838</v>
      </c>
      <c r="FA62" s="211">
        <v>113171.95388</v>
      </c>
      <c r="FB62" s="211">
        <v>120441.96230999999</v>
      </c>
      <c r="FC62" s="211">
        <f>-(VLOOKUP("216",'Input BS ACCTS'!$A$5:$DH$1058,110,FALSE))/1000</f>
        <v>109018.66183</v>
      </c>
      <c r="FD62" s="211">
        <f>-(VLOOKUP("216",'Input BS ACCTS'!$A$5:$DH$1058,111,FALSE))/1000</f>
        <v>114951.68089</v>
      </c>
      <c r="FE62" s="211">
        <f>-(VLOOKUP("216",'Input BS ACCTS'!$A$5:$DH$1058,112,FALSE))/1000</f>
        <v>121058.80081999999</v>
      </c>
      <c r="FF62" s="403">
        <f t="shared" si="97"/>
        <v>120552.33805230769</v>
      </c>
      <c r="FG62" s="700"/>
      <c r="FH62" s="700"/>
      <c r="IJ62" s="35"/>
      <c r="IK62" s="221"/>
      <c r="IL62" s="226"/>
      <c r="IM62" s="35"/>
      <c r="IN62" s="35"/>
      <c r="IO62" s="35"/>
      <c r="IP62" s="35"/>
      <c r="IQ62" s="35"/>
      <c r="IR62" s="35"/>
      <c r="IS62" s="35"/>
      <c r="IT62" s="35"/>
      <c r="IU62" s="35"/>
      <c r="IV62" s="35"/>
      <c r="IW62" s="35"/>
      <c r="IX62" s="35"/>
      <c r="IY62" s="35"/>
    </row>
    <row r="63" spans="1:259">
      <c r="A63" s="166" t="s">
        <v>261</v>
      </c>
      <c r="B63" s="167">
        <v>-2085.1149999999998</v>
      </c>
      <c r="C63" s="167">
        <v>-2064.9690000000001</v>
      </c>
      <c r="D63" s="167">
        <v>-2044.8230000000001</v>
      </c>
      <c r="E63" s="167">
        <v>-2024.6769999999999</v>
      </c>
      <c r="F63" s="167">
        <v>-2004.5309999999999</v>
      </c>
      <c r="G63" s="167">
        <v>-1984.385</v>
      </c>
      <c r="H63" s="167">
        <v>-1964.239</v>
      </c>
      <c r="I63" s="167">
        <v>-1944.0930000000001</v>
      </c>
      <c r="J63" s="167">
        <v>-1923.9469999999999</v>
      </c>
      <c r="K63" s="167">
        <v>-1903.8009999999999</v>
      </c>
      <c r="L63" s="167">
        <v>-1883.655</v>
      </c>
      <c r="M63" s="167">
        <v>-1863.509</v>
      </c>
      <c r="N63" s="167">
        <v>-1843.3630000000001</v>
      </c>
      <c r="O63" s="167">
        <v>-1823</v>
      </c>
      <c r="P63" s="167">
        <v>-1803</v>
      </c>
      <c r="Q63" s="168">
        <v>-1783</v>
      </c>
      <c r="R63" s="168">
        <v>-1763</v>
      </c>
      <c r="S63" s="168">
        <v>-1743</v>
      </c>
      <c r="T63" s="168">
        <v>-1722</v>
      </c>
      <c r="U63" s="168">
        <v>-1702</v>
      </c>
      <c r="V63" s="168">
        <v>-1682.194</v>
      </c>
      <c r="W63" s="168">
        <v>-1662.048</v>
      </c>
      <c r="X63" s="168">
        <v>-1641.902</v>
      </c>
      <c r="Y63" s="168">
        <v>-1621.7558200000001</v>
      </c>
      <c r="Z63" s="168">
        <v>-1601.60978</v>
      </c>
      <c r="AA63" s="168">
        <v>-1581.4637399999999</v>
      </c>
      <c r="AB63" s="168">
        <v>-1561.3177000000001</v>
      </c>
      <c r="AC63" s="168">
        <v>-1541.172</v>
      </c>
      <c r="AD63" s="168">
        <v>-1521</v>
      </c>
      <c r="AE63" s="168">
        <v>-1500.88</v>
      </c>
      <c r="AF63" s="168">
        <v>-1481</v>
      </c>
      <c r="AG63" s="168">
        <v>-1537.9486100000001</v>
      </c>
      <c r="AH63" s="168">
        <v>-2255.1212300000002</v>
      </c>
      <c r="AI63" s="168">
        <v>-2232.7121899999997</v>
      </c>
      <c r="AJ63" s="168">
        <v>-2210.3031499999979</v>
      </c>
      <c r="AK63" s="168">
        <v>-2187.8941099999993</v>
      </c>
      <c r="AL63" s="168">
        <v>-2165.4850699999997</v>
      </c>
      <c r="AM63" s="189">
        <v>-2143.0760300000002</v>
      </c>
      <c r="AN63" s="189">
        <v>-2120.6669899999997</v>
      </c>
      <c r="AO63" s="205">
        <v>-2098.2579500000002</v>
      </c>
      <c r="AP63" s="205">
        <v>-2075.8489100000002</v>
      </c>
      <c r="AQ63" s="205">
        <v>-2053.4398700000002</v>
      </c>
      <c r="AR63" s="205">
        <v>-2031.0308299999999</v>
      </c>
      <c r="AS63" s="212">
        <v>-2008.6217900000001</v>
      </c>
      <c r="AT63" s="212">
        <v>-1986.2127500000001</v>
      </c>
      <c r="AU63" s="212">
        <v>-1963.8037199999999</v>
      </c>
      <c r="AV63" s="212">
        <v>-1941.3946900000001</v>
      </c>
      <c r="AW63" s="212">
        <v>-1918.9856500000001</v>
      </c>
      <c r="AX63" s="212">
        <v>-1896.5766099999996</v>
      </c>
      <c r="AY63" s="212">
        <v>-1874.1675700000005</v>
      </c>
      <c r="AZ63" s="212">
        <v>-1851.75854</v>
      </c>
      <c r="BA63" s="347">
        <v>-1829.3495</v>
      </c>
      <c r="BB63" s="347">
        <v>-1806.94046</v>
      </c>
      <c r="BC63" s="347">
        <v>-1784.53142</v>
      </c>
      <c r="BD63" s="347">
        <v>-1762.12239</v>
      </c>
      <c r="BE63" s="347">
        <v>-1739.16869</v>
      </c>
      <c r="BF63" s="347">
        <v>-1723.6563899999999</v>
      </c>
      <c r="BG63" s="212">
        <v>-1701.2296899999999</v>
      </c>
      <c r="BH63" s="212">
        <v>-1678.8029799999999</v>
      </c>
      <c r="BI63" s="212">
        <v>-1656.37627</v>
      </c>
      <c r="BJ63" s="212">
        <v>-1633.94956</v>
      </c>
      <c r="BK63" s="212">
        <v>-1611.5228500000001</v>
      </c>
      <c r="BL63" s="212">
        <v>-1589.0961499999999</v>
      </c>
      <c r="BM63" s="212">
        <v>-1566.6694399999999</v>
      </c>
      <c r="BN63" s="212">
        <v>-1544.24272</v>
      </c>
      <c r="BO63" s="212">
        <v>-1521.81601</v>
      </c>
      <c r="BP63" s="212">
        <v>-1493.1001000000001</v>
      </c>
      <c r="BQ63" s="212">
        <v>-1361.6138700000001</v>
      </c>
      <c r="BR63" s="212">
        <v>-1168.9273799999999</v>
      </c>
      <c r="BS63" s="212">
        <v>-1219.53199</v>
      </c>
      <c r="BT63" s="212">
        <v>-1197.69742</v>
      </c>
      <c r="BU63" s="212">
        <v>-1175.86285</v>
      </c>
      <c r="BV63" s="212">
        <v>-1154.02828</v>
      </c>
      <c r="BW63" s="212">
        <v>-1132.19371</v>
      </c>
      <c r="BX63" s="212">
        <v>-1110.3591299999998</v>
      </c>
      <c r="BY63" s="212">
        <v>-1088.5245600000001</v>
      </c>
      <c r="BZ63" s="212">
        <v>-1066.6899799999999</v>
      </c>
      <c r="CA63" s="212">
        <v>-1044.8554200000001</v>
      </c>
      <c r="CB63" s="212">
        <v>-1023.02084</v>
      </c>
      <c r="CC63" s="212">
        <v>-1001.1862600000001</v>
      </c>
      <c r="CD63" s="212">
        <v>-979.35168999999996</v>
      </c>
      <c r="CE63" s="212">
        <v>-957.51711</v>
      </c>
      <c r="CF63" s="212">
        <v>-935.68254999999999</v>
      </c>
      <c r="CG63" s="212">
        <v>-913.84796999999992</v>
      </c>
      <c r="CH63" s="212">
        <v>-892.01340000000005</v>
      </c>
      <c r="CI63" s="212">
        <v>-870.17881999999997</v>
      </c>
      <c r="CJ63" s="212">
        <v>-848.34424999999999</v>
      </c>
      <c r="CK63" s="212">
        <v>-826.50968999999998</v>
      </c>
      <c r="CL63" s="212">
        <v>-804.67511000000002</v>
      </c>
      <c r="CM63" s="212">
        <v>-782.84054000000003</v>
      </c>
      <c r="CN63" s="212">
        <v>-761.00595999999996</v>
      </c>
      <c r="CO63" s="212">
        <v>-739.17138999999997</v>
      </c>
      <c r="CP63" s="212">
        <v>-717.33681999999999</v>
      </c>
      <c r="CQ63" s="212">
        <v>-695.50225</v>
      </c>
      <c r="CR63" s="212">
        <v>-673.66767000000004</v>
      </c>
      <c r="CS63" s="212">
        <v>-651.83309999999994</v>
      </c>
      <c r="CT63" s="212">
        <v>-629.99853000000007</v>
      </c>
      <c r="CU63" s="212">
        <v>-608.16395999999997</v>
      </c>
      <c r="CV63" s="212">
        <v>-586.32938999999999</v>
      </c>
      <c r="CW63" s="212">
        <v>-508.06084000000004</v>
      </c>
      <c r="CX63" s="212">
        <v>-481.52343999999999</v>
      </c>
      <c r="CY63" s="212">
        <v>-454.98603000000003</v>
      </c>
      <c r="CZ63" s="212">
        <v>-428.44862999999998</v>
      </c>
      <c r="DA63" s="212">
        <v>-401.91121999999996</v>
      </c>
      <c r="DB63" s="212">
        <v>-387.61651000000001</v>
      </c>
      <c r="DC63" s="212">
        <v>-385.56428999999997</v>
      </c>
      <c r="DD63" s="212">
        <v>-383.51208000000003</v>
      </c>
      <c r="DE63" s="212">
        <v>-381.45984000000004</v>
      </c>
      <c r="DF63" s="212">
        <v>-379.40762000000001</v>
      </c>
      <c r="DG63" s="212">
        <v>-377.35540000000003</v>
      </c>
      <c r="DH63" s="212">
        <v>-375.30318</v>
      </c>
      <c r="DI63" s="212">
        <v>-373.25094999999999</v>
      </c>
      <c r="DJ63" s="212">
        <v>-371.19872999999995</v>
      </c>
      <c r="DK63" s="212">
        <v>-369.1465</v>
      </c>
      <c r="DL63" s="212">
        <v>-367.09429</v>
      </c>
      <c r="DM63" s="212">
        <v>-365.04207000000002</v>
      </c>
      <c r="DN63" s="212">
        <v>-362.98984999999999</v>
      </c>
      <c r="DO63" s="212">
        <v>-360.93761999999998</v>
      </c>
      <c r="DP63" s="212">
        <v>-358.8854</v>
      </c>
      <c r="DQ63" s="212">
        <v>-356.83317999999997</v>
      </c>
      <c r="DR63" s="212">
        <v>-354.78096999999997</v>
      </c>
      <c r="DS63" s="212">
        <v>-352.72874000000002</v>
      </c>
      <c r="DT63" s="212">
        <v>-350.67652000000004</v>
      </c>
      <c r="DU63" s="212">
        <v>-348.62430000000001</v>
      </c>
      <c r="DV63" s="212">
        <v>-346.57208000000003</v>
      </c>
      <c r="DW63" s="212">
        <v>-344.51984999999996</v>
      </c>
      <c r="DX63" s="212">
        <v>-342.46764000000002</v>
      </c>
      <c r="DY63" s="212">
        <v>-340.41541999999998</v>
      </c>
      <c r="DZ63" s="212">
        <v>-338.36320000000001</v>
      </c>
      <c r="EA63" s="212">
        <v>-336.31097</v>
      </c>
      <c r="EB63" s="212">
        <v>-334.25875000000002</v>
      </c>
      <c r="EC63" s="212">
        <v>-332.20653000000004</v>
      </c>
      <c r="ED63" s="212">
        <v>-330.15431999999998</v>
      </c>
      <c r="EE63" s="212">
        <v>-328.10209000000003</v>
      </c>
      <c r="EF63" s="212">
        <v>-326.04987</v>
      </c>
      <c r="EG63" s="212">
        <v>-323.99765000000002</v>
      </c>
      <c r="EH63" s="212">
        <v>-321.94542999999999</v>
      </c>
      <c r="EI63" s="212">
        <v>-319.89320000000004</v>
      </c>
      <c r="EJ63" s="212">
        <v>-317.84098999999998</v>
      </c>
      <c r="EK63" s="212">
        <v>-315.77598</v>
      </c>
      <c r="EL63" s="212">
        <v>-313.72376000000003</v>
      </c>
      <c r="EM63" s="212">
        <v>-311.67153000000002</v>
      </c>
      <c r="EN63" s="212">
        <v>-309.61930999999998</v>
      </c>
      <c r="EO63" s="212">
        <v>-307.56709000000001</v>
      </c>
      <c r="EP63" s="212">
        <v>-305.51488000000001</v>
      </c>
      <c r="EQ63" s="212">
        <v>-303.46265</v>
      </c>
      <c r="ER63" s="212">
        <v>-301.41043000000002</v>
      </c>
      <c r="ES63" s="212">
        <v>-299.35821000000004</v>
      </c>
      <c r="ET63" s="212">
        <v>-297.30599000000001</v>
      </c>
      <c r="EU63" s="212">
        <v>-295.25376</v>
      </c>
      <c r="EV63" s="212">
        <v>-293.20155</v>
      </c>
      <c r="EW63" s="212">
        <v>-291.14933000000002</v>
      </c>
      <c r="EX63" s="212">
        <v>-289.09710999999999</v>
      </c>
      <c r="EY63" s="212">
        <v>-287.04487999999998</v>
      </c>
      <c r="EZ63" s="212">
        <v>-284.99266</v>
      </c>
      <c r="FA63" s="212">
        <v>-282.94044000000002</v>
      </c>
      <c r="FB63" s="212">
        <v>-280.88822999999996</v>
      </c>
      <c r="FC63" s="212">
        <f>-(VLOOKUP("219",'Input BS ACCTS'!$A$5:$DH$1058,110,FALSE))/1000</f>
        <v>-278.83600000000001</v>
      </c>
      <c r="FD63" s="212">
        <f>-(VLOOKUP("219",'Input BS ACCTS'!$A$5:$DH$1058,111,FALSE))/1000</f>
        <v>-276.78378000000004</v>
      </c>
      <c r="FE63" s="212">
        <f>-(VLOOKUP("219",'Input BS ACCTS'!$A$5:$DH$1058,112,FALSE))/1000</f>
        <v>-274.73156</v>
      </c>
      <c r="FF63" s="403">
        <f t="shared" si="97"/>
        <v>-287.0448846153846</v>
      </c>
      <c r="FG63" s="700"/>
      <c r="FH63" s="700"/>
      <c r="IJ63" s="35"/>
      <c r="IK63" s="221"/>
      <c r="IL63" s="226"/>
      <c r="IM63" s="35"/>
      <c r="IN63" s="35"/>
      <c r="IO63" s="35"/>
      <c r="IP63" s="35"/>
      <c r="IQ63" s="35"/>
      <c r="IR63" s="35"/>
      <c r="IS63" s="35"/>
      <c r="IT63" s="35"/>
      <c r="IU63" s="35"/>
      <c r="IV63" s="35"/>
      <c r="IW63" s="35"/>
      <c r="IX63" s="35"/>
      <c r="IY63" s="35"/>
    </row>
    <row r="64" spans="1:259">
      <c r="A64" s="29" t="s">
        <v>262</v>
      </c>
      <c r="B64" s="111">
        <v>262759.80966000003</v>
      </c>
      <c r="C64" s="111">
        <v>261715.14666</v>
      </c>
      <c r="D64" s="111">
        <v>268063.59266000002</v>
      </c>
      <c r="E64" s="111">
        <v>272129.13365999999</v>
      </c>
      <c r="F64" s="111">
        <v>279636.78665999998</v>
      </c>
      <c r="G64" s="111">
        <v>274212.39866000001</v>
      </c>
      <c r="H64" s="111">
        <v>289736.93166</v>
      </c>
      <c r="I64" s="111">
        <v>293571.39166000002</v>
      </c>
      <c r="J64" s="111">
        <v>279226.75566000002</v>
      </c>
      <c r="K64" s="111">
        <v>278453.16266000003</v>
      </c>
      <c r="L64" s="111">
        <v>280720.02865999995</v>
      </c>
      <c r="M64" s="111">
        <v>271485.36365999997</v>
      </c>
      <c r="N64" s="111">
        <v>270857.93065999995</v>
      </c>
      <c r="O64" s="111">
        <v>272644</v>
      </c>
      <c r="P64" s="111">
        <v>271126</v>
      </c>
      <c r="Q64" s="111">
        <v>274718</v>
      </c>
      <c r="R64" s="111">
        <v>282120</v>
      </c>
      <c r="S64" s="111">
        <v>282772</v>
      </c>
      <c r="T64" s="111">
        <v>286331</v>
      </c>
      <c r="U64" s="111">
        <v>289348</v>
      </c>
      <c r="V64" s="111">
        <v>276971.04399999999</v>
      </c>
      <c r="W64" s="111">
        <v>277542.55699999997</v>
      </c>
      <c r="X64" s="111">
        <v>279439.48200000002</v>
      </c>
      <c r="Y64" s="111">
        <v>271359.35299999994</v>
      </c>
      <c r="Z64" s="111">
        <v>273484.15297</v>
      </c>
      <c r="AA64" s="111">
        <v>274962.66792000004</v>
      </c>
      <c r="AB64" s="111">
        <v>274149.02426999999</v>
      </c>
      <c r="AC64" s="111">
        <v>277537.47499999998</v>
      </c>
      <c r="AD64" s="111">
        <v>282653</v>
      </c>
      <c r="AE64" s="111">
        <v>279505.11199999996</v>
      </c>
      <c r="AF64" s="111">
        <v>282686</v>
      </c>
      <c r="AG64" s="111">
        <v>286088.21684999997</v>
      </c>
      <c r="AH64" s="111">
        <v>277310.87877000001</v>
      </c>
      <c r="AI64" s="111">
        <v>279639.76447000005</v>
      </c>
      <c r="AJ64" s="111">
        <v>281963.17842000001</v>
      </c>
      <c r="AK64" s="111">
        <v>282821.64672000002</v>
      </c>
      <c r="AL64" s="111">
        <v>284904.10227000003</v>
      </c>
      <c r="AM64" s="111">
        <v>279345.48049000005</v>
      </c>
      <c r="AN64" s="111">
        <v>283759.16621</v>
      </c>
      <c r="AO64" s="111">
        <v>286812.68695</v>
      </c>
      <c r="AP64" s="111">
        <v>292021.05706000002</v>
      </c>
      <c r="AQ64" s="111">
        <v>289534.40229</v>
      </c>
      <c r="AR64" s="111">
        <v>294553.03282999998</v>
      </c>
      <c r="AS64" s="111">
        <v>298574.03366000002</v>
      </c>
      <c r="AT64" s="111">
        <v>298823.73512999999</v>
      </c>
      <c r="AU64" s="111">
        <v>300738.88724000001</v>
      </c>
      <c r="AV64" s="111">
        <v>291756.61950999999</v>
      </c>
      <c r="AW64" s="111">
        <v>293110.78634000005</v>
      </c>
      <c r="AX64" s="111">
        <v>295158.34512000001</v>
      </c>
      <c r="AY64" s="111">
        <v>291657.54545000003</v>
      </c>
      <c r="AZ64" s="111">
        <v>295270.29180000001</v>
      </c>
      <c r="BA64" s="360">
        <v>297562.48103999998</v>
      </c>
      <c r="BB64" s="360">
        <v>295403.80004</v>
      </c>
      <c r="BC64" s="360">
        <v>306928.83591999998</v>
      </c>
      <c r="BD64" s="360">
        <v>311833.12851000001</v>
      </c>
      <c r="BE64" s="360">
        <v>303183.27403999999</v>
      </c>
      <c r="BF64" s="360">
        <v>315013.00073999999</v>
      </c>
      <c r="BG64" s="111">
        <v>317513.96951999998</v>
      </c>
      <c r="BH64" s="111">
        <v>309249.03605000005</v>
      </c>
      <c r="BI64" s="111">
        <v>313482.52386000002</v>
      </c>
      <c r="BJ64" s="111">
        <v>314839.61731</v>
      </c>
      <c r="BK64" s="111">
        <v>311407.49518000003</v>
      </c>
      <c r="BL64" s="111">
        <v>319755.02948000003</v>
      </c>
      <c r="BM64" s="111">
        <v>323507.34266999998</v>
      </c>
      <c r="BN64" s="111">
        <v>329075.44644000003</v>
      </c>
      <c r="BO64" s="111">
        <v>327479.14091999998</v>
      </c>
      <c r="BP64" s="111">
        <v>331629.33952000004</v>
      </c>
      <c r="BQ64" s="111">
        <v>319895.68061000004</v>
      </c>
      <c r="BR64" s="111">
        <v>332432.18482999998</v>
      </c>
      <c r="BS64" s="111">
        <v>335177.40100000001</v>
      </c>
      <c r="BT64" s="111">
        <v>328196.47265000001</v>
      </c>
      <c r="BU64" s="111">
        <v>338729.98387000005</v>
      </c>
      <c r="BV64" s="111">
        <v>340612.26584999997</v>
      </c>
      <c r="BW64" s="111">
        <v>342799.1103</v>
      </c>
      <c r="BX64" s="111">
        <v>344486.90293000004</v>
      </c>
      <c r="BY64" s="111">
        <v>347457.77079000004</v>
      </c>
      <c r="BZ64" s="111">
        <v>352776.98566000001</v>
      </c>
      <c r="CA64" s="111">
        <v>352418.42565000005</v>
      </c>
      <c r="CB64" s="111">
        <v>354813.42570000002</v>
      </c>
      <c r="CC64" s="111">
        <v>357781.27474000002</v>
      </c>
      <c r="CD64" s="111">
        <v>346877.66941000003</v>
      </c>
      <c r="CE64" s="111">
        <v>340129.57509</v>
      </c>
      <c r="CF64" s="111">
        <v>342767.5073</v>
      </c>
      <c r="CG64" s="111">
        <v>344809.21766000002</v>
      </c>
      <c r="CH64" s="111">
        <v>346790.02831000002</v>
      </c>
      <c r="CI64" s="111">
        <v>349755.84375000006</v>
      </c>
      <c r="CJ64" s="111">
        <v>346923.73194000003</v>
      </c>
      <c r="CK64" s="111">
        <v>348998.81555000006</v>
      </c>
      <c r="CL64" s="111">
        <f t="shared" ref="CL64:CW64" si="98">SUM(CL61:CL63)</f>
        <v>354385.47901000001</v>
      </c>
      <c r="CM64" s="111">
        <f t="shared" si="98"/>
        <v>357271.21208999999</v>
      </c>
      <c r="CN64" s="111">
        <f t="shared" si="98"/>
        <v>361829.83810000005</v>
      </c>
      <c r="CO64" s="111">
        <f t="shared" si="98"/>
        <v>365682.64070000005</v>
      </c>
      <c r="CP64" s="111">
        <f t="shared" si="98"/>
        <v>374133.55897999997</v>
      </c>
      <c r="CQ64" s="111">
        <f t="shared" si="98"/>
        <v>376237.01261999999</v>
      </c>
      <c r="CR64" s="111">
        <f t="shared" si="98"/>
        <v>379017.73096000002</v>
      </c>
      <c r="CS64" s="111">
        <f t="shared" si="98"/>
        <v>379450.34096999996</v>
      </c>
      <c r="CT64" s="111">
        <f t="shared" si="98"/>
        <v>382180.09396999999</v>
      </c>
      <c r="CU64" s="111">
        <f t="shared" si="98"/>
        <v>384832.07845000003</v>
      </c>
      <c r="CV64" s="111">
        <f t="shared" si="98"/>
        <v>387959.83283999999</v>
      </c>
      <c r="CW64" s="111">
        <f t="shared" si="98"/>
        <v>393622.22045999998</v>
      </c>
      <c r="CX64" s="111">
        <f t="shared" ref="CX64:DC64" si="99">SUM(CX61:CX63)</f>
        <v>402950.86414999998</v>
      </c>
      <c r="CY64" s="111">
        <f t="shared" si="99"/>
        <v>403115.35225</v>
      </c>
      <c r="CZ64" s="111">
        <f t="shared" si="99"/>
        <v>404792.45837000001</v>
      </c>
      <c r="DA64" s="111">
        <f t="shared" si="99"/>
        <v>410123.89741999999</v>
      </c>
      <c r="DB64" s="111">
        <f t="shared" si="99"/>
        <v>412370.21282999997</v>
      </c>
      <c r="DC64" s="111">
        <f t="shared" si="99"/>
        <v>415468.64004999999</v>
      </c>
      <c r="DD64" s="111">
        <f t="shared" ref="DD64:DI64" si="100">SUM(DD61:DD63)</f>
        <v>418575.96245999995</v>
      </c>
      <c r="DE64" s="111">
        <f t="shared" si="100"/>
        <v>420020.67733999994</v>
      </c>
      <c r="DF64" s="111">
        <f t="shared" si="100"/>
        <v>423720.68006999994</v>
      </c>
      <c r="DG64" s="111">
        <f t="shared" si="100"/>
        <v>426526.00552000001</v>
      </c>
      <c r="DH64" s="111">
        <f t="shared" si="100"/>
        <v>430714.59707000002</v>
      </c>
      <c r="DI64" s="111">
        <f t="shared" si="100"/>
        <v>436210.00506</v>
      </c>
      <c r="DJ64" s="111">
        <f t="shared" ref="DJ64:DP64" si="101">SUM(DJ61:DJ63)</f>
        <v>442830.00316999998</v>
      </c>
      <c r="DK64" s="111">
        <f t="shared" si="101"/>
        <v>471880.22490000003</v>
      </c>
      <c r="DL64" s="111">
        <f t="shared" si="101"/>
        <v>477378.32741999999</v>
      </c>
      <c r="DM64" s="111">
        <f t="shared" si="101"/>
        <v>482607.30982999998</v>
      </c>
      <c r="DN64" s="111">
        <f t="shared" si="101"/>
        <v>504211.86511999997</v>
      </c>
      <c r="DO64" s="111">
        <f t="shared" si="101"/>
        <v>507979.09071999998</v>
      </c>
      <c r="DP64" s="111">
        <f t="shared" si="101"/>
        <v>511039.95831999998</v>
      </c>
      <c r="DQ64" s="111">
        <f t="shared" ref="DQ64:DX64" si="102">SUM(DQ61:DQ63)</f>
        <v>501308.62969999999</v>
      </c>
      <c r="DR64" s="111">
        <f t="shared" si="102"/>
        <v>529994.54154000001</v>
      </c>
      <c r="DS64" s="111">
        <f t="shared" si="102"/>
        <v>533422.20285999996</v>
      </c>
      <c r="DT64" s="111">
        <f t="shared" si="102"/>
        <v>527241.33579000004</v>
      </c>
      <c r="DU64" s="111">
        <f t="shared" si="102"/>
        <v>531304.79169999994</v>
      </c>
      <c r="DV64" s="111">
        <f t="shared" si="102"/>
        <v>538982.46154000005</v>
      </c>
      <c r="DW64" s="111">
        <f t="shared" si="102"/>
        <v>573036.32968999993</v>
      </c>
      <c r="DX64" s="111">
        <f t="shared" si="102"/>
        <v>577883.16507999995</v>
      </c>
      <c r="DY64" s="111">
        <f t="shared" ref="DY64:ED64" si="103">SUM(DY61:DY63)</f>
        <v>581595.94558000006</v>
      </c>
      <c r="DZ64" s="111">
        <f t="shared" si="103"/>
        <v>596745.47664000001</v>
      </c>
      <c r="EA64" s="111">
        <f t="shared" si="103"/>
        <v>599957.32201</v>
      </c>
      <c r="EB64" s="111">
        <f t="shared" si="103"/>
        <v>603055.50764999993</v>
      </c>
      <c r="EC64" s="111">
        <f t="shared" si="103"/>
        <v>641286.51472000009</v>
      </c>
      <c r="ED64" s="111">
        <f t="shared" si="103"/>
        <v>644703.92458000011</v>
      </c>
      <c r="EE64" s="111">
        <f t="shared" ref="EE64:EJ64" si="104">SUM(EE61:EE63)</f>
        <v>647652.85411000007</v>
      </c>
      <c r="EF64" s="111">
        <f t="shared" si="104"/>
        <v>657475.48941000004</v>
      </c>
      <c r="EG64" s="111">
        <f t="shared" si="104"/>
        <v>662097.10661000002</v>
      </c>
      <c r="EH64" s="111">
        <f t="shared" si="104"/>
        <v>673494.64616000012</v>
      </c>
      <c r="EI64" s="111">
        <f t="shared" si="104"/>
        <v>708849.99748999998</v>
      </c>
      <c r="EJ64" s="111">
        <f t="shared" si="104"/>
        <v>716542.85016999999</v>
      </c>
      <c r="EK64" s="111">
        <f t="shared" ref="EK64:EP64" si="105">SUM(EK61:EK63)</f>
        <v>697142.72229000006</v>
      </c>
      <c r="EL64" s="111">
        <f t="shared" si="105"/>
        <v>722668.19665000006</v>
      </c>
      <c r="EM64" s="111">
        <f t="shared" si="105"/>
        <v>728112.86705999996</v>
      </c>
      <c r="EN64" s="111">
        <f t="shared" si="105"/>
        <v>732549.52174000011</v>
      </c>
      <c r="EO64" s="111">
        <f t="shared" si="105"/>
        <v>753659.32738999999</v>
      </c>
      <c r="EP64" s="111">
        <f t="shared" si="105"/>
        <v>759217.30747</v>
      </c>
      <c r="EQ64" s="111">
        <f t="shared" ref="EQ64:FF64" si="106">SUM(EQ61:EQ63)</f>
        <v>764325.04685000004</v>
      </c>
      <c r="ER64" s="111">
        <f t="shared" si="106"/>
        <v>780369.92784000002</v>
      </c>
      <c r="ES64" s="111">
        <f t="shared" si="106"/>
        <v>786234.5798500001</v>
      </c>
      <c r="ET64" s="111">
        <f t="shared" si="106"/>
        <v>796024.56952999998</v>
      </c>
      <c r="EU64" s="111">
        <f t="shared" si="106"/>
        <v>863105.88212000008</v>
      </c>
      <c r="EV64" s="111">
        <f t="shared" si="106"/>
        <v>874014.56620000012</v>
      </c>
      <c r="EW64" s="111">
        <f t="shared" ref="EW64:EY64" si="107">SUM(EW61:EW63)</f>
        <v>851182.75575000001</v>
      </c>
      <c r="EX64" s="111">
        <f t="shared" si="107"/>
        <v>887440.15228000004</v>
      </c>
      <c r="EY64" s="111">
        <f t="shared" si="107"/>
        <v>894100.76434000011</v>
      </c>
      <c r="EZ64" s="111">
        <f t="shared" ref="EZ64:FB64" si="108">SUM(EZ61:EZ63)</f>
        <v>898498.01491000003</v>
      </c>
      <c r="FA64" s="111">
        <f t="shared" si="108"/>
        <v>923439.18263000005</v>
      </c>
      <c r="FB64" s="111">
        <f t="shared" si="108"/>
        <v>930711.24326999998</v>
      </c>
      <c r="FC64" s="111">
        <f t="shared" ref="FC64:FE64" si="109">SUM(FC61:FC63)</f>
        <v>919289.99502000003</v>
      </c>
      <c r="FD64" s="111">
        <f t="shared" si="109"/>
        <v>950225.06629999995</v>
      </c>
      <c r="FE64" s="111">
        <f t="shared" si="109"/>
        <v>991334.23845000006</v>
      </c>
      <c r="FF64" s="360">
        <f t="shared" si="106"/>
        <v>889661.61620384629</v>
      </c>
      <c r="FG64" s="111"/>
      <c r="FH64" s="111"/>
      <c r="IJ64" s="35"/>
      <c r="IK64" s="220"/>
      <c r="IL64" s="226"/>
      <c r="IM64" s="35"/>
      <c r="IN64" s="35"/>
      <c r="IO64" s="35"/>
      <c r="IP64" s="35"/>
      <c r="IQ64" s="35"/>
      <c r="IR64" s="35"/>
      <c r="IS64" s="35"/>
      <c r="IT64" s="35"/>
      <c r="IU64" s="35"/>
      <c r="IV64" s="35"/>
      <c r="IW64" s="35"/>
      <c r="IX64" s="35"/>
      <c r="IY64" s="35"/>
    </row>
    <row r="65" spans="1:259">
      <c r="A65" s="30"/>
      <c r="B65" s="111">
        <v>0</v>
      </c>
      <c r="C65" s="111">
        <v>0</v>
      </c>
      <c r="D65" s="111">
        <v>0</v>
      </c>
      <c r="E65" s="111">
        <v>0</v>
      </c>
      <c r="F65" s="111">
        <v>0</v>
      </c>
      <c r="G65" s="111">
        <v>0</v>
      </c>
      <c r="H65" s="111">
        <v>0</v>
      </c>
      <c r="I65" s="111">
        <v>0</v>
      </c>
      <c r="J65" s="111">
        <v>0</v>
      </c>
      <c r="K65" s="111">
        <v>0</v>
      </c>
      <c r="L65" s="111">
        <v>0</v>
      </c>
      <c r="M65" s="111">
        <v>0</v>
      </c>
      <c r="N65" s="111">
        <v>0</v>
      </c>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360"/>
      <c r="BB65" s="360"/>
      <c r="BC65" s="360"/>
      <c r="BD65" s="360"/>
      <c r="BE65" s="360"/>
      <c r="BF65" s="360"/>
      <c r="BG65" s="111"/>
      <c r="BH65" s="111"/>
      <c r="BI65" s="111"/>
      <c r="BJ65" s="111"/>
      <c r="BK65" s="111"/>
      <c r="BL65" s="111"/>
      <c r="BM65" s="111"/>
      <c r="BN65" s="111"/>
      <c r="BO65" s="111"/>
      <c r="BP65" s="111"/>
      <c r="BQ65" s="111"/>
      <c r="BR65" s="111"/>
      <c r="BS65" s="111"/>
      <c r="BT65" s="111"/>
      <c r="BU65" s="111"/>
      <c r="BV65" s="111"/>
      <c r="BW65" s="111"/>
      <c r="BX65" s="111"/>
      <c r="BY65" s="111"/>
      <c r="BZ65" s="111"/>
      <c r="CA65" s="111"/>
      <c r="CB65" s="111"/>
      <c r="CC65" s="111"/>
      <c r="CD65" s="111"/>
      <c r="CE65" s="111"/>
      <c r="CF65" s="111"/>
      <c r="CG65" s="111"/>
      <c r="CH65" s="111"/>
      <c r="CI65" s="111"/>
      <c r="CJ65" s="111"/>
      <c r="CK65" s="111"/>
      <c r="CL65" s="111"/>
      <c r="CM65" s="111"/>
      <c r="CN65" s="111"/>
      <c r="CO65" s="111"/>
      <c r="CP65" s="111"/>
      <c r="CQ65" s="111"/>
      <c r="CR65" s="111"/>
      <c r="CS65" s="111"/>
      <c r="CT65" s="111"/>
      <c r="CU65" s="111"/>
      <c r="CV65" s="111"/>
      <c r="CW65" s="111"/>
      <c r="CX65" s="111"/>
      <c r="CY65" s="111"/>
      <c r="CZ65" s="111"/>
      <c r="DA65" s="111"/>
      <c r="DB65" s="111"/>
      <c r="DC65" s="111"/>
      <c r="DD65" s="111"/>
      <c r="DE65" s="111"/>
      <c r="DF65" s="111"/>
      <c r="DG65" s="111"/>
      <c r="DH65" s="111"/>
      <c r="DI65" s="111"/>
      <c r="DJ65" s="111"/>
      <c r="DK65" s="111"/>
      <c r="DL65" s="111"/>
      <c r="DM65" s="111"/>
      <c r="DN65" s="111"/>
      <c r="DO65" s="111"/>
      <c r="DP65" s="111"/>
      <c r="DQ65" s="111"/>
      <c r="DR65" s="111"/>
      <c r="DS65" s="111"/>
      <c r="DT65" s="111"/>
      <c r="DU65" s="111"/>
      <c r="DV65" s="111"/>
      <c r="DW65" s="111"/>
      <c r="DX65" s="111"/>
      <c r="DY65" s="111"/>
      <c r="DZ65" s="111"/>
      <c r="EA65" s="111"/>
      <c r="EB65" s="111"/>
      <c r="EC65" s="111"/>
      <c r="ED65" s="111"/>
      <c r="EE65" s="111"/>
      <c r="EF65" s="111"/>
      <c r="EG65" s="111"/>
      <c r="EH65" s="111"/>
      <c r="EI65" s="111"/>
      <c r="EJ65" s="111"/>
      <c r="EK65" s="111"/>
      <c r="EL65" s="111"/>
      <c r="EM65" s="111"/>
      <c r="EN65" s="111"/>
      <c r="EO65" s="111"/>
      <c r="EP65" s="111"/>
      <c r="EQ65" s="111"/>
      <c r="ER65" s="111"/>
      <c r="ES65" s="111"/>
      <c r="ET65" s="111"/>
      <c r="EU65" s="111"/>
      <c r="EV65" s="111"/>
      <c r="EW65" s="111"/>
      <c r="EX65" s="111"/>
      <c r="EY65" s="111"/>
      <c r="EZ65" s="111"/>
      <c r="FA65" s="111"/>
      <c r="FB65" s="111"/>
      <c r="FC65" s="111"/>
      <c r="FD65" s="111"/>
      <c r="FE65" s="111"/>
      <c r="FF65" s="111"/>
      <c r="FG65" s="111"/>
      <c r="FH65" s="111"/>
      <c r="IJ65" s="35"/>
      <c r="IK65" s="220"/>
      <c r="IL65" s="226"/>
      <c r="IM65" s="35"/>
      <c r="IN65" s="35"/>
      <c r="IO65" s="35"/>
      <c r="IP65" s="35"/>
      <c r="IQ65" s="35"/>
      <c r="IR65" s="35"/>
      <c r="IS65" s="35"/>
      <c r="IT65" s="35"/>
      <c r="IU65" s="35"/>
      <c r="IV65" s="35"/>
      <c r="IW65" s="35"/>
      <c r="IX65" s="35"/>
      <c r="IY65" s="35"/>
    </row>
    <row r="66" spans="1:259">
      <c r="A66" s="27" t="s">
        <v>401</v>
      </c>
      <c r="B66" s="107">
        <v>230500</v>
      </c>
      <c r="C66" s="107">
        <v>230500</v>
      </c>
      <c r="D66" s="107">
        <v>230500</v>
      </c>
      <c r="E66" s="107">
        <v>230500</v>
      </c>
      <c r="F66" s="107">
        <v>230500</v>
      </c>
      <c r="G66" s="107">
        <v>230500</v>
      </c>
      <c r="H66" s="107">
        <v>230500</v>
      </c>
      <c r="I66" s="107">
        <v>230500</v>
      </c>
      <c r="J66" s="107">
        <v>230500</v>
      </c>
      <c r="K66" s="107">
        <v>230500</v>
      </c>
      <c r="L66" s="107">
        <v>226800</v>
      </c>
      <c r="M66" s="107">
        <v>226800</v>
      </c>
      <c r="N66" s="107">
        <v>226800</v>
      </c>
      <c r="O66" s="107">
        <v>226800</v>
      </c>
      <c r="P66" s="107">
        <v>226800</v>
      </c>
      <c r="Q66" s="107">
        <v>226800</v>
      </c>
      <c r="R66" s="107">
        <v>226800</v>
      </c>
      <c r="S66" s="107">
        <v>226800</v>
      </c>
      <c r="T66" s="107">
        <v>226800</v>
      </c>
      <c r="U66" s="107">
        <v>226800</v>
      </c>
      <c r="V66" s="107">
        <v>226800</v>
      </c>
      <c r="W66" s="107">
        <v>226800</v>
      </c>
      <c r="X66" s="107">
        <v>223400</v>
      </c>
      <c r="Y66" s="107">
        <v>223400</v>
      </c>
      <c r="Z66" s="107">
        <v>223400</v>
      </c>
      <c r="AA66" s="107">
        <v>223400</v>
      </c>
      <c r="AB66" s="107">
        <v>223400</v>
      </c>
      <c r="AC66" s="107">
        <v>223400</v>
      </c>
      <c r="AD66" s="107">
        <v>223400</v>
      </c>
      <c r="AE66" s="107">
        <v>223400</v>
      </c>
      <c r="AF66" s="107">
        <v>223400</v>
      </c>
      <c r="AG66" s="107">
        <v>223400</v>
      </c>
      <c r="AH66" s="107">
        <v>223400</v>
      </c>
      <c r="AI66" s="107">
        <v>254434.08</v>
      </c>
      <c r="AJ66" s="185">
        <v>251034.08</v>
      </c>
      <c r="AK66" s="185">
        <v>206764.68</v>
      </c>
      <c r="AL66" s="185">
        <v>231764.68</v>
      </c>
      <c r="AM66" s="204">
        <v>231764.68</v>
      </c>
      <c r="AN66" s="204">
        <v>231764.68</v>
      </c>
      <c r="AO66" s="204">
        <v>231764.68</v>
      </c>
      <c r="AP66" s="204">
        <v>231764.68</v>
      </c>
      <c r="AQ66" s="204">
        <v>231764.68</v>
      </c>
      <c r="AR66" s="204">
        <v>231764.68</v>
      </c>
      <c r="AS66" s="178">
        <v>231764.68</v>
      </c>
      <c r="AT66" s="178">
        <v>231764.68</v>
      </c>
      <c r="AU66" s="178">
        <v>231764.68</v>
      </c>
      <c r="AV66" s="178">
        <v>231764.68</v>
      </c>
      <c r="AW66" s="178">
        <v>231764.68</v>
      </c>
      <c r="AX66" s="178">
        <v>231764.68</v>
      </c>
      <c r="AY66" s="178">
        <v>231764.68</v>
      </c>
      <c r="AZ66" s="178">
        <v>231764.68</v>
      </c>
      <c r="BA66" s="330">
        <v>231764.68</v>
      </c>
      <c r="BB66" s="330">
        <v>231764.68</v>
      </c>
      <c r="BC66" s="330">
        <v>231764.68</v>
      </c>
      <c r="BD66" s="330">
        <v>231764.68</v>
      </c>
      <c r="BE66" s="330">
        <v>231764.68</v>
      </c>
      <c r="BF66" s="330">
        <v>241764.68</v>
      </c>
      <c r="BG66" s="211">
        <v>241764.68</v>
      </c>
      <c r="BH66" s="211">
        <v>241764.68</v>
      </c>
      <c r="BI66" s="211">
        <v>241764.68</v>
      </c>
      <c r="BJ66" s="211">
        <v>241764.68</v>
      </c>
      <c r="BK66" s="211">
        <v>241764.68</v>
      </c>
      <c r="BL66" s="211">
        <v>241764.68</v>
      </c>
      <c r="BM66" s="211">
        <v>241764.68</v>
      </c>
      <c r="BN66" s="211">
        <v>241764.68</v>
      </c>
      <c r="BO66" s="211">
        <v>241764.68</v>
      </c>
      <c r="BP66" s="211">
        <v>241764.68</v>
      </c>
      <c r="BQ66" s="211">
        <v>241764.68</v>
      </c>
      <c r="BR66" s="211">
        <v>261764.68</v>
      </c>
      <c r="BS66" s="211">
        <v>261764.68</v>
      </c>
      <c r="BT66" s="211">
        <v>261764.68</v>
      </c>
      <c r="BU66" s="211">
        <v>261764.68</v>
      </c>
      <c r="BV66" s="211">
        <v>261764.68</v>
      </c>
      <c r="BW66" s="211">
        <v>261764.68</v>
      </c>
      <c r="BX66" s="211">
        <v>261764.68</v>
      </c>
      <c r="BY66" s="211">
        <v>261764.68</v>
      </c>
      <c r="BZ66" s="211">
        <v>261764.68</v>
      </c>
      <c r="CA66" s="211">
        <v>261764.68</v>
      </c>
      <c r="CB66" s="211">
        <v>261764.68</v>
      </c>
      <c r="CC66" s="211">
        <v>261764.68</v>
      </c>
      <c r="CD66" s="211">
        <v>261764.68</v>
      </c>
      <c r="CE66" s="211">
        <v>261764.68</v>
      </c>
      <c r="CF66" s="211">
        <v>261764.68</v>
      </c>
      <c r="CG66" s="211">
        <v>261764.68</v>
      </c>
      <c r="CH66" s="211">
        <v>261764.68</v>
      </c>
      <c r="CI66" s="211">
        <v>261764.68</v>
      </c>
      <c r="CJ66" s="211">
        <v>261764.68</v>
      </c>
      <c r="CK66" s="211">
        <v>261764.68</v>
      </c>
      <c r="CL66" s="211">
        <v>261764.68</v>
      </c>
      <c r="CM66" s="211">
        <v>261764.68</v>
      </c>
      <c r="CN66" s="211">
        <v>261764.68</v>
      </c>
      <c r="CO66" s="211">
        <v>261764.68</v>
      </c>
      <c r="CP66" s="211">
        <v>261764.68</v>
      </c>
      <c r="CQ66" s="211">
        <v>261764.68</v>
      </c>
      <c r="CR66" s="211">
        <v>261764.68</v>
      </c>
      <c r="CS66" s="211">
        <v>261764.68</v>
      </c>
      <c r="CT66" s="211">
        <v>261764.68</v>
      </c>
      <c r="CU66" s="211">
        <v>261764.68</v>
      </c>
      <c r="CV66" s="211">
        <v>261764.68</v>
      </c>
      <c r="CW66" s="211">
        <v>261764.68</v>
      </c>
      <c r="CX66" s="211">
        <v>261764.68</v>
      </c>
      <c r="CY66" s="211">
        <v>261764.68</v>
      </c>
      <c r="CZ66" s="211">
        <v>261764.68</v>
      </c>
      <c r="DA66" s="211">
        <v>261764.68</v>
      </c>
      <c r="DB66" s="211">
        <v>211764.68</v>
      </c>
      <c r="DC66" s="211">
        <v>286764.68</v>
      </c>
      <c r="DD66" s="211">
        <v>286764.68</v>
      </c>
      <c r="DE66" s="211">
        <v>286764.68</v>
      </c>
      <c r="DF66" s="211">
        <v>286764.68</v>
      </c>
      <c r="DG66" s="211">
        <v>311764.68</v>
      </c>
      <c r="DH66" s="211">
        <v>311764.68</v>
      </c>
      <c r="DI66" s="211">
        <v>311764.68</v>
      </c>
      <c r="DJ66" s="211">
        <v>311764.68</v>
      </c>
      <c r="DK66" s="211">
        <v>311764.68</v>
      </c>
      <c r="DL66" s="211">
        <v>311764.68</v>
      </c>
      <c r="DM66" s="211">
        <v>311764.68</v>
      </c>
      <c r="DN66" s="211">
        <v>311764.68</v>
      </c>
      <c r="DO66" s="211">
        <v>311764.68</v>
      </c>
      <c r="DP66" s="211">
        <v>336764.68</v>
      </c>
      <c r="DQ66" s="211">
        <v>336764.68</v>
      </c>
      <c r="DR66" s="211">
        <v>336764.68</v>
      </c>
      <c r="DS66" s="211">
        <v>336764.68</v>
      </c>
      <c r="DT66" s="211">
        <v>336764.68</v>
      </c>
      <c r="DU66" s="211">
        <v>336764.68</v>
      </c>
      <c r="DV66" s="211">
        <v>336764.68</v>
      </c>
      <c r="DW66" s="211">
        <v>336764.68</v>
      </c>
      <c r="DX66" s="211">
        <v>336764.68</v>
      </c>
      <c r="DY66" s="211">
        <v>336764.68</v>
      </c>
      <c r="DZ66" s="211">
        <v>336764.68</v>
      </c>
      <c r="EA66" s="211">
        <v>336764.68</v>
      </c>
      <c r="EB66" s="211">
        <v>336764.68</v>
      </c>
      <c r="EC66" s="211">
        <v>336764.68</v>
      </c>
      <c r="ED66" s="211">
        <v>336764.68</v>
      </c>
      <c r="EE66" s="211">
        <v>336764.68</v>
      </c>
      <c r="EF66" s="211">
        <v>336764.68</v>
      </c>
      <c r="EG66" s="211">
        <v>336764.68</v>
      </c>
      <c r="EH66" s="211">
        <v>336764.68</v>
      </c>
      <c r="EI66" s="211">
        <v>336764.68</v>
      </c>
      <c r="EJ66" s="211">
        <v>566764.68000000005</v>
      </c>
      <c r="EK66" s="211">
        <v>566764.68000000005</v>
      </c>
      <c r="EL66" s="211">
        <v>520000</v>
      </c>
      <c r="EM66" s="211">
        <v>520000</v>
      </c>
      <c r="EN66" s="211">
        <v>520000</v>
      </c>
      <c r="EO66" s="211">
        <v>520000</v>
      </c>
      <c r="EP66" s="211">
        <v>520000</v>
      </c>
      <c r="EQ66" s="211">
        <v>520000</v>
      </c>
      <c r="ER66" s="211">
        <v>520000</v>
      </c>
      <c r="ES66" s="211">
        <v>520000</v>
      </c>
      <c r="ET66" s="211">
        <v>520000</v>
      </c>
      <c r="EU66" s="211">
        <v>520000</v>
      </c>
      <c r="EV66" s="211">
        <v>520000</v>
      </c>
      <c r="EW66" s="211">
        <v>520000</v>
      </c>
      <c r="EX66" s="211">
        <v>520000</v>
      </c>
      <c r="EY66" s="211">
        <v>520000</v>
      </c>
      <c r="EZ66" s="211">
        <v>595000</v>
      </c>
      <c r="FA66" s="211">
        <v>595000</v>
      </c>
      <c r="FB66" s="211">
        <v>570000</v>
      </c>
      <c r="FC66" s="211">
        <f>-(VLOOKUP("224",'Input BS ACCTS'!$A$5:$DH$1058,110,FALSE))/1000</f>
        <v>570000</v>
      </c>
      <c r="FD66" s="211">
        <f>-(VLOOKUP("224",'Input BS ACCTS'!$A$5:$DH$1058,111,FALSE))/1000</f>
        <v>570000</v>
      </c>
      <c r="FE66" s="211">
        <f>-(VLOOKUP("224",'Input BS ACCTS'!$A$5:$DH$1058,112,FALSE))/1000</f>
        <v>570000</v>
      </c>
      <c r="FF66" s="403">
        <f t="shared" ref="FF66:FF68" si="110">SUM(ES66:FE66)/13</f>
        <v>546923.07692307688</v>
      </c>
      <c r="FG66" s="700"/>
      <c r="FH66" s="700"/>
      <c r="IJ66" s="35"/>
      <c r="IK66" s="221"/>
      <c r="IL66" s="226"/>
      <c r="IM66" s="35"/>
      <c r="IN66" s="35"/>
      <c r="IO66" s="35"/>
      <c r="IP66" s="35"/>
      <c r="IQ66" s="35"/>
      <c r="IR66" s="35"/>
      <c r="IS66" s="35"/>
      <c r="IT66" s="35"/>
      <c r="IU66" s="35"/>
      <c r="IV66" s="35"/>
      <c r="IW66" s="35"/>
      <c r="IX66" s="35"/>
      <c r="IY66" s="35"/>
    </row>
    <row r="67" spans="1:259">
      <c r="A67" s="27" t="s">
        <v>402</v>
      </c>
      <c r="B67" s="107">
        <v>0</v>
      </c>
      <c r="C67" s="107">
        <v>0</v>
      </c>
      <c r="D67" s="107">
        <v>0</v>
      </c>
      <c r="E67" s="107">
        <v>0</v>
      </c>
      <c r="F67" s="107">
        <v>0</v>
      </c>
      <c r="G67" s="107">
        <v>0</v>
      </c>
      <c r="H67" s="107">
        <v>0</v>
      </c>
      <c r="I67" s="107">
        <v>0</v>
      </c>
      <c r="J67" s="107">
        <v>0</v>
      </c>
      <c r="K67" s="107">
        <v>0</v>
      </c>
      <c r="L67" s="107">
        <v>0</v>
      </c>
      <c r="M67" s="107">
        <v>0</v>
      </c>
      <c r="N67" s="107">
        <v>0</v>
      </c>
      <c r="O67" s="107">
        <v>0</v>
      </c>
      <c r="P67" s="107">
        <v>0</v>
      </c>
      <c r="Q67" s="107">
        <v>0</v>
      </c>
      <c r="R67" s="107"/>
      <c r="S67" s="107">
        <v>0</v>
      </c>
      <c r="T67" s="107">
        <v>0</v>
      </c>
      <c r="U67" s="107">
        <v>0</v>
      </c>
      <c r="V67" s="107">
        <v>0</v>
      </c>
      <c r="W67" s="107">
        <v>0</v>
      </c>
      <c r="X67" s="107">
        <v>0</v>
      </c>
      <c r="Y67" s="107">
        <v>0</v>
      </c>
      <c r="Z67" s="107">
        <v>0</v>
      </c>
      <c r="AA67" s="107">
        <v>0</v>
      </c>
      <c r="AB67" s="107">
        <v>0</v>
      </c>
      <c r="AC67" s="107">
        <v>0</v>
      </c>
      <c r="AD67" s="107">
        <v>0</v>
      </c>
      <c r="AE67" s="107"/>
      <c r="AF67" s="107"/>
      <c r="AG67" s="107"/>
      <c r="AH67" s="107"/>
      <c r="AI67" s="107"/>
      <c r="AJ67" s="185">
        <v>0</v>
      </c>
      <c r="AK67" s="185">
        <v>0</v>
      </c>
      <c r="AL67" s="185">
        <v>0</v>
      </c>
      <c r="AM67" s="204">
        <v>0</v>
      </c>
      <c r="AN67" s="204">
        <v>0</v>
      </c>
      <c r="AO67" s="204">
        <v>0</v>
      </c>
      <c r="AP67" s="204">
        <v>0</v>
      </c>
      <c r="AQ67" s="204">
        <v>0</v>
      </c>
      <c r="AR67" s="204">
        <v>0</v>
      </c>
      <c r="AS67" s="178">
        <v>0</v>
      </c>
      <c r="AT67" s="178">
        <v>0</v>
      </c>
      <c r="AU67" s="178">
        <v>0</v>
      </c>
      <c r="AV67" s="178">
        <v>0</v>
      </c>
      <c r="AW67" s="178">
        <v>0</v>
      </c>
      <c r="AX67" s="178">
        <v>0</v>
      </c>
      <c r="AY67" s="178">
        <v>0</v>
      </c>
      <c r="AZ67" s="178">
        <v>0</v>
      </c>
      <c r="BA67" s="330">
        <v>0</v>
      </c>
      <c r="BB67" s="330">
        <v>0</v>
      </c>
      <c r="BC67" s="330">
        <v>0</v>
      </c>
      <c r="BD67" s="330">
        <v>0</v>
      </c>
      <c r="BE67" s="330">
        <v>0</v>
      </c>
      <c r="BF67" s="330">
        <v>0</v>
      </c>
      <c r="BG67" s="211">
        <v>0</v>
      </c>
      <c r="BH67" s="211">
        <v>0</v>
      </c>
      <c r="BI67" s="211">
        <v>0</v>
      </c>
      <c r="BJ67" s="211">
        <v>0</v>
      </c>
      <c r="BK67" s="211">
        <v>0</v>
      </c>
      <c r="BL67" s="211">
        <v>0</v>
      </c>
      <c r="BM67" s="211">
        <v>0</v>
      </c>
      <c r="BN67" s="211">
        <v>0</v>
      </c>
      <c r="BO67" s="211">
        <v>0</v>
      </c>
      <c r="BP67" s="211">
        <v>0</v>
      </c>
      <c r="BQ67" s="211">
        <v>0</v>
      </c>
      <c r="BR67" s="211">
        <v>0</v>
      </c>
      <c r="BS67" s="211">
        <v>0</v>
      </c>
      <c r="BT67" s="211">
        <v>0</v>
      </c>
      <c r="BU67" s="211">
        <v>0</v>
      </c>
      <c r="BV67" s="211">
        <v>0</v>
      </c>
      <c r="BW67" s="211">
        <v>0</v>
      </c>
      <c r="BX67" s="211">
        <v>0</v>
      </c>
      <c r="BY67" s="211">
        <v>0</v>
      </c>
      <c r="BZ67" s="211">
        <v>0</v>
      </c>
      <c r="CA67" s="211">
        <v>0</v>
      </c>
      <c r="CB67" s="211">
        <v>0</v>
      </c>
      <c r="CC67" s="211">
        <v>0</v>
      </c>
      <c r="CD67" s="211">
        <v>0</v>
      </c>
      <c r="CE67" s="211">
        <v>0</v>
      </c>
      <c r="CF67" s="211">
        <v>0</v>
      </c>
      <c r="CG67" s="211">
        <v>0</v>
      </c>
      <c r="CH67" s="211">
        <v>0</v>
      </c>
      <c r="CI67" s="211">
        <v>0</v>
      </c>
      <c r="CJ67" s="211">
        <v>0</v>
      </c>
      <c r="CK67" s="211">
        <v>0</v>
      </c>
      <c r="CL67" s="211">
        <v>0</v>
      </c>
      <c r="CM67" s="211">
        <v>0</v>
      </c>
      <c r="CN67" s="211">
        <v>0</v>
      </c>
      <c r="CO67" s="211">
        <v>0</v>
      </c>
      <c r="CP67" s="211">
        <v>0</v>
      </c>
      <c r="CQ67" s="211">
        <v>0</v>
      </c>
      <c r="CR67" s="211">
        <v>0</v>
      </c>
      <c r="CS67" s="211">
        <v>0</v>
      </c>
      <c r="CT67" s="211">
        <v>0</v>
      </c>
      <c r="CU67" s="211">
        <v>0</v>
      </c>
      <c r="CV67" s="211">
        <v>0</v>
      </c>
      <c r="CW67" s="211">
        <v>0</v>
      </c>
      <c r="CX67" s="211">
        <v>0</v>
      </c>
      <c r="CY67" s="211">
        <v>0</v>
      </c>
      <c r="CZ67" s="211">
        <v>0</v>
      </c>
      <c r="DA67" s="211">
        <v>0</v>
      </c>
      <c r="DB67" s="211">
        <v>0</v>
      </c>
      <c r="DC67" s="211">
        <v>0</v>
      </c>
      <c r="DD67" s="211">
        <v>0</v>
      </c>
      <c r="DE67" s="211">
        <v>0</v>
      </c>
      <c r="DF67" s="211">
        <v>0</v>
      </c>
      <c r="DG67" s="211">
        <v>0</v>
      </c>
      <c r="DH67" s="211">
        <v>0</v>
      </c>
      <c r="DI67" s="211">
        <v>0</v>
      </c>
      <c r="DJ67" s="211">
        <v>0</v>
      </c>
      <c r="DK67" s="211">
        <v>0</v>
      </c>
      <c r="DL67" s="211">
        <v>0</v>
      </c>
      <c r="DM67" s="211">
        <v>0</v>
      </c>
      <c r="DN67" s="211">
        <v>0</v>
      </c>
      <c r="DO67" s="211">
        <v>0</v>
      </c>
      <c r="DP67" s="211">
        <v>0</v>
      </c>
      <c r="DQ67" s="211">
        <v>0</v>
      </c>
      <c r="DR67" s="211">
        <v>0</v>
      </c>
      <c r="DS67" s="211">
        <v>0</v>
      </c>
      <c r="DT67" s="211">
        <v>0</v>
      </c>
      <c r="DU67" s="211">
        <v>0</v>
      </c>
      <c r="DV67" s="211">
        <v>0</v>
      </c>
      <c r="DW67" s="211">
        <v>0</v>
      </c>
      <c r="DX67" s="211">
        <v>0</v>
      </c>
      <c r="DY67" s="211">
        <v>0</v>
      </c>
      <c r="DZ67" s="211">
        <v>0</v>
      </c>
      <c r="EA67" s="211">
        <v>0</v>
      </c>
      <c r="EB67" s="211">
        <v>0</v>
      </c>
      <c r="EC67" s="211">
        <v>0</v>
      </c>
      <c r="ED67" s="211">
        <v>0</v>
      </c>
      <c r="EE67" s="211">
        <v>0</v>
      </c>
      <c r="EF67" s="211">
        <v>0</v>
      </c>
      <c r="EG67" s="211">
        <v>0</v>
      </c>
      <c r="EH67" s="211">
        <v>0</v>
      </c>
      <c r="EI67" s="211">
        <v>0</v>
      </c>
      <c r="EJ67" s="211">
        <v>0</v>
      </c>
      <c r="EK67" s="211">
        <v>0</v>
      </c>
      <c r="EL67" s="211">
        <v>0</v>
      </c>
      <c r="EM67" s="211">
        <v>0</v>
      </c>
      <c r="EN67" s="211">
        <v>0</v>
      </c>
      <c r="EO67" s="211">
        <v>0</v>
      </c>
      <c r="EP67" s="211">
        <v>0</v>
      </c>
      <c r="EQ67" s="211">
        <v>0</v>
      </c>
      <c r="ER67" s="211">
        <v>0</v>
      </c>
      <c r="ES67" s="211">
        <v>0</v>
      </c>
      <c r="ET67" s="211">
        <v>0</v>
      </c>
      <c r="EU67" s="211">
        <v>0</v>
      </c>
      <c r="EV67" s="211">
        <v>0</v>
      </c>
      <c r="EW67" s="211">
        <v>0</v>
      </c>
      <c r="EX67" s="211">
        <v>0</v>
      </c>
      <c r="EY67" s="211">
        <v>0</v>
      </c>
      <c r="EZ67" s="211">
        <v>0</v>
      </c>
      <c r="FA67" s="211">
        <v>0</v>
      </c>
      <c r="FB67" s="211">
        <v>0</v>
      </c>
      <c r="FC67" s="211">
        <v>0</v>
      </c>
      <c r="FD67" s="211">
        <v>0</v>
      </c>
      <c r="FE67" s="211">
        <v>0</v>
      </c>
      <c r="FF67" s="403">
        <f t="shared" si="110"/>
        <v>0</v>
      </c>
      <c r="FG67" s="700"/>
      <c r="FH67" s="700"/>
      <c r="IJ67" s="35"/>
      <c r="IK67" s="221"/>
      <c r="IL67" s="226"/>
      <c r="IM67" s="35"/>
      <c r="IN67" s="35"/>
      <c r="IO67" s="35"/>
      <c r="IP67" s="35"/>
      <c r="IQ67" s="35"/>
      <c r="IR67" s="35"/>
      <c r="IS67" s="35"/>
      <c r="IT67" s="35"/>
      <c r="IU67" s="35"/>
      <c r="IV67" s="35"/>
      <c r="IW67" s="35"/>
      <c r="IX67" s="35"/>
      <c r="IY67" s="35"/>
    </row>
    <row r="68" spans="1:259">
      <c r="A68" s="27" t="s">
        <v>265</v>
      </c>
      <c r="B68" s="110">
        <v>-515.01133000000004</v>
      </c>
      <c r="C68" s="110">
        <v>-508.10333000000003</v>
      </c>
      <c r="D68" s="110">
        <v>-501.19533000000001</v>
      </c>
      <c r="E68" s="110">
        <v>-494.28733</v>
      </c>
      <c r="F68" s="110">
        <v>-487.37933000000004</v>
      </c>
      <c r="G68" s="110">
        <v>-480.47133000000002</v>
      </c>
      <c r="H68" s="110">
        <v>-473.56333000000001</v>
      </c>
      <c r="I68" s="110">
        <v>-466.65532999999999</v>
      </c>
      <c r="J68" s="110">
        <v>-459.74733000000003</v>
      </c>
      <c r="K68" s="110">
        <v>-452.83933000000002</v>
      </c>
      <c r="L68" s="110">
        <v>-445.93133</v>
      </c>
      <c r="M68" s="110">
        <v>-439.02333000000004</v>
      </c>
      <c r="N68" s="110">
        <v>-432.11533000000003</v>
      </c>
      <c r="O68" s="110">
        <v>-425</v>
      </c>
      <c r="P68" s="110">
        <v>-418</v>
      </c>
      <c r="Q68" s="110">
        <v>-411</v>
      </c>
      <c r="R68" s="110">
        <v>-404</v>
      </c>
      <c r="S68" s="110">
        <v>-398</v>
      </c>
      <c r="T68" s="110">
        <v>-391</v>
      </c>
      <c r="U68" s="110">
        <v>-384</v>
      </c>
      <c r="V68" s="110">
        <v>-377</v>
      </c>
      <c r="W68" s="110">
        <v>-370</v>
      </c>
      <c r="X68" s="110">
        <v>-363.03699999999998</v>
      </c>
      <c r="Y68" s="110">
        <v>-356</v>
      </c>
      <c r="Z68" s="110">
        <v>-349</v>
      </c>
      <c r="AA68" s="110">
        <v>-342</v>
      </c>
      <c r="AB68" s="110">
        <v>-335</v>
      </c>
      <c r="AC68" s="110">
        <v>-328.49700000000001</v>
      </c>
      <c r="AD68" s="110">
        <v>-322</v>
      </c>
      <c r="AE68" s="110">
        <v>-315</v>
      </c>
      <c r="AF68" s="110">
        <v>-308</v>
      </c>
      <c r="AG68" s="110">
        <v>-301</v>
      </c>
      <c r="AH68" s="110">
        <v>-294</v>
      </c>
      <c r="AI68" s="110">
        <v>-424.66644000000008</v>
      </c>
      <c r="AJ68" s="110">
        <v>-418.65434000000005</v>
      </c>
      <c r="AK68" s="110">
        <v>-417.32601</v>
      </c>
      <c r="AL68" s="110">
        <v>-446.49768</v>
      </c>
      <c r="AM68" s="205">
        <v>-444.91518000000002</v>
      </c>
      <c r="AN68" s="205">
        <v>-443.33267999999998</v>
      </c>
      <c r="AO68" s="205">
        <v>-441.75018</v>
      </c>
      <c r="AP68" s="205">
        <v>-440.16768000000002</v>
      </c>
      <c r="AQ68" s="205">
        <v>-438.58517999999998</v>
      </c>
      <c r="AR68" s="205">
        <v>-437.00268</v>
      </c>
      <c r="AS68" s="213">
        <v>-435.42018000000002</v>
      </c>
      <c r="AT68" s="213">
        <v>-433.83767999999998</v>
      </c>
      <c r="AU68" s="213">
        <v>-432.25518</v>
      </c>
      <c r="AV68" s="213">
        <v>-430.67268000000001</v>
      </c>
      <c r="AW68" s="213">
        <v>-429.09017999999998</v>
      </c>
      <c r="AX68" s="213">
        <v>-427.50767999999999</v>
      </c>
      <c r="AY68" s="213">
        <v>-425.92518000000001</v>
      </c>
      <c r="AZ68" s="213">
        <v>-424.34267999999997</v>
      </c>
      <c r="BA68" s="347">
        <v>-422.76017999999999</v>
      </c>
      <c r="BB68" s="347">
        <v>-421.17768000000001</v>
      </c>
      <c r="BC68" s="347">
        <v>-419.59517999999997</v>
      </c>
      <c r="BD68" s="347">
        <v>-418.01267999999999</v>
      </c>
      <c r="BE68" s="347">
        <v>-416.43018000000001</v>
      </c>
      <c r="BF68" s="347">
        <v>-421.54768000000001</v>
      </c>
      <c r="BG68" s="212">
        <v>-419.93726000000004</v>
      </c>
      <c r="BH68" s="212">
        <v>-418.33615000000003</v>
      </c>
      <c r="BI68" s="212">
        <v>-416.73503999999997</v>
      </c>
      <c r="BJ68" s="212">
        <v>-415.13393000000002</v>
      </c>
      <c r="BK68" s="212">
        <v>-413.53282000000002</v>
      </c>
      <c r="BL68" s="212">
        <v>-411.93171000000001</v>
      </c>
      <c r="BM68" s="212">
        <v>-410.3306</v>
      </c>
      <c r="BN68" s="212">
        <v>-408.72949</v>
      </c>
      <c r="BO68" s="212">
        <v>-407.12837999999999</v>
      </c>
      <c r="BP68" s="212">
        <v>-405.52727000000004</v>
      </c>
      <c r="BQ68" s="212">
        <v>-403.92615999999998</v>
      </c>
      <c r="BR68" s="212">
        <v>-439.52504999999996</v>
      </c>
      <c r="BS68" s="212">
        <v>-437.81940999999995</v>
      </c>
      <c r="BT68" s="212">
        <v>-436.11496999999997</v>
      </c>
      <c r="BU68" s="212">
        <v>-434.41053000000005</v>
      </c>
      <c r="BV68" s="212">
        <v>-432.70609000000002</v>
      </c>
      <c r="BW68" s="212">
        <v>-431.00165000000004</v>
      </c>
      <c r="BX68" s="212">
        <v>-429.29721000000001</v>
      </c>
      <c r="BY68" s="212">
        <v>-427.59277000000003</v>
      </c>
      <c r="BZ68" s="212">
        <v>-425.88833</v>
      </c>
      <c r="CA68" s="212">
        <v>-424.18389000000002</v>
      </c>
      <c r="CB68" s="212">
        <v>-422.47944999999999</v>
      </c>
      <c r="CC68" s="212">
        <v>-420.77501000000001</v>
      </c>
      <c r="CD68" s="212">
        <v>-419.07057000000003</v>
      </c>
      <c r="CE68" s="212">
        <v>-417.36613</v>
      </c>
      <c r="CF68" s="212">
        <v>-415.66169000000002</v>
      </c>
      <c r="CG68" s="212">
        <v>-413.95724999999999</v>
      </c>
      <c r="CH68" s="212">
        <v>-412.25281000000001</v>
      </c>
      <c r="CI68" s="212">
        <v>-410.54836999999998</v>
      </c>
      <c r="CJ68" s="212">
        <v>-408.84393</v>
      </c>
      <c r="CK68" s="212">
        <v>-407.13948999999997</v>
      </c>
      <c r="CL68" s="212">
        <v>-405.43504999999999</v>
      </c>
      <c r="CM68" s="212">
        <v>-403.73061000000001</v>
      </c>
      <c r="CN68" s="212">
        <v>-402.02616999999998</v>
      </c>
      <c r="CO68" s="212">
        <v>-400.32173</v>
      </c>
      <c r="CP68" s="212">
        <v>-398.61728999999997</v>
      </c>
      <c r="CQ68" s="212">
        <v>-396.91284999999999</v>
      </c>
      <c r="CR68" s="212">
        <v>-395.20840999999996</v>
      </c>
      <c r="CS68" s="212">
        <v>-393.50396999999998</v>
      </c>
      <c r="CT68" s="212">
        <v>-391.79953</v>
      </c>
      <c r="CU68" s="212">
        <v>-390.09509000000003</v>
      </c>
      <c r="CV68" s="212">
        <v>-388.39065000000005</v>
      </c>
      <c r="CW68" s="212">
        <v>-386.68621000000002</v>
      </c>
      <c r="CX68" s="212">
        <v>-384.98177000000004</v>
      </c>
      <c r="CY68" s="212">
        <v>-383.27733000000001</v>
      </c>
      <c r="CZ68" s="212">
        <v>-381.57289000000003</v>
      </c>
      <c r="DA68" s="212">
        <v>-379.86845</v>
      </c>
      <c r="DB68" s="212">
        <v>-378.16401000000002</v>
      </c>
      <c r="DC68" s="212">
        <v>-571.30250999999998</v>
      </c>
      <c r="DD68" s="212">
        <v>-774.52298999999994</v>
      </c>
      <c r="DE68" s="212">
        <v>-771.70187999999996</v>
      </c>
      <c r="DF68" s="212">
        <v>-768.88076999999998</v>
      </c>
      <c r="DG68" s="212">
        <v>-893.46370999999999</v>
      </c>
      <c r="DH68" s="212">
        <v>-890.29544999999996</v>
      </c>
      <c r="DI68" s="212">
        <v>-887.12718999999993</v>
      </c>
      <c r="DJ68" s="212">
        <v>-883.95893000000001</v>
      </c>
      <c r="DK68" s="212">
        <v>-880.79067000000009</v>
      </c>
      <c r="DL68" s="212">
        <v>-877.62241000000006</v>
      </c>
      <c r="DM68" s="212">
        <v>-874.45415000000003</v>
      </c>
      <c r="DN68" s="212">
        <v>-871.28588999999999</v>
      </c>
      <c r="DO68" s="212">
        <v>-868.11762999999996</v>
      </c>
      <c r="DP68" s="212">
        <v>-1171.44937</v>
      </c>
      <c r="DQ68" s="212">
        <v>-1167.4566100000002</v>
      </c>
      <c r="DR68" s="212">
        <v>-1163.4621999999999</v>
      </c>
      <c r="DS68" s="212">
        <v>-1159.4677900000002</v>
      </c>
      <c r="DT68" s="212">
        <v>-1155.4733799999999</v>
      </c>
      <c r="DU68" s="212">
        <v>-1151.4789699999999</v>
      </c>
      <c r="DV68" s="212">
        <v>-1147.4845600000001</v>
      </c>
      <c r="DW68" s="212">
        <v>-1143.4901499999999</v>
      </c>
      <c r="DX68" s="212">
        <v>-1139.4957400000001</v>
      </c>
      <c r="DY68" s="212">
        <v>-1135.5013300000001</v>
      </c>
      <c r="DZ68" s="212">
        <v>-1131.50692</v>
      </c>
      <c r="EA68" s="212">
        <v>-1127.51251</v>
      </c>
      <c r="EB68" s="212">
        <v>-1123.5181</v>
      </c>
      <c r="EC68" s="212">
        <v>-1119.52369</v>
      </c>
      <c r="ED68" s="212">
        <v>-1115.52928</v>
      </c>
      <c r="EE68" s="212">
        <v>-1111.5348700000002</v>
      </c>
      <c r="EF68" s="212">
        <v>-1107.5404599999999</v>
      </c>
      <c r="EG68" s="212">
        <v>-1103.5460500000002</v>
      </c>
      <c r="EH68" s="212">
        <v>-1099.5516399999999</v>
      </c>
      <c r="EI68" s="212">
        <v>-1095.5572299999999</v>
      </c>
      <c r="EJ68" s="212">
        <v>-1719.07629</v>
      </c>
      <c r="EK68" s="212">
        <v>-1711.4238500000001</v>
      </c>
      <c r="EL68" s="212">
        <v>-1703.5929099999998</v>
      </c>
      <c r="EM68" s="212">
        <v>-1695.76197</v>
      </c>
      <c r="EN68" s="212">
        <v>-1687.93103</v>
      </c>
      <c r="EO68" s="212">
        <v>-1680.1000900000001</v>
      </c>
      <c r="EP68" s="212">
        <v>-1672.2691499999999</v>
      </c>
      <c r="EQ68" s="212">
        <v>-1664.43821</v>
      </c>
      <c r="ER68" s="212">
        <v>-1656.60727</v>
      </c>
      <c r="ES68" s="212">
        <v>-1648.7763300000001</v>
      </c>
      <c r="ET68" s="212">
        <v>-1640.9453899999999</v>
      </c>
      <c r="EU68" s="212">
        <v>-1633.11445</v>
      </c>
      <c r="EV68" s="212">
        <v>-1625.28351</v>
      </c>
      <c r="EW68" s="212">
        <v>-1617.4525700000002</v>
      </c>
      <c r="EX68" s="212">
        <v>-1609.6216299999999</v>
      </c>
      <c r="EY68" s="212">
        <v>-1601.79069</v>
      </c>
      <c r="EZ68" s="212">
        <v>-1654.0476999999998</v>
      </c>
      <c r="FA68" s="212">
        <v>-1645.4918300000002</v>
      </c>
      <c r="FB68" s="212">
        <v>-1636.93596</v>
      </c>
      <c r="FC68" s="212">
        <f>-(VLOOKUP("226",'Input BS ACCTS'!$A$5:$DH$1058,110,FALSE))/1000</f>
        <v>-1628.63426</v>
      </c>
      <c r="FD68" s="212">
        <f>-(VLOOKUP("226",'Input BS ACCTS'!$A$5:$DH$1058,111,FALSE))/1000</f>
        <v>-1620.3325600000001</v>
      </c>
      <c r="FE68" s="212">
        <f>-(VLOOKUP("226",'Input BS ACCTS'!$A$5:$DH$1058,112,FALSE))/1000</f>
        <v>-1612.0308600000001</v>
      </c>
      <c r="FF68" s="403">
        <f t="shared" si="110"/>
        <v>-1628.8044415384613</v>
      </c>
      <c r="FG68" s="700"/>
      <c r="FH68" s="700"/>
      <c r="IJ68" s="35"/>
      <c r="IK68" s="221"/>
      <c r="IL68" s="226"/>
      <c r="IM68" s="35"/>
      <c r="IN68" s="35"/>
      <c r="IO68" s="35"/>
      <c r="IP68" s="35"/>
      <c r="IQ68" s="35"/>
      <c r="IR68" s="35"/>
      <c r="IS68" s="35"/>
      <c r="IT68" s="35"/>
      <c r="IU68" s="35"/>
      <c r="IV68" s="35"/>
      <c r="IW68" s="35"/>
      <c r="IX68" s="35"/>
      <c r="IY68" s="35"/>
    </row>
    <row r="69" spans="1:259">
      <c r="A69" s="29" t="s">
        <v>266</v>
      </c>
      <c r="B69" s="115">
        <v>229984.98866999999</v>
      </c>
      <c r="C69" s="115">
        <v>229991.89666999999</v>
      </c>
      <c r="D69" s="115">
        <v>229998.80467000001</v>
      </c>
      <c r="E69" s="115">
        <v>230005.71267000001</v>
      </c>
      <c r="F69" s="115">
        <v>230012.62067</v>
      </c>
      <c r="G69" s="115">
        <v>230019.52867</v>
      </c>
      <c r="H69" s="115">
        <v>230026.43667</v>
      </c>
      <c r="I69" s="115">
        <v>230033.34466999999</v>
      </c>
      <c r="J69" s="115">
        <v>230040.25266999999</v>
      </c>
      <c r="K69" s="115">
        <v>230047.16067000001</v>
      </c>
      <c r="L69" s="115">
        <v>226354.06867000001</v>
      </c>
      <c r="M69" s="115">
        <v>226360.97667</v>
      </c>
      <c r="N69" s="115">
        <v>226367.88467</v>
      </c>
      <c r="O69" s="115">
        <v>226375</v>
      </c>
      <c r="P69" s="115">
        <v>226382</v>
      </c>
      <c r="Q69" s="115">
        <v>226389</v>
      </c>
      <c r="R69" s="115">
        <v>226396</v>
      </c>
      <c r="S69" s="115">
        <v>226402</v>
      </c>
      <c r="T69" s="115">
        <v>226409</v>
      </c>
      <c r="U69" s="115">
        <v>226416</v>
      </c>
      <c r="V69" s="115">
        <v>226423</v>
      </c>
      <c r="W69" s="115">
        <v>226430</v>
      </c>
      <c r="X69" s="115">
        <v>223036.96299999999</v>
      </c>
      <c r="Y69" s="115">
        <v>223044</v>
      </c>
      <c r="Z69" s="115">
        <v>223051</v>
      </c>
      <c r="AA69" s="115">
        <v>223058</v>
      </c>
      <c r="AB69" s="115">
        <v>223065</v>
      </c>
      <c r="AC69" s="115">
        <v>223071.503</v>
      </c>
      <c r="AD69" s="115">
        <v>223078</v>
      </c>
      <c r="AE69" s="115">
        <v>223085</v>
      </c>
      <c r="AF69" s="115">
        <v>223092</v>
      </c>
      <c r="AG69" s="115">
        <v>223099</v>
      </c>
      <c r="AH69" s="115">
        <v>223106</v>
      </c>
      <c r="AI69" s="115">
        <v>254009.41355999999</v>
      </c>
      <c r="AJ69" s="115">
        <v>250615.42565999998</v>
      </c>
      <c r="AK69" s="115">
        <v>206347.35399</v>
      </c>
      <c r="AL69" s="115">
        <v>231318.18231999999</v>
      </c>
      <c r="AM69" s="115">
        <v>231319.76481999998</v>
      </c>
      <c r="AN69" s="115">
        <v>231321.34732</v>
      </c>
      <c r="AO69" s="115">
        <v>231322.92981999999</v>
      </c>
      <c r="AP69" s="115">
        <v>231324.51231999998</v>
      </c>
      <c r="AQ69" s="115">
        <v>231326.09482</v>
      </c>
      <c r="AR69" s="115">
        <v>231327.67731999999</v>
      </c>
      <c r="AS69" s="115">
        <v>231329.25982000001</v>
      </c>
      <c r="AT69" s="115">
        <v>231330.84232</v>
      </c>
      <c r="AU69" s="115">
        <v>231332.42481999999</v>
      </c>
      <c r="AV69" s="115">
        <v>231334.00732</v>
      </c>
      <c r="AW69" s="115">
        <v>231335.58981999999</v>
      </c>
      <c r="AX69" s="115">
        <v>231337.17231999998</v>
      </c>
      <c r="AY69" s="115">
        <v>231338.75482</v>
      </c>
      <c r="AZ69" s="115">
        <v>231340.33731999999</v>
      </c>
      <c r="BA69" s="361">
        <v>231341.91981999998</v>
      </c>
      <c r="BB69" s="361">
        <v>231343.50232</v>
      </c>
      <c r="BC69" s="361">
        <v>231345.08481999999</v>
      </c>
      <c r="BD69" s="361">
        <v>231346.66731999998</v>
      </c>
      <c r="BE69" s="361">
        <v>231348.24982</v>
      </c>
      <c r="BF69" s="361">
        <v>241343.13232</v>
      </c>
      <c r="BG69" s="115">
        <v>241344.74273999999</v>
      </c>
      <c r="BH69" s="115">
        <v>241346.34385</v>
      </c>
      <c r="BI69" s="115">
        <v>241347.94495999999</v>
      </c>
      <c r="BJ69" s="115">
        <v>241349.54606999998</v>
      </c>
      <c r="BK69" s="115">
        <v>241351.14718</v>
      </c>
      <c r="BL69" s="115">
        <v>241352.74828999999</v>
      </c>
      <c r="BM69" s="115">
        <v>241354.34940000001</v>
      </c>
      <c r="BN69" s="115">
        <v>241355.95051</v>
      </c>
      <c r="BO69" s="115">
        <v>241357.55161999998</v>
      </c>
      <c r="BP69" s="115">
        <v>241359.15273</v>
      </c>
      <c r="BQ69" s="115">
        <v>241360.75383999999</v>
      </c>
      <c r="BR69" s="115">
        <v>261325.15495</v>
      </c>
      <c r="BS69" s="115">
        <v>261326.86059</v>
      </c>
      <c r="BT69" s="115">
        <v>261328.56503</v>
      </c>
      <c r="BU69" s="115">
        <v>261330.26947</v>
      </c>
      <c r="BV69" s="115">
        <v>261331.97391</v>
      </c>
      <c r="BW69" s="115">
        <v>261333.67835</v>
      </c>
      <c r="BX69" s="115">
        <v>261335.38279</v>
      </c>
      <c r="BY69" s="115">
        <v>261337.08723</v>
      </c>
      <c r="BZ69" s="115">
        <v>261338.79167000001</v>
      </c>
      <c r="CA69" s="115">
        <v>261340.49611000001</v>
      </c>
      <c r="CB69" s="115">
        <v>261342.20054999998</v>
      </c>
      <c r="CC69" s="115">
        <v>261343.90498999998</v>
      </c>
      <c r="CD69" s="115">
        <v>261345.60942999998</v>
      </c>
      <c r="CE69" s="115">
        <v>261347.31386999998</v>
      </c>
      <c r="CF69" s="115">
        <v>261349.01830999998</v>
      </c>
      <c r="CG69" s="115">
        <v>261350.72274999999</v>
      </c>
      <c r="CH69" s="115">
        <v>261352.42718999999</v>
      </c>
      <c r="CI69" s="115">
        <v>261354.13162999999</v>
      </c>
      <c r="CJ69" s="115">
        <v>261355.83606999999</v>
      </c>
      <c r="CK69" s="115">
        <v>261357.54050999999</v>
      </c>
      <c r="CL69" s="115">
        <f t="shared" ref="CL69:CW69" si="111">SUM(CL66:CL68)</f>
        <v>261359.24494999999</v>
      </c>
      <c r="CM69" s="115">
        <f t="shared" si="111"/>
        <v>261360.94938999999</v>
      </c>
      <c r="CN69" s="115">
        <f t="shared" si="111"/>
        <v>261362.65383</v>
      </c>
      <c r="CO69" s="115">
        <f t="shared" si="111"/>
        <v>261364.35827</v>
      </c>
      <c r="CP69" s="115">
        <f t="shared" si="111"/>
        <v>261366.06271</v>
      </c>
      <c r="CQ69" s="115">
        <f t="shared" si="111"/>
        <v>261367.76715</v>
      </c>
      <c r="CR69" s="115">
        <f t="shared" si="111"/>
        <v>261369.47159</v>
      </c>
      <c r="CS69" s="115">
        <f t="shared" si="111"/>
        <v>261371.17603</v>
      </c>
      <c r="CT69" s="115">
        <f t="shared" si="111"/>
        <v>261372.88047</v>
      </c>
      <c r="CU69" s="115">
        <f t="shared" si="111"/>
        <v>261374.58491000001</v>
      </c>
      <c r="CV69" s="115">
        <f t="shared" si="111"/>
        <v>261376.28935000001</v>
      </c>
      <c r="CW69" s="115">
        <f t="shared" si="111"/>
        <v>261377.99378999998</v>
      </c>
      <c r="CX69" s="115">
        <f t="shared" ref="CX69:DC69" si="112">SUM(CX66:CX68)</f>
        <v>261379.69822999998</v>
      </c>
      <c r="CY69" s="115">
        <f t="shared" si="112"/>
        <v>261381.40266999998</v>
      </c>
      <c r="CZ69" s="115">
        <f t="shared" si="112"/>
        <v>261383.10710999998</v>
      </c>
      <c r="DA69" s="115">
        <f t="shared" si="112"/>
        <v>261384.81154999998</v>
      </c>
      <c r="DB69" s="115">
        <f t="shared" si="112"/>
        <v>211386.51598999999</v>
      </c>
      <c r="DC69" s="115">
        <f t="shared" si="112"/>
        <v>286193.37748999998</v>
      </c>
      <c r="DD69" s="115">
        <f t="shared" ref="DD69:DI69" si="113">SUM(DD66:DD68)</f>
        <v>285990.15700999997</v>
      </c>
      <c r="DE69" s="115">
        <f t="shared" si="113"/>
        <v>285992.97811999999</v>
      </c>
      <c r="DF69" s="115">
        <f t="shared" si="113"/>
        <v>285995.79923</v>
      </c>
      <c r="DG69" s="115">
        <f t="shared" si="113"/>
        <v>310871.21629000001</v>
      </c>
      <c r="DH69" s="115">
        <f t="shared" si="113"/>
        <v>310874.38455000002</v>
      </c>
      <c r="DI69" s="115">
        <f t="shared" si="113"/>
        <v>310877.55280999996</v>
      </c>
      <c r="DJ69" s="115">
        <f t="shared" ref="DJ69:DP69" si="114">SUM(DJ66:DJ68)</f>
        <v>310880.72106999997</v>
      </c>
      <c r="DK69" s="115">
        <f t="shared" si="114"/>
        <v>310883.88932999998</v>
      </c>
      <c r="DL69" s="115">
        <f t="shared" si="114"/>
        <v>310887.05758999998</v>
      </c>
      <c r="DM69" s="115">
        <f t="shared" si="114"/>
        <v>310890.22584999999</v>
      </c>
      <c r="DN69" s="115">
        <f t="shared" si="114"/>
        <v>310893.39410999999</v>
      </c>
      <c r="DO69" s="115">
        <f t="shared" si="114"/>
        <v>310896.56237</v>
      </c>
      <c r="DP69" s="115">
        <f t="shared" si="114"/>
        <v>335593.23063000001</v>
      </c>
      <c r="DQ69" s="115">
        <f t="shared" ref="DQ69:DX69" si="115">SUM(DQ66:DQ68)</f>
        <v>335597.22339</v>
      </c>
      <c r="DR69" s="115">
        <f t="shared" si="115"/>
        <v>335601.21779999998</v>
      </c>
      <c r="DS69" s="115">
        <f t="shared" si="115"/>
        <v>335605.21220999997</v>
      </c>
      <c r="DT69" s="115">
        <f t="shared" si="115"/>
        <v>335609.20662000001</v>
      </c>
      <c r="DU69" s="115">
        <f t="shared" si="115"/>
        <v>335613.20103</v>
      </c>
      <c r="DV69" s="115">
        <f t="shared" si="115"/>
        <v>335617.19543999998</v>
      </c>
      <c r="DW69" s="115">
        <f t="shared" si="115"/>
        <v>335621.18984999997</v>
      </c>
      <c r="DX69" s="115">
        <f t="shared" si="115"/>
        <v>335625.18426000001</v>
      </c>
      <c r="DY69" s="115">
        <f t="shared" ref="DY69:ED69" si="116">SUM(DY66:DY68)</f>
        <v>335629.17866999999</v>
      </c>
      <c r="DZ69" s="115">
        <f t="shared" si="116"/>
        <v>335633.17307999998</v>
      </c>
      <c r="EA69" s="115">
        <f t="shared" si="116"/>
        <v>335637.16749000002</v>
      </c>
      <c r="EB69" s="115">
        <f t="shared" si="116"/>
        <v>335641.16190000001</v>
      </c>
      <c r="EC69" s="115">
        <f t="shared" si="116"/>
        <v>335645.15630999999</v>
      </c>
      <c r="ED69" s="115">
        <f t="shared" si="116"/>
        <v>335649.15071999998</v>
      </c>
      <c r="EE69" s="115">
        <f t="shared" ref="EE69:EJ69" si="117">SUM(EE66:EE68)</f>
        <v>335653.14513000002</v>
      </c>
      <c r="EF69" s="115">
        <f t="shared" si="117"/>
        <v>335657.13954</v>
      </c>
      <c r="EG69" s="115">
        <f t="shared" si="117"/>
        <v>335661.13394999999</v>
      </c>
      <c r="EH69" s="115">
        <f t="shared" si="117"/>
        <v>335665.12835999997</v>
      </c>
      <c r="EI69" s="115">
        <f t="shared" si="117"/>
        <v>335669.12277000002</v>
      </c>
      <c r="EJ69" s="115">
        <f t="shared" si="117"/>
        <v>565045.60371000005</v>
      </c>
      <c r="EK69" s="115">
        <f t="shared" ref="EK69:EP69" si="118">SUM(EK66:EK68)</f>
        <v>565053.25615000003</v>
      </c>
      <c r="EL69" s="115">
        <f t="shared" si="118"/>
        <v>518296.40708999999</v>
      </c>
      <c r="EM69" s="115">
        <f t="shared" si="118"/>
        <v>518304.23803000001</v>
      </c>
      <c r="EN69" s="115">
        <f t="shared" si="118"/>
        <v>518312.06897000002</v>
      </c>
      <c r="EO69" s="115">
        <f t="shared" si="118"/>
        <v>518319.89990999998</v>
      </c>
      <c r="EP69" s="115">
        <f t="shared" si="118"/>
        <v>518327.73084999999</v>
      </c>
      <c r="EQ69" s="115">
        <f t="shared" ref="EQ69:FF69" si="119">SUM(EQ66:EQ68)</f>
        <v>518335.56179000001</v>
      </c>
      <c r="ER69" s="115">
        <f t="shared" si="119"/>
        <v>518343.39273000002</v>
      </c>
      <c r="ES69" s="115">
        <f t="shared" si="119"/>
        <v>518351.22366999998</v>
      </c>
      <c r="ET69" s="115">
        <f t="shared" si="119"/>
        <v>518359.05460999999</v>
      </c>
      <c r="EU69" s="115">
        <f t="shared" si="119"/>
        <v>518366.88555000001</v>
      </c>
      <c r="EV69" s="115">
        <f t="shared" si="119"/>
        <v>518374.71649000002</v>
      </c>
      <c r="EW69" s="115">
        <f t="shared" ref="EW69:EY69" si="120">SUM(EW66:EW68)</f>
        <v>518382.54742999998</v>
      </c>
      <c r="EX69" s="115">
        <f t="shared" si="120"/>
        <v>518390.37836999999</v>
      </c>
      <c r="EY69" s="115">
        <f t="shared" si="120"/>
        <v>518398.20931000001</v>
      </c>
      <c r="EZ69" s="115">
        <f t="shared" ref="EZ69:FB69" si="121">SUM(EZ66:EZ68)</f>
        <v>593345.9523</v>
      </c>
      <c r="FA69" s="115">
        <f t="shared" si="121"/>
        <v>593354.50817000004</v>
      </c>
      <c r="FB69" s="115">
        <f t="shared" si="121"/>
        <v>568363.06403999997</v>
      </c>
      <c r="FC69" s="115">
        <f t="shared" ref="FC69:FE69" si="122">SUM(FC66:FC68)</f>
        <v>568371.36574000004</v>
      </c>
      <c r="FD69" s="115">
        <f t="shared" si="122"/>
        <v>568379.66743999999</v>
      </c>
      <c r="FE69" s="115">
        <f t="shared" si="122"/>
        <v>568387.96913999994</v>
      </c>
      <c r="FF69" s="361">
        <f t="shared" si="119"/>
        <v>545294.27248153847</v>
      </c>
      <c r="FG69" s="112"/>
      <c r="FH69" s="112"/>
      <c r="IJ69" s="35"/>
      <c r="IK69" s="220"/>
      <c r="IL69" s="226"/>
      <c r="IM69" s="35"/>
      <c r="IN69" s="35"/>
      <c r="IO69" s="35"/>
      <c r="IP69" s="35"/>
      <c r="IQ69" s="35"/>
      <c r="IR69" s="35"/>
      <c r="IS69" s="35"/>
      <c r="IT69" s="35"/>
      <c r="IU69" s="35"/>
      <c r="IV69" s="35"/>
      <c r="IW69" s="35"/>
      <c r="IX69" s="35"/>
      <c r="IY69" s="35"/>
    </row>
    <row r="70" spans="1:259">
      <c r="A70" s="30"/>
      <c r="B70" s="112"/>
      <c r="C70" s="112"/>
      <c r="D70" s="112"/>
      <c r="E70" s="112"/>
      <c r="F70" s="112"/>
      <c r="G70" s="112"/>
      <c r="H70" s="112"/>
      <c r="I70" s="112"/>
      <c r="J70" s="112"/>
      <c r="K70" s="112"/>
      <c r="L70" s="112"/>
      <c r="M70" s="112"/>
      <c r="N70" s="112"/>
      <c r="O70" s="112"/>
      <c r="P70" s="112"/>
      <c r="Q70" s="112"/>
      <c r="R70" s="112"/>
      <c r="S70" s="112"/>
      <c r="T70" s="112"/>
      <c r="U70" s="112"/>
      <c r="V70" s="112"/>
      <c r="W70" s="112"/>
      <c r="X70" s="112"/>
      <c r="Y70" s="112"/>
      <c r="Z70" s="112"/>
      <c r="AA70" s="112"/>
      <c r="AB70" s="112"/>
      <c r="AC70" s="112"/>
      <c r="AD70" s="112"/>
      <c r="AE70" s="112"/>
      <c r="AF70" s="112"/>
      <c r="AG70" s="112"/>
      <c r="AH70" s="112"/>
      <c r="AI70" s="112"/>
      <c r="AJ70" s="112"/>
      <c r="AK70" s="112"/>
      <c r="AL70" s="112"/>
      <c r="AM70" s="112"/>
      <c r="AN70" s="112"/>
      <c r="AO70" s="112"/>
      <c r="AP70" s="112"/>
      <c r="AQ70" s="112"/>
      <c r="AR70" s="112"/>
      <c r="AS70" s="112"/>
      <c r="AT70" s="112"/>
      <c r="AU70" s="112"/>
      <c r="AV70" s="112"/>
      <c r="AW70" s="112"/>
      <c r="AX70" s="112"/>
      <c r="AY70" s="112"/>
      <c r="AZ70" s="112"/>
      <c r="BA70" s="362"/>
      <c r="BB70" s="362"/>
      <c r="BC70" s="362"/>
      <c r="BD70" s="362"/>
      <c r="BE70" s="362"/>
      <c r="BF70" s="362"/>
      <c r="BG70" s="112"/>
      <c r="BH70" s="112"/>
      <c r="BI70" s="112"/>
      <c r="BJ70" s="112"/>
      <c r="BK70" s="112"/>
      <c r="BL70" s="112"/>
      <c r="BM70" s="112"/>
      <c r="BN70" s="112"/>
      <c r="BO70" s="112"/>
      <c r="BP70" s="112"/>
      <c r="BQ70" s="112"/>
      <c r="BR70" s="112"/>
      <c r="BS70" s="112"/>
      <c r="BT70" s="112"/>
      <c r="BU70" s="112"/>
      <c r="BV70" s="112"/>
      <c r="BW70" s="112"/>
      <c r="BX70" s="112"/>
      <c r="BY70" s="112"/>
      <c r="BZ70" s="112"/>
      <c r="CA70" s="112"/>
      <c r="CB70" s="112"/>
      <c r="CC70" s="112"/>
      <c r="CD70" s="112"/>
      <c r="CE70" s="112"/>
      <c r="CF70" s="112"/>
      <c r="CG70" s="112"/>
      <c r="CH70" s="112"/>
      <c r="CI70" s="112"/>
      <c r="CJ70" s="112"/>
      <c r="CK70" s="112"/>
      <c r="CL70" s="112"/>
      <c r="CM70" s="112"/>
      <c r="CN70" s="112"/>
      <c r="CO70" s="112"/>
      <c r="CP70" s="112"/>
      <c r="CQ70" s="112"/>
      <c r="CR70" s="112"/>
      <c r="CS70" s="112"/>
      <c r="CT70" s="112"/>
      <c r="CU70" s="112"/>
      <c r="CV70" s="112"/>
      <c r="CW70" s="112"/>
      <c r="CX70" s="112"/>
      <c r="CY70" s="112"/>
      <c r="CZ70" s="112"/>
      <c r="DA70" s="112"/>
      <c r="DB70" s="112"/>
      <c r="DC70" s="112"/>
      <c r="DD70" s="112"/>
      <c r="DE70" s="112"/>
      <c r="DF70" s="112"/>
      <c r="DG70" s="112"/>
      <c r="DH70" s="112"/>
      <c r="DI70" s="112"/>
      <c r="DJ70" s="112"/>
      <c r="DK70" s="112"/>
      <c r="DL70" s="112"/>
      <c r="DM70" s="112"/>
      <c r="DN70" s="112"/>
      <c r="DO70" s="112"/>
      <c r="DP70" s="112"/>
      <c r="DQ70" s="112"/>
      <c r="DR70" s="112"/>
      <c r="DS70" s="112"/>
      <c r="DT70" s="112"/>
      <c r="DU70" s="112"/>
      <c r="DV70" s="112"/>
      <c r="DW70" s="112"/>
      <c r="DX70" s="112"/>
      <c r="DY70" s="112"/>
      <c r="DZ70" s="112"/>
      <c r="EA70" s="112"/>
      <c r="EB70" s="112"/>
      <c r="EC70" s="112"/>
      <c r="ED70" s="112"/>
      <c r="EE70" s="112"/>
      <c r="EF70" s="112"/>
      <c r="EG70" s="112"/>
      <c r="EH70" s="112"/>
      <c r="EI70" s="112"/>
      <c r="EJ70" s="112"/>
      <c r="EK70" s="112"/>
      <c r="EL70" s="112"/>
      <c r="EM70" s="112"/>
      <c r="EN70" s="112"/>
      <c r="EO70" s="112"/>
      <c r="EP70" s="112"/>
      <c r="EQ70" s="112"/>
      <c r="ER70" s="112"/>
      <c r="ES70" s="112"/>
      <c r="ET70" s="112"/>
      <c r="EU70" s="112"/>
      <c r="EV70" s="112"/>
      <c r="EW70" s="112"/>
      <c r="EX70" s="112"/>
      <c r="EY70" s="112"/>
      <c r="EZ70" s="112"/>
      <c r="FA70" s="112"/>
      <c r="FB70" s="112"/>
      <c r="FC70" s="112"/>
      <c r="FD70" s="112"/>
      <c r="FE70" s="112"/>
      <c r="FF70" s="112"/>
      <c r="FG70" s="112"/>
      <c r="FH70" s="112"/>
      <c r="IJ70" s="35"/>
      <c r="IK70" s="220"/>
      <c r="IL70" s="226"/>
      <c r="IM70" s="35"/>
      <c r="IN70" s="35"/>
      <c r="IO70" s="35"/>
      <c r="IP70" s="35"/>
      <c r="IQ70" s="35"/>
      <c r="IR70" s="35"/>
      <c r="IS70" s="35"/>
      <c r="IT70" s="35"/>
      <c r="IU70" s="35"/>
      <c r="IV70" s="35"/>
      <c r="IW70" s="35"/>
      <c r="IX70" s="35"/>
      <c r="IY70" s="35"/>
    </row>
    <row r="71" spans="1:259">
      <c r="A71" s="29" t="s">
        <v>267</v>
      </c>
      <c r="B71" s="138">
        <v>492744.79833000002</v>
      </c>
      <c r="C71" s="138">
        <v>491707.04333000001</v>
      </c>
      <c r="D71" s="138">
        <v>498062.39733000007</v>
      </c>
      <c r="E71" s="138">
        <v>502134.84632999997</v>
      </c>
      <c r="F71" s="138">
        <v>509649.40732999996</v>
      </c>
      <c r="G71" s="138">
        <v>504231.92732999998</v>
      </c>
      <c r="H71" s="138">
        <v>519763.36832999997</v>
      </c>
      <c r="I71" s="138">
        <v>523604.73632999999</v>
      </c>
      <c r="J71" s="138">
        <v>509267.00832999998</v>
      </c>
      <c r="K71" s="138">
        <v>508500.32333000004</v>
      </c>
      <c r="L71" s="138">
        <v>507074.09732999996</v>
      </c>
      <c r="M71" s="138">
        <v>497846.34032999998</v>
      </c>
      <c r="N71" s="138">
        <v>497225.81532999995</v>
      </c>
      <c r="O71" s="138">
        <v>499019</v>
      </c>
      <c r="P71" s="138">
        <v>497508</v>
      </c>
      <c r="Q71" s="138">
        <v>501107</v>
      </c>
      <c r="R71" s="138">
        <v>508516</v>
      </c>
      <c r="S71" s="138">
        <v>509174</v>
      </c>
      <c r="T71" s="138">
        <v>512740</v>
      </c>
      <c r="U71" s="138">
        <v>515764</v>
      </c>
      <c r="V71" s="138">
        <v>503394.04399999999</v>
      </c>
      <c r="W71" s="138">
        <v>503972.55699999997</v>
      </c>
      <c r="X71" s="138">
        <v>502476.44500000001</v>
      </c>
      <c r="Y71" s="138">
        <v>494403.35299999994</v>
      </c>
      <c r="Z71" s="138">
        <v>496535.15297</v>
      </c>
      <c r="AA71" s="138">
        <v>498020.66792000004</v>
      </c>
      <c r="AB71" s="138">
        <v>497214.02426999999</v>
      </c>
      <c r="AC71" s="138">
        <v>500608.978</v>
      </c>
      <c r="AD71" s="138">
        <v>505731</v>
      </c>
      <c r="AE71" s="138">
        <v>502590.11199999996</v>
      </c>
      <c r="AF71" s="138">
        <v>505778</v>
      </c>
      <c r="AG71" s="138">
        <v>509187.21684999997</v>
      </c>
      <c r="AH71" s="138">
        <v>500416.87877000001</v>
      </c>
      <c r="AI71" s="138">
        <v>533649.17803000007</v>
      </c>
      <c r="AJ71" s="138">
        <v>532578.60407999996</v>
      </c>
      <c r="AK71" s="138">
        <v>489169.00071000005</v>
      </c>
      <c r="AL71" s="138">
        <v>516222.28459000005</v>
      </c>
      <c r="AM71" s="138">
        <v>510665.24531000003</v>
      </c>
      <c r="AN71" s="138">
        <v>515080.51353</v>
      </c>
      <c r="AO71" s="138">
        <v>518135.61676999996</v>
      </c>
      <c r="AP71" s="138">
        <v>523345.56938</v>
      </c>
      <c r="AQ71" s="138">
        <v>520860.49711</v>
      </c>
      <c r="AR71" s="138">
        <v>525880.71014999994</v>
      </c>
      <c r="AS71" s="138">
        <v>529903.29347999999</v>
      </c>
      <c r="AT71" s="138">
        <v>530154.57744999998</v>
      </c>
      <c r="AU71" s="138">
        <v>532071.31206000003</v>
      </c>
      <c r="AV71" s="138">
        <v>523090.62682999996</v>
      </c>
      <c r="AW71" s="138">
        <v>524446.37615999999</v>
      </c>
      <c r="AX71" s="138">
        <v>526495.51743999997</v>
      </c>
      <c r="AY71" s="138">
        <v>522996.30027000001</v>
      </c>
      <c r="AZ71" s="138">
        <v>526610.62911999994</v>
      </c>
      <c r="BA71" s="363">
        <v>528904.40085999994</v>
      </c>
      <c r="BB71" s="363">
        <v>526747.30235999997</v>
      </c>
      <c r="BC71" s="363">
        <v>538273.92073999997</v>
      </c>
      <c r="BD71" s="363">
        <v>543179.79582999996</v>
      </c>
      <c r="BE71" s="363">
        <v>534531.52385999996</v>
      </c>
      <c r="BF71" s="363">
        <v>556356.13306000002</v>
      </c>
      <c r="BG71" s="116">
        <v>558858.71225999994</v>
      </c>
      <c r="BH71" s="116">
        <v>550595.37990000006</v>
      </c>
      <c r="BI71" s="116">
        <v>554830.46882000007</v>
      </c>
      <c r="BJ71" s="116">
        <v>556189.16338000004</v>
      </c>
      <c r="BK71" s="116">
        <v>552758.64236000006</v>
      </c>
      <c r="BL71" s="116">
        <v>561107.77777000004</v>
      </c>
      <c r="BM71" s="116">
        <v>564861.69206999999</v>
      </c>
      <c r="BN71" s="116">
        <v>570431.39694999997</v>
      </c>
      <c r="BO71" s="116">
        <v>568836.69253999996</v>
      </c>
      <c r="BP71" s="116">
        <v>572988.49225000001</v>
      </c>
      <c r="BQ71" s="116">
        <v>561256.43445000006</v>
      </c>
      <c r="BR71" s="116">
        <v>593757.33978000004</v>
      </c>
      <c r="BS71" s="116">
        <v>596504.26159000001</v>
      </c>
      <c r="BT71" s="116">
        <v>589525.03768000007</v>
      </c>
      <c r="BU71" s="116">
        <v>600060.25334000005</v>
      </c>
      <c r="BV71" s="116">
        <v>601944.23976000003</v>
      </c>
      <c r="BW71" s="116">
        <v>604132.78865</v>
      </c>
      <c r="BX71" s="116">
        <v>605822.28572000004</v>
      </c>
      <c r="BY71" s="116">
        <v>608794.85802000004</v>
      </c>
      <c r="BZ71" s="116">
        <v>614115.77732999995</v>
      </c>
      <c r="CA71" s="116">
        <v>613758.92176000006</v>
      </c>
      <c r="CB71" s="116">
        <v>616155.62624999997</v>
      </c>
      <c r="CC71" s="116">
        <v>619125.17972999997</v>
      </c>
      <c r="CD71" s="116">
        <v>608223.27884000004</v>
      </c>
      <c r="CE71" s="116">
        <v>601476.88896000001</v>
      </c>
      <c r="CF71" s="116">
        <v>604116.52561000001</v>
      </c>
      <c r="CG71" s="116">
        <v>606159.94041000004</v>
      </c>
      <c r="CH71" s="116">
        <v>608142.45550000004</v>
      </c>
      <c r="CI71" s="116">
        <v>611109.97538000008</v>
      </c>
      <c r="CJ71" s="116">
        <v>608279.56801000005</v>
      </c>
      <c r="CK71" s="116">
        <v>610356.35606000002</v>
      </c>
      <c r="CL71" s="116">
        <f t="shared" ref="CL71:CW71" si="123">CL64+CL69</f>
        <v>615744.72395999997</v>
      </c>
      <c r="CM71" s="116">
        <f t="shared" si="123"/>
        <v>618632.16148000001</v>
      </c>
      <c r="CN71" s="116">
        <f t="shared" si="123"/>
        <v>623192.49193000002</v>
      </c>
      <c r="CO71" s="116">
        <f t="shared" si="123"/>
        <v>627046.99897000007</v>
      </c>
      <c r="CP71" s="116">
        <f t="shared" si="123"/>
        <v>635499.62168999994</v>
      </c>
      <c r="CQ71" s="116">
        <f t="shared" si="123"/>
        <v>637604.77977000002</v>
      </c>
      <c r="CR71" s="116">
        <f t="shared" si="123"/>
        <v>640387.20255000005</v>
      </c>
      <c r="CS71" s="116">
        <f t="shared" si="123"/>
        <v>640821.51699999999</v>
      </c>
      <c r="CT71" s="116">
        <f t="shared" si="123"/>
        <v>643552.97444000002</v>
      </c>
      <c r="CU71" s="116">
        <f t="shared" si="123"/>
        <v>646206.66336000001</v>
      </c>
      <c r="CV71" s="116">
        <f t="shared" si="123"/>
        <v>649336.12219000002</v>
      </c>
      <c r="CW71" s="116">
        <f t="shared" si="123"/>
        <v>655000.21424999996</v>
      </c>
      <c r="CX71" s="116">
        <f t="shared" ref="CX71:DC71" si="124">CX64+CX69</f>
        <v>664330.56238000002</v>
      </c>
      <c r="CY71" s="116">
        <f t="shared" si="124"/>
        <v>664496.75491999998</v>
      </c>
      <c r="CZ71" s="116">
        <f t="shared" si="124"/>
        <v>666175.56547999999</v>
      </c>
      <c r="DA71" s="116">
        <f t="shared" si="124"/>
        <v>671508.70897000004</v>
      </c>
      <c r="DB71" s="116">
        <f t="shared" si="124"/>
        <v>623756.72881999996</v>
      </c>
      <c r="DC71" s="116">
        <f t="shared" si="124"/>
        <v>701662.01753999991</v>
      </c>
      <c r="DD71" s="116">
        <f t="shared" ref="DD71:DI71" si="125">DD64+DD69</f>
        <v>704566.11946999992</v>
      </c>
      <c r="DE71" s="116">
        <f t="shared" si="125"/>
        <v>706013.65545999992</v>
      </c>
      <c r="DF71" s="116">
        <f t="shared" si="125"/>
        <v>709716.47930000001</v>
      </c>
      <c r="DG71" s="116">
        <f t="shared" si="125"/>
        <v>737397.22181000002</v>
      </c>
      <c r="DH71" s="116">
        <f t="shared" si="125"/>
        <v>741588.98161999998</v>
      </c>
      <c r="DI71" s="116">
        <f t="shared" si="125"/>
        <v>747087.5578699999</v>
      </c>
      <c r="DJ71" s="116">
        <f t="shared" ref="DJ71:DP71" si="126">DJ64+DJ69</f>
        <v>753710.72423999989</v>
      </c>
      <c r="DK71" s="116">
        <f t="shared" si="126"/>
        <v>782764.11422999995</v>
      </c>
      <c r="DL71" s="116">
        <f t="shared" si="126"/>
        <v>788265.38500999997</v>
      </c>
      <c r="DM71" s="116">
        <f t="shared" si="126"/>
        <v>793497.53567999997</v>
      </c>
      <c r="DN71" s="116">
        <f t="shared" si="126"/>
        <v>815105.25922999997</v>
      </c>
      <c r="DO71" s="116">
        <f t="shared" si="126"/>
        <v>818875.65308999992</v>
      </c>
      <c r="DP71" s="116">
        <f t="shared" si="126"/>
        <v>846633.18894999998</v>
      </c>
      <c r="DQ71" s="116">
        <f t="shared" ref="DQ71:DX71" si="127">DQ64+DQ69</f>
        <v>836905.85308999999</v>
      </c>
      <c r="DR71" s="116">
        <f t="shared" si="127"/>
        <v>865595.75933999999</v>
      </c>
      <c r="DS71" s="116">
        <f t="shared" si="127"/>
        <v>869027.41506999987</v>
      </c>
      <c r="DT71" s="116">
        <f t="shared" si="127"/>
        <v>862850.54240999999</v>
      </c>
      <c r="DU71" s="116">
        <f t="shared" si="127"/>
        <v>866917.99272999994</v>
      </c>
      <c r="DV71" s="116">
        <f t="shared" si="127"/>
        <v>874599.65697999997</v>
      </c>
      <c r="DW71" s="116">
        <f t="shared" si="127"/>
        <v>908657.51953999989</v>
      </c>
      <c r="DX71" s="116">
        <f t="shared" si="127"/>
        <v>913508.34933999996</v>
      </c>
      <c r="DY71" s="116">
        <f t="shared" ref="DY71:ED71" si="128">DY64+DY69</f>
        <v>917225.12425000011</v>
      </c>
      <c r="DZ71" s="116">
        <f t="shared" si="128"/>
        <v>932378.64971999999</v>
      </c>
      <c r="EA71" s="116">
        <f t="shared" si="128"/>
        <v>935594.48950000003</v>
      </c>
      <c r="EB71" s="116">
        <f t="shared" si="128"/>
        <v>938696.66954999999</v>
      </c>
      <c r="EC71" s="116">
        <f t="shared" si="128"/>
        <v>976931.67103000009</v>
      </c>
      <c r="ED71" s="116">
        <f t="shared" si="128"/>
        <v>980353.07530000014</v>
      </c>
      <c r="EE71" s="116">
        <f t="shared" ref="EE71:EJ71" si="129">EE64+EE69</f>
        <v>983305.99924000003</v>
      </c>
      <c r="EF71" s="116">
        <f t="shared" si="129"/>
        <v>993132.62895000004</v>
      </c>
      <c r="EG71" s="116">
        <f t="shared" si="129"/>
        <v>997758.24056000006</v>
      </c>
      <c r="EH71" s="116">
        <f t="shared" si="129"/>
        <v>1009159.7745200001</v>
      </c>
      <c r="EI71" s="116">
        <f t="shared" si="129"/>
        <v>1044519.12026</v>
      </c>
      <c r="EJ71" s="116">
        <f t="shared" si="129"/>
        <v>1281588.4538799999</v>
      </c>
      <c r="EK71" s="116">
        <f t="shared" ref="EK71:EP71" si="130">EK64+EK69</f>
        <v>1262195.9784400002</v>
      </c>
      <c r="EL71" s="116">
        <f t="shared" si="130"/>
        <v>1240964.6037400002</v>
      </c>
      <c r="EM71" s="116">
        <f t="shared" si="130"/>
        <v>1246417.10509</v>
      </c>
      <c r="EN71" s="116">
        <f t="shared" si="130"/>
        <v>1250861.5907100001</v>
      </c>
      <c r="EO71" s="116">
        <f t="shared" si="130"/>
        <v>1271979.2272999999</v>
      </c>
      <c r="EP71" s="116">
        <f t="shared" si="130"/>
        <v>1277545.0383200001</v>
      </c>
      <c r="EQ71" s="116">
        <f t="shared" ref="EQ71:EV71" si="131">EQ64+EQ69</f>
        <v>1282660.60864</v>
      </c>
      <c r="ER71" s="116">
        <f t="shared" si="131"/>
        <v>1298713.32057</v>
      </c>
      <c r="ES71" s="116">
        <f t="shared" si="131"/>
        <v>1304585.8035200001</v>
      </c>
      <c r="ET71" s="116">
        <f t="shared" si="131"/>
        <v>1314383.62414</v>
      </c>
      <c r="EU71" s="116">
        <f t="shared" si="131"/>
        <v>1381472.76767</v>
      </c>
      <c r="EV71" s="116">
        <f t="shared" si="131"/>
        <v>1392389.2826900003</v>
      </c>
      <c r="EW71" s="116">
        <f t="shared" ref="EW71:EY71" si="132">EW64+EW69</f>
        <v>1369565.30318</v>
      </c>
      <c r="EX71" s="116">
        <f t="shared" si="132"/>
        <v>1405830.5306500001</v>
      </c>
      <c r="EY71" s="116">
        <f t="shared" si="132"/>
        <v>1412498.9736500001</v>
      </c>
      <c r="EZ71" s="116">
        <f t="shared" ref="EZ71:FB71" si="133">EZ64+EZ69</f>
        <v>1491843.9672099999</v>
      </c>
      <c r="FA71" s="116">
        <f t="shared" si="133"/>
        <v>1516793.6908</v>
      </c>
      <c r="FB71" s="116">
        <f t="shared" si="133"/>
        <v>1499074.3073100001</v>
      </c>
      <c r="FC71" s="116">
        <f t="shared" ref="FC71:FE71" si="134">FC64+FC69</f>
        <v>1487661.3607600001</v>
      </c>
      <c r="FD71" s="116">
        <f t="shared" si="134"/>
        <v>1518604.7337400001</v>
      </c>
      <c r="FE71" s="116">
        <f t="shared" si="134"/>
        <v>1559722.20759</v>
      </c>
      <c r="FF71" s="403">
        <f>SUM(ES71:FE71)/13</f>
        <v>1434955.8886853845</v>
      </c>
      <c r="FG71" s="700"/>
      <c r="FH71" s="700"/>
      <c r="IJ71" s="35"/>
      <c r="IK71" s="223"/>
      <c r="IL71" s="226"/>
      <c r="IM71" s="35"/>
      <c r="IN71" s="35"/>
      <c r="IO71" s="35"/>
      <c r="IP71" s="35"/>
      <c r="IQ71" s="35"/>
      <c r="IR71" s="35"/>
      <c r="IS71" s="35"/>
      <c r="IT71" s="35"/>
      <c r="IU71" s="35"/>
      <c r="IV71" s="35"/>
      <c r="IW71" s="35"/>
      <c r="IX71" s="35"/>
      <c r="IY71" s="35"/>
    </row>
    <row r="72" spans="1:259">
      <c r="A72" s="29"/>
      <c r="B72" s="112"/>
      <c r="C72" s="112"/>
      <c r="D72" s="112"/>
      <c r="E72" s="112"/>
      <c r="F72" s="112"/>
      <c r="G72" s="112"/>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362"/>
      <c r="BB72" s="362"/>
      <c r="BC72" s="362"/>
      <c r="BD72" s="362"/>
      <c r="BE72" s="362"/>
      <c r="BF72" s="362"/>
      <c r="BG72" s="112"/>
      <c r="BH72" s="112"/>
      <c r="BI72" s="112"/>
      <c r="BJ72" s="112"/>
      <c r="BK72" s="112"/>
      <c r="BL72" s="112"/>
      <c r="BM72" s="112"/>
      <c r="BN72" s="112"/>
      <c r="BO72" s="112"/>
      <c r="BP72" s="112"/>
      <c r="BQ72" s="112"/>
      <c r="BR72" s="112"/>
      <c r="BS72" s="112"/>
      <c r="BT72" s="112"/>
      <c r="BU72" s="112"/>
      <c r="BV72" s="112"/>
      <c r="BW72" s="112"/>
      <c r="BX72" s="112"/>
      <c r="BY72" s="112"/>
      <c r="BZ72" s="112"/>
      <c r="CA72" s="112"/>
      <c r="CB72" s="112"/>
      <c r="CC72" s="112"/>
      <c r="CD72" s="112"/>
      <c r="CE72" s="112"/>
      <c r="CF72" s="112"/>
      <c r="CG72" s="112"/>
      <c r="CH72" s="112"/>
      <c r="CI72" s="112"/>
      <c r="CJ72" s="112"/>
      <c r="CK72" s="112"/>
      <c r="CL72" s="112"/>
      <c r="CM72" s="112"/>
      <c r="CN72" s="112"/>
      <c r="CO72" s="112"/>
      <c r="CP72" s="112"/>
      <c r="CQ72" s="112"/>
      <c r="CR72" s="112"/>
      <c r="CS72" s="112"/>
      <c r="CT72" s="112"/>
      <c r="CU72" s="112"/>
      <c r="CV72" s="112"/>
      <c r="CW72" s="112"/>
      <c r="CX72" s="112"/>
      <c r="CY72" s="112"/>
      <c r="CZ72" s="112"/>
      <c r="DA72" s="112"/>
      <c r="DB72" s="112"/>
      <c r="DC72" s="112"/>
      <c r="DD72" s="112"/>
      <c r="DE72" s="112"/>
      <c r="DF72" s="112"/>
      <c r="DG72" s="112"/>
      <c r="DH72" s="112"/>
      <c r="DI72" s="112"/>
      <c r="DJ72" s="112"/>
      <c r="DK72" s="112"/>
      <c r="DL72" s="112"/>
      <c r="DM72" s="112"/>
      <c r="DN72" s="112"/>
      <c r="DO72" s="112"/>
      <c r="DP72" s="112"/>
      <c r="DQ72" s="112"/>
      <c r="DR72" s="112"/>
      <c r="DS72" s="112"/>
      <c r="DT72" s="112"/>
      <c r="DU72" s="112"/>
      <c r="DV72" s="112"/>
      <c r="DW72" s="112"/>
      <c r="DX72" s="112"/>
      <c r="DY72" s="112"/>
      <c r="DZ72" s="112"/>
      <c r="EA72" s="112"/>
      <c r="EB72" s="112"/>
      <c r="EC72" s="112"/>
      <c r="ED72" s="112"/>
      <c r="EE72" s="112"/>
      <c r="EF72" s="112"/>
      <c r="EG72" s="112"/>
      <c r="EH72" s="112"/>
      <c r="EI72" s="112"/>
      <c r="EJ72" s="112"/>
      <c r="EK72" s="112"/>
      <c r="EL72" s="112"/>
      <c r="EM72" s="112"/>
      <c r="EN72" s="112"/>
      <c r="EO72" s="112"/>
      <c r="EP72" s="112"/>
      <c r="EQ72" s="112"/>
      <c r="ER72" s="112"/>
      <c r="ES72" s="112"/>
      <c r="ET72" s="112"/>
      <c r="EU72" s="112"/>
      <c r="EV72" s="112"/>
      <c r="EW72" s="112"/>
      <c r="EX72" s="112"/>
      <c r="EY72" s="112"/>
      <c r="EZ72" s="112"/>
      <c r="FA72" s="112"/>
      <c r="FB72" s="112"/>
      <c r="FC72" s="112"/>
      <c r="FD72" s="112"/>
      <c r="FE72" s="112"/>
      <c r="FF72" s="211"/>
      <c r="FG72" s="211"/>
      <c r="FH72" s="211"/>
      <c r="IJ72" s="35"/>
      <c r="IK72" s="220"/>
      <c r="IL72" s="226"/>
      <c r="IM72" s="35"/>
      <c r="IN72" s="35"/>
      <c r="IO72" s="35"/>
      <c r="IP72" s="35"/>
      <c r="IQ72" s="35"/>
      <c r="IR72" s="35"/>
      <c r="IS72" s="35"/>
      <c r="IT72" s="35"/>
      <c r="IU72" s="35"/>
      <c r="IV72" s="35"/>
      <c r="IW72" s="35"/>
      <c r="IX72" s="35"/>
      <c r="IY72" s="35"/>
    </row>
    <row r="73" spans="1:259">
      <c r="A73" s="34" t="s">
        <v>268</v>
      </c>
      <c r="B73" s="111">
        <v>0</v>
      </c>
      <c r="C73" s="111">
        <v>0</v>
      </c>
      <c r="D73" s="111">
        <v>0</v>
      </c>
      <c r="E73" s="111">
        <v>0</v>
      </c>
      <c r="F73" s="111"/>
      <c r="G73" s="111"/>
      <c r="H73" s="111"/>
      <c r="I73" s="111"/>
      <c r="J73" s="111"/>
      <c r="K73" s="111"/>
      <c r="L73" s="111"/>
      <c r="M73" s="111"/>
      <c r="N73" s="111"/>
      <c r="O73" s="111"/>
      <c r="P73" s="111"/>
      <c r="Q73" s="111"/>
      <c r="R73" s="139"/>
      <c r="S73" s="111"/>
      <c r="T73" s="139" t="s">
        <v>515</v>
      </c>
      <c r="U73" s="139" t="s">
        <v>515</v>
      </c>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364"/>
      <c r="BB73" s="364"/>
      <c r="BC73" s="364"/>
      <c r="BD73" s="364"/>
      <c r="BE73" s="364"/>
      <c r="BF73" s="364"/>
      <c r="BG73" s="139"/>
      <c r="BH73" s="139"/>
      <c r="BI73" s="139"/>
      <c r="BJ73" s="139"/>
      <c r="BK73" s="139"/>
      <c r="BL73" s="139"/>
      <c r="BM73" s="139"/>
      <c r="BN73" s="139"/>
      <c r="BO73" s="139"/>
      <c r="BP73" s="139"/>
      <c r="BQ73" s="139"/>
      <c r="BR73" s="139"/>
      <c r="BS73" s="139"/>
      <c r="BT73" s="139"/>
      <c r="BU73" s="139"/>
      <c r="BV73" s="139"/>
      <c r="BW73" s="139"/>
      <c r="BX73" s="139"/>
      <c r="BY73" s="139"/>
      <c r="BZ73" s="139"/>
      <c r="CA73" s="139"/>
      <c r="CB73" s="139"/>
      <c r="CC73" s="139"/>
      <c r="CD73" s="139"/>
      <c r="CE73" s="139"/>
      <c r="CF73" s="139"/>
      <c r="CG73" s="139"/>
      <c r="CH73" s="139"/>
      <c r="CI73" s="139"/>
      <c r="CJ73" s="139"/>
      <c r="CK73" s="139"/>
      <c r="CL73" s="139"/>
      <c r="CM73" s="139"/>
      <c r="CN73" s="139"/>
      <c r="CO73" s="139"/>
      <c r="CP73" s="139"/>
      <c r="CQ73" s="139"/>
      <c r="CR73" s="139"/>
      <c r="CS73" s="139"/>
      <c r="CT73" s="139"/>
      <c r="CU73" s="139"/>
      <c r="CV73" s="139"/>
      <c r="CW73" s="139"/>
      <c r="CX73" s="139"/>
      <c r="CY73" s="139"/>
      <c r="CZ73" s="139"/>
      <c r="DA73" s="139"/>
      <c r="DB73" s="139"/>
      <c r="DC73" s="139"/>
      <c r="DD73" s="139"/>
      <c r="DE73" s="139"/>
      <c r="DF73" s="139"/>
      <c r="DG73" s="139"/>
      <c r="DH73" s="139"/>
      <c r="DI73" s="139"/>
      <c r="DJ73" s="139"/>
      <c r="DK73" s="139"/>
      <c r="DL73" s="139"/>
      <c r="DM73" s="139"/>
      <c r="DN73" s="139"/>
      <c r="DO73" s="139"/>
      <c r="DP73" s="139"/>
      <c r="DQ73" s="139"/>
      <c r="DR73" s="139"/>
      <c r="DS73" s="139"/>
      <c r="DT73" s="139"/>
      <c r="DU73" s="139"/>
      <c r="DV73" s="139"/>
      <c r="DW73" s="139"/>
      <c r="DX73" s="139"/>
      <c r="DY73" s="139"/>
      <c r="DZ73" s="139"/>
      <c r="EA73" s="139"/>
      <c r="EB73" s="139"/>
      <c r="EC73" s="139"/>
      <c r="ED73" s="139"/>
      <c r="EE73" s="139"/>
      <c r="EF73" s="139"/>
      <c r="EG73" s="139"/>
      <c r="EH73" s="139"/>
      <c r="EI73" s="139"/>
      <c r="EJ73" s="139"/>
      <c r="EK73" s="139"/>
      <c r="EL73" s="139"/>
      <c r="EM73" s="139"/>
      <c r="EN73" s="139"/>
      <c r="EO73" s="139"/>
      <c r="EP73" s="139"/>
      <c r="EQ73" s="139"/>
      <c r="ER73" s="139"/>
      <c r="ES73" s="139"/>
      <c r="ET73" s="139"/>
      <c r="EU73" s="139"/>
      <c r="EV73" s="139"/>
      <c r="EW73" s="139"/>
      <c r="EX73" s="139"/>
      <c r="EY73" s="139"/>
      <c r="EZ73" s="139"/>
      <c r="FA73" s="139"/>
      <c r="FB73" s="139"/>
      <c r="FC73" s="139"/>
      <c r="FD73" s="139"/>
      <c r="FE73" s="139"/>
      <c r="FF73" s="211"/>
      <c r="FG73" s="211"/>
      <c r="FH73" s="211"/>
      <c r="IJ73" s="35"/>
      <c r="IK73" s="224"/>
      <c r="IL73" s="226"/>
      <c r="IM73" s="35"/>
      <c r="IN73" s="35"/>
      <c r="IO73" s="35"/>
      <c r="IP73" s="35"/>
      <c r="IQ73" s="35"/>
      <c r="IR73" s="35"/>
      <c r="IS73" s="35"/>
      <c r="IT73" s="35"/>
      <c r="IU73" s="35"/>
      <c r="IV73" s="35"/>
      <c r="IW73" s="35"/>
      <c r="IX73" s="35"/>
      <c r="IY73" s="35"/>
    </row>
    <row r="74" spans="1:259">
      <c r="A74" s="169" t="s">
        <v>269</v>
      </c>
      <c r="B74" s="172">
        <v>-225</v>
      </c>
      <c r="C74" s="172">
        <v>0</v>
      </c>
      <c r="D74" s="172">
        <v>0</v>
      </c>
      <c r="E74" s="172">
        <v>-1775</v>
      </c>
      <c r="F74" s="172">
        <v>4250</v>
      </c>
      <c r="G74" s="172">
        <v>4100</v>
      </c>
      <c r="H74" s="172">
        <v>0</v>
      </c>
      <c r="I74" s="172">
        <v>0</v>
      </c>
      <c r="J74" s="172">
        <v>0</v>
      </c>
      <c r="K74" s="172">
        <v>0</v>
      </c>
      <c r="L74" s="171">
        <v>0</v>
      </c>
      <c r="M74" s="172">
        <v>6450</v>
      </c>
      <c r="N74" s="172">
        <v>8100</v>
      </c>
      <c r="O74" s="172">
        <v>0</v>
      </c>
      <c r="P74" s="172">
        <v>0</v>
      </c>
      <c r="Q74" s="172">
        <v>16900</v>
      </c>
      <c r="R74" s="172">
        <v>12150</v>
      </c>
      <c r="S74" s="172">
        <v>7400</v>
      </c>
      <c r="T74" s="172">
        <v>0</v>
      </c>
      <c r="U74" s="172">
        <v>0</v>
      </c>
      <c r="V74" s="172">
        <v>0</v>
      </c>
      <c r="W74" s="172">
        <v>0</v>
      </c>
      <c r="X74" s="172">
        <v>0</v>
      </c>
      <c r="Y74" s="172">
        <v>1400</v>
      </c>
      <c r="Z74" s="172">
        <v>0</v>
      </c>
      <c r="AA74" s="172">
        <v>0</v>
      </c>
      <c r="AB74" s="172">
        <v>3900</v>
      </c>
      <c r="AC74" s="172">
        <v>0</v>
      </c>
      <c r="AD74" s="186">
        <v>0</v>
      </c>
      <c r="AE74" s="172">
        <v>0</v>
      </c>
      <c r="AF74" s="172">
        <v>0</v>
      </c>
      <c r="AG74" s="172">
        <v>0</v>
      </c>
      <c r="AH74" s="172">
        <v>0</v>
      </c>
      <c r="AI74" s="172">
        <v>0</v>
      </c>
      <c r="AJ74" s="172">
        <v>0</v>
      </c>
      <c r="AK74" s="172">
        <v>0</v>
      </c>
      <c r="AL74" s="172">
        <v>0</v>
      </c>
      <c r="AM74" s="186">
        <v>0</v>
      </c>
      <c r="AN74" s="186">
        <v>0</v>
      </c>
      <c r="AO74" s="187">
        <v>0</v>
      </c>
      <c r="AP74" s="187">
        <v>0</v>
      </c>
      <c r="AQ74" s="187">
        <v>0</v>
      </c>
      <c r="AR74" s="187">
        <v>0</v>
      </c>
      <c r="AS74" s="219">
        <v>0</v>
      </c>
      <c r="AT74" s="219">
        <v>0</v>
      </c>
      <c r="AU74" s="219">
        <v>0</v>
      </c>
      <c r="AV74" s="219">
        <v>0</v>
      </c>
      <c r="AW74" s="219">
        <v>0</v>
      </c>
      <c r="AX74" s="219">
        <v>0</v>
      </c>
      <c r="AY74" s="178">
        <v>0</v>
      </c>
      <c r="AZ74" s="178">
        <v>0</v>
      </c>
      <c r="BA74" s="330">
        <v>15600</v>
      </c>
      <c r="BB74" s="330">
        <v>16500</v>
      </c>
      <c r="BC74" s="330">
        <v>12200</v>
      </c>
      <c r="BD74" s="330">
        <v>0</v>
      </c>
      <c r="BE74" s="330">
        <v>0</v>
      </c>
      <c r="BF74" s="330">
        <v>0</v>
      </c>
      <c r="BG74" s="211">
        <v>0</v>
      </c>
      <c r="BH74" s="211">
        <v>0</v>
      </c>
      <c r="BI74" s="211">
        <v>800</v>
      </c>
      <c r="BJ74" s="211">
        <v>4700</v>
      </c>
      <c r="BK74" s="211">
        <v>0</v>
      </c>
      <c r="BL74" s="211">
        <v>0</v>
      </c>
      <c r="BM74" s="211">
        <v>12900</v>
      </c>
      <c r="BN74" s="211">
        <v>8350</v>
      </c>
      <c r="BO74" s="211">
        <v>5800</v>
      </c>
      <c r="BP74" s="211">
        <v>0</v>
      </c>
      <c r="BQ74" s="211">
        <v>0</v>
      </c>
      <c r="BR74" s="211">
        <v>0</v>
      </c>
      <c r="BS74" s="211">
        <v>0</v>
      </c>
      <c r="BT74" s="211">
        <v>0</v>
      </c>
      <c r="BU74" s="211">
        <v>0</v>
      </c>
      <c r="BV74" s="211">
        <v>0</v>
      </c>
      <c r="BW74" s="211">
        <v>0</v>
      </c>
      <c r="BX74" s="211">
        <v>0</v>
      </c>
      <c r="BY74" s="211">
        <v>0</v>
      </c>
      <c r="BZ74" s="211">
        <v>0</v>
      </c>
      <c r="CA74" s="211">
        <v>2300</v>
      </c>
      <c r="CB74" s="211">
        <v>0</v>
      </c>
      <c r="CC74" s="211">
        <v>0</v>
      </c>
      <c r="CD74" s="211">
        <v>0</v>
      </c>
      <c r="CE74" s="211">
        <v>600</v>
      </c>
      <c r="CF74" s="211">
        <v>1800</v>
      </c>
      <c r="CG74" s="211">
        <v>3150</v>
      </c>
      <c r="CH74" s="211">
        <v>700</v>
      </c>
      <c r="CI74" s="211">
        <v>0</v>
      </c>
      <c r="CJ74" s="211">
        <v>9750</v>
      </c>
      <c r="CK74" s="211">
        <v>30050</v>
      </c>
      <c r="CL74" s="211">
        <v>41225.800000000003</v>
      </c>
      <c r="CM74" s="211">
        <v>40506.800000000003</v>
      </c>
      <c r="CN74" s="211">
        <v>41810.800000000003</v>
      </c>
      <c r="CO74" s="211">
        <v>37148.300000000003</v>
      </c>
      <c r="CP74" s="211">
        <v>31842.1</v>
      </c>
      <c r="CQ74" s="211">
        <v>36126.699999999997</v>
      </c>
      <c r="CR74" s="211">
        <v>33325.4</v>
      </c>
      <c r="CS74" s="211">
        <v>46233.9</v>
      </c>
      <c r="CT74" s="211">
        <v>48013.8</v>
      </c>
      <c r="CU74" s="211">
        <v>43884.1</v>
      </c>
      <c r="CV74" s="211">
        <v>46059.9</v>
      </c>
      <c r="CW74" s="211">
        <v>57684.3</v>
      </c>
      <c r="CX74" s="211">
        <v>55045.713000000003</v>
      </c>
      <c r="CY74" s="211">
        <v>58203.643530000001</v>
      </c>
      <c r="CZ74" s="211">
        <v>53438.296759999997</v>
      </c>
      <c r="DA74" s="211">
        <v>53973.759039999997</v>
      </c>
      <c r="DB74" s="211">
        <v>86871.59375</v>
      </c>
      <c r="DC74" s="211">
        <v>32647.32645</v>
      </c>
      <c r="DD74" s="211">
        <v>32403.666739999997</v>
      </c>
      <c r="DE74" s="211">
        <v>36635.669780000004</v>
      </c>
      <c r="DF74" s="211">
        <v>44924.345580000001</v>
      </c>
      <c r="DG74" s="211">
        <v>26601.973979999999</v>
      </c>
      <c r="DH74" s="211">
        <v>35033.765530000004</v>
      </c>
      <c r="DI74" s="211">
        <v>53651.64284</v>
      </c>
      <c r="DJ74" s="211">
        <v>70274.1008</v>
      </c>
      <c r="DK74" s="211">
        <v>51017.831979999995</v>
      </c>
      <c r="DL74" s="211">
        <v>43526.147640000003</v>
      </c>
      <c r="DM74" s="211">
        <v>47854.03026</v>
      </c>
      <c r="DN74" s="211">
        <v>32302.624949999998</v>
      </c>
      <c r="DO74" s="211">
        <v>43946.02736</v>
      </c>
      <c r="DP74" s="211">
        <v>30168.533420000003</v>
      </c>
      <c r="DQ74" s="211">
        <v>48717.414859999997</v>
      </c>
      <c r="DR74" s="211">
        <v>44435.200189999996</v>
      </c>
      <c r="DS74" s="211">
        <v>47028.28342</v>
      </c>
      <c r="DT74" s="211">
        <v>77517.735260000001</v>
      </c>
      <c r="DU74" s="211">
        <v>91138.979059999998</v>
      </c>
      <c r="DV74" s="211">
        <v>104160.10278</v>
      </c>
      <c r="DW74" s="211">
        <v>90190.82</v>
      </c>
      <c r="DX74" s="211">
        <v>91778.96686</v>
      </c>
      <c r="DY74" s="211">
        <v>99145.211670000004</v>
      </c>
      <c r="DZ74" s="211">
        <v>104893.603</v>
      </c>
      <c r="EA74" s="211">
        <v>127591.36500000001</v>
      </c>
      <c r="EB74" s="211">
        <v>145194.42319</v>
      </c>
      <c r="EC74" s="211">
        <v>133998.43737999999</v>
      </c>
      <c r="ED74" s="211">
        <v>144415.73919999998</v>
      </c>
      <c r="EE74" s="211">
        <v>162258.20669999998</v>
      </c>
      <c r="EF74" s="211">
        <v>179528.11132</v>
      </c>
      <c r="EG74" s="211">
        <v>214352.13493999999</v>
      </c>
      <c r="EH74" s="211">
        <v>236511.39825999999</v>
      </c>
      <c r="EI74" s="211">
        <v>221147.72566</v>
      </c>
      <c r="EJ74" s="211">
        <v>14181.103999999999</v>
      </c>
      <c r="EK74" s="211">
        <v>17122.357</v>
      </c>
      <c r="EL74" s="211">
        <v>87741.525890000004</v>
      </c>
      <c r="EM74" s="211">
        <v>99244.299809999997</v>
      </c>
      <c r="EN74" s="211">
        <v>111939.289</v>
      </c>
      <c r="EO74" s="211">
        <v>101333.505</v>
      </c>
      <c r="EP74" s="211">
        <v>115219.00199999999</v>
      </c>
      <c r="EQ74" s="211">
        <v>136200.897</v>
      </c>
      <c r="ER74" s="211">
        <v>144763.516</v>
      </c>
      <c r="ES74" s="211">
        <v>189522.084</v>
      </c>
      <c r="ET74" s="211">
        <v>210398.8</v>
      </c>
      <c r="EU74" s="211">
        <v>158200.10248</v>
      </c>
      <c r="EV74" s="211">
        <v>166329.49208000003</v>
      </c>
      <c r="EW74" s="211">
        <v>174483.97778000002</v>
      </c>
      <c r="EX74" s="211">
        <v>177717.84408000001</v>
      </c>
      <c r="EY74" s="211">
        <v>198344.90317999999</v>
      </c>
      <c r="EZ74" s="211">
        <v>136571.24698</v>
      </c>
      <c r="FA74" s="211">
        <v>124775.69228</v>
      </c>
      <c r="FB74" s="211">
        <v>156383.68047999998</v>
      </c>
      <c r="FC74" s="211">
        <f>-((VLOOKUP("231",'Input BS ACCTS'!$A$5:$DH$1058,110,FALSE)/1000+VLOOKUP("2330711",'Input BS ACCTS'!$A$5:$DH$1058,110,FALSE)/1000))</f>
        <v>159112.87497999999</v>
      </c>
      <c r="FD74" s="211">
        <f>-((VLOOKUP("231",'Input BS ACCTS'!$A$5:$DH$1058,111,FALSE)/1000+VLOOKUP("2330711",'Input BS ACCTS'!$A$5:$DH$1058,111,FALSE)/1000))</f>
        <v>161937.35708000002</v>
      </c>
      <c r="FE74" s="211">
        <f>-((VLOOKUP("231",'Input BS ACCTS'!$A$5:$DH$1058,112,FALSE)/1000+VLOOKUP("2330711",'Input BS ACCTS'!$A$5:$DH$1058,112,FALSE)/1000))</f>
        <v>166097.1501</v>
      </c>
      <c r="FF74" s="403">
        <f t="shared" ref="FF74:FF89" si="135">SUM(ES74:FE74)/13</f>
        <v>167682.70811538462</v>
      </c>
      <c r="FG74" s="700"/>
      <c r="FH74" s="700"/>
      <c r="IJ74" s="35"/>
      <c r="IK74" s="221"/>
      <c r="IL74" s="226"/>
      <c r="IM74" s="35"/>
      <c r="IN74" s="35"/>
      <c r="IO74" s="35"/>
      <c r="IP74" s="35"/>
      <c r="IQ74" s="35"/>
      <c r="IR74" s="35"/>
      <c r="IS74" s="35"/>
      <c r="IT74" s="35"/>
      <c r="IU74" s="35"/>
      <c r="IV74" s="35"/>
      <c r="IW74" s="35"/>
      <c r="IX74" s="35"/>
      <c r="IY74" s="35"/>
    </row>
    <row r="75" spans="1:259">
      <c r="A75" s="27" t="s">
        <v>270</v>
      </c>
      <c r="B75" s="107">
        <v>24415.259509999996</v>
      </c>
      <c r="C75" s="107">
        <v>29196.455509999996</v>
      </c>
      <c r="D75" s="107">
        <v>25711.788509999998</v>
      </c>
      <c r="E75" s="107">
        <v>27828.799509999997</v>
      </c>
      <c r="F75" s="107">
        <v>43497.706509999996</v>
      </c>
      <c r="G75" s="107">
        <v>33089.99151</v>
      </c>
      <c r="H75" s="107">
        <v>34708.333509999997</v>
      </c>
      <c r="I75" s="107">
        <v>19970.132509999999</v>
      </c>
      <c r="J75" s="107">
        <v>21058.429509999998</v>
      </c>
      <c r="K75" s="107">
        <v>26612.149509999999</v>
      </c>
      <c r="L75" s="107">
        <v>27641.755509999999</v>
      </c>
      <c r="M75" s="107">
        <v>25940.192509999997</v>
      </c>
      <c r="N75" s="107">
        <v>26687.664509999999</v>
      </c>
      <c r="O75" s="107">
        <v>23584</v>
      </c>
      <c r="P75" s="107">
        <v>27351</v>
      </c>
      <c r="Q75" s="107">
        <v>40887</v>
      </c>
      <c r="R75" s="107">
        <v>32566</v>
      </c>
      <c r="S75" s="107">
        <v>25385</v>
      </c>
      <c r="T75" s="107">
        <v>23109</v>
      </c>
      <c r="U75" s="107">
        <v>23586</v>
      </c>
      <c r="V75" s="107">
        <v>22436</v>
      </c>
      <c r="W75" s="107">
        <v>19039</v>
      </c>
      <c r="X75" s="107">
        <v>19789.858</v>
      </c>
      <c r="Y75" s="107">
        <v>19710</v>
      </c>
      <c r="Z75" s="107">
        <v>20005</v>
      </c>
      <c r="AA75" s="107">
        <v>19160</v>
      </c>
      <c r="AB75" s="107">
        <v>19392</v>
      </c>
      <c r="AC75" s="107">
        <v>17467.682000000001</v>
      </c>
      <c r="AD75" s="187">
        <v>20053</v>
      </c>
      <c r="AE75" s="107">
        <v>16021</v>
      </c>
      <c r="AF75" s="107">
        <v>18831</v>
      </c>
      <c r="AG75" s="107">
        <v>16118</v>
      </c>
      <c r="AH75" s="107">
        <v>17404</v>
      </c>
      <c r="AI75" s="107">
        <v>15721.02982</v>
      </c>
      <c r="AJ75" s="107">
        <v>24315.596270000002</v>
      </c>
      <c r="AK75" s="107">
        <v>28847.573249999998</v>
      </c>
      <c r="AL75" s="107">
        <v>19993.272520000002</v>
      </c>
      <c r="AM75" s="187">
        <v>22532.424829999996</v>
      </c>
      <c r="AN75" s="187">
        <v>31263.312680000003</v>
      </c>
      <c r="AO75" s="187">
        <v>34276.655339999998</v>
      </c>
      <c r="AP75" s="187">
        <v>26351.568659999997</v>
      </c>
      <c r="AQ75" s="187">
        <v>23083.808659999999</v>
      </c>
      <c r="AR75" s="187">
        <v>23777.321069999998</v>
      </c>
      <c r="AS75" s="219">
        <v>21719.128380000002</v>
      </c>
      <c r="AT75" s="219">
        <v>17086.470820000002</v>
      </c>
      <c r="AU75" s="219">
        <v>20044.614380000003</v>
      </c>
      <c r="AV75" s="219">
        <v>14757.462769999998</v>
      </c>
      <c r="AW75" s="219">
        <v>16791.390169999999</v>
      </c>
      <c r="AX75" s="219">
        <v>18974.269400000001</v>
      </c>
      <c r="AY75" s="178">
        <v>17811.850060000001</v>
      </c>
      <c r="AZ75" s="178">
        <v>29292.338929999994</v>
      </c>
      <c r="BA75" s="355">
        <v>27274.456549999992</v>
      </c>
      <c r="BB75" s="355">
        <v>27907.202669999999</v>
      </c>
      <c r="BC75" s="355">
        <v>23755.899619999993</v>
      </c>
      <c r="BD75" s="355">
        <v>24776.783349999994</v>
      </c>
      <c r="BE75" s="355">
        <v>23536.312179999997</v>
      </c>
      <c r="BF75" s="355">
        <v>16409.932669999998</v>
      </c>
      <c r="BG75" s="190">
        <v>15758.944720000001</v>
      </c>
      <c r="BH75" s="190">
        <v>17058.085039999994</v>
      </c>
      <c r="BI75" s="190">
        <v>22667.795439999994</v>
      </c>
      <c r="BJ75" s="190">
        <v>19868.930789999995</v>
      </c>
      <c r="BK75" s="190">
        <v>19639.360469999996</v>
      </c>
      <c r="BL75" s="190">
        <v>30088.285189999999</v>
      </c>
      <c r="BM75" s="190">
        <v>28815.17383</v>
      </c>
      <c r="BN75" s="190">
        <v>28519.498089999997</v>
      </c>
      <c r="BO75" s="190">
        <v>24055.504749999996</v>
      </c>
      <c r="BP75" s="190">
        <v>23190.676910000002</v>
      </c>
      <c r="BQ75" s="190">
        <v>24001.110049999996</v>
      </c>
      <c r="BR75" s="190">
        <v>17293.189809999996</v>
      </c>
      <c r="BS75" s="190">
        <v>18379.426789999998</v>
      </c>
      <c r="BT75" s="190">
        <v>18984.127839999997</v>
      </c>
      <c r="BU75" s="190">
        <v>22304.285379999998</v>
      </c>
      <c r="BV75" s="190">
        <v>20135.897430000001</v>
      </c>
      <c r="BW75" s="190">
        <v>23179.572249999997</v>
      </c>
      <c r="BX75" s="190">
        <v>30159.862089999991</v>
      </c>
      <c r="BY75" s="190">
        <v>25306.372739999995</v>
      </c>
      <c r="BZ75" s="190">
        <v>28529.387650000001</v>
      </c>
      <c r="CA75" s="190">
        <v>24828.321099999997</v>
      </c>
      <c r="CB75" s="190">
        <v>20079.69053</v>
      </c>
      <c r="CC75" s="190">
        <v>25780.829969999999</v>
      </c>
      <c r="CD75" s="190">
        <v>20305.079399999999</v>
      </c>
      <c r="CE75" s="190">
        <v>26497.115379999999</v>
      </c>
      <c r="CF75" s="190">
        <v>29190.302709999996</v>
      </c>
      <c r="CG75" s="190">
        <v>27751.911569999997</v>
      </c>
      <c r="CH75" s="190">
        <v>26756.236829999994</v>
      </c>
      <c r="CI75" s="190">
        <v>32896.135590000005</v>
      </c>
      <c r="CJ75" s="190">
        <v>36050.174950000001</v>
      </c>
      <c r="CK75" s="190">
        <v>32790.333050000001</v>
      </c>
      <c r="CL75" s="190">
        <v>29614.249519999998</v>
      </c>
      <c r="CM75" s="190">
        <v>23250.567239999997</v>
      </c>
      <c r="CN75" s="190">
        <v>22646.528630000001</v>
      </c>
      <c r="CO75" s="190">
        <v>25314.02679</v>
      </c>
      <c r="CP75" s="190">
        <v>24235.38408</v>
      </c>
      <c r="CQ75" s="190">
        <v>22358.859919999995</v>
      </c>
      <c r="CR75" s="190">
        <v>26713.88077</v>
      </c>
      <c r="CS75" s="190">
        <v>32954.537100000001</v>
      </c>
      <c r="CT75" s="190">
        <v>27562.694949999997</v>
      </c>
      <c r="CU75" s="190">
        <v>27556.440710000003</v>
      </c>
      <c r="CV75" s="190">
        <v>36878.143369999998</v>
      </c>
      <c r="CW75" s="190">
        <v>37851.570309999996</v>
      </c>
      <c r="CX75" s="190">
        <v>42384.39819</v>
      </c>
      <c r="CY75" s="190">
        <v>28529.321889999996</v>
      </c>
      <c r="CZ75" s="190">
        <v>27191.031509999997</v>
      </c>
      <c r="DA75" s="190">
        <v>26859.843059999996</v>
      </c>
      <c r="DB75" s="190">
        <v>31526.73201</v>
      </c>
      <c r="DC75" s="190">
        <v>32289.214540000001</v>
      </c>
      <c r="DD75" s="190">
        <v>35032.979610000002</v>
      </c>
      <c r="DE75" s="190">
        <v>33136.66502</v>
      </c>
      <c r="DF75" s="190">
        <v>36345.488340000004</v>
      </c>
      <c r="DG75" s="190">
        <v>44135.03153</v>
      </c>
      <c r="DH75" s="190">
        <v>59377.74145999999</v>
      </c>
      <c r="DI75" s="190">
        <v>49836.349900000001</v>
      </c>
      <c r="DJ75" s="190">
        <v>43828.983799999995</v>
      </c>
      <c r="DK75" s="190">
        <v>33595.937319999997</v>
      </c>
      <c r="DL75" s="190">
        <v>40949.708469999998</v>
      </c>
      <c r="DM75" s="190">
        <v>36762.280700000003</v>
      </c>
      <c r="DN75" s="190">
        <v>40153.656750000002</v>
      </c>
      <c r="DO75" s="190">
        <v>36642.683879999997</v>
      </c>
      <c r="DP75" s="190">
        <v>35874.949749999992</v>
      </c>
      <c r="DQ75" s="190">
        <v>39844.774130000005</v>
      </c>
      <c r="DR75" s="190">
        <v>38448.288360000006</v>
      </c>
      <c r="DS75" s="190">
        <v>44342.945189999991</v>
      </c>
      <c r="DT75" s="190">
        <v>51420.960829999989</v>
      </c>
      <c r="DU75" s="190">
        <v>62038.988300000005</v>
      </c>
      <c r="DV75" s="190">
        <v>61688.316500000001</v>
      </c>
      <c r="DW75" s="190">
        <v>53206.636410000006</v>
      </c>
      <c r="DX75" s="190">
        <v>52216.403459999994</v>
      </c>
      <c r="DY75" s="190">
        <v>56659.843179999989</v>
      </c>
      <c r="DZ75" s="190">
        <v>54419.067229999993</v>
      </c>
      <c r="EA75" s="190">
        <v>48085.875910000002</v>
      </c>
      <c r="EB75" s="190">
        <v>49198.686760000004</v>
      </c>
      <c r="EC75" s="190">
        <v>55932.038059999992</v>
      </c>
      <c r="ED75" s="190">
        <v>62017.170850000002</v>
      </c>
      <c r="EE75" s="190">
        <v>70456.453890000004</v>
      </c>
      <c r="EF75" s="190">
        <v>82145.932429999986</v>
      </c>
      <c r="EG75" s="190">
        <v>83946.034320000006</v>
      </c>
      <c r="EH75" s="190">
        <v>72913.717289999986</v>
      </c>
      <c r="EI75" s="190">
        <v>72152.029780000012</v>
      </c>
      <c r="EJ75" s="190">
        <v>67553.222450000001</v>
      </c>
      <c r="EK75" s="190">
        <v>60583.162370000005</v>
      </c>
      <c r="EL75" s="190">
        <v>49549.497879999995</v>
      </c>
      <c r="EM75" s="190">
        <v>50599.638369999993</v>
      </c>
      <c r="EN75" s="190">
        <v>57251.743600000002</v>
      </c>
      <c r="EO75" s="190">
        <v>62063.100990000006</v>
      </c>
      <c r="EP75" s="190">
        <v>63853.377550000005</v>
      </c>
      <c r="EQ75" s="190">
        <v>75490.841990000001</v>
      </c>
      <c r="ER75" s="190">
        <v>86452.891669999997</v>
      </c>
      <c r="ES75" s="190">
        <v>73129.695100000026</v>
      </c>
      <c r="ET75" s="190">
        <v>72888.359290000008</v>
      </c>
      <c r="EU75" s="190">
        <v>65834.937080000003</v>
      </c>
      <c r="EV75" s="190">
        <v>55387.404740000013</v>
      </c>
      <c r="EW75" s="190">
        <v>54040.904860000002</v>
      </c>
      <c r="EX75" s="190">
        <v>64432.227980000003</v>
      </c>
      <c r="EY75" s="190">
        <v>60540.164509999995</v>
      </c>
      <c r="EZ75" s="190">
        <v>59584.701799999995</v>
      </c>
      <c r="FA75" s="190">
        <v>63132.710599999999</v>
      </c>
      <c r="FB75" s="190">
        <v>60897.482299999996</v>
      </c>
      <c r="FC75" s="190">
        <f>-(VLOOKUP("232",'Input BS ACCTS'!$A$5:$DH$1058,110,FALSE)+VLOOKUP("2420300",'Input BS ACCTS'!$A$5:$DH$1058,110,FALSE)-VLOOKUP("2320008",'Input BS ACCTS'!$A$5:$DH$1058,110,FALSE)-VLOOKUP("2320015",'Input BS ACCTS'!$A$5:$DH$1058,110,FALSE)-VLOOKUP("2320020",'Input BS ACCTS'!$A$5:$DH$1058,110,FALSE)-VLOOKUP("2320022",'Input BS ACCTS'!$A$5:$DH$1058,110,FALSE))/1000</f>
        <v>63213.065170000002</v>
      </c>
      <c r="FD75" s="190">
        <f>-(VLOOKUP("232",'Input BS ACCTS'!$A$5:$DH$1058,111,FALSE)+VLOOKUP("2420300",'Input BS ACCTS'!$A$5:$DH$1058,111,FALSE)-VLOOKUP("2320008",'Input BS ACCTS'!$A$5:$DH$1058,111,FALSE)-VLOOKUP("2320015",'Input BS ACCTS'!$A$5:$DH$1058,111,FALSE)-VLOOKUP("2320020",'Input BS ACCTS'!$A$5:$DH$1058,111,FALSE)-VLOOKUP("2320022",'Input BS ACCTS'!$A$5:$DH$1058,111,FALSE))/1000</f>
        <v>81182.573349999991</v>
      </c>
      <c r="FE75" s="190">
        <f>-(VLOOKUP("232",'Input BS ACCTS'!$A$5:$DH$1058,112,FALSE)+VLOOKUP("2420300",'Input BS ACCTS'!$A$5:$DH$1058,112,FALSE)-VLOOKUP("2320008",'Input BS ACCTS'!$A$5:$DH$1058,112,FALSE)-VLOOKUP("2320015",'Input BS ACCTS'!$A$5:$DH$1058,112,FALSE)-VLOOKUP("2320020",'Input BS ACCTS'!$A$5:$DH$1058,112,FALSE)-VLOOKUP("2320022",'Input BS ACCTS'!$A$5:$DH$1058,112,FALSE))/1000</f>
        <v>72943.726480000012</v>
      </c>
      <c r="FF75" s="403">
        <f t="shared" si="135"/>
        <v>65169.842558461547</v>
      </c>
      <c r="FG75" s="700"/>
      <c r="FH75" s="700"/>
      <c r="IJ75" s="35"/>
      <c r="IK75" s="221"/>
      <c r="IL75" s="226"/>
      <c r="IM75" s="35"/>
      <c r="IN75" s="35"/>
      <c r="IO75" s="35"/>
      <c r="IP75" s="35"/>
      <c r="IQ75" s="35"/>
      <c r="IR75" s="35"/>
      <c r="IS75" s="35"/>
      <c r="IT75" s="35"/>
      <c r="IU75" s="35"/>
      <c r="IV75" s="35"/>
      <c r="IW75" s="35"/>
      <c r="IX75" s="35"/>
      <c r="IY75" s="35"/>
    </row>
    <row r="76" spans="1:259">
      <c r="A76" s="169" t="s">
        <v>529</v>
      </c>
      <c r="B76" s="170">
        <v>-297.95263999999781</v>
      </c>
      <c r="C76" s="170">
        <v>-406.3596399999978</v>
      </c>
      <c r="D76" s="170">
        <v>2.3600000021979212E-3</v>
      </c>
      <c r="E76" s="170">
        <v>-887.21363999999778</v>
      </c>
      <c r="F76" s="170">
        <v>2.3600000021979212E-3</v>
      </c>
      <c r="G76" s="170">
        <v>-428.07763999999781</v>
      </c>
      <c r="H76" s="170">
        <v>2.3600000021979212E-3</v>
      </c>
      <c r="I76" s="170">
        <v>2.3600000021979212E-3</v>
      </c>
      <c r="J76" s="170">
        <v>2.3600000021979212E-3</v>
      </c>
      <c r="K76" s="170">
        <v>2.3600000021979212E-3</v>
      </c>
      <c r="L76" s="171">
        <v>-5052.2326400000002</v>
      </c>
      <c r="M76" s="170">
        <v>-1990.59764</v>
      </c>
      <c r="N76" s="170">
        <v>-1974.25164</v>
      </c>
      <c r="O76" s="172">
        <v>-554.21500000000003</v>
      </c>
      <c r="P76" s="172">
        <v>-545.02199999999993</v>
      </c>
      <c r="Q76" s="172">
        <v>-874</v>
      </c>
      <c r="R76" s="172">
        <v>-697</v>
      </c>
      <c r="S76" s="172">
        <v>-809</v>
      </c>
      <c r="T76" s="172">
        <v>465</v>
      </c>
      <c r="U76" s="172">
        <v>-774.16100000000006</v>
      </c>
      <c r="V76" s="172">
        <v>800.06000000000006</v>
      </c>
      <c r="W76" s="172">
        <v>-695.68500000000006</v>
      </c>
      <c r="X76" s="172">
        <v>-788.01650000000006</v>
      </c>
      <c r="Y76" s="172">
        <v>-780.30500000000006</v>
      </c>
      <c r="Z76" s="172">
        <v>-710.26</v>
      </c>
      <c r="AA76" s="172">
        <v>-561.3103900000001</v>
      </c>
      <c r="AB76" s="172">
        <v>-624.29050000000007</v>
      </c>
      <c r="AC76" s="172">
        <v>-881.21900000000005</v>
      </c>
      <c r="AD76" s="186">
        <v>12</v>
      </c>
      <c r="AE76" s="172">
        <v>-16.539000000000001</v>
      </c>
      <c r="AF76" s="172">
        <v>-20.773289999999999</v>
      </c>
      <c r="AG76" s="172">
        <v>8.5885499999998363</v>
      </c>
      <c r="AH76" s="172">
        <v>-19.891600000000167</v>
      </c>
      <c r="AI76" s="172">
        <v>-68.998120000000156</v>
      </c>
      <c r="AJ76" s="172">
        <v>-1.23</v>
      </c>
      <c r="AK76" s="172">
        <v>11598.77</v>
      </c>
      <c r="AL76" s="172">
        <v>-1.23</v>
      </c>
      <c r="AM76" s="186">
        <v>-1.23</v>
      </c>
      <c r="AN76" s="186">
        <v>-1.23</v>
      </c>
      <c r="AO76" s="187">
        <v>2298.8379399999999</v>
      </c>
      <c r="AP76" s="187">
        <v>0</v>
      </c>
      <c r="AQ76" s="187">
        <v>0</v>
      </c>
      <c r="AR76" s="187">
        <v>0</v>
      </c>
      <c r="AS76" s="219">
        <v>6.794E-2</v>
      </c>
      <c r="AT76" s="219">
        <v>0</v>
      </c>
      <c r="AU76" s="219">
        <v>0</v>
      </c>
      <c r="AV76" s="219">
        <v>0</v>
      </c>
      <c r="AW76" s="219">
        <v>0</v>
      </c>
      <c r="AX76" s="219">
        <v>0</v>
      </c>
      <c r="AY76" s="190">
        <v>0</v>
      </c>
      <c r="AZ76" s="190">
        <v>3200</v>
      </c>
      <c r="BA76" s="351">
        <v>0</v>
      </c>
      <c r="BB76" s="351">
        <v>0</v>
      </c>
      <c r="BC76" s="351">
        <v>0</v>
      </c>
      <c r="BD76" s="351">
        <v>0</v>
      </c>
      <c r="BE76" s="351">
        <v>0</v>
      </c>
      <c r="BF76" s="351">
        <v>0</v>
      </c>
      <c r="BG76" s="138">
        <v>0</v>
      </c>
      <c r="BH76" s="138">
        <v>0</v>
      </c>
      <c r="BI76" s="138">
        <v>0</v>
      </c>
      <c r="BJ76" s="138">
        <v>0</v>
      </c>
      <c r="BK76" s="138">
        <v>0</v>
      </c>
      <c r="BL76" s="138">
        <v>0</v>
      </c>
      <c r="BM76" s="138">
        <v>0</v>
      </c>
      <c r="BN76" s="138">
        <v>0</v>
      </c>
      <c r="BO76" s="138">
        <v>0</v>
      </c>
      <c r="BP76" s="138">
        <v>0</v>
      </c>
      <c r="BQ76" s="138">
        <v>0</v>
      </c>
      <c r="BR76" s="138">
        <v>0</v>
      </c>
      <c r="BS76" s="138">
        <v>0</v>
      </c>
      <c r="BT76" s="138">
        <v>0</v>
      </c>
      <c r="BU76" s="138">
        <v>0</v>
      </c>
      <c r="BV76" s="138">
        <v>0</v>
      </c>
      <c r="BW76" s="138">
        <v>0</v>
      </c>
      <c r="BX76" s="138">
        <v>0</v>
      </c>
      <c r="BY76" s="138">
        <v>0</v>
      </c>
      <c r="BZ76" s="138">
        <v>0</v>
      </c>
      <c r="CA76" s="138">
        <v>0</v>
      </c>
      <c r="CB76" s="138">
        <v>0</v>
      </c>
      <c r="CC76" s="138">
        <v>0</v>
      </c>
      <c r="CD76" s="138">
        <v>0</v>
      </c>
      <c r="CE76" s="138">
        <v>0</v>
      </c>
      <c r="CF76" s="138">
        <v>0</v>
      </c>
      <c r="CG76" s="138">
        <v>0</v>
      </c>
      <c r="CH76" s="138">
        <v>0</v>
      </c>
      <c r="CI76" s="138">
        <v>0</v>
      </c>
      <c r="CJ76" s="138">
        <v>0</v>
      </c>
      <c r="CK76" s="138">
        <v>0</v>
      </c>
      <c r="CL76" s="138">
        <v>0</v>
      </c>
      <c r="CM76" s="138">
        <v>0</v>
      </c>
      <c r="CN76" s="138">
        <v>0</v>
      </c>
      <c r="CO76" s="138">
        <v>0</v>
      </c>
      <c r="CP76" s="138">
        <v>0</v>
      </c>
      <c r="CQ76" s="138">
        <v>0</v>
      </c>
      <c r="CR76" s="138">
        <v>0</v>
      </c>
      <c r="CS76" s="138">
        <v>0</v>
      </c>
      <c r="CT76" s="138">
        <v>0</v>
      </c>
      <c r="CU76" s="138">
        <v>0</v>
      </c>
      <c r="CV76" s="138">
        <v>0</v>
      </c>
      <c r="CW76" s="138">
        <v>0</v>
      </c>
      <c r="CX76" s="138">
        <v>0</v>
      </c>
      <c r="CY76" s="138">
        <v>0</v>
      </c>
      <c r="CZ76" s="138">
        <v>0</v>
      </c>
      <c r="DA76" s="138">
        <v>0</v>
      </c>
      <c r="DB76" s="138">
        <v>0</v>
      </c>
      <c r="DC76" s="138">
        <v>0</v>
      </c>
      <c r="DD76" s="138">
        <v>0</v>
      </c>
      <c r="DE76" s="138">
        <v>0</v>
      </c>
      <c r="DF76" s="138">
        <v>0</v>
      </c>
      <c r="DG76" s="138">
        <v>0</v>
      </c>
      <c r="DH76" s="138">
        <v>0</v>
      </c>
      <c r="DI76" s="138">
        <v>0</v>
      </c>
      <c r="DJ76" s="138">
        <v>0</v>
      </c>
      <c r="DK76" s="138">
        <v>0</v>
      </c>
      <c r="DL76" s="138">
        <v>0</v>
      </c>
      <c r="DM76" s="138">
        <v>0</v>
      </c>
      <c r="DN76" s="138">
        <v>0</v>
      </c>
      <c r="DO76" s="138">
        <v>0</v>
      </c>
      <c r="DP76" s="138">
        <v>0</v>
      </c>
      <c r="DQ76" s="138">
        <v>0</v>
      </c>
      <c r="DR76" s="138">
        <v>0</v>
      </c>
      <c r="DS76" s="138">
        <v>0</v>
      </c>
      <c r="DT76" s="138">
        <v>0</v>
      </c>
      <c r="DU76" s="138">
        <v>0</v>
      </c>
      <c r="DV76" s="138">
        <v>0</v>
      </c>
      <c r="DW76" s="138">
        <v>0</v>
      </c>
      <c r="DX76" s="138">
        <v>0</v>
      </c>
      <c r="DY76" s="138">
        <v>0</v>
      </c>
      <c r="DZ76" s="138">
        <v>0</v>
      </c>
      <c r="EA76" s="138">
        <v>0</v>
      </c>
      <c r="EB76" s="138">
        <v>0</v>
      </c>
      <c r="EC76" s="138">
        <v>0</v>
      </c>
      <c r="ED76" s="138">
        <v>0</v>
      </c>
      <c r="EE76" s="138">
        <v>0</v>
      </c>
      <c r="EF76" s="138">
        <v>0</v>
      </c>
      <c r="EG76" s="138">
        <v>0</v>
      </c>
      <c r="EH76" s="138">
        <v>0</v>
      </c>
      <c r="EI76" s="138">
        <v>0</v>
      </c>
      <c r="EJ76" s="138">
        <v>0</v>
      </c>
      <c r="EK76" s="138">
        <v>0</v>
      </c>
      <c r="EL76" s="138">
        <v>0</v>
      </c>
      <c r="EM76" s="138">
        <v>0</v>
      </c>
      <c r="EN76" s="138">
        <v>0</v>
      </c>
      <c r="EO76" s="138">
        <v>0</v>
      </c>
      <c r="EP76" s="138">
        <v>0</v>
      </c>
      <c r="EQ76" s="138">
        <v>0</v>
      </c>
      <c r="ER76" s="138">
        <v>0</v>
      </c>
      <c r="ES76" s="138">
        <v>0</v>
      </c>
      <c r="ET76" s="138">
        <v>0</v>
      </c>
      <c r="EU76" s="138">
        <v>0</v>
      </c>
      <c r="EV76" s="138">
        <v>0</v>
      </c>
      <c r="EW76" s="138">
        <v>0</v>
      </c>
      <c r="EX76" s="138">
        <v>0</v>
      </c>
      <c r="EY76" s="138">
        <v>0</v>
      </c>
      <c r="EZ76" s="138">
        <v>0</v>
      </c>
      <c r="FA76" s="138">
        <v>0</v>
      </c>
      <c r="FB76" s="138">
        <v>0</v>
      </c>
      <c r="FC76" s="138">
        <f>VLOOKUP("2330711",'Input BS ACCTS'!$A$5:$DH$1058,110,FALSE)/1000-VLOOKUP("2330711",'Input BS ACCTS'!$A$5:$DH$1058,110,FALSE)/1000</f>
        <v>0</v>
      </c>
      <c r="FD76" s="138">
        <f>VLOOKUP("2330711",'Input BS ACCTS'!$A$5:$DH$1058,111,FALSE)/1000-VLOOKUP("2330711",'Input BS ACCTS'!$A$5:$DH$1058,111,FALSE)/1000</f>
        <v>0</v>
      </c>
      <c r="FE76" s="138">
        <f>VLOOKUP("2330711",'Input BS ACCTS'!$A$5:$DH$1058,112,FALSE)/1000-VLOOKUP("2330711",'Input BS ACCTS'!$A$5:$DH$1058,112,FALSE)/1000</f>
        <v>0</v>
      </c>
      <c r="FF76" s="403">
        <f t="shared" si="135"/>
        <v>0</v>
      </c>
      <c r="FG76" s="700"/>
      <c r="FH76" s="700"/>
      <c r="IJ76" s="35"/>
      <c r="IK76" s="221"/>
      <c r="IL76" s="226"/>
      <c r="IM76" s="35"/>
      <c r="IN76" s="35"/>
      <c r="IO76" s="35"/>
      <c r="IP76" s="35"/>
      <c r="IQ76" s="35"/>
      <c r="IR76" s="35"/>
      <c r="IS76" s="35"/>
      <c r="IT76" s="35"/>
      <c r="IU76" s="35"/>
      <c r="IV76" s="35"/>
      <c r="IW76" s="35"/>
      <c r="IX76" s="35"/>
      <c r="IY76" s="35"/>
    </row>
    <row r="77" spans="1:259">
      <c r="A77" s="173" t="s">
        <v>526</v>
      </c>
      <c r="B77" s="172">
        <v>7201.5473200000006</v>
      </c>
      <c r="C77" s="172">
        <v>3718.9603199999997</v>
      </c>
      <c r="D77" s="172">
        <v>1.3200000002980233E-3</v>
      </c>
      <c r="E77" s="172">
        <v>7860.4053199999998</v>
      </c>
      <c r="F77" s="172">
        <v>1.3200000002980233E-3</v>
      </c>
      <c r="G77" s="172">
        <v>7869.1213200000002</v>
      </c>
      <c r="H77" s="172">
        <v>1.3200000002980233E-3</v>
      </c>
      <c r="I77" s="172">
        <v>1.3200000002980233E-3</v>
      </c>
      <c r="J77" s="172">
        <v>1.3200000002980233E-3</v>
      </c>
      <c r="K77" s="172">
        <v>1.3200000002980233E-3</v>
      </c>
      <c r="L77" s="172">
        <v>9161.8013200000005</v>
      </c>
      <c r="M77" s="172">
        <v>7350.8013200000005</v>
      </c>
      <c r="N77" s="172">
        <v>8391.8023200000007</v>
      </c>
      <c r="O77" s="170">
        <v>5235.3420000000006</v>
      </c>
      <c r="P77" s="170">
        <v>9565.3739999999998</v>
      </c>
      <c r="Q77" s="172">
        <v>11604</v>
      </c>
      <c r="R77" s="172">
        <v>9421</v>
      </c>
      <c r="S77" s="172">
        <v>9078</v>
      </c>
      <c r="T77" s="172">
        <v>6739</v>
      </c>
      <c r="U77" s="172">
        <v>7318.9480000000003</v>
      </c>
      <c r="V77" s="172">
        <v>10161.672</v>
      </c>
      <c r="W77" s="172">
        <v>12063.582</v>
      </c>
      <c r="X77" s="172">
        <v>7759.0904999999993</v>
      </c>
      <c r="Y77" s="172">
        <v>8640.6890000000003</v>
      </c>
      <c r="Z77" s="172">
        <v>7444.3280000000004</v>
      </c>
      <c r="AA77" s="172">
        <v>6032.4242200000008</v>
      </c>
      <c r="AB77" s="172">
        <v>11394.584500000001</v>
      </c>
      <c r="AC77" s="172">
        <v>12166.923999999999</v>
      </c>
      <c r="AD77" s="186">
        <v>6940</v>
      </c>
      <c r="AE77" s="172">
        <v>8347.9970000000012</v>
      </c>
      <c r="AF77" s="172">
        <v>8626.1502899999996</v>
      </c>
      <c r="AG77" s="172">
        <v>5549.3345800000025</v>
      </c>
      <c r="AH77" s="172">
        <v>10365.536110000005</v>
      </c>
      <c r="AI77" s="172">
        <v>3464.5116000000016</v>
      </c>
      <c r="AJ77" s="172">
        <v>8570.1916600000004</v>
      </c>
      <c r="AK77" s="172">
        <v>6739.6665599999997</v>
      </c>
      <c r="AL77" s="172">
        <v>4649.6225199999999</v>
      </c>
      <c r="AM77" s="186">
        <v>6563.3233099999998</v>
      </c>
      <c r="AN77" s="186">
        <v>9052.2224999999999</v>
      </c>
      <c r="AO77" s="187">
        <v>6106.0212299999994</v>
      </c>
      <c r="AP77" s="187">
        <v>5377.08979</v>
      </c>
      <c r="AQ77" s="187">
        <v>4747.2100600000003</v>
      </c>
      <c r="AR77" s="187">
        <v>5644.1537500000004</v>
      </c>
      <c r="AS77" s="219">
        <v>5727.2289100000007</v>
      </c>
      <c r="AT77" s="219">
        <v>12316.68533</v>
      </c>
      <c r="AU77" s="219">
        <v>6268.3827899999997</v>
      </c>
      <c r="AV77" s="219">
        <v>5623.9846100000004</v>
      </c>
      <c r="AW77" s="219">
        <v>4594.2491600000003</v>
      </c>
      <c r="AX77" s="219">
        <v>6580.0334499999999</v>
      </c>
      <c r="AY77" s="190">
        <v>5882.8475599999992</v>
      </c>
      <c r="AZ77" s="190">
        <v>9115.0297200000005</v>
      </c>
      <c r="BA77" s="330">
        <v>7116.1821600000003</v>
      </c>
      <c r="BB77" s="330">
        <v>5784.3874400000004</v>
      </c>
      <c r="BC77" s="330">
        <v>5514.6706599999998</v>
      </c>
      <c r="BD77" s="330">
        <v>5919.2510899999997</v>
      </c>
      <c r="BE77" s="330">
        <v>5377.0384400000003</v>
      </c>
      <c r="BF77" s="330">
        <v>20708.921300000002</v>
      </c>
      <c r="BG77" s="211">
        <v>13845.023880000001</v>
      </c>
      <c r="BH77" s="211">
        <v>6123.2677699999995</v>
      </c>
      <c r="BI77" s="211">
        <v>5130.2318299999997</v>
      </c>
      <c r="BJ77" s="211">
        <v>4896.4541900000004</v>
      </c>
      <c r="BK77" s="211">
        <v>4922.1022300000004</v>
      </c>
      <c r="BL77" s="211">
        <v>10883.02202</v>
      </c>
      <c r="BM77" s="211">
        <v>6974.3277699999999</v>
      </c>
      <c r="BN77" s="211">
        <v>5766.0720599999995</v>
      </c>
      <c r="BO77" s="211">
        <v>5525.1313300000002</v>
      </c>
      <c r="BP77" s="211">
        <v>6172.1099599999998</v>
      </c>
      <c r="BQ77" s="211">
        <v>5675.1078099999995</v>
      </c>
      <c r="BR77" s="211">
        <v>10351.095130000002</v>
      </c>
      <c r="BS77" s="211">
        <v>6018.5597800000005</v>
      </c>
      <c r="BT77" s="211">
        <v>6678.4763800000001</v>
      </c>
      <c r="BU77" s="211">
        <v>4918.4618600000003</v>
      </c>
      <c r="BV77" s="211">
        <v>5126.6800800000001</v>
      </c>
      <c r="BW77" s="211">
        <v>4962.85142</v>
      </c>
      <c r="BX77" s="211">
        <v>10730.328890000001</v>
      </c>
      <c r="BY77" s="211">
        <v>8403.2053500000002</v>
      </c>
      <c r="BZ77" s="211">
        <v>5323.7914500000006</v>
      </c>
      <c r="CA77" s="211">
        <v>5600.32395</v>
      </c>
      <c r="CB77" s="211">
        <v>6055.3327900000004</v>
      </c>
      <c r="CC77" s="211">
        <v>4577.0779599999996</v>
      </c>
      <c r="CD77" s="211">
        <v>9378.5414000000001</v>
      </c>
      <c r="CE77" s="211">
        <v>5145.4194100000004</v>
      </c>
      <c r="CF77" s="211">
        <v>4794.9193499999992</v>
      </c>
      <c r="CG77" s="211">
        <v>3198.0982400000003</v>
      </c>
      <c r="CH77" s="211">
        <v>3354.53496</v>
      </c>
      <c r="CI77" s="211">
        <v>4471.5271600000005</v>
      </c>
      <c r="CJ77" s="211">
        <v>9428.5840000000007</v>
      </c>
      <c r="CK77" s="211">
        <v>8167.3288499999999</v>
      </c>
      <c r="CL77" s="211">
        <v>2335.0118499999999</v>
      </c>
      <c r="CM77" s="211">
        <v>11570.825409999999</v>
      </c>
      <c r="CN77" s="211">
        <v>4085.8183300000001</v>
      </c>
      <c r="CO77" s="211">
        <v>8579.6544200000008</v>
      </c>
      <c r="CP77" s="211">
        <v>13996.85288</v>
      </c>
      <c r="CQ77" s="211">
        <v>2652.29457</v>
      </c>
      <c r="CR77" s="211">
        <v>7947.7794699999995</v>
      </c>
      <c r="CS77" s="211">
        <v>4475.47876</v>
      </c>
      <c r="CT77" s="211">
        <v>3001.0500099999999</v>
      </c>
      <c r="CU77" s="211">
        <v>4552.1015599999992</v>
      </c>
      <c r="CV77" s="211">
        <v>11106.33135</v>
      </c>
      <c r="CW77" s="211">
        <v>8001.4238399999995</v>
      </c>
      <c r="CX77" s="211">
        <v>7200.9321200000004</v>
      </c>
      <c r="CY77" s="211">
        <v>6628.3147499999995</v>
      </c>
      <c r="CZ77" s="211">
        <v>6442.00461</v>
      </c>
      <c r="DA77" s="211">
        <v>6810.7524899999999</v>
      </c>
      <c r="DB77" s="211">
        <v>10383.811169999999</v>
      </c>
      <c r="DC77" s="211">
        <v>8069.8789900000002</v>
      </c>
      <c r="DD77" s="211">
        <v>7327.8662999999997</v>
      </c>
      <c r="DE77" s="211">
        <v>6511.5921900000003</v>
      </c>
      <c r="DF77" s="211">
        <v>7276.4551500000007</v>
      </c>
      <c r="DG77" s="211">
        <v>7215.6289900000002</v>
      </c>
      <c r="DH77" s="211">
        <v>10352.34922</v>
      </c>
      <c r="DI77" s="211">
        <v>9568.9542000000001</v>
      </c>
      <c r="DJ77" s="211">
        <v>9616.3110399999987</v>
      </c>
      <c r="DK77" s="211">
        <v>6876.6940800000002</v>
      </c>
      <c r="DL77" s="211">
        <v>7920.9587300000003</v>
      </c>
      <c r="DM77" s="211">
        <v>6148.6368000000002</v>
      </c>
      <c r="DN77" s="211">
        <v>9403.0199900000007</v>
      </c>
      <c r="DO77" s="211">
        <v>8706.5546799999993</v>
      </c>
      <c r="DP77" s="211">
        <v>5766.29126</v>
      </c>
      <c r="DQ77" s="211">
        <v>6705.1080700000002</v>
      </c>
      <c r="DR77" s="211">
        <v>6340.70525</v>
      </c>
      <c r="DS77" s="211">
        <v>5809.0511900000001</v>
      </c>
      <c r="DT77" s="211">
        <v>9435.7610399999994</v>
      </c>
      <c r="DU77" s="211">
        <v>11465.299789999999</v>
      </c>
      <c r="DV77" s="211">
        <v>8005.2563899999996</v>
      </c>
      <c r="DW77" s="211">
        <v>6583.2082399999999</v>
      </c>
      <c r="DX77" s="211">
        <v>8367.6247100000001</v>
      </c>
      <c r="DY77" s="211">
        <v>6436.9436799999994</v>
      </c>
      <c r="DZ77" s="211">
        <v>9806.2314000000006</v>
      </c>
      <c r="EA77" s="211">
        <v>10042.27017</v>
      </c>
      <c r="EB77" s="211">
        <v>6059.6397400000005</v>
      </c>
      <c r="EC77" s="211">
        <v>5253.8059699999994</v>
      </c>
      <c r="ED77" s="211">
        <v>7058.4332699999995</v>
      </c>
      <c r="EE77" s="211">
        <v>6069.0720199999996</v>
      </c>
      <c r="EF77" s="211">
        <v>12802.38442</v>
      </c>
      <c r="EG77" s="211">
        <v>14186.404259999999</v>
      </c>
      <c r="EH77" s="211">
        <v>12774.503279999999</v>
      </c>
      <c r="EI77" s="211">
        <v>12213.36923</v>
      </c>
      <c r="EJ77" s="211">
        <v>5551.0028600000005</v>
      </c>
      <c r="EK77" s="211">
        <v>15103.570750000001</v>
      </c>
      <c r="EL77" s="211">
        <v>11668.17966</v>
      </c>
      <c r="EM77" s="211">
        <v>13634.860560000001</v>
      </c>
      <c r="EN77" s="211">
        <v>12336.51057</v>
      </c>
      <c r="EO77" s="211">
        <v>10228.56855</v>
      </c>
      <c r="EP77" s="211">
        <v>14919.462680000001</v>
      </c>
      <c r="EQ77" s="211">
        <v>11299.470589999999</v>
      </c>
      <c r="ER77" s="211">
        <v>13776.142669999999</v>
      </c>
      <c r="ES77" s="211">
        <v>16072.202789999999</v>
      </c>
      <c r="ET77" s="211">
        <v>13834.65186</v>
      </c>
      <c r="EU77" s="211">
        <v>13329.201519999999</v>
      </c>
      <c r="EV77" s="211">
        <v>15230.920619999999</v>
      </c>
      <c r="EW77" s="211">
        <v>10942.50354</v>
      </c>
      <c r="EX77" s="211">
        <v>13229.11045</v>
      </c>
      <c r="EY77" s="211">
        <v>15795.04981</v>
      </c>
      <c r="EZ77" s="211">
        <v>15179.281590000001</v>
      </c>
      <c r="FA77" s="211">
        <v>11760.57324</v>
      </c>
      <c r="FB77" s="211">
        <v>11920.240179999999</v>
      </c>
      <c r="FC77" s="211">
        <f>-(VLOOKUP("234",'Input BS ACCTS'!$A$5:$DH$1058,110,FALSE))/1000</f>
        <v>9260.2499700000008</v>
      </c>
      <c r="FD77" s="211">
        <f>-(VLOOKUP("234",'Input BS ACCTS'!$A$5:$DH$1058,111,FALSE))/1000</f>
        <v>14395.23034</v>
      </c>
      <c r="FE77" s="211">
        <f>-(VLOOKUP("234",'Input BS ACCTS'!$A$5:$DH$1058,112,FALSE))/1000</f>
        <v>28136.525460000001</v>
      </c>
      <c r="FF77" s="403">
        <f t="shared" si="135"/>
        <v>14545.057028461539</v>
      </c>
      <c r="FG77" s="700"/>
      <c r="FH77" s="700"/>
      <c r="IJ77" s="35"/>
      <c r="IK77" s="221"/>
      <c r="IL77" s="226"/>
      <c r="IM77" s="35"/>
      <c r="IN77" s="35"/>
      <c r="IO77" s="35"/>
      <c r="IP77" s="35"/>
      <c r="IQ77" s="35"/>
      <c r="IR77" s="35"/>
      <c r="IS77" s="35"/>
      <c r="IT77" s="35"/>
      <c r="IU77" s="35"/>
      <c r="IV77" s="35"/>
      <c r="IW77" s="35"/>
      <c r="IX77" s="35"/>
      <c r="IY77" s="35"/>
    </row>
    <row r="78" spans="1:259">
      <c r="A78" s="27" t="s">
        <v>527</v>
      </c>
      <c r="B78" s="107">
        <v>4830</v>
      </c>
      <c r="C78" s="107">
        <v>4781</v>
      </c>
      <c r="D78" s="107">
        <v>4922</v>
      </c>
      <c r="E78" s="107">
        <v>4961</v>
      </c>
      <c r="F78" s="107">
        <v>4951</v>
      </c>
      <c r="G78" s="107">
        <v>5006</v>
      </c>
      <c r="H78" s="107">
        <v>5116</v>
      </c>
      <c r="I78" s="107">
        <v>5130</v>
      </c>
      <c r="J78" s="107">
        <v>5069</v>
      </c>
      <c r="K78" s="107">
        <v>5203</v>
      </c>
      <c r="L78" s="107">
        <v>5145</v>
      </c>
      <c r="M78" s="107">
        <v>5211</v>
      </c>
      <c r="N78" s="107">
        <v>5301</v>
      </c>
      <c r="O78" s="107">
        <v>5274</v>
      </c>
      <c r="P78" s="107">
        <v>5347</v>
      </c>
      <c r="Q78" s="107">
        <v>5416</v>
      </c>
      <c r="R78" s="107">
        <v>5358</v>
      </c>
      <c r="S78" s="107">
        <v>5454</v>
      </c>
      <c r="T78" s="107">
        <v>5500</v>
      </c>
      <c r="U78" s="107">
        <v>5442</v>
      </c>
      <c r="V78" s="107">
        <v>5426</v>
      </c>
      <c r="W78" s="107">
        <v>5461</v>
      </c>
      <c r="X78" s="107">
        <v>5370</v>
      </c>
      <c r="Y78" s="107">
        <v>5371</v>
      </c>
      <c r="Z78" s="107">
        <v>5367</v>
      </c>
      <c r="AA78" s="107">
        <v>5307</v>
      </c>
      <c r="AB78" s="107">
        <v>5343</v>
      </c>
      <c r="AC78" s="107">
        <v>5280</v>
      </c>
      <c r="AD78" s="187">
        <v>5283</v>
      </c>
      <c r="AE78" s="107">
        <v>5262</v>
      </c>
      <c r="AF78" s="107">
        <v>5236</v>
      </c>
      <c r="AG78" s="107">
        <v>5158</v>
      </c>
      <c r="AH78" s="107">
        <v>5089</v>
      </c>
      <c r="AI78" s="107">
        <v>5020</v>
      </c>
      <c r="AJ78" s="107">
        <v>0</v>
      </c>
      <c r="AK78" s="107">
        <v>0</v>
      </c>
      <c r="AL78" s="107">
        <v>695.03200000000004</v>
      </c>
      <c r="AM78" s="187">
        <v>695.03200000000004</v>
      </c>
      <c r="AN78" s="187">
        <v>695.03200000000004</v>
      </c>
      <c r="AO78" s="187">
        <v>695.03200000000004</v>
      </c>
      <c r="AP78" s="187">
        <v>695.03200000000004</v>
      </c>
      <c r="AQ78" s="187">
        <v>695.03200000000004</v>
      </c>
      <c r="AR78" s="187">
        <v>695.03200000000004</v>
      </c>
      <c r="AS78" s="219">
        <v>707.03200000000004</v>
      </c>
      <c r="AT78" s="219">
        <v>799.93200000000002</v>
      </c>
      <c r="AU78" s="219">
        <v>799.93200000000002</v>
      </c>
      <c r="AV78" s="219">
        <v>799.93200000000002</v>
      </c>
      <c r="AW78" s="219">
        <v>799.93200000000002</v>
      </c>
      <c r="AX78" s="219">
        <v>669.93200000000002</v>
      </c>
      <c r="AY78" s="190">
        <v>819.93200000000002</v>
      </c>
      <c r="AZ78" s="190">
        <v>819.93200000000002</v>
      </c>
      <c r="BA78" s="355">
        <v>709.93200000000002</v>
      </c>
      <c r="BB78" s="355">
        <v>709.93200000000002</v>
      </c>
      <c r="BC78" s="355">
        <v>709.93200000000002</v>
      </c>
      <c r="BD78" s="355">
        <v>709.93200000000002</v>
      </c>
      <c r="BE78" s="355">
        <v>734.93200000000002</v>
      </c>
      <c r="BF78" s="355">
        <v>734.93200000000002</v>
      </c>
      <c r="BG78" s="190">
        <v>734.93200000000002</v>
      </c>
      <c r="BH78" s="190">
        <v>734.93200000000002</v>
      </c>
      <c r="BI78" s="190">
        <v>709.93200000000002</v>
      </c>
      <c r="BJ78" s="190">
        <v>709.93200000000002</v>
      </c>
      <c r="BK78" s="190">
        <v>709.93200000000002</v>
      </c>
      <c r="BL78" s="190">
        <v>709.93200000000002</v>
      </c>
      <c r="BM78" s="190">
        <v>709.93200000000002</v>
      </c>
      <c r="BN78" s="190">
        <v>709.93200000000002</v>
      </c>
      <c r="BO78" s="190">
        <v>682.93200000000002</v>
      </c>
      <c r="BP78" s="190">
        <v>682.93200000000002</v>
      </c>
      <c r="BQ78" s="190">
        <v>682.93200000000002</v>
      </c>
      <c r="BR78" s="190">
        <v>682.93200000000002</v>
      </c>
      <c r="BS78" s="190">
        <v>682.93200000000002</v>
      </c>
      <c r="BT78" s="190">
        <v>682.93200000000002</v>
      </c>
      <c r="BU78" s="190">
        <v>682.93200000000002</v>
      </c>
      <c r="BV78" s="190">
        <v>682.93200000000002</v>
      </c>
      <c r="BW78" s="190">
        <v>682.93200000000002</v>
      </c>
      <c r="BX78" s="190">
        <v>682.93200000000002</v>
      </c>
      <c r="BY78" s="190">
        <v>682.93200000000002</v>
      </c>
      <c r="BZ78" s="190">
        <v>682.93200000000002</v>
      </c>
      <c r="CA78" s="190">
        <v>682.93200000000002</v>
      </c>
      <c r="CB78" s="190">
        <v>857.93200000000002</v>
      </c>
      <c r="CC78" s="190">
        <v>826</v>
      </c>
      <c r="CD78" s="190">
        <v>826</v>
      </c>
      <c r="CE78" s="190">
        <v>826</v>
      </c>
      <c r="CF78" s="190">
        <v>826</v>
      </c>
      <c r="CG78" s="190">
        <v>826</v>
      </c>
      <c r="CH78" s="190">
        <v>826</v>
      </c>
      <c r="CI78" s="190">
        <v>826</v>
      </c>
      <c r="CJ78" s="190">
        <v>826</v>
      </c>
      <c r="CK78" s="190">
        <v>826</v>
      </c>
      <c r="CL78" s="190">
        <v>826</v>
      </c>
      <c r="CM78" s="190">
        <v>826</v>
      </c>
      <c r="CN78" s="190">
        <v>826</v>
      </c>
      <c r="CO78" s="190">
        <v>826</v>
      </c>
      <c r="CP78" s="190">
        <v>826</v>
      </c>
      <c r="CQ78" s="190">
        <v>826</v>
      </c>
      <c r="CR78" s="190">
        <v>826</v>
      </c>
      <c r="CS78" s="190">
        <v>826</v>
      </c>
      <c r="CT78" s="190">
        <v>826</v>
      </c>
      <c r="CU78" s="190">
        <v>826</v>
      </c>
      <c r="CV78" s="190">
        <v>826</v>
      </c>
      <c r="CW78" s="190">
        <v>826</v>
      </c>
      <c r="CX78" s="190">
        <v>826</v>
      </c>
      <c r="CY78" s="190">
        <v>826</v>
      </c>
      <c r="CZ78" s="190">
        <v>826</v>
      </c>
      <c r="DA78" s="190">
        <v>826</v>
      </c>
      <c r="DB78" s="190">
        <v>826</v>
      </c>
      <c r="DC78" s="725">
        <v>836</v>
      </c>
      <c r="DD78" s="725">
        <v>836</v>
      </c>
      <c r="DE78" s="725">
        <v>661</v>
      </c>
      <c r="DF78" s="725">
        <v>661</v>
      </c>
      <c r="DG78" s="725">
        <v>511</v>
      </c>
      <c r="DH78" s="725">
        <v>511</v>
      </c>
      <c r="DI78" s="725">
        <v>511</v>
      </c>
      <c r="DJ78" s="725">
        <v>511</v>
      </c>
      <c r="DK78" s="725">
        <v>511</v>
      </c>
      <c r="DL78" s="725">
        <v>511</v>
      </c>
      <c r="DM78" s="725">
        <v>521</v>
      </c>
      <c r="DN78" s="725">
        <v>521</v>
      </c>
      <c r="DO78" s="725">
        <v>521</v>
      </c>
      <c r="DP78" s="725">
        <v>605</v>
      </c>
      <c r="DQ78" s="725">
        <v>595</v>
      </c>
      <c r="DR78" s="725">
        <v>569</v>
      </c>
      <c r="DS78" s="725">
        <v>569</v>
      </c>
      <c r="DT78" s="725">
        <v>569</v>
      </c>
      <c r="DU78" s="725">
        <v>569</v>
      </c>
      <c r="DV78" s="725">
        <v>569</v>
      </c>
      <c r="DW78" s="725">
        <v>594</v>
      </c>
      <c r="DX78" s="725">
        <v>594</v>
      </c>
      <c r="DY78" s="725">
        <v>594</v>
      </c>
      <c r="DZ78" s="725">
        <v>594</v>
      </c>
      <c r="EA78" s="725">
        <v>594</v>
      </c>
      <c r="EB78" s="725">
        <v>594</v>
      </c>
      <c r="EC78" s="725">
        <v>594</v>
      </c>
      <c r="ED78" s="725">
        <v>594</v>
      </c>
      <c r="EE78" s="725">
        <v>594</v>
      </c>
      <c r="EF78" s="725">
        <v>594</v>
      </c>
      <c r="EG78" s="725">
        <v>594</v>
      </c>
      <c r="EH78" s="725">
        <v>594</v>
      </c>
      <c r="EI78" s="725">
        <v>589</v>
      </c>
      <c r="EJ78" s="725">
        <v>589</v>
      </c>
      <c r="EK78" s="725">
        <v>589</v>
      </c>
      <c r="EL78" s="725">
        <v>589</v>
      </c>
      <c r="EM78" s="725">
        <v>589</v>
      </c>
      <c r="EN78" s="725">
        <v>579</v>
      </c>
      <c r="EO78" s="725">
        <v>579</v>
      </c>
      <c r="EP78" s="725">
        <v>579</v>
      </c>
      <c r="EQ78" s="725">
        <v>604</v>
      </c>
      <c r="ER78" s="725">
        <v>604</v>
      </c>
      <c r="ES78" s="725">
        <v>604</v>
      </c>
      <c r="ET78" s="725">
        <v>604</v>
      </c>
      <c r="EU78" s="725">
        <v>604</v>
      </c>
      <c r="EV78" s="725">
        <v>604</v>
      </c>
      <c r="EW78" s="725">
        <v>604</v>
      </c>
      <c r="EX78" s="725">
        <v>614</v>
      </c>
      <c r="EY78" s="725">
        <v>614</v>
      </c>
      <c r="EZ78" s="725">
        <v>614</v>
      </c>
      <c r="FA78" s="725">
        <v>614</v>
      </c>
      <c r="FB78" s="725">
        <v>614</v>
      </c>
      <c r="FC78" s="725">
        <f>-VLOOKUP("2350110",'Input BS ACCTS'!$A$5:$DH$1058,110,FALSE)/1000</f>
        <v>614</v>
      </c>
      <c r="FD78" s="725">
        <f>-VLOOKUP("2350110",'Input BS ACCTS'!$A$5:$DH$1058,111,FALSE)/1000</f>
        <v>614</v>
      </c>
      <c r="FE78" s="725">
        <f>-VLOOKUP("2350110",'Input BS ACCTS'!$A$5:$DH$1058,112,FALSE)/1000</f>
        <v>715</v>
      </c>
      <c r="FF78" s="403">
        <f t="shared" si="135"/>
        <v>617.92307692307691</v>
      </c>
      <c r="FG78" s="700"/>
      <c r="FH78" s="700"/>
      <c r="IJ78" s="35"/>
      <c r="IK78" s="221"/>
      <c r="IL78" s="226"/>
      <c r="IM78" s="35"/>
      <c r="IN78" s="35"/>
      <c r="IO78" s="35"/>
      <c r="IP78" s="35"/>
      <c r="IQ78" s="35"/>
      <c r="IR78" s="35"/>
      <c r="IS78" s="35"/>
      <c r="IT78" s="35"/>
      <c r="IU78" s="35"/>
      <c r="IV78" s="35"/>
      <c r="IW78" s="35"/>
      <c r="IX78" s="35"/>
      <c r="IY78" s="35"/>
    </row>
    <row r="79" spans="1:259">
      <c r="A79" s="27" t="s">
        <v>274</v>
      </c>
      <c r="B79" s="107">
        <v>6994.1180400000003</v>
      </c>
      <c r="C79" s="107">
        <v>7617.9430400000001</v>
      </c>
      <c r="D79" s="107">
        <v>945.87603999999999</v>
      </c>
      <c r="E79" s="107">
        <v>2061.71504</v>
      </c>
      <c r="F79" s="107">
        <v>3033.0680400000001</v>
      </c>
      <c r="G79" s="107">
        <v>3837.4660400000002</v>
      </c>
      <c r="H79" s="107">
        <v>4895.3700399999998</v>
      </c>
      <c r="I79" s="107">
        <v>5272.30404</v>
      </c>
      <c r="J79" s="107">
        <v>5731.99604</v>
      </c>
      <c r="K79" s="107">
        <v>6302.9090400000005</v>
      </c>
      <c r="L79" s="107">
        <v>5985.8960399999996</v>
      </c>
      <c r="M79" s="107">
        <v>6672.9690399999999</v>
      </c>
      <c r="N79" s="107">
        <v>7573.2770399999999</v>
      </c>
      <c r="O79" s="107">
        <v>8427</v>
      </c>
      <c r="P79" s="107">
        <v>1013</v>
      </c>
      <c r="Q79" s="107">
        <v>2341</v>
      </c>
      <c r="R79" s="107">
        <v>3276</v>
      </c>
      <c r="S79" s="107">
        <v>4085</v>
      </c>
      <c r="T79" s="107">
        <v>4543</v>
      </c>
      <c r="U79" s="107">
        <v>5219</v>
      </c>
      <c r="V79" s="107">
        <v>5637</v>
      </c>
      <c r="W79" s="107">
        <v>6532</v>
      </c>
      <c r="X79" s="107">
        <v>5983.7939999999999</v>
      </c>
      <c r="Y79" s="107">
        <v>6751</v>
      </c>
      <c r="Z79" s="107">
        <v>7486</v>
      </c>
      <c r="AA79" s="107">
        <v>8440</v>
      </c>
      <c r="AB79" s="107">
        <v>562</v>
      </c>
      <c r="AC79" s="107">
        <v>1891</v>
      </c>
      <c r="AD79" s="187">
        <v>2441</v>
      </c>
      <c r="AE79" s="107">
        <v>3251</v>
      </c>
      <c r="AF79" s="107">
        <v>4047</v>
      </c>
      <c r="AG79" s="107">
        <v>4855</v>
      </c>
      <c r="AH79" s="107">
        <v>5331</v>
      </c>
      <c r="AI79" s="107">
        <v>6084.9542999999994</v>
      </c>
      <c r="AJ79" s="107">
        <v>6054.8972499999991</v>
      </c>
      <c r="AK79" s="107">
        <v>6869.2956500000009</v>
      </c>
      <c r="AL79" s="107">
        <v>7705.8437000000004</v>
      </c>
      <c r="AM79" s="187">
        <v>8547.1519900000003</v>
      </c>
      <c r="AN79" s="187">
        <v>956.16525999999999</v>
      </c>
      <c r="AO79" s="187">
        <v>1911.6452399999996</v>
      </c>
      <c r="AP79" s="187">
        <v>2273.8115199999997</v>
      </c>
      <c r="AQ79" s="187">
        <v>3247.5470999999998</v>
      </c>
      <c r="AR79" s="187">
        <v>4371.8834400000005</v>
      </c>
      <c r="AS79" s="219">
        <v>5112.2267999999995</v>
      </c>
      <c r="AT79" s="219">
        <v>5759.4437099999996</v>
      </c>
      <c r="AU79" s="219">
        <v>6506.7515999999996</v>
      </c>
      <c r="AV79" s="219">
        <v>6325.4878199999994</v>
      </c>
      <c r="AW79" s="219">
        <v>7374.9180999999999</v>
      </c>
      <c r="AX79" s="219">
        <v>8299.3171000000002</v>
      </c>
      <c r="AY79" s="190">
        <v>9309.5637499999993</v>
      </c>
      <c r="AZ79" s="190">
        <v>754.52139000000011</v>
      </c>
      <c r="BA79" s="355">
        <v>1798.4035200000001</v>
      </c>
      <c r="BB79" s="355">
        <v>2737.2460799999999</v>
      </c>
      <c r="BC79" s="355">
        <v>3467.5794300000002</v>
      </c>
      <c r="BD79" s="355">
        <v>4313.03262</v>
      </c>
      <c r="BE79" s="355">
        <v>5034.8637699999999</v>
      </c>
      <c r="BF79" s="355">
        <v>5814.8124200000002</v>
      </c>
      <c r="BG79" s="190">
        <v>6656.8975799999998</v>
      </c>
      <c r="BH79" s="190">
        <v>6546.33007</v>
      </c>
      <c r="BI79" s="190">
        <v>7146.7496500000007</v>
      </c>
      <c r="BJ79" s="190">
        <v>8118.5154399999992</v>
      </c>
      <c r="BK79" s="190">
        <v>9003.5701799999988</v>
      </c>
      <c r="BL79" s="190">
        <v>782.90447000000006</v>
      </c>
      <c r="BM79" s="190">
        <v>2154.35817</v>
      </c>
      <c r="BN79" s="190">
        <v>2517.9499699999997</v>
      </c>
      <c r="BO79" s="190">
        <v>3505.1159300000004</v>
      </c>
      <c r="BP79" s="190">
        <v>4532.5905200000007</v>
      </c>
      <c r="BQ79" s="190">
        <v>5243.3299900000002</v>
      </c>
      <c r="BR79" s="190">
        <v>5988.8314900000005</v>
      </c>
      <c r="BS79" s="190">
        <v>6878.16896</v>
      </c>
      <c r="BT79" s="190">
        <v>6799.0495700000001</v>
      </c>
      <c r="BU79" s="190">
        <v>7418.4207099999994</v>
      </c>
      <c r="BV79" s="190">
        <v>8273.1842199999992</v>
      </c>
      <c r="BW79" s="190">
        <v>9223.4987400000009</v>
      </c>
      <c r="BX79" s="190">
        <v>1012.1790299999999</v>
      </c>
      <c r="BY79" s="190">
        <v>2203.0308600000003</v>
      </c>
      <c r="BZ79" s="190">
        <v>2675.7293899999995</v>
      </c>
      <c r="CA79" s="190">
        <v>3685.6664000000005</v>
      </c>
      <c r="CB79" s="190">
        <v>4500.167989999999</v>
      </c>
      <c r="CC79" s="190">
        <v>5138.478970000001</v>
      </c>
      <c r="CD79" s="190">
        <v>6091.8356699999995</v>
      </c>
      <c r="CE79" s="190">
        <v>6929.0209500000001</v>
      </c>
      <c r="CF79" s="190">
        <v>6844.1563500000002</v>
      </c>
      <c r="CG79" s="190">
        <v>7760.5038099999992</v>
      </c>
      <c r="CH79" s="190">
        <v>8846.2570400000004</v>
      </c>
      <c r="CI79" s="190">
        <v>9797.3169699999999</v>
      </c>
      <c r="CJ79" s="190">
        <v>1216.76576</v>
      </c>
      <c r="CK79" s="190">
        <v>2366.0382500000001</v>
      </c>
      <c r="CL79" s="190">
        <v>1826.5664100000001</v>
      </c>
      <c r="CM79" s="190">
        <v>3484.9449500000001</v>
      </c>
      <c r="CN79" s="190">
        <v>4515.6567599999998</v>
      </c>
      <c r="CO79" s="190">
        <v>5475.2851300000002</v>
      </c>
      <c r="CP79" s="190">
        <v>6085.7606299999998</v>
      </c>
      <c r="CQ79" s="190">
        <v>6944.7039799999993</v>
      </c>
      <c r="CR79" s="190">
        <v>6788.0562000000009</v>
      </c>
      <c r="CS79" s="190">
        <v>7816.5889500000003</v>
      </c>
      <c r="CT79" s="190">
        <v>8672.3568800000012</v>
      </c>
      <c r="CU79" s="190">
        <v>9670.360319999998</v>
      </c>
      <c r="CV79" s="190">
        <v>1085.2319000000002</v>
      </c>
      <c r="CW79" s="190">
        <v>2302.5307799999996</v>
      </c>
      <c r="CX79" s="190">
        <v>3112.4171799999999</v>
      </c>
      <c r="CY79" s="190">
        <v>3900.6653700000002</v>
      </c>
      <c r="CZ79" s="190">
        <v>4805.9942899999996</v>
      </c>
      <c r="DA79" s="190">
        <v>5975.929180000001</v>
      </c>
      <c r="DB79" s="190">
        <v>6833.498959999999</v>
      </c>
      <c r="DC79" s="190">
        <v>7906.3087799999994</v>
      </c>
      <c r="DD79" s="190">
        <v>7757.4725899999994</v>
      </c>
      <c r="DE79" s="190">
        <v>8848.4747899999984</v>
      </c>
      <c r="DF79" s="190">
        <v>10118.895889999998</v>
      </c>
      <c r="DG79" s="190">
        <v>11132.661629999999</v>
      </c>
      <c r="DH79" s="190">
        <v>1093.6059300000002</v>
      </c>
      <c r="DI79" s="190">
        <v>2719.5430200000001</v>
      </c>
      <c r="DJ79" s="190">
        <v>3392.6411699999999</v>
      </c>
      <c r="DK79" s="190">
        <v>4397.5642500000004</v>
      </c>
      <c r="DL79" s="190">
        <v>5331.8971500000007</v>
      </c>
      <c r="DM79" s="190">
        <v>6269.4486200000001</v>
      </c>
      <c r="DN79" s="190">
        <v>7567.9415099999997</v>
      </c>
      <c r="DO79" s="190">
        <v>8644.428969999999</v>
      </c>
      <c r="DP79" s="190">
        <v>8782.1048800000008</v>
      </c>
      <c r="DQ79" s="190">
        <v>9443.5895099999998</v>
      </c>
      <c r="DR79" s="190">
        <f>-(VLOOKUP("2360600",'Input BS ACCTS'!$A$5:$DD$1058,73,FALSE)+VLOOKUP("2360601",'Input BS ACCTS'!$A$5:$DD$1058,73,FALSE)+VLOOKUP("2360800",'Input BS ACCTS'!$A$5:$DD$1058,73,FALSE)+VLOOKUP("2360602",'Input BS ACCTS'!$A$5:$DD$1058,73,FALSE)+VLOOKUP("2360603",'Input BS ACCTS'!$A$5:$DD$1058,73,FALSE)+VLOOKUP("2360604",'Input BS ACCTS'!$A$5:$DD$1058,73,FALSE)+VLOOKUP("2360605",'Input BS ACCTS'!$A$5:$DD$1058,73,FALSE)+VLOOKUP("2360620",'Input BS ACCTS'!$A$5:$DD$1058,73,FALSE))/1000</f>
        <v>11560.506560000002</v>
      </c>
      <c r="DS79" s="190">
        <f>-(VLOOKUP("2360600",'Input BS ACCTS'!$A$5:$DD$1058,74,FALSE)+VLOOKUP("2360601",'Input BS ACCTS'!$A$5:$DD$1058,74,FALSE)+VLOOKUP("2360800",'Input BS ACCTS'!$A$5:$DD$1058,74,FALSE)+VLOOKUP("2360602",'Input BS ACCTS'!$A$5:$DD$1058,74,FALSE)+VLOOKUP("2360603",'Input BS ACCTS'!$A$5:$DD$1058,74,FALSE)+VLOOKUP("2360604",'Input BS ACCTS'!$A$5:$DD$1058,74,FALSE)+VLOOKUP("2360605",'Input BS ACCTS'!$A$5:$DD$1058,74,FALSE)+VLOOKUP("2360620",'Input BS ACCTS'!$A$5:$DD$1058,74,FALSE))/1000</f>
        <v>12722.241840000001</v>
      </c>
      <c r="DT79" s="190">
        <f>-(VLOOKUP("2360600",'Input BS ACCTS'!$A$5:$DD$1058,75,FALSE)+VLOOKUP("2360601",'Input BS ACCTS'!$A$5:$DD$1058,75,FALSE)+VLOOKUP("2360800",'Input BS ACCTS'!$A$5:$DD$1058,75,FALSE)+VLOOKUP("2360602",'Input BS ACCTS'!$A$5:$DD$1058,75,FALSE)+VLOOKUP("2360603",'Input BS ACCTS'!$A$5:$DD$1058,75,FALSE)+VLOOKUP("2360604",'Input BS ACCTS'!$A$5:$DD$1058,75,FALSE)+VLOOKUP("2360605",'Input BS ACCTS'!$A$5:$DD$1058,75,FALSE)+VLOOKUP("2360620",'Input BS ACCTS'!$A$5:$DD$1058,75,FALSE))/1000</f>
        <v>2296.1607300000001</v>
      </c>
      <c r="DU79" s="190">
        <f>-(VLOOKUP("2360600",'Input BS ACCTS'!$A$5:$DD$1058,76,FALSE)+VLOOKUP("2360601",'Input BS ACCTS'!$A$5:$DD$1058,76,FALSE)+VLOOKUP("2360800",'Input BS ACCTS'!$A$5:$DD$1058,76,FALSE)+VLOOKUP("2360602",'Input BS ACCTS'!$A$5:$DD$1058,76,FALSE)+VLOOKUP("2360603",'Input BS ACCTS'!$A$5:$DD$1058,76,FALSE)+VLOOKUP("2360604",'Input BS ACCTS'!$A$5:$DD$1058,76,FALSE)+VLOOKUP("2360605",'Input BS ACCTS'!$A$5:$DD$1058,76,FALSE)+VLOOKUP("2360620",'Input BS ACCTS'!$A$5:$DD$1058,76,FALSE))/1000</f>
        <v>4004.3660999999997</v>
      </c>
      <c r="DV79" s="190">
        <f>-(VLOOKUP("2360600",'Input BS ACCTS'!$A$5:$DD$1058,77,FALSE)+VLOOKUP("2360601",'Input BS ACCTS'!$A$5:$DD$1058,77,FALSE)+VLOOKUP("2360800",'Input BS ACCTS'!$A$5:$DD$1058,77,FALSE)+VLOOKUP("2360602",'Input BS ACCTS'!$A$5:$DD$1058,77,FALSE)+VLOOKUP("2360603",'Input BS ACCTS'!$A$5:$DD$1058,77,FALSE)+VLOOKUP("2360604",'Input BS ACCTS'!$A$5:$DD$1058,77,FALSE)+VLOOKUP("2360605",'Input BS ACCTS'!$A$5:$DD$1058,77,FALSE)+VLOOKUP("2360620",'Input BS ACCTS'!$A$5:$DD$1058,77,FALSE))/1000</f>
        <v>4618.2359799999995</v>
      </c>
      <c r="DW79" s="190">
        <f>-(VLOOKUP("2360600",'Input BS ACCTS'!$A$5:$DD$1058,78,FALSE)+VLOOKUP("2360601",'Input BS ACCTS'!$A$5:$DD$1058,78,FALSE)+VLOOKUP("2360800",'Input BS ACCTS'!$A$5:$DD$1058,78,FALSE)+VLOOKUP("2360602",'Input BS ACCTS'!$A$5:$DD$1058,78,FALSE)+VLOOKUP("2360603",'Input BS ACCTS'!$A$5:$DD$1058,78,FALSE)+VLOOKUP("2360604",'Input BS ACCTS'!$A$5:$DD$1058,78,FALSE)+VLOOKUP("2360605",'Input BS ACCTS'!$A$5:$DD$1058,78,FALSE)+VLOOKUP("2360620",'Input BS ACCTS'!$A$5:$DD$1058,78,FALSE))/1000</f>
        <v>5522.4920999999995</v>
      </c>
      <c r="DX79" s="190">
        <f>-(VLOOKUP("2360600",'Input BS ACCTS'!$A$5:$DD$1058,79,FALSE)+VLOOKUP("2360601",'Input BS ACCTS'!$A$5:$DD$1058,79,FALSE)+VLOOKUP("2360800",'Input BS ACCTS'!$A$5:$DD$1058,79,FALSE)+VLOOKUP("2360602",'Input BS ACCTS'!$A$5:$DD$1058,79,FALSE)+VLOOKUP("2360603",'Input BS ACCTS'!$A$5:$DD$1058,79,FALSE)+VLOOKUP("2360604",'Input BS ACCTS'!$A$5:$DD$1058,79,FALSE)+VLOOKUP("2360605",'Input BS ACCTS'!$A$5:$DD$1058,79,FALSE)+VLOOKUP("2360620",'Input BS ACCTS'!$A$5:$DD$1058,79,FALSE))/1000</f>
        <v>6632.6185400000004</v>
      </c>
      <c r="DY79" s="190">
        <f>-(VLOOKUP("2360600",'Input BS ACCTS'!$A$5:$DD$1058,80,FALSE)+VLOOKUP("2360601",'Input BS ACCTS'!$A$5:$DD$1058,80,FALSE)+VLOOKUP("2360800",'Input BS ACCTS'!$A$5:$DD$1058,80,FALSE)+VLOOKUP("2360602",'Input BS ACCTS'!$A$5:$DD$1058,80,FALSE)+VLOOKUP("2360603",'Input BS ACCTS'!$A$5:$DD$1058,80,FALSE)+VLOOKUP("2360604",'Input BS ACCTS'!$A$5:$DD$1058,80,FALSE)+VLOOKUP("2360605",'Input BS ACCTS'!$A$5:$DD$1058,80,FALSE)+VLOOKUP("2360620",'Input BS ACCTS'!$A$5:$DD$1058,80,FALSE))/1000</f>
        <v>7540.5890899999995</v>
      </c>
      <c r="DZ79" s="190">
        <f>-(VLOOKUP("2360600",'Input BS ACCTS'!$A$5:$DD$1058,81,FALSE)+VLOOKUP("2360601",'Input BS ACCTS'!$A$5:$DD$1058,81,FALSE)+VLOOKUP("2360800",'Input BS ACCTS'!$A$5:$DD$1058,81,FALSE)+VLOOKUP("2360602",'Input BS ACCTS'!$A$5:$DD$1058,81,FALSE)+VLOOKUP("2360603",'Input BS ACCTS'!$A$5:$DD$1058,81,FALSE)+VLOOKUP("2360604",'Input BS ACCTS'!$A$5:$DD$1058,81,FALSE)+VLOOKUP("2360605",'Input BS ACCTS'!$A$5:$DD$1058,81,FALSE)+VLOOKUP("2360620",'Input BS ACCTS'!$A$5:$DD$1058,81,FALSE))/1000</f>
        <v>8860.6276799999996</v>
      </c>
      <c r="EA79" s="190">
        <f>-(VLOOKUP("2360600",'Input BS ACCTS'!$A$5:$DD$1058,82,FALSE)+VLOOKUP("2360601",'Input BS ACCTS'!$A$5:$DD$1058,82,FALSE)+VLOOKUP("2360800",'Input BS ACCTS'!$A$5:$DD$1058,82,FALSE)+VLOOKUP("2360602",'Input BS ACCTS'!$A$5:$DD$1058,82,FALSE)+VLOOKUP("2360603",'Input BS ACCTS'!$A$5:$DD$1058,82,FALSE)+VLOOKUP("2360604",'Input BS ACCTS'!$A$5:$DD$1058,82,FALSE)+VLOOKUP("2360605",'Input BS ACCTS'!$A$5:$DD$1058,82,FALSE)+VLOOKUP("2360620",'Input BS ACCTS'!$A$5:$DD$1058,82,FALSE))/1000</f>
        <v>10333.355479999998</v>
      </c>
      <c r="EB79" s="190">
        <v>10854.755899999998</v>
      </c>
      <c r="EC79" s="190">
        <v>12425.299010000001</v>
      </c>
      <c r="ED79" s="190">
        <v>13747.201730000001</v>
      </c>
      <c r="EE79" s="190">
        <v>15397.22748</v>
      </c>
      <c r="EF79" s="190">
        <v>3762.20037</v>
      </c>
      <c r="EG79" s="190">
        <v>5259.8825099999995</v>
      </c>
      <c r="EH79" s="190">
        <v>6711.2380899999998</v>
      </c>
      <c r="EI79" s="190">
        <v>7920.3094099999998</v>
      </c>
      <c r="EJ79" s="190">
        <v>8751.4627899999996</v>
      </c>
      <c r="EK79" s="190">
        <v>10180.265290000001</v>
      </c>
      <c r="EL79" s="190">
        <v>11278.53404</v>
      </c>
      <c r="EM79" s="190">
        <v>12612.689839999999</v>
      </c>
      <c r="EN79" s="190">
        <v>12730.01604</v>
      </c>
      <c r="EO79" s="190">
        <v>13959.51836</v>
      </c>
      <c r="EP79" s="190">
        <v>14835.18792</v>
      </c>
      <c r="EQ79" s="190">
        <v>16316.390210000001</v>
      </c>
      <c r="ER79" s="190">
        <v>4307.0778300000002</v>
      </c>
      <c r="ES79" s="190">
        <v>5474.3132600000008</v>
      </c>
      <c r="ET79" s="190">
        <v>6474.3813199999995</v>
      </c>
      <c r="EU79" s="190">
        <v>8297.2767500000009</v>
      </c>
      <c r="EV79" s="190">
        <v>9448.6411700000008</v>
      </c>
      <c r="EW79" s="190">
        <v>11075.494269999999</v>
      </c>
      <c r="EX79" s="190">
        <v>12632.660280000002</v>
      </c>
      <c r="EY79" s="190">
        <v>14367.794550000001</v>
      </c>
      <c r="EZ79" s="190">
        <v>14345.528010000002</v>
      </c>
      <c r="FA79" s="190">
        <v>16090.25628</v>
      </c>
      <c r="FB79" s="190">
        <v>17343.187839999999</v>
      </c>
      <c r="FC79" s="190">
        <f>-(VLOOKUP("2360600",'Input BS ACCTS'!$A$5:$DH$1058,110,FALSE)+VLOOKUP("2360601",'Input BS ACCTS'!$A$5:$DH$1058,110,FALSE)+VLOOKUP("2360800",'Input BS ACCTS'!$A$5:$DH$1058,110,FALSE)+VLOOKUP("2360602",'Input BS ACCTS'!$A$5:$DH$1058,110,FALSE)+VLOOKUP("2360603",'Input BS ACCTS'!$A$5:$DH$1058,110,FALSE)+VLOOKUP("2360604",'Input BS ACCTS'!$A$5:$DH$1058,110,FALSE)+VLOOKUP("2360605",'Input BS ACCTS'!$A$5:$DH$1058,110,FALSE)+VLOOKUP("2360620",'Input BS ACCTS'!$A$5:$DH$1058,110,FALSE))/1000</f>
        <v>19264.953020000001</v>
      </c>
      <c r="FD79" s="190">
        <f>-(VLOOKUP("2360600",'Input BS ACCTS'!$A$5:$DH$1058,111,FALSE)+VLOOKUP("2360601",'Input BS ACCTS'!$A$5:$DH$1058,111,FALSE)+VLOOKUP("2360800",'Input BS ACCTS'!$A$5:$DH$1058,111,FALSE)+VLOOKUP("2360602",'Input BS ACCTS'!$A$5:$DH$1058,111,FALSE)+VLOOKUP("2360603",'Input BS ACCTS'!$A$5:$DH$1058,111,FALSE)+VLOOKUP("2360604",'Input BS ACCTS'!$A$5:$DH$1058,111,FALSE)+VLOOKUP("2360605",'Input BS ACCTS'!$A$5:$DH$1058,111,FALSE)+VLOOKUP("2360620",'Input BS ACCTS'!$A$5:$DH$1058,111,FALSE))/1000</f>
        <v>3602.9451099999997</v>
      </c>
      <c r="FE79" s="190">
        <f>-(VLOOKUP("2360600",'Input BS ACCTS'!$A$5:$DH$1058,112,FALSE)+VLOOKUP("2360601",'Input BS ACCTS'!$A$5:$DH$1058,112,FALSE)+VLOOKUP("2360800",'Input BS ACCTS'!$A$5:$DH$1058,112,FALSE)+VLOOKUP("2360602",'Input BS ACCTS'!$A$5:$DH$1058,112,FALSE)+VLOOKUP("2360603",'Input BS ACCTS'!$A$5:$DH$1058,112,FALSE)+VLOOKUP("2360604",'Input BS ACCTS'!$A$5:$DH$1058,112,FALSE)+VLOOKUP("2360605",'Input BS ACCTS'!$A$5:$DH$1058,112,FALSE)+VLOOKUP("2360620",'Input BS ACCTS'!$A$5:$DH$1058,112,FALSE))/1000</f>
        <v>4856.9837400000006</v>
      </c>
      <c r="FF79" s="403">
        <f t="shared" si="135"/>
        <v>11021.108892307691</v>
      </c>
      <c r="FG79" s="700"/>
      <c r="FH79" s="700"/>
      <c r="IJ79" s="35"/>
      <c r="IK79" s="221"/>
      <c r="IL79" s="226"/>
      <c r="IM79" s="35"/>
      <c r="IN79" s="35"/>
      <c r="IO79" s="35"/>
      <c r="IP79" s="35"/>
      <c r="IQ79" s="35"/>
      <c r="IR79" s="35"/>
      <c r="IS79" s="35"/>
      <c r="IT79" s="35"/>
      <c r="IU79" s="35"/>
      <c r="IV79" s="35"/>
      <c r="IW79" s="35"/>
      <c r="IX79" s="35"/>
      <c r="IY79" s="35"/>
    </row>
    <row r="80" spans="1:259">
      <c r="A80" s="27" t="s">
        <v>275</v>
      </c>
      <c r="B80" s="107">
        <v>-1027.3019999999999</v>
      </c>
      <c r="C80" s="107">
        <v>-2216.4450000000002</v>
      </c>
      <c r="D80" s="107">
        <v>-3692.9859999999999</v>
      </c>
      <c r="E80" s="107">
        <v>141.62</v>
      </c>
      <c r="F80" s="107">
        <v>-281.83499999999998</v>
      </c>
      <c r="G80" s="107">
        <v>3395.7930000000001</v>
      </c>
      <c r="H80" s="107">
        <v>12750.083000000001</v>
      </c>
      <c r="I80" s="107">
        <v>3191.5569999999998</v>
      </c>
      <c r="J80" s="107">
        <v>3856.4209999999998</v>
      </c>
      <c r="K80" s="107">
        <v>-7443.3909999999996</v>
      </c>
      <c r="L80" s="107">
        <v>-6467.6880000000001</v>
      </c>
      <c r="M80" s="107">
        <v>-5734.3760000000002</v>
      </c>
      <c r="N80" s="107">
        <v>-4710.9189999999999</v>
      </c>
      <c r="O80" s="107">
        <v>-3324</v>
      </c>
      <c r="P80" s="107">
        <v>-8344</v>
      </c>
      <c r="Q80" s="125">
        <v>-11607</v>
      </c>
      <c r="R80" s="125">
        <v>-4160</v>
      </c>
      <c r="S80" s="107">
        <v>-2585</v>
      </c>
      <c r="T80" s="107">
        <v>9102</v>
      </c>
      <c r="U80" s="107">
        <v>504</v>
      </c>
      <c r="V80" s="107">
        <v>255</v>
      </c>
      <c r="W80" s="107">
        <v>-8858</v>
      </c>
      <c r="X80" s="107">
        <v>-9705.0265999999992</v>
      </c>
      <c r="Y80" s="107">
        <v>-11318</v>
      </c>
      <c r="Z80" s="107">
        <v>-6671</v>
      </c>
      <c r="AA80" s="107">
        <v>-7634</v>
      </c>
      <c r="AB80" s="107">
        <v>-30442</v>
      </c>
      <c r="AC80" s="107">
        <v>-2029.2059999999999</v>
      </c>
      <c r="AD80" s="187">
        <v>-889</v>
      </c>
      <c r="AE80" s="107">
        <v>-1278</v>
      </c>
      <c r="AF80" s="107">
        <v>425</v>
      </c>
      <c r="AG80" s="107">
        <v>48</v>
      </c>
      <c r="AH80" s="107">
        <v>-373</v>
      </c>
      <c r="AI80" s="107">
        <v>-5138.01037</v>
      </c>
      <c r="AJ80" s="107">
        <v>-5956.7409900000002</v>
      </c>
      <c r="AK80" s="107">
        <v>-6519.3001500000009</v>
      </c>
      <c r="AL80" s="107">
        <v>-87.143869999999993</v>
      </c>
      <c r="AM80" s="187">
        <v>-907.18664000000001</v>
      </c>
      <c r="AN80" s="187">
        <v>-2095.4197400000003</v>
      </c>
      <c r="AO80" s="187">
        <v>2194.3672100000003</v>
      </c>
      <c r="AP80" s="187">
        <v>4819.9899299999997</v>
      </c>
      <c r="AQ80" s="187">
        <v>6089.1077100000002</v>
      </c>
      <c r="AR80" s="187">
        <v>6128.5032600000013</v>
      </c>
      <c r="AS80" s="219">
        <v>2435.8737100000003</v>
      </c>
      <c r="AT80" s="219">
        <v>2665.0429000000004</v>
      </c>
      <c r="AU80" s="219">
        <v>-2951.2969900000003</v>
      </c>
      <c r="AV80" s="219">
        <v>-2600.5273399999996</v>
      </c>
      <c r="AW80" s="219">
        <v>-2993.5943199999997</v>
      </c>
      <c r="AX80" s="219">
        <v>-3826.06403</v>
      </c>
      <c r="AY80" s="178">
        <v>-3811.4666199999997</v>
      </c>
      <c r="AZ80" s="178">
        <v>-3831.0932200000002</v>
      </c>
      <c r="BA80" s="355">
        <v>0</v>
      </c>
      <c r="BB80" s="355">
        <v>1302.28199</v>
      </c>
      <c r="BC80" s="355">
        <v>4234.4713499999998</v>
      </c>
      <c r="BD80" s="355">
        <v>8271.5717800000002</v>
      </c>
      <c r="BE80" s="355">
        <v>2191.4221600000001</v>
      </c>
      <c r="BF80" s="355">
        <v>3603.4432600000005</v>
      </c>
      <c r="BG80" s="190">
        <v>-3215.1335200000003</v>
      </c>
      <c r="BH80" s="190">
        <v>-2658.8854200000001</v>
      </c>
      <c r="BI80" s="190">
        <v>-2364.0506399999995</v>
      </c>
      <c r="BJ80" s="190">
        <v>-6138.5119699999996</v>
      </c>
      <c r="BK80" s="190">
        <v>-1669.42127</v>
      </c>
      <c r="BL80" s="190">
        <v>-3063.0949499999997</v>
      </c>
      <c r="BM80" s="190">
        <v>0</v>
      </c>
      <c r="BN80" s="190">
        <v>-6509.0804699999999</v>
      </c>
      <c r="BO80" s="190">
        <v>-5026.25864</v>
      </c>
      <c r="BP80" s="190">
        <v>7421.2626000000009</v>
      </c>
      <c r="BQ80" s="190">
        <v>1691.2192399999999</v>
      </c>
      <c r="BR80" s="190">
        <v>2668.8544999999999</v>
      </c>
      <c r="BS80" s="190">
        <v>-2957.2798599999996</v>
      </c>
      <c r="BT80" s="190">
        <v>-1855.4932200000003</v>
      </c>
      <c r="BU80" s="190">
        <v>-735.43710999999996</v>
      </c>
      <c r="BV80" s="190">
        <v>-3093.9299599999999</v>
      </c>
      <c r="BW80" s="190">
        <v>-3872.7633600000004</v>
      </c>
      <c r="BX80" s="190">
        <v>-4131.1810700000005</v>
      </c>
      <c r="BY80" s="190">
        <v>0</v>
      </c>
      <c r="BZ80" s="190">
        <v>-11498.69614</v>
      </c>
      <c r="CA80" s="190">
        <v>-8555.8609399999987</v>
      </c>
      <c r="CB80" s="190">
        <v>6036.1744699999999</v>
      </c>
      <c r="CC80" s="190">
        <v>1149.90904</v>
      </c>
      <c r="CD80" s="190">
        <v>1352.36481</v>
      </c>
      <c r="CE80" s="190">
        <v>-4112.6319300000005</v>
      </c>
      <c r="CF80" s="190">
        <v>-3763.3587299999995</v>
      </c>
      <c r="CG80" s="190">
        <v>-4535.920180000001</v>
      </c>
      <c r="CH80" s="190">
        <v>893.9615500000001</v>
      </c>
      <c r="CI80" s="190">
        <v>-1058.0587800000001</v>
      </c>
      <c r="CJ80" s="190">
        <v>-1246.3311799999999</v>
      </c>
      <c r="CK80" s="190">
        <v>33.203110000000002</v>
      </c>
      <c r="CL80" s="190">
        <v>1218.3196600000001</v>
      </c>
      <c r="CM80" s="190">
        <v>664.62072000000001</v>
      </c>
      <c r="CN80" s="190">
        <v>776.46587999999997</v>
      </c>
      <c r="CO80" s="190">
        <v>1627.8128000000002</v>
      </c>
      <c r="CP80" s="190">
        <v>855.23186999999996</v>
      </c>
      <c r="CQ80" s="190">
        <v>483.44291999999996</v>
      </c>
      <c r="CR80" s="190">
        <v>-431.38654000000002</v>
      </c>
      <c r="CS80" s="190">
        <v>-1391.2199500000002</v>
      </c>
      <c r="CT80" s="190">
        <v>183.89595</v>
      </c>
      <c r="CU80" s="190">
        <v>-1760.4175400000001</v>
      </c>
      <c r="CV80" s="190">
        <v>-2712.9843100000003</v>
      </c>
      <c r="CW80" s="190">
        <v>5917.8919100000003</v>
      </c>
      <c r="CX80" s="190">
        <v>9137.7768799999994</v>
      </c>
      <c r="CY80" s="190">
        <v>9528.6870699999999</v>
      </c>
      <c r="CZ80" s="190">
        <v>10351.167939999999</v>
      </c>
      <c r="DA80" s="190">
        <v>4074.8491899999999</v>
      </c>
      <c r="DB80" s="190">
        <v>4320.2222700000002</v>
      </c>
      <c r="DC80" s="190">
        <v>2686.9885899999999</v>
      </c>
      <c r="DD80" s="190">
        <v>2898.5594300000002</v>
      </c>
      <c r="DE80" s="190">
        <v>2060.4149300000004</v>
      </c>
      <c r="DF80" s="190">
        <v>1143.8678300000001</v>
      </c>
      <c r="DG80" s="190">
        <v>821.47520000000009</v>
      </c>
      <c r="DH80" s="190">
        <v>-2529.3949400000006</v>
      </c>
      <c r="DI80" s="190">
        <v>2694.5114199999998</v>
      </c>
      <c r="DJ80" s="190">
        <v>4355.7901700000002</v>
      </c>
      <c r="DK80" s="190">
        <v>4311.5134900000003</v>
      </c>
      <c r="DL80" s="190">
        <v>5435.6130999999996</v>
      </c>
      <c r="DM80" s="190">
        <v>2908.0823</v>
      </c>
      <c r="DN80" s="190">
        <v>3228.2966199999996</v>
      </c>
      <c r="DO80" s="190">
        <v>2414.2994899999999</v>
      </c>
      <c r="DP80" s="190">
        <v>2448.7563500000001</v>
      </c>
      <c r="DQ80" s="190">
        <v>2493.2497400000002</v>
      </c>
      <c r="DR80" s="190">
        <v>697.39471000000003</v>
      </c>
      <c r="DS80" s="190">
        <v>871.61304000000007</v>
      </c>
      <c r="DT80" s="190">
        <v>1410.9714799999999</v>
      </c>
      <c r="DU80" s="190">
        <v>-1.0000000000000001E-5</v>
      </c>
      <c r="DV80" s="190">
        <v>3124.5150300000005</v>
      </c>
      <c r="DW80" s="190">
        <v>1117.3269299999999</v>
      </c>
      <c r="DX80" s="190">
        <v>1492.18869</v>
      </c>
      <c r="DY80" s="190">
        <v>2220.2245200000002</v>
      </c>
      <c r="DZ80" s="190">
        <v>1908.7737099999999</v>
      </c>
      <c r="EA80" s="190">
        <v>2493.3735099999999</v>
      </c>
      <c r="EB80" s="190">
        <v>2074.2094900000002</v>
      </c>
      <c r="EC80" s="190">
        <v>2044.7551899999999</v>
      </c>
      <c r="ED80" s="190">
        <v>2340.2763399999999</v>
      </c>
      <c r="EE80" s="190">
        <v>706.76859999999999</v>
      </c>
      <c r="EF80" s="190">
        <v>1853.6941600000002</v>
      </c>
      <c r="EG80" s="190">
        <v>1537.1815300000001</v>
      </c>
      <c r="EH80" s="190">
        <v>4384.3406999999997</v>
      </c>
      <c r="EI80" s="190">
        <v>5537.8809799999999</v>
      </c>
      <c r="EJ80" s="190">
        <v>4948.4920499999998</v>
      </c>
      <c r="EK80" s="190">
        <v>3068.42688</v>
      </c>
      <c r="EL80" s="190">
        <v>2487.3352699999996</v>
      </c>
      <c r="EM80" s="190">
        <v>2665.9445100000003</v>
      </c>
      <c r="EN80" s="190">
        <v>2347.3771200000001</v>
      </c>
      <c r="EO80" s="190">
        <v>2992.1392700000001</v>
      </c>
      <c r="EP80" s="190">
        <v>-422.22386999999998</v>
      </c>
      <c r="EQ80" s="190">
        <v>-2041.9777900000001</v>
      </c>
      <c r="ER80" s="190">
        <v>-3677.1605999999997</v>
      </c>
      <c r="ES80" s="190">
        <v>0</v>
      </c>
      <c r="ET80" s="190">
        <v>-1115.7638599999998</v>
      </c>
      <c r="EU80" s="190">
        <v>2334.8768999999998</v>
      </c>
      <c r="EV80" s="190">
        <v>2523.7108499999999</v>
      </c>
      <c r="EW80" s="190">
        <v>5651.2866699999995</v>
      </c>
      <c r="EX80" s="190">
        <v>6110.6467599999996</v>
      </c>
      <c r="EY80" s="190">
        <v>4441.9673499999999</v>
      </c>
      <c r="EZ80" s="190">
        <v>4240.3239199999998</v>
      </c>
      <c r="FA80" s="190">
        <v>814.50284999999997</v>
      </c>
      <c r="FB80" s="190">
        <v>1624.9827499999999</v>
      </c>
      <c r="FC80" s="190">
        <f>-(VLOOKUP("2360310",'Input BS ACCTS'!$A$5:$DH$1058,110,FALSE)+VLOOKUP("2360320",'Input BS ACCTS'!$A$5:$DH$1058,110,FALSE)+VLOOKUP("2360410",'Input BS ACCTS'!$A$5:$DH$1058,110,FALSE)+VLOOKUP("2360420",'Input BS ACCTS'!$A$5:$DH$1058,110,FALSE))/1000</f>
        <v>1025.91219</v>
      </c>
      <c r="FD80" s="190">
        <f>-(VLOOKUP("2360310",'Input BS ACCTS'!$A$5:$DH$1058,111,FALSE)+VLOOKUP("2360320",'Input BS ACCTS'!$A$5:$DH$1058,111,FALSE)+VLOOKUP("2360410",'Input BS ACCTS'!$A$5:$DH$1058,111,FALSE)+VLOOKUP("2360420",'Input BS ACCTS'!$A$5:$DH$1058,111,FALSE))/1000</f>
        <v>1042.3304900000001</v>
      </c>
      <c r="FE80" s="190">
        <f>-(VLOOKUP("2360310",'Input BS ACCTS'!$A$5:$DH$1058,112,FALSE)+VLOOKUP("2360320",'Input BS ACCTS'!$A$5:$DH$1058,112,FALSE)+VLOOKUP("2360410",'Input BS ACCTS'!$A$5:$DH$1058,112,FALSE)+VLOOKUP("2360420",'Input BS ACCTS'!$A$5:$DH$1058,112,FALSE))/1000</f>
        <v>339.21682999999996</v>
      </c>
      <c r="FF80" s="403">
        <f t="shared" si="135"/>
        <v>2233.3841307692305</v>
      </c>
      <c r="FG80" s="700"/>
      <c r="FH80" s="700"/>
      <c r="IJ80" s="35"/>
      <c r="IK80" s="221"/>
      <c r="IL80" s="226"/>
      <c r="IM80" s="35"/>
      <c r="IN80" s="35"/>
      <c r="IO80" s="35"/>
      <c r="IP80" s="35"/>
      <c r="IQ80" s="35"/>
      <c r="IR80" s="35"/>
      <c r="IS80" s="35"/>
      <c r="IT80" s="35"/>
      <c r="IU80" s="35"/>
      <c r="IV80" s="35"/>
      <c r="IW80" s="35"/>
      <c r="IX80" s="35"/>
      <c r="IY80" s="35"/>
    </row>
    <row r="81" spans="1:259">
      <c r="A81" s="27" t="s">
        <v>276</v>
      </c>
      <c r="B81" s="107">
        <v>4363.0705599999992</v>
      </c>
      <c r="C81" s="107">
        <v>5786.7065600000005</v>
      </c>
      <c r="D81" s="107">
        <v>3837.01856</v>
      </c>
      <c r="E81" s="107">
        <v>3882.5345600000001</v>
      </c>
      <c r="F81" s="107">
        <v>4874.2855599999994</v>
      </c>
      <c r="G81" s="107">
        <v>4062.72856</v>
      </c>
      <c r="H81" s="107">
        <v>5479.3785600000001</v>
      </c>
      <c r="I81" s="107">
        <v>6892.6905600000009</v>
      </c>
      <c r="J81" s="107">
        <v>4933.9905599999993</v>
      </c>
      <c r="K81" s="107">
        <v>4967.24856</v>
      </c>
      <c r="L81" s="107">
        <v>5917.9885600000007</v>
      </c>
      <c r="M81" s="107">
        <v>2887.7855600000003</v>
      </c>
      <c r="N81" s="107">
        <v>4297.44056</v>
      </c>
      <c r="O81" s="107">
        <v>5706</v>
      </c>
      <c r="P81" s="107">
        <v>3742</v>
      </c>
      <c r="Q81" s="107">
        <v>3235</v>
      </c>
      <c r="R81" s="107">
        <v>4326</v>
      </c>
      <c r="S81" s="107">
        <v>4262</v>
      </c>
      <c r="T81" s="107">
        <v>5614</v>
      </c>
      <c r="U81" s="107">
        <v>6966</v>
      </c>
      <c r="V81" s="107">
        <v>3840</v>
      </c>
      <c r="W81" s="107">
        <v>4528</v>
      </c>
      <c r="X81" s="107">
        <v>5564</v>
      </c>
      <c r="Y81" s="107">
        <v>3211</v>
      </c>
      <c r="Z81" s="107">
        <v>4554</v>
      </c>
      <c r="AA81" s="107">
        <v>5895</v>
      </c>
      <c r="AB81" s="107">
        <v>2600</v>
      </c>
      <c r="AC81" s="107">
        <v>3283</v>
      </c>
      <c r="AD81" s="187">
        <v>4480</v>
      </c>
      <c r="AE81" s="107">
        <v>4397</v>
      </c>
      <c r="AF81" s="107">
        <v>5723</v>
      </c>
      <c r="AG81" s="107">
        <v>7043</v>
      </c>
      <c r="AH81" s="107">
        <v>3731</v>
      </c>
      <c r="AI81" s="107">
        <v>4485.2594500000005</v>
      </c>
      <c r="AJ81" s="107">
        <v>5700.37327</v>
      </c>
      <c r="AK81" s="107">
        <v>3241.6790999999998</v>
      </c>
      <c r="AL81" s="107">
        <v>4264.1992799999998</v>
      </c>
      <c r="AM81" s="187">
        <v>5345.0623799999994</v>
      </c>
      <c r="AN81" s="187">
        <v>1787.2828099999999</v>
      </c>
      <c r="AO81" s="187">
        <v>1778.5652400000001</v>
      </c>
      <c r="AP81" s="187">
        <v>2851.18451</v>
      </c>
      <c r="AQ81" s="187">
        <v>3922.2889799999998</v>
      </c>
      <c r="AR81" s="187">
        <v>4689.2837499999996</v>
      </c>
      <c r="AS81" s="219">
        <v>5758.8128100000004</v>
      </c>
      <c r="AT81" s="219">
        <v>2195.0412799999999</v>
      </c>
      <c r="AU81" s="219">
        <v>2236.8141999999998</v>
      </c>
      <c r="AV81" s="219">
        <v>3302.12462</v>
      </c>
      <c r="AW81" s="219">
        <v>3456.6113599999999</v>
      </c>
      <c r="AX81" s="219">
        <v>4208.3441599999996</v>
      </c>
      <c r="AY81" s="178">
        <v>5284.7081800000005</v>
      </c>
      <c r="AZ81" s="178">
        <v>1727.70874</v>
      </c>
      <c r="BA81" s="355">
        <v>1777.75974</v>
      </c>
      <c r="BB81" s="355">
        <v>2851.8599800000002</v>
      </c>
      <c r="BC81" s="355">
        <v>3924.6988700000002</v>
      </c>
      <c r="BD81" s="355">
        <v>4672.1183700000001</v>
      </c>
      <c r="BE81" s="355">
        <v>5743.8763499999995</v>
      </c>
      <c r="BF81" s="355">
        <v>2200.9958799999999</v>
      </c>
      <c r="BG81" s="190">
        <v>2282.19787</v>
      </c>
      <c r="BH81" s="190">
        <v>3388.2823199999998</v>
      </c>
      <c r="BI81" s="190">
        <v>3585.97415</v>
      </c>
      <c r="BJ81" s="190">
        <v>4377.3241600000001</v>
      </c>
      <c r="BK81" s="190">
        <v>5492.6870999999992</v>
      </c>
      <c r="BL81" s="190">
        <v>1755.6808900000001</v>
      </c>
      <c r="BM81" s="190">
        <v>1844.9015099999999</v>
      </c>
      <c r="BN81" s="190">
        <v>2956.7542699999995</v>
      </c>
      <c r="BO81" s="190">
        <v>4068.2921499999998</v>
      </c>
      <c r="BP81" s="190">
        <v>4853.52232</v>
      </c>
      <c r="BQ81" s="190">
        <v>5964.77736</v>
      </c>
      <c r="BR81" s="190">
        <v>2255.4737700000001</v>
      </c>
      <c r="BS81" s="190">
        <v>2408.3195000000001</v>
      </c>
      <c r="BT81" s="190">
        <v>3586.7572400000004</v>
      </c>
      <c r="BU81" s="190">
        <v>3829.4431600000003</v>
      </c>
      <c r="BV81" s="190">
        <v>4693.1670200000008</v>
      </c>
      <c r="BW81" s="190">
        <v>5881.2533300000005</v>
      </c>
      <c r="BX81" s="190">
        <v>1800.5588699999998</v>
      </c>
      <c r="BY81" s="190">
        <v>1626.90481</v>
      </c>
      <c r="BZ81" s="190">
        <v>2816.7041899999999</v>
      </c>
      <c r="CA81" s="190">
        <v>4002.1883000000003</v>
      </c>
      <c r="CB81" s="190">
        <v>4858.9058999999997</v>
      </c>
      <c r="CC81" s="190">
        <v>6037.3006799999994</v>
      </c>
      <c r="CD81" s="190">
        <v>1942.1230899999998</v>
      </c>
      <c r="CE81" s="190">
        <v>2089.5374299999999</v>
      </c>
      <c r="CF81" s="190">
        <v>3257.2559100000003</v>
      </c>
      <c r="CG81" s="190">
        <v>3819.1987400000003</v>
      </c>
      <c r="CH81" s="190">
        <v>4664.75587</v>
      </c>
      <c r="CI81" s="190">
        <v>5832.5163899999998</v>
      </c>
      <c r="CJ81" s="190">
        <v>1725.0981399999998</v>
      </c>
      <c r="CK81" s="190">
        <v>1610.3489999999999</v>
      </c>
      <c r="CL81" s="190">
        <v>2770.21173</v>
      </c>
      <c r="CM81" s="190">
        <v>3926.4707400000002</v>
      </c>
      <c r="CN81" s="190">
        <v>4756.6811999999991</v>
      </c>
      <c r="CO81" s="190">
        <v>5910.0565700000006</v>
      </c>
      <c r="CP81" s="190">
        <v>1791.8053599999998</v>
      </c>
      <c r="CQ81" s="190">
        <v>1918.3488300000001</v>
      </c>
      <c r="CR81" s="190">
        <v>3064.0813800000001</v>
      </c>
      <c r="CS81" s="190">
        <v>4211.7048900000009</v>
      </c>
      <c r="CT81" s="190">
        <v>5034.8600999999999</v>
      </c>
      <c r="CU81" s="190">
        <v>6181.1579399999991</v>
      </c>
      <c r="CV81" s="190">
        <v>2053.0972099999999</v>
      </c>
      <c r="CW81" s="190">
        <v>1610.1098599999998</v>
      </c>
      <c r="CX81" s="190">
        <v>2767.5090900000005</v>
      </c>
      <c r="CY81" s="190">
        <v>3924.17</v>
      </c>
      <c r="CZ81" s="190">
        <v>4753.8465400000005</v>
      </c>
      <c r="DA81" s="190">
        <v>5908.4847099999997</v>
      </c>
      <c r="DB81" s="190">
        <v>1665.3694499999999</v>
      </c>
      <c r="DC81" s="190">
        <v>1537.0272000000002</v>
      </c>
      <c r="DD81" s="190">
        <v>2909.7936900000004</v>
      </c>
      <c r="DE81" s="190">
        <v>4075.8676199999995</v>
      </c>
      <c r="DF81" s="190">
        <v>4916.0469299999995</v>
      </c>
      <c r="DG81" s="190">
        <v>6159.8755600000004</v>
      </c>
      <c r="DH81" s="190">
        <v>3671.2960800000001</v>
      </c>
      <c r="DI81" s="190">
        <v>1628.03539</v>
      </c>
      <c r="DJ81" s="190">
        <v>2893.1340799999998</v>
      </c>
      <c r="DK81" s="190">
        <v>4157.3870999999999</v>
      </c>
      <c r="DL81" s="190">
        <v>5094.9714800000002</v>
      </c>
      <c r="DM81" s="190">
        <v>6357.8734999999997</v>
      </c>
      <c r="DN81" s="190">
        <v>3873.8124600000001</v>
      </c>
      <c r="DO81" s="190">
        <v>1719.86643</v>
      </c>
      <c r="DP81" s="190">
        <v>2996.9513299999999</v>
      </c>
      <c r="DQ81" s="190">
        <v>4329.0941399999992</v>
      </c>
      <c r="DR81" s="190">
        <v>5336.7681700000003</v>
      </c>
      <c r="DS81" s="190">
        <v>6668.6694100000004</v>
      </c>
      <c r="DT81" s="190">
        <v>4253.4423200000001</v>
      </c>
      <c r="DU81" s="190">
        <v>1450.83709</v>
      </c>
      <c r="DV81" s="190">
        <v>2790.87041</v>
      </c>
      <c r="DW81" s="190">
        <v>4130.76</v>
      </c>
      <c r="DX81" s="190">
        <v>5138.9768300000005</v>
      </c>
      <c r="DY81" s="190">
        <v>6476.2561700000006</v>
      </c>
      <c r="DZ81" s="190">
        <v>4067.1598899999995</v>
      </c>
      <c r="EA81" s="190">
        <v>1755.2275</v>
      </c>
      <c r="EB81" s="190">
        <v>3088.45496</v>
      </c>
      <c r="EC81" s="190">
        <v>4420.7581799999998</v>
      </c>
      <c r="ED81" s="190">
        <v>5426.8159399999995</v>
      </c>
      <c r="EE81" s="190">
        <v>6756.1770100000003</v>
      </c>
      <c r="EF81" s="190">
        <v>4341.5842599999996</v>
      </c>
      <c r="EG81" s="190">
        <v>1444.46074</v>
      </c>
      <c r="EH81" s="190">
        <v>2783.8603700000003</v>
      </c>
      <c r="EI81" s="190">
        <v>4122.85214</v>
      </c>
      <c r="EJ81" s="190">
        <v>5453.95208</v>
      </c>
      <c r="EK81" s="190">
        <v>7351.6719999999996</v>
      </c>
      <c r="EL81" s="190">
        <v>5292.8487700000005</v>
      </c>
      <c r="EM81" s="190">
        <v>3437.04873</v>
      </c>
      <c r="EN81" s="190">
        <v>5123.9392400000006</v>
      </c>
      <c r="EO81" s="190">
        <v>6809.8387199999997</v>
      </c>
      <c r="EP81" s="190">
        <v>4769.5174800000004</v>
      </c>
      <c r="EQ81" s="190">
        <v>6452.8537000000006</v>
      </c>
      <c r="ER81" s="190">
        <v>5655.6043000000009</v>
      </c>
      <c r="ES81" s="190">
        <v>3091.8601200000003</v>
      </c>
      <c r="ET81" s="190">
        <v>4784.6255699999992</v>
      </c>
      <c r="EU81" s="190">
        <v>6477.2407999999996</v>
      </c>
      <c r="EV81" s="190">
        <v>4481.1447800000005</v>
      </c>
      <c r="EW81" s="190">
        <v>6172.9776900000006</v>
      </c>
      <c r="EX81" s="190">
        <v>5381.6669599999996</v>
      </c>
      <c r="EY81" s="190">
        <v>3425.0602599999997</v>
      </c>
      <c r="EZ81" s="190">
        <v>5281.6561400000001</v>
      </c>
      <c r="FA81" s="190">
        <v>7248.7848700000004</v>
      </c>
      <c r="FB81" s="190">
        <v>5501.1635500000002</v>
      </c>
      <c r="FC81" s="190">
        <f>-(VLOOKUP("2370300",'Input BS ACCTS'!$A$5:$DH$1058,110,FALSE)+VLOOKUP("2370350",'Input BS ACCTS'!$A$5:$DH$1058,110,FALSE)+VLOOKUP("2370400",'Input BS ACCTS'!$A$5:$DH$1058,110,FALSE)+VLOOKUP("2370900",'Input BS ACCTS'!$A$5:$DH$1058,110,FALSE))/1000</f>
        <v>7413.2856700000002</v>
      </c>
      <c r="FD81" s="190">
        <f>-(VLOOKUP("2370300",'Input BS ACCTS'!$A$5:$DH$1058,111,FALSE)+VLOOKUP("2370350",'Input BS ACCTS'!$A$5:$DH$1058,111,FALSE)+VLOOKUP("2370400",'Input BS ACCTS'!$A$5:$DH$1058,111,FALSE)+VLOOKUP("2370900",'Input BS ACCTS'!$A$5:$DH$1058,111,FALSE))/1000</f>
        <v>6844.2570199999991</v>
      </c>
      <c r="FE81" s="190">
        <f>-(VLOOKUP("2370300",'Input BS ACCTS'!$A$5:$DH$1058,112,FALSE)+VLOOKUP("2370350",'Input BS ACCTS'!$A$5:$DH$1058,112,FALSE)+VLOOKUP("2370400",'Input BS ACCTS'!$A$5:$DH$1058,112,FALSE)+VLOOKUP("2370900",'Input BS ACCTS'!$A$5:$DH$1058,112,FALSE))/1000</f>
        <v>4458.9065299999993</v>
      </c>
      <c r="FF81" s="403">
        <f t="shared" si="135"/>
        <v>5427.8946123076912</v>
      </c>
      <c r="FG81" s="700"/>
      <c r="FH81" s="700"/>
      <c r="IJ81" s="35"/>
      <c r="IK81" s="221"/>
      <c r="IL81" s="226"/>
      <c r="IM81" s="35"/>
      <c r="IN81" s="35"/>
      <c r="IO81" s="35"/>
      <c r="IP81" s="35"/>
      <c r="IQ81" s="35"/>
      <c r="IR81" s="35"/>
      <c r="IS81" s="35"/>
      <c r="IT81" s="35"/>
      <c r="IU81" s="35"/>
      <c r="IV81" s="35"/>
      <c r="IW81" s="35"/>
      <c r="IX81" s="35"/>
      <c r="IY81" s="35"/>
    </row>
    <row r="82" spans="1:259">
      <c r="A82" s="27" t="s">
        <v>277</v>
      </c>
      <c r="B82" s="107">
        <v>0</v>
      </c>
      <c r="C82" s="107">
        <v>3301.674</v>
      </c>
      <c r="D82" s="107">
        <v>0</v>
      </c>
      <c r="E82" s="107">
        <v>0</v>
      </c>
      <c r="F82" s="107">
        <v>0</v>
      </c>
      <c r="G82" s="107">
        <v>0</v>
      </c>
      <c r="H82" s="107">
        <v>0</v>
      </c>
      <c r="I82" s="107">
        <v>0</v>
      </c>
      <c r="J82" s="107">
        <v>0</v>
      </c>
      <c r="K82" s="107">
        <v>0</v>
      </c>
      <c r="L82" s="107">
        <v>0</v>
      </c>
      <c r="M82" s="107">
        <v>0</v>
      </c>
      <c r="N82" s="107">
        <v>0</v>
      </c>
      <c r="O82" s="107">
        <v>0</v>
      </c>
      <c r="P82" s="107">
        <v>0</v>
      </c>
      <c r="Q82" s="107">
        <v>0</v>
      </c>
      <c r="R82" s="107">
        <v>0</v>
      </c>
      <c r="S82" s="107">
        <v>0</v>
      </c>
      <c r="T82" s="107">
        <v>0</v>
      </c>
      <c r="U82" s="107">
        <v>0</v>
      </c>
      <c r="V82" s="107">
        <v>0</v>
      </c>
      <c r="W82" s="107">
        <v>0</v>
      </c>
      <c r="X82" s="107">
        <v>0</v>
      </c>
      <c r="Y82" s="107">
        <v>0</v>
      </c>
      <c r="Z82" s="107">
        <v>0</v>
      </c>
      <c r="AA82" s="107">
        <v>0</v>
      </c>
      <c r="AB82" s="107">
        <v>0</v>
      </c>
      <c r="AC82" s="107">
        <v>0</v>
      </c>
      <c r="AD82" s="187">
        <v>0</v>
      </c>
      <c r="AE82" s="107">
        <v>0</v>
      </c>
      <c r="AF82" s="107">
        <v>0</v>
      </c>
      <c r="AG82" s="107">
        <v>0</v>
      </c>
      <c r="AH82" s="107">
        <v>0</v>
      </c>
      <c r="AI82" s="107">
        <v>0</v>
      </c>
      <c r="AJ82" s="107">
        <v>0</v>
      </c>
      <c r="AK82" s="107">
        <v>0</v>
      </c>
      <c r="AL82" s="107">
        <v>0</v>
      </c>
      <c r="AM82" s="187">
        <v>7244.7771700000003</v>
      </c>
      <c r="AN82" s="187">
        <v>0</v>
      </c>
      <c r="AO82" s="187">
        <v>0</v>
      </c>
      <c r="AP82" s="187">
        <v>0</v>
      </c>
      <c r="AQ82" s="187">
        <v>0</v>
      </c>
      <c r="AR82" s="187">
        <v>0</v>
      </c>
      <c r="AS82" s="219">
        <v>0</v>
      </c>
      <c r="AT82" s="219">
        <v>0</v>
      </c>
      <c r="AU82" s="219">
        <v>0</v>
      </c>
      <c r="AV82" s="219">
        <v>11045.184220000001</v>
      </c>
      <c r="AW82" s="219">
        <v>0</v>
      </c>
      <c r="AX82" s="219">
        <v>0</v>
      </c>
      <c r="AY82" s="178">
        <v>5265.0083299999997</v>
      </c>
      <c r="AZ82" s="178">
        <v>0</v>
      </c>
      <c r="BA82" s="330">
        <v>0</v>
      </c>
      <c r="BB82" s="330">
        <v>7357.2866799999993</v>
      </c>
      <c r="BC82" s="330">
        <v>0</v>
      </c>
      <c r="BD82" s="330">
        <v>0</v>
      </c>
      <c r="BE82" s="330">
        <v>11948.60368</v>
      </c>
      <c r="BF82" s="330">
        <v>0</v>
      </c>
      <c r="BG82" s="211">
        <v>0</v>
      </c>
      <c r="BH82" s="211">
        <v>9971.8934700000009</v>
      </c>
      <c r="BI82" s="211">
        <v>0</v>
      </c>
      <c r="BJ82" s="211">
        <v>0</v>
      </c>
      <c r="BK82" s="211">
        <v>5874.1364699999995</v>
      </c>
      <c r="BL82" s="211">
        <v>0</v>
      </c>
      <c r="BM82" s="211">
        <v>0</v>
      </c>
      <c r="BN82" s="211">
        <v>0</v>
      </c>
      <c r="BO82" s="211">
        <v>6579.3619699999999</v>
      </c>
      <c r="BP82" s="211">
        <v>0</v>
      </c>
      <c r="BQ82" s="211">
        <v>14236.19327</v>
      </c>
      <c r="BR82" s="211">
        <v>0</v>
      </c>
      <c r="BS82" s="211">
        <v>0</v>
      </c>
      <c r="BT82" s="211">
        <v>8836.3485500000006</v>
      </c>
      <c r="BU82" s="211">
        <v>0</v>
      </c>
      <c r="BV82" s="211">
        <v>0</v>
      </c>
      <c r="BW82" s="211">
        <v>0</v>
      </c>
      <c r="BX82" s="211">
        <v>0</v>
      </c>
      <c r="BY82" s="211">
        <v>0</v>
      </c>
      <c r="BZ82" s="211">
        <v>0</v>
      </c>
      <c r="CA82" s="211">
        <v>0</v>
      </c>
      <c r="CB82" s="211">
        <v>0</v>
      </c>
      <c r="CC82" s="211">
        <v>0</v>
      </c>
      <c r="CD82" s="211">
        <v>0</v>
      </c>
      <c r="CE82" s="211">
        <v>0</v>
      </c>
      <c r="CF82" s="211">
        <v>0</v>
      </c>
      <c r="CG82" s="211">
        <v>0</v>
      </c>
      <c r="CH82" s="211">
        <v>0</v>
      </c>
      <c r="CI82" s="211">
        <v>0</v>
      </c>
      <c r="CJ82" s="211">
        <v>0</v>
      </c>
      <c r="CK82" s="211">
        <v>0</v>
      </c>
      <c r="CL82" s="211">
        <v>0</v>
      </c>
      <c r="CM82" s="211">
        <v>0</v>
      </c>
      <c r="CN82" s="211">
        <v>0</v>
      </c>
      <c r="CO82" s="211">
        <v>0</v>
      </c>
      <c r="CP82" s="211">
        <v>0</v>
      </c>
      <c r="CQ82" s="211">
        <v>0</v>
      </c>
      <c r="CR82" s="211">
        <v>0</v>
      </c>
      <c r="CS82" s="211">
        <v>0</v>
      </c>
      <c r="CT82" s="211">
        <v>0</v>
      </c>
      <c r="CU82" s="211">
        <v>0</v>
      </c>
      <c r="CV82" s="211">
        <v>0</v>
      </c>
      <c r="CW82" s="211">
        <v>0</v>
      </c>
      <c r="CX82" s="211">
        <v>0</v>
      </c>
      <c r="CY82" s="211">
        <v>0</v>
      </c>
      <c r="CZ82" s="211">
        <v>0</v>
      </c>
      <c r="DA82" s="211">
        <v>0</v>
      </c>
      <c r="DB82" s="211">
        <v>15456.143340000001</v>
      </c>
      <c r="DC82" s="211">
        <v>0</v>
      </c>
      <c r="DD82" s="211">
        <v>0</v>
      </c>
      <c r="DE82" s="211">
        <v>0</v>
      </c>
      <c r="DF82" s="211">
        <v>0</v>
      </c>
      <c r="DG82" s="211">
        <v>0</v>
      </c>
      <c r="DH82" s="211">
        <v>0</v>
      </c>
      <c r="DI82" s="211">
        <v>0</v>
      </c>
      <c r="DJ82" s="211">
        <v>0</v>
      </c>
      <c r="DK82" s="211">
        <v>0</v>
      </c>
      <c r="DL82" s="211">
        <v>0</v>
      </c>
      <c r="DM82" s="211">
        <v>0</v>
      </c>
      <c r="DN82" s="211">
        <v>0</v>
      </c>
      <c r="DO82" s="211">
        <v>0</v>
      </c>
      <c r="DP82" s="211">
        <v>0</v>
      </c>
      <c r="DQ82" s="211">
        <v>0</v>
      </c>
      <c r="DR82" s="211">
        <v>0</v>
      </c>
      <c r="DS82" s="211">
        <v>0</v>
      </c>
      <c r="DT82" s="211">
        <v>0</v>
      </c>
      <c r="DU82" s="211">
        <v>0</v>
      </c>
      <c r="DV82" s="211">
        <v>0</v>
      </c>
      <c r="DW82" s="211">
        <v>0</v>
      </c>
      <c r="DX82" s="211">
        <v>0</v>
      </c>
      <c r="DY82" s="211">
        <v>0</v>
      </c>
      <c r="DZ82" s="211">
        <v>0</v>
      </c>
      <c r="EA82" s="211">
        <v>0</v>
      </c>
      <c r="EB82" s="211">
        <v>0</v>
      </c>
      <c r="EC82" s="211">
        <v>0</v>
      </c>
      <c r="ED82" s="211">
        <v>0</v>
      </c>
      <c r="EE82" s="211">
        <v>0</v>
      </c>
      <c r="EF82" s="211">
        <v>0</v>
      </c>
      <c r="EG82" s="211">
        <v>0</v>
      </c>
      <c r="EH82" s="211">
        <v>0</v>
      </c>
      <c r="EI82" s="211">
        <v>0</v>
      </c>
      <c r="EJ82" s="211">
        <v>0</v>
      </c>
      <c r="EK82" s="211">
        <v>27095.925999999999</v>
      </c>
      <c r="EL82" s="211">
        <v>0</v>
      </c>
      <c r="EM82" s="211">
        <v>0</v>
      </c>
      <c r="EN82" s="211">
        <v>0</v>
      </c>
      <c r="EO82" s="211">
        <v>0</v>
      </c>
      <c r="EP82" s="211">
        <v>0</v>
      </c>
      <c r="EQ82" s="211">
        <v>0</v>
      </c>
      <c r="ER82" s="211">
        <v>0</v>
      </c>
      <c r="ES82" s="211">
        <v>0</v>
      </c>
      <c r="ET82" s="211">
        <v>0</v>
      </c>
      <c r="EU82" s="211">
        <v>0</v>
      </c>
      <c r="EV82" s="211">
        <v>0</v>
      </c>
      <c r="EW82" s="211">
        <v>29543.003000000001</v>
      </c>
      <c r="EX82" s="211">
        <v>0</v>
      </c>
      <c r="EY82" s="211">
        <v>0</v>
      </c>
      <c r="EZ82" s="211">
        <v>0</v>
      </c>
      <c r="FA82" s="211">
        <v>0</v>
      </c>
      <c r="FB82" s="211">
        <v>0</v>
      </c>
      <c r="FC82" s="211">
        <f>-(VLOOKUP("238",'Input BS ACCTS'!$A$5:$DH$1058,110,FALSE))/1000</f>
        <v>16227.366</v>
      </c>
      <c r="FD82" s="211">
        <f>-(VLOOKUP("238",'Input BS ACCTS'!$A$5:$DH$1058,111,FALSE))/1000</f>
        <v>0</v>
      </c>
      <c r="FE82" s="211">
        <f>-(VLOOKUP("238",'Input BS ACCTS'!$A$5:$DH$1058,112,FALSE))/1000</f>
        <v>0</v>
      </c>
      <c r="FF82" s="403">
        <f t="shared" si="135"/>
        <v>3520.7976153846153</v>
      </c>
      <c r="FG82" s="700"/>
      <c r="FH82" s="700"/>
      <c r="IJ82" s="35"/>
      <c r="IK82" s="221"/>
      <c r="IL82" s="226"/>
      <c r="IM82" s="35"/>
      <c r="IN82" s="35"/>
      <c r="IO82" s="35"/>
      <c r="IP82" s="35"/>
      <c r="IQ82" s="35"/>
      <c r="IR82" s="35"/>
      <c r="IS82" s="35"/>
      <c r="IT82" s="35"/>
      <c r="IU82" s="35"/>
      <c r="IV82" s="35"/>
      <c r="IW82" s="35"/>
      <c r="IX82" s="35"/>
      <c r="IY82" s="35"/>
    </row>
    <row r="83" spans="1:259">
      <c r="A83" s="27" t="s">
        <v>530</v>
      </c>
      <c r="B83" s="107">
        <v>1248.18334</v>
      </c>
      <c r="C83" s="107">
        <v>1542.1443400000001</v>
      </c>
      <c r="D83" s="107">
        <v>1331.5463400000001</v>
      </c>
      <c r="E83" s="107">
        <v>1589.1713400000001</v>
      </c>
      <c r="F83" s="107">
        <v>2852.4503399999999</v>
      </c>
      <c r="G83" s="107">
        <v>2300.0643399999999</v>
      </c>
      <c r="H83" s="107">
        <v>2408.37934</v>
      </c>
      <c r="I83" s="107">
        <v>2221.4293399999997</v>
      </c>
      <c r="J83" s="107">
        <v>1707.0243400000002</v>
      </c>
      <c r="K83" s="107">
        <v>1849.2003400000001</v>
      </c>
      <c r="L83" s="107">
        <v>1313.10634</v>
      </c>
      <c r="M83" s="107">
        <v>1221.9713400000001</v>
      </c>
      <c r="N83" s="107">
        <v>1581.33034</v>
      </c>
      <c r="O83" s="107">
        <v>1287</v>
      </c>
      <c r="P83" s="107">
        <v>1373</v>
      </c>
      <c r="Q83" s="107">
        <v>1697</v>
      </c>
      <c r="R83" s="107">
        <v>2469</v>
      </c>
      <c r="S83" s="107">
        <v>2147</v>
      </c>
      <c r="T83" s="107">
        <v>2474</v>
      </c>
      <c r="U83" s="107">
        <v>1578</v>
      </c>
      <c r="V83" s="107">
        <v>1470</v>
      </c>
      <c r="W83" s="107">
        <v>1992</v>
      </c>
      <c r="X83" s="107">
        <v>1372</v>
      </c>
      <c r="Y83" s="107">
        <v>1240</v>
      </c>
      <c r="Z83" s="107">
        <v>1604</v>
      </c>
      <c r="AA83" s="107">
        <v>1312</v>
      </c>
      <c r="AB83" s="107">
        <v>1488</v>
      </c>
      <c r="AC83" s="107">
        <v>2125.415</v>
      </c>
      <c r="AD83" s="187">
        <v>1891</v>
      </c>
      <c r="AE83" s="107">
        <v>1673</v>
      </c>
      <c r="AF83" s="107">
        <v>1615</v>
      </c>
      <c r="AG83" s="107">
        <v>1543</v>
      </c>
      <c r="AH83" s="107">
        <v>1439</v>
      </c>
      <c r="AI83" s="107">
        <v>1429.8785499999999</v>
      </c>
      <c r="AJ83" s="107">
        <v>1280.0401399999998</v>
      </c>
      <c r="AK83" s="107">
        <v>1260.3614400000001</v>
      </c>
      <c r="AL83" s="107">
        <v>1456.29547</v>
      </c>
      <c r="AM83" s="187">
        <v>1312.8996999999999</v>
      </c>
      <c r="AN83" s="187">
        <v>1441.0804799999996</v>
      </c>
      <c r="AO83" s="187">
        <v>1508.8553499999998</v>
      </c>
      <c r="AP83" s="187">
        <v>1776.01892</v>
      </c>
      <c r="AQ83" s="187">
        <v>1609.4767000000002</v>
      </c>
      <c r="AR83" s="187">
        <v>1717.3432299999999</v>
      </c>
      <c r="AS83" s="219">
        <v>1769.0243499999999</v>
      </c>
      <c r="AT83" s="219">
        <v>1667.5987799999998</v>
      </c>
      <c r="AU83" s="219">
        <v>1374.88193</v>
      </c>
      <c r="AV83" s="219">
        <v>1325.9120699999999</v>
      </c>
      <c r="AW83" s="219">
        <v>1235.8001299999999</v>
      </c>
      <c r="AX83" s="219">
        <v>1285.9301500000001</v>
      </c>
      <c r="AY83" s="190">
        <v>1555.6861800000001</v>
      </c>
      <c r="AZ83" s="190">
        <v>1403.66308</v>
      </c>
      <c r="BA83" s="351">
        <v>1477.9099299999998</v>
      </c>
      <c r="BB83" s="351">
        <v>2952.7825700000003</v>
      </c>
      <c r="BC83" s="351">
        <v>1976.9271100000001</v>
      </c>
      <c r="BD83" s="351">
        <v>1675.874</v>
      </c>
      <c r="BE83" s="351">
        <v>1492.21585</v>
      </c>
      <c r="BF83" s="351">
        <v>1277.8137299999999</v>
      </c>
      <c r="BG83" s="138">
        <v>1362.1685199999999</v>
      </c>
      <c r="BH83" s="138">
        <v>1365.92202</v>
      </c>
      <c r="BI83" s="138">
        <v>1275.74002</v>
      </c>
      <c r="BJ83" s="138">
        <v>1366.2891799999998</v>
      </c>
      <c r="BK83" s="138">
        <v>1414.0907499999998</v>
      </c>
      <c r="BL83" s="138">
        <v>1475.1940300000001</v>
      </c>
      <c r="BM83" s="138">
        <v>1676.48287</v>
      </c>
      <c r="BN83" s="138">
        <v>1937.8287799999998</v>
      </c>
      <c r="BO83" s="138">
        <v>1893.7083900000002</v>
      </c>
      <c r="BP83" s="138">
        <v>1832.3559700000001</v>
      </c>
      <c r="BQ83" s="138">
        <v>1794.5549100000001</v>
      </c>
      <c r="BR83" s="138">
        <v>1598.2742699999999</v>
      </c>
      <c r="BS83" s="138">
        <v>1455.3758600000001</v>
      </c>
      <c r="BT83" s="138">
        <v>1345.3067799999999</v>
      </c>
      <c r="BU83" s="138">
        <v>1396.8233</v>
      </c>
      <c r="BV83" s="138">
        <v>1383.83698</v>
      </c>
      <c r="BW83" s="138">
        <v>1408.1851299999998</v>
      </c>
      <c r="BX83" s="138">
        <v>1498.75506</v>
      </c>
      <c r="BY83" s="138">
        <v>1591.47847</v>
      </c>
      <c r="BZ83" s="138">
        <v>1852.52541</v>
      </c>
      <c r="CA83" s="138">
        <v>2013.0649800000001</v>
      </c>
      <c r="CB83" s="138">
        <v>1845.9273500000002</v>
      </c>
      <c r="CC83" s="138">
        <v>1739.2907300000002</v>
      </c>
      <c r="CD83" s="138">
        <v>1499.1112699999999</v>
      </c>
      <c r="CE83" s="138">
        <v>1422.36724</v>
      </c>
      <c r="CF83" s="138">
        <v>1340.3123799999998</v>
      </c>
      <c r="CG83" s="138">
        <v>1321.7078300000001</v>
      </c>
      <c r="CH83" s="138">
        <v>1350.26125</v>
      </c>
      <c r="CI83" s="138">
        <v>1377.6287</v>
      </c>
      <c r="CJ83" s="138">
        <v>1475.9924900000001</v>
      </c>
      <c r="CK83" s="138">
        <v>1575.0162599999999</v>
      </c>
      <c r="CL83" s="138">
        <v>1739.53745</v>
      </c>
      <c r="CM83" s="138">
        <v>1657.9418599999999</v>
      </c>
      <c r="CN83" s="138">
        <v>1645.99074</v>
      </c>
      <c r="CO83" s="138">
        <v>1647.9765499999999</v>
      </c>
      <c r="CP83" s="138">
        <v>1521.2219299999999</v>
      </c>
      <c r="CQ83" s="138">
        <v>1461.8667499999999</v>
      </c>
      <c r="CR83" s="138">
        <v>1348.9797600000002</v>
      </c>
      <c r="CS83" s="138">
        <v>1665.6821600000001</v>
      </c>
      <c r="CT83" s="138">
        <v>1410.1788499999998</v>
      </c>
      <c r="CU83" s="138">
        <v>1476.4627399999999</v>
      </c>
      <c r="CV83" s="138">
        <v>1607.8430499999999</v>
      </c>
      <c r="CW83" s="138">
        <v>1727.9974700000002</v>
      </c>
      <c r="CX83" s="138">
        <v>2291.6139400000002</v>
      </c>
      <c r="CY83" s="138">
        <v>2052.3722200000002</v>
      </c>
      <c r="CZ83" s="138">
        <v>1863.32602</v>
      </c>
      <c r="DA83" s="138">
        <v>1843.2516900000001</v>
      </c>
      <c r="DB83" s="138">
        <v>1660.7070100000001</v>
      </c>
      <c r="DC83" s="138">
        <v>1692.3985399999999</v>
      </c>
      <c r="DD83" s="138">
        <v>1515.9500400000002</v>
      </c>
      <c r="DE83" s="138">
        <v>1488.6635100000001</v>
      </c>
      <c r="DF83" s="138">
        <v>1522.31511</v>
      </c>
      <c r="DG83" s="138">
        <v>1484.4625300000002</v>
      </c>
      <c r="DH83" s="138">
        <v>1572.6592700000001</v>
      </c>
      <c r="DI83" s="138">
        <v>1798.75433</v>
      </c>
      <c r="DJ83" s="138">
        <v>2383.3020999999999</v>
      </c>
      <c r="DK83" s="138">
        <v>2280.16617</v>
      </c>
      <c r="DL83" s="138">
        <v>1848.2118500000001</v>
      </c>
      <c r="DM83" s="138">
        <v>1876.33005</v>
      </c>
      <c r="DN83" s="138">
        <v>1603.5855900000001</v>
      </c>
      <c r="DO83" s="138">
        <v>1525.3141499999999</v>
      </c>
      <c r="DP83" s="138">
        <v>1431.4026100000001</v>
      </c>
      <c r="DQ83" s="138">
        <v>1401.8700799999999</v>
      </c>
      <c r="DR83" s="138">
        <f>-((VLOOKUP("241",'Input BS ACCTS'!$A$5:$DD$1058,73,FALSE))/1000+VLOOKUP("2360606",'Input BS ACCTS'!$A$5:$DD$1058,73,FALSE)/1000)</f>
        <v>460.07699000000002</v>
      </c>
      <c r="DS83" s="138">
        <f>-((VLOOKUP("241",'Input BS ACCTS'!$A$5:$DD$1058,74,FALSE))/1000+VLOOKUP("2360606",'Input BS ACCTS'!$A$5:$DD$1058,74,FALSE)/1000)</f>
        <v>485.94060000000002</v>
      </c>
      <c r="DT83" s="138">
        <f>-((VLOOKUP("241",'Input BS ACCTS'!$A$5:$DD$1058,75,FALSE))/1000+VLOOKUP("2360606",'Input BS ACCTS'!$A$5:$DD$1058,75,FALSE)/1000)</f>
        <v>587.18615</v>
      </c>
      <c r="DU83" s="138">
        <f>-((VLOOKUP("241",'Input BS ACCTS'!$A$5:$DD$1058,76,FALSE))/1000+VLOOKUP("2360606",'Input BS ACCTS'!$A$5:$DD$1058,76,FALSE)/1000)</f>
        <v>823.87207999999998</v>
      </c>
      <c r="DV83" s="138">
        <f>-((VLOOKUP("241",'Input BS ACCTS'!$A$5:$DD$1058,77,FALSE))/1000+VLOOKUP("2360606",'Input BS ACCTS'!$A$5:$DD$1058,77,FALSE)/1000)</f>
        <v>862.29259999999999</v>
      </c>
      <c r="DW83" s="138">
        <f>-((VLOOKUP("241",'Input BS ACCTS'!$A$5:$DD$1058,78,FALSE))/1000+VLOOKUP("2360606",'Input BS ACCTS'!$A$5:$DD$1058,78,FALSE)/1000)</f>
        <v>890.26400999999998</v>
      </c>
      <c r="DX83" s="138">
        <f>-((VLOOKUP("241",'Input BS ACCTS'!$A$5:$DD$1058,79,FALSE))/1000+VLOOKUP("2360606",'Input BS ACCTS'!$A$5:$DD$1058,79,FALSE)/1000)</f>
        <v>816.03138000000001</v>
      </c>
      <c r="DY83" s="138">
        <f>-((VLOOKUP("241",'Input BS ACCTS'!$A$5:$DD$1058,80,FALSE))/1000+VLOOKUP("2360606",'Input BS ACCTS'!$A$5:$DD$1058,80,FALSE)/1000)</f>
        <v>717.82997999999986</v>
      </c>
      <c r="DZ83" s="138">
        <f>-((VLOOKUP("241",'Input BS ACCTS'!$A$5:$DD$1058,81,FALSE))/1000+VLOOKUP("2360606",'Input BS ACCTS'!$A$5:$DD$1058,81,FALSE)/1000)</f>
        <v>669.58293000000003</v>
      </c>
      <c r="EA83" s="138">
        <f>-((VLOOKUP("241",'Input BS ACCTS'!$A$5:$DD$1058,82,FALSE))/1000+VLOOKUP("2360606",'Input BS ACCTS'!$A$5:$DD$1058,82,FALSE)/1000)</f>
        <v>546.60874999999999</v>
      </c>
      <c r="EB83" s="138">
        <v>593.42741999999998</v>
      </c>
      <c r="EC83" s="138">
        <v>576.31646000000001</v>
      </c>
      <c r="ED83" s="138">
        <v>533.22586000000001</v>
      </c>
      <c r="EE83" s="138">
        <v>573.55948999999998</v>
      </c>
      <c r="EF83" s="138">
        <v>666.99331999999993</v>
      </c>
      <c r="EG83" s="138">
        <v>1108.71639</v>
      </c>
      <c r="EH83" s="138">
        <v>1146.2326400000002</v>
      </c>
      <c r="EI83" s="138">
        <v>1164.4791299999999</v>
      </c>
      <c r="EJ83" s="138">
        <v>1004.45417</v>
      </c>
      <c r="EK83" s="138">
        <v>1010.34399</v>
      </c>
      <c r="EL83" s="138">
        <v>877.14477999999997</v>
      </c>
      <c r="EM83" s="138">
        <v>833.51041999999995</v>
      </c>
      <c r="EN83" s="138">
        <v>833.17724999999996</v>
      </c>
      <c r="EO83" s="138">
        <v>795.57998999999995</v>
      </c>
      <c r="EP83" s="138">
        <v>871.00315999999998</v>
      </c>
      <c r="EQ83" s="138">
        <v>782.77256999999997</v>
      </c>
      <c r="ER83" s="138">
        <v>885.56154000000004</v>
      </c>
      <c r="ES83" s="138">
        <v>1049.8805300000001</v>
      </c>
      <c r="ET83" s="138">
        <v>1134.87617</v>
      </c>
      <c r="EU83" s="138">
        <v>1266.38292</v>
      </c>
      <c r="EV83" s="138">
        <v>1089.6453499999998</v>
      </c>
      <c r="EW83" s="138">
        <v>1018.5686400000001</v>
      </c>
      <c r="EX83" s="138">
        <v>953.86703</v>
      </c>
      <c r="EY83" s="138">
        <v>1369.25899</v>
      </c>
      <c r="EZ83" s="138">
        <v>1151.1687899999999</v>
      </c>
      <c r="FA83" s="138">
        <v>903.28201999999999</v>
      </c>
      <c r="FB83" s="138">
        <v>942.40950000000009</v>
      </c>
      <c r="FC83" s="138">
        <f>-((VLOOKUP("241",'Input BS ACCTS'!$A$5:$DH$1058,110,FALSE))/1000+VLOOKUP("2360606",'Input BS ACCTS'!$A$5:$DH$1058,110,FALSE)/1000)</f>
        <v>984.10316</v>
      </c>
      <c r="FD83" s="138">
        <f>-((VLOOKUP("241",'Input BS ACCTS'!$A$5:$DH$1058,111,FALSE))/1000+VLOOKUP("2360606",'Input BS ACCTS'!$A$5:$DH$1058,111,FALSE)/1000)</f>
        <v>888.56784000000005</v>
      </c>
      <c r="FE83" s="138">
        <f>-((VLOOKUP("241",'Input BS ACCTS'!$A$5:$DH$1058,112,FALSE))/1000+VLOOKUP("2360606",'Input BS ACCTS'!$A$5:$DH$1058,112,FALSE)/1000)</f>
        <v>1006.7684899999999</v>
      </c>
      <c r="FF83" s="403">
        <f t="shared" si="135"/>
        <v>1058.3676484615387</v>
      </c>
      <c r="FG83" s="700"/>
      <c r="FH83" s="700"/>
      <c r="IJ83" s="35"/>
      <c r="IK83" s="221"/>
      <c r="IL83" s="226"/>
      <c r="IM83" s="35"/>
      <c r="IN83" s="35"/>
      <c r="IO83" s="35"/>
      <c r="IP83" s="35"/>
      <c r="IQ83" s="35"/>
      <c r="IR83" s="35"/>
      <c r="IS83" s="35"/>
      <c r="IT83" s="35"/>
      <c r="IU83" s="35"/>
      <c r="IV83" s="35"/>
      <c r="IW83" s="35"/>
      <c r="IX83" s="35"/>
      <c r="IY83" s="35"/>
    </row>
    <row r="84" spans="1:259">
      <c r="A84" s="166" t="s">
        <v>531</v>
      </c>
      <c r="B84" s="167">
        <v>221.62069</v>
      </c>
      <c r="C84" s="167">
        <v>231.83569</v>
      </c>
      <c r="D84" s="167">
        <v>250.26769000000002</v>
      </c>
      <c r="E84" s="167">
        <v>267.74869000000001</v>
      </c>
      <c r="F84" s="167">
        <v>281.79568999999998</v>
      </c>
      <c r="G84" s="167">
        <v>306.41969</v>
      </c>
      <c r="H84" s="167">
        <v>293.21569</v>
      </c>
      <c r="I84" s="167">
        <v>116.06569</v>
      </c>
      <c r="J84" s="167">
        <v>141.26069000000001</v>
      </c>
      <c r="K84" s="167">
        <v>171.03469000000001</v>
      </c>
      <c r="L84" s="167">
        <v>185.37969000000001</v>
      </c>
      <c r="M84" s="167">
        <v>198.28269</v>
      </c>
      <c r="N84" s="167">
        <v>212.46869000000001</v>
      </c>
      <c r="O84" s="167">
        <v>228.352</v>
      </c>
      <c r="P84" s="167">
        <v>248.97</v>
      </c>
      <c r="Q84" s="167">
        <v>263</v>
      </c>
      <c r="R84" s="167">
        <v>276</v>
      </c>
      <c r="S84" s="167">
        <v>264</v>
      </c>
      <c r="T84" s="167">
        <v>274</v>
      </c>
      <c r="U84" s="167">
        <v>98.352000000000004</v>
      </c>
      <c r="V84" s="167">
        <v>113.473</v>
      </c>
      <c r="W84" s="167">
        <v>135.36500000000001</v>
      </c>
      <c r="X84" s="167">
        <v>156.054</v>
      </c>
      <c r="Y84" s="167">
        <v>172.08373999999998</v>
      </c>
      <c r="Z84" s="167">
        <v>184.03407000000001</v>
      </c>
      <c r="AA84" s="167">
        <v>209.30600000000001</v>
      </c>
      <c r="AB84" s="167">
        <v>224.49299999999999</v>
      </c>
      <c r="AC84" s="167">
        <v>242.577</v>
      </c>
      <c r="AD84" s="188">
        <v>259.36799999999999</v>
      </c>
      <c r="AE84" s="167">
        <v>283.44153999999997</v>
      </c>
      <c r="AF84" s="167">
        <v>281</v>
      </c>
      <c r="AG84" s="167">
        <v>132.54642000000001</v>
      </c>
      <c r="AH84" s="167">
        <v>142.99004000000002</v>
      </c>
      <c r="AI84" s="167">
        <v>158.95803000000004</v>
      </c>
      <c r="AJ84" s="167">
        <v>174.607</v>
      </c>
      <c r="AK84" s="167">
        <v>194.05392999999998</v>
      </c>
      <c r="AL84" s="167">
        <v>207.97192999999999</v>
      </c>
      <c r="AM84" s="188">
        <v>221.35833</v>
      </c>
      <c r="AN84" s="188">
        <v>238.10583</v>
      </c>
      <c r="AO84" s="187">
        <v>255.38557</v>
      </c>
      <c r="AP84" s="187">
        <v>274.78280999999998</v>
      </c>
      <c r="AQ84" s="187">
        <v>287.52767</v>
      </c>
      <c r="AR84" s="187">
        <v>280.08616999999998</v>
      </c>
      <c r="AS84" s="219">
        <v>112.65167</v>
      </c>
      <c r="AT84" s="219">
        <v>126.08435</v>
      </c>
      <c r="AU84" s="219">
        <v>158.91569000000001</v>
      </c>
      <c r="AV84" s="219">
        <v>177.90354000000002</v>
      </c>
      <c r="AW84" s="219">
        <v>206.88028</v>
      </c>
      <c r="AX84" s="219">
        <v>232.68917999999999</v>
      </c>
      <c r="AY84" s="178">
        <v>259.52301</v>
      </c>
      <c r="AZ84" s="178">
        <v>288.63063</v>
      </c>
      <c r="BA84" s="330">
        <v>302.56991999999997</v>
      </c>
      <c r="BB84" s="330">
        <v>312.17184000000003</v>
      </c>
      <c r="BC84" s="330">
        <v>331.73890999999998</v>
      </c>
      <c r="BD84" s="330">
        <v>331.50837999999999</v>
      </c>
      <c r="BE84" s="330">
        <v>165.19448</v>
      </c>
      <c r="BF84" s="330">
        <v>192.98612</v>
      </c>
      <c r="BG84" s="211">
        <v>247.55217000000002</v>
      </c>
      <c r="BH84" s="211">
        <v>271.91035999999997</v>
      </c>
      <c r="BI84" s="211">
        <v>329.60354999999998</v>
      </c>
      <c r="BJ84" s="211">
        <v>380.32663000000002</v>
      </c>
      <c r="BK84" s="211">
        <v>415.14666999999997</v>
      </c>
      <c r="BL84" s="211">
        <v>448.40834000000001</v>
      </c>
      <c r="BM84" s="211">
        <v>466.80070000000001</v>
      </c>
      <c r="BN84" s="211">
        <v>490.50351000000001</v>
      </c>
      <c r="BO84" s="211">
        <v>511.23433</v>
      </c>
      <c r="BP84" s="211">
        <v>388.93991</v>
      </c>
      <c r="BQ84" s="211">
        <v>195.78679</v>
      </c>
      <c r="BR84" s="211">
        <v>220.42180999999999</v>
      </c>
      <c r="BS84" s="211">
        <v>236.52282</v>
      </c>
      <c r="BT84" s="211">
        <v>256.68061</v>
      </c>
      <c r="BU84" s="211">
        <v>280.26639</v>
      </c>
      <c r="BV84" s="211">
        <v>290.43669</v>
      </c>
      <c r="BW84" s="211">
        <v>308.51479</v>
      </c>
      <c r="BX84" s="211">
        <v>329.89171999999996</v>
      </c>
      <c r="BY84" s="211">
        <v>365.71926000000002</v>
      </c>
      <c r="BZ84" s="211">
        <v>390.41061999999999</v>
      </c>
      <c r="CA84" s="211">
        <v>427.48839000000004</v>
      </c>
      <c r="CB84" s="211">
        <v>466.54316</v>
      </c>
      <c r="CC84" s="211">
        <v>303.49615</v>
      </c>
      <c r="CD84" s="211">
        <v>291.44504999999998</v>
      </c>
      <c r="CE84" s="211">
        <v>315.49803000000003</v>
      </c>
      <c r="CF84" s="211">
        <v>336.28737999999998</v>
      </c>
      <c r="CG84" s="211">
        <v>349.95875000000001</v>
      </c>
      <c r="CH84" s="211">
        <v>372.54590999999999</v>
      </c>
      <c r="CI84" s="211">
        <v>396.22949</v>
      </c>
      <c r="CJ84" s="211">
        <v>416.77527000000003</v>
      </c>
      <c r="CK84" s="211">
        <v>482.36126999999999</v>
      </c>
      <c r="CL84" s="211">
        <v>506.09003000000001</v>
      </c>
      <c r="CM84" s="211">
        <v>516.85190999999998</v>
      </c>
      <c r="CN84" s="211">
        <v>551.19386999999995</v>
      </c>
      <c r="CO84" s="211">
        <v>337.57054999999997</v>
      </c>
      <c r="CP84" s="211">
        <v>364.78951000000001</v>
      </c>
      <c r="CQ84" s="211">
        <v>425.14254</v>
      </c>
      <c r="CR84" s="211">
        <v>424.70418999999998</v>
      </c>
      <c r="CS84" s="211">
        <v>472.30826999999999</v>
      </c>
      <c r="CT84" s="211">
        <v>470.34499</v>
      </c>
      <c r="CU84" s="211">
        <v>467.29038000000003</v>
      </c>
      <c r="CV84" s="211">
        <v>467.23520000000002</v>
      </c>
      <c r="CW84" s="211">
        <v>418.23414000000002</v>
      </c>
      <c r="CX84" s="211">
        <v>418.29614000000004</v>
      </c>
      <c r="CY84" s="211">
        <v>420.2747</v>
      </c>
      <c r="CZ84" s="211">
        <v>398.13698999999997</v>
      </c>
      <c r="DA84" s="211">
        <v>18.499890000000001</v>
      </c>
      <c r="DB84" s="211">
        <v>17.96782</v>
      </c>
      <c r="DC84" s="211">
        <v>11.903780000000001</v>
      </c>
      <c r="DD84" s="211">
        <v>11.903780000000001</v>
      </c>
      <c r="DE84" s="211">
        <v>11.931760000000001</v>
      </c>
      <c r="DF84" s="211">
        <v>10.16513</v>
      </c>
      <c r="DG84" s="211">
        <v>0.55321000000000009</v>
      </c>
      <c r="DH84" s="211">
        <v>0.55321000000000009</v>
      </c>
      <c r="DI84" s="758">
        <v>0.55321000000000009</v>
      </c>
      <c r="DJ84" s="758">
        <v>0.55321000000000009</v>
      </c>
      <c r="DK84" s="758">
        <v>0.52522999999999997</v>
      </c>
      <c r="DL84" s="758">
        <v>0.52522999999999997</v>
      </c>
      <c r="DM84" s="758">
        <v>-2.26512</v>
      </c>
      <c r="DN84" s="758">
        <v>1.2217199999999999</v>
      </c>
      <c r="DO84" s="758">
        <v>1.4446300000000001</v>
      </c>
      <c r="DP84" s="758">
        <v>1.4446300000000001</v>
      </c>
      <c r="DQ84" s="758">
        <v>4.1596299999999999</v>
      </c>
      <c r="DR84" s="758">
        <v>-2.3749600000000002</v>
      </c>
      <c r="DS84" s="758">
        <v>2.0500400000000001</v>
      </c>
      <c r="DT84" s="758">
        <v>5.9486000000000008</v>
      </c>
      <c r="DU84" s="758">
        <v>5.9486000000000008</v>
      </c>
      <c r="DV84" s="758">
        <v>5.9486000000000008</v>
      </c>
      <c r="DW84" s="758">
        <v>7.5486000000000004</v>
      </c>
      <c r="DX84" s="758">
        <v>37.371169999999999</v>
      </c>
      <c r="DY84" s="758">
        <v>37.371169999999999</v>
      </c>
      <c r="DZ84" s="758">
        <v>32.093110000000003</v>
      </c>
      <c r="EA84" s="758">
        <v>31.462919999999997</v>
      </c>
      <c r="EB84" s="758">
        <v>31.20412</v>
      </c>
      <c r="EC84" s="758">
        <v>34.579120000000003</v>
      </c>
      <c r="ED84" s="758">
        <v>28.95168</v>
      </c>
      <c r="EE84" s="758">
        <v>26.57002</v>
      </c>
      <c r="EF84" s="758">
        <v>26.57002</v>
      </c>
      <c r="EG84" s="758">
        <v>26.425129999999999</v>
      </c>
      <c r="EH84" s="758">
        <v>35.625129999999999</v>
      </c>
      <c r="EI84" s="758">
        <v>49.118730000000006</v>
      </c>
      <c r="EJ84" s="758">
        <v>48.930610000000001</v>
      </c>
      <c r="EK84" s="758">
        <v>48.868660000000006</v>
      </c>
      <c r="EL84" s="758">
        <v>46.580419999999997</v>
      </c>
      <c r="EM84" s="758">
        <v>47.880420000000001</v>
      </c>
      <c r="EN84" s="758">
        <v>48.230419999999995</v>
      </c>
      <c r="EO84" s="758">
        <v>48.230419999999995</v>
      </c>
      <c r="EP84" s="758">
        <v>48.230419999999995</v>
      </c>
      <c r="EQ84" s="758">
        <v>51.395890000000001</v>
      </c>
      <c r="ER84" s="758">
        <v>51.289389999999997</v>
      </c>
      <c r="ES84" s="758">
        <v>51.289389999999997</v>
      </c>
      <c r="ET84" s="758">
        <v>51.289389999999997</v>
      </c>
      <c r="EU84" s="758">
        <v>52.022760000000005</v>
      </c>
      <c r="EV84" s="758">
        <v>87.422029999999992</v>
      </c>
      <c r="EW84" s="758">
        <v>87.422029999999992</v>
      </c>
      <c r="EX84" s="758">
        <v>87.422029999999992</v>
      </c>
      <c r="EY84" s="758">
        <v>91.297029999999992</v>
      </c>
      <c r="EZ84" s="758">
        <v>91.297029999999992</v>
      </c>
      <c r="FA84" s="758">
        <v>91.297029999999992</v>
      </c>
      <c r="FB84" s="758">
        <v>93.897030000000001</v>
      </c>
      <c r="FC84" s="758">
        <f>-VLOOKUP("2420320",'Input BS ACCTS'!$A$5:$DH$1058,110,FALSE)/1000</f>
        <v>93.727220000000003</v>
      </c>
      <c r="FD84" s="758">
        <f>-VLOOKUP("2420320",'Input BS ACCTS'!$A$5:$DH$1058,111,FALSE)/1000</f>
        <v>93.246369999999999</v>
      </c>
      <c r="FE84" s="758">
        <f>-VLOOKUP("2420320",'Input BS ACCTS'!$A$5:$DH$1058,112,FALSE)/1000</f>
        <v>93.246369999999999</v>
      </c>
      <c r="FF84" s="403">
        <f t="shared" si="135"/>
        <v>81.913516153846132</v>
      </c>
      <c r="FG84" s="700"/>
      <c r="FH84" s="700"/>
      <c r="IJ84" s="35"/>
      <c r="IK84" s="221"/>
      <c r="IL84" s="226"/>
      <c r="IM84" s="35"/>
      <c r="IN84" s="35"/>
      <c r="IO84" s="35"/>
      <c r="IP84" s="35"/>
      <c r="IQ84" s="35"/>
      <c r="IR84" s="35"/>
      <c r="IS84" s="35"/>
      <c r="IT84" s="35"/>
      <c r="IU84" s="35"/>
      <c r="IV84" s="35"/>
      <c r="IW84" s="35"/>
      <c r="IX84" s="35"/>
      <c r="IY84" s="35"/>
    </row>
    <row r="85" spans="1:259">
      <c r="A85" s="166" t="s">
        <v>280</v>
      </c>
      <c r="B85" s="167">
        <v>1384.7988400000002</v>
      </c>
      <c r="C85" s="167">
        <v>1167.5868400000002</v>
      </c>
      <c r="D85" s="167">
        <v>942.19783999999993</v>
      </c>
      <c r="E85" s="167">
        <v>844.72483999999997</v>
      </c>
      <c r="F85" s="167">
        <v>1298.35384</v>
      </c>
      <c r="G85" s="167">
        <v>1761.6668400000001</v>
      </c>
      <c r="H85" s="167">
        <v>2188.0078399999998</v>
      </c>
      <c r="I85" s="167">
        <v>2323.7348400000001</v>
      </c>
      <c r="J85" s="167">
        <v>2299.5688399999999</v>
      </c>
      <c r="K85" s="167">
        <v>2247.06484</v>
      </c>
      <c r="L85" s="167">
        <v>2152.91284</v>
      </c>
      <c r="M85" s="167">
        <v>1928.6958400000001</v>
      </c>
      <c r="N85" s="167">
        <v>1637.01684</v>
      </c>
      <c r="O85" s="167">
        <v>1594.1780000000001</v>
      </c>
      <c r="P85" s="167">
        <v>1386.825</v>
      </c>
      <c r="Q85" s="167">
        <v>1357</v>
      </c>
      <c r="R85" s="167">
        <v>1752</v>
      </c>
      <c r="S85" s="167">
        <v>1971</v>
      </c>
      <c r="T85" s="167">
        <v>2120</v>
      </c>
      <c r="U85" s="167">
        <v>2229.2260000000001</v>
      </c>
      <c r="V85" s="167">
        <v>2171.241</v>
      </c>
      <c r="W85" s="167">
        <v>2163.1799999999998</v>
      </c>
      <c r="X85" s="167">
        <v>1858.559</v>
      </c>
      <c r="Y85" s="167">
        <v>1601.7750000000001</v>
      </c>
      <c r="Z85" s="167">
        <v>1469.5940000000001</v>
      </c>
      <c r="AA85" s="167">
        <v>1352.3209999999999</v>
      </c>
      <c r="AB85" s="167">
        <v>935.02200000000005</v>
      </c>
      <c r="AC85" s="167">
        <v>702.45399999999995</v>
      </c>
      <c r="AD85" s="188">
        <v>719.75</v>
      </c>
      <c r="AE85" s="167">
        <v>697.36300000000006</v>
      </c>
      <c r="AF85" s="167">
        <v>672</v>
      </c>
      <c r="AG85" s="167">
        <v>610.79</v>
      </c>
      <c r="AH85" s="167">
        <v>498.74200000000002</v>
      </c>
      <c r="AI85" s="167">
        <v>221.63399999999999</v>
      </c>
      <c r="AJ85" s="167">
        <v>40.594999999999999</v>
      </c>
      <c r="AK85" s="167">
        <v>0</v>
      </c>
      <c r="AL85" s="167">
        <v>0</v>
      </c>
      <c r="AM85" s="188">
        <v>0</v>
      </c>
      <c r="AN85" s="188">
        <v>0</v>
      </c>
      <c r="AO85" s="187">
        <v>0</v>
      </c>
      <c r="AP85" s="187">
        <v>0</v>
      </c>
      <c r="AQ85" s="187">
        <v>0</v>
      </c>
      <c r="AR85" s="187">
        <v>0</v>
      </c>
      <c r="AS85" s="219">
        <v>0</v>
      </c>
      <c r="AT85" s="219">
        <v>0</v>
      </c>
      <c r="AU85" s="219">
        <v>0</v>
      </c>
      <c r="AV85" s="219">
        <v>0</v>
      </c>
      <c r="AW85" s="219">
        <v>0</v>
      </c>
      <c r="AX85" s="219">
        <v>0</v>
      </c>
      <c r="AY85" s="178">
        <v>0</v>
      </c>
      <c r="AZ85" s="178">
        <v>0</v>
      </c>
      <c r="BA85" s="355">
        <v>0</v>
      </c>
      <c r="BB85" s="355">
        <v>0</v>
      </c>
      <c r="BC85" s="355">
        <v>0</v>
      </c>
      <c r="BD85" s="355">
        <v>241.57599999999999</v>
      </c>
      <c r="BE85" s="355">
        <v>601.93200000000002</v>
      </c>
      <c r="BF85" s="355">
        <v>738.65200000000004</v>
      </c>
      <c r="BG85" s="190">
        <v>841.46100000000001</v>
      </c>
      <c r="BH85" s="190">
        <v>329.47899999999998</v>
      </c>
      <c r="BI85" s="190">
        <v>126.566</v>
      </c>
      <c r="BJ85" s="190">
        <v>0</v>
      </c>
      <c r="BK85" s="190">
        <v>0</v>
      </c>
      <c r="BL85" s="190">
        <v>0</v>
      </c>
      <c r="BM85" s="190">
        <v>309.54399999999998</v>
      </c>
      <c r="BN85" s="190">
        <v>659.48</v>
      </c>
      <c r="BO85" s="190">
        <v>1475.7940000000001</v>
      </c>
      <c r="BP85" s="190">
        <v>2041.769</v>
      </c>
      <c r="BQ85" s="190">
        <v>2465.779</v>
      </c>
      <c r="BR85" s="190">
        <v>2375.0880000000002</v>
      </c>
      <c r="BS85" s="190">
        <v>2413.828</v>
      </c>
      <c r="BT85" s="190">
        <v>2368.4270000000001</v>
      </c>
      <c r="BU85" s="190">
        <v>2133.8609999999999</v>
      </c>
      <c r="BV85" s="190">
        <v>2017.7719999999999</v>
      </c>
      <c r="BW85" s="190">
        <v>1611.7650000000001</v>
      </c>
      <c r="BX85" s="190">
        <v>1765.3820000000001</v>
      </c>
      <c r="BY85" s="190">
        <v>2136.4609999999998</v>
      </c>
      <c r="BZ85" s="190">
        <v>2294.5920000000001</v>
      </c>
      <c r="CA85" s="190">
        <v>2703.9659999999999</v>
      </c>
      <c r="CB85" s="190">
        <v>2839.127</v>
      </c>
      <c r="CC85" s="190">
        <v>2933.4780000000001</v>
      </c>
      <c r="CD85" s="190">
        <v>2612.1379999999999</v>
      </c>
      <c r="CE85" s="190">
        <v>2239.9110000000001</v>
      </c>
      <c r="CF85" s="190">
        <v>1934.3989999999999</v>
      </c>
      <c r="CG85" s="190">
        <v>1137.0909999999999</v>
      </c>
      <c r="CH85" s="190">
        <v>917.66899999999998</v>
      </c>
      <c r="CI85" s="190">
        <v>312.19400000000002</v>
      </c>
      <c r="CJ85" s="190">
        <v>290.64699999999999</v>
      </c>
      <c r="CK85" s="190">
        <v>0</v>
      </c>
      <c r="CL85" s="190">
        <v>771.85299999999995</v>
      </c>
      <c r="CM85" s="190">
        <v>1322.874</v>
      </c>
      <c r="CN85" s="190">
        <v>1614.664</v>
      </c>
      <c r="CO85" s="190">
        <v>1899.2180000000001</v>
      </c>
      <c r="CP85" s="190">
        <v>1462.1849999999999</v>
      </c>
      <c r="CQ85" s="190">
        <v>838.53899999999999</v>
      </c>
      <c r="CR85" s="190">
        <v>182.62</v>
      </c>
      <c r="CS85" s="190">
        <v>0</v>
      </c>
      <c r="CT85" s="190">
        <v>0</v>
      </c>
      <c r="CU85" s="190">
        <v>0</v>
      </c>
      <c r="CV85" s="190">
        <v>0</v>
      </c>
      <c r="CW85" s="190">
        <v>0</v>
      </c>
      <c r="CX85" s="190">
        <v>0</v>
      </c>
      <c r="CY85" s="190">
        <v>0</v>
      </c>
      <c r="CZ85" s="190">
        <v>0</v>
      </c>
      <c r="DA85" s="190">
        <v>0</v>
      </c>
      <c r="DB85" s="190">
        <v>0</v>
      </c>
      <c r="DC85" s="190">
        <v>0</v>
      </c>
      <c r="DD85" s="190">
        <v>0</v>
      </c>
      <c r="DE85" s="190">
        <v>0</v>
      </c>
      <c r="DF85" s="190">
        <v>0</v>
      </c>
      <c r="DG85" s="190">
        <v>0</v>
      </c>
      <c r="DH85" s="190">
        <v>0</v>
      </c>
      <c r="DI85" s="190">
        <v>0</v>
      </c>
      <c r="DJ85" s="190">
        <v>0</v>
      </c>
      <c r="DK85" s="190">
        <v>0</v>
      </c>
      <c r="DL85" s="190">
        <v>0</v>
      </c>
      <c r="DM85" s="190">
        <v>0</v>
      </c>
      <c r="DN85" s="190">
        <v>0</v>
      </c>
      <c r="DO85" s="190">
        <v>0</v>
      </c>
      <c r="DP85" s="190">
        <v>0</v>
      </c>
      <c r="DQ85" s="190">
        <v>0</v>
      </c>
      <c r="DR85" s="190">
        <v>0</v>
      </c>
      <c r="DS85" s="190">
        <v>0</v>
      </c>
      <c r="DT85" s="190">
        <v>0</v>
      </c>
      <c r="DU85" s="190">
        <v>0</v>
      </c>
      <c r="DV85" s="190">
        <v>0</v>
      </c>
      <c r="DW85" s="190">
        <v>0</v>
      </c>
      <c r="DX85" s="190">
        <v>0</v>
      </c>
      <c r="DY85" s="190">
        <v>0</v>
      </c>
      <c r="DZ85" s="190">
        <v>0</v>
      </c>
      <c r="EA85" s="190">
        <v>0</v>
      </c>
      <c r="EB85" s="190">
        <v>0</v>
      </c>
      <c r="EC85" s="190">
        <v>0</v>
      </c>
      <c r="ED85" s="190">
        <v>0</v>
      </c>
      <c r="EE85" s="190">
        <v>0</v>
      </c>
      <c r="EF85" s="190">
        <v>0</v>
      </c>
      <c r="EG85" s="190">
        <v>0</v>
      </c>
      <c r="EH85" s="190">
        <v>0</v>
      </c>
      <c r="EI85" s="190">
        <v>0</v>
      </c>
      <c r="EJ85" s="190">
        <v>0</v>
      </c>
      <c r="EK85" s="190">
        <v>0</v>
      </c>
      <c r="EL85" s="190">
        <v>0</v>
      </c>
      <c r="EM85" s="190">
        <v>0</v>
      </c>
      <c r="EN85" s="190">
        <v>0</v>
      </c>
      <c r="EO85" s="190">
        <v>0</v>
      </c>
      <c r="EP85" s="190">
        <v>0</v>
      </c>
      <c r="EQ85" s="190">
        <v>0</v>
      </c>
      <c r="ER85" s="190">
        <v>0</v>
      </c>
      <c r="ES85" s="190">
        <v>0</v>
      </c>
      <c r="ET85" s="190">
        <v>511.351</v>
      </c>
      <c r="EU85" s="190">
        <v>2149.5340000000001</v>
      </c>
      <c r="EV85" s="190">
        <v>1757.0170000000001</v>
      </c>
      <c r="EW85" s="190">
        <v>2533.9299999999998</v>
      </c>
      <c r="EX85" s="190">
        <v>3255.9679999999998</v>
      </c>
      <c r="EY85" s="190">
        <v>4198.7070000000003</v>
      </c>
      <c r="EZ85" s="190">
        <v>2816.0509999999999</v>
      </c>
      <c r="FA85" s="190">
        <v>2530.232</v>
      </c>
      <c r="FB85" s="190">
        <v>1877.8030000000001</v>
      </c>
      <c r="FC85" s="190">
        <f>-VLOOKUP("2540040",'Input BS ACCTS'!$A$5:$DH$1058,110,FALSE)/1000</f>
        <v>1636.684</v>
      </c>
      <c r="FD85" s="190">
        <f>-VLOOKUP("2540040",'Input BS ACCTS'!$A$5:$DH$1058,111,FALSE)/1000</f>
        <v>1405.116</v>
      </c>
      <c r="FE85" s="190">
        <f>-VLOOKUP("2540040",'Input BS ACCTS'!$A$5:$DH$1058,112,FALSE)/1000</f>
        <v>1548.4380000000001</v>
      </c>
      <c r="FF85" s="403">
        <f t="shared" si="135"/>
        <v>2016.9870000000005</v>
      </c>
      <c r="FG85" s="700"/>
      <c r="FH85" s="700"/>
      <c r="IJ85" s="35"/>
      <c r="IK85" s="221"/>
      <c r="IL85" s="226"/>
      <c r="IM85" s="35"/>
      <c r="IN85" s="35"/>
      <c r="IO85" s="35"/>
      <c r="IP85" s="35"/>
      <c r="IQ85" s="35"/>
      <c r="IR85" s="35"/>
      <c r="IS85" s="35"/>
      <c r="IT85" s="35"/>
      <c r="IU85" s="35"/>
      <c r="IV85" s="35"/>
      <c r="IW85" s="35"/>
      <c r="IX85" s="35"/>
      <c r="IY85" s="35"/>
    </row>
    <row r="86" spans="1:259">
      <c r="A86" s="166" t="s">
        <v>1702</v>
      </c>
      <c r="B86" s="167"/>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c r="AA86" s="167"/>
      <c r="AB86" s="167"/>
      <c r="AC86" s="167"/>
      <c r="AD86" s="188"/>
      <c r="AE86" s="167"/>
      <c r="AF86" s="167"/>
      <c r="AG86" s="167"/>
      <c r="AH86" s="167"/>
      <c r="AI86" s="167"/>
      <c r="AJ86" s="167"/>
      <c r="AK86" s="167"/>
      <c r="AL86" s="167"/>
      <c r="AM86" s="188"/>
      <c r="AN86" s="188"/>
      <c r="AO86" s="187"/>
      <c r="AP86" s="187"/>
      <c r="AQ86" s="187"/>
      <c r="AR86" s="187"/>
      <c r="AS86" s="219"/>
      <c r="AT86" s="219"/>
      <c r="AU86" s="219"/>
      <c r="AV86" s="219"/>
      <c r="AW86" s="219"/>
      <c r="AX86" s="219"/>
      <c r="AY86" s="178"/>
      <c r="AZ86" s="178"/>
      <c r="BA86" s="355"/>
      <c r="BB86" s="355"/>
      <c r="BC86" s="355"/>
      <c r="BD86" s="355"/>
      <c r="BE86" s="355"/>
      <c r="BF86" s="355"/>
      <c r="BG86" s="190"/>
      <c r="BH86" s="190"/>
      <c r="BI86" s="190"/>
      <c r="BJ86" s="190"/>
      <c r="BK86" s="190"/>
      <c r="BL86" s="190"/>
      <c r="BM86" s="190"/>
      <c r="BN86" s="190">
        <f>-VLOOKUP("2540071",'Input BS ACCTS'!$A$5:$DD$1058,17,FALSE)/1000</f>
        <v>247.65199999999999</v>
      </c>
      <c r="BO86" s="190">
        <f>-VLOOKUP("2540071",'Input BS ACCTS'!$A$5:$DD$1058,18,FALSE)/1000</f>
        <v>396.51645000000002</v>
      </c>
      <c r="BP86" s="190">
        <f>-VLOOKUP("2540071",'Input BS ACCTS'!$A$5:$DD$1058,19,FALSE)/1000</f>
        <v>519.55585999999994</v>
      </c>
      <c r="BQ86" s="190">
        <f>-VLOOKUP("2540071",'Input BS ACCTS'!$A$5:$DD$1058,20,FALSE)/1000</f>
        <v>533.81353999999999</v>
      </c>
      <c r="BR86" s="190">
        <f>-VLOOKUP("2540071",'Input BS ACCTS'!$A$5:$DD$1058,21,FALSE)/1000</f>
        <v>485.26117999999997</v>
      </c>
      <c r="BS86" s="190">
        <f>-VLOOKUP("2540071",'Input BS ACCTS'!$A$5:$DD$1058,22,FALSE)/1000</f>
        <v>432.28755000000001</v>
      </c>
      <c r="BT86" s="190">
        <f>-VLOOKUP("2540071",'Input BS ACCTS'!$A$5:$DD$1058,23,FALSE)/1000</f>
        <v>347.26985999999999</v>
      </c>
      <c r="BU86" s="190">
        <f>-VLOOKUP("2540071",'Input BS ACCTS'!$A$5:$DD$1058,24,FALSE)/1000</f>
        <v>259.00133999999997</v>
      </c>
      <c r="BV86" s="190">
        <f>-VLOOKUP("2540071",'Input BS ACCTS'!$A$5:$DD$1058,25,FALSE)/1000</f>
        <v>156.84961999999999</v>
      </c>
      <c r="BW86" s="190">
        <f>-VLOOKUP("2540071",'Input BS ACCTS'!$A$5:$DD$1058,26,FALSE)/1000</f>
        <v>53.799709999999997</v>
      </c>
      <c r="BX86" s="190">
        <f>-VLOOKUP("2540071",'Input BS ACCTS'!$A$5:$DD$1058,27,FALSE)/1000</f>
        <v>0</v>
      </c>
      <c r="BY86" s="190">
        <f>-VLOOKUP("2540071",'Input BS ACCTS'!$A$5:$DD$1058,28,FALSE)/1000</f>
        <v>0</v>
      </c>
      <c r="BZ86" s="190">
        <f>-VLOOKUP("2540071",'Input BS ACCTS'!$A$5:$DD$1058,29,FALSE)/1000</f>
        <v>26.878</v>
      </c>
      <c r="CA86" s="190">
        <f>-VLOOKUP("2540071",'Input BS ACCTS'!$A$5:$DD$1058,30,FALSE)/1000</f>
        <v>203.108</v>
      </c>
      <c r="CB86" s="190">
        <f>-VLOOKUP("2540071",'Input BS ACCTS'!$A$5:$DD$1058,31,FALSE)/1000</f>
        <v>305.20400000000001</v>
      </c>
      <c r="CC86" s="190">
        <f>-VLOOKUP("2540071",'Input BS ACCTS'!$A$5:$DD$1058,32,FALSE)/1000</f>
        <v>337.18</v>
      </c>
      <c r="CD86" s="190">
        <f>-VLOOKUP("2540071",'Input BS ACCTS'!$A$5:$DD$1058,33,FALSE)/1000</f>
        <v>309.654</v>
      </c>
      <c r="CE86" s="190">
        <f>-VLOOKUP("2540071",'Input BS ACCTS'!$A$5:$DD$1058,34,FALSE)/1000</f>
        <v>2235.2579999999998</v>
      </c>
      <c r="CF86" s="190">
        <v>2133.6799999999998</v>
      </c>
      <c r="CG86" s="190">
        <v>1996.856</v>
      </c>
      <c r="CH86" s="190">
        <v>1873.2339999999999</v>
      </c>
      <c r="CI86" s="190">
        <v>1697.5039999999999</v>
      </c>
      <c r="CJ86" s="190">
        <v>1569.6489999999999</v>
      </c>
      <c r="CK86" s="190">
        <v>1709.3679999999999</v>
      </c>
      <c r="CL86" s="190">
        <v>1651.07</v>
      </c>
      <c r="CM86" s="190">
        <v>1606.7760000000001</v>
      </c>
      <c r="CN86" s="190">
        <v>1497.895</v>
      </c>
      <c r="CO86" s="190">
        <v>1361.048</v>
      </c>
      <c r="CP86" s="190">
        <v>1147.2560000000001</v>
      </c>
      <c r="CQ86" s="190">
        <v>888.87099999999998</v>
      </c>
      <c r="CR86" s="190">
        <v>593.55399999999997</v>
      </c>
      <c r="CS86" s="190">
        <v>277.24</v>
      </c>
      <c r="CT86" s="190">
        <v>0</v>
      </c>
      <c r="CU86" s="190">
        <v>0</v>
      </c>
      <c r="CV86" s="190">
        <v>0</v>
      </c>
      <c r="CW86" s="190">
        <v>0</v>
      </c>
      <c r="CX86" s="190">
        <v>0</v>
      </c>
      <c r="CY86" s="190">
        <v>48.914000000000001</v>
      </c>
      <c r="CZ86" s="190">
        <v>265.83300000000003</v>
      </c>
      <c r="DA86" s="190">
        <v>496.09399999999999</v>
      </c>
      <c r="DB86" s="190">
        <v>872.13699999999994</v>
      </c>
      <c r="DC86" s="190">
        <v>800.05899999999997</v>
      </c>
      <c r="DD86" s="190">
        <v>704.92700000000002</v>
      </c>
      <c r="DE86" s="190">
        <v>566.85299999999995</v>
      </c>
      <c r="DF86" s="190">
        <v>459.26799999999997</v>
      </c>
      <c r="DG86" s="190">
        <v>240.15</v>
      </c>
      <c r="DH86" s="190">
        <v>63.302</v>
      </c>
      <c r="DI86" s="190">
        <v>102.065</v>
      </c>
      <c r="DJ86" s="190">
        <v>349.91</v>
      </c>
      <c r="DK86" s="190">
        <v>466.3</v>
      </c>
      <c r="DL86" s="190">
        <v>451.73</v>
      </c>
      <c r="DM86" s="190">
        <v>335.09100000000001</v>
      </c>
      <c r="DN86" s="190">
        <v>98.513999999999996</v>
      </c>
      <c r="DO86" s="190">
        <v>0</v>
      </c>
      <c r="DP86" s="190">
        <v>0</v>
      </c>
      <c r="DQ86" s="190">
        <v>0</v>
      </c>
      <c r="DR86" s="190">
        <v>0</v>
      </c>
      <c r="DS86" s="190">
        <v>0</v>
      </c>
      <c r="DT86" s="190">
        <v>0</v>
      </c>
      <c r="DU86" s="190">
        <v>0</v>
      </c>
      <c r="DV86" s="190">
        <v>0</v>
      </c>
      <c r="DW86" s="190">
        <v>0</v>
      </c>
      <c r="DX86" s="190">
        <v>0</v>
      </c>
      <c r="DY86" s="190">
        <v>0</v>
      </c>
      <c r="DZ86" s="190">
        <v>0</v>
      </c>
      <c r="EA86" s="190">
        <v>0</v>
      </c>
      <c r="EB86" s="190">
        <v>0</v>
      </c>
      <c r="EC86" s="190">
        <v>0</v>
      </c>
      <c r="ED86" s="190">
        <v>0</v>
      </c>
      <c r="EE86" s="190">
        <v>0</v>
      </c>
      <c r="EF86" s="190">
        <v>0</v>
      </c>
      <c r="EG86" s="190">
        <v>0</v>
      </c>
      <c r="EH86" s="190">
        <v>0</v>
      </c>
      <c r="EI86" s="190">
        <v>0</v>
      </c>
      <c r="EJ86" s="190">
        <v>0</v>
      </c>
      <c r="EK86" s="190">
        <v>0</v>
      </c>
      <c r="EL86" s="190">
        <v>0</v>
      </c>
      <c r="EM86" s="190">
        <v>0</v>
      </c>
      <c r="EN86" s="190">
        <v>0</v>
      </c>
      <c r="EO86" s="190">
        <v>0</v>
      </c>
      <c r="EP86" s="190">
        <v>0</v>
      </c>
      <c r="EQ86" s="190">
        <v>0</v>
      </c>
      <c r="ER86" s="190">
        <v>0</v>
      </c>
      <c r="ES86" s="190">
        <v>0</v>
      </c>
      <c r="ET86" s="190">
        <v>0</v>
      </c>
      <c r="EU86" s="190">
        <v>0</v>
      </c>
      <c r="EV86" s="190">
        <v>0</v>
      </c>
      <c r="EW86" s="190">
        <v>54.905999999999999</v>
      </c>
      <c r="EX86" s="190">
        <v>64.227999999999994</v>
      </c>
      <c r="EY86" s="190">
        <v>303.34789000000001</v>
      </c>
      <c r="EZ86" s="190">
        <v>203.34589000000003</v>
      </c>
      <c r="FA86" s="190">
        <v>79.91789</v>
      </c>
      <c r="FB86" s="190">
        <v>0</v>
      </c>
      <c r="FC86" s="190">
        <f>-VLOOKUP("2540071",'Input BS ACCTS'!$A$5:$DH$1058,110,FALSE)/1000</f>
        <v>0</v>
      </c>
      <c r="FD86" s="190">
        <f>-VLOOKUP("2540071",'Input BS ACCTS'!$A$5:$DH$1058,111,FALSE)/1000</f>
        <v>0</v>
      </c>
      <c r="FE86" s="190">
        <f>-VLOOKUP("2540071",'Input BS ACCTS'!$A$5:$DH$1058,112,FALSE)/1000</f>
        <v>0</v>
      </c>
      <c r="FF86" s="403">
        <f t="shared" si="135"/>
        <v>54.288128461538463</v>
      </c>
      <c r="FG86" s="700"/>
      <c r="FH86" s="700"/>
      <c r="IJ86" s="35"/>
      <c r="IK86" s="221"/>
      <c r="IL86" s="226"/>
      <c r="IM86" s="35"/>
      <c r="IN86" s="35"/>
      <c r="IO86" s="35"/>
      <c r="IP86" s="35"/>
      <c r="IQ86" s="35"/>
      <c r="IR86" s="35"/>
      <c r="IS86" s="35"/>
      <c r="IT86" s="35"/>
      <c r="IU86" s="35"/>
      <c r="IV86" s="35"/>
      <c r="IW86" s="35"/>
      <c r="IX86" s="35"/>
      <c r="IY86" s="35"/>
    </row>
    <row r="87" spans="1:259">
      <c r="A87" s="27" t="s">
        <v>281</v>
      </c>
      <c r="B87" s="107">
        <v>0</v>
      </c>
      <c r="C87" s="107">
        <v>0</v>
      </c>
      <c r="D87" s="107">
        <v>0</v>
      </c>
      <c r="E87" s="107">
        <v>0</v>
      </c>
      <c r="F87" s="107">
        <v>0</v>
      </c>
      <c r="G87" s="107">
        <v>0</v>
      </c>
      <c r="H87" s="107">
        <v>0</v>
      </c>
      <c r="I87" s="107">
        <v>0</v>
      </c>
      <c r="J87" s="107">
        <v>0</v>
      </c>
      <c r="K87" s="107">
        <v>0</v>
      </c>
      <c r="L87" s="107">
        <v>0</v>
      </c>
      <c r="M87" s="107">
        <v>0</v>
      </c>
      <c r="N87" s="107">
        <v>0</v>
      </c>
      <c r="O87" s="107">
        <v>0</v>
      </c>
      <c r="P87" s="107">
        <v>0</v>
      </c>
      <c r="Q87" s="107">
        <v>0</v>
      </c>
      <c r="R87" s="107"/>
      <c r="S87" s="107"/>
      <c r="T87" s="107"/>
      <c r="U87" s="107">
        <v>0</v>
      </c>
      <c r="V87" s="107"/>
      <c r="W87" s="107"/>
      <c r="X87" s="107">
        <v>0</v>
      </c>
      <c r="Y87" s="107">
        <v>0</v>
      </c>
      <c r="Z87" s="107">
        <v>0</v>
      </c>
      <c r="AA87" s="107">
        <v>0</v>
      </c>
      <c r="AB87" s="107">
        <v>0</v>
      </c>
      <c r="AC87" s="107">
        <v>0</v>
      </c>
      <c r="AD87" s="187">
        <v>0</v>
      </c>
      <c r="AE87" s="107">
        <v>0</v>
      </c>
      <c r="AF87" s="107">
        <v>0</v>
      </c>
      <c r="AG87" s="107">
        <v>0</v>
      </c>
      <c r="AH87" s="107"/>
      <c r="AI87" s="107">
        <v>0</v>
      </c>
      <c r="AJ87" s="107"/>
      <c r="AK87" s="107"/>
      <c r="AL87" s="107"/>
      <c r="AM87" s="187">
        <v>0</v>
      </c>
      <c r="AN87" s="187">
        <v>0</v>
      </c>
      <c r="AO87" s="187">
        <v>0</v>
      </c>
      <c r="AP87" s="187">
        <v>0</v>
      </c>
      <c r="AQ87" s="187">
        <v>0</v>
      </c>
      <c r="AR87" s="187">
        <v>0</v>
      </c>
      <c r="AS87" s="219">
        <v>0</v>
      </c>
      <c r="AT87" s="219">
        <v>0</v>
      </c>
      <c r="AU87" s="219">
        <v>0</v>
      </c>
      <c r="AV87" s="219">
        <v>0</v>
      </c>
      <c r="AW87" s="219">
        <v>0</v>
      </c>
      <c r="AX87" s="219">
        <v>0</v>
      </c>
      <c r="AY87" s="219">
        <v>0</v>
      </c>
      <c r="AZ87" s="219">
        <v>0</v>
      </c>
      <c r="BA87" s="352">
        <v>0</v>
      </c>
      <c r="BB87" s="352">
        <v>0</v>
      </c>
      <c r="BC87" s="352">
        <v>0</v>
      </c>
      <c r="BD87" s="352">
        <v>0</v>
      </c>
      <c r="BE87" s="352">
        <v>0</v>
      </c>
      <c r="BF87" s="352">
        <v>0</v>
      </c>
      <c r="BG87" s="219">
        <v>0</v>
      </c>
      <c r="BH87" s="219">
        <v>0</v>
      </c>
      <c r="BI87" s="219">
        <v>0</v>
      </c>
      <c r="BJ87" s="219">
        <v>0</v>
      </c>
      <c r="BK87" s="219">
        <v>0</v>
      </c>
      <c r="BL87" s="219">
        <v>0</v>
      </c>
      <c r="BM87" s="219">
        <v>0</v>
      </c>
      <c r="BN87" s="219">
        <v>0</v>
      </c>
      <c r="BO87" s="219">
        <v>0</v>
      </c>
      <c r="BP87" s="219">
        <v>0</v>
      </c>
      <c r="BQ87" s="219">
        <v>0</v>
      </c>
      <c r="BR87" s="219">
        <v>0</v>
      </c>
      <c r="BS87" s="219">
        <v>0</v>
      </c>
      <c r="BT87" s="219">
        <v>0</v>
      </c>
      <c r="BU87" s="219">
        <v>0</v>
      </c>
      <c r="BV87" s="219">
        <v>0</v>
      </c>
      <c r="BW87" s="219">
        <v>0</v>
      </c>
      <c r="BX87" s="219">
        <v>0</v>
      </c>
      <c r="BY87" s="219">
        <v>0</v>
      </c>
      <c r="BZ87" s="219">
        <v>0</v>
      </c>
      <c r="CA87" s="219">
        <v>0</v>
      </c>
      <c r="CB87" s="219">
        <v>0</v>
      </c>
      <c r="CC87" s="219">
        <v>0</v>
      </c>
      <c r="CD87" s="219">
        <v>0</v>
      </c>
      <c r="CE87" s="219">
        <v>0</v>
      </c>
      <c r="CF87" s="219">
        <v>0</v>
      </c>
      <c r="CG87" s="219">
        <v>0</v>
      </c>
      <c r="CH87" s="219">
        <v>0</v>
      </c>
      <c r="CI87" s="219">
        <v>0</v>
      </c>
      <c r="CJ87" s="219">
        <v>0</v>
      </c>
      <c r="CK87" s="219">
        <v>0</v>
      </c>
      <c r="CL87" s="219">
        <v>0</v>
      </c>
      <c r="CM87" s="219">
        <v>0</v>
      </c>
      <c r="CN87" s="219">
        <v>0</v>
      </c>
      <c r="CO87" s="219">
        <v>0</v>
      </c>
      <c r="CP87" s="219">
        <v>0</v>
      </c>
      <c r="CQ87" s="219">
        <v>0</v>
      </c>
      <c r="CR87" s="219">
        <v>0</v>
      </c>
      <c r="CS87" s="219">
        <v>0</v>
      </c>
      <c r="CT87" s="219">
        <v>0</v>
      </c>
      <c r="CU87" s="219">
        <v>0</v>
      </c>
      <c r="CV87" s="219">
        <v>0</v>
      </c>
      <c r="CW87" s="219">
        <v>0</v>
      </c>
      <c r="CX87" s="219">
        <v>0</v>
      </c>
      <c r="CY87" s="219">
        <v>0</v>
      </c>
      <c r="CZ87" s="219">
        <v>0</v>
      </c>
      <c r="DA87" s="219">
        <v>0</v>
      </c>
      <c r="DB87" s="219">
        <v>0</v>
      </c>
      <c r="DC87" s="219">
        <v>0</v>
      </c>
      <c r="DD87" s="219">
        <v>0</v>
      </c>
      <c r="DE87" s="219">
        <v>0</v>
      </c>
      <c r="DF87" s="219">
        <v>0</v>
      </c>
      <c r="DG87" s="219">
        <v>0</v>
      </c>
      <c r="DH87" s="219">
        <v>0</v>
      </c>
      <c r="DI87" s="219">
        <v>0</v>
      </c>
      <c r="DJ87" s="219">
        <v>0</v>
      </c>
      <c r="DK87" s="219">
        <v>0</v>
      </c>
      <c r="DL87" s="219">
        <v>0</v>
      </c>
      <c r="DM87" s="219">
        <v>0</v>
      </c>
      <c r="DN87" s="219">
        <v>0</v>
      </c>
      <c r="DO87" s="219">
        <v>0</v>
      </c>
      <c r="DP87" s="219">
        <v>0</v>
      </c>
      <c r="DQ87" s="219">
        <v>0</v>
      </c>
      <c r="DR87" s="219">
        <v>0</v>
      </c>
      <c r="DS87" s="219">
        <v>0</v>
      </c>
      <c r="DT87" s="219">
        <v>0</v>
      </c>
      <c r="DU87" s="219">
        <v>0</v>
      </c>
      <c r="DV87" s="219">
        <v>0</v>
      </c>
      <c r="DW87" s="219">
        <v>0</v>
      </c>
      <c r="DX87" s="219">
        <v>0</v>
      </c>
      <c r="DY87" s="219">
        <v>0</v>
      </c>
      <c r="DZ87" s="219">
        <v>0</v>
      </c>
      <c r="EA87" s="219">
        <v>0</v>
      </c>
      <c r="EB87" s="219">
        <v>0</v>
      </c>
      <c r="EC87" s="219">
        <v>0</v>
      </c>
      <c r="ED87" s="219">
        <v>0</v>
      </c>
      <c r="EE87" s="219">
        <v>0</v>
      </c>
      <c r="EF87" s="219">
        <v>0</v>
      </c>
      <c r="EG87" s="219">
        <v>0</v>
      </c>
      <c r="EH87" s="219">
        <v>0</v>
      </c>
      <c r="EI87" s="219">
        <v>0</v>
      </c>
      <c r="EJ87" s="219">
        <v>0</v>
      </c>
      <c r="EK87" s="219">
        <v>0</v>
      </c>
      <c r="EL87" s="219">
        <v>0</v>
      </c>
      <c r="EM87" s="219">
        <v>0</v>
      </c>
      <c r="EN87" s="219">
        <v>0</v>
      </c>
      <c r="EO87" s="219">
        <v>0</v>
      </c>
      <c r="EP87" s="219">
        <v>0</v>
      </c>
      <c r="EQ87" s="219">
        <v>0</v>
      </c>
      <c r="ER87" s="219">
        <v>0</v>
      </c>
      <c r="ES87" s="219">
        <v>0</v>
      </c>
      <c r="ET87" s="219">
        <v>0</v>
      </c>
      <c r="EU87" s="219">
        <v>0</v>
      </c>
      <c r="EV87" s="219">
        <v>0</v>
      </c>
      <c r="EW87" s="219">
        <v>0</v>
      </c>
      <c r="EX87" s="219">
        <v>0</v>
      </c>
      <c r="EY87" s="219">
        <v>0</v>
      </c>
      <c r="EZ87" s="219">
        <v>0</v>
      </c>
      <c r="FA87" s="219">
        <v>0</v>
      </c>
      <c r="FB87" s="219">
        <v>0</v>
      </c>
      <c r="FC87" s="219">
        <v>0</v>
      </c>
      <c r="FD87" s="219">
        <v>0</v>
      </c>
      <c r="FE87" s="219">
        <v>0</v>
      </c>
      <c r="FF87" s="403">
        <f t="shared" si="135"/>
        <v>0</v>
      </c>
      <c r="FG87" s="700"/>
      <c r="FH87" s="700"/>
      <c r="IJ87" s="35"/>
      <c r="IK87" s="221"/>
      <c r="IL87" s="226"/>
      <c r="IM87" s="35"/>
      <c r="IN87" s="35"/>
      <c r="IO87" s="35"/>
      <c r="IP87" s="35"/>
      <c r="IQ87" s="35"/>
      <c r="IR87" s="35"/>
      <c r="IS87" s="35"/>
      <c r="IT87" s="35"/>
      <c r="IU87" s="35"/>
      <c r="IV87" s="35"/>
      <c r="IW87" s="35"/>
      <c r="IX87" s="35"/>
      <c r="IY87" s="35"/>
    </row>
    <row r="88" spans="1:259">
      <c r="A88" s="27" t="s">
        <v>519</v>
      </c>
      <c r="B88" s="107">
        <v>9207.09</v>
      </c>
      <c r="C88" s="107">
        <v>11554.7</v>
      </c>
      <c r="D88" s="107">
        <v>13533.38</v>
      </c>
      <c r="E88" s="107">
        <v>7759.35</v>
      </c>
      <c r="F88" s="107">
        <v>8829.9699999999993</v>
      </c>
      <c r="G88" s="107">
        <v>8989.48</v>
      </c>
      <c r="H88" s="107">
        <v>12377.32</v>
      </c>
      <c r="I88" s="107">
        <v>10778.83</v>
      </c>
      <c r="J88" s="107">
        <v>8567.17</v>
      </c>
      <c r="K88" s="107">
        <v>7279.58</v>
      </c>
      <c r="L88" s="107">
        <v>6543</v>
      </c>
      <c r="M88" s="107">
        <v>10943.71</v>
      </c>
      <c r="N88" s="107">
        <v>12110.23</v>
      </c>
      <c r="O88" s="107">
        <v>11839</v>
      </c>
      <c r="P88" s="107">
        <v>10613</v>
      </c>
      <c r="Q88" s="107">
        <v>7908</v>
      </c>
      <c r="R88" s="107">
        <v>6126</v>
      </c>
      <c r="S88" s="107">
        <v>6409</v>
      </c>
      <c r="T88" s="107">
        <v>2900</v>
      </c>
      <c r="U88" s="107">
        <v>1511</v>
      </c>
      <c r="V88" s="107">
        <v>1358</v>
      </c>
      <c r="W88" s="107">
        <v>2862</v>
      </c>
      <c r="X88" s="107">
        <v>4461</v>
      </c>
      <c r="Y88" s="107">
        <v>4733</v>
      </c>
      <c r="Z88" s="107">
        <v>7331</v>
      </c>
      <c r="AA88" s="107">
        <v>7478</v>
      </c>
      <c r="AB88" s="107">
        <v>10935</v>
      </c>
      <c r="AC88" s="107">
        <v>14232.67</v>
      </c>
      <c r="AD88" s="187">
        <v>15206</v>
      </c>
      <c r="AE88" s="107">
        <v>12427</v>
      </c>
      <c r="AF88" s="107">
        <v>12237</v>
      </c>
      <c r="AG88" s="107">
        <v>10834</v>
      </c>
      <c r="AH88" s="107">
        <v>9121</v>
      </c>
      <c r="AI88" s="107">
        <v>6845.9549999999999</v>
      </c>
      <c r="AJ88" s="107">
        <v>4973.55</v>
      </c>
      <c r="AK88" s="107">
        <v>6521.39</v>
      </c>
      <c r="AL88" s="107">
        <v>3570.61</v>
      </c>
      <c r="AM88" s="187">
        <v>2879.8349999999996</v>
      </c>
      <c r="AN88" s="187">
        <v>3476.73</v>
      </c>
      <c r="AO88" s="187">
        <v>4281.25</v>
      </c>
      <c r="AP88" s="187">
        <v>3100.915</v>
      </c>
      <c r="AQ88" s="187">
        <v>1453.645</v>
      </c>
      <c r="AR88" s="187">
        <v>103.03</v>
      </c>
      <c r="AS88" s="219">
        <v>44.1</v>
      </c>
      <c r="AT88" s="219">
        <v>184.9</v>
      </c>
      <c r="AU88" s="219">
        <v>1573.61</v>
      </c>
      <c r="AV88" s="219">
        <v>1917.0450000000001</v>
      </c>
      <c r="AW88" s="219">
        <v>1127.355</v>
      </c>
      <c r="AX88" s="219">
        <v>1557.98</v>
      </c>
      <c r="AY88" s="178">
        <v>2211.3150000000001</v>
      </c>
      <c r="AZ88" s="178">
        <v>503.84</v>
      </c>
      <c r="BA88" s="355">
        <v>35.685000000000002</v>
      </c>
      <c r="BB88" s="355">
        <v>16.835000000000001</v>
      </c>
      <c r="BC88" s="355">
        <v>11.185</v>
      </c>
      <c r="BD88" s="355">
        <v>18.489999999999998</v>
      </c>
      <c r="BE88" s="355">
        <v>0.8</v>
      </c>
      <c r="BF88" s="355">
        <v>87.69</v>
      </c>
      <c r="BG88" s="190">
        <v>187.64</v>
      </c>
      <c r="BH88" s="190">
        <v>3248.625</v>
      </c>
      <c r="BI88" s="190">
        <v>1525.8</v>
      </c>
      <c r="BJ88" s="190">
        <v>1617.85</v>
      </c>
      <c r="BK88" s="190">
        <v>3658.9</v>
      </c>
      <c r="BL88" s="190">
        <v>2703.12</v>
      </c>
      <c r="BM88" s="190">
        <v>8985.49</v>
      </c>
      <c r="BN88" s="190">
        <v>9064.9449999999997</v>
      </c>
      <c r="BO88" s="190">
        <v>7427.67</v>
      </c>
      <c r="BP88" s="190">
        <v>7222.0349999999999</v>
      </c>
      <c r="BQ88" s="190">
        <v>6292.5050000000001</v>
      </c>
      <c r="BR88" s="190">
        <v>6307.9449999999997</v>
      </c>
      <c r="BS88" s="190">
        <v>5194.335</v>
      </c>
      <c r="BT88" s="190">
        <v>5218.4449999999997</v>
      </c>
      <c r="BU88" s="190">
        <v>5549.665</v>
      </c>
      <c r="BV88" s="190">
        <v>6332.3649999999998</v>
      </c>
      <c r="BW88" s="190">
        <v>8044.0349999999999</v>
      </c>
      <c r="BX88" s="190">
        <v>8065.5349999999999</v>
      </c>
      <c r="BY88" s="190">
        <v>6345.9549999999999</v>
      </c>
      <c r="BZ88" s="190">
        <v>4883.1350000000002</v>
      </c>
      <c r="CA88" s="190">
        <v>5431.0450000000001</v>
      </c>
      <c r="CB88" s="190">
        <v>3452.55</v>
      </c>
      <c r="CC88" s="190">
        <v>1971.79</v>
      </c>
      <c r="CD88" s="190">
        <v>1688.615</v>
      </c>
      <c r="CE88" s="190">
        <v>343.60500000000002</v>
      </c>
      <c r="CF88" s="190">
        <v>334.97500000000002</v>
      </c>
      <c r="CG88" s="190">
        <v>323.42500000000001</v>
      </c>
      <c r="CH88" s="190">
        <v>404.26499999999999</v>
      </c>
      <c r="CI88" s="190">
        <v>408.51499999999999</v>
      </c>
      <c r="CJ88" s="190">
        <v>76.784999999999997</v>
      </c>
      <c r="CK88" s="190">
        <v>0</v>
      </c>
      <c r="CL88" s="190">
        <v>56.05</v>
      </c>
      <c r="CM88" s="190">
        <v>389.5</v>
      </c>
      <c r="CN88" s="190">
        <v>4.2350000000000003</v>
      </c>
      <c r="CO88" s="190">
        <v>0</v>
      </c>
      <c r="CP88" s="190">
        <v>3.92</v>
      </c>
      <c r="CQ88" s="190">
        <v>22.28</v>
      </c>
      <c r="CR88" s="190">
        <v>140.02500000000001</v>
      </c>
      <c r="CS88" s="190">
        <v>4.68</v>
      </c>
      <c r="CT88" s="190">
        <v>9.23</v>
      </c>
      <c r="CU88" s="190">
        <v>138.22499999999999</v>
      </c>
      <c r="CV88" s="190">
        <v>60.555</v>
      </c>
      <c r="CW88" s="190">
        <v>181.065</v>
      </c>
      <c r="CX88" s="190">
        <v>1.78</v>
      </c>
      <c r="CY88" s="190">
        <v>113.125</v>
      </c>
      <c r="CZ88" s="190">
        <v>32.645000000000003</v>
      </c>
      <c r="DA88" s="190">
        <v>25.69</v>
      </c>
      <c r="DB88" s="190">
        <v>0</v>
      </c>
      <c r="DC88" s="190">
        <v>0.28000000000000003</v>
      </c>
      <c r="DD88" s="190">
        <v>11.72</v>
      </c>
      <c r="DE88" s="190">
        <v>0</v>
      </c>
      <c r="DF88" s="190">
        <v>0</v>
      </c>
      <c r="DG88" s="190">
        <v>0</v>
      </c>
      <c r="DH88" s="190">
        <v>0</v>
      </c>
      <c r="DI88" s="190">
        <v>0</v>
      </c>
      <c r="DJ88" s="190">
        <v>0</v>
      </c>
      <c r="DK88" s="190">
        <v>0</v>
      </c>
      <c r="DL88" s="190">
        <v>0</v>
      </c>
      <c r="DM88" s="190">
        <v>0</v>
      </c>
      <c r="DN88" s="190">
        <v>0</v>
      </c>
      <c r="DO88" s="190">
        <v>0</v>
      </c>
      <c r="DP88" s="190">
        <v>0</v>
      </c>
      <c r="DQ88" s="190">
        <v>0</v>
      </c>
      <c r="DR88" s="190">
        <v>0</v>
      </c>
      <c r="DS88" s="190">
        <v>0</v>
      </c>
      <c r="DT88" s="190">
        <v>0</v>
      </c>
      <c r="DU88" s="190">
        <v>0</v>
      </c>
      <c r="DV88" s="190">
        <v>0</v>
      </c>
      <c r="DW88" s="190">
        <v>0</v>
      </c>
      <c r="DX88" s="190">
        <v>0</v>
      </c>
      <c r="DY88" s="190">
        <v>0</v>
      </c>
      <c r="DZ88" s="190">
        <v>0</v>
      </c>
      <c r="EA88" s="190">
        <v>0</v>
      </c>
      <c r="EB88" s="190">
        <v>0</v>
      </c>
      <c r="EC88" s="190">
        <v>0</v>
      </c>
      <c r="ED88" s="190">
        <v>0</v>
      </c>
      <c r="EE88" s="190">
        <v>0</v>
      </c>
      <c r="EF88" s="190">
        <v>0</v>
      </c>
      <c r="EG88" s="190">
        <v>0</v>
      </c>
      <c r="EH88" s="190">
        <v>0</v>
      </c>
      <c r="EI88" s="190">
        <v>0</v>
      </c>
      <c r="EJ88" s="190">
        <v>0</v>
      </c>
      <c r="EK88" s="190">
        <v>0</v>
      </c>
      <c r="EL88" s="190">
        <v>0</v>
      </c>
      <c r="EM88" s="190">
        <v>0</v>
      </c>
      <c r="EN88" s="190">
        <v>0</v>
      </c>
      <c r="EO88" s="190">
        <v>0</v>
      </c>
      <c r="EP88" s="190">
        <v>0</v>
      </c>
      <c r="EQ88" s="190">
        <v>0</v>
      </c>
      <c r="ER88" s="190">
        <v>0</v>
      </c>
      <c r="ES88" s="190">
        <v>0</v>
      </c>
      <c r="ET88" s="190">
        <v>0</v>
      </c>
      <c r="EU88" s="190">
        <v>0</v>
      </c>
      <c r="EV88" s="190">
        <v>0</v>
      </c>
      <c r="EW88" s="190">
        <v>0</v>
      </c>
      <c r="EX88" s="190">
        <v>0</v>
      </c>
      <c r="EY88" s="190">
        <v>0</v>
      </c>
      <c r="EZ88" s="190">
        <v>0</v>
      </c>
      <c r="FA88" s="190">
        <v>0</v>
      </c>
      <c r="FB88" s="190">
        <v>0</v>
      </c>
      <c r="FC88" s="190">
        <f>-(VLOOKUP("2450100",'Input BS ACCTS'!$A$5:$DH$1058,110,FALSE)+VLOOKUP("2450200",'Input BS ACCTS'!$A$5:$DH$1058,110,FALSE))/1000</f>
        <v>0</v>
      </c>
      <c r="FD88" s="190">
        <f>-(VLOOKUP("2450100",'Input BS ACCTS'!$A$5:$DH$1058,111,FALSE)+VLOOKUP("2450200",'Input BS ACCTS'!$A$5:$DH$1058,111,FALSE))/1000</f>
        <v>0</v>
      </c>
      <c r="FE88" s="190">
        <f>-(VLOOKUP("2450100",'Input BS ACCTS'!$A$5:$DH$1058,112,FALSE)+VLOOKUP("2450200",'Input BS ACCTS'!$A$5:$DH$1058,112,FALSE))/1000</f>
        <v>0</v>
      </c>
      <c r="FF88" s="403">
        <f t="shared" si="135"/>
        <v>0</v>
      </c>
      <c r="FG88" s="700"/>
      <c r="FH88" s="700"/>
      <c r="IJ88" s="35"/>
      <c r="IK88" s="221"/>
      <c r="IL88" s="226"/>
      <c r="IM88" s="35"/>
      <c r="IN88" s="35"/>
      <c r="IO88" s="35"/>
      <c r="IP88" s="35"/>
      <c r="IQ88" s="35"/>
      <c r="IR88" s="35"/>
      <c r="IS88" s="35"/>
      <c r="IT88" s="35"/>
      <c r="IU88" s="35"/>
      <c r="IV88" s="35"/>
      <c r="IW88" s="35"/>
      <c r="IX88" s="35"/>
      <c r="IY88" s="35"/>
    </row>
    <row r="89" spans="1:259">
      <c r="A89" s="166" t="s">
        <v>282</v>
      </c>
      <c r="B89" s="168">
        <v>12483.466059999999</v>
      </c>
      <c r="C89" s="168">
        <v>12726.003059999999</v>
      </c>
      <c r="D89" s="168">
        <v>13483.15706</v>
      </c>
      <c r="E89" s="168">
        <v>13100.344059999999</v>
      </c>
      <c r="F89" s="168">
        <v>13538.862059999999</v>
      </c>
      <c r="G89" s="168">
        <v>13124.065059999999</v>
      </c>
      <c r="H89" s="168">
        <v>13519.771059999999</v>
      </c>
      <c r="I89" s="168">
        <v>14098.191059999999</v>
      </c>
      <c r="J89" s="168">
        <v>14145.029059999999</v>
      </c>
      <c r="K89" s="168">
        <v>14090.447059999999</v>
      </c>
      <c r="L89" s="168">
        <v>14527.750059999998</v>
      </c>
      <c r="M89" s="168">
        <v>14811.636059999999</v>
      </c>
      <c r="N89" s="168">
        <v>12546.612059999999</v>
      </c>
      <c r="O89" s="193">
        <v>12863.416999999999</v>
      </c>
      <c r="P89" s="168">
        <v>13232.826999999999</v>
      </c>
      <c r="Q89" s="168">
        <v>8879</v>
      </c>
      <c r="R89" s="168">
        <v>9273</v>
      </c>
      <c r="S89" s="168">
        <v>8821</v>
      </c>
      <c r="T89" s="168">
        <v>10854</v>
      </c>
      <c r="U89" s="168">
        <v>11241.135999999999</v>
      </c>
      <c r="V89" s="168">
        <v>11111.777</v>
      </c>
      <c r="W89" s="168">
        <v>10500.905000000001</v>
      </c>
      <c r="X89" s="168">
        <v>10892.387000000001</v>
      </c>
      <c r="Y89" s="168">
        <v>11256.14126</v>
      </c>
      <c r="Z89" s="168">
        <v>10541.371930000001</v>
      </c>
      <c r="AA89" s="192">
        <v>10977.415999999999</v>
      </c>
      <c r="AB89" s="192">
        <v>11240.094999999999</v>
      </c>
      <c r="AC89" s="168">
        <v>10965.678000000002</v>
      </c>
      <c r="AD89" s="189">
        <v>10611.882</v>
      </c>
      <c r="AE89" s="168">
        <v>11371.195460000001</v>
      </c>
      <c r="AF89" s="168">
        <v>11036</v>
      </c>
      <c r="AG89" s="168">
        <v>10582.298209999997</v>
      </c>
      <c r="AH89" s="168">
        <v>10966.312039999999</v>
      </c>
      <c r="AI89" s="168">
        <v>10076.014290000001</v>
      </c>
      <c r="AJ89" s="168">
        <v>9694.9473899999994</v>
      </c>
      <c r="AK89" s="168">
        <v>10008.332970000001</v>
      </c>
      <c r="AL89" s="168">
        <v>38595.262479999998</v>
      </c>
      <c r="AM89" s="189">
        <v>38874.858749999992</v>
      </c>
      <c r="AN89" s="189">
        <v>38865.328369999996</v>
      </c>
      <c r="AO89" s="205">
        <v>47273.062339999997</v>
      </c>
      <c r="AP89" s="205">
        <v>46859.227509999997</v>
      </c>
      <c r="AQ89" s="205">
        <v>47359.204189999997</v>
      </c>
      <c r="AR89" s="205">
        <v>48178.860870000004</v>
      </c>
      <c r="AS89" s="249">
        <v>48893.865590000001</v>
      </c>
      <c r="AT89" s="249">
        <v>47539.619340000005</v>
      </c>
      <c r="AU89" s="249">
        <v>46893.598619999997</v>
      </c>
      <c r="AV89" s="249">
        <v>46319.660450000003</v>
      </c>
      <c r="AW89" s="249">
        <v>46585.716540000001</v>
      </c>
      <c r="AX89" s="249">
        <v>46359.525150000001</v>
      </c>
      <c r="AY89" s="213">
        <v>45691.969980000002</v>
      </c>
      <c r="AZ89" s="213">
        <v>46103.490599999997</v>
      </c>
      <c r="BA89" s="359">
        <v>49814.969729999997</v>
      </c>
      <c r="BB89" s="359">
        <v>51671.733869999996</v>
      </c>
      <c r="BC89" s="359">
        <v>51028.890820000001</v>
      </c>
      <c r="BD89" s="359">
        <v>47531.961499999998</v>
      </c>
      <c r="BE89" s="359">
        <v>48373.780620000005</v>
      </c>
      <c r="BF89" s="359">
        <v>46816.677800000005</v>
      </c>
      <c r="BG89" s="272">
        <v>43500.734349999999</v>
      </c>
      <c r="BH89" s="272">
        <v>42063.693590000003</v>
      </c>
      <c r="BI89" s="272">
        <v>42392.587879999992</v>
      </c>
      <c r="BJ89" s="272">
        <v>38603.288539999994</v>
      </c>
      <c r="BK89" s="272">
        <v>38808.54423</v>
      </c>
      <c r="BL89" s="272">
        <v>39065.393830000001</v>
      </c>
      <c r="BM89" s="272">
        <v>38718.261119999996</v>
      </c>
      <c r="BN89" s="272">
        <v>37681.719679999995</v>
      </c>
      <c r="BO89" s="272">
        <v>37907.678009999996</v>
      </c>
      <c r="BP89" s="272">
        <v>37269.541359999996</v>
      </c>
      <c r="BQ89" s="272">
        <v>36814.833000000006</v>
      </c>
      <c r="BR89" s="272">
        <v>37008.292110000002</v>
      </c>
      <c r="BS89" s="272">
        <v>36866.732249999994</v>
      </c>
      <c r="BT89" s="272">
        <v>36361.254959999998</v>
      </c>
      <c r="BU89" s="272">
        <v>36549.092729999997</v>
      </c>
      <c r="BV89" s="272">
        <v>34777.007669999992</v>
      </c>
      <c r="BW89" s="272">
        <v>34944.432970000002</v>
      </c>
      <c r="BX89" s="272">
        <v>35086.577510000003</v>
      </c>
      <c r="BY89" s="272">
        <v>37204.899669999992</v>
      </c>
      <c r="BZ89" s="272">
        <v>37389.604419999996</v>
      </c>
      <c r="CA89" s="272">
        <v>37544.561009999998</v>
      </c>
      <c r="CB89" s="272">
        <v>38815.412690000005</v>
      </c>
      <c r="CC89" s="272">
        <v>38080.122069999998</v>
      </c>
      <c r="CD89" s="272">
        <v>37224.98461</v>
      </c>
      <c r="CE89" s="272">
        <v>44712.324889999996</v>
      </c>
      <c r="CF89" s="272">
        <v>43685.941660000004</v>
      </c>
      <c r="CG89" s="272">
        <v>43450.550639999994</v>
      </c>
      <c r="CH89" s="272">
        <v>42324.771620000007</v>
      </c>
      <c r="CI89" s="272">
        <v>42242.910230000001</v>
      </c>
      <c r="CJ89" s="272">
        <v>42635.65064</v>
      </c>
      <c r="CK89" s="272">
        <v>41902.152900000008</v>
      </c>
      <c r="CL89" s="272">
        <v>39426.560010000001</v>
      </c>
      <c r="CM89" s="272">
        <v>38880.308950000006</v>
      </c>
      <c r="CN89" s="272">
        <v>37586.142670000008</v>
      </c>
      <c r="CO89" s="272">
        <v>36635.921760000005</v>
      </c>
      <c r="CP89" s="272">
        <v>36286.03716</v>
      </c>
      <c r="CQ89" s="272">
        <v>36059.985379999998</v>
      </c>
      <c r="CR89" s="272">
        <v>34835.182310000004</v>
      </c>
      <c r="CS89" s="272">
        <v>34884.897959999995</v>
      </c>
      <c r="CT89" s="272">
        <v>34147.930989999993</v>
      </c>
      <c r="CU89" s="272">
        <v>34101.991150000002</v>
      </c>
      <c r="CV89" s="272">
        <v>34070.469189999996</v>
      </c>
      <c r="CW89" s="272">
        <v>33272.802769999995</v>
      </c>
      <c r="CX89" s="272">
        <v>32329.136569999995</v>
      </c>
      <c r="CY89" s="272">
        <v>33481.257119999995</v>
      </c>
      <c r="CZ89" s="272">
        <v>32500.986129999994</v>
      </c>
      <c r="DA89" s="272">
        <v>33609.884560000006</v>
      </c>
      <c r="DB89" s="272">
        <v>33927.863709999991</v>
      </c>
      <c r="DC89" s="272">
        <v>34636.611899999996</v>
      </c>
      <c r="DD89" s="272">
        <v>35343.040039999993</v>
      </c>
      <c r="DE89" s="272">
        <v>36050.902769999993</v>
      </c>
      <c r="DF89" s="272">
        <v>30016.000540000001</v>
      </c>
      <c r="DG89" s="272">
        <v>29740.857769999999</v>
      </c>
      <c r="DH89" s="272">
        <v>29592.681310000004</v>
      </c>
      <c r="DI89" s="272">
        <v>27648.452719999997</v>
      </c>
      <c r="DJ89" s="272">
        <v>26481.006179999997</v>
      </c>
      <c r="DK89" s="272">
        <v>26282.26036</v>
      </c>
      <c r="DL89" s="272">
        <v>28110.980919999998</v>
      </c>
      <c r="DM89" s="272">
        <v>27234.955750000005</v>
      </c>
      <c r="DN89" s="272">
        <v>27305.00605</v>
      </c>
      <c r="DO89" s="272">
        <v>27650.081579999998</v>
      </c>
      <c r="DP89" s="272">
        <v>27329.458210000001</v>
      </c>
      <c r="DQ89" s="272">
        <v>27831.848740000001</v>
      </c>
      <c r="DR89" s="272">
        <v>28119.124950000001</v>
      </c>
      <c r="DS89" s="272">
        <v>28692.094550000002</v>
      </c>
      <c r="DT89" s="272">
        <v>29499.248889999995</v>
      </c>
      <c r="DU89" s="272">
        <v>22855.165509999999</v>
      </c>
      <c r="DV89" s="272">
        <v>22231.93938</v>
      </c>
      <c r="DW89" s="272">
        <v>20766.230119999997</v>
      </c>
      <c r="DX89" s="272">
        <v>21479.56163</v>
      </c>
      <c r="DY89" s="272">
        <v>20864.17871</v>
      </c>
      <c r="DZ89" s="272">
        <v>20936.874509999998</v>
      </c>
      <c r="EA89" s="272">
        <v>21459.629910000003</v>
      </c>
      <c r="EB89" s="272">
        <v>20985.367040000005</v>
      </c>
      <c r="EC89" s="272">
        <v>21197.958710000003</v>
      </c>
      <c r="ED89" s="272">
        <v>20809.59245</v>
      </c>
      <c r="EE89" s="272">
        <v>20544.495009999999</v>
      </c>
      <c r="EF89" s="272">
        <v>20648.051359999998</v>
      </c>
      <c r="EG89" s="272">
        <v>18421.58322</v>
      </c>
      <c r="EH89" s="272">
        <v>17804.688069999997</v>
      </c>
      <c r="EI89" s="272">
        <v>18030.91015</v>
      </c>
      <c r="EJ89" s="272">
        <v>17801.295000000006</v>
      </c>
      <c r="EK89" s="272">
        <v>17296.814030000001</v>
      </c>
      <c r="EL89" s="272">
        <v>17404.479720000003</v>
      </c>
      <c r="EM89" s="272">
        <v>17785.248380000001</v>
      </c>
      <c r="EN89" s="272">
        <v>17396.379920000003</v>
      </c>
      <c r="EO89" s="272">
        <v>17400.827559999998</v>
      </c>
      <c r="EP89" s="272">
        <v>17693.261959999996</v>
      </c>
      <c r="EQ89" s="272">
        <v>13517.858760000001</v>
      </c>
      <c r="ER89" s="272">
        <v>16280.137589999997</v>
      </c>
      <c r="ES89" s="272">
        <v>16245.723090000003</v>
      </c>
      <c r="ET89" s="272">
        <v>14292.117350000002</v>
      </c>
      <c r="EU89" s="272">
        <v>16074.465380000003</v>
      </c>
      <c r="EV89" s="272">
        <v>15938.971899999999</v>
      </c>
      <c r="EW89" s="272">
        <v>14640.359080000002</v>
      </c>
      <c r="EX89" s="272">
        <v>14422.423480000001</v>
      </c>
      <c r="EY89" s="272">
        <v>14518.929409999997</v>
      </c>
      <c r="EZ89" s="272">
        <v>14058.078249999997</v>
      </c>
      <c r="FA89" s="272">
        <v>12311.263049999998</v>
      </c>
      <c r="FB89" s="272">
        <v>13683.248160000005</v>
      </c>
      <c r="FC89" s="272">
        <f>-(VLOOKUP("2320008",'Input BS ACCTS'!$A$5:$DH$1058,110,FALSE)+VLOOKUP("2320015",'Input BS ACCTS'!$A$5:$DH$1058,110,FALSE)+VLOOKUP("2320020",'Input BS ACCTS'!$A$5:$DH$1058,110,FALSE)+VLOOKUP("2420199",'Input BS ACCTS'!$A$5:$DH$1058,110,FALSE)+VLOOKUP("2420310",'Input BS ACCTS'!$A$5:$DH$1058,110,FALSE)+VLOOKUP("2420800",'Input BS ACCTS'!$A$5:$DH$1058,110,FALSE)+VLOOKUP("2420321",'Input BS ACCTS'!$A$5:$DH$1058,110,FALSE)+VLOOKUP("2540105",'Input BS ACCTS'!$A$5:$DH$1058,110,FALSE)+VLOOKUP("2540205",'Input BS ACCTS'!$A$5:$DH$1058,110,FALSE)+VLOOKUP("2540280",'Input BS ACCTS'!$A$5:$DH$1058,110,FALSE)+VLOOKUP("2540612",'Input BS ACCTS'!$A$5:$DH$1058,110,FALSE)+VLOOKUP("2281100",'Input BS ACCTS'!$A$5:$DH$1058,110,FALSE)+VLOOKUP("2283200",'Input BS ACCTS'!$A$5:$DH$1058,110,FALSE)+VLOOKUP("2283202",'Input BS ACCTS'!$A$5:$DH$1058,110,FALSE)+VLOOKUP("2283230",'Input BS ACCTS'!$A$5:$DH$1058,110,FALSE)+VLOOKUP("2283232",'Input BS ACCTS'!$A$5:$DH$1058,110,FALSE)+VLOOKUP("2284020",'Input BS ACCTS'!$A$5:$DH$1058,110,FALSE)+VLOOKUP("2284030",'Input BS ACCTS'!$A$5:$DH$1058,110,FALSE)+VLOOKUP("2282001",'Input BS ACCTS'!$A$5:$DH$1058,110,FALSE)+VLOOKUP("2282010",'Input BS ACCTS'!$A$5:$DH$1058,110,FALSE)+VLOOKUP("2282020",'Input BS ACCTS'!$A$5:$DH$1058,110,FALSE)+VLOOKUP("2282110",'Input BS ACCTS'!$A$5:$DH$1058,110,FALSE)+VLOOKUP("2282210",'Input BS ACCTS'!$A$5:$DH$1058,110,FALSE)+VLOOKUP("2420191",'Input BS ACCTS'!$A$5:$DH$1058,110,FALSE)+VLOOKUP("2420192",'Input BS ACCTS'!$A$5:$DH$1058,110,FALSE))/1000</f>
        <v>12974.783580000001</v>
      </c>
      <c r="FD89" s="272">
        <f>-(VLOOKUP("2320008",'Input BS ACCTS'!$A$5:$DH$1058,111,FALSE)+VLOOKUP("2320015",'Input BS ACCTS'!$A$5:$DH$1058,111,FALSE)+VLOOKUP("2320020",'Input BS ACCTS'!$A$5:$DH$1058,111,FALSE)+VLOOKUP("2420199",'Input BS ACCTS'!$A$5:$DH$1058,111,FALSE)+VLOOKUP("2420310",'Input BS ACCTS'!$A$5:$DH$1058,111,FALSE)+VLOOKUP("2420800",'Input BS ACCTS'!$A$5:$DH$1058,111,FALSE)+VLOOKUP("2420321",'Input BS ACCTS'!$A$5:$DH$1058,111,FALSE)+VLOOKUP("2540105",'Input BS ACCTS'!$A$5:$DH$1058,111,FALSE)+VLOOKUP("2540205",'Input BS ACCTS'!$A$5:$DH$1058,111,FALSE)+VLOOKUP("2540280",'Input BS ACCTS'!$A$5:$DH$1058,111,FALSE)+VLOOKUP("2540612",'Input BS ACCTS'!$A$5:$DH$1058,111,FALSE)+VLOOKUP("2281100",'Input BS ACCTS'!$A$5:$DH$1058,111,FALSE)+VLOOKUP("2283200",'Input BS ACCTS'!$A$5:$DH$1058,111,FALSE)+VLOOKUP("2283202",'Input BS ACCTS'!$A$5:$DH$1058,111,FALSE)+VLOOKUP("2283230",'Input BS ACCTS'!$A$5:$DH$1058,111,FALSE)+VLOOKUP("2283232",'Input BS ACCTS'!$A$5:$DH$1058,111,FALSE)+VLOOKUP("2284020",'Input BS ACCTS'!$A$5:$DH$1058,111,FALSE)+VLOOKUP("2284030",'Input BS ACCTS'!$A$5:$DH$1058,111,FALSE)+VLOOKUP("2282001",'Input BS ACCTS'!$A$5:$DH$1058,111,FALSE)+VLOOKUP("2282010",'Input BS ACCTS'!$A$5:$DH$1058,111,FALSE)+VLOOKUP("2282020",'Input BS ACCTS'!$A$5:$DH$1058,111,FALSE)+VLOOKUP("2282110",'Input BS ACCTS'!$A$5:$DH$1058,111,FALSE)+VLOOKUP("2282210",'Input BS ACCTS'!$A$5:$DH$1058,111,FALSE)+VLOOKUP("2420191",'Input BS ACCTS'!$A$5:$DH$1058,111,FALSE)+VLOOKUP("2420192",'Input BS ACCTS'!$A$5:$DH$1058,111,FALSE))/1000</f>
        <v>12701.25705</v>
      </c>
      <c r="FE89" s="272">
        <f>-(VLOOKUP("2320008",'Input BS ACCTS'!$A$5:$DH$1058,112,FALSE)+VLOOKUP("2320015",'Input BS ACCTS'!$A$5:$DH$1058,112,FALSE)+VLOOKUP("2320020",'Input BS ACCTS'!$A$5:$DH$1058,112,FALSE)+VLOOKUP("2420199",'Input BS ACCTS'!$A$5:$DH$1058,112,FALSE)+VLOOKUP("2420310",'Input BS ACCTS'!$A$5:$DH$1058,112,FALSE)+VLOOKUP("2420800",'Input BS ACCTS'!$A$5:$DH$1058,112,FALSE)+VLOOKUP("2420321",'Input BS ACCTS'!$A$5:$DH$1058,112,FALSE)+VLOOKUP("2540105",'Input BS ACCTS'!$A$5:$DH$1058,112,FALSE)+VLOOKUP("2540205",'Input BS ACCTS'!$A$5:$DH$1058,112,FALSE)+VLOOKUP("2540280",'Input BS ACCTS'!$A$5:$DH$1058,112,FALSE)+VLOOKUP("2540612",'Input BS ACCTS'!$A$5:$DH$1058,112,FALSE)+VLOOKUP("2281100",'Input BS ACCTS'!$A$5:$DH$1058,112,FALSE)+VLOOKUP("2283200",'Input BS ACCTS'!$A$5:$DH$1058,112,FALSE)+VLOOKUP("2283202",'Input BS ACCTS'!$A$5:$DH$1058,112,FALSE)+VLOOKUP("2283230",'Input BS ACCTS'!$A$5:$DH$1058,112,FALSE)+VLOOKUP("2283232",'Input BS ACCTS'!$A$5:$DH$1058,112,FALSE)+VLOOKUP("2284020",'Input BS ACCTS'!$A$5:$DH$1058,112,FALSE)+VLOOKUP("2284030",'Input BS ACCTS'!$A$5:$DH$1058,112,FALSE)+VLOOKUP("2282001",'Input BS ACCTS'!$A$5:$DH$1058,112,FALSE)+VLOOKUP("2282010",'Input BS ACCTS'!$A$5:$DH$1058,112,FALSE)+VLOOKUP("2282020",'Input BS ACCTS'!$A$5:$DH$1058,112,FALSE)+VLOOKUP("2282110",'Input BS ACCTS'!$A$5:$DH$1058,112,FALSE)+VLOOKUP("2282210",'Input BS ACCTS'!$A$5:$DH$1058,112,FALSE)+VLOOKUP("2420191",'Input BS ACCTS'!$A$5:$DH$1058,112,FALSE)+VLOOKUP("2420192",'Input BS ACCTS'!$A$5:$DH$1058,112,FALSE))/1000</f>
        <v>11756.706679999999</v>
      </c>
      <c r="FF89" s="403">
        <f t="shared" si="135"/>
        <v>14124.486650769231</v>
      </c>
      <c r="FG89" s="700"/>
      <c r="FH89" s="700"/>
      <c r="IJ89" s="35"/>
      <c r="IK89" s="221"/>
      <c r="IL89" s="226"/>
      <c r="IM89" s="35"/>
      <c r="IN89" s="35"/>
      <c r="IO89" s="35"/>
      <c r="IP89" s="35"/>
      <c r="IQ89" s="35"/>
      <c r="IR89" s="35"/>
      <c r="IS89" s="35"/>
      <c r="IT89" s="35"/>
      <c r="IU89" s="35"/>
      <c r="IV89" s="35"/>
      <c r="IW89" s="35"/>
      <c r="IX89" s="35"/>
      <c r="IY89" s="35"/>
    </row>
    <row r="90" spans="1:259" s="17" customFormat="1">
      <c r="A90" s="130" t="s">
        <v>283</v>
      </c>
      <c r="B90" s="116">
        <v>70798.899720000016</v>
      </c>
      <c r="C90" s="116">
        <v>79002.204719999994</v>
      </c>
      <c r="D90" s="116">
        <v>61264.249719999993</v>
      </c>
      <c r="E90" s="116">
        <v>67635.199720000004</v>
      </c>
      <c r="F90" s="116">
        <v>87125.66072</v>
      </c>
      <c r="G90" s="116">
        <v>87414.71871999999</v>
      </c>
      <c r="H90" s="116">
        <v>93735.862720000005</v>
      </c>
      <c r="I90" s="116">
        <v>69994.938720000006</v>
      </c>
      <c r="J90" s="116">
        <v>67509.893720000007</v>
      </c>
      <c r="K90" s="116">
        <v>61279.246720000003</v>
      </c>
      <c r="L90" s="116">
        <v>67054.669719999991</v>
      </c>
      <c r="M90" s="116">
        <v>75892.070720000003</v>
      </c>
      <c r="N90" s="116">
        <v>81753.671719999998</v>
      </c>
      <c r="O90" s="116">
        <v>72160.073999999993</v>
      </c>
      <c r="P90" s="116">
        <v>64983.973999999995</v>
      </c>
      <c r="Q90" s="116">
        <v>88006</v>
      </c>
      <c r="R90" s="116">
        <v>82136</v>
      </c>
      <c r="S90" s="116">
        <v>71882</v>
      </c>
      <c r="T90" s="116">
        <v>73694</v>
      </c>
      <c r="U90" s="116">
        <v>64919.500999999997</v>
      </c>
      <c r="V90" s="116">
        <v>64780.223000000005</v>
      </c>
      <c r="W90" s="116">
        <v>55723.346999999994</v>
      </c>
      <c r="X90" s="116">
        <v>52713.699399999998</v>
      </c>
      <c r="Y90" s="116">
        <v>51988.384000000005</v>
      </c>
      <c r="Z90" s="116">
        <v>58605.067999999999</v>
      </c>
      <c r="AA90" s="116">
        <v>57968.156829999993</v>
      </c>
      <c r="AB90" s="116">
        <v>36947.904000000002</v>
      </c>
      <c r="AC90" s="116">
        <v>65446.974999999999</v>
      </c>
      <c r="AD90" s="116">
        <v>67008</v>
      </c>
      <c r="AE90" s="116">
        <v>62436.457999999999</v>
      </c>
      <c r="AF90" s="116">
        <v>68708.377000000008</v>
      </c>
      <c r="AG90" s="116">
        <v>62482.557759999996</v>
      </c>
      <c r="AH90" s="116">
        <v>63695.688589999998</v>
      </c>
      <c r="AI90" s="116">
        <v>48301.186550000006</v>
      </c>
      <c r="AJ90" s="116">
        <v>54846.826990000016</v>
      </c>
      <c r="AK90" s="116">
        <v>68761.822749999992</v>
      </c>
      <c r="AL90" s="116">
        <v>81049.73603</v>
      </c>
      <c r="AM90" s="116">
        <v>93308.306819999998</v>
      </c>
      <c r="AN90" s="116">
        <v>85678.610190000007</v>
      </c>
      <c r="AO90" s="116">
        <v>102579.67745999999</v>
      </c>
      <c r="AP90" s="116">
        <v>94379.620649999997</v>
      </c>
      <c r="AQ90" s="116">
        <v>92494.848069999993</v>
      </c>
      <c r="AR90" s="116">
        <v>95585.497540000011</v>
      </c>
      <c r="AS90" s="116">
        <v>92280.012160000013</v>
      </c>
      <c r="AT90" s="116">
        <v>90340.818510000012</v>
      </c>
      <c r="AU90" s="116">
        <v>82906.204220000014</v>
      </c>
      <c r="AV90" s="116">
        <v>88994.16975999999</v>
      </c>
      <c r="AW90" s="116">
        <v>79179.258419999998</v>
      </c>
      <c r="AX90" s="116">
        <v>84341.956560000006</v>
      </c>
      <c r="AY90" s="116">
        <v>90280.937429999991</v>
      </c>
      <c r="AZ90" s="116">
        <v>89378.06186999999</v>
      </c>
      <c r="BA90" s="363">
        <v>105907.86854999998</v>
      </c>
      <c r="BB90" s="363">
        <v>120103.72012</v>
      </c>
      <c r="BC90" s="363">
        <v>107155.99377</v>
      </c>
      <c r="BD90" s="363">
        <v>98462.099090000003</v>
      </c>
      <c r="BE90" s="363">
        <v>105200.97153000001</v>
      </c>
      <c r="BF90" s="363">
        <v>98586.857180000021</v>
      </c>
      <c r="BG90" s="116">
        <v>82202.418570000009</v>
      </c>
      <c r="BH90" s="116">
        <v>88443.535219999991</v>
      </c>
      <c r="BI90" s="116">
        <v>83326.929879999981</v>
      </c>
      <c r="BJ90" s="116">
        <v>78500.398959999991</v>
      </c>
      <c r="BK90" s="116">
        <v>88269.048830000014</v>
      </c>
      <c r="BL90" s="116">
        <v>84848.845820000017</v>
      </c>
      <c r="BM90" s="116">
        <v>103555.27197</v>
      </c>
      <c r="BN90" s="116">
        <v>92393.254889999982</v>
      </c>
      <c r="BO90" s="116">
        <v>94802.680670000002</v>
      </c>
      <c r="BP90" s="116">
        <v>96127.291409999991</v>
      </c>
      <c r="BQ90" s="116">
        <v>105591.94196</v>
      </c>
      <c r="BR90" s="116">
        <v>87235.659069999994</v>
      </c>
      <c r="BS90" s="116">
        <v>78009.208649999986</v>
      </c>
      <c r="BT90" s="116">
        <v>89609.582569999999</v>
      </c>
      <c r="BU90" s="116">
        <v>84586.815759999998</v>
      </c>
      <c r="BV90" s="116">
        <v>80776.198749999981</v>
      </c>
      <c r="BW90" s="116">
        <v>86428.076979999998</v>
      </c>
      <c r="BX90" s="116">
        <v>87000.821100000001</v>
      </c>
      <c r="BY90" s="116">
        <v>85866.959159999999</v>
      </c>
      <c r="BZ90" s="116">
        <v>75366.993989999988</v>
      </c>
      <c r="CA90" s="116">
        <v>80866.804189999995</v>
      </c>
      <c r="CB90" s="116">
        <v>90112.967880000011</v>
      </c>
      <c r="CC90" s="116">
        <v>88874.953569999998</v>
      </c>
      <c r="CD90" s="116">
        <v>83521.892300000007</v>
      </c>
      <c r="CE90" s="116">
        <v>89243.425399999993</v>
      </c>
      <c r="CF90" s="116">
        <v>92714.871010000003</v>
      </c>
      <c r="CG90" s="116">
        <v>90549.381399999984</v>
      </c>
      <c r="CH90" s="116">
        <v>93284.493030000012</v>
      </c>
      <c r="CI90" s="116">
        <v>99200.418750000012</v>
      </c>
      <c r="CJ90" s="116">
        <v>104215.79107000001</v>
      </c>
      <c r="CK90" s="116">
        <v>121512.15069000001</v>
      </c>
      <c r="CL90" s="116">
        <f t="shared" ref="CL90:CW90" si="136">SUM(CL74:CL89)</f>
        <v>123967.31966000001</v>
      </c>
      <c r="CM90" s="116">
        <f t="shared" si="136"/>
        <v>128604.48178000002</v>
      </c>
      <c r="CN90" s="116">
        <f t="shared" si="136"/>
        <v>122318.07208000001</v>
      </c>
      <c r="CO90" s="116">
        <f t="shared" si="136"/>
        <v>126762.87057000003</v>
      </c>
      <c r="CP90" s="116">
        <f t="shared" si="136"/>
        <v>120418.54441999999</v>
      </c>
      <c r="CQ90" s="116">
        <f t="shared" si="136"/>
        <v>111007.03489</v>
      </c>
      <c r="CR90" s="116">
        <f t="shared" si="136"/>
        <v>115758.87654</v>
      </c>
      <c r="CS90" s="116">
        <f t="shared" si="136"/>
        <v>132431.79814</v>
      </c>
      <c r="CT90" s="116">
        <f t="shared" si="136"/>
        <v>129332.34272</v>
      </c>
      <c r="CU90" s="116">
        <f t="shared" si="136"/>
        <v>127093.71226000001</v>
      </c>
      <c r="CV90" s="116">
        <f t="shared" si="136"/>
        <v>131501.82195999997</v>
      </c>
      <c r="CW90" s="116">
        <f t="shared" si="136"/>
        <v>149793.92608</v>
      </c>
      <c r="CX90" s="116">
        <f t="shared" ref="CX90:DC90" si="137">SUM(CX74:CX89)</f>
        <v>155515.57311</v>
      </c>
      <c r="CY90" s="116">
        <f t="shared" si="137"/>
        <v>147656.74565</v>
      </c>
      <c r="CZ90" s="116">
        <f t="shared" si="137"/>
        <v>142869.26879</v>
      </c>
      <c r="DA90" s="116">
        <f t="shared" si="137"/>
        <v>140423.03781000001</v>
      </c>
      <c r="DB90" s="116">
        <f t="shared" si="137"/>
        <v>194362.04648999998</v>
      </c>
      <c r="DC90" s="116">
        <f t="shared" si="137"/>
        <v>123113.99776999996</v>
      </c>
      <c r="DD90" s="116">
        <f t="shared" ref="DD90:DI90" si="138">SUM(DD74:DD89)</f>
        <v>126753.87921999997</v>
      </c>
      <c r="DE90" s="116">
        <f t="shared" si="138"/>
        <v>130048.03537</v>
      </c>
      <c r="DF90" s="116">
        <f t="shared" si="138"/>
        <v>137393.84849999999</v>
      </c>
      <c r="DG90" s="116">
        <f t="shared" si="138"/>
        <v>128043.6704</v>
      </c>
      <c r="DH90" s="116">
        <f t="shared" si="138"/>
        <v>138739.55907000002</v>
      </c>
      <c r="DI90" s="116">
        <f t="shared" si="138"/>
        <v>150159.86202999999</v>
      </c>
      <c r="DJ90" s="116">
        <f t="shared" ref="DJ90:DP90" si="139">SUM(DJ74:DJ89)</f>
        <v>164086.73255000002</v>
      </c>
      <c r="DK90" s="116">
        <f t="shared" si="139"/>
        <v>133897.17997999996</v>
      </c>
      <c r="DL90" s="116">
        <f t="shared" si="139"/>
        <v>139181.74457000001</v>
      </c>
      <c r="DM90" s="116">
        <f t="shared" si="139"/>
        <v>136265.46386000002</v>
      </c>
      <c r="DN90" s="116">
        <f t="shared" si="139"/>
        <v>126058.67963999999</v>
      </c>
      <c r="DO90" s="116">
        <f t="shared" si="139"/>
        <v>131771.70117000001</v>
      </c>
      <c r="DP90" s="116">
        <f t="shared" si="139"/>
        <v>115404.89243999998</v>
      </c>
      <c r="DQ90" s="116">
        <f t="shared" ref="DQ90:DX90" si="140">SUM(DQ74:DQ89)</f>
        <v>141366.10889999999</v>
      </c>
      <c r="DR90" s="116">
        <f t="shared" si="140"/>
        <v>135964.69022000002</v>
      </c>
      <c r="DS90" s="116">
        <f t="shared" si="140"/>
        <v>147191.88928</v>
      </c>
      <c r="DT90" s="116">
        <f t="shared" si="140"/>
        <v>176996.41529999999</v>
      </c>
      <c r="DU90" s="116">
        <f t="shared" si="140"/>
        <v>194352.45652000001</v>
      </c>
      <c r="DV90" s="116">
        <f t="shared" si="140"/>
        <v>208056.47766999999</v>
      </c>
      <c r="DW90" s="116">
        <f t="shared" si="140"/>
        <v>183009.28641000006</v>
      </c>
      <c r="DX90" s="116">
        <f t="shared" si="140"/>
        <v>188553.74327000001</v>
      </c>
      <c r="DY90" s="116">
        <f t="shared" ref="DY90:ED90" si="141">SUM(DY74:DY89)</f>
        <v>200692.44816999999</v>
      </c>
      <c r="DZ90" s="116">
        <f t="shared" si="141"/>
        <v>206188.01345999999</v>
      </c>
      <c r="EA90" s="116">
        <f t="shared" si="141"/>
        <v>222933.16915000003</v>
      </c>
      <c r="EB90" s="116">
        <f t="shared" si="141"/>
        <v>238674.16862000004</v>
      </c>
      <c r="EC90" s="116">
        <f t="shared" si="141"/>
        <v>236477.94807999997</v>
      </c>
      <c r="ED90" s="116">
        <f t="shared" si="141"/>
        <v>256971.40732</v>
      </c>
      <c r="EE90" s="116">
        <f t="shared" ref="EE90:EJ90" si="142">SUM(EE74:EE89)</f>
        <v>283382.53022000002</v>
      </c>
      <c r="EF90" s="116">
        <f t="shared" si="142"/>
        <v>306369.52165999991</v>
      </c>
      <c r="EG90" s="116">
        <f t="shared" si="142"/>
        <v>340876.82304000005</v>
      </c>
      <c r="EH90" s="116">
        <f t="shared" si="142"/>
        <v>355659.60382999998</v>
      </c>
      <c r="EI90" s="116">
        <f t="shared" si="142"/>
        <v>342927.67520999996</v>
      </c>
      <c r="EJ90" s="116">
        <f t="shared" si="142"/>
        <v>125882.91601000002</v>
      </c>
      <c r="EK90" s="116">
        <f t="shared" ref="EK90:EP90" si="143">SUM(EK74:EK89)</f>
        <v>159450.40697000001</v>
      </c>
      <c r="EL90" s="116">
        <f t="shared" si="143"/>
        <v>186935.12643000003</v>
      </c>
      <c r="EM90" s="116">
        <f t="shared" si="143"/>
        <v>201450.12104000003</v>
      </c>
      <c r="EN90" s="116">
        <f t="shared" si="143"/>
        <v>220585.66316000003</v>
      </c>
      <c r="EO90" s="116">
        <f t="shared" si="143"/>
        <v>216210.30886000002</v>
      </c>
      <c r="EP90" s="116">
        <f t="shared" si="143"/>
        <v>232365.81930000003</v>
      </c>
      <c r="EQ90" s="116">
        <f t="shared" ref="EQ90:FF90" si="144">SUM(EQ74:EQ89)</f>
        <v>258674.50292000003</v>
      </c>
      <c r="ER90" s="116">
        <f t="shared" si="144"/>
        <v>269099.06038999994</v>
      </c>
      <c r="ES90" s="116">
        <f t="shared" si="144"/>
        <v>305241.0482800001</v>
      </c>
      <c r="ET90" s="116">
        <f t="shared" si="144"/>
        <v>323858.68808999995</v>
      </c>
      <c r="EU90" s="116">
        <f t="shared" si="144"/>
        <v>274620.04058999999</v>
      </c>
      <c r="EV90" s="116">
        <f t="shared" si="144"/>
        <v>272878.37052</v>
      </c>
      <c r="EW90" s="116">
        <f t="shared" ref="EW90:EY90" si="145">SUM(EW74:EW89)</f>
        <v>310849.33356000012</v>
      </c>
      <c r="EX90" s="116">
        <f t="shared" si="145"/>
        <v>298902.06505000003</v>
      </c>
      <c r="EY90" s="116">
        <f t="shared" si="145"/>
        <v>318010.47997999995</v>
      </c>
      <c r="EZ90" s="116">
        <f t="shared" ref="EZ90:FB90" si="146">SUM(EZ74:EZ89)</f>
        <v>254136.67939999996</v>
      </c>
      <c r="FA90" s="116">
        <f t="shared" si="146"/>
        <v>240352.51211000001</v>
      </c>
      <c r="FB90" s="116">
        <f t="shared" si="146"/>
        <v>270882.09479</v>
      </c>
      <c r="FC90" s="116">
        <f t="shared" ref="FC90:FE90" si="147">SUM(FC74:FC89)</f>
        <v>291821.00495999999</v>
      </c>
      <c r="FD90" s="116">
        <f t="shared" si="147"/>
        <v>284706.88065000001</v>
      </c>
      <c r="FE90" s="116">
        <f t="shared" si="147"/>
        <v>291952.66868</v>
      </c>
      <c r="FF90" s="363">
        <f t="shared" si="144"/>
        <v>287554.75897384621</v>
      </c>
      <c r="FG90" s="116"/>
      <c r="FH90" s="116"/>
      <c r="FI90" s="155"/>
      <c r="FJ90" s="155"/>
      <c r="FK90" s="155"/>
      <c r="FL90" s="155"/>
      <c r="FM90" s="155"/>
      <c r="FN90" s="155"/>
      <c r="FO90" s="155"/>
      <c r="FP90" s="155"/>
      <c r="FQ90" s="155"/>
      <c r="FR90" s="155"/>
      <c r="FS90" s="155"/>
      <c r="FT90" s="155"/>
      <c r="FU90" s="155"/>
      <c r="FV90" s="155"/>
      <c r="FW90" s="155"/>
      <c r="FX90" s="155"/>
      <c r="FY90" s="155"/>
      <c r="FZ90" s="155"/>
      <c r="GA90" s="155"/>
      <c r="GB90" s="155"/>
      <c r="GC90" s="155"/>
      <c r="GD90" s="155"/>
      <c r="GE90" s="155"/>
      <c r="GF90" s="155"/>
      <c r="GG90" s="155"/>
      <c r="GH90" s="155"/>
      <c r="GI90" s="155"/>
      <c r="GJ90" s="155"/>
      <c r="GK90" s="155"/>
      <c r="GL90" s="155"/>
      <c r="GM90" s="155"/>
      <c r="GN90" s="155"/>
      <c r="GO90" s="155"/>
      <c r="GP90" s="155"/>
      <c r="GQ90" s="155"/>
      <c r="GR90" s="155"/>
      <c r="GS90" s="155"/>
      <c r="GT90" s="155"/>
      <c r="GU90" s="155"/>
      <c r="GV90" s="155"/>
      <c r="GW90" s="155"/>
      <c r="GX90" s="155"/>
      <c r="GY90" s="155"/>
      <c r="GZ90" s="155"/>
      <c r="HA90" s="155"/>
      <c r="HB90" s="155"/>
      <c r="HC90" s="155"/>
      <c r="HD90" s="155"/>
      <c r="HE90" s="155"/>
      <c r="HF90" s="155"/>
      <c r="HG90" s="155"/>
      <c r="HH90" s="155"/>
      <c r="HI90" s="155"/>
      <c r="HJ90" s="155"/>
      <c r="HK90" s="155"/>
      <c r="HL90" s="155"/>
      <c r="HM90" s="155"/>
      <c r="HN90" s="155"/>
      <c r="HO90" s="155"/>
      <c r="HP90" s="155"/>
      <c r="HQ90" s="155"/>
      <c r="HR90" s="155"/>
      <c r="HS90" s="155"/>
      <c r="HT90" s="155"/>
      <c r="HU90" s="155"/>
      <c r="HV90" s="155"/>
      <c r="HW90" s="155"/>
      <c r="HX90" s="155"/>
      <c r="HY90" s="155"/>
      <c r="HZ90" s="155"/>
      <c r="IA90" s="155"/>
      <c r="IB90" s="155"/>
      <c r="IC90" s="155"/>
      <c r="ID90" s="155"/>
      <c r="IE90" s="155"/>
      <c r="IF90" s="155"/>
      <c r="IG90" s="155"/>
      <c r="IH90" s="155"/>
      <c r="II90" s="155"/>
      <c r="IJ90" s="35"/>
      <c r="IK90" s="225"/>
      <c r="IL90" s="226"/>
      <c r="IM90" s="155"/>
      <c r="IN90" s="155"/>
      <c r="IO90" s="155"/>
      <c r="IP90" s="155"/>
      <c r="IQ90" s="155"/>
      <c r="IR90" s="155"/>
      <c r="IS90" s="155"/>
      <c r="IT90" s="155"/>
      <c r="IU90" s="155"/>
      <c r="IV90" s="155"/>
      <c r="IW90" s="155"/>
      <c r="IX90" s="155"/>
      <c r="IY90" s="155"/>
    </row>
    <row r="91" spans="1:259">
      <c r="A91" s="29"/>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360"/>
      <c r="BB91" s="360"/>
      <c r="BC91" s="360"/>
      <c r="BD91" s="360"/>
      <c r="BE91" s="360"/>
      <c r="BF91" s="360"/>
      <c r="BG91" s="111"/>
      <c r="BH91" s="111"/>
      <c r="BI91" s="111"/>
      <c r="BJ91" s="111"/>
      <c r="BK91" s="111"/>
      <c r="BL91" s="111"/>
      <c r="BM91" s="111"/>
      <c r="BN91" s="111"/>
      <c r="BO91" s="111"/>
      <c r="BP91" s="111"/>
      <c r="BQ91" s="111"/>
      <c r="BR91" s="111"/>
      <c r="BS91" s="111"/>
      <c r="BT91" s="111"/>
      <c r="BU91" s="111"/>
      <c r="BV91" s="111"/>
      <c r="BW91" s="111"/>
      <c r="BX91" s="111"/>
      <c r="BY91" s="111"/>
      <c r="BZ91" s="111"/>
      <c r="CA91" s="111"/>
      <c r="CB91" s="111"/>
      <c r="CC91" s="111"/>
      <c r="CD91" s="111"/>
      <c r="CE91" s="111"/>
      <c r="CF91" s="111"/>
      <c r="CG91" s="111"/>
      <c r="CH91" s="111"/>
      <c r="CI91" s="111"/>
      <c r="CJ91" s="111"/>
      <c r="CK91" s="111"/>
      <c r="CL91" s="111"/>
      <c r="CM91" s="111"/>
      <c r="CN91" s="111"/>
      <c r="CO91" s="111"/>
      <c r="CP91" s="111"/>
      <c r="CQ91" s="111"/>
      <c r="CR91" s="111"/>
      <c r="CS91" s="111"/>
      <c r="CT91" s="111"/>
      <c r="CU91" s="111"/>
      <c r="CV91" s="111"/>
      <c r="CW91" s="111"/>
      <c r="CX91" s="111"/>
      <c r="CY91" s="111"/>
      <c r="CZ91" s="111"/>
      <c r="DA91" s="111"/>
      <c r="DB91" s="111"/>
      <c r="DC91" s="111"/>
      <c r="DD91" s="111"/>
      <c r="DE91" s="111"/>
      <c r="DF91" s="111"/>
      <c r="DG91" s="111"/>
      <c r="DH91" s="111"/>
      <c r="DI91" s="111"/>
      <c r="DJ91" s="111"/>
      <c r="DK91" s="111"/>
      <c r="DL91" s="111"/>
      <c r="DM91" s="111"/>
      <c r="DN91" s="111"/>
      <c r="DO91" s="111"/>
      <c r="DP91" s="111"/>
      <c r="DQ91" s="111"/>
      <c r="DR91" s="111"/>
      <c r="DS91" s="111"/>
      <c r="DT91" s="111"/>
      <c r="DU91" s="111"/>
      <c r="DV91" s="111"/>
      <c r="DW91" s="111"/>
      <c r="DX91" s="111"/>
      <c r="DY91" s="111"/>
      <c r="DZ91" s="111"/>
      <c r="EA91" s="111"/>
      <c r="EB91" s="111"/>
      <c r="EC91" s="111"/>
      <c r="ED91" s="111"/>
      <c r="EE91" s="111"/>
      <c r="EF91" s="111"/>
      <c r="EG91" s="111"/>
      <c r="EH91" s="111"/>
      <c r="EI91" s="111"/>
      <c r="EJ91" s="111"/>
      <c r="EK91" s="111"/>
      <c r="EL91" s="111"/>
      <c r="EM91" s="111"/>
      <c r="EN91" s="111"/>
      <c r="EO91" s="111"/>
      <c r="EP91" s="111"/>
      <c r="EQ91" s="111"/>
      <c r="ER91" s="111"/>
      <c r="ES91" s="111"/>
      <c r="ET91" s="111"/>
      <c r="EU91" s="111"/>
      <c r="EV91" s="111"/>
      <c r="EW91" s="111"/>
      <c r="EX91" s="111"/>
      <c r="EY91" s="111"/>
      <c r="EZ91" s="111"/>
      <c r="FA91" s="111"/>
      <c r="FB91" s="111"/>
      <c r="FC91" s="111"/>
      <c r="FD91" s="111"/>
      <c r="FE91" s="111"/>
      <c r="FF91" s="111"/>
      <c r="FG91" s="111"/>
      <c r="FH91" s="111"/>
      <c r="IJ91" s="35"/>
      <c r="IK91" s="220"/>
      <c r="IL91" s="226"/>
      <c r="IM91" s="35"/>
      <c r="IN91" s="35"/>
      <c r="IO91" s="35"/>
      <c r="IP91" s="35"/>
      <c r="IQ91" s="35"/>
      <c r="IR91" s="35"/>
      <c r="IS91" s="35"/>
      <c r="IT91" s="35"/>
      <c r="IU91" s="35"/>
      <c r="IV91" s="35"/>
      <c r="IW91" s="35"/>
      <c r="IX91" s="35"/>
      <c r="IY91" s="35"/>
    </row>
    <row r="92" spans="1:259">
      <c r="A92" s="34" t="s">
        <v>268</v>
      </c>
      <c r="B92" s="111">
        <v>0</v>
      </c>
      <c r="C92" s="111">
        <v>0</v>
      </c>
      <c r="D92" s="111">
        <v>0</v>
      </c>
      <c r="E92" s="111">
        <v>0</v>
      </c>
      <c r="F92" s="111">
        <v>0</v>
      </c>
      <c r="G92" s="111">
        <v>0</v>
      </c>
      <c r="H92" s="111">
        <v>0</v>
      </c>
      <c r="I92" s="111">
        <v>0</v>
      </c>
      <c r="J92" s="111">
        <v>0</v>
      </c>
      <c r="K92" s="111">
        <v>0</v>
      </c>
      <c r="L92" s="111">
        <v>0</v>
      </c>
      <c r="M92" s="111">
        <v>0</v>
      </c>
      <c r="N92" s="111">
        <v>0</v>
      </c>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11"/>
      <c r="AN92" s="111"/>
      <c r="AO92" s="111"/>
      <c r="AP92" s="111"/>
      <c r="AQ92" s="111"/>
      <c r="AR92" s="111"/>
      <c r="AS92" s="111"/>
      <c r="AT92" s="111"/>
      <c r="AU92" s="111"/>
      <c r="AV92" s="111"/>
      <c r="AW92" s="111"/>
      <c r="AX92" s="111"/>
      <c r="AY92" s="111"/>
      <c r="AZ92" s="111"/>
      <c r="BA92" s="360"/>
      <c r="BB92" s="360"/>
      <c r="BC92" s="360"/>
      <c r="BD92" s="360"/>
      <c r="BE92" s="360"/>
      <c r="BF92" s="360"/>
      <c r="BG92" s="111"/>
      <c r="BH92" s="111"/>
      <c r="BI92" s="111"/>
      <c r="BJ92" s="111"/>
      <c r="BK92" s="111"/>
      <c r="BL92" s="111"/>
      <c r="BM92" s="111"/>
      <c r="BN92" s="111"/>
      <c r="BO92" s="111"/>
      <c r="BP92" s="111"/>
      <c r="BQ92" s="111"/>
      <c r="BR92" s="111"/>
      <c r="BS92" s="111"/>
      <c r="BT92" s="111"/>
      <c r="BU92" s="111"/>
      <c r="BV92" s="111"/>
      <c r="BW92" s="111"/>
      <c r="BX92" s="111"/>
      <c r="BY92" s="111"/>
      <c r="BZ92" s="111"/>
      <c r="CA92" s="111"/>
      <c r="CB92" s="111"/>
      <c r="CC92" s="111"/>
      <c r="CD92" s="111"/>
      <c r="CE92" s="111"/>
      <c r="CF92" s="111"/>
      <c r="CG92" s="111"/>
      <c r="CH92" s="111"/>
      <c r="CI92" s="111"/>
      <c r="CJ92" s="111"/>
      <c r="CK92" s="111"/>
      <c r="CL92" s="111"/>
      <c r="CM92" s="111"/>
      <c r="CN92" s="111"/>
      <c r="CO92" s="111"/>
      <c r="CP92" s="111"/>
      <c r="CQ92" s="111"/>
      <c r="CR92" s="111"/>
      <c r="CS92" s="111"/>
      <c r="CT92" s="111"/>
      <c r="CU92" s="111"/>
      <c r="CV92" s="111"/>
      <c r="CW92" s="111"/>
      <c r="CX92" s="111"/>
      <c r="CY92" s="111"/>
      <c r="CZ92" s="111"/>
      <c r="DA92" s="111"/>
      <c r="DB92" s="111"/>
      <c r="DC92" s="111"/>
      <c r="DD92" s="111"/>
      <c r="DE92" s="111"/>
      <c r="DF92" s="111"/>
      <c r="DG92" s="111"/>
      <c r="DH92" s="111"/>
      <c r="DI92" s="111"/>
      <c r="DJ92" s="111"/>
      <c r="DK92" s="111"/>
      <c r="DL92" s="111"/>
      <c r="DM92" s="111"/>
      <c r="DN92" s="111"/>
      <c r="DO92" s="111"/>
      <c r="DP92" s="111"/>
      <c r="DQ92" s="111"/>
      <c r="DR92" s="111"/>
      <c r="DS92" s="111"/>
      <c r="DT92" s="111"/>
      <c r="DU92" s="111"/>
      <c r="DV92" s="111"/>
      <c r="DW92" s="111"/>
      <c r="DX92" s="111"/>
      <c r="DY92" s="111"/>
      <c r="DZ92" s="111"/>
      <c r="EA92" s="111"/>
      <c r="EB92" s="111"/>
      <c r="EC92" s="111"/>
      <c r="ED92" s="111"/>
      <c r="EE92" s="111"/>
      <c r="EF92" s="111"/>
      <c r="EG92" s="111"/>
      <c r="EH92" s="111"/>
      <c r="EI92" s="111"/>
      <c r="EJ92" s="111"/>
      <c r="EK92" s="111"/>
      <c r="EL92" s="111"/>
      <c r="EM92" s="111"/>
      <c r="EN92" s="111"/>
      <c r="EO92" s="111"/>
      <c r="EP92" s="111"/>
      <c r="EQ92" s="111"/>
      <c r="ER92" s="111"/>
      <c r="ES92" s="111"/>
      <c r="ET92" s="111"/>
      <c r="EU92" s="111"/>
      <c r="EV92" s="111"/>
      <c r="EW92" s="111"/>
      <c r="EX92" s="111"/>
      <c r="EY92" s="111"/>
      <c r="EZ92" s="111"/>
      <c r="FA92" s="111"/>
      <c r="FB92" s="111"/>
      <c r="FC92" s="111"/>
      <c r="FD92" s="111"/>
      <c r="FE92" s="111"/>
      <c r="FF92" s="111"/>
      <c r="FG92" s="111"/>
      <c r="FH92" s="111"/>
      <c r="IJ92" s="35"/>
      <c r="IK92" s="220"/>
      <c r="IL92" s="226"/>
      <c r="IM92" s="35"/>
      <c r="IN92" s="35"/>
      <c r="IO92" s="35"/>
      <c r="IP92" s="35"/>
      <c r="IQ92" s="35"/>
      <c r="IR92" s="35"/>
      <c r="IS92" s="35"/>
      <c r="IT92" s="35"/>
      <c r="IU92" s="35"/>
      <c r="IV92" s="35"/>
      <c r="IW92" s="35"/>
      <c r="IX92" s="35"/>
      <c r="IY92" s="35"/>
    </row>
    <row r="93" spans="1:259">
      <c r="A93" s="27" t="s">
        <v>528</v>
      </c>
      <c r="B93" s="107">
        <v>32026.285250000001</v>
      </c>
      <c r="C93" s="107">
        <v>31865.01325</v>
      </c>
      <c r="D93" s="107">
        <v>31977.951249999998</v>
      </c>
      <c r="E93" s="107">
        <v>32100.046249999999</v>
      </c>
      <c r="F93" s="107">
        <v>32036.914250000002</v>
      </c>
      <c r="G93" s="107">
        <v>32161.296249999999</v>
      </c>
      <c r="H93" s="107">
        <v>32457.485250000002</v>
      </c>
      <c r="I93" s="107">
        <v>32527.129250000002</v>
      </c>
      <c r="J93" s="107">
        <v>32451.490249999999</v>
      </c>
      <c r="K93" s="107">
        <v>32699.749250000001</v>
      </c>
      <c r="L93" s="107">
        <v>32585.58325</v>
      </c>
      <c r="M93" s="107">
        <v>32617.395250000001</v>
      </c>
      <c r="N93" s="107">
        <v>32808.945249999997</v>
      </c>
      <c r="O93" s="107">
        <v>32839</v>
      </c>
      <c r="P93" s="107">
        <v>33324</v>
      </c>
      <c r="Q93" s="107">
        <v>33459</v>
      </c>
      <c r="R93" s="107">
        <v>33205</v>
      </c>
      <c r="S93" s="107">
        <v>33469</v>
      </c>
      <c r="T93" s="107">
        <v>33690</v>
      </c>
      <c r="U93" s="107">
        <v>33642</v>
      </c>
      <c r="V93" s="107">
        <v>33718</v>
      </c>
      <c r="W93" s="107">
        <v>33754</v>
      </c>
      <c r="X93" s="107">
        <v>33628</v>
      </c>
      <c r="Y93" s="107">
        <v>33677</v>
      </c>
      <c r="Z93" s="107">
        <v>33743</v>
      </c>
      <c r="AA93" s="107">
        <v>33674</v>
      </c>
      <c r="AB93" s="107">
        <v>33793</v>
      </c>
      <c r="AC93" s="107">
        <v>33652</v>
      </c>
      <c r="AD93" s="107">
        <v>33816</v>
      </c>
      <c r="AE93" s="107">
        <v>33843</v>
      </c>
      <c r="AF93" s="107">
        <v>33944</v>
      </c>
      <c r="AG93" s="107">
        <v>33859</v>
      </c>
      <c r="AH93" s="107">
        <v>33905</v>
      </c>
      <c r="AI93" s="107">
        <v>34074.819940000001</v>
      </c>
      <c r="AJ93" s="107">
        <v>38910.145979999994</v>
      </c>
      <c r="AK93" s="107">
        <v>38977.850610000001</v>
      </c>
      <c r="AL93" s="107">
        <v>38226.479909999995</v>
      </c>
      <c r="AM93" s="187">
        <v>38422.877059999999</v>
      </c>
      <c r="AN93" s="187">
        <v>38295.896789999999</v>
      </c>
      <c r="AO93" s="187">
        <v>38160.403049999994</v>
      </c>
      <c r="AP93" s="187">
        <v>37999.817969999996</v>
      </c>
      <c r="AQ93" s="187">
        <v>38042.87257</v>
      </c>
      <c r="AR93" s="187">
        <v>38073.693009999995</v>
      </c>
      <c r="AS93" s="219">
        <v>38050.617170000005</v>
      </c>
      <c r="AT93" s="219">
        <v>38128.942630000005</v>
      </c>
      <c r="AU93" s="219">
        <v>38124.828860000001</v>
      </c>
      <c r="AV93" s="219">
        <v>38118.192820000004</v>
      </c>
      <c r="AW93" s="219">
        <v>38013.852049999994</v>
      </c>
      <c r="AX93" s="219">
        <v>38154.330999999998</v>
      </c>
      <c r="AY93" s="219">
        <v>38207.777340000001</v>
      </c>
      <c r="AZ93" s="219">
        <v>38295.60355</v>
      </c>
      <c r="BA93" s="330">
        <v>38252.497020000003</v>
      </c>
      <c r="BB93" s="330">
        <v>38402.663639999999</v>
      </c>
      <c r="BC93" s="330">
        <v>38619.213899999995</v>
      </c>
      <c r="BD93" s="330">
        <v>38751.511399999996</v>
      </c>
      <c r="BE93" s="330">
        <v>38848.172740000002</v>
      </c>
      <c r="BF93" s="330">
        <v>39086.891649999998</v>
      </c>
      <c r="BG93" s="211">
        <v>39301.948060000002</v>
      </c>
      <c r="BH93" s="211">
        <v>39528.82415</v>
      </c>
      <c r="BI93" s="211">
        <v>39623.433270000001</v>
      </c>
      <c r="BJ93" s="211">
        <v>39834.100380000003</v>
      </c>
      <c r="BK93" s="211">
        <v>40259.363749999997</v>
      </c>
      <c r="BL93" s="211">
        <v>40002.890090000001</v>
      </c>
      <c r="BM93" s="211">
        <v>39967.880380000002</v>
      </c>
      <c r="BN93" s="211">
        <v>40117.931629999999</v>
      </c>
      <c r="BO93" s="211">
        <v>40137.18677</v>
      </c>
      <c r="BP93" s="211">
        <v>40205.466489999999</v>
      </c>
      <c r="BQ93" s="211">
        <v>40406.562909999993</v>
      </c>
      <c r="BR93" s="211">
        <v>40629.411249999997</v>
      </c>
      <c r="BS93" s="211">
        <v>40700.71542</v>
      </c>
      <c r="BT93" s="211">
        <v>40727.665799999995</v>
      </c>
      <c r="BU93" s="211">
        <v>40710.578390000002</v>
      </c>
      <c r="BV93" s="211">
        <v>40767.228880000002</v>
      </c>
      <c r="BW93" s="211">
        <v>40905.057280000001</v>
      </c>
      <c r="BX93" s="211">
        <v>41160.520020000004</v>
      </c>
      <c r="BY93" s="211">
        <v>41282.380640000003</v>
      </c>
      <c r="BZ93" s="211">
        <v>39982.275799999996</v>
      </c>
      <c r="CA93" s="211">
        <v>38927.734600000003</v>
      </c>
      <c r="CB93" s="211">
        <v>38021.392659999998</v>
      </c>
      <c r="CC93" s="211">
        <v>37019.487399999998</v>
      </c>
      <c r="CD93" s="211">
        <v>35950.756500000003</v>
      </c>
      <c r="CE93" s="211">
        <v>35134.62313</v>
      </c>
      <c r="CF93" s="211">
        <v>34025.42553</v>
      </c>
      <c r="CG93" s="211">
        <v>32991.141539999997</v>
      </c>
      <c r="CH93" s="211">
        <v>32106.805509999998</v>
      </c>
      <c r="CI93" s="211">
        <v>30795.202239999999</v>
      </c>
      <c r="CJ93" s="211">
        <v>29695.670870000002</v>
      </c>
      <c r="CK93" s="211">
        <v>28077.717679999998</v>
      </c>
      <c r="CL93" s="211">
        <v>27370.166109999998</v>
      </c>
      <c r="CM93" s="211">
        <v>26799.247010000003</v>
      </c>
      <c r="CN93" s="211">
        <v>26553.22307</v>
      </c>
      <c r="CO93" s="211">
        <v>26544.196929999998</v>
      </c>
      <c r="CP93" s="211">
        <v>26380.476620000001</v>
      </c>
      <c r="CQ93" s="211">
        <v>26257.939870000002</v>
      </c>
      <c r="CR93" s="211">
        <v>26069.005499999999</v>
      </c>
      <c r="CS93" s="211">
        <v>26037.874789999998</v>
      </c>
      <c r="CT93" s="211">
        <v>25950.19557</v>
      </c>
      <c r="CU93" s="211">
        <v>25955.165579999997</v>
      </c>
      <c r="CV93" s="211">
        <v>25789.167710000002</v>
      </c>
      <c r="CW93" s="211">
        <v>25688.398550000002</v>
      </c>
      <c r="CX93" s="211">
        <v>25537.703129999998</v>
      </c>
      <c r="CY93" s="211">
        <v>25569.38091</v>
      </c>
      <c r="CZ93" s="211">
        <v>25629.339929999998</v>
      </c>
      <c r="DA93" s="211">
        <v>25705.333899999998</v>
      </c>
      <c r="DB93" s="211">
        <v>25790.760979999999</v>
      </c>
      <c r="DC93" s="726">
        <v>25830.275280000002</v>
      </c>
      <c r="DD93" s="726">
        <v>25852.232690000001</v>
      </c>
      <c r="DE93" s="726">
        <v>25925.983190000003</v>
      </c>
      <c r="DF93" s="726">
        <v>25893.012340000001</v>
      </c>
      <c r="DG93" s="726">
        <v>25992.2575</v>
      </c>
      <c r="DH93" s="726">
        <v>25966.855820000001</v>
      </c>
      <c r="DI93" s="726">
        <v>25903.685430000001</v>
      </c>
      <c r="DJ93" s="726">
        <v>25867.705320000001</v>
      </c>
      <c r="DK93" s="726">
        <v>25898.455109999999</v>
      </c>
      <c r="DL93" s="726">
        <v>25925.131819999999</v>
      </c>
      <c r="DM93" s="726">
        <v>25847.349969999999</v>
      </c>
      <c r="DN93" s="726">
        <v>25870.81739</v>
      </c>
      <c r="DO93" s="726">
        <v>25868.020230000002</v>
      </c>
      <c r="DP93" s="726">
        <v>25768.615089999999</v>
      </c>
      <c r="DQ93" s="726">
        <v>25686.969590000001</v>
      </c>
      <c r="DR93" s="726">
        <v>25634.262850000003</v>
      </c>
      <c r="DS93" s="726">
        <v>25695.380539999998</v>
      </c>
      <c r="DT93" s="726">
        <v>25691.903879999998</v>
      </c>
      <c r="DU93" s="726">
        <v>25704.516</v>
      </c>
      <c r="DV93" s="726">
        <v>25665.571920000002</v>
      </c>
      <c r="DW93" s="726">
        <v>25728.44166</v>
      </c>
      <c r="DX93" s="726">
        <v>25721.300809999997</v>
      </c>
      <c r="DY93" s="726">
        <v>25668.756000000001</v>
      </c>
      <c r="DZ93" s="726">
        <v>25569.201969999998</v>
      </c>
      <c r="EA93" s="726">
        <v>25464.047059999997</v>
      </c>
      <c r="EB93" s="726">
        <v>25456.79927</v>
      </c>
      <c r="EC93" s="726">
        <v>25416.773229999999</v>
      </c>
      <c r="ED93" s="726">
        <v>25432.97277</v>
      </c>
      <c r="EE93" s="726">
        <v>25393.55068</v>
      </c>
      <c r="EF93" s="726">
        <v>25333.30543</v>
      </c>
      <c r="EG93" s="726">
        <v>25075.278079999996</v>
      </c>
      <c r="EH93" s="726">
        <v>25241.811829999999</v>
      </c>
      <c r="EI93" s="726">
        <v>25273.973249999999</v>
      </c>
      <c r="EJ93" s="726">
        <v>25387.42038</v>
      </c>
      <c r="EK93" s="726">
        <v>25318.474699999999</v>
      </c>
      <c r="EL93" s="726">
        <v>25407.263769999998</v>
      </c>
      <c r="EM93" s="726">
        <v>25529.439879999998</v>
      </c>
      <c r="EN93" s="726">
        <v>25706.203600000001</v>
      </c>
      <c r="EO93" s="726">
        <v>25782.52836</v>
      </c>
      <c r="EP93" s="726">
        <v>25962.796670000003</v>
      </c>
      <c r="EQ93" s="726">
        <f>-(VLOOKUP("235",'Input BS ACCTS'!$A$5:$DD$1058,98,FALSE))/1000-EQ78</f>
        <v>26074.226340000001</v>
      </c>
      <c r="ER93" s="726">
        <f>-(VLOOKUP("235",'Input BS ACCTS'!$A$5:$DD$1058,99,FALSE))/1000-ER78</f>
        <v>26300.461460000002</v>
      </c>
      <c r="ES93" s="726">
        <f>-(VLOOKUP("235",'Input BS ACCTS'!$A$5:$DD$1058,100,FALSE))/1000-ES78</f>
        <v>26450.409190000002</v>
      </c>
      <c r="ET93" s="726">
        <v>26724.60528</v>
      </c>
      <c r="EU93" s="726">
        <v>26837.940440000002</v>
      </c>
      <c r="EV93" s="726">
        <v>27025.575949999999</v>
      </c>
      <c r="EW93" s="726">
        <v>27142.982909999999</v>
      </c>
      <c r="EX93" s="726">
        <v>27369.426920000002</v>
      </c>
      <c r="EY93" s="726">
        <v>27734.4241</v>
      </c>
      <c r="EZ93" s="726">
        <v>27952.511770000001</v>
      </c>
      <c r="FA93" s="726">
        <v>28170.52145</v>
      </c>
      <c r="FB93" s="726">
        <v>28457.241420000002</v>
      </c>
      <c r="FC93" s="726">
        <f>-(VLOOKUP("235",'Input BS ACCTS'!$A$5:$DH$1058,110,FALSE))/1000-FC78</f>
        <v>28627.534520000001</v>
      </c>
      <c r="FD93" s="726">
        <f>-(VLOOKUP("235",'Input BS ACCTS'!$A$5:$DH$1058,111,FALSE))/1000-FD78</f>
        <v>28840.164270000001</v>
      </c>
      <c r="FE93" s="726">
        <f>-(VLOOKUP("235",'Input BS ACCTS'!$A$5:$DH$1058,112,FALSE))/1000-FE78</f>
        <v>29144.41906</v>
      </c>
      <c r="FF93" s="403">
        <f t="shared" ref="FF93:FF98" si="148">SUM(ES93:FE93)/13</f>
        <v>27729.058252307688</v>
      </c>
      <c r="FG93" s="700"/>
      <c r="FH93" s="700"/>
      <c r="IJ93" s="35"/>
      <c r="IK93" s="221"/>
      <c r="IL93" s="226"/>
      <c r="IM93" s="35"/>
      <c r="IN93" s="35"/>
      <c r="IO93" s="35"/>
      <c r="IP93" s="35"/>
      <c r="IQ93" s="35"/>
      <c r="IR93" s="35"/>
      <c r="IS93" s="35"/>
      <c r="IT93" s="35"/>
      <c r="IU93" s="35"/>
      <c r="IV93" s="35"/>
      <c r="IW93" s="35"/>
      <c r="IX93" s="35"/>
      <c r="IY93" s="35"/>
    </row>
    <row r="94" spans="1:259">
      <c r="A94" s="166" t="s">
        <v>287</v>
      </c>
      <c r="B94" s="167">
        <v>8937.8987800000014</v>
      </c>
      <c r="C94" s="167">
        <v>8946.946780000002</v>
      </c>
      <c r="D94" s="167">
        <v>8952.834780000001</v>
      </c>
      <c r="E94" s="167">
        <v>8981.9207800000004</v>
      </c>
      <c r="F94" s="167">
        <v>8983.6677800000016</v>
      </c>
      <c r="G94" s="167">
        <v>8992.3817800000015</v>
      </c>
      <c r="H94" s="167">
        <v>9045.9097800000018</v>
      </c>
      <c r="I94" s="167">
        <v>9074.2577800000017</v>
      </c>
      <c r="J94" s="167">
        <v>9080.8477800000019</v>
      </c>
      <c r="K94" s="167">
        <v>9119.2197800000013</v>
      </c>
      <c r="L94" s="167">
        <v>9238.3897800000013</v>
      </c>
      <c r="M94" s="167">
        <v>9288.9267800000016</v>
      </c>
      <c r="N94" s="167">
        <v>9298.4877800000013</v>
      </c>
      <c r="O94" s="167">
        <v>9404</v>
      </c>
      <c r="P94" s="167">
        <v>9414</v>
      </c>
      <c r="Q94" s="167">
        <v>9445</v>
      </c>
      <c r="R94" s="167">
        <v>9485</v>
      </c>
      <c r="S94" s="167">
        <v>9543</v>
      </c>
      <c r="T94" s="167">
        <v>9537</v>
      </c>
      <c r="U94" s="167">
        <v>9551.8459999999995</v>
      </c>
      <c r="V94" s="167">
        <v>9607.6990000000005</v>
      </c>
      <c r="W94" s="167">
        <v>9624.8649999999998</v>
      </c>
      <c r="X94" s="167">
        <v>9645.884</v>
      </c>
      <c r="Y94" s="167">
        <v>9708.1920100000007</v>
      </c>
      <c r="Z94" s="167">
        <v>9754.4992600000005</v>
      </c>
      <c r="AA94" s="167">
        <v>9766.9580000000005</v>
      </c>
      <c r="AB94" s="167">
        <v>9793.4369999999999</v>
      </c>
      <c r="AC94" s="167">
        <v>9846.6239999999998</v>
      </c>
      <c r="AD94" s="167">
        <v>9854</v>
      </c>
      <c r="AE94" s="167">
        <v>9867.5730000000003</v>
      </c>
      <c r="AF94" s="167">
        <v>9916</v>
      </c>
      <c r="AG94" s="167">
        <v>9995.0282599999991</v>
      </c>
      <c r="AH94" s="167">
        <v>10036.234259999999</v>
      </c>
      <c r="AI94" s="167">
        <v>10061.18678</v>
      </c>
      <c r="AJ94" s="167">
        <v>10077.43778</v>
      </c>
      <c r="AK94" s="167">
        <v>10081.368779999999</v>
      </c>
      <c r="AL94" s="167">
        <v>10152.134779999998</v>
      </c>
      <c r="AM94" s="188">
        <v>10166.790580000001</v>
      </c>
      <c r="AN94" s="188">
        <v>10181.30458</v>
      </c>
      <c r="AO94" s="187">
        <v>6821.0453099999995</v>
      </c>
      <c r="AP94" s="187">
        <v>6861.8860300000006</v>
      </c>
      <c r="AQ94" s="187">
        <v>6902.8350300000002</v>
      </c>
      <c r="AR94" s="187">
        <v>6979.1346800000001</v>
      </c>
      <c r="AS94" s="219">
        <v>7029.2576799999997</v>
      </c>
      <c r="AT94" s="219">
        <v>7049.2886799999997</v>
      </c>
      <c r="AU94" s="219">
        <v>7071.6831199999997</v>
      </c>
      <c r="AV94" s="219">
        <v>7138.7731199999998</v>
      </c>
      <c r="AW94" s="219">
        <v>7371.7761200000004</v>
      </c>
      <c r="AX94" s="219">
        <v>7423.0311200000006</v>
      </c>
      <c r="AY94" s="178">
        <v>7471.6872999999996</v>
      </c>
      <c r="AZ94" s="178">
        <v>7530.0942999999997</v>
      </c>
      <c r="BA94" s="330">
        <v>7564.1442999999999</v>
      </c>
      <c r="BB94" s="330">
        <v>7714.3482999999997</v>
      </c>
      <c r="BC94" s="330">
        <v>7764.9793</v>
      </c>
      <c r="BD94" s="330">
        <v>7827.8942999999999</v>
      </c>
      <c r="BE94" s="330">
        <v>7873.6223</v>
      </c>
      <c r="BF94" s="330">
        <v>7945.5923000000003</v>
      </c>
      <c r="BG94" s="211">
        <v>8035.6365800000003</v>
      </c>
      <c r="BH94" s="211">
        <v>8825.5865799999992</v>
      </c>
      <c r="BI94" s="211">
        <v>8912.5665800000006</v>
      </c>
      <c r="BJ94" s="211">
        <v>8955.97408</v>
      </c>
      <c r="BK94" s="211">
        <v>9024.982</v>
      </c>
      <c r="BL94" s="211">
        <v>9822.9779999999992</v>
      </c>
      <c r="BM94" s="211">
        <v>9842.3649999999998</v>
      </c>
      <c r="BN94" s="211">
        <v>9944.9602400000003</v>
      </c>
      <c r="BO94" s="211">
        <v>10017.49624</v>
      </c>
      <c r="BP94" s="211">
        <v>10092.194589999999</v>
      </c>
      <c r="BQ94" s="211">
        <v>10903.34959</v>
      </c>
      <c r="BR94" s="211">
        <v>11184.51359</v>
      </c>
      <c r="BS94" s="211">
        <v>11269.305109999999</v>
      </c>
      <c r="BT94" s="211">
        <v>11293.09311</v>
      </c>
      <c r="BU94" s="211">
        <v>11468.225109999999</v>
      </c>
      <c r="BV94" s="211">
        <v>11498.118130000001</v>
      </c>
      <c r="BW94" s="211">
        <v>11549.763130000001</v>
      </c>
      <c r="BX94" s="211">
        <v>11593.557449999998</v>
      </c>
      <c r="BY94" s="211">
        <v>11625.38545</v>
      </c>
      <c r="BZ94" s="211">
        <v>11656.524449999999</v>
      </c>
      <c r="CA94" s="211">
        <v>11952.660460000001</v>
      </c>
      <c r="CB94" s="211">
        <v>11992.23846</v>
      </c>
      <c r="CC94" s="211">
        <v>12090.722460000001</v>
      </c>
      <c r="CD94" s="211">
        <v>12161.249460000001</v>
      </c>
      <c r="CE94" s="211">
        <v>12372.744460000002</v>
      </c>
      <c r="CF94" s="211">
        <v>12480.52346</v>
      </c>
      <c r="CG94" s="211">
        <v>12590.723460000001</v>
      </c>
      <c r="CH94" s="211">
        <v>12662.93304</v>
      </c>
      <c r="CI94" s="211">
        <v>12745.836039999998</v>
      </c>
      <c r="CJ94" s="211">
        <v>12438.23164</v>
      </c>
      <c r="CK94" s="211">
        <v>12639.67764</v>
      </c>
      <c r="CL94" s="211">
        <v>12165.105750000001</v>
      </c>
      <c r="CM94" s="211">
        <v>12044.118570000001</v>
      </c>
      <c r="CN94" s="211">
        <v>12174.977210000001</v>
      </c>
      <c r="CO94" s="211">
        <v>12309.216210000001</v>
      </c>
      <c r="CP94" s="211">
        <v>12446.195210000002</v>
      </c>
      <c r="CQ94" s="211">
        <v>11296.197340000001</v>
      </c>
      <c r="CR94" s="211">
        <v>9914.451869999999</v>
      </c>
      <c r="CS94" s="211">
        <v>9831.0645199999999</v>
      </c>
      <c r="CT94" s="211">
        <v>9936.8975200000004</v>
      </c>
      <c r="CU94" s="211">
        <v>10007.435519999999</v>
      </c>
      <c r="CV94" s="211">
        <v>10047.282519999999</v>
      </c>
      <c r="CW94" s="211">
        <v>9607.0660800000005</v>
      </c>
      <c r="CX94" s="211">
        <v>9573.8482899999999</v>
      </c>
      <c r="CY94" s="211">
        <v>9728.9652899999983</v>
      </c>
      <c r="CZ94" s="211">
        <v>9807.0702899999997</v>
      </c>
      <c r="DA94" s="211">
        <v>9950.7211800000005</v>
      </c>
      <c r="DB94" s="211">
        <v>10073.24718</v>
      </c>
      <c r="DC94" s="211">
        <v>10218.86918</v>
      </c>
      <c r="DD94" s="211">
        <v>9921.75216</v>
      </c>
      <c r="DE94" s="211">
        <v>10073.764160000001</v>
      </c>
      <c r="DF94" s="211">
        <v>10228.44751</v>
      </c>
      <c r="DG94" s="211">
        <v>10362.89827</v>
      </c>
      <c r="DH94" s="211">
        <v>10539.340269999999</v>
      </c>
      <c r="DI94" s="211">
        <v>10634.95527</v>
      </c>
      <c r="DJ94" s="211">
        <v>10826.69427</v>
      </c>
      <c r="DK94" s="211">
        <v>11003.76627</v>
      </c>
      <c r="DL94" s="211">
        <v>11120.20327</v>
      </c>
      <c r="DM94" s="211">
        <v>11325.46227</v>
      </c>
      <c r="DN94" s="211">
        <v>11511.79227</v>
      </c>
      <c r="DO94" s="211">
        <v>11785.48027</v>
      </c>
      <c r="DP94" s="211">
        <v>11862.644269999999</v>
      </c>
      <c r="DQ94" s="211">
        <v>12925.400089999999</v>
      </c>
      <c r="DR94" s="211">
        <v>12405.990039999999</v>
      </c>
      <c r="DS94" s="211">
        <v>12710.800039999998</v>
      </c>
      <c r="DT94" s="211">
        <v>12794.821320000001</v>
      </c>
      <c r="DU94" s="211">
        <v>12952.70132</v>
      </c>
      <c r="DV94" s="211">
        <v>13089.07898</v>
      </c>
      <c r="DW94" s="211">
        <v>13337.56698</v>
      </c>
      <c r="DX94" s="211">
        <v>13479.083980000001</v>
      </c>
      <c r="DY94" s="211">
        <v>13776.57998</v>
      </c>
      <c r="DZ94" s="211">
        <v>13915.894980000001</v>
      </c>
      <c r="EA94" s="211">
        <v>14332.008980000001</v>
      </c>
      <c r="EB94" s="211">
        <v>14545.07098</v>
      </c>
      <c r="EC94" s="211">
        <v>14664.98198</v>
      </c>
      <c r="ED94" s="211">
        <v>14788.22798</v>
      </c>
      <c r="EE94" s="211">
        <v>14958.396980000001</v>
      </c>
      <c r="EF94" s="211">
        <v>15370.48098</v>
      </c>
      <c r="EG94" s="211">
        <v>15681.26548</v>
      </c>
      <c r="EH94" s="211">
        <v>15814.28148</v>
      </c>
      <c r="EI94" s="211">
        <v>15923.750480000001</v>
      </c>
      <c r="EJ94" s="211">
        <v>16390.07948</v>
      </c>
      <c r="EK94" s="211">
        <v>16722.185960000003</v>
      </c>
      <c r="EL94" s="211">
        <v>16873.568960000001</v>
      </c>
      <c r="EM94" s="211">
        <v>17005.221239999999</v>
      </c>
      <c r="EN94" s="211">
        <v>17164.304239999998</v>
      </c>
      <c r="EO94" s="211">
        <v>17243.754239999998</v>
      </c>
      <c r="EP94" s="211">
        <v>17573.63164</v>
      </c>
      <c r="EQ94" s="211">
        <v>17895.821640000002</v>
      </c>
      <c r="ER94" s="211">
        <v>18117.211640000001</v>
      </c>
      <c r="ES94" s="211">
        <v>18210.107640000002</v>
      </c>
      <c r="ET94" s="211">
        <v>18325.299010000002</v>
      </c>
      <c r="EU94" s="211">
        <v>18691.975640000001</v>
      </c>
      <c r="EV94" s="211">
        <v>18995.225640000001</v>
      </c>
      <c r="EW94" s="211">
        <v>19514.099910000001</v>
      </c>
      <c r="EX94" s="211">
        <v>19823.385920000001</v>
      </c>
      <c r="EY94" s="211">
        <v>20211.822920000002</v>
      </c>
      <c r="EZ94" s="211">
        <v>20537.692920000001</v>
      </c>
      <c r="FA94" s="211">
        <v>21002.287420000001</v>
      </c>
      <c r="FB94" s="211">
        <v>21468.778420000002</v>
      </c>
      <c r="FC94" s="211">
        <f>-(VLOOKUP("252",'Input BS ACCTS'!$A$5:$DH$1058,110,FALSE))/1000</f>
        <v>21711.739420000002</v>
      </c>
      <c r="FD94" s="211">
        <f>-(VLOOKUP("252",'Input BS ACCTS'!$A$5:$DH$1058,111,FALSE))/1000</f>
        <v>21948.610420000001</v>
      </c>
      <c r="FE94" s="211">
        <f>-(VLOOKUP("252",'Input BS ACCTS'!$A$5:$DH$1058,112,FALSE))/1000</f>
        <v>22520.306420000001</v>
      </c>
      <c r="FF94" s="403">
        <f t="shared" si="148"/>
        <v>20227.79474615385</v>
      </c>
      <c r="FG94" s="700"/>
      <c r="FH94" s="700"/>
      <c r="IJ94" s="35"/>
      <c r="IK94" s="221"/>
      <c r="IL94" s="226"/>
      <c r="IM94" s="35"/>
      <c r="IN94" s="35"/>
      <c r="IO94" s="35"/>
      <c r="IP94" s="35"/>
      <c r="IQ94" s="35"/>
      <c r="IR94" s="35"/>
      <c r="IS94" s="35"/>
      <c r="IT94" s="35"/>
      <c r="IU94" s="35"/>
      <c r="IV94" s="35"/>
      <c r="IW94" s="35"/>
      <c r="IX94" s="35"/>
      <c r="IY94" s="35"/>
    </row>
    <row r="95" spans="1:259">
      <c r="A95" s="166" t="s">
        <v>289</v>
      </c>
      <c r="B95" s="167">
        <v>18561.980749999999</v>
      </c>
      <c r="C95" s="167">
        <v>27329.653750000001</v>
      </c>
      <c r="D95" s="167">
        <v>26424.365750000001</v>
      </c>
      <c r="E95" s="167">
        <v>35207.895750000003</v>
      </c>
      <c r="F95" s="167">
        <v>26276.187750000001</v>
      </c>
      <c r="G95" s="167">
        <v>25265.483749999999</v>
      </c>
      <c r="H95" s="167">
        <v>23097.48775</v>
      </c>
      <c r="I95" s="167">
        <v>23113.956750000001</v>
      </c>
      <c r="J95" s="167">
        <v>23104.907749999998</v>
      </c>
      <c r="K95" s="167">
        <v>27121.376749999999</v>
      </c>
      <c r="L95" s="167">
        <v>27137.84575</v>
      </c>
      <c r="M95" s="167">
        <v>27154.314750000001</v>
      </c>
      <c r="N95" s="167">
        <v>32170.783749999999</v>
      </c>
      <c r="O95" s="167">
        <v>32170</v>
      </c>
      <c r="P95" s="167">
        <v>31764</v>
      </c>
      <c r="Q95" s="167">
        <v>33256</v>
      </c>
      <c r="R95" s="167">
        <v>33273</v>
      </c>
      <c r="S95" s="167">
        <v>33289</v>
      </c>
      <c r="T95" s="167">
        <v>33306</v>
      </c>
      <c r="U95" s="167">
        <v>30196.440999999999</v>
      </c>
      <c r="V95" s="167">
        <v>30165.866000000002</v>
      </c>
      <c r="W95" s="167">
        <v>24032.333999999999</v>
      </c>
      <c r="X95" s="167">
        <v>24048.803</v>
      </c>
      <c r="Y95" s="167">
        <v>23994.582710000002</v>
      </c>
      <c r="Z95" s="167">
        <v>24011.051219999998</v>
      </c>
      <c r="AA95" s="167">
        <v>24027.52</v>
      </c>
      <c r="AB95" s="167">
        <v>24043.988000000001</v>
      </c>
      <c r="AC95" s="167">
        <v>31129.775000000001</v>
      </c>
      <c r="AD95" s="167">
        <v>34305</v>
      </c>
      <c r="AE95" s="167">
        <v>34281</v>
      </c>
      <c r="AF95" s="167">
        <v>32570</v>
      </c>
      <c r="AG95" s="167">
        <v>32581.538680000001</v>
      </c>
      <c r="AH95" s="167">
        <v>32598.007189999997</v>
      </c>
      <c r="AI95" s="167">
        <v>32834.440730000002</v>
      </c>
      <c r="AJ95" s="167">
        <v>32115.739109999999</v>
      </c>
      <c r="AK95" s="167">
        <v>31976.82287</v>
      </c>
      <c r="AL95" s="167">
        <v>3557.4005399999996</v>
      </c>
      <c r="AM95" s="188">
        <v>2712.7683099999999</v>
      </c>
      <c r="AN95" s="188">
        <v>2754.43498</v>
      </c>
      <c r="AO95" s="187">
        <v>2948.4328700000005</v>
      </c>
      <c r="AP95" s="187">
        <v>2988.0345399999997</v>
      </c>
      <c r="AQ95" s="187">
        <v>3059.5924599999998</v>
      </c>
      <c r="AR95" s="187">
        <v>2961.5395800000001</v>
      </c>
      <c r="AS95" s="219">
        <v>3037.1883200000002</v>
      </c>
      <c r="AT95" s="219">
        <v>3144.0742799999998</v>
      </c>
      <c r="AU95" s="219">
        <v>3237.66219</v>
      </c>
      <c r="AV95" s="219">
        <v>3304.7749100000001</v>
      </c>
      <c r="AW95" s="219">
        <v>3334.8692600000004</v>
      </c>
      <c r="AX95" s="219">
        <v>3358.7960600000001</v>
      </c>
      <c r="AY95" s="190">
        <v>3445.39203</v>
      </c>
      <c r="AZ95" s="190">
        <v>3618.5565600000004</v>
      </c>
      <c r="BA95" s="330">
        <v>3214.1805400000003</v>
      </c>
      <c r="BB95" s="330">
        <v>3209.4516899999999</v>
      </c>
      <c r="BC95" s="330">
        <v>3322.0738200000001</v>
      </c>
      <c r="BD95" s="330">
        <v>3296.7580800000001</v>
      </c>
      <c r="BE95" s="330">
        <v>3248.3142100000005</v>
      </c>
      <c r="BF95" s="330">
        <v>4162.0674799999997</v>
      </c>
      <c r="BG95" s="211">
        <v>4044.5939100000005</v>
      </c>
      <c r="BH95" s="211">
        <v>4236.3765299999995</v>
      </c>
      <c r="BI95" s="211">
        <v>4095.1042500000003</v>
      </c>
      <c r="BJ95" s="211">
        <v>4014.95894</v>
      </c>
      <c r="BK95" s="211">
        <v>4108.7925099999993</v>
      </c>
      <c r="BL95" s="211">
        <v>4067.6334100000004</v>
      </c>
      <c r="BM95" s="211">
        <v>4358.5321599999997</v>
      </c>
      <c r="BN95" s="211">
        <v>4220.4072500000002</v>
      </c>
      <c r="BO95" s="211">
        <v>3916.5560100000002</v>
      </c>
      <c r="BP95" s="211">
        <v>3664.1916400000005</v>
      </c>
      <c r="BQ95" s="211">
        <v>1718.0862200000001</v>
      </c>
      <c r="BR95" s="211">
        <v>1587.53394</v>
      </c>
      <c r="BS95" s="211">
        <v>1494.5050000000001</v>
      </c>
      <c r="BT95" s="211">
        <v>1299.1302500000002</v>
      </c>
      <c r="BU95" s="211">
        <v>1177.9429599999999</v>
      </c>
      <c r="BV95" s="211">
        <v>1122.27565</v>
      </c>
      <c r="BW95" s="211">
        <v>1065.7770499999999</v>
      </c>
      <c r="BX95" s="211">
        <v>1481.06367</v>
      </c>
      <c r="BY95" s="211">
        <v>1736.4358200000001</v>
      </c>
      <c r="BZ95" s="211">
        <v>1967.46875</v>
      </c>
      <c r="CA95" s="211">
        <v>2142.9512400000003</v>
      </c>
      <c r="CB95" s="211">
        <v>1909.70272</v>
      </c>
      <c r="CC95" s="211">
        <v>1726.32105</v>
      </c>
      <c r="CD95" s="211">
        <v>1460.3338200000003</v>
      </c>
      <c r="CE95" s="211">
        <v>1091.53782</v>
      </c>
      <c r="CF95" s="211">
        <v>1334.5079799999999</v>
      </c>
      <c r="CG95" s="211">
        <v>1402.3156300000001</v>
      </c>
      <c r="CH95" s="211">
        <v>1547.9349299999999</v>
      </c>
      <c r="CI95" s="211">
        <v>1654.3358399999997</v>
      </c>
      <c r="CJ95" s="211">
        <v>1875.90227</v>
      </c>
      <c r="CK95" s="211">
        <v>2012.05728</v>
      </c>
      <c r="CL95" s="211">
        <v>1760.89995</v>
      </c>
      <c r="CM95" s="211">
        <v>1898.9090199999998</v>
      </c>
      <c r="CN95" s="211">
        <v>1825.59401</v>
      </c>
      <c r="CO95" s="211">
        <v>1794.3017499999999</v>
      </c>
      <c r="CP95" s="211">
        <v>1845.4336699999999</v>
      </c>
      <c r="CQ95" s="211">
        <v>2018.3746100000001</v>
      </c>
      <c r="CR95" s="211">
        <v>2076.7182900000003</v>
      </c>
      <c r="CS95" s="211">
        <v>1876.4167499999999</v>
      </c>
      <c r="CT95" s="211">
        <v>2111.3068400000002</v>
      </c>
      <c r="CU95" s="211">
        <v>2357.0290999999997</v>
      </c>
      <c r="CV95" s="211">
        <v>2432.58212</v>
      </c>
      <c r="CW95" s="211">
        <v>2441.2042700000002</v>
      </c>
      <c r="CX95" s="211">
        <v>2342.9549400000001</v>
      </c>
      <c r="CY95" s="211">
        <v>2545.2114900000001</v>
      </c>
      <c r="CZ95" s="211">
        <v>2880.5538200000001</v>
      </c>
      <c r="DA95" s="211">
        <v>2962.1527800000003</v>
      </c>
      <c r="DB95" s="211">
        <v>3141.1918599999999</v>
      </c>
      <c r="DC95" s="211">
        <v>3322.6831099999999</v>
      </c>
      <c r="DD95" s="211">
        <v>3482.2316900000001</v>
      </c>
      <c r="DE95" s="211">
        <v>3738.1993900000002</v>
      </c>
      <c r="DF95" s="211">
        <v>3968.3134700000001</v>
      </c>
      <c r="DG95" s="211">
        <v>4220.12914</v>
      </c>
      <c r="DH95" s="211">
        <v>4581.2205799999992</v>
      </c>
      <c r="DI95" s="211">
        <v>3841.2331999999997</v>
      </c>
      <c r="DJ95" s="211">
        <v>3833.1259700000001</v>
      </c>
      <c r="DK95" s="211">
        <v>3729.6466100000002</v>
      </c>
      <c r="DL95" s="211">
        <v>3351.1451200000001</v>
      </c>
      <c r="DM95" s="211">
        <v>3464.05852</v>
      </c>
      <c r="DN95" s="211">
        <v>3055.1441399999999</v>
      </c>
      <c r="DO95" s="211">
        <v>3820.5402199999999</v>
      </c>
      <c r="DP95" s="211">
        <v>4609.1460100000004</v>
      </c>
      <c r="DQ95" s="211">
        <v>5023.2906700000003</v>
      </c>
      <c r="DR95" s="211">
        <v>5211.5989099999997</v>
      </c>
      <c r="DS95" s="211">
        <v>5463.9063000000006</v>
      </c>
      <c r="DT95" s="211">
        <v>5442.1300699999993</v>
      </c>
      <c r="DU95" s="211">
        <v>6124.9929400000001</v>
      </c>
      <c r="DV95" s="211">
        <v>6501.64077</v>
      </c>
      <c r="DW95" s="211">
        <v>6232.6880000000001</v>
      </c>
      <c r="DX95" s="211">
        <v>5858.2771300000004</v>
      </c>
      <c r="DY95" s="211">
        <v>6950.5145599999996</v>
      </c>
      <c r="DZ95" s="211">
        <v>7816.0817300000008</v>
      </c>
      <c r="EA95" s="211">
        <v>8699.0706499999997</v>
      </c>
      <c r="EB95" s="211">
        <v>8752.3394099999987</v>
      </c>
      <c r="EC95" s="211">
        <v>8485.8856100000012</v>
      </c>
      <c r="ED95" s="211">
        <v>8613.1363500000007</v>
      </c>
      <c r="EE95" s="211">
        <v>8475.9923500000004</v>
      </c>
      <c r="EF95" s="211">
        <v>8408.2087200000005</v>
      </c>
      <c r="EG95" s="211">
        <v>8634.7723600000008</v>
      </c>
      <c r="EH95" s="211">
        <v>8653.8845200000014</v>
      </c>
      <c r="EI95" s="211">
        <v>6915.6133899999995</v>
      </c>
      <c r="EJ95" s="211">
        <v>2771.3622099999998</v>
      </c>
      <c r="EK95" s="211">
        <v>2725.0357399999998</v>
      </c>
      <c r="EL95" s="211">
        <v>2590.9693200000002</v>
      </c>
      <c r="EM95" s="211">
        <v>2233.0205799999999</v>
      </c>
      <c r="EN95" s="211">
        <v>2429.1965699999996</v>
      </c>
      <c r="EO95" s="211">
        <v>2408.3903799999998</v>
      </c>
      <c r="EP95" s="211">
        <v>3732.0723800000001</v>
      </c>
      <c r="EQ95" s="211">
        <v>3789.2440999999999</v>
      </c>
      <c r="ER95" s="211">
        <v>3590.9646400000001</v>
      </c>
      <c r="ES95" s="211">
        <v>4140.0796700000001</v>
      </c>
      <c r="ET95" s="211">
        <v>6125.1432400000003</v>
      </c>
      <c r="EU95" s="211">
        <v>6126.2050999999992</v>
      </c>
      <c r="EV95" s="211">
        <v>5238.0894900000003</v>
      </c>
      <c r="EW95" s="211">
        <v>3417.9917400000004</v>
      </c>
      <c r="EX95" s="211">
        <v>3219.5314199999998</v>
      </c>
      <c r="EY95" s="211">
        <v>3472.5968199999998</v>
      </c>
      <c r="EZ95" s="211">
        <v>3397.7953600000001</v>
      </c>
      <c r="FA95" s="211">
        <v>3326.3154800000002</v>
      </c>
      <c r="FB95" s="211">
        <v>3774.7715499999999</v>
      </c>
      <c r="FC95" s="211">
        <f>-((VLOOKUP("253",'Input BS ACCTS'!$A$5:$DH$1058,110,FALSE))/1000+VLOOKUP("2540281",'Input BS ACCTS'!$A$5:$DH$1058,110,FALSE)/1000+VLOOKUP("2540330",'Input BS ACCTS'!$A$5:$DH$1058,110,FALSE)/1000+VLOOKUP("2540340",'Input BS ACCTS'!$A$5:$DH$1058,110,FALSE)/1000)+258812.51/1000</f>
        <v>3928.7143600000004</v>
      </c>
      <c r="FD95" s="211">
        <f>-((VLOOKUP("253",'Input BS ACCTS'!$A$5:$DH$1058,111,FALSE))/1000+VLOOKUP("2540281",'Input BS ACCTS'!$A$5:$DH$1058,111,FALSE)/1000+VLOOKUP("2540330",'Input BS ACCTS'!$A$5:$DH$1058,111,FALSE)/1000+VLOOKUP("2540340",'Input BS ACCTS'!$A$5:$DH$1058,111,FALSE)/1000)</f>
        <v>3135.6864599999999</v>
      </c>
      <c r="FE95" s="211">
        <f>-((VLOOKUP("253",'Input BS ACCTS'!$A$5:$DH$1058,112,FALSE))/1000+VLOOKUP("2540281",'Input BS ACCTS'!$A$5:$DH$1058,112,FALSE)/1000+VLOOKUP("2540330",'Input BS ACCTS'!$A$5:$DH$1058,112,FALSE)/1000+VLOOKUP("2540340",'Input BS ACCTS'!$A$5:$DH$1058,112,FALSE)/1000)</f>
        <v>3322.9214500000003</v>
      </c>
      <c r="FF95" s="403">
        <f t="shared" si="148"/>
        <v>4048.1417030769226</v>
      </c>
      <c r="FG95" s="700"/>
      <c r="FH95" s="700"/>
      <c r="FI95" s="441">
        <v>-199.68299999999999</v>
      </c>
      <c r="FJ95" s="441">
        <v>-266.80500000000001</v>
      </c>
      <c r="FK95" s="441">
        <v>-334.21100000000001</v>
      </c>
      <c r="FL95" s="441">
        <v>-401.904</v>
      </c>
      <c r="FM95" s="441">
        <v>-469.88600000000002</v>
      </c>
      <c r="FN95" s="441">
        <v>-584.61599999999999</v>
      </c>
      <c r="FO95" s="441">
        <v>-676.55799999999999</v>
      </c>
      <c r="FP95" s="441">
        <f>+'Input BS ACCTS'!AO304/1000</f>
        <v>-768.48299999999995</v>
      </c>
      <c r="FQ95" s="441">
        <f>+'Input BS ACCTS'!AP304/1000</f>
        <v>-860.80399999999997</v>
      </c>
      <c r="FR95" s="441">
        <f>+'Input BS ACCTS'!AQ304/1000</f>
        <v>-953.52300000000002</v>
      </c>
      <c r="FS95" s="441">
        <f>+'Input BS ACCTS'!AR304/1000</f>
        <v>-989.83500000000004</v>
      </c>
      <c r="FT95" s="441">
        <f>+'Input BS ACCTS'!AS304/1000</f>
        <v>-1026.0830000000001</v>
      </c>
      <c r="FU95" s="441">
        <f>+'Input BS ACCTS'!AT304/1000</f>
        <v>-1062.2660000000001</v>
      </c>
      <c r="FV95" s="441">
        <f>+'Input BS ACCTS'!AU304/1000</f>
        <v>-1098.383</v>
      </c>
      <c r="FW95" s="441">
        <f>+'Input BS ACCTS'!AV304/1000</f>
        <v>-1134.433</v>
      </c>
      <c r="FX95" s="441">
        <f>+'Input BS ACCTS'!AW304/1000</f>
        <v>-1170.4159999999999</v>
      </c>
      <c r="FY95" s="441">
        <f>+'Input BS ACCTS'!AX304/1000</f>
        <v>-1186.4649999999999</v>
      </c>
      <c r="FZ95" s="441">
        <f>+'Input BS ACCTS'!AY304/1000</f>
        <v>-1202.2809999999999</v>
      </c>
      <c r="GA95" s="441">
        <f>+'Input BS ACCTS'!AZ304/1000</f>
        <v>-1217.864</v>
      </c>
      <c r="GB95" s="441">
        <f>+'Input BS ACCTS'!BA304/1000</f>
        <v>-1232.548</v>
      </c>
      <c r="GC95" s="441">
        <f>+'Input BS ACCTS'!BB304/1000</f>
        <v>-1246.9880000000001</v>
      </c>
      <c r="GD95" s="441">
        <f>+'Input BS ACCTS'!BC304/1000</f>
        <v>-1261.182</v>
      </c>
      <c r="GE95" s="441">
        <f>+'Input BS ACCTS'!BD304/1000</f>
        <v>-1275.1289999999999</v>
      </c>
      <c r="GF95" s="441">
        <f>+'Input BS ACCTS'!BE304/1000</f>
        <v>-1288.826</v>
      </c>
      <c r="GG95" s="441">
        <f>+'Input BS ACCTS'!BF304/1000</f>
        <v>-1302.2719999999999</v>
      </c>
      <c r="GH95" s="441">
        <f>+'Input BS ACCTS'!BG304/1000</f>
        <v>-1315.4639999999999</v>
      </c>
      <c r="GI95" s="441">
        <f>+'Input BS ACCTS'!BH304/1000</f>
        <v>-1328.4010000000001</v>
      </c>
      <c r="GJ95" s="441">
        <f>+'Input BS ACCTS'!BI304/1000</f>
        <v>-1341.08</v>
      </c>
      <c r="GK95" s="441">
        <f>+'Input BS ACCTS'!BJ304/1000</f>
        <v>-1353.499</v>
      </c>
      <c r="GL95" s="441">
        <f>+'Input BS ACCTS'!BK304/1000</f>
        <v>-1365.6559999999999</v>
      </c>
      <c r="GM95" s="441">
        <f>+'Input BS ACCTS'!BL304/1000</f>
        <v>-1377.549</v>
      </c>
      <c r="GN95" s="441">
        <f>+'Input BS ACCTS'!BM304/1000</f>
        <v>-1388.511</v>
      </c>
      <c r="GO95" s="441">
        <f>+'Input BS ACCTS'!BN304/1000</f>
        <v>-1399.1990000000001</v>
      </c>
      <c r="GP95" s="441">
        <f>+'Input BS ACCTS'!BO304/1000</f>
        <v>-1409.6110000000001</v>
      </c>
      <c r="GQ95" s="441">
        <f>+'Input BS ACCTS'!BP304/1000</f>
        <v>-1419.7439999999999</v>
      </c>
      <c r="GR95" s="441">
        <f>+'Input BS ACCTS'!BQ304/1000</f>
        <v>-1429.596</v>
      </c>
      <c r="GS95" s="441">
        <f>+'Input BS ACCTS'!BR304/1000</f>
        <v>-1439.164</v>
      </c>
      <c r="GT95" s="441">
        <f>+'Input BS ACCTS'!BS304/1000</f>
        <v>-1448.4469999999999</v>
      </c>
      <c r="GU95" s="441">
        <f>+'Input BS ACCTS'!BT304/1000</f>
        <v>-1457.442</v>
      </c>
      <c r="GV95" s="441">
        <f>+'Input BS ACCTS'!BU304/1000</f>
        <v>-1466.146</v>
      </c>
      <c r="GW95" s="441">
        <f>+'Input BS ACCTS'!BV304/1000</f>
        <v>-1474.556</v>
      </c>
      <c r="GX95" s="441">
        <f>+'Input BS ACCTS'!BW304/1000</f>
        <v>-1482.671</v>
      </c>
      <c r="GY95" s="441">
        <f>+'Input BS ACCTS'!BX304/1000</f>
        <v>-1490.489</v>
      </c>
      <c r="GZ95" s="441">
        <f>+'Input BS ACCTS'!BY304/1000</f>
        <v>-1497.3430000000001</v>
      </c>
      <c r="HA95" s="441">
        <f>+'Input BS ACCTS'!BZ304/1000</f>
        <v>-1503.89</v>
      </c>
      <c r="HB95" s="441">
        <f>+'Input BS ACCTS'!CA304/1000</f>
        <v>-1510.126</v>
      </c>
      <c r="HC95" s="441">
        <f>+'Input BS ACCTS'!CB304/1000</f>
        <v>-1531.7260000000001</v>
      </c>
      <c r="HD95" s="441">
        <f>+'Input BS ACCTS'!CC304/1000</f>
        <v>-1553.14</v>
      </c>
      <c r="HE95" s="441">
        <f>+'Input BS ACCTS'!CD304/1000</f>
        <v>-1574.365</v>
      </c>
      <c r="HF95" s="441">
        <f>+'Input BS ACCTS'!CE304/1000</f>
        <v>-1595.402</v>
      </c>
      <c r="HG95" s="441">
        <f>+'Input BS ACCTS'!CF304/1000</f>
        <v>-1616.2470000000001</v>
      </c>
      <c r="HH95" s="441">
        <f>+'Input BS ACCTS'!CG304/1000</f>
        <v>-1636.8989999999999</v>
      </c>
      <c r="HI95" s="441">
        <f>+'Input BS ACCTS'!CH304/1000</f>
        <v>-1662.84</v>
      </c>
      <c r="HJ95" s="441">
        <f>+'Input BS ACCTS'!CI304/1000</f>
        <v>-1688.6310000000001</v>
      </c>
      <c r="HK95" s="441">
        <f>+'Input BS ACCTS'!CJ304/1000</f>
        <v>-1714.384</v>
      </c>
      <c r="HL95" s="441">
        <f>+'Input BS ACCTS'!CK304/1000</f>
        <v>-1739.0940000000001</v>
      </c>
      <c r="HM95" s="441">
        <f>+'Input BS ACCTS'!CL304/1000</f>
        <v>-1763.758</v>
      </c>
      <c r="HN95" s="441">
        <f>+'Input BS ACCTS'!CM304/1000</f>
        <v>-1788.261</v>
      </c>
      <c r="HO95" s="441">
        <f>+'Input BS ACCTS'!CN304/1000</f>
        <v>-1812.6020000000001</v>
      </c>
      <c r="HP95" s="441">
        <f>+'Input BS ACCTS'!CO304/1000</f>
        <v>-1836.779</v>
      </c>
      <c r="HQ95" s="441">
        <f>+'Input BS ACCTS'!CP304/1000</f>
        <v>-1860.7909999999999</v>
      </c>
      <c r="HR95" s="441">
        <f>+'Input BS ACCTS'!CQ304/1000</f>
        <v>-1884.6369999999999</v>
      </c>
      <c r="HS95" s="441">
        <f>+'Input BS ACCTS'!CR304/1000</f>
        <v>-1908.3150000000001</v>
      </c>
      <c r="HT95" s="441">
        <f>+'Input BS ACCTS'!CS304/1000</f>
        <v>-1931.8240000000001</v>
      </c>
      <c r="HU95" s="441">
        <f>+'Input BS ACCTS'!CT304/1000</f>
        <v>-1955.162</v>
      </c>
      <c r="HV95" s="441">
        <f>+'Input BS ACCTS'!CU304/1000</f>
        <v>-1978.329</v>
      </c>
      <c r="HW95" s="441">
        <f>+'Input BS ACCTS'!CV304/1000</f>
        <v>-2001.3209999999999</v>
      </c>
      <c r="HX95" s="441">
        <f>+'Input BS ACCTS'!CW304/1000</f>
        <v>-2023.4760000000001</v>
      </c>
      <c r="HY95" s="441">
        <f>+'Input BS ACCTS'!CX304/1000</f>
        <v>-2045.451</v>
      </c>
      <c r="HZ95" s="441">
        <f>+'Input BS ACCTS'!CY304/1000</f>
        <v>-1557.1790000000001</v>
      </c>
      <c r="IA95" s="441">
        <f>+'Input BS ACCTS'!CZ304/1000</f>
        <v>-1572.913</v>
      </c>
      <c r="IB95" s="441">
        <f>+'Input BS ACCTS'!DA304/1000</f>
        <v>-1588.5070000000001</v>
      </c>
      <c r="IC95" s="441">
        <f>+'Input BS ACCTS'!DB304/1000</f>
        <v>-1603.9590000000001</v>
      </c>
      <c r="ID95" s="441">
        <f>+'Input BS ACCTS'!DC304/1000</f>
        <v>0</v>
      </c>
      <c r="IE95" s="441">
        <f>+'Input BS ACCTS'!DD304/1000</f>
        <v>0</v>
      </c>
      <c r="IF95" s="441">
        <f>+'Input BS ACCTS'!DE304/1000</f>
        <v>0</v>
      </c>
      <c r="IG95" s="441">
        <f>+'Input BS ACCTS'!DF304/1000</f>
        <v>0</v>
      </c>
      <c r="IH95" s="441">
        <f>+'Input BS ACCTS'!DG304/1000</f>
        <v>0</v>
      </c>
      <c r="II95" s="441">
        <f>+'Input BS ACCTS'!DH304/1000</f>
        <v>0</v>
      </c>
      <c r="IJ95" s="447" t="s">
        <v>1705</v>
      </c>
      <c r="IK95" s="445">
        <v>2530360</v>
      </c>
      <c r="IL95" s="226"/>
      <c r="IM95" s="35"/>
      <c r="IN95" s="35"/>
      <c r="IO95" s="35"/>
      <c r="IP95" s="35"/>
      <c r="IQ95" s="35"/>
      <c r="IR95" s="35"/>
      <c r="IS95" s="35"/>
      <c r="IT95" s="35"/>
      <c r="IU95" s="35"/>
      <c r="IV95" s="35"/>
      <c r="IW95" s="35"/>
      <c r="IX95" s="35"/>
      <c r="IY95" s="35"/>
    </row>
    <row r="96" spans="1:259" ht="14.45" customHeight="1">
      <c r="A96" s="27" t="s">
        <v>285</v>
      </c>
      <c r="B96" s="107">
        <v>75428.403210000004</v>
      </c>
      <c r="C96" s="107">
        <v>80850.330210000015</v>
      </c>
      <c r="D96" s="107">
        <v>77815.928210000013</v>
      </c>
      <c r="E96" s="107">
        <v>78248.37821000001</v>
      </c>
      <c r="F96" s="107">
        <v>76658.45021000001</v>
      </c>
      <c r="G96" s="107">
        <v>76283.396210000006</v>
      </c>
      <c r="H96" s="107">
        <v>78428.430210000006</v>
      </c>
      <c r="I96" s="107">
        <v>78277.425210000001</v>
      </c>
      <c r="J96" s="107">
        <v>78003.714210000006</v>
      </c>
      <c r="K96" s="107">
        <v>77945.927210000009</v>
      </c>
      <c r="L96" s="107">
        <v>78172.351210000008</v>
      </c>
      <c r="M96" s="107">
        <v>80359.357210000002</v>
      </c>
      <c r="N96" s="107">
        <v>80849.326210000014</v>
      </c>
      <c r="O96" s="107">
        <v>80494</v>
      </c>
      <c r="P96" s="107">
        <v>87373</v>
      </c>
      <c r="Q96" s="107">
        <v>92250</v>
      </c>
      <c r="R96" s="107">
        <v>88861</v>
      </c>
      <c r="S96" s="107">
        <v>89586</v>
      </c>
      <c r="T96" s="107">
        <v>89015</v>
      </c>
      <c r="U96" s="107">
        <v>89204</v>
      </c>
      <c r="V96" s="107">
        <v>90332</v>
      </c>
      <c r="W96" s="107">
        <v>89790</v>
      </c>
      <c r="X96" s="107">
        <v>92180.828999999998</v>
      </c>
      <c r="Y96" s="107">
        <v>94179</v>
      </c>
      <c r="Z96" s="107">
        <v>96688</v>
      </c>
      <c r="AA96" s="107">
        <v>98540</v>
      </c>
      <c r="AB96" s="107">
        <v>124110</v>
      </c>
      <c r="AC96" s="107">
        <v>126972</v>
      </c>
      <c r="AD96" s="107">
        <v>131781</v>
      </c>
      <c r="AE96" s="107">
        <v>132949</v>
      </c>
      <c r="AF96" s="107">
        <v>134845</v>
      </c>
      <c r="AG96" s="107">
        <v>136619.76246</v>
      </c>
      <c r="AH96" s="107">
        <v>138225.99155999999</v>
      </c>
      <c r="AI96" s="107">
        <v>139413.31462000002</v>
      </c>
      <c r="AJ96" s="107">
        <v>140738.00428999998</v>
      </c>
      <c r="AK96" s="107">
        <v>143502.26073000001</v>
      </c>
      <c r="AL96" s="107">
        <v>144171.63615999999</v>
      </c>
      <c r="AM96" s="187">
        <v>146899.68327000001</v>
      </c>
      <c r="AN96" s="187">
        <v>149553.39519000001</v>
      </c>
      <c r="AO96" s="187">
        <v>151756.99493000002</v>
      </c>
      <c r="AP96" s="187">
        <v>151640.56745999999</v>
      </c>
      <c r="AQ96" s="187">
        <v>152118.94229000004</v>
      </c>
      <c r="AR96" s="187">
        <v>152798.49539</v>
      </c>
      <c r="AS96" s="219">
        <v>153898.36851</v>
      </c>
      <c r="AT96" s="219">
        <v>154117.30215</v>
      </c>
      <c r="AU96" s="219">
        <v>155202.85937000002</v>
      </c>
      <c r="AV96" s="219">
        <v>156279.47748</v>
      </c>
      <c r="AW96" s="219">
        <v>156868.92576000001</v>
      </c>
      <c r="AX96" s="219">
        <v>157757.39265999998</v>
      </c>
      <c r="AY96" s="178">
        <v>158760.99332000001</v>
      </c>
      <c r="AZ96" s="178">
        <v>154625.47456000003</v>
      </c>
      <c r="BA96" s="330">
        <v>152034.67648999998</v>
      </c>
      <c r="BB96" s="330">
        <v>153329.85774000001</v>
      </c>
      <c r="BC96" s="330">
        <v>152404.18103000001</v>
      </c>
      <c r="BD96" s="330">
        <v>152266.18667000002</v>
      </c>
      <c r="BE96" s="330">
        <v>153271.86556000001</v>
      </c>
      <c r="BF96" s="330">
        <v>152343.98796999999</v>
      </c>
      <c r="BG96" s="211">
        <v>152318.06987000001</v>
      </c>
      <c r="BH96" s="211">
        <v>153523.36007999998</v>
      </c>
      <c r="BI96" s="211">
        <v>153184.97704</v>
      </c>
      <c r="BJ96" s="211">
        <v>156115.04922999998</v>
      </c>
      <c r="BK96" s="211">
        <v>156944.83950999999</v>
      </c>
      <c r="BL96" s="211">
        <v>157255.63082000002</v>
      </c>
      <c r="BM96" s="211">
        <v>169457.67861</v>
      </c>
      <c r="BN96" s="211">
        <v>169683.02832999997</v>
      </c>
      <c r="BO96" s="211">
        <v>169773.53014000002</v>
      </c>
      <c r="BP96" s="211">
        <v>170146.28786000001</v>
      </c>
      <c r="BQ96" s="211">
        <v>170420.86499</v>
      </c>
      <c r="BR96" s="211">
        <v>170709.49824000002</v>
      </c>
      <c r="BS96" s="211">
        <v>169956.47529</v>
      </c>
      <c r="BT96" s="211">
        <v>169968.73970000001</v>
      </c>
      <c r="BU96" s="211">
        <v>170655.35631</v>
      </c>
      <c r="BV96" s="211">
        <v>172208.55228000003</v>
      </c>
      <c r="BW96" s="211">
        <v>174535.19439999998</v>
      </c>
      <c r="BX96" s="211">
        <v>176004.08474000002</v>
      </c>
      <c r="BY96" s="211">
        <v>189290.54456000001</v>
      </c>
      <c r="BZ96" s="211">
        <v>189953.56733999998</v>
      </c>
      <c r="CA96" s="211">
        <v>190028.57493999999</v>
      </c>
      <c r="CB96" s="211">
        <v>190490.05226999999</v>
      </c>
      <c r="CC96" s="211">
        <v>191332.05318000002</v>
      </c>
      <c r="CD96" s="211">
        <v>192707.47218000001</v>
      </c>
      <c r="CE96" s="211">
        <v>192490.37255999999</v>
      </c>
      <c r="CF96" s="211">
        <v>193783.99451000002</v>
      </c>
      <c r="CG96" s="211">
        <v>195543.01063</v>
      </c>
      <c r="CH96" s="211">
        <v>198836.67331000001</v>
      </c>
      <c r="CI96" s="211">
        <v>200595.91824999999</v>
      </c>
      <c r="CJ96" s="211">
        <v>202442.57405</v>
      </c>
      <c r="CK96" s="211">
        <v>211820.33515999999</v>
      </c>
      <c r="CL96" s="211">
        <v>213196.57134999998</v>
      </c>
      <c r="CM96" s="211">
        <v>214951.19583000001</v>
      </c>
      <c r="CN96" s="211">
        <v>217911.91699</v>
      </c>
      <c r="CO96" s="211">
        <v>219988.53857999999</v>
      </c>
      <c r="CP96" s="211">
        <v>222932.74677</v>
      </c>
      <c r="CQ96" s="211">
        <v>226038.26397</v>
      </c>
      <c r="CR96" s="211">
        <v>228749.07180000001</v>
      </c>
      <c r="CS96" s="211">
        <v>231164.54391000004</v>
      </c>
      <c r="CT96" s="211">
        <v>233259.77981000001</v>
      </c>
      <c r="CU96" s="211">
        <v>236650.98024999999</v>
      </c>
      <c r="CV96" s="211">
        <v>239693.60222999999</v>
      </c>
      <c r="CW96" s="211">
        <v>146162.85715999999</v>
      </c>
      <c r="CX96" s="211">
        <v>146549.68096999999</v>
      </c>
      <c r="CY96" s="211">
        <v>147270.87813000003</v>
      </c>
      <c r="CZ96" s="211">
        <v>147948.91418000002</v>
      </c>
      <c r="DA96" s="211">
        <v>148616.57829</v>
      </c>
      <c r="DB96" s="211">
        <v>149465.65848000001</v>
      </c>
      <c r="DC96" s="211">
        <v>150085.83319</v>
      </c>
      <c r="DD96" s="211">
        <v>150912.73785</v>
      </c>
      <c r="DE96" s="211">
        <v>152593.36723</v>
      </c>
      <c r="DF96" s="211">
        <v>155101.55662000002</v>
      </c>
      <c r="DG96" s="211">
        <v>156374.47521</v>
      </c>
      <c r="DH96" s="211">
        <v>159494.89270000003</v>
      </c>
      <c r="DI96" s="211">
        <v>160780.30160999999</v>
      </c>
      <c r="DJ96" s="211">
        <v>161239.63977000001</v>
      </c>
      <c r="DK96" s="211">
        <v>162405.45822999999</v>
      </c>
      <c r="DL96" s="211">
        <v>163533.05152999997</v>
      </c>
      <c r="DM96" s="211">
        <v>164691.82187000001</v>
      </c>
      <c r="DN96" s="211">
        <v>165863.18413000004</v>
      </c>
      <c r="DO96" s="211">
        <v>166982.47552000001</v>
      </c>
      <c r="DP96" s="211">
        <v>168175.77171</v>
      </c>
      <c r="DQ96" s="211">
        <v>169405.57754000003</v>
      </c>
      <c r="DR96" s="211">
        <v>171079.32626</v>
      </c>
      <c r="DS96" s="211">
        <v>172087.15589000002</v>
      </c>
      <c r="DT96" s="211">
        <v>173209.55762000001</v>
      </c>
      <c r="DU96" s="211">
        <v>174788.33739999999</v>
      </c>
      <c r="DV96" s="211">
        <v>174683.97661999997</v>
      </c>
      <c r="DW96" s="211">
        <v>177571.02698</v>
      </c>
      <c r="DX96" s="211">
        <v>178948.9902</v>
      </c>
      <c r="DY96" s="211">
        <v>180087.60946000001</v>
      </c>
      <c r="DZ96" s="211">
        <v>181582.17074999999</v>
      </c>
      <c r="EA96" s="211">
        <v>182765.09826</v>
      </c>
      <c r="EB96" s="211">
        <v>184230.11306999999</v>
      </c>
      <c r="EC96" s="211">
        <v>185335.08661</v>
      </c>
      <c r="ED96" s="211">
        <v>186815.07088999997</v>
      </c>
      <c r="EE96" s="211">
        <v>186763.38746</v>
      </c>
      <c r="EF96" s="211">
        <v>187925.36473000003</v>
      </c>
      <c r="EG96" s="211">
        <v>191923.67808000001</v>
      </c>
      <c r="EH96" s="211">
        <v>193336.56522999998</v>
      </c>
      <c r="EI96" s="211">
        <v>195015.62393</v>
      </c>
      <c r="EJ96" s="211">
        <v>196272.03208999996</v>
      </c>
      <c r="EK96" s="211">
        <v>198072.55213</v>
      </c>
      <c r="EL96" s="211">
        <v>199969.53151999999</v>
      </c>
      <c r="EM96" s="211">
        <v>200077.32297000001</v>
      </c>
      <c r="EN96" s="211">
        <v>201871.48693000001</v>
      </c>
      <c r="EO96" s="211">
        <v>202952.64758000002</v>
      </c>
      <c r="EP96" s="211">
        <v>203112.40321000002</v>
      </c>
      <c r="EQ96" s="211">
        <v>205646.81814000002</v>
      </c>
      <c r="ER96" s="211">
        <v>209719.24768999999</v>
      </c>
      <c r="ES96" s="211">
        <v>211197.86616000003</v>
      </c>
      <c r="ET96" s="211">
        <v>212003.37734000001</v>
      </c>
      <c r="EU96" s="211">
        <v>212703.65291</v>
      </c>
      <c r="EV96" s="211">
        <v>214194.04084</v>
      </c>
      <c r="EW96" s="211">
        <v>215581.02207000001</v>
      </c>
      <c r="EX96" s="211">
        <v>217400.71571000002</v>
      </c>
      <c r="EY96" s="211">
        <v>219359.47608000002</v>
      </c>
      <c r="EZ96" s="211">
        <v>220915.13671000002</v>
      </c>
      <c r="FA96" s="211">
        <v>225494.48200999998</v>
      </c>
      <c r="FB96" s="211">
        <v>227522.76660999999</v>
      </c>
      <c r="FC96" s="211">
        <f>-(VLOOKUP("282",'Input BS ACCTS'!$A$5:$DH$1058,110,FALSE)+VLOOKUP("283",'Input BS ACCTS'!$A$5:$DH$1058,110,FALSE))/1000</f>
        <v>229834.20782000001</v>
      </c>
      <c r="FD96" s="211">
        <f>-(VLOOKUP("282",'Input BS ACCTS'!$A$5:$DH$1058,111,FALSE)+VLOOKUP("283",'Input BS ACCTS'!$A$5:$DH$1058,111,FALSE))/1000</f>
        <v>232132.55167000002</v>
      </c>
      <c r="FE96" s="211">
        <f>-(VLOOKUP("282",'Input BS ACCTS'!$A$5:$DH$1058,112,FALSE)+VLOOKUP("283",'Input BS ACCTS'!$A$5:$DH$1058,112,FALSE))/1000</f>
        <v>236868.09246000001</v>
      </c>
      <c r="FF96" s="403">
        <f t="shared" si="148"/>
        <v>221169.79910692308</v>
      </c>
      <c r="FG96" s="700"/>
      <c r="FH96" s="700"/>
      <c r="IJ96" s="35"/>
      <c r="IK96" s="221"/>
      <c r="IL96" s="226"/>
      <c r="IM96" s="35"/>
      <c r="IN96" s="35"/>
      <c r="IO96" s="35"/>
      <c r="IP96" s="35"/>
      <c r="IQ96" s="35"/>
      <c r="IR96" s="35"/>
      <c r="IS96" s="35"/>
      <c r="IT96" s="35"/>
      <c r="IU96" s="35"/>
      <c r="IV96" s="35"/>
      <c r="IW96" s="35"/>
      <c r="IX96" s="35"/>
      <c r="IY96" s="35"/>
    </row>
    <row r="97" spans="1:259" ht="12.6" customHeight="1">
      <c r="A97" s="691" t="s">
        <v>1850</v>
      </c>
      <c r="B97" s="185"/>
      <c r="C97" s="185"/>
      <c r="D97" s="185"/>
      <c r="E97" s="185"/>
      <c r="F97" s="185"/>
      <c r="G97" s="185"/>
      <c r="H97" s="185"/>
      <c r="I97" s="185"/>
      <c r="J97" s="185"/>
      <c r="K97" s="185"/>
      <c r="L97" s="185"/>
      <c r="M97" s="185"/>
      <c r="N97" s="185"/>
      <c r="O97" s="185"/>
      <c r="P97" s="185"/>
      <c r="Q97" s="185"/>
      <c r="R97" s="185"/>
      <c r="S97" s="185"/>
      <c r="T97" s="185"/>
      <c r="U97" s="185">
        <v>0</v>
      </c>
      <c r="V97" s="185">
        <v>0</v>
      </c>
      <c r="W97" s="185">
        <v>0</v>
      </c>
      <c r="X97" s="185">
        <v>0</v>
      </c>
      <c r="Y97" s="185">
        <v>0</v>
      </c>
      <c r="Z97" s="185">
        <v>0</v>
      </c>
      <c r="AA97" s="185">
        <v>0</v>
      </c>
      <c r="AB97" s="185">
        <v>0</v>
      </c>
      <c r="AC97" s="185">
        <v>0</v>
      </c>
      <c r="AD97" s="185">
        <v>0</v>
      </c>
      <c r="AE97" s="185">
        <v>0</v>
      </c>
      <c r="AF97" s="185">
        <v>0</v>
      </c>
      <c r="AG97" s="185">
        <v>0</v>
      </c>
      <c r="AH97" s="185">
        <v>0</v>
      </c>
      <c r="AI97" s="185">
        <v>0</v>
      </c>
      <c r="AJ97" s="185">
        <v>0</v>
      </c>
      <c r="AK97" s="185">
        <v>0</v>
      </c>
      <c r="AL97" s="185">
        <v>0</v>
      </c>
      <c r="AM97" s="204">
        <v>0</v>
      </c>
      <c r="AN97" s="204">
        <v>0</v>
      </c>
      <c r="AO97" s="204">
        <v>0</v>
      </c>
      <c r="AP97" s="204">
        <v>0</v>
      </c>
      <c r="AQ97" s="204">
        <v>0</v>
      </c>
      <c r="AR97" s="204">
        <v>0</v>
      </c>
      <c r="AS97" s="251">
        <v>0</v>
      </c>
      <c r="AT97" s="251">
        <v>0</v>
      </c>
      <c r="AU97" s="251">
        <v>0</v>
      </c>
      <c r="AV97" s="251">
        <v>0</v>
      </c>
      <c r="AW97" s="251">
        <v>0</v>
      </c>
      <c r="AX97" s="251">
        <v>0</v>
      </c>
      <c r="AY97" s="251">
        <v>0</v>
      </c>
      <c r="AZ97" s="251">
        <v>0</v>
      </c>
      <c r="BA97" s="692">
        <v>0</v>
      </c>
      <c r="BB97" s="692">
        <v>0</v>
      </c>
      <c r="BC97" s="692">
        <v>0</v>
      </c>
      <c r="BD97" s="692">
        <v>0</v>
      </c>
      <c r="BE97" s="692">
        <v>0</v>
      </c>
      <c r="BF97" s="692">
        <v>0</v>
      </c>
      <c r="BG97" s="251">
        <v>0</v>
      </c>
      <c r="BH97" s="251">
        <v>0</v>
      </c>
      <c r="BI97" s="251">
        <v>0</v>
      </c>
      <c r="BJ97" s="251">
        <v>0</v>
      </c>
      <c r="BK97" s="251">
        <v>0</v>
      </c>
      <c r="BL97" s="251">
        <v>0</v>
      </c>
      <c r="BM97" s="251">
        <v>0</v>
      </c>
      <c r="BN97" s="251">
        <v>0</v>
      </c>
      <c r="BO97" s="251">
        <v>0</v>
      </c>
      <c r="BP97" s="251">
        <v>0</v>
      </c>
      <c r="BQ97" s="251">
        <v>0</v>
      </c>
      <c r="BR97" s="251">
        <v>0</v>
      </c>
      <c r="BS97" s="251">
        <v>0</v>
      </c>
      <c r="BT97" s="251">
        <v>0</v>
      </c>
      <c r="BU97" s="251">
        <v>0</v>
      </c>
      <c r="BV97" s="251">
        <v>0</v>
      </c>
      <c r="BW97" s="251">
        <v>0</v>
      </c>
      <c r="BX97" s="251">
        <v>0</v>
      </c>
      <c r="BY97" s="251">
        <v>0</v>
      </c>
      <c r="BZ97" s="251">
        <v>0</v>
      </c>
      <c r="CA97" s="251">
        <v>0</v>
      </c>
      <c r="CB97" s="251">
        <v>0</v>
      </c>
      <c r="CC97" s="251">
        <v>0</v>
      </c>
      <c r="CD97" s="251">
        <v>0</v>
      </c>
      <c r="CE97" s="251">
        <v>0</v>
      </c>
      <c r="CF97" s="251">
        <v>0</v>
      </c>
      <c r="CG97" s="251">
        <v>0</v>
      </c>
      <c r="CH97" s="251">
        <v>0</v>
      </c>
      <c r="CI97" s="251">
        <v>0</v>
      </c>
      <c r="CJ97" s="251">
        <v>0</v>
      </c>
      <c r="CK97" s="251">
        <v>0</v>
      </c>
      <c r="CL97" s="251">
        <v>0</v>
      </c>
      <c r="CM97" s="251">
        <v>0</v>
      </c>
      <c r="CN97" s="251">
        <v>0</v>
      </c>
      <c r="CO97" s="251">
        <v>0</v>
      </c>
      <c r="CP97" s="251">
        <v>0</v>
      </c>
      <c r="CQ97" s="251">
        <v>0</v>
      </c>
      <c r="CR97" s="251">
        <v>0</v>
      </c>
      <c r="CS97" s="251">
        <v>0</v>
      </c>
      <c r="CT97" s="251">
        <v>0</v>
      </c>
      <c r="CU97" s="211">
        <v>0</v>
      </c>
      <c r="CV97" s="211">
        <v>0</v>
      </c>
      <c r="CW97" s="211">
        <v>89215.247839999996</v>
      </c>
      <c r="CX97" s="211">
        <v>88993.618829999992</v>
      </c>
      <c r="CY97" s="211">
        <v>88772.694959999993</v>
      </c>
      <c r="CZ97" s="211">
        <v>88827.824640000006</v>
      </c>
      <c r="DA97" s="211">
        <v>88698.688569999998</v>
      </c>
      <c r="DB97" s="211">
        <v>89028.647750000004</v>
      </c>
      <c r="DC97" s="211">
        <v>88991.326840000009</v>
      </c>
      <c r="DD97" s="211">
        <v>88954.00579000001</v>
      </c>
      <c r="DE97" s="211">
        <v>88929.436260000002</v>
      </c>
      <c r="DF97" s="211">
        <v>88893.709109999996</v>
      </c>
      <c r="DG97" s="211">
        <v>88857.982060000009</v>
      </c>
      <c r="DH97" s="211">
        <v>90723.707120000006</v>
      </c>
      <c r="DI97" s="211">
        <v>90687.980009999999</v>
      </c>
      <c r="DJ97" s="211">
        <v>90707.229579999999</v>
      </c>
      <c r="DK97" s="211">
        <v>90773.562260000006</v>
      </c>
      <c r="DL97" s="211">
        <v>90817.020250000001</v>
      </c>
      <c r="DM97" s="211">
        <v>90859.144520000002</v>
      </c>
      <c r="DN97" s="211">
        <v>90901.935639999996</v>
      </c>
      <c r="DO97" s="211">
        <v>90944.726750000002</v>
      </c>
      <c r="DP97" s="211">
        <v>90987.517769999991</v>
      </c>
      <c r="DQ97" s="211">
        <v>91073.66936</v>
      </c>
      <c r="DR97" s="211">
        <v>89875.621409999992</v>
      </c>
      <c r="DS97" s="211">
        <v>89923.023269999991</v>
      </c>
      <c r="DT97" s="211">
        <v>89970.425319999995</v>
      </c>
      <c r="DU97" s="211">
        <v>90472.776099999988</v>
      </c>
      <c r="DV97" s="211">
        <v>90499.955489999993</v>
      </c>
      <c r="DW97" s="211">
        <v>90518.828609999997</v>
      </c>
      <c r="DX97" s="211">
        <v>90372.737219999995</v>
      </c>
      <c r="DY97" s="211">
        <v>90395.169049999997</v>
      </c>
      <c r="DZ97" s="211">
        <v>90417.623330000002</v>
      </c>
      <c r="EA97" s="211">
        <v>90530.783329999991</v>
      </c>
      <c r="EB97" s="211">
        <v>90553.345189999993</v>
      </c>
      <c r="EC97" s="211">
        <v>90531.840559999997</v>
      </c>
      <c r="ED97" s="211">
        <v>90637.383310000005</v>
      </c>
      <c r="EE97" s="211">
        <v>93142.210879999999</v>
      </c>
      <c r="EF97" s="211">
        <v>93187.157529999997</v>
      </c>
      <c r="EG97" s="211">
        <v>93201.281370000012</v>
      </c>
      <c r="EH97" s="211">
        <v>93223.383650000003</v>
      </c>
      <c r="EI97" s="211">
        <v>93198.140409999993</v>
      </c>
      <c r="EJ97" s="211">
        <v>93042.872780000005</v>
      </c>
      <c r="EK97" s="211">
        <v>93138.408629999991</v>
      </c>
      <c r="EL97" s="211">
        <v>93162.182029999996</v>
      </c>
      <c r="EM97" s="211">
        <v>92987.853989999989</v>
      </c>
      <c r="EN97" s="211">
        <v>93010.829169999997</v>
      </c>
      <c r="EO97" s="211">
        <v>93034.141940000001</v>
      </c>
      <c r="EP97" s="211">
        <v>92792.742819999999</v>
      </c>
      <c r="EQ97" s="211">
        <v>92761.579930000007</v>
      </c>
      <c r="ER97" s="211">
        <v>93212.284239999994</v>
      </c>
      <c r="ES97" s="211">
        <v>88446.090120000008</v>
      </c>
      <c r="ET97" s="211">
        <v>88506.456180000008</v>
      </c>
      <c r="EU97" s="211">
        <v>88566.338359999994</v>
      </c>
      <c r="EV97" s="211">
        <v>88307.192769999994</v>
      </c>
      <c r="EW97" s="211">
        <v>88362.32935</v>
      </c>
      <c r="EX97" s="211">
        <v>88416.495030000005</v>
      </c>
      <c r="EY97" s="211">
        <v>88290.71759</v>
      </c>
      <c r="EZ97" s="211">
        <v>88341.331810000003</v>
      </c>
      <c r="FA97" s="211">
        <v>88539.586890000006</v>
      </c>
      <c r="FB97" s="211">
        <v>88612.189200000008</v>
      </c>
      <c r="FC97" s="211">
        <f>-VLOOKUP("2540610",'Input BS ACCTS'!$A$5:$DH$1058,110,FALSE)/1000</f>
        <v>88681.888730000006</v>
      </c>
      <c r="FD97" s="211">
        <f>-VLOOKUP("2540610",'Input BS ACCTS'!$A$5:$DH$1058,111,FALSE)/1000</f>
        <v>88752.43462</v>
      </c>
      <c r="FE97" s="211">
        <f>-VLOOKUP("2540610",'Input BS ACCTS'!$A$5:$DH$1058,112,FALSE)/1000</f>
        <v>88659.849130000002</v>
      </c>
      <c r="FF97" s="403">
        <f t="shared" si="148"/>
        <v>88498.68459846155</v>
      </c>
      <c r="FG97" s="700"/>
      <c r="FH97" s="700"/>
      <c r="FI97" s="191"/>
      <c r="FJ97" s="191"/>
      <c r="FK97" s="191"/>
      <c r="FL97" s="191"/>
      <c r="FM97" s="191"/>
      <c r="FN97" s="191"/>
      <c r="FO97" s="191"/>
      <c r="FP97" s="191"/>
      <c r="FQ97" s="191"/>
      <c r="FR97" s="191"/>
      <c r="FS97" s="191"/>
      <c r="FT97" s="191"/>
      <c r="FU97" s="191"/>
      <c r="FV97" s="191"/>
      <c r="FW97" s="191"/>
      <c r="FX97" s="191"/>
      <c r="FY97" s="191"/>
      <c r="FZ97" s="191"/>
      <c r="GA97" s="191"/>
      <c r="GB97" s="191"/>
      <c r="GC97" s="191"/>
      <c r="GD97" s="191"/>
      <c r="GE97" s="191"/>
      <c r="GF97" s="191"/>
      <c r="GG97" s="191"/>
      <c r="GH97" s="191"/>
      <c r="GI97" s="191"/>
      <c r="GJ97" s="191"/>
      <c r="GK97" s="191"/>
      <c r="GL97" s="191"/>
      <c r="GM97" s="191"/>
      <c r="GN97" s="191"/>
      <c r="GO97" s="191"/>
      <c r="GP97" s="191"/>
      <c r="GQ97" s="191"/>
      <c r="GR97" s="191"/>
      <c r="GS97" s="191"/>
      <c r="GT97" s="191"/>
      <c r="GU97" s="191"/>
      <c r="GV97" s="191"/>
      <c r="GW97" s="191"/>
      <c r="GX97" s="191"/>
      <c r="GY97" s="191"/>
      <c r="GZ97" s="191"/>
      <c r="HA97" s="191"/>
      <c r="HB97" s="191"/>
      <c r="HC97" s="191"/>
      <c r="HD97" s="191"/>
      <c r="HE97" s="191"/>
      <c r="HF97" s="191"/>
      <c r="HG97" s="191"/>
      <c r="HH97" s="191"/>
      <c r="HI97" s="191"/>
      <c r="HJ97" s="191"/>
      <c r="HK97" s="191"/>
      <c r="HL97" s="191"/>
      <c r="HM97" s="191"/>
      <c r="HN97" s="191"/>
      <c r="HO97" s="191"/>
      <c r="HP97" s="191"/>
      <c r="HQ97" s="191"/>
      <c r="HR97" s="191"/>
      <c r="HS97" s="191"/>
      <c r="HT97" s="191"/>
      <c r="HU97" s="191"/>
      <c r="HV97" s="191"/>
      <c r="HW97" s="191"/>
      <c r="HX97" s="191"/>
      <c r="HY97" s="191"/>
      <c r="HZ97" s="191"/>
      <c r="IA97" s="191"/>
      <c r="IB97" s="191"/>
      <c r="IC97" s="191"/>
      <c r="ID97" s="191"/>
      <c r="IE97" s="191"/>
      <c r="IF97" s="191"/>
      <c r="IG97" s="191"/>
      <c r="IH97" s="191"/>
      <c r="II97" s="191"/>
      <c r="IJ97" s="191"/>
      <c r="IK97" s="221"/>
      <c r="IL97" s="226"/>
      <c r="IM97" s="191"/>
      <c r="IN97" s="191"/>
      <c r="IO97" s="191"/>
      <c r="IP97" s="191"/>
      <c r="IQ97" s="191"/>
      <c r="IR97" s="191"/>
      <c r="IS97" s="191"/>
      <c r="IT97" s="191"/>
      <c r="IU97" s="191"/>
      <c r="IV97" s="191"/>
      <c r="IW97" s="191"/>
      <c r="IX97" s="191"/>
      <c r="IY97" s="191"/>
    </row>
    <row r="98" spans="1:259">
      <c r="A98" s="27" t="s">
        <v>286</v>
      </c>
      <c r="B98" s="110">
        <v>0</v>
      </c>
      <c r="C98" s="110">
        <v>0</v>
      </c>
      <c r="D98" s="110">
        <v>0</v>
      </c>
      <c r="E98" s="110">
        <v>0</v>
      </c>
      <c r="F98" s="110">
        <v>0</v>
      </c>
      <c r="G98" s="110">
        <v>0</v>
      </c>
      <c r="H98" s="110">
        <v>0</v>
      </c>
      <c r="I98" s="110">
        <v>0</v>
      </c>
      <c r="J98" s="110">
        <v>0</v>
      </c>
      <c r="K98" s="110">
        <v>0</v>
      </c>
      <c r="L98" s="110">
        <v>0</v>
      </c>
      <c r="M98" s="110">
        <v>0</v>
      </c>
      <c r="N98" s="110">
        <v>0</v>
      </c>
      <c r="O98" s="110">
        <v>0</v>
      </c>
      <c r="P98" s="110">
        <v>0</v>
      </c>
      <c r="Q98" s="110">
        <v>0</v>
      </c>
      <c r="R98" s="110">
        <v>1</v>
      </c>
      <c r="S98" s="110">
        <v>0</v>
      </c>
      <c r="T98" s="110">
        <v>0</v>
      </c>
      <c r="U98" s="110">
        <v>0</v>
      </c>
      <c r="V98" s="110"/>
      <c r="W98" s="110">
        <v>0</v>
      </c>
      <c r="X98" s="110">
        <v>0</v>
      </c>
      <c r="Y98" s="110">
        <v>0</v>
      </c>
      <c r="Z98" s="110">
        <v>0</v>
      </c>
      <c r="AA98" s="110">
        <v>0</v>
      </c>
      <c r="AB98" s="110">
        <v>0</v>
      </c>
      <c r="AC98" s="110">
        <v>0</v>
      </c>
      <c r="AD98" s="110">
        <v>0</v>
      </c>
      <c r="AE98" s="110">
        <v>0</v>
      </c>
      <c r="AF98" s="110">
        <v>0</v>
      </c>
      <c r="AG98" s="110">
        <v>0</v>
      </c>
      <c r="AH98" s="110">
        <v>0</v>
      </c>
      <c r="AI98" s="110">
        <v>0</v>
      </c>
      <c r="AJ98" s="110">
        <v>0</v>
      </c>
      <c r="AK98" s="110">
        <v>0</v>
      </c>
      <c r="AL98" s="110">
        <v>0</v>
      </c>
      <c r="AM98" s="205">
        <v>0</v>
      </c>
      <c r="AN98" s="205">
        <v>0</v>
      </c>
      <c r="AO98" s="205">
        <v>0</v>
      </c>
      <c r="AP98" s="205">
        <v>0</v>
      </c>
      <c r="AQ98" s="205">
        <v>0</v>
      </c>
      <c r="AR98" s="205">
        <v>0</v>
      </c>
      <c r="AS98" s="249">
        <v>0</v>
      </c>
      <c r="AT98" s="249">
        <v>0</v>
      </c>
      <c r="AU98" s="249">
        <v>0</v>
      </c>
      <c r="AV98" s="249">
        <v>0</v>
      </c>
      <c r="AW98" s="249">
        <v>0</v>
      </c>
      <c r="AX98" s="249">
        <v>0</v>
      </c>
      <c r="AY98" s="249">
        <v>0</v>
      </c>
      <c r="AZ98" s="249">
        <v>0</v>
      </c>
      <c r="BA98" s="356">
        <v>0</v>
      </c>
      <c r="BB98" s="356">
        <v>0</v>
      </c>
      <c r="BC98" s="356">
        <v>0</v>
      </c>
      <c r="BD98" s="356">
        <v>0</v>
      </c>
      <c r="BE98" s="356">
        <v>0</v>
      </c>
      <c r="BF98" s="356">
        <v>0</v>
      </c>
      <c r="BG98" s="249">
        <v>0</v>
      </c>
      <c r="BH98" s="249">
        <v>0</v>
      </c>
      <c r="BI98" s="249">
        <v>0</v>
      </c>
      <c r="BJ98" s="249">
        <v>0</v>
      </c>
      <c r="BK98" s="249">
        <v>0</v>
      </c>
      <c r="BL98" s="249">
        <v>0</v>
      </c>
      <c r="BM98" s="249">
        <v>0</v>
      </c>
      <c r="BN98" s="249">
        <v>0</v>
      </c>
      <c r="BO98" s="249">
        <v>0</v>
      </c>
      <c r="BP98" s="249">
        <v>0</v>
      </c>
      <c r="BQ98" s="249">
        <v>0</v>
      </c>
      <c r="BR98" s="249">
        <v>0</v>
      </c>
      <c r="BS98" s="249">
        <v>0</v>
      </c>
      <c r="BT98" s="249">
        <v>0</v>
      </c>
      <c r="BU98" s="249">
        <v>0</v>
      </c>
      <c r="BV98" s="249">
        <v>0</v>
      </c>
      <c r="BW98" s="249">
        <v>0</v>
      </c>
      <c r="BX98" s="249">
        <v>0</v>
      </c>
      <c r="BY98" s="249">
        <v>0</v>
      </c>
      <c r="BZ98" s="249">
        <v>0</v>
      </c>
      <c r="CA98" s="249">
        <v>0</v>
      </c>
      <c r="CB98" s="249">
        <v>0</v>
      </c>
      <c r="CC98" s="249">
        <v>0</v>
      </c>
      <c r="CD98" s="249">
        <v>0</v>
      </c>
      <c r="CE98" s="249">
        <v>0</v>
      </c>
      <c r="CF98" s="249">
        <v>0</v>
      </c>
      <c r="CG98" s="249">
        <v>0</v>
      </c>
      <c r="CH98" s="249">
        <v>0</v>
      </c>
      <c r="CI98" s="249">
        <v>0</v>
      </c>
      <c r="CJ98" s="249">
        <v>0</v>
      </c>
      <c r="CK98" s="249">
        <v>0</v>
      </c>
      <c r="CL98" s="249">
        <v>0</v>
      </c>
      <c r="CM98" s="249">
        <v>0</v>
      </c>
      <c r="CN98" s="249">
        <v>0</v>
      </c>
      <c r="CO98" s="249">
        <v>0</v>
      </c>
      <c r="CP98" s="249">
        <v>0</v>
      </c>
      <c r="CQ98" s="249">
        <v>0</v>
      </c>
      <c r="CR98" s="249">
        <v>0</v>
      </c>
      <c r="CS98" s="249">
        <v>0</v>
      </c>
      <c r="CT98" s="249">
        <v>0</v>
      </c>
      <c r="CU98" s="249">
        <v>0</v>
      </c>
      <c r="CV98" s="249">
        <v>0</v>
      </c>
      <c r="CW98" s="249">
        <v>0</v>
      </c>
      <c r="CX98" s="249">
        <v>0</v>
      </c>
      <c r="CY98" s="249">
        <v>0</v>
      </c>
      <c r="CZ98" s="249">
        <v>0</v>
      </c>
      <c r="DA98" s="249">
        <v>0</v>
      </c>
      <c r="DB98" s="249">
        <v>0</v>
      </c>
      <c r="DC98" s="249">
        <v>0</v>
      </c>
      <c r="DD98" s="249">
        <v>0</v>
      </c>
      <c r="DE98" s="249">
        <v>0</v>
      </c>
      <c r="DF98" s="249">
        <v>0</v>
      </c>
      <c r="DG98" s="249">
        <v>0</v>
      </c>
      <c r="DH98" s="249">
        <v>0</v>
      </c>
      <c r="DI98" s="249">
        <v>0</v>
      </c>
      <c r="DJ98" s="249">
        <v>0</v>
      </c>
      <c r="DK98" s="249">
        <v>0</v>
      </c>
      <c r="DL98" s="249">
        <v>0</v>
      </c>
      <c r="DM98" s="249">
        <v>0</v>
      </c>
      <c r="DN98" s="249">
        <v>0</v>
      </c>
      <c r="DO98" s="249">
        <v>0</v>
      </c>
      <c r="DP98" s="249">
        <v>0</v>
      </c>
      <c r="DQ98" s="249">
        <v>0</v>
      </c>
      <c r="DR98" s="249">
        <v>0</v>
      </c>
      <c r="DS98" s="249">
        <v>0</v>
      </c>
      <c r="DT98" s="249">
        <v>0</v>
      </c>
      <c r="DU98" s="249">
        <v>0</v>
      </c>
      <c r="DV98" s="249">
        <v>0</v>
      </c>
      <c r="DW98" s="249">
        <v>0</v>
      </c>
      <c r="DX98" s="249">
        <v>0</v>
      </c>
      <c r="DY98" s="249">
        <v>0</v>
      </c>
      <c r="DZ98" s="249">
        <v>0</v>
      </c>
      <c r="EA98" s="249">
        <v>0</v>
      </c>
      <c r="EB98" s="249">
        <v>0</v>
      </c>
      <c r="EC98" s="249">
        <v>0</v>
      </c>
      <c r="ED98" s="249">
        <v>0</v>
      </c>
      <c r="EE98" s="249">
        <v>0</v>
      </c>
      <c r="EF98" s="249">
        <v>0</v>
      </c>
      <c r="EG98" s="249">
        <v>0</v>
      </c>
      <c r="EH98" s="249">
        <v>0</v>
      </c>
      <c r="EI98" s="249">
        <v>0</v>
      </c>
      <c r="EJ98" s="249">
        <v>0</v>
      </c>
      <c r="EK98" s="249">
        <v>0</v>
      </c>
      <c r="EL98" s="249">
        <v>0</v>
      </c>
      <c r="EM98" s="249">
        <v>0</v>
      </c>
      <c r="EN98" s="249">
        <v>0</v>
      </c>
      <c r="EO98" s="249">
        <v>0</v>
      </c>
      <c r="EP98" s="249">
        <v>0</v>
      </c>
      <c r="EQ98" s="249">
        <v>0</v>
      </c>
      <c r="ER98" s="249">
        <v>0</v>
      </c>
      <c r="ES98" s="249">
        <v>0</v>
      </c>
      <c r="ET98" s="249">
        <v>0</v>
      </c>
      <c r="EU98" s="249">
        <v>0</v>
      </c>
      <c r="EV98" s="249">
        <v>0</v>
      </c>
      <c r="EW98" s="249">
        <v>0</v>
      </c>
      <c r="EX98" s="249">
        <v>0</v>
      </c>
      <c r="EY98" s="249">
        <v>0</v>
      </c>
      <c r="EZ98" s="249">
        <v>0</v>
      </c>
      <c r="FA98" s="249">
        <v>0</v>
      </c>
      <c r="FB98" s="249">
        <v>0</v>
      </c>
      <c r="FC98" s="249">
        <v>0</v>
      </c>
      <c r="FD98" s="249">
        <v>0</v>
      </c>
      <c r="FE98" s="249">
        <v>0</v>
      </c>
      <c r="FF98" s="403">
        <f t="shared" si="148"/>
        <v>0</v>
      </c>
      <c r="FG98" s="700"/>
      <c r="FH98" s="700"/>
      <c r="IJ98" s="35"/>
      <c r="IK98" s="221"/>
      <c r="IL98" s="226"/>
      <c r="IM98" s="35"/>
      <c r="IN98" s="35"/>
      <c r="IO98" s="35"/>
      <c r="IP98" s="35"/>
      <c r="IQ98" s="35"/>
      <c r="IR98" s="35"/>
      <c r="IS98" s="35"/>
      <c r="IT98" s="35"/>
      <c r="IU98" s="35"/>
      <c r="IV98" s="35"/>
      <c r="IW98" s="35"/>
      <c r="IX98" s="35"/>
      <c r="IY98" s="35"/>
    </row>
    <row r="99" spans="1:259" s="17" customFormat="1">
      <c r="A99" s="130" t="s">
        <v>290</v>
      </c>
      <c r="B99" s="135">
        <v>134954.56799000001</v>
      </c>
      <c r="C99" s="135">
        <v>148991.94399</v>
      </c>
      <c r="D99" s="135">
        <v>145171.07999</v>
      </c>
      <c r="E99" s="135">
        <v>154538.24099000002</v>
      </c>
      <c r="F99" s="135">
        <v>143955.21999000001</v>
      </c>
      <c r="G99" s="135">
        <v>142702.55799</v>
      </c>
      <c r="H99" s="135">
        <v>143029.31299000001</v>
      </c>
      <c r="I99" s="135">
        <v>142992.76899000001</v>
      </c>
      <c r="J99" s="135">
        <v>142640.95999</v>
      </c>
      <c r="K99" s="135">
        <v>146886.27299000003</v>
      </c>
      <c r="L99" s="135">
        <v>147134.16999000002</v>
      </c>
      <c r="M99" s="135">
        <v>149419.99398999999</v>
      </c>
      <c r="N99" s="135">
        <v>155127.54299000002</v>
      </c>
      <c r="O99" s="135">
        <v>154907</v>
      </c>
      <c r="P99" s="135">
        <v>161875</v>
      </c>
      <c r="Q99" s="135">
        <v>168410</v>
      </c>
      <c r="R99" s="135">
        <v>164825</v>
      </c>
      <c r="S99" s="135">
        <v>165887</v>
      </c>
      <c r="T99" s="135">
        <v>165548</v>
      </c>
      <c r="U99" s="135">
        <v>162594.28700000001</v>
      </c>
      <c r="V99" s="135">
        <v>163823.565</v>
      </c>
      <c r="W99" s="135">
        <v>157201.19899999999</v>
      </c>
      <c r="X99" s="135">
        <v>159503.516</v>
      </c>
      <c r="Y99" s="135">
        <v>161558.77471999999</v>
      </c>
      <c r="Z99" s="135">
        <v>164196.55047999998</v>
      </c>
      <c r="AA99" s="135">
        <v>166008.478</v>
      </c>
      <c r="AB99" s="135">
        <v>191740.42499999999</v>
      </c>
      <c r="AC99" s="135">
        <v>201600.399</v>
      </c>
      <c r="AD99" s="135">
        <v>209756</v>
      </c>
      <c r="AE99" s="135">
        <v>210940.573</v>
      </c>
      <c r="AF99" s="135">
        <v>211275</v>
      </c>
      <c r="AG99" s="135">
        <v>213055.32939999999</v>
      </c>
      <c r="AH99" s="135">
        <v>214765.23301</v>
      </c>
      <c r="AI99" s="135">
        <v>216383.76207000003</v>
      </c>
      <c r="AJ99" s="135">
        <v>221841.32715999999</v>
      </c>
      <c r="AK99" s="135">
        <v>224538.30299</v>
      </c>
      <c r="AL99" s="135">
        <v>196107.65138999998</v>
      </c>
      <c r="AM99" s="135">
        <v>198202.11921999999</v>
      </c>
      <c r="AN99" s="135">
        <v>200785.03154</v>
      </c>
      <c r="AO99" s="135">
        <v>199686.87616000001</v>
      </c>
      <c r="AP99" s="135">
        <v>199490.30599999998</v>
      </c>
      <c r="AQ99" s="135">
        <v>200124.24235000004</v>
      </c>
      <c r="AR99" s="135">
        <v>200812.86265999998</v>
      </c>
      <c r="AS99" s="135">
        <v>202015.43168000001</v>
      </c>
      <c r="AT99" s="135">
        <v>202439.60774000001</v>
      </c>
      <c r="AU99" s="135">
        <v>203637.03354000003</v>
      </c>
      <c r="AV99" s="135">
        <v>204841.21833</v>
      </c>
      <c r="AW99" s="135">
        <v>205589.42319</v>
      </c>
      <c r="AX99" s="135">
        <v>206693.55083999998</v>
      </c>
      <c r="AY99" s="135">
        <v>207885.84999000002</v>
      </c>
      <c r="AZ99" s="135">
        <v>204069.72897000003</v>
      </c>
      <c r="BA99" s="365">
        <v>201065.49834999998</v>
      </c>
      <c r="BB99" s="365">
        <v>202656.32137000002</v>
      </c>
      <c r="BC99" s="365">
        <v>202110.44805000001</v>
      </c>
      <c r="BD99" s="365">
        <v>202142.35045000003</v>
      </c>
      <c r="BE99" s="365">
        <v>203241.97481000001</v>
      </c>
      <c r="BF99" s="365">
        <v>203538.53939999998</v>
      </c>
      <c r="BG99" s="135">
        <v>203700.24842000002</v>
      </c>
      <c r="BH99" s="135">
        <v>206114.14734</v>
      </c>
      <c r="BI99" s="135">
        <v>205816.08113999999</v>
      </c>
      <c r="BJ99" s="135">
        <v>208920.08262999996</v>
      </c>
      <c r="BK99" s="135">
        <v>210337.97777</v>
      </c>
      <c r="BL99" s="135">
        <v>211149.13232000003</v>
      </c>
      <c r="BM99" s="135">
        <v>223626.45615000001</v>
      </c>
      <c r="BN99" s="135">
        <v>223966.32744999998</v>
      </c>
      <c r="BO99" s="135">
        <v>223844.76916000003</v>
      </c>
      <c r="BP99" s="135">
        <v>224108.14058000001</v>
      </c>
      <c r="BQ99" s="135">
        <v>223448.86371000001</v>
      </c>
      <c r="BR99" s="135">
        <v>224110.95702000003</v>
      </c>
      <c r="BS99" s="135">
        <v>223421.00082000002</v>
      </c>
      <c r="BT99" s="135">
        <v>223288.62886</v>
      </c>
      <c r="BU99" s="135">
        <v>224012.10277</v>
      </c>
      <c r="BV99" s="135">
        <v>225596.17494000006</v>
      </c>
      <c r="BW99" s="135">
        <v>228055.79185999997</v>
      </c>
      <c r="BX99" s="135">
        <v>230239.22588000004</v>
      </c>
      <c r="BY99" s="135">
        <v>243934.74647000001</v>
      </c>
      <c r="BZ99" s="135">
        <v>243559.83633999998</v>
      </c>
      <c r="CA99" s="135">
        <v>243051.92124</v>
      </c>
      <c r="CB99" s="135">
        <v>242413.38610999999</v>
      </c>
      <c r="CC99" s="135">
        <v>242168.58409000002</v>
      </c>
      <c r="CD99" s="135">
        <v>242279.81196000002</v>
      </c>
      <c r="CE99" s="135">
        <v>241089.27797</v>
      </c>
      <c r="CF99" s="135">
        <v>241624.45148000002</v>
      </c>
      <c r="CG99" s="135">
        <v>242527.19125999999</v>
      </c>
      <c r="CH99" s="135">
        <v>245154.34679000001</v>
      </c>
      <c r="CI99" s="135">
        <v>245791.29236999998</v>
      </c>
      <c r="CJ99" s="135">
        <v>246452.37883</v>
      </c>
      <c r="CK99" s="135">
        <v>254549.78775999998</v>
      </c>
      <c r="CL99" s="135">
        <f t="shared" ref="CL99:CW99" si="149">SUM(CL93:CL98)</f>
        <v>254492.74315999998</v>
      </c>
      <c r="CM99" s="135">
        <f t="shared" si="149"/>
        <v>255693.47043000002</v>
      </c>
      <c r="CN99" s="135">
        <f t="shared" si="149"/>
        <v>258465.71127999999</v>
      </c>
      <c r="CO99" s="135">
        <f t="shared" si="149"/>
        <v>260636.25347</v>
      </c>
      <c r="CP99" s="135">
        <f t="shared" si="149"/>
        <v>263604.85227000003</v>
      </c>
      <c r="CQ99" s="135">
        <f t="shared" si="149"/>
        <v>265610.77578999999</v>
      </c>
      <c r="CR99" s="135">
        <f t="shared" si="149"/>
        <v>266809.24745999998</v>
      </c>
      <c r="CS99" s="135">
        <f t="shared" si="149"/>
        <v>268909.89997000003</v>
      </c>
      <c r="CT99" s="135">
        <f t="shared" si="149"/>
        <v>271258.17973999999</v>
      </c>
      <c r="CU99" s="135">
        <f t="shared" si="149"/>
        <v>274970.61044999998</v>
      </c>
      <c r="CV99" s="135">
        <f t="shared" si="149"/>
        <v>277962.63458000001</v>
      </c>
      <c r="CW99" s="135">
        <f t="shared" si="149"/>
        <v>273114.77390000003</v>
      </c>
      <c r="CX99" s="135">
        <f t="shared" ref="CX99:DC99" si="150">SUM(CX93:CX98)</f>
        <v>272997.80615999998</v>
      </c>
      <c r="CY99" s="135">
        <f t="shared" si="150"/>
        <v>273887.13078000001</v>
      </c>
      <c r="CZ99" s="135">
        <f t="shared" si="150"/>
        <v>275093.70286000002</v>
      </c>
      <c r="DA99" s="135">
        <f t="shared" si="150"/>
        <v>275933.47472</v>
      </c>
      <c r="DB99" s="135">
        <f t="shared" si="150"/>
        <v>277499.50624999998</v>
      </c>
      <c r="DC99" s="135">
        <f t="shared" si="150"/>
        <v>278448.98759999999</v>
      </c>
      <c r="DD99" s="135">
        <f t="shared" ref="DD99:DI99" si="151">SUM(DD93:DD98)</f>
        <v>279122.96017999999</v>
      </c>
      <c r="DE99" s="135">
        <f t="shared" si="151"/>
        <v>281260.75023000001</v>
      </c>
      <c r="DF99" s="135">
        <f t="shared" si="151"/>
        <v>284085.03905000002</v>
      </c>
      <c r="DG99" s="135">
        <f t="shared" si="151"/>
        <v>285807.74218</v>
      </c>
      <c r="DH99" s="135">
        <f t="shared" si="151"/>
        <v>291306.01649000007</v>
      </c>
      <c r="DI99" s="135">
        <f t="shared" si="151"/>
        <v>291848.15552000003</v>
      </c>
      <c r="DJ99" s="135">
        <f t="shared" ref="DJ99:DP99" si="152">SUM(DJ93:DJ98)</f>
        <v>292474.39491000003</v>
      </c>
      <c r="DK99" s="135">
        <f t="shared" si="152"/>
        <v>293810.88847999997</v>
      </c>
      <c r="DL99" s="135">
        <f t="shared" si="152"/>
        <v>294746.55198999995</v>
      </c>
      <c r="DM99" s="135">
        <f t="shared" si="152"/>
        <v>296187.83715000004</v>
      </c>
      <c r="DN99" s="135">
        <f t="shared" si="152"/>
        <v>297202.87357000005</v>
      </c>
      <c r="DO99" s="135">
        <f t="shared" si="152"/>
        <v>299401.24299000006</v>
      </c>
      <c r="DP99" s="135">
        <f t="shared" si="152"/>
        <v>301403.69484999997</v>
      </c>
      <c r="DQ99" s="135">
        <f t="shared" ref="DQ99:DX99" si="153">SUM(DQ93:DQ98)</f>
        <v>304114.90725000005</v>
      </c>
      <c r="DR99" s="135">
        <f t="shared" si="153"/>
        <v>304206.79946999997</v>
      </c>
      <c r="DS99" s="135">
        <f t="shared" si="153"/>
        <v>305880.26604000002</v>
      </c>
      <c r="DT99" s="135">
        <f t="shared" si="153"/>
        <v>307108.83821000002</v>
      </c>
      <c r="DU99" s="135">
        <f t="shared" si="153"/>
        <v>310043.32375999994</v>
      </c>
      <c r="DV99" s="135">
        <f t="shared" si="153"/>
        <v>310440.22378</v>
      </c>
      <c r="DW99" s="135">
        <f t="shared" si="153"/>
        <v>313388.55223000003</v>
      </c>
      <c r="DX99" s="135">
        <f t="shared" si="153"/>
        <v>314380.38933999999</v>
      </c>
      <c r="DY99" s="135">
        <f t="shared" ref="DY99:ED99" si="154">SUM(DY93:DY98)</f>
        <v>316878.62904999999</v>
      </c>
      <c r="DZ99" s="135">
        <f t="shared" si="154"/>
        <v>319300.97276000003</v>
      </c>
      <c r="EA99" s="135">
        <f t="shared" si="154"/>
        <v>321791.00828000001</v>
      </c>
      <c r="EB99" s="135">
        <f t="shared" si="154"/>
        <v>323537.66791999998</v>
      </c>
      <c r="EC99" s="135">
        <f t="shared" si="154"/>
        <v>324434.56799000001</v>
      </c>
      <c r="ED99" s="135">
        <f t="shared" si="154"/>
        <v>326286.79129999998</v>
      </c>
      <c r="EE99" s="135">
        <f t="shared" ref="EE99:EJ99" si="155">SUM(EE93:EE98)</f>
        <v>328733.53835000005</v>
      </c>
      <c r="EF99" s="135">
        <f t="shared" si="155"/>
        <v>330224.51739000005</v>
      </c>
      <c r="EG99" s="135">
        <f t="shared" si="155"/>
        <v>334516.27537000005</v>
      </c>
      <c r="EH99" s="135">
        <f t="shared" si="155"/>
        <v>336269.92670999997</v>
      </c>
      <c r="EI99" s="135">
        <f t="shared" si="155"/>
        <v>336327.10145999998</v>
      </c>
      <c r="EJ99" s="135">
        <f t="shared" si="155"/>
        <v>333863.76694</v>
      </c>
      <c r="EK99" s="135">
        <f t="shared" ref="EK99:EP99" si="156">SUM(EK93:EK98)</f>
        <v>335976.65715999994</v>
      </c>
      <c r="EL99" s="135">
        <f t="shared" si="156"/>
        <v>338003.51559999998</v>
      </c>
      <c r="EM99" s="135">
        <f t="shared" si="156"/>
        <v>337832.85865999997</v>
      </c>
      <c r="EN99" s="135">
        <f t="shared" si="156"/>
        <v>340182.02051</v>
      </c>
      <c r="EO99" s="135">
        <f t="shared" si="156"/>
        <v>341421.46250000002</v>
      </c>
      <c r="EP99" s="135">
        <f t="shared" si="156"/>
        <v>343173.64672000002</v>
      </c>
      <c r="EQ99" s="135">
        <f t="shared" ref="EQ99:FF99" si="157">SUM(EQ93:EQ98)</f>
        <v>346167.69015000004</v>
      </c>
      <c r="ER99" s="135">
        <f t="shared" si="157"/>
        <v>350940.16966999997</v>
      </c>
      <c r="ES99" s="135">
        <f t="shared" si="157"/>
        <v>348444.55278000003</v>
      </c>
      <c r="ET99" s="135">
        <f t="shared" si="157"/>
        <v>351684.88104999997</v>
      </c>
      <c r="EU99" s="135">
        <f t="shared" si="157"/>
        <v>352926.11245000002</v>
      </c>
      <c r="EV99" s="135">
        <f t="shared" si="157"/>
        <v>353760.12468999997</v>
      </c>
      <c r="EW99" s="135">
        <f t="shared" ref="EW99:EY99" si="158">SUM(EW93:EW98)</f>
        <v>354018.42598</v>
      </c>
      <c r="EX99" s="135">
        <f t="shared" si="158"/>
        <v>356229.55499999999</v>
      </c>
      <c r="EY99" s="135">
        <f t="shared" si="158"/>
        <v>359069.03751000005</v>
      </c>
      <c r="EZ99" s="135">
        <f t="shared" ref="EZ99:FB99" si="159">SUM(EZ93:EZ98)</f>
        <v>361144.46857000003</v>
      </c>
      <c r="FA99" s="135">
        <f t="shared" si="159"/>
        <v>366533.19325000001</v>
      </c>
      <c r="FB99" s="135">
        <f t="shared" si="159"/>
        <v>369835.74720000004</v>
      </c>
      <c r="FC99" s="135">
        <f t="shared" ref="FC99:FE99" si="160">SUM(FC93:FC98)</f>
        <v>372784.08484999998</v>
      </c>
      <c r="FD99" s="135">
        <f t="shared" si="160"/>
        <v>374809.44744000002</v>
      </c>
      <c r="FE99" s="135">
        <f t="shared" si="160"/>
        <v>380515.58851999999</v>
      </c>
      <c r="FF99" s="365">
        <f t="shared" si="157"/>
        <v>361673.47840692307</v>
      </c>
      <c r="FG99" s="135"/>
      <c r="FH99" s="135"/>
      <c r="FI99" s="455" t="s">
        <v>1706</v>
      </c>
      <c r="FJ99" s="456"/>
      <c r="FK99" s="155"/>
      <c r="FL99" s="155"/>
      <c r="FM99" s="155"/>
      <c r="FN99" s="155"/>
      <c r="FO99" s="155"/>
      <c r="FP99" s="155"/>
      <c r="FQ99" s="155"/>
      <c r="FR99" s="155"/>
      <c r="FS99" s="155"/>
      <c r="FT99" s="155"/>
      <c r="FU99" s="155"/>
      <c r="FV99" s="155"/>
      <c r="FW99" s="155"/>
      <c r="FX99" s="155"/>
      <c r="FY99" s="155"/>
      <c r="FZ99" s="155"/>
      <c r="GA99" s="155"/>
      <c r="GB99" s="155"/>
      <c r="GC99" s="155"/>
      <c r="GD99" s="155"/>
      <c r="GE99" s="155"/>
      <c r="GF99" s="155"/>
      <c r="GG99" s="155"/>
      <c r="GH99" s="155"/>
      <c r="GI99" s="155"/>
      <c r="GJ99" s="155"/>
      <c r="GK99" s="155"/>
      <c r="GL99" s="155"/>
      <c r="GM99" s="155"/>
      <c r="GN99" s="155"/>
      <c r="GO99" s="155"/>
      <c r="GP99" s="155"/>
      <c r="GQ99" s="155"/>
      <c r="GR99" s="155"/>
      <c r="GS99" s="155"/>
      <c r="GT99" s="155"/>
      <c r="GU99" s="155"/>
      <c r="GV99" s="155"/>
      <c r="GW99" s="155"/>
      <c r="GX99" s="155"/>
      <c r="GY99" s="155"/>
      <c r="GZ99" s="155"/>
      <c r="HA99" s="155"/>
      <c r="HB99" s="155"/>
      <c r="HC99" s="155"/>
      <c r="HD99" s="155"/>
      <c r="HE99" s="155"/>
      <c r="HF99" s="155"/>
      <c r="HG99" s="155"/>
      <c r="HH99" s="155"/>
      <c r="HI99" s="155"/>
      <c r="HJ99" s="155"/>
      <c r="HK99" s="155"/>
      <c r="HL99" s="155"/>
      <c r="HM99" s="155"/>
      <c r="HN99" s="155"/>
      <c r="HO99" s="155"/>
      <c r="HP99" s="155"/>
      <c r="HQ99" s="155"/>
      <c r="HR99" s="155"/>
      <c r="HS99" s="155"/>
      <c r="HT99" s="155"/>
      <c r="HU99" s="155"/>
      <c r="HV99" s="155"/>
      <c r="HW99" s="155"/>
      <c r="HX99" s="155"/>
      <c r="HY99" s="155"/>
      <c r="HZ99" s="155"/>
      <c r="IA99" s="155"/>
      <c r="IB99" s="155"/>
      <c r="IC99" s="155"/>
      <c r="ID99" s="155"/>
      <c r="IE99" s="155"/>
      <c r="IF99" s="155"/>
      <c r="IG99" s="155"/>
      <c r="IH99" s="155"/>
      <c r="II99" s="155"/>
      <c r="IJ99" s="35"/>
      <c r="IK99" s="225"/>
      <c r="IL99" s="226"/>
      <c r="IM99" s="155"/>
      <c r="IN99" s="155"/>
      <c r="IO99" s="155"/>
      <c r="IP99" s="155"/>
      <c r="IQ99" s="155"/>
      <c r="IR99" s="155"/>
      <c r="IS99" s="155"/>
      <c r="IT99" s="155"/>
      <c r="IU99" s="155"/>
      <c r="IV99" s="155"/>
      <c r="IW99" s="155"/>
      <c r="IX99" s="155"/>
      <c r="IY99" s="155"/>
    </row>
    <row r="100" spans="1:259">
      <c r="A100" s="29"/>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360"/>
      <c r="BB100" s="360"/>
      <c r="BC100" s="360"/>
      <c r="BD100" s="360"/>
      <c r="BE100" s="360"/>
      <c r="BF100" s="360"/>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c r="CA100" s="111"/>
      <c r="CB100" s="111"/>
      <c r="CC100" s="111"/>
      <c r="CD100" s="111"/>
      <c r="CE100" s="111"/>
      <c r="CF100" s="111"/>
      <c r="CG100" s="111"/>
      <c r="CH100" s="111"/>
      <c r="CI100" s="111"/>
      <c r="CJ100" s="111"/>
      <c r="CK100" s="111"/>
      <c r="CL100" s="111"/>
      <c r="CM100" s="111"/>
      <c r="CN100" s="111"/>
      <c r="CO100" s="111"/>
      <c r="CP100" s="111"/>
      <c r="CQ100" s="111"/>
      <c r="CR100" s="111"/>
      <c r="CS100" s="111"/>
      <c r="CT100" s="111"/>
      <c r="CU100" s="111"/>
      <c r="CV100" s="111"/>
      <c r="CW100" s="111"/>
      <c r="CX100" s="111"/>
      <c r="CY100" s="111"/>
      <c r="CZ100" s="111"/>
      <c r="DA100" s="111"/>
      <c r="DB100" s="111"/>
      <c r="DC100" s="111"/>
      <c r="DD100" s="111"/>
      <c r="DE100" s="111"/>
      <c r="DF100" s="111"/>
      <c r="DG100" s="111"/>
      <c r="DH100" s="111"/>
      <c r="DI100" s="111"/>
      <c r="DJ100" s="111"/>
      <c r="DK100" s="111"/>
      <c r="DL100" s="111"/>
      <c r="DM100" s="111"/>
      <c r="DN100" s="111"/>
      <c r="DO100" s="111"/>
      <c r="DP100" s="111"/>
      <c r="DQ100" s="111"/>
      <c r="DR100" s="111"/>
      <c r="DS100" s="111"/>
      <c r="DT100" s="111"/>
      <c r="DU100" s="111"/>
      <c r="DV100" s="111"/>
      <c r="DW100" s="111"/>
      <c r="DX100" s="111"/>
      <c r="DY100" s="111"/>
      <c r="DZ100" s="111"/>
      <c r="EA100" s="111"/>
      <c r="EB100" s="111"/>
      <c r="EC100" s="111"/>
      <c r="ED100" s="111"/>
      <c r="EE100" s="111"/>
      <c r="EF100" s="111"/>
      <c r="EG100" s="111"/>
      <c r="EH100" s="111"/>
      <c r="EI100" s="111"/>
      <c r="EJ100" s="111"/>
      <c r="EK100" s="111"/>
      <c r="EL100" s="111"/>
      <c r="EM100" s="111"/>
      <c r="EN100" s="111"/>
      <c r="EO100" s="111"/>
      <c r="EP100" s="111"/>
      <c r="EQ100" s="111"/>
      <c r="ER100" s="111"/>
      <c r="ES100" s="111"/>
      <c r="ET100" s="111"/>
      <c r="EU100" s="111"/>
      <c r="EV100" s="111"/>
      <c r="EW100" s="111"/>
      <c r="EX100" s="111"/>
      <c r="EY100" s="111"/>
      <c r="EZ100" s="111"/>
      <c r="FA100" s="111"/>
      <c r="FB100" s="111"/>
      <c r="FC100" s="111"/>
      <c r="FD100" s="111"/>
      <c r="FE100" s="111"/>
      <c r="FF100" s="111"/>
      <c r="FG100" s="111"/>
      <c r="FH100" s="111"/>
      <c r="IJ100" s="35"/>
      <c r="IK100" s="220"/>
      <c r="IL100" s="226"/>
      <c r="IM100" s="35"/>
      <c r="IN100" s="35"/>
      <c r="IO100" s="35"/>
      <c r="IP100" s="35"/>
      <c r="IQ100" s="35"/>
      <c r="IR100" s="35"/>
      <c r="IS100" s="35"/>
      <c r="IT100" s="35"/>
      <c r="IU100" s="35"/>
      <c r="IV100" s="35"/>
      <c r="IW100" s="35"/>
      <c r="IX100" s="35"/>
      <c r="IY100" s="35"/>
    </row>
    <row r="101" spans="1:259">
      <c r="A101" s="27" t="s">
        <v>292</v>
      </c>
      <c r="B101" s="185">
        <v>33638.394549999997</v>
      </c>
      <c r="C101" s="185">
        <v>33736.822549999997</v>
      </c>
      <c r="D101" s="185">
        <v>33610.294549999999</v>
      </c>
      <c r="E101" s="185">
        <v>33639.60355</v>
      </c>
      <c r="F101" s="185">
        <v>33475.76655</v>
      </c>
      <c r="G101" s="185">
        <v>33501.430549999997</v>
      </c>
      <c r="H101" s="185">
        <v>30569.292549999998</v>
      </c>
      <c r="I101" s="185">
        <v>30601.705549999999</v>
      </c>
      <c r="J101" s="185">
        <v>30631.118549999996</v>
      </c>
      <c r="K101" s="185">
        <v>30280.371549999996</v>
      </c>
      <c r="L101" s="185">
        <v>30321.960549999996</v>
      </c>
      <c r="M101" s="185">
        <v>30358.206549999995</v>
      </c>
      <c r="N101" s="185">
        <v>29894.415549999998</v>
      </c>
      <c r="O101" s="185">
        <v>29931</v>
      </c>
      <c r="P101" s="185">
        <v>29654</v>
      </c>
      <c r="Q101" s="185">
        <v>27669</v>
      </c>
      <c r="R101" s="185">
        <v>27440</v>
      </c>
      <c r="S101" s="185">
        <v>27472</v>
      </c>
      <c r="T101" s="185">
        <v>27073</v>
      </c>
      <c r="U101" s="185">
        <v>27119</v>
      </c>
      <c r="V101" s="185">
        <v>27215</v>
      </c>
      <c r="W101" s="185">
        <v>26499</v>
      </c>
      <c r="X101" s="185">
        <v>26528</v>
      </c>
      <c r="Y101" s="185">
        <v>26611</v>
      </c>
      <c r="Z101" s="185">
        <v>26218</v>
      </c>
      <c r="AA101" s="185">
        <v>26300</v>
      </c>
      <c r="AB101" s="185">
        <v>25961</v>
      </c>
      <c r="AC101" s="185">
        <v>25800</v>
      </c>
      <c r="AD101" s="185">
        <v>31527</v>
      </c>
      <c r="AE101" s="185">
        <v>31555</v>
      </c>
      <c r="AF101" s="185">
        <v>30797</v>
      </c>
      <c r="AG101" s="185">
        <v>31140.002939999998</v>
      </c>
      <c r="AH101" s="185">
        <v>31161.953120000002</v>
      </c>
      <c r="AI101" s="185">
        <v>30405.372520000001</v>
      </c>
      <c r="AJ101" s="185">
        <v>29999.343140000001</v>
      </c>
      <c r="AK101" s="185">
        <v>30010.758109999999</v>
      </c>
      <c r="AL101" s="185">
        <v>29781.098579999998</v>
      </c>
      <c r="AM101" s="204">
        <v>29803.447699999997</v>
      </c>
      <c r="AN101" s="204">
        <v>29843.149989999998</v>
      </c>
      <c r="AO101" s="204">
        <v>32061.005209999999</v>
      </c>
      <c r="AP101" s="204">
        <v>31697.194440000003</v>
      </c>
      <c r="AQ101" s="204">
        <v>31743.189159999998</v>
      </c>
      <c r="AR101" s="204">
        <v>31204.591139999997</v>
      </c>
      <c r="AS101" s="251">
        <v>31262.258819999995</v>
      </c>
      <c r="AT101" s="251">
        <v>31311.512089999997</v>
      </c>
      <c r="AU101" s="251">
        <v>30732.680179999999</v>
      </c>
      <c r="AV101" s="251">
        <v>30773.624810000005</v>
      </c>
      <c r="AW101" s="251">
        <v>30812.708799999997</v>
      </c>
      <c r="AX101" s="251">
        <v>29992.015070000001</v>
      </c>
      <c r="AY101" s="221">
        <v>29674.924859999996</v>
      </c>
      <c r="AZ101" s="221">
        <v>29722.28197</v>
      </c>
      <c r="BA101" s="355">
        <v>20591.124830000001</v>
      </c>
      <c r="BB101" s="355">
        <v>20607.092149999997</v>
      </c>
      <c r="BC101" s="355">
        <v>20058.910679999997</v>
      </c>
      <c r="BD101" s="355">
        <v>19471.365719999998</v>
      </c>
      <c r="BE101" s="355">
        <v>19479.098240000003</v>
      </c>
      <c r="BF101" s="355">
        <v>19521.804809999998</v>
      </c>
      <c r="BG101" s="190">
        <v>19161.513279999999</v>
      </c>
      <c r="BH101" s="190">
        <v>19192.960769999998</v>
      </c>
      <c r="BI101" s="190">
        <v>19100.739740000001</v>
      </c>
      <c r="BJ101" s="190">
        <v>18917.585010000003</v>
      </c>
      <c r="BK101" s="190">
        <v>18951.330930000004</v>
      </c>
      <c r="BL101" s="190">
        <v>18980.528899999998</v>
      </c>
      <c r="BM101" s="190">
        <v>22584.444039999998</v>
      </c>
      <c r="BN101" s="190">
        <v>22520.292459999997</v>
      </c>
      <c r="BO101" s="190">
        <v>22374.916109999998</v>
      </c>
      <c r="BP101" s="190">
        <v>22727.668209999996</v>
      </c>
      <c r="BQ101" s="190">
        <v>22776.301919999998</v>
      </c>
      <c r="BR101" s="190">
        <v>22803.424510000001</v>
      </c>
      <c r="BS101" s="190">
        <v>21660.397710000005</v>
      </c>
      <c r="BT101" s="190">
        <v>21779.480500000001</v>
      </c>
      <c r="BU101" s="190">
        <v>21513.615160000005</v>
      </c>
      <c r="BV101" s="190">
        <v>21461.795910000004</v>
      </c>
      <c r="BW101" s="190">
        <v>21503.532179999998</v>
      </c>
      <c r="BX101" s="190">
        <v>21529.79911</v>
      </c>
      <c r="BY101" s="190">
        <v>28752.137349999997</v>
      </c>
      <c r="BZ101" s="190">
        <v>28779.16978</v>
      </c>
      <c r="CA101" s="190">
        <v>28807.229030000002</v>
      </c>
      <c r="CB101" s="190">
        <v>28487.95592</v>
      </c>
      <c r="CC101" s="190">
        <v>28532.524519999999</v>
      </c>
      <c r="CD101" s="190">
        <v>28557.374469999999</v>
      </c>
      <c r="CE101" s="190">
        <v>28103.52132</v>
      </c>
      <c r="CF101" s="190">
        <v>28122.042060000003</v>
      </c>
      <c r="CG101" s="190">
        <v>28112.709770000001</v>
      </c>
      <c r="CH101" s="190">
        <v>37008.510319999899</v>
      </c>
      <c r="CI101" s="190">
        <v>37082.960279999992</v>
      </c>
      <c r="CJ101" s="190">
        <v>37162.061430000009</v>
      </c>
      <c r="CK101" s="190">
        <v>32667.708139999999</v>
      </c>
      <c r="CL101" s="190">
        <v>33232.551169999999</v>
      </c>
      <c r="CM101" s="190">
        <v>32814.977719999995</v>
      </c>
      <c r="CN101" s="190">
        <v>32356.243689999999</v>
      </c>
      <c r="CO101" s="190">
        <v>32537.237589999997</v>
      </c>
      <c r="CP101" s="190">
        <v>32611.938400000003</v>
      </c>
      <c r="CQ101" s="190">
        <v>33329.017630000002</v>
      </c>
      <c r="CR101" s="190">
        <v>33406.819600000003</v>
      </c>
      <c r="CS101" s="190">
        <v>33463.907770000005</v>
      </c>
      <c r="CT101" s="190">
        <v>33316.9444</v>
      </c>
      <c r="CU101" s="190">
        <v>33390.140930000001</v>
      </c>
      <c r="CV101" s="190">
        <v>33438.184299999994</v>
      </c>
      <c r="CW101" s="190">
        <v>31177.312839999995</v>
      </c>
      <c r="CX101" s="190">
        <v>31376.518619999999</v>
      </c>
      <c r="CY101" s="190">
        <v>31163.232049999999</v>
      </c>
      <c r="CZ101" s="190">
        <v>30755.33726</v>
      </c>
      <c r="DA101" s="190">
        <v>30807.307420000001</v>
      </c>
      <c r="DB101" s="190">
        <v>30775.087789999998</v>
      </c>
      <c r="DC101" s="190">
        <v>30308.419610000001</v>
      </c>
      <c r="DD101" s="190">
        <v>30393.484840000001</v>
      </c>
      <c r="DE101" s="190">
        <v>30443.54896</v>
      </c>
      <c r="DF101" s="190">
        <v>29638.7284</v>
      </c>
      <c r="DG101" s="190">
        <v>29686.634049999997</v>
      </c>
      <c r="DH101" s="190">
        <v>29725.090929999998</v>
      </c>
      <c r="DI101" s="190">
        <v>35590.311590000005</v>
      </c>
      <c r="DJ101" s="190">
        <v>35580.073530000001</v>
      </c>
      <c r="DK101" s="190">
        <v>35936.726539999996</v>
      </c>
      <c r="DL101" s="190">
        <v>35399.9663</v>
      </c>
      <c r="DM101" s="190">
        <v>35501.154719999999</v>
      </c>
      <c r="DN101" s="190">
        <v>35557.995280000003</v>
      </c>
      <c r="DO101" s="190">
        <v>35202.79681</v>
      </c>
      <c r="DP101" s="190">
        <v>35457.040970000002</v>
      </c>
      <c r="DQ101" s="190">
        <v>35395.493570000006</v>
      </c>
      <c r="DR101" s="190">
        <v>34997.089570000004</v>
      </c>
      <c r="DS101" s="190">
        <v>35090.72984</v>
      </c>
      <c r="DT101" s="190">
        <v>35184.564019999998</v>
      </c>
      <c r="DU101" s="190">
        <v>35443.422120000003</v>
      </c>
      <c r="DV101" s="190">
        <v>35507.218290000004</v>
      </c>
      <c r="DW101" s="190">
        <v>35601.645599999996</v>
      </c>
      <c r="DX101" s="190">
        <v>35272.63496000001</v>
      </c>
      <c r="DY101" s="190">
        <v>35224.527670000003</v>
      </c>
      <c r="DZ101" s="190">
        <v>35345.569620000002</v>
      </c>
      <c r="EA101" s="190">
        <v>34853.14884999999</v>
      </c>
      <c r="EB101" s="190">
        <v>34963.662409999997</v>
      </c>
      <c r="EC101" s="190">
        <v>34979.036870000004</v>
      </c>
      <c r="ED101" s="190">
        <v>34527.22481</v>
      </c>
      <c r="EE101" s="190">
        <v>34622.990109999999</v>
      </c>
      <c r="EF101" s="190">
        <v>34771.98979</v>
      </c>
      <c r="EG101" s="190">
        <v>41453.739150000009</v>
      </c>
      <c r="EH101" s="190">
        <v>41521.220939999999</v>
      </c>
      <c r="EI101" s="190">
        <v>41646.103440000006</v>
      </c>
      <c r="EJ101" s="190">
        <v>40033.396829999998</v>
      </c>
      <c r="EK101" s="190">
        <v>40142.611369999999</v>
      </c>
      <c r="EL101" s="190">
        <v>40250.912710000004</v>
      </c>
      <c r="EM101" s="190">
        <v>39881.427500000005</v>
      </c>
      <c r="EN101" s="190">
        <v>40010.225060000004</v>
      </c>
      <c r="EO101" s="190">
        <v>40090.886680000003</v>
      </c>
      <c r="EP101" s="190">
        <v>39764.307420000005</v>
      </c>
      <c r="EQ101" s="190">
        <v>40002.90638</v>
      </c>
      <c r="ER101" s="190">
        <v>40158.910090000005</v>
      </c>
      <c r="ES101" s="190">
        <v>31953.972819999999</v>
      </c>
      <c r="ET101" s="190">
        <v>31996.468939999999</v>
      </c>
      <c r="EU101" s="190">
        <v>32089.228980000004</v>
      </c>
      <c r="EV101" s="190">
        <v>31835.970140000005</v>
      </c>
      <c r="EW101" s="190">
        <v>31945.962179999999</v>
      </c>
      <c r="EX101" s="190">
        <v>31942.49985</v>
      </c>
      <c r="EY101" s="190">
        <v>29362.78008</v>
      </c>
      <c r="EZ101" s="190">
        <v>29737.614130000002</v>
      </c>
      <c r="FA101" s="190">
        <v>29255.497570000003</v>
      </c>
      <c r="FB101" s="190">
        <v>28446.930640000002</v>
      </c>
      <c r="FC101" s="190">
        <f>-(VLOOKUP("2281081",'Input BS ACCTS'!$A$5:$DH$1058,110,FALSE)+VLOOKUP("2283201",'Input BS ACCTS'!$A$5:$DH$1058,110,FALSE)+VLOOKUP("2283203",'Input BS ACCTS'!$A$5:$DH$1058,110,FALSE)+VLOOKUP("2283211",'Input BS ACCTS'!$A$5:$DH$1058,110,FALSE)+VLOOKUP("2283231",'Input BS ACCTS'!$A$5:$DH$1058,110,FALSE)+VLOOKUP("2283240",'Input BS ACCTS'!$A$5:$DH$1058,110,FALSE)+VLOOKUP("2320022",'Input BS ACCTS'!$A$5:$DH$1058,110,FALSE)+VLOOKUP("2283210",'Input BS ACCTS'!$A$5:$DH$1058,110,FALSE)+VLOOKUP("2283220",'Input BS ACCTS'!$A$5:$DH$1058,110,FALSE)+VLOOKUP("2283221",'Input BS ACCTS'!$A$5:$DH$1058,110,FALSE)+VLOOKUP("2420111",'Input BS ACCTS'!$A$5:$DH$1058,110,FALSE)+VLOOKUP("2420121",'Input BS ACCTS'!$A$5:$DH$1058,110,FALSE)+VLOOKUP("2420131",'Input BS ACCTS'!$A$5:$DH$1058,110,FALSE))/1000</f>
        <v>28056.460999999999</v>
      </c>
      <c r="FD101" s="190">
        <f>-(VLOOKUP("2281081",'Input BS ACCTS'!$A$5:$DH$1058,111,FALSE)+VLOOKUP("2283201",'Input BS ACCTS'!$A$5:$DH$1058,111,FALSE)+VLOOKUP("2283203",'Input BS ACCTS'!$A$5:$DH$1058,111,FALSE)+VLOOKUP("2283211",'Input BS ACCTS'!$A$5:$DH$1058,111,FALSE)+VLOOKUP("2283231",'Input BS ACCTS'!$A$5:$DH$1058,111,FALSE)+VLOOKUP("2283240",'Input BS ACCTS'!$A$5:$DH$1058,111,FALSE)+VLOOKUP("2320022",'Input BS ACCTS'!$A$5:$DH$1058,111,FALSE)+VLOOKUP("2283210",'Input BS ACCTS'!$A$5:$DH$1058,111,FALSE)+VLOOKUP("2283220",'Input BS ACCTS'!$A$5:$DH$1058,111,FALSE)+VLOOKUP("2283221",'Input BS ACCTS'!$A$5:$DH$1058,111,FALSE)+VLOOKUP("2420111",'Input BS ACCTS'!$A$5:$DH$1058,111,FALSE)+VLOOKUP("2420121",'Input BS ACCTS'!$A$5:$DH$1058,111,FALSE)+VLOOKUP("2420131",'Input BS ACCTS'!$A$5:$DH$1058,111,FALSE))/1000</f>
        <v>27898.777239999999</v>
      </c>
      <c r="FE101" s="190">
        <f>-(VLOOKUP("2281081",'Input BS ACCTS'!$A$5:$DH$1058,112,FALSE)+VLOOKUP("2283201",'Input BS ACCTS'!$A$5:$DH$1058,112,FALSE)+VLOOKUP("2283203",'Input BS ACCTS'!$A$5:$DH$1058,112,FALSE)+VLOOKUP("2283211",'Input BS ACCTS'!$A$5:$DH$1058,112,FALSE)+VLOOKUP("2283231",'Input BS ACCTS'!$A$5:$DH$1058,112,FALSE)+VLOOKUP("2283240",'Input BS ACCTS'!$A$5:$DH$1058,112,FALSE)+VLOOKUP("2320022",'Input BS ACCTS'!$A$5:$DH$1058,112,FALSE)+VLOOKUP("2283210",'Input BS ACCTS'!$A$5:$DH$1058,112,FALSE)+VLOOKUP("2283220",'Input BS ACCTS'!$A$5:$DH$1058,112,FALSE)+VLOOKUP("2283221",'Input BS ACCTS'!$A$5:$DH$1058,112,FALSE)+VLOOKUP("2420111",'Input BS ACCTS'!$A$5:$DH$1058,112,FALSE)+VLOOKUP("2420121",'Input BS ACCTS'!$A$5:$DH$1058,112,FALSE)+VLOOKUP("2420131",'Input BS ACCTS'!$A$5:$DH$1058,112,FALSE))/1000</f>
        <v>35259.064810000003</v>
      </c>
      <c r="FF101" s="403">
        <f t="shared" ref="FF101:FF102" si="161">SUM(ES101:FE101)/13</f>
        <v>30752.402183076923</v>
      </c>
      <c r="FG101" s="700"/>
      <c r="FH101" s="700"/>
      <c r="FI101" s="191"/>
      <c r="FJ101" s="191"/>
      <c r="FK101" s="191"/>
      <c r="FL101" s="191"/>
      <c r="FM101" s="191"/>
      <c r="FN101" s="191"/>
      <c r="FO101" s="191"/>
      <c r="FP101" s="191"/>
      <c r="FQ101" s="191"/>
      <c r="FR101" s="191"/>
      <c r="FS101" s="191"/>
      <c r="FT101" s="191"/>
      <c r="FU101" s="191"/>
      <c r="FV101" s="191"/>
      <c r="FW101" s="191"/>
      <c r="FX101" s="191"/>
      <c r="FY101" s="191"/>
      <c r="FZ101" s="191"/>
      <c r="GA101" s="191"/>
      <c r="GB101" s="191"/>
      <c r="GC101" s="191"/>
      <c r="GD101" s="191"/>
      <c r="GE101" s="191"/>
      <c r="GF101" s="191"/>
      <c r="GG101" s="191"/>
      <c r="GH101" s="191"/>
      <c r="GI101" s="191"/>
      <c r="GJ101" s="191"/>
      <c r="GK101" s="191"/>
      <c r="GL101" s="191"/>
      <c r="GM101" s="191"/>
      <c r="GN101" s="191"/>
      <c r="GO101" s="191"/>
      <c r="GP101" s="191"/>
      <c r="GQ101" s="191"/>
      <c r="GR101" s="191"/>
      <c r="GS101" s="191"/>
      <c r="GT101" s="191"/>
      <c r="GU101" s="191"/>
      <c r="GV101" s="191"/>
      <c r="GW101" s="191"/>
      <c r="GX101" s="191"/>
      <c r="GY101" s="191"/>
      <c r="GZ101" s="191"/>
      <c r="HA101" s="191"/>
      <c r="HB101" s="191"/>
      <c r="HC101" s="191"/>
      <c r="HD101" s="191"/>
      <c r="HE101" s="191"/>
      <c r="HF101" s="191"/>
      <c r="HG101" s="191"/>
      <c r="HH101" s="191"/>
      <c r="HI101" s="191"/>
      <c r="HJ101" s="191"/>
      <c r="HK101" s="191"/>
      <c r="HL101" s="191"/>
      <c r="HM101" s="191"/>
      <c r="HN101" s="191"/>
      <c r="HO101" s="191"/>
      <c r="HP101" s="191"/>
      <c r="HQ101" s="191"/>
      <c r="HR101" s="191"/>
      <c r="HS101" s="191"/>
      <c r="HT101" s="191"/>
      <c r="HU101" s="191"/>
      <c r="HV101" s="191"/>
      <c r="HW101" s="191"/>
      <c r="HX101" s="191"/>
      <c r="HY101" s="191"/>
      <c r="HZ101" s="191"/>
      <c r="IA101" s="191"/>
      <c r="IB101" s="191"/>
      <c r="IC101" s="191"/>
      <c r="ID101" s="191"/>
      <c r="IE101" s="191"/>
      <c r="IF101" s="191"/>
      <c r="IG101" s="191"/>
      <c r="IH101" s="191"/>
      <c r="II101" s="191"/>
      <c r="IJ101" s="35"/>
      <c r="IK101" s="221"/>
      <c r="IL101" s="226"/>
      <c r="IM101" s="191"/>
      <c r="IN101" s="191"/>
      <c r="IO101" s="191"/>
      <c r="IP101" s="191"/>
      <c r="IQ101" s="191"/>
      <c r="IR101" s="191"/>
      <c r="IS101" s="191"/>
      <c r="IT101" s="191"/>
      <c r="IU101" s="191"/>
      <c r="IV101" s="191"/>
      <c r="IW101" s="191"/>
      <c r="IX101" s="191"/>
      <c r="IY101" s="191"/>
    </row>
    <row r="102" spans="1:259">
      <c r="A102" s="27" t="s">
        <v>293</v>
      </c>
      <c r="B102" s="110"/>
      <c r="C102" s="110"/>
      <c r="D102" s="110"/>
      <c r="E102" s="110"/>
      <c r="F102" s="110"/>
      <c r="G102" s="110"/>
      <c r="H102" s="110"/>
      <c r="I102" s="110"/>
      <c r="J102" s="110"/>
      <c r="K102" s="110"/>
      <c r="L102" s="110"/>
      <c r="M102" s="110"/>
      <c r="N102" s="110"/>
      <c r="O102" s="110"/>
      <c r="P102" s="110"/>
      <c r="Q102" s="110"/>
      <c r="R102" s="110"/>
      <c r="S102" s="110"/>
      <c r="T102" s="110"/>
      <c r="U102" s="110">
        <v>0</v>
      </c>
      <c r="V102" s="110">
        <v>0</v>
      </c>
      <c r="W102" s="110">
        <v>0</v>
      </c>
      <c r="X102" s="110">
        <v>0</v>
      </c>
      <c r="Y102" s="110">
        <v>0</v>
      </c>
      <c r="Z102" s="110">
        <v>0</v>
      </c>
      <c r="AA102" s="110">
        <v>0</v>
      </c>
      <c r="AB102" s="110">
        <v>0</v>
      </c>
      <c r="AC102" s="110">
        <v>0</v>
      </c>
      <c r="AD102" s="110">
        <v>0</v>
      </c>
      <c r="AE102" s="110">
        <v>0</v>
      </c>
      <c r="AF102" s="110">
        <v>0</v>
      </c>
      <c r="AG102" s="110">
        <v>0</v>
      </c>
      <c r="AH102" s="110">
        <v>0</v>
      </c>
      <c r="AI102" s="110">
        <v>0</v>
      </c>
      <c r="AJ102" s="110">
        <v>0</v>
      </c>
      <c r="AK102" s="110">
        <v>0</v>
      </c>
      <c r="AL102" s="110">
        <v>0</v>
      </c>
      <c r="AM102" s="205">
        <v>0</v>
      </c>
      <c r="AN102" s="205">
        <v>0</v>
      </c>
      <c r="AO102" s="205">
        <v>0</v>
      </c>
      <c r="AP102" s="205">
        <v>0</v>
      </c>
      <c r="AQ102" s="205">
        <v>0</v>
      </c>
      <c r="AR102" s="205">
        <v>0</v>
      </c>
      <c r="AS102" s="249">
        <v>0</v>
      </c>
      <c r="AT102" s="249">
        <v>0</v>
      </c>
      <c r="AU102" s="249">
        <v>0</v>
      </c>
      <c r="AV102" s="249">
        <v>0</v>
      </c>
      <c r="AW102" s="249">
        <v>0</v>
      </c>
      <c r="AX102" s="249">
        <v>0</v>
      </c>
      <c r="AY102" s="249">
        <v>0</v>
      </c>
      <c r="AZ102" s="249">
        <v>0</v>
      </c>
      <c r="BA102" s="356">
        <v>0</v>
      </c>
      <c r="BB102" s="356">
        <v>0</v>
      </c>
      <c r="BC102" s="356">
        <v>0</v>
      </c>
      <c r="BD102" s="356">
        <v>0</v>
      </c>
      <c r="BE102" s="356">
        <v>0</v>
      </c>
      <c r="BF102" s="356">
        <v>0</v>
      </c>
      <c r="BG102" s="249">
        <v>0</v>
      </c>
      <c r="BH102" s="249">
        <v>0</v>
      </c>
      <c r="BI102" s="249">
        <v>0</v>
      </c>
      <c r="BJ102" s="249">
        <v>0</v>
      </c>
      <c r="BK102" s="249">
        <v>0</v>
      </c>
      <c r="BL102" s="249">
        <v>0</v>
      </c>
      <c r="BM102" s="249">
        <v>0</v>
      </c>
      <c r="BN102" s="249">
        <v>0</v>
      </c>
      <c r="BO102" s="249">
        <v>0</v>
      </c>
      <c r="BP102" s="249">
        <v>0</v>
      </c>
      <c r="BQ102" s="249">
        <v>0</v>
      </c>
      <c r="BR102" s="249">
        <v>0</v>
      </c>
      <c r="BS102" s="249">
        <v>0</v>
      </c>
      <c r="BT102" s="249">
        <v>0</v>
      </c>
      <c r="BU102" s="249">
        <v>0</v>
      </c>
      <c r="BV102" s="249">
        <v>0</v>
      </c>
      <c r="BW102" s="249">
        <v>0</v>
      </c>
      <c r="BX102" s="249">
        <v>0</v>
      </c>
      <c r="BY102" s="249">
        <v>0</v>
      </c>
      <c r="BZ102" s="249">
        <v>0</v>
      </c>
      <c r="CA102" s="249">
        <v>0</v>
      </c>
      <c r="CB102" s="249">
        <v>0</v>
      </c>
      <c r="CC102" s="249">
        <v>0</v>
      </c>
      <c r="CD102" s="249">
        <v>0</v>
      </c>
      <c r="CE102" s="249">
        <v>0</v>
      </c>
      <c r="CF102" s="249">
        <v>0</v>
      </c>
      <c r="CG102" s="249">
        <v>0</v>
      </c>
      <c r="CH102" s="249">
        <v>0</v>
      </c>
      <c r="CI102" s="249">
        <v>0</v>
      </c>
      <c r="CJ102" s="249">
        <v>0</v>
      </c>
      <c r="CK102" s="249">
        <v>0</v>
      </c>
      <c r="CL102" s="249">
        <v>0</v>
      </c>
      <c r="CM102" s="249">
        <v>0</v>
      </c>
      <c r="CN102" s="249">
        <v>0</v>
      </c>
      <c r="CO102" s="249">
        <v>0</v>
      </c>
      <c r="CP102" s="249">
        <v>0</v>
      </c>
      <c r="CQ102" s="249">
        <v>0</v>
      </c>
      <c r="CR102" s="249">
        <v>0</v>
      </c>
      <c r="CS102" s="249">
        <v>0</v>
      </c>
      <c r="CT102" s="249">
        <v>0</v>
      </c>
      <c r="CU102" s="249">
        <v>0</v>
      </c>
      <c r="CV102" s="249">
        <v>0</v>
      </c>
      <c r="CW102" s="249">
        <v>0</v>
      </c>
      <c r="CX102" s="249">
        <v>0</v>
      </c>
      <c r="CY102" s="249">
        <v>0</v>
      </c>
      <c r="CZ102" s="249">
        <v>0</v>
      </c>
      <c r="DA102" s="249">
        <v>0</v>
      </c>
      <c r="DB102" s="249">
        <v>0</v>
      </c>
      <c r="DC102" s="249">
        <v>0</v>
      </c>
      <c r="DD102" s="249">
        <v>0</v>
      </c>
      <c r="DE102" s="249">
        <v>0</v>
      </c>
      <c r="DF102" s="249">
        <v>0</v>
      </c>
      <c r="DG102" s="249">
        <v>0</v>
      </c>
      <c r="DH102" s="249">
        <v>0</v>
      </c>
      <c r="DI102" s="249">
        <v>0</v>
      </c>
      <c r="DJ102" s="249">
        <v>0</v>
      </c>
      <c r="DK102" s="249">
        <v>0</v>
      </c>
      <c r="DL102" s="249">
        <v>0</v>
      </c>
      <c r="DM102" s="249">
        <v>0</v>
      </c>
      <c r="DN102" s="249">
        <v>0</v>
      </c>
      <c r="DO102" s="249">
        <v>0</v>
      </c>
      <c r="DP102" s="249">
        <v>0</v>
      </c>
      <c r="DQ102" s="249">
        <v>0</v>
      </c>
      <c r="DR102" s="249">
        <v>0</v>
      </c>
      <c r="DS102" s="249">
        <v>0</v>
      </c>
      <c r="DT102" s="249">
        <v>0</v>
      </c>
      <c r="DU102" s="249">
        <v>0</v>
      </c>
      <c r="DV102" s="249">
        <v>0</v>
      </c>
      <c r="DW102" s="249">
        <v>0</v>
      </c>
      <c r="DX102" s="249">
        <v>0</v>
      </c>
      <c r="DY102" s="249">
        <v>0</v>
      </c>
      <c r="DZ102" s="249">
        <v>0</v>
      </c>
      <c r="EA102" s="249">
        <v>0</v>
      </c>
      <c r="EB102" s="249">
        <v>0</v>
      </c>
      <c r="EC102" s="249">
        <v>0</v>
      </c>
      <c r="ED102" s="249">
        <v>0</v>
      </c>
      <c r="EE102" s="249">
        <v>0</v>
      </c>
      <c r="EF102" s="249">
        <v>0</v>
      </c>
      <c r="EG102" s="249">
        <v>0</v>
      </c>
      <c r="EH102" s="249">
        <v>0</v>
      </c>
      <c r="EI102" s="249">
        <v>0</v>
      </c>
      <c r="EJ102" s="249">
        <v>0</v>
      </c>
      <c r="EK102" s="249">
        <v>0</v>
      </c>
      <c r="EL102" s="249">
        <v>0</v>
      </c>
      <c r="EM102" s="249">
        <v>0</v>
      </c>
      <c r="EN102" s="249">
        <v>0</v>
      </c>
      <c r="EO102" s="249">
        <v>0</v>
      </c>
      <c r="EP102" s="249">
        <v>0</v>
      </c>
      <c r="EQ102" s="249">
        <v>0</v>
      </c>
      <c r="ER102" s="249">
        <v>0</v>
      </c>
      <c r="ES102" s="249">
        <v>0</v>
      </c>
      <c r="ET102" s="249">
        <v>0</v>
      </c>
      <c r="EU102" s="249">
        <v>0</v>
      </c>
      <c r="EV102" s="249">
        <v>0</v>
      </c>
      <c r="EW102" s="249">
        <v>0</v>
      </c>
      <c r="EX102" s="249">
        <v>0</v>
      </c>
      <c r="EY102" s="249">
        <v>0</v>
      </c>
      <c r="EZ102" s="249">
        <v>0</v>
      </c>
      <c r="FA102" s="249">
        <v>0</v>
      </c>
      <c r="FB102" s="249">
        <v>0</v>
      </c>
      <c r="FC102" s="249">
        <v>0</v>
      </c>
      <c r="FD102" s="249">
        <v>0</v>
      </c>
      <c r="FE102" s="249">
        <v>0</v>
      </c>
      <c r="FF102" s="403">
        <f t="shared" si="161"/>
        <v>0</v>
      </c>
      <c r="FG102" s="700"/>
      <c r="FH102" s="700"/>
      <c r="IJ102" s="35"/>
      <c r="IK102" s="221"/>
      <c r="IL102" s="226"/>
      <c r="IM102" s="35"/>
      <c r="IN102" s="35"/>
      <c r="IO102" s="35"/>
      <c r="IP102" s="35"/>
      <c r="IQ102" s="35"/>
      <c r="IR102" s="35"/>
      <c r="IS102" s="35"/>
      <c r="IT102" s="35"/>
      <c r="IU102" s="35"/>
      <c r="IV102" s="35"/>
      <c r="IW102" s="35"/>
      <c r="IX102" s="35"/>
      <c r="IY102" s="35"/>
    </row>
    <row r="103" spans="1:259" s="17" customFormat="1">
      <c r="A103" s="130" t="s">
        <v>294</v>
      </c>
      <c r="B103" s="135">
        <v>33638.394549999997</v>
      </c>
      <c r="C103" s="135">
        <v>33736.822549999997</v>
      </c>
      <c r="D103" s="135">
        <v>33610.294549999999</v>
      </c>
      <c r="E103" s="135">
        <v>33639.60355</v>
      </c>
      <c r="F103" s="135">
        <v>33475.76655</v>
      </c>
      <c r="G103" s="135">
        <v>33501.430549999997</v>
      </c>
      <c r="H103" s="135">
        <v>30569.292549999998</v>
      </c>
      <c r="I103" s="135">
        <v>30601.705549999999</v>
      </c>
      <c r="J103" s="135">
        <v>30631.118549999996</v>
      </c>
      <c r="K103" s="135">
        <v>30280.371549999996</v>
      </c>
      <c r="L103" s="135">
        <v>30321.960549999996</v>
      </c>
      <c r="M103" s="135">
        <v>30358.206549999995</v>
      </c>
      <c r="N103" s="135">
        <v>29894.415549999998</v>
      </c>
      <c r="O103" s="135">
        <v>29931</v>
      </c>
      <c r="P103" s="135">
        <v>29654</v>
      </c>
      <c r="Q103" s="135">
        <v>27669</v>
      </c>
      <c r="R103" s="135">
        <v>27440</v>
      </c>
      <c r="S103" s="135">
        <v>27472</v>
      </c>
      <c r="T103" s="135">
        <v>27073</v>
      </c>
      <c r="U103" s="135">
        <v>27119</v>
      </c>
      <c r="V103" s="135">
        <v>27215</v>
      </c>
      <c r="W103" s="135">
        <v>26499</v>
      </c>
      <c r="X103" s="135">
        <v>26528</v>
      </c>
      <c r="Y103" s="135">
        <v>26611</v>
      </c>
      <c r="Z103" s="135">
        <v>26218</v>
      </c>
      <c r="AA103" s="135">
        <v>26300</v>
      </c>
      <c r="AB103" s="135">
        <v>25961</v>
      </c>
      <c r="AC103" s="135">
        <v>25800</v>
      </c>
      <c r="AD103" s="135">
        <v>31527</v>
      </c>
      <c r="AE103" s="135">
        <v>31555</v>
      </c>
      <c r="AF103" s="135">
        <v>30797</v>
      </c>
      <c r="AG103" s="135">
        <v>31140.002939999998</v>
      </c>
      <c r="AH103" s="135">
        <v>31161.953120000002</v>
      </c>
      <c r="AI103" s="135">
        <v>30405.372520000001</v>
      </c>
      <c r="AJ103" s="135">
        <v>29999.343140000001</v>
      </c>
      <c r="AK103" s="135">
        <v>30010.758109999999</v>
      </c>
      <c r="AL103" s="135">
        <v>29781.098579999998</v>
      </c>
      <c r="AM103" s="135">
        <v>29803.447699999997</v>
      </c>
      <c r="AN103" s="135">
        <v>29843.149989999998</v>
      </c>
      <c r="AO103" s="135">
        <v>32061.005209999999</v>
      </c>
      <c r="AP103" s="135">
        <v>31697.194440000003</v>
      </c>
      <c r="AQ103" s="135">
        <v>31743.189159999998</v>
      </c>
      <c r="AR103" s="135">
        <v>31204.591139999997</v>
      </c>
      <c r="AS103" s="135">
        <v>31262.258819999995</v>
      </c>
      <c r="AT103" s="135">
        <v>31311.512089999997</v>
      </c>
      <c r="AU103" s="135">
        <v>30732.680179999999</v>
      </c>
      <c r="AV103" s="135">
        <v>30773.624810000005</v>
      </c>
      <c r="AW103" s="135">
        <v>30812.708799999997</v>
      </c>
      <c r="AX103" s="135">
        <v>29992.015070000001</v>
      </c>
      <c r="AY103" s="135">
        <v>29674.924859999996</v>
      </c>
      <c r="AZ103" s="135">
        <v>29722.28197</v>
      </c>
      <c r="BA103" s="365">
        <v>20591.124830000001</v>
      </c>
      <c r="BB103" s="365">
        <v>20607.092149999997</v>
      </c>
      <c r="BC103" s="365">
        <v>20058.910679999997</v>
      </c>
      <c r="BD103" s="365">
        <v>19471.365719999998</v>
      </c>
      <c r="BE103" s="365">
        <v>19479.098240000003</v>
      </c>
      <c r="BF103" s="365">
        <v>19521.804809999998</v>
      </c>
      <c r="BG103" s="135">
        <v>19161.513279999999</v>
      </c>
      <c r="BH103" s="135">
        <v>19192.960769999998</v>
      </c>
      <c r="BI103" s="135">
        <v>19100.739740000001</v>
      </c>
      <c r="BJ103" s="135">
        <v>18917.585010000003</v>
      </c>
      <c r="BK103" s="135">
        <v>18951.330930000004</v>
      </c>
      <c r="BL103" s="135">
        <v>18980.528899999998</v>
      </c>
      <c r="BM103" s="135">
        <v>22584.444039999998</v>
      </c>
      <c r="BN103" s="135">
        <v>22520.292459999997</v>
      </c>
      <c r="BO103" s="135">
        <v>22374.916109999998</v>
      </c>
      <c r="BP103" s="135">
        <v>22727.668209999996</v>
      </c>
      <c r="BQ103" s="135">
        <v>22776.301919999998</v>
      </c>
      <c r="BR103" s="135">
        <v>22803.424510000001</v>
      </c>
      <c r="BS103" s="135">
        <v>21660.397710000005</v>
      </c>
      <c r="BT103" s="135">
        <v>21779.480500000001</v>
      </c>
      <c r="BU103" s="135">
        <v>21513.615160000005</v>
      </c>
      <c r="BV103" s="135">
        <v>21461.795910000004</v>
      </c>
      <c r="BW103" s="135">
        <v>21503.532179999998</v>
      </c>
      <c r="BX103" s="135">
        <v>21529.79911</v>
      </c>
      <c r="BY103" s="135">
        <v>28752.137349999997</v>
      </c>
      <c r="BZ103" s="135">
        <v>28779.16978</v>
      </c>
      <c r="CA103" s="135">
        <v>28807.229030000002</v>
      </c>
      <c r="CB103" s="135">
        <v>28487.95592</v>
      </c>
      <c r="CC103" s="135">
        <v>28532.524519999999</v>
      </c>
      <c r="CD103" s="135">
        <v>28557.374469999999</v>
      </c>
      <c r="CE103" s="135">
        <v>28103.52132</v>
      </c>
      <c r="CF103" s="135">
        <v>28122.042060000003</v>
      </c>
      <c r="CG103" s="135">
        <v>28112.709770000001</v>
      </c>
      <c r="CH103" s="135">
        <v>37009.130320000011</v>
      </c>
      <c r="CI103" s="135">
        <v>37082.960279999992</v>
      </c>
      <c r="CJ103" s="135">
        <v>37162.061430000009</v>
      </c>
      <c r="CK103" s="135">
        <v>32667.708139999999</v>
      </c>
      <c r="CL103" s="135">
        <f t="shared" ref="CL103:CW103" si="162">SUM(CL101:CL102)</f>
        <v>33232.551169999999</v>
      </c>
      <c r="CM103" s="135">
        <f t="shared" si="162"/>
        <v>32814.977719999995</v>
      </c>
      <c r="CN103" s="135">
        <f t="shared" si="162"/>
        <v>32356.243689999999</v>
      </c>
      <c r="CO103" s="135">
        <f t="shared" si="162"/>
        <v>32537.237589999997</v>
      </c>
      <c r="CP103" s="135">
        <f t="shared" si="162"/>
        <v>32611.938400000003</v>
      </c>
      <c r="CQ103" s="135">
        <f t="shared" si="162"/>
        <v>33329.017630000002</v>
      </c>
      <c r="CR103" s="135">
        <f t="shared" si="162"/>
        <v>33406.819600000003</v>
      </c>
      <c r="CS103" s="135">
        <f t="shared" si="162"/>
        <v>33463.907770000005</v>
      </c>
      <c r="CT103" s="135">
        <f t="shared" si="162"/>
        <v>33316.9444</v>
      </c>
      <c r="CU103" s="135">
        <f t="shared" si="162"/>
        <v>33390.140930000001</v>
      </c>
      <c r="CV103" s="135">
        <f t="shared" si="162"/>
        <v>33438.184299999994</v>
      </c>
      <c r="CW103" s="135">
        <f t="shared" si="162"/>
        <v>31177.312839999995</v>
      </c>
      <c r="CX103" s="135">
        <f t="shared" ref="CX103:DC103" si="163">SUM(CX101:CX102)</f>
        <v>31376.518619999999</v>
      </c>
      <c r="CY103" s="135">
        <f t="shared" si="163"/>
        <v>31163.232049999999</v>
      </c>
      <c r="CZ103" s="135">
        <f t="shared" si="163"/>
        <v>30755.33726</v>
      </c>
      <c r="DA103" s="135">
        <f t="shared" si="163"/>
        <v>30807.307420000001</v>
      </c>
      <c r="DB103" s="135">
        <f t="shared" si="163"/>
        <v>30775.087789999998</v>
      </c>
      <c r="DC103" s="135">
        <f t="shared" si="163"/>
        <v>30308.419610000001</v>
      </c>
      <c r="DD103" s="135">
        <f t="shared" ref="DD103:DI103" si="164">SUM(DD101:DD102)</f>
        <v>30393.484840000001</v>
      </c>
      <c r="DE103" s="135">
        <f t="shared" si="164"/>
        <v>30443.54896</v>
      </c>
      <c r="DF103" s="135">
        <f t="shared" si="164"/>
        <v>29638.7284</v>
      </c>
      <c r="DG103" s="135">
        <f t="shared" si="164"/>
        <v>29686.634049999997</v>
      </c>
      <c r="DH103" s="135">
        <f t="shared" si="164"/>
        <v>29725.090929999998</v>
      </c>
      <c r="DI103" s="135">
        <f t="shared" si="164"/>
        <v>35590.311590000005</v>
      </c>
      <c r="DJ103" s="135">
        <f t="shared" ref="DJ103:DP103" si="165">SUM(DJ101:DJ102)</f>
        <v>35580.073530000001</v>
      </c>
      <c r="DK103" s="135">
        <f t="shared" si="165"/>
        <v>35936.726539999996</v>
      </c>
      <c r="DL103" s="135">
        <f t="shared" si="165"/>
        <v>35399.9663</v>
      </c>
      <c r="DM103" s="135">
        <f t="shared" si="165"/>
        <v>35501.154719999999</v>
      </c>
      <c r="DN103" s="135">
        <f t="shared" si="165"/>
        <v>35557.995280000003</v>
      </c>
      <c r="DO103" s="135">
        <f t="shared" si="165"/>
        <v>35202.79681</v>
      </c>
      <c r="DP103" s="135">
        <f t="shared" si="165"/>
        <v>35457.040970000002</v>
      </c>
      <c r="DQ103" s="135">
        <f t="shared" ref="DQ103:DX103" si="166">SUM(DQ101:DQ102)</f>
        <v>35395.493570000006</v>
      </c>
      <c r="DR103" s="135">
        <f t="shared" si="166"/>
        <v>34997.089570000004</v>
      </c>
      <c r="DS103" s="135">
        <f t="shared" si="166"/>
        <v>35090.72984</v>
      </c>
      <c r="DT103" s="135">
        <f t="shared" si="166"/>
        <v>35184.564019999998</v>
      </c>
      <c r="DU103" s="135">
        <f t="shared" si="166"/>
        <v>35443.422120000003</v>
      </c>
      <c r="DV103" s="135">
        <f t="shared" si="166"/>
        <v>35507.218290000004</v>
      </c>
      <c r="DW103" s="135">
        <f t="shared" si="166"/>
        <v>35601.645599999996</v>
      </c>
      <c r="DX103" s="135">
        <f t="shared" si="166"/>
        <v>35272.63496000001</v>
      </c>
      <c r="DY103" s="135">
        <f t="shared" ref="DY103:ED103" si="167">SUM(DY101:DY102)</f>
        <v>35224.527670000003</v>
      </c>
      <c r="DZ103" s="135">
        <f t="shared" si="167"/>
        <v>35345.569620000002</v>
      </c>
      <c r="EA103" s="135">
        <f t="shared" si="167"/>
        <v>34853.14884999999</v>
      </c>
      <c r="EB103" s="135">
        <f t="shared" si="167"/>
        <v>34963.662409999997</v>
      </c>
      <c r="EC103" s="135">
        <f t="shared" si="167"/>
        <v>34979.036870000004</v>
      </c>
      <c r="ED103" s="135">
        <f t="shared" si="167"/>
        <v>34527.22481</v>
      </c>
      <c r="EE103" s="135">
        <f t="shared" ref="EE103:EJ103" si="168">SUM(EE101:EE102)</f>
        <v>34622.990109999999</v>
      </c>
      <c r="EF103" s="135">
        <f t="shared" si="168"/>
        <v>34771.98979</v>
      </c>
      <c r="EG103" s="135">
        <f t="shared" si="168"/>
        <v>41453.739150000009</v>
      </c>
      <c r="EH103" s="135">
        <f t="shared" si="168"/>
        <v>41521.220939999999</v>
      </c>
      <c r="EI103" s="135">
        <f t="shared" si="168"/>
        <v>41646.103440000006</v>
      </c>
      <c r="EJ103" s="135">
        <f t="shared" si="168"/>
        <v>40033.396829999998</v>
      </c>
      <c r="EK103" s="135">
        <f t="shared" ref="EK103:EP103" si="169">SUM(EK101:EK102)</f>
        <v>40142.611369999999</v>
      </c>
      <c r="EL103" s="135">
        <f t="shared" si="169"/>
        <v>40250.912710000004</v>
      </c>
      <c r="EM103" s="135">
        <f t="shared" si="169"/>
        <v>39881.427500000005</v>
      </c>
      <c r="EN103" s="135">
        <f t="shared" si="169"/>
        <v>40010.225060000004</v>
      </c>
      <c r="EO103" s="135">
        <f t="shared" si="169"/>
        <v>40090.886680000003</v>
      </c>
      <c r="EP103" s="135">
        <f t="shared" si="169"/>
        <v>39764.307420000005</v>
      </c>
      <c r="EQ103" s="135">
        <f t="shared" ref="EQ103:FF103" si="170">SUM(EQ101:EQ102)</f>
        <v>40002.90638</v>
      </c>
      <c r="ER103" s="135">
        <f t="shared" si="170"/>
        <v>40158.910090000005</v>
      </c>
      <c r="ES103" s="135">
        <f t="shared" si="170"/>
        <v>31953.972819999999</v>
      </c>
      <c r="ET103" s="135">
        <f t="shared" si="170"/>
        <v>31996.468939999999</v>
      </c>
      <c r="EU103" s="135">
        <f t="shared" si="170"/>
        <v>32089.228980000004</v>
      </c>
      <c r="EV103" s="135">
        <f t="shared" si="170"/>
        <v>31835.970140000005</v>
      </c>
      <c r="EW103" s="135">
        <f t="shared" ref="EW103:EY103" si="171">SUM(EW101:EW102)</f>
        <v>31945.962179999999</v>
      </c>
      <c r="EX103" s="135">
        <f t="shared" si="171"/>
        <v>31942.49985</v>
      </c>
      <c r="EY103" s="135">
        <f t="shared" si="171"/>
        <v>29362.78008</v>
      </c>
      <c r="EZ103" s="135">
        <f t="shared" ref="EZ103:FB103" si="172">SUM(EZ101:EZ102)</f>
        <v>29737.614130000002</v>
      </c>
      <c r="FA103" s="135">
        <f t="shared" si="172"/>
        <v>29255.497570000003</v>
      </c>
      <c r="FB103" s="135">
        <f t="shared" si="172"/>
        <v>28446.930640000002</v>
      </c>
      <c r="FC103" s="135">
        <f t="shared" ref="FC103:FE103" si="173">SUM(FC101:FC102)</f>
        <v>28056.460999999999</v>
      </c>
      <c r="FD103" s="135">
        <f t="shared" si="173"/>
        <v>27898.777239999999</v>
      </c>
      <c r="FE103" s="135">
        <f t="shared" si="173"/>
        <v>35259.064810000003</v>
      </c>
      <c r="FF103" s="365">
        <f t="shared" si="170"/>
        <v>30752.402183076923</v>
      </c>
      <c r="FG103" s="135"/>
      <c r="FH103" s="135"/>
      <c r="FI103" s="155"/>
      <c r="FJ103" s="155"/>
      <c r="FK103" s="155"/>
      <c r="FL103" s="155"/>
      <c r="FM103" s="155"/>
      <c r="FN103" s="155"/>
      <c r="FO103" s="155"/>
      <c r="FP103" s="155"/>
      <c r="FQ103" s="155"/>
      <c r="FR103" s="155"/>
      <c r="FS103" s="155"/>
      <c r="FT103" s="155"/>
      <c r="FU103" s="155"/>
      <c r="FV103" s="155"/>
      <c r="FW103" s="155"/>
      <c r="FX103" s="155"/>
      <c r="FY103" s="155"/>
      <c r="FZ103" s="155"/>
      <c r="GA103" s="155"/>
      <c r="GB103" s="155"/>
      <c r="GC103" s="155"/>
      <c r="GD103" s="155"/>
      <c r="GE103" s="155"/>
      <c r="GF103" s="155"/>
      <c r="GG103" s="155"/>
      <c r="GH103" s="155"/>
      <c r="GI103" s="155"/>
      <c r="GJ103" s="155"/>
      <c r="GK103" s="155"/>
      <c r="GL103" s="155"/>
      <c r="GM103" s="155"/>
      <c r="GN103" s="155"/>
      <c r="GO103" s="155"/>
      <c r="GP103" s="155"/>
      <c r="GQ103" s="155"/>
      <c r="GR103" s="155"/>
      <c r="GS103" s="155"/>
      <c r="GT103" s="155"/>
      <c r="GU103" s="155"/>
      <c r="GV103" s="155"/>
      <c r="GW103" s="155"/>
      <c r="GX103" s="155"/>
      <c r="GY103" s="155"/>
      <c r="GZ103" s="155"/>
      <c r="HA103" s="155"/>
      <c r="HB103" s="155"/>
      <c r="HC103" s="155"/>
      <c r="HD103" s="155"/>
      <c r="HE103" s="155"/>
      <c r="HF103" s="155"/>
      <c r="HG103" s="155"/>
      <c r="HH103" s="155"/>
      <c r="HI103" s="155"/>
      <c r="HJ103" s="155"/>
      <c r="HK103" s="155"/>
      <c r="HL103" s="155"/>
      <c r="HM103" s="155"/>
      <c r="HN103" s="155"/>
      <c r="HO103" s="155"/>
      <c r="HP103" s="155"/>
      <c r="HQ103" s="155"/>
      <c r="HR103" s="155"/>
      <c r="HS103" s="155"/>
      <c r="HT103" s="155"/>
      <c r="HU103" s="155"/>
      <c r="HV103" s="155"/>
      <c r="HW103" s="155"/>
      <c r="HX103" s="155"/>
      <c r="HY103" s="155"/>
      <c r="HZ103" s="155"/>
      <c r="IA103" s="155"/>
      <c r="IB103" s="155"/>
      <c r="IC103" s="155"/>
      <c r="ID103" s="155"/>
      <c r="IE103" s="155"/>
      <c r="IF103" s="155"/>
      <c r="IG103" s="155"/>
      <c r="IH103" s="155"/>
      <c r="II103" s="155"/>
      <c r="IJ103" s="35"/>
      <c r="IK103" s="225"/>
      <c r="IL103" s="226"/>
      <c r="IM103" s="155"/>
      <c r="IN103" s="155"/>
      <c r="IO103" s="155"/>
      <c r="IP103" s="155"/>
      <c r="IQ103" s="155"/>
      <c r="IR103" s="155"/>
      <c r="IS103" s="155"/>
      <c r="IT103" s="155"/>
      <c r="IU103" s="155"/>
      <c r="IV103" s="155"/>
      <c r="IW103" s="155"/>
      <c r="IX103" s="155"/>
      <c r="IY103" s="155"/>
    </row>
    <row r="104" spans="1:259">
      <c r="A104" s="29"/>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360"/>
      <c r="BB104" s="360"/>
      <c r="BC104" s="360"/>
      <c r="BD104" s="360"/>
      <c r="BE104" s="360"/>
      <c r="BF104" s="360"/>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c r="CC104" s="111"/>
      <c r="CD104" s="111"/>
      <c r="CE104" s="111"/>
      <c r="CF104" s="111"/>
      <c r="CG104" s="111"/>
      <c r="CH104" s="111"/>
      <c r="CI104" s="111"/>
      <c r="CJ104" s="111"/>
      <c r="CK104" s="111"/>
      <c r="CL104" s="111"/>
      <c r="CM104" s="111"/>
      <c r="CN104" s="111"/>
      <c r="CO104" s="111"/>
      <c r="CP104" s="111"/>
      <c r="CQ104" s="111"/>
      <c r="CR104" s="111"/>
      <c r="CS104" s="111"/>
      <c r="CT104" s="111"/>
      <c r="CU104" s="111"/>
      <c r="CV104" s="111"/>
      <c r="CW104" s="111"/>
      <c r="CX104" s="111"/>
      <c r="CY104" s="111"/>
      <c r="CZ104" s="111"/>
      <c r="DA104" s="111"/>
      <c r="DB104" s="111"/>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c r="DY104" s="111"/>
      <c r="DZ104" s="111"/>
      <c r="EA104" s="111"/>
      <c r="EB104" s="111"/>
      <c r="EC104" s="111"/>
      <c r="ED104" s="111"/>
      <c r="EE104" s="111"/>
      <c r="EF104" s="111"/>
      <c r="EG104" s="111"/>
      <c r="EH104" s="111"/>
      <c r="EI104" s="111"/>
      <c r="EJ104" s="111"/>
      <c r="EK104" s="111"/>
      <c r="EL104" s="111"/>
      <c r="EM104" s="111"/>
      <c r="EN104" s="111"/>
      <c r="EO104" s="111"/>
      <c r="EP104" s="111"/>
      <c r="EQ104" s="111"/>
      <c r="ER104" s="111"/>
      <c r="ES104" s="111"/>
      <c r="ET104" s="111"/>
      <c r="EU104" s="111"/>
      <c r="EV104" s="111"/>
      <c r="EW104" s="111"/>
      <c r="EX104" s="111"/>
      <c r="EY104" s="111"/>
      <c r="EZ104" s="111"/>
      <c r="FA104" s="111"/>
      <c r="FB104" s="111"/>
      <c r="FC104" s="111"/>
      <c r="FD104" s="111"/>
      <c r="FE104" s="111"/>
      <c r="FF104" s="111"/>
      <c r="FG104" s="111"/>
      <c r="FH104" s="111"/>
      <c r="IJ104" s="35"/>
      <c r="IK104" s="220"/>
      <c r="IL104" s="226"/>
      <c r="IM104" s="35"/>
      <c r="IN104" s="35"/>
      <c r="IO104" s="35"/>
      <c r="IP104" s="35"/>
      <c r="IQ104" s="35"/>
      <c r="IR104" s="35"/>
      <c r="IS104" s="35"/>
      <c r="IT104" s="35"/>
      <c r="IU104" s="35"/>
      <c r="IV104" s="35"/>
      <c r="IW104" s="35"/>
      <c r="IX104" s="35"/>
      <c r="IY104" s="35"/>
    </row>
    <row r="105" spans="1:259" s="17" customFormat="1" ht="13.5" thickBot="1">
      <c r="A105" s="130" t="s">
        <v>295</v>
      </c>
      <c r="B105" s="196">
        <v>732136.66058999998</v>
      </c>
      <c r="C105" s="196">
        <v>753438.01459000015</v>
      </c>
      <c r="D105" s="196">
        <v>738108.02159000002</v>
      </c>
      <c r="E105" s="196">
        <v>757947.89059000008</v>
      </c>
      <c r="F105" s="196">
        <v>774206.05459000007</v>
      </c>
      <c r="G105" s="196">
        <v>767850.63459000003</v>
      </c>
      <c r="H105" s="196">
        <v>787097.83658999996</v>
      </c>
      <c r="I105" s="196">
        <v>767194.14958999993</v>
      </c>
      <c r="J105" s="196">
        <v>750048.98059000005</v>
      </c>
      <c r="K105" s="196">
        <v>746946.21459000022</v>
      </c>
      <c r="L105" s="196">
        <v>751584.89758999995</v>
      </c>
      <c r="M105" s="196">
        <v>753516.61158999999</v>
      </c>
      <c r="N105" s="196">
        <v>764001.44559000002</v>
      </c>
      <c r="O105" s="196">
        <v>756017.07400000002</v>
      </c>
      <c r="P105" s="196">
        <v>754020.97400000005</v>
      </c>
      <c r="Q105" s="196">
        <v>785192</v>
      </c>
      <c r="R105" s="196">
        <v>782917</v>
      </c>
      <c r="S105" s="196">
        <v>774415</v>
      </c>
      <c r="T105" s="196">
        <v>779055</v>
      </c>
      <c r="U105" s="196">
        <v>770396.78800000006</v>
      </c>
      <c r="V105" s="196">
        <v>759212.83199999994</v>
      </c>
      <c r="W105" s="196">
        <v>743396.103</v>
      </c>
      <c r="X105" s="196">
        <v>741221.66039999994</v>
      </c>
      <c r="Y105" s="196">
        <v>734561.51171999995</v>
      </c>
      <c r="Z105" s="196">
        <v>745554.77145</v>
      </c>
      <c r="AA105" s="196">
        <v>748297.30275000003</v>
      </c>
      <c r="AB105" s="196">
        <v>751863.35327000008</v>
      </c>
      <c r="AC105" s="196">
        <v>793456.35199999996</v>
      </c>
      <c r="AD105" s="196">
        <v>814022</v>
      </c>
      <c r="AE105" s="196">
        <v>807522.14299999992</v>
      </c>
      <c r="AF105" s="196">
        <v>816558.37699999998</v>
      </c>
      <c r="AG105" s="196">
        <v>815865.10694999993</v>
      </c>
      <c r="AH105" s="196">
        <v>810039.75348999992</v>
      </c>
      <c r="AI105" s="196">
        <v>828739.49917000008</v>
      </c>
      <c r="AJ105" s="196">
        <v>839266.10136999993</v>
      </c>
      <c r="AK105" s="196">
        <v>812479.88456000015</v>
      </c>
      <c r="AL105" s="196">
        <v>823160.77059000009</v>
      </c>
      <c r="AM105" s="196">
        <v>831979.11904999998</v>
      </c>
      <c r="AN105" s="196">
        <v>831387.30524999998</v>
      </c>
      <c r="AO105" s="196">
        <v>852463.17559999996</v>
      </c>
      <c r="AP105" s="196">
        <v>848912.69046999991</v>
      </c>
      <c r="AQ105" s="196">
        <v>845222.77668999997</v>
      </c>
      <c r="AR105" s="196">
        <v>853483.66148999997</v>
      </c>
      <c r="AS105" s="196">
        <v>855460.99614000006</v>
      </c>
      <c r="AT105" s="196">
        <v>854246.51578999998</v>
      </c>
      <c r="AU105" s="196">
        <v>849347.2300000001</v>
      </c>
      <c r="AV105" s="196">
        <v>847699.63972999994</v>
      </c>
      <c r="AW105" s="196">
        <v>840027.76656999998</v>
      </c>
      <c r="AX105" s="196">
        <v>847523.03990999982</v>
      </c>
      <c r="AY105" s="196">
        <v>850838.01254999998</v>
      </c>
      <c r="AZ105" s="196">
        <v>849780.70192999998</v>
      </c>
      <c r="BA105" s="366">
        <v>856468.89258999994</v>
      </c>
      <c r="BB105" s="366">
        <v>870114.43599999999</v>
      </c>
      <c r="BC105" s="366">
        <v>867599.27324000001</v>
      </c>
      <c r="BD105" s="366">
        <v>863255.61109000002</v>
      </c>
      <c r="BE105" s="366">
        <v>862453.56843999994</v>
      </c>
      <c r="BF105" s="366">
        <v>878003.33445000008</v>
      </c>
      <c r="BG105" s="196">
        <v>863922.89252999995</v>
      </c>
      <c r="BH105" s="196">
        <v>864346.02323000005</v>
      </c>
      <c r="BI105" s="196">
        <v>863074.21958000003</v>
      </c>
      <c r="BJ105" s="196">
        <v>862527.22998000006</v>
      </c>
      <c r="BK105" s="196">
        <v>870316.99989000009</v>
      </c>
      <c r="BL105" s="196">
        <v>876086.2848100001</v>
      </c>
      <c r="BM105" s="196">
        <v>914627.86422999995</v>
      </c>
      <c r="BN105" s="196">
        <v>909311.27174999996</v>
      </c>
      <c r="BO105" s="196">
        <v>909859.05848000001</v>
      </c>
      <c r="BP105" s="196">
        <v>915951.59245</v>
      </c>
      <c r="BQ105" s="196">
        <v>913073.54203999997</v>
      </c>
      <c r="BR105" s="196">
        <v>927907.38038000022</v>
      </c>
      <c r="BS105" s="196">
        <v>919594.86876999994</v>
      </c>
      <c r="BT105" s="196">
        <v>924202.72960999992</v>
      </c>
      <c r="BU105" s="196">
        <v>930172.78703000012</v>
      </c>
      <c r="BV105" s="196">
        <v>929778.40936000005</v>
      </c>
      <c r="BW105" s="196">
        <v>940120.18966999999</v>
      </c>
      <c r="BX105" s="196">
        <v>944592.13181000017</v>
      </c>
      <c r="BY105" s="196">
        <v>967348.701</v>
      </c>
      <c r="BZ105" s="196">
        <v>961821.77743999998</v>
      </c>
      <c r="CA105" s="196">
        <v>966484.87622000021</v>
      </c>
      <c r="CB105" s="196">
        <v>977169.93615999992</v>
      </c>
      <c r="CC105" s="196">
        <v>978701.24190999998</v>
      </c>
      <c r="CD105" s="196">
        <v>962582.35757000011</v>
      </c>
      <c r="CE105" s="196">
        <v>959913.11364999996</v>
      </c>
      <c r="CF105" s="196">
        <v>966577.89016000007</v>
      </c>
      <c r="CG105" s="196">
        <v>967349.22283999994</v>
      </c>
      <c r="CH105" s="196">
        <v>983590.42564000003</v>
      </c>
      <c r="CI105" s="196">
        <v>993184.64678000007</v>
      </c>
      <c r="CJ105" s="196">
        <v>996109.79934000014</v>
      </c>
      <c r="CK105" s="196">
        <v>1019086.00265</v>
      </c>
      <c r="CL105" s="196">
        <f t="shared" ref="CL105:CW105" si="174">CL71+CL90+CL99+CL103</f>
        <v>1027437.33795</v>
      </c>
      <c r="CM105" s="196">
        <f t="shared" si="174"/>
        <v>1035745.09141</v>
      </c>
      <c r="CN105" s="196">
        <f t="shared" si="174"/>
        <v>1036332.5189800001</v>
      </c>
      <c r="CO105" s="196">
        <f t="shared" si="174"/>
        <v>1046983.3606000001</v>
      </c>
      <c r="CP105" s="196">
        <f t="shared" si="174"/>
        <v>1052134.9567799999</v>
      </c>
      <c r="CQ105" s="196">
        <f t="shared" si="174"/>
        <v>1047551.60808</v>
      </c>
      <c r="CR105" s="196">
        <f t="shared" si="174"/>
        <v>1056362.1461499999</v>
      </c>
      <c r="CS105" s="196">
        <f t="shared" si="174"/>
        <v>1075627.1228799999</v>
      </c>
      <c r="CT105" s="196">
        <f t="shared" si="174"/>
        <v>1077460.4412999998</v>
      </c>
      <c r="CU105" s="196">
        <f t="shared" si="174"/>
        <v>1081661.1270000001</v>
      </c>
      <c r="CV105" s="196">
        <f t="shared" si="174"/>
        <v>1092238.76303</v>
      </c>
      <c r="CW105" s="196">
        <f t="shared" si="174"/>
        <v>1109086.22707</v>
      </c>
      <c r="CX105" s="196">
        <f t="shared" ref="CX105:DC105" si="175">CX71+CX90+CX99+CX103</f>
        <v>1124220.4602699999</v>
      </c>
      <c r="CY105" s="196">
        <f t="shared" si="175"/>
        <v>1117203.8633999999</v>
      </c>
      <c r="CZ105" s="196">
        <f t="shared" si="175"/>
        <v>1114893.87439</v>
      </c>
      <c r="DA105" s="196">
        <f t="shared" si="175"/>
        <v>1118672.52892</v>
      </c>
      <c r="DB105" s="196">
        <f t="shared" si="175"/>
        <v>1126393.3693500001</v>
      </c>
      <c r="DC105" s="196">
        <f t="shared" si="175"/>
        <v>1133533.4225199998</v>
      </c>
      <c r="DD105" s="196">
        <f t="shared" ref="DD105:DI105" si="176">DD71+DD90+DD99+DD103</f>
        <v>1140836.44371</v>
      </c>
      <c r="DE105" s="196">
        <f t="shared" si="176"/>
        <v>1147765.9900200001</v>
      </c>
      <c r="DF105" s="196">
        <f t="shared" si="176"/>
        <v>1160834.0952499998</v>
      </c>
      <c r="DG105" s="196">
        <f t="shared" si="176"/>
        <v>1180935.26844</v>
      </c>
      <c r="DH105" s="196">
        <f t="shared" si="176"/>
        <v>1201359.64811</v>
      </c>
      <c r="DI105" s="196">
        <f t="shared" si="176"/>
        <v>1224685.8870099999</v>
      </c>
      <c r="DJ105" s="196">
        <f t="shared" ref="DJ105:DP105" si="177">DJ71+DJ90+DJ99+DJ103</f>
        <v>1245851.9252299999</v>
      </c>
      <c r="DK105" s="196">
        <f t="shared" si="177"/>
        <v>1246408.9092299999</v>
      </c>
      <c r="DL105" s="196">
        <f t="shared" si="177"/>
        <v>1257593.64787</v>
      </c>
      <c r="DM105" s="196">
        <f t="shared" si="177"/>
        <v>1261451.99141</v>
      </c>
      <c r="DN105" s="196">
        <f t="shared" si="177"/>
        <v>1273924.8077199999</v>
      </c>
      <c r="DO105" s="196">
        <f t="shared" si="177"/>
        <v>1285251.3940600001</v>
      </c>
      <c r="DP105" s="196">
        <f t="shared" si="177"/>
        <v>1298898.81721</v>
      </c>
      <c r="DQ105" s="196">
        <f t="shared" ref="DQ105:DX105" si="178">DQ71+DQ90+DQ99+DQ103</f>
        <v>1317782.3628099998</v>
      </c>
      <c r="DR105" s="196">
        <f t="shared" si="178"/>
        <v>1340764.3386000001</v>
      </c>
      <c r="DS105" s="196">
        <f t="shared" si="178"/>
        <v>1357190.3002299999</v>
      </c>
      <c r="DT105" s="196">
        <f t="shared" si="178"/>
        <v>1382140.3599399999</v>
      </c>
      <c r="DU105" s="196">
        <f t="shared" si="178"/>
        <v>1406757.1951300001</v>
      </c>
      <c r="DV105" s="196">
        <f t="shared" si="178"/>
        <v>1428603.57672</v>
      </c>
      <c r="DW105" s="196">
        <f t="shared" si="178"/>
        <v>1440657.0037799999</v>
      </c>
      <c r="DX105" s="196">
        <f t="shared" si="178"/>
        <v>1451715.1169099999</v>
      </c>
      <c r="DY105" s="196">
        <f t="shared" ref="DY105:ED105" si="179">DY71+DY90+DY99+DY103</f>
        <v>1470020.7291400002</v>
      </c>
      <c r="DZ105" s="196">
        <f t="shared" si="179"/>
        <v>1493213.2055599999</v>
      </c>
      <c r="EA105" s="196">
        <f t="shared" si="179"/>
        <v>1515171.8157800001</v>
      </c>
      <c r="EB105" s="196">
        <f t="shared" si="179"/>
        <v>1535872.1685000001</v>
      </c>
      <c r="EC105" s="196">
        <f t="shared" si="179"/>
        <v>1572823.2239700002</v>
      </c>
      <c r="ED105" s="196">
        <f t="shared" si="179"/>
        <v>1598138.4987300001</v>
      </c>
      <c r="EE105" s="196">
        <f t="shared" ref="EE105:EJ105" si="180">EE71+EE90+EE99+EE103</f>
        <v>1630045.0579200001</v>
      </c>
      <c r="EF105" s="196">
        <f t="shared" si="180"/>
        <v>1664498.6577900001</v>
      </c>
      <c r="EG105" s="196">
        <f t="shared" si="180"/>
        <v>1714605.07812</v>
      </c>
      <c r="EH105" s="196">
        <f t="shared" si="180"/>
        <v>1742610.5260000001</v>
      </c>
      <c r="EI105" s="196">
        <f t="shared" si="180"/>
        <v>1765420.00037</v>
      </c>
      <c r="EJ105" s="196">
        <f t="shared" si="180"/>
        <v>1781368.53366</v>
      </c>
      <c r="EK105" s="196">
        <f t="shared" ref="EK105:FF105" si="181">EK71+EK90+EK99+EK103</f>
        <v>1797765.6539400001</v>
      </c>
      <c r="EL105" s="196">
        <f t="shared" si="181"/>
        <v>1806154.1584800002</v>
      </c>
      <c r="EM105" s="196">
        <f t="shared" si="181"/>
        <v>1825581.51229</v>
      </c>
      <c r="EN105" s="196">
        <f t="shared" si="181"/>
        <v>1851639.4994400002</v>
      </c>
      <c r="EO105" s="196">
        <f t="shared" si="181"/>
        <v>1869701.88534</v>
      </c>
      <c r="EP105" s="196">
        <f t="shared" si="181"/>
        <v>1892848.8117600002</v>
      </c>
      <c r="EQ105" s="196">
        <f t="shared" ref="EQ105:EV105" si="182">EQ71+EQ90+EQ99+EQ103</f>
        <v>1927505.7080900003</v>
      </c>
      <c r="ER105" s="196">
        <f t="shared" si="182"/>
        <v>1958911.4607199999</v>
      </c>
      <c r="ES105" s="196">
        <f t="shared" si="182"/>
        <v>1990225.3774000003</v>
      </c>
      <c r="ET105" s="196">
        <f t="shared" si="182"/>
        <v>2021923.6622199998</v>
      </c>
      <c r="EU105" s="196">
        <f t="shared" si="182"/>
        <v>2041108.1496899996</v>
      </c>
      <c r="EV105" s="196">
        <f t="shared" si="182"/>
        <v>2050863.7480400002</v>
      </c>
      <c r="EW105" s="196">
        <f t="shared" ref="EW105:EY105" si="183">EW71+EW90+EW99+EW103</f>
        <v>2066379.0249000003</v>
      </c>
      <c r="EX105" s="196">
        <f t="shared" si="183"/>
        <v>2092904.6505500001</v>
      </c>
      <c r="EY105" s="196">
        <f t="shared" si="183"/>
        <v>2118941.27122</v>
      </c>
      <c r="EZ105" s="196">
        <f t="shared" ref="EZ105:FB105" si="184">EZ71+EZ90+EZ99+EZ103</f>
        <v>2136862.7293099998</v>
      </c>
      <c r="FA105" s="196">
        <f t="shared" si="184"/>
        <v>2152934.8937300001</v>
      </c>
      <c r="FB105" s="196">
        <f t="shared" si="184"/>
        <v>2168239.0799400001</v>
      </c>
      <c r="FC105" s="196">
        <f t="shared" ref="FC105:FE105" si="185">FC71+FC90+FC99+FC103</f>
        <v>2180322.9115700005</v>
      </c>
      <c r="FD105" s="196">
        <f t="shared" si="185"/>
        <v>2206019.8390700002</v>
      </c>
      <c r="FE105" s="196">
        <f t="shared" si="185"/>
        <v>2267449.5295999995</v>
      </c>
      <c r="FF105" s="366">
        <f t="shared" si="181"/>
        <v>2114936.5282492307</v>
      </c>
      <c r="FG105" s="225"/>
      <c r="FH105" s="225"/>
      <c r="FI105" s="155"/>
      <c r="FJ105" s="155"/>
      <c r="FK105" s="155"/>
      <c r="FL105" s="155"/>
      <c r="FM105" s="155"/>
      <c r="FN105" s="155"/>
      <c r="FO105" s="155"/>
      <c r="FP105" s="155"/>
      <c r="FQ105" s="155"/>
      <c r="FR105" s="155"/>
      <c r="FS105" s="155"/>
      <c r="FT105" s="155"/>
      <c r="FU105" s="155"/>
      <c r="FV105" s="155"/>
      <c r="FW105" s="155"/>
      <c r="FX105" s="155"/>
      <c r="FY105" s="155"/>
      <c r="FZ105" s="155"/>
      <c r="GA105" s="155"/>
      <c r="GB105" s="155"/>
      <c r="GC105" s="155"/>
      <c r="GD105" s="155"/>
      <c r="GE105" s="155"/>
      <c r="GF105" s="155"/>
      <c r="GG105" s="155"/>
      <c r="GH105" s="155"/>
      <c r="GI105" s="155"/>
      <c r="GJ105" s="155"/>
      <c r="GK105" s="155"/>
      <c r="GL105" s="155"/>
      <c r="GM105" s="155"/>
      <c r="GN105" s="155"/>
      <c r="GO105" s="155"/>
      <c r="GP105" s="155"/>
      <c r="GQ105" s="155"/>
      <c r="GR105" s="155"/>
      <c r="GS105" s="155"/>
      <c r="GT105" s="155"/>
      <c r="GU105" s="155"/>
      <c r="GV105" s="155"/>
      <c r="GW105" s="155"/>
      <c r="GX105" s="155"/>
      <c r="GY105" s="155"/>
      <c r="GZ105" s="155"/>
      <c r="HA105" s="155"/>
      <c r="HB105" s="155"/>
      <c r="HC105" s="155"/>
      <c r="HD105" s="155"/>
      <c r="HE105" s="155"/>
      <c r="HF105" s="155"/>
      <c r="HG105" s="155"/>
      <c r="HH105" s="155"/>
      <c r="HI105" s="155"/>
      <c r="HJ105" s="155"/>
      <c r="HK105" s="155"/>
      <c r="HL105" s="155"/>
      <c r="HM105" s="155"/>
      <c r="HN105" s="155"/>
      <c r="HO105" s="155"/>
      <c r="HP105" s="155"/>
      <c r="HQ105" s="155"/>
      <c r="HR105" s="155"/>
      <c r="HS105" s="155"/>
      <c r="HT105" s="155"/>
      <c r="HU105" s="155"/>
      <c r="HV105" s="155"/>
      <c r="HW105" s="155"/>
      <c r="HX105" s="155"/>
      <c r="HY105" s="155"/>
      <c r="HZ105" s="155"/>
      <c r="IA105" s="155"/>
      <c r="IB105" s="155"/>
      <c r="IC105" s="155"/>
      <c r="ID105" s="155"/>
      <c r="IE105" s="155"/>
      <c r="IF105" s="155"/>
      <c r="IG105" s="155"/>
      <c r="IH105" s="155"/>
      <c r="II105" s="155"/>
      <c r="IJ105" s="35"/>
      <c r="IK105" s="225"/>
      <c r="IL105" s="226"/>
      <c r="IM105" s="155"/>
      <c r="IN105" s="155"/>
      <c r="IO105" s="155"/>
      <c r="IP105" s="155"/>
      <c r="IQ105" s="155"/>
      <c r="IR105" s="155"/>
      <c r="IS105" s="155"/>
      <c r="IT105" s="155"/>
      <c r="IU105" s="155"/>
      <c r="IV105" s="155"/>
      <c r="IW105" s="155"/>
      <c r="IX105" s="155"/>
      <c r="IY105" s="155"/>
    </row>
    <row r="106" spans="1:259" ht="13.5" thickTop="1">
      <c r="A106" s="30"/>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c r="CZ106" s="111"/>
      <c r="DA106" s="111"/>
      <c r="DB106" s="111"/>
      <c r="DC106" s="111"/>
      <c r="DD106" s="111"/>
      <c r="DE106" s="111"/>
      <c r="DF106" s="111"/>
      <c r="DG106" s="111"/>
      <c r="DH106" s="111"/>
      <c r="DI106" s="111"/>
      <c r="DJ106" s="111"/>
      <c r="DK106" s="111"/>
      <c r="DL106" s="111"/>
      <c r="DM106" s="111"/>
      <c r="DN106" s="111"/>
      <c r="DO106" s="111"/>
      <c r="DP106" s="111"/>
      <c r="DQ106" s="111"/>
      <c r="DR106" s="111"/>
      <c r="DS106" s="111"/>
      <c r="DT106" s="111"/>
      <c r="DU106" s="111"/>
      <c r="DV106" s="111"/>
      <c r="DW106" s="111"/>
      <c r="DX106" s="111"/>
      <c r="DY106" s="111"/>
      <c r="DZ106" s="111"/>
      <c r="EA106" s="111"/>
      <c r="EB106" s="111"/>
      <c r="EC106" s="111"/>
      <c r="ED106" s="111"/>
      <c r="EE106" s="111"/>
      <c r="EF106" s="111"/>
      <c r="EG106" s="111"/>
      <c r="EH106" s="111"/>
      <c r="EI106" s="111"/>
      <c r="EJ106" s="111"/>
      <c r="EK106" s="111"/>
      <c r="EL106" s="111"/>
      <c r="EM106" s="111"/>
      <c r="EN106" s="111"/>
      <c r="EO106" s="111"/>
      <c r="EP106" s="111"/>
      <c r="EQ106" s="111"/>
      <c r="ER106" s="111"/>
      <c r="ES106" s="111"/>
      <c r="ET106" s="111"/>
      <c r="EU106" s="111"/>
      <c r="EV106" s="111"/>
      <c r="EW106" s="111"/>
      <c r="EX106" s="111"/>
      <c r="EY106" s="111"/>
      <c r="EZ106" s="111"/>
      <c r="FA106" s="111"/>
      <c r="FB106" s="111"/>
      <c r="FC106" s="111"/>
      <c r="FD106" s="111"/>
      <c r="FE106" s="111"/>
      <c r="FF106" s="35"/>
      <c r="FG106" s="52"/>
      <c r="FH106" s="52"/>
      <c r="IJ106" s="35"/>
      <c r="IK106" s="226"/>
      <c r="IL106" s="226"/>
      <c r="IM106" s="35"/>
      <c r="IN106" s="35"/>
      <c r="IO106" s="35"/>
      <c r="IP106" s="35"/>
      <c r="IQ106" s="35"/>
      <c r="IR106" s="35"/>
      <c r="IS106" s="35"/>
      <c r="IT106" s="35"/>
      <c r="IU106" s="35"/>
      <c r="IV106" s="35"/>
      <c r="IW106" s="35"/>
      <c r="IX106" s="35"/>
      <c r="IY106" s="35"/>
    </row>
    <row r="107" spans="1:259">
      <c r="A107" t="s">
        <v>420</v>
      </c>
      <c r="B107" s="190">
        <v>-2.6900000055320561E-2</v>
      </c>
      <c r="C107" s="190">
        <v>-1.9900000188499689E-2</v>
      </c>
      <c r="D107" s="190">
        <v>-8.8999998988583684E-3</v>
      </c>
      <c r="E107" s="190">
        <v>-1.5899999998509884E-2</v>
      </c>
      <c r="F107" s="190">
        <v>-1.8900000141002238E-2</v>
      </c>
      <c r="G107" s="190">
        <v>-1.7900000093504786E-2</v>
      </c>
      <c r="H107" s="190">
        <v>-2.2899999981746078E-2</v>
      </c>
      <c r="I107" s="190">
        <v>-1.6899999929592013E-2</v>
      </c>
      <c r="J107" s="190">
        <v>-1.890000025741756E-2</v>
      </c>
      <c r="K107" s="190">
        <v>-1.4900000300258398E-2</v>
      </c>
      <c r="L107" s="190">
        <v>-1.4899999951012433E-2</v>
      </c>
      <c r="M107" s="190">
        <v>-1.2900000088848174E-2</v>
      </c>
      <c r="N107" s="190">
        <v>-1.8900000024586916E-2</v>
      </c>
      <c r="O107" s="190">
        <v>-6.7000000039115548E-2</v>
      </c>
      <c r="P107" s="190">
        <v>6.9000000017695129E-2</v>
      </c>
      <c r="Q107" s="190">
        <v>-9.3159999931231141E-2</v>
      </c>
      <c r="R107" s="190">
        <v>0</v>
      </c>
      <c r="S107" s="190">
        <v>0</v>
      </c>
      <c r="T107" s="190">
        <v>0</v>
      </c>
      <c r="U107" s="190">
        <v>-0.1909999999916181</v>
      </c>
      <c r="V107" s="190">
        <v>-0.29099999996833503</v>
      </c>
      <c r="W107" s="190">
        <v>-0.34100000001490116</v>
      </c>
      <c r="X107" s="190">
        <v>0.39560000004712492</v>
      </c>
      <c r="Y107" s="190">
        <v>0.13329000002704561</v>
      </c>
      <c r="Z107" s="190">
        <v>-0.23644999996758997</v>
      </c>
      <c r="AA107" s="190">
        <v>-0.2904100000159815</v>
      </c>
      <c r="AB107" s="190">
        <v>-0.29045000008773059</v>
      </c>
      <c r="AC107" s="190">
        <v>8.7880000122822821E-2</v>
      </c>
      <c r="AD107" s="190">
        <v>-0.10299999988637865</v>
      </c>
      <c r="AE107" s="190">
        <v>-0.14299999992363155</v>
      </c>
      <c r="AF107" s="190">
        <v>4.4409999973140657E-2</v>
      </c>
      <c r="AG107" s="190">
        <v>0.23968000011518598</v>
      </c>
      <c r="AH107" s="190">
        <v>0.71453000011388212</v>
      </c>
      <c r="AI107" s="190">
        <v>4.6899998560547829E-3</v>
      </c>
      <c r="AJ107" s="190">
        <v>4.1500000515952706E-3</v>
      </c>
      <c r="AK107" s="190">
        <v>-0.31331000011414289</v>
      </c>
      <c r="AL107" s="190">
        <v>-0.16678999993018806</v>
      </c>
      <c r="AM107" s="190">
        <v>-0.30506000004243106</v>
      </c>
      <c r="AN107" s="190">
        <v>-0.16679000062867999</v>
      </c>
      <c r="AO107" s="219">
        <v>-0.91386999993119389</v>
      </c>
      <c r="AP107" s="219">
        <v>0</v>
      </c>
      <c r="AQ107" s="219">
        <v>0</v>
      </c>
      <c r="AR107" s="219">
        <v>0</v>
      </c>
      <c r="AS107" s="178">
        <v>0</v>
      </c>
      <c r="AT107" s="178">
        <v>6.7939999862574041E-2</v>
      </c>
      <c r="AU107" s="178">
        <v>6.7939999862574041E-2</v>
      </c>
      <c r="AV107" s="178">
        <v>6.4150000223889947E-2</v>
      </c>
      <c r="AW107" s="178">
        <v>6.4149999874643981E-2</v>
      </c>
      <c r="AX107" s="178">
        <v>-3.789999638684094E-3</v>
      </c>
      <c r="AY107" s="178">
        <v>0</v>
      </c>
      <c r="AZ107" s="178">
        <v>0</v>
      </c>
      <c r="BA107" s="178">
        <v>0</v>
      </c>
      <c r="BB107" s="178">
        <v>0</v>
      </c>
      <c r="BC107" s="178">
        <v>0</v>
      </c>
      <c r="BD107" s="178">
        <v>0</v>
      </c>
      <c r="BE107" s="178">
        <v>0</v>
      </c>
      <c r="BF107" s="178">
        <v>0</v>
      </c>
      <c r="BG107" s="358">
        <v>0</v>
      </c>
      <c r="BH107" s="178">
        <v>0</v>
      </c>
      <c r="BI107" s="178">
        <v>0</v>
      </c>
      <c r="BJ107" s="178">
        <v>0</v>
      </c>
      <c r="BK107" s="178">
        <v>0</v>
      </c>
      <c r="BL107" s="178">
        <v>0</v>
      </c>
      <c r="BM107" s="178">
        <v>0</v>
      </c>
      <c r="BN107" s="178">
        <v>0</v>
      </c>
      <c r="BO107" s="178">
        <v>0</v>
      </c>
      <c r="BP107" s="178">
        <v>0</v>
      </c>
      <c r="BQ107" s="178">
        <v>0</v>
      </c>
      <c r="BR107" s="178">
        <v>0</v>
      </c>
      <c r="BS107" s="178">
        <v>0</v>
      </c>
      <c r="BT107" s="178">
        <v>1.000000280328095E-3</v>
      </c>
      <c r="BU107" s="178">
        <v>1.9999997457489371E-3</v>
      </c>
      <c r="BV107" s="178">
        <v>3.0000000260770321E-3</v>
      </c>
      <c r="BW107" s="178">
        <v>3.0000002589076757E-3</v>
      </c>
      <c r="BX107" s="178">
        <v>-3.2000000239349902E-2</v>
      </c>
      <c r="BY107" s="178">
        <v>-3.1999999890103936E-2</v>
      </c>
      <c r="BZ107" s="178">
        <v>0</v>
      </c>
      <c r="CA107" s="178">
        <v>0</v>
      </c>
      <c r="CB107" s="178">
        <v>0</v>
      </c>
      <c r="CC107" s="178">
        <v>0</v>
      </c>
      <c r="CD107" s="178">
        <v>0</v>
      </c>
      <c r="CE107" s="178">
        <v>0</v>
      </c>
      <c r="CF107" s="178">
        <v>0</v>
      </c>
      <c r="CG107" s="178">
        <v>0</v>
      </c>
      <c r="CH107" s="178">
        <v>0</v>
      </c>
      <c r="CI107" s="178">
        <v>0</v>
      </c>
      <c r="CJ107" s="178">
        <v>0</v>
      </c>
      <c r="CK107" s="178">
        <v>0</v>
      </c>
      <c r="CL107" s="178">
        <f>CL56-CL105</f>
        <v>0</v>
      </c>
      <c r="CM107" s="178">
        <f>CM56-CM105</f>
        <v>0</v>
      </c>
      <c r="CN107" s="178">
        <f>CN56-CN105</f>
        <v>0</v>
      </c>
      <c r="CO107" s="178">
        <v>0</v>
      </c>
      <c r="CP107" s="178">
        <v>0</v>
      </c>
      <c r="CQ107" s="178">
        <v>0</v>
      </c>
      <c r="CR107" s="178">
        <f t="shared" ref="CR107:CW107" si="186">CR56-CR105</f>
        <v>0</v>
      </c>
      <c r="CS107" s="178">
        <f t="shared" si="186"/>
        <v>0</v>
      </c>
      <c r="CT107" s="178">
        <f t="shared" si="186"/>
        <v>0</v>
      </c>
      <c r="CU107" s="178">
        <f t="shared" si="186"/>
        <v>0</v>
      </c>
      <c r="CV107" s="178">
        <f t="shared" si="186"/>
        <v>0</v>
      </c>
      <c r="CW107" s="178">
        <f t="shared" si="186"/>
        <v>0</v>
      </c>
      <c r="CX107" s="178">
        <f t="shared" ref="CX107:DC107" si="187">CX56-CX105</f>
        <v>0</v>
      </c>
      <c r="CY107" s="178">
        <f t="shared" si="187"/>
        <v>-9.9999993108212948E-4</v>
      </c>
      <c r="CZ107" s="178">
        <f t="shared" si="187"/>
        <v>0</v>
      </c>
      <c r="DA107" s="178">
        <f t="shared" si="187"/>
        <v>0</v>
      </c>
      <c r="DB107" s="178">
        <f t="shared" si="187"/>
        <v>0</v>
      </c>
      <c r="DC107" s="178">
        <f t="shared" si="187"/>
        <v>9.9999993108212948E-4</v>
      </c>
      <c r="DD107" s="178">
        <f t="shared" ref="DD107:DI107" si="188">DD56-DD105</f>
        <v>0</v>
      </c>
      <c r="DE107" s="178">
        <f t="shared" si="188"/>
        <v>0</v>
      </c>
      <c r="DF107" s="178">
        <f t="shared" si="188"/>
        <v>0</v>
      </c>
      <c r="DG107" s="178">
        <f t="shared" si="188"/>
        <v>0</v>
      </c>
      <c r="DH107" s="178">
        <f t="shared" si="188"/>
        <v>0</v>
      </c>
      <c r="DI107" s="178">
        <f t="shared" si="188"/>
        <v>0</v>
      </c>
      <c r="DJ107" s="178">
        <f t="shared" ref="DJ107:DP107" si="189">DJ56-DJ105</f>
        <v>0</v>
      </c>
      <c r="DK107" s="178">
        <f t="shared" si="189"/>
        <v>0</v>
      </c>
      <c r="DL107" s="178">
        <f t="shared" si="189"/>
        <v>0</v>
      </c>
      <c r="DM107" s="178">
        <f t="shared" si="189"/>
        <v>0</v>
      </c>
      <c r="DN107" s="178">
        <f t="shared" si="189"/>
        <v>0</v>
      </c>
      <c r="DO107" s="178">
        <f t="shared" si="189"/>
        <v>0</v>
      </c>
      <c r="DP107" s="178">
        <f t="shared" si="189"/>
        <v>0</v>
      </c>
      <c r="DQ107" s="178">
        <f t="shared" ref="DQ107:DX107" si="190">DQ56-DQ105</f>
        <v>0</v>
      </c>
      <c r="DR107" s="178">
        <f t="shared" si="190"/>
        <v>0</v>
      </c>
      <c r="DS107" s="178">
        <f t="shared" si="190"/>
        <v>-9.9999969825148582E-4</v>
      </c>
      <c r="DT107" s="178">
        <f t="shared" si="190"/>
        <v>-9.9999993108212948E-4</v>
      </c>
      <c r="DU107" s="178">
        <f t="shared" si="190"/>
        <v>0</v>
      </c>
      <c r="DV107" s="178">
        <f t="shared" si="190"/>
        <v>0</v>
      </c>
      <c r="DW107" s="178">
        <f t="shared" si="190"/>
        <v>0</v>
      </c>
      <c r="DX107" s="178">
        <f t="shared" si="190"/>
        <v>0</v>
      </c>
      <c r="DY107" s="178">
        <f t="shared" ref="DY107:ED107" si="191">DY56-DY105</f>
        <v>0</v>
      </c>
      <c r="DZ107" s="178">
        <f t="shared" si="191"/>
        <v>0</v>
      </c>
      <c r="EA107" s="178">
        <f t="shared" si="191"/>
        <v>0</v>
      </c>
      <c r="EB107" s="178">
        <f t="shared" si="191"/>
        <v>0</v>
      </c>
      <c r="EC107" s="178">
        <f t="shared" si="191"/>
        <v>0</v>
      </c>
      <c r="ED107" s="178">
        <f t="shared" si="191"/>
        <v>0</v>
      </c>
      <c r="EE107" s="178">
        <f t="shared" ref="EE107:EJ107" si="192">EE56-EE105</f>
        <v>0</v>
      </c>
      <c r="EF107" s="178">
        <f t="shared" si="192"/>
        <v>0</v>
      </c>
      <c r="EG107" s="178">
        <f t="shared" si="192"/>
        <v>0</v>
      </c>
      <c r="EH107" s="178">
        <f t="shared" si="192"/>
        <v>0</v>
      </c>
      <c r="EI107" s="178">
        <f t="shared" si="192"/>
        <v>0</v>
      </c>
      <c r="EJ107" s="178">
        <f t="shared" si="192"/>
        <v>0</v>
      </c>
      <c r="EK107" s="178">
        <f t="shared" ref="EK107:EP107" si="193">EK56-EK105</f>
        <v>0</v>
      </c>
      <c r="EL107" s="178">
        <f t="shared" si="193"/>
        <v>0</v>
      </c>
      <c r="EM107" s="178">
        <f t="shared" si="193"/>
        <v>0</v>
      </c>
      <c r="EN107" s="178">
        <f t="shared" si="193"/>
        <v>0</v>
      </c>
      <c r="EO107" s="178">
        <f t="shared" si="193"/>
        <v>0</v>
      </c>
      <c r="EP107" s="178">
        <f t="shared" si="193"/>
        <v>0</v>
      </c>
      <c r="EQ107" s="178">
        <f t="shared" ref="EQ107:EV107" si="194">EQ56-EQ105</f>
        <v>0</v>
      </c>
      <c r="ER107" s="178">
        <f t="shared" si="194"/>
        <v>0</v>
      </c>
      <c r="ES107" s="178">
        <f t="shared" si="194"/>
        <v>0</v>
      </c>
      <c r="ET107" s="178">
        <f t="shared" si="194"/>
        <v>0</v>
      </c>
      <c r="EU107" s="178">
        <f t="shared" si="194"/>
        <v>0</v>
      </c>
      <c r="EV107" s="178">
        <f t="shared" si="194"/>
        <v>0</v>
      </c>
      <c r="EW107" s="178">
        <f t="shared" ref="EW107:EY107" si="195">EW56-EW105</f>
        <v>0</v>
      </c>
      <c r="EX107" s="178">
        <f t="shared" si="195"/>
        <v>0</v>
      </c>
      <c r="EY107" s="178">
        <f t="shared" si="195"/>
        <v>0</v>
      </c>
      <c r="EZ107" s="178">
        <f t="shared" ref="EZ107:FB107" si="196">EZ56-EZ105</f>
        <v>0</v>
      </c>
      <c r="FA107" s="178">
        <f t="shared" si="196"/>
        <v>0</v>
      </c>
      <c r="FB107" s="178">
        <f t="shared" si="196"/>
        <v>0</v>
      </c>
      <c r="FC107" s="178">
        <f t="shared" ref="FC107:FE107" si="197">FC56-FC105</f>
        <v>0</v>
      </c>
      <c r="FD107" s="178">
        <f t="shared" si="197"/>
        <v>0</v>
      </c>
      <c r="FE107" s="178">
        <f t="shared" si="197"/>
        <v>0</v>
      </c>
      <c r="FF107" s="403">
        <f>SUM(EP107:FB107)/13</f>
        <v>0</v>
      </c>
      <c r="FG107" s="700"/>
      <c r="FH107" s="700"/>
      <c r="FI107" s="35">
        <v>0</v>
      </c>
      <c r="FJ107" s="35">
        <v>0</v>
      </c>
      <c r="FK107" s="35">
        <v>-6.8212102632969618E-13</v>
      </c>
      <c r="FL107" s="35">
        <v>-9.9999999974897946E-4</v>
      </c>
      <c r="FM107" s="35">
        <v>-9.9999999980582288E-4</v>
      </c>
      <c r="FN107" s="35">
        <v>-1.0000000002037268E-3</v>
      </c>
      <c r="FO107" s="35">
        <v>-1.0000000029322109E-3</v>
      </c>
      <c r="FP107" s="35">
        <f t="shared" ref="FP107:GA107" si="198">SUM(FP10:FP105)</f>
        <v>-9.9999999997635314E-4</v>
      </c>
      <c r="FQ107" s="35">
        <f t="shared" si="198"/>
        <v>-1.0000000019090294E-3</v>
      </c>
      <c r="FR107" s="35">
        <f t="shared" si="198"/>
        <v>-1.0000000009995347E-3</v>
      </c>
      <c r="FS107" s="35">
        <f t="shared" si="198"/>
        <v>-9.0949470177292824E-13</v>
      </c>
      <c r="FT107" s="35">
        <f t="shared" si="198"/>
        <v>0</v>
      </c>
      <c r="FU107" s="35">
        <f>SUM(FU10:FU105)</f>
        <v>0</v>
      </c>
      <c r="FV107" s="35">
        <f t="shared" si="198"/>
        <v>0</v>
      </c>
      <c r="FW107" s="35">
        <f t="shared" si="198"/>
        <v>0</v>
      </c>
      <c r="FX107" s="35">
        <f t="shared" si="198"/>
        <v>0</v>
      </c>
      <c r="FY107" s="35">
        <f t="shared" si="198"/>
        <v>0</v>
      </c>
      <c r="FZ107" s="35">
        <f t="shared" si="198"/>
        <v>9.9999999747524271E-4</v>
      </c>
      <c r="GA107" s="35">
        <f t="shared" si="198"/>
        <v>9.9999999974897946E-4</v>
      </c>
      <c r="GB107" s="35">
        <f t="shared" ref="GB107:GG107" si="199">SUM(GB10:GB105)</f>
        <v>1.0000000008858478E-3</v>
      </c>
      <c r="GC107" s="35">
        <f t="shared" si="199"/>
        <v>1.9999999997253326E-3</v>
      </c>
      <c r="GD107" s="35">
        <f t="shared" si="199"/>
        <v>2.9999999985648174E-3</v>
      </c>
      <c r="GE107" s="35">
        <f t="shared" si="199"/>
        <v>4.0000000008149073E-3</v>
      </c>
      <c r="GF107" s="35">
        <f t="shared" si="199"/>
        <v>3.9999999980864231E-3</v>
      </c>
      <c r="GG107" s="35">
        <f t="shared" si="199"/>
        <v>-9.9999999929423211E-4</v>
      </c>
      <c r="GH107" s="35">
        <f t="shared" ref="GH107:GM107" si="200">SUM(GH10:GH105)</f>
        <v>-1.0000000020227162E-3</v>
      </c>
      <c r="GI107" s="35">
        <f t="shared" si="200"/>
        <v>-1.0000000004311005E-3</v>
      </c>
      <c r="GJ107" s="35">
        <f t="shared" si="200"/>
        <v>-9.9999999929423211E-4</v>
      </c>
      <c r="GK107" s="35">
        <f t="shared" si="200"/>
        <v>-1.0000000022500899E-3</v>
      </c>
      <c r="GL107" s="35">
        <f t="shared" si="200"/>
        <v>-1.0000000011132215E-3</v>
      </c>
      <c r="GM107" s="35">
        <f t="shared" si="200"/>
        <v>-9.9999999929423211E-4</v>
      </c>
      <c r="GN107" s="35">
        <f t="shared" ref="GN107:GS107" si="201">SUM(GN10:GN105)</f>
        <v>-9.9999999974897946E-4</v>
      </c>
      <c r="GO107" s="35">
        <f t="shared" si="201"/>
        <v>-1.0000000006584742E-3</v>
      </c>
      <c r="GP107" s="35">
        <f t="shared" si="201"/>
        <v>-1.0000000022500899E-3</v>
      </c>
      <c r="GQ107" s="35">
        <f t="shared" si="201"/>
        <v>-1.0000000013405952E-3</v>
      </c>
      <c r="GR107" s="35">
        <f t="shared" si="201"/>
        <v>-1.0000000006584742E-3</v>
      </c>
      <c r="GS107" s="35">
        <f t="shared" si="201"/>
        <v>-1.0000000022500899E-3</v>
      </c>
      <c r="GT107" s="35">
        <f t="shared" ref="GT107:GY107" si="202">SUM(GT10:GT105)</f>
        <v>-1.0000000008858478E-3</v>
      </c>
      <c r="GU107" s="35">
        <f t="shared" si="202"/>
        <v>-1.0000000011132215E-3</v>
      </c>
      <c r="GV107" s="35">
        <f t="shared" si="202"/>
        <v>-1.0000000013405952E-3</v>
      </c>
      <c r="GW107" s="35">
        <f t="shared" si="202"/>
        <v>0</v>
      </c>
      <c r="GX107" s="35">
        <f t="shared" si="202"/>
        <v>0</v>
      </c>
      <c r="GY107" s="35">
        <f t="shared" si="202"/>
        <v>0</v>
      </c>
      <c r="GZ107" s="35">
        <f t="shared" ref="GZ107:HH107" si="203">SUM(GZ10:GZ105)</f>
        <v>0</v>
      </c>
      <c r="HA107" s="35">
        <f t="shared" si="203"/>
        <v>0</v>
      </c>
      <c r="HB107" s="35">
        <f t="shared" si="203"/>
        <v>0</v>
      </c>
      <c r="HC107" s="35">
        <f t="shared" si="203"/>
        <v>0</v>
      </c>
      <c r="HD107" s="35">
        <f t="shared" si="203"/>
        <v>0</v>
      </c>
      <c r="HE107" s="35">
        <f t="shared" si="203"/>
        <v>0</v>
      </c>
      <c r="HF107" s="35">
        <f t="shared" si="203"/>
        <v>-1.0000000011132215E-3</v>
      </c>
      <c r="HG107" s="35">
        <f t="shared" si="203"/>
        <v>-1.0000000017953425E-3</v>
      </c>
      <c r="HH107" s="35">
        <f t="shared" si="203"/>
        <v>-9.9999999974897946E-4</v>
      </c>
      <c r="HI107" s="35">
        <f t="shared" ref="HI107:HN107" si="204">SUM(HI10:HI105)</f>
        <v>-9.9999999997635314E-4</v>
      </c>
      <c r="HJ107" s="35">
        <f t="shared" si="204"/>
        <v>-1.0000000008858478E-3</v>
      </c>
      <c r="HK107" s="35">
        <f t="shared" si="204"/>
        <v>-1.0000000002037268E-3</v>
      </c>
      <c r="HL107" s="35">
        <f t="shared" si="204"/>
        <v>-1.0000000011132215E-3</v>
      </c>
      <c r="HM107" s="35">
        <f t="shared" si="204"/>
        <v>-1.0000000013405952E-3</v>
      </c>
      <c r="HN107" s="35">
        <f t="shared" si="204"/>
        <v>-1.0000000006584742E-3</v>
      </c>
      <c r="HO107" s="35">
        <f t="shared" ref="HO107:HT107" si="205">SUM(HO10:HO105)</f>
        <v>-9.9999999952160579E-4</v>
      </c>
      <c r="HP107" s="35">
        <f t="shared" si="205"/>
        <v>0</v>
      </c>
      <c r="HQ107" s="35">
        <f t="shared" si="205"/>
        <v>0</v>
      </c>
      <c r="HR107" s="35">
        <f t="shared" si="205"/>
        <v>0</v>
      </c>
      <c r="HS107" s="35">
        <f t="shared" si="205"/>
        <v>0</v>
      </c>
      <c r="HT107" s="35">
        <f t="shared" si="205"/>
        <v>0</v>
      </c>
      <c r="HU107" s="35">
        <f t="shared" ref="HU107:HZ107" si="206">SUM(HU10:HU105)</f>
        <v>0</v>
      </c>
      <c r="HV107" s="35">
        <f t="shared" si="206"/>
        <v>0</v>
      </c>
      <c r="HW107" s="35">
        <f t="shared" si="206"/>
        <v>0</v>
      </c>
      <c r="HX107" s="35">
        <f t="shared" si="206"/>
        <v>-2.2737367544323206E-12</v>
      </c>
      <c r="HY107" s="35">
        <f t="shared" si="206"/>
        <v>0</v>
      </c>
      <c r="HZ107" s="35">
        <f t="shared" si="206"/>
        <v>0</v>
      </c>
      <c r="IA107" s="35">
        <f t="shared" ref="IA107:IC107" si="207">SUM(IA10:IA105)</f>
        <v>0</v>
      </c>
      <c r="IB107" s="35">
        <f t="shared" si="207"/>
        <v>0</v>
      </c>
      <c r="IC107" s="35">
        <f t="shared" si="207"/>
        <v>0</v>
      </c>
      <c r="ID107" s="35">
        <f t="shared" ref="ID107:IH107" si="208">SUM(ID10:ID105)</f>
        <v>0</v>
      </c>
      <c r="IE107" s="35">
        <f t="shared" si="208"/>
        <v>0</v>
      </c>
      <c r="IF107" s="35">
        <f t="shared" si="208"/>
        <v>0</v>
      </c>
      <c r="IG107" s="35">
        <f t="shared" si="208"/>
        <v>0</v>
      </c>
      <c r="IH107" s="35">
        <f t="shared" si="208"/>
        <v>0</v>
      </c>
      <c r="II107" s="35">
        <f t="shared" ref="II107" si="209">SUM(II10:II105)</f>
        <v>0</v>
      </c>
      <c r="IJ107" s="35"/>
      <c r="IK107" s="226"/>
      <c r="IL107" s="226"/>
      <c r="IM107" s="35"/>
      <c r="IN107" s="35"/>
      <c r="IO107" s="35"/>
      <c r="IP107" s="35"/>
      <c r="IQ107" s="35"/>
      <c r="IR107" s="35"/>
      <c r="IS107" s="35"/>
      <c r="IT107" s="35"/>
      <c r="IU107" s="35"/>
      <c r="IV107" s="35"/>
      <c r="IW107" s="35"/>
      <c r="IX107" s="35"/>
      <c r="IY107" s="35"/>
    </row>
    <row r="108" spans="1:259">
      <c r="A108" s="452" t="s">
        <v>1695</v>
      </c>
      <c r="B108" s="112">
        <v>0</v>
      </c>
      <c r="C108" s="112">
        <v>0</v>
      </c>
      <c r="D108" s="112">
        <v>0</v>
      </c>
      <c r="E108" s="112">
        <v>0</v>
      </c>
      <c r="F108" s="112">
        <v>0</v>
      </c>
      <c r="G108" s="112">
        <v>0</v>
      </c>
      <c r="H108" s="112">
        <v>0</v>
      </c>
      <c r="I108" s="112">
        <v>0</v>
      </c>
      <c r="J108" s="112">
        <v>0</v>
      </c>
      <c r="K108" s="112">
        <v>0</v>
      </c>
      <c r="L108" s="112">
        <v>0</v>
      </c>
      <c r="M108" s="112">
        <v>0</v>
      </c>
      <c r="N108" s="112">
        <v>0</v>
      </c>
      <c r="O108" s="112"/>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c r="BK108" s="112"/>
      <c r="BL108" s="112"/>
      <c r="BM108" s="112"/>
      <c r="BN108" s="112"/>
      <c r="BO108" s="112"/>
      <c r="BP108" s="112"/>
      <c r="BQ108" s="112"/>
      <c r="BR108" s="112"/>
      <c r="BS108" s="112"/>
      <c r="BT108" s="112"/>
      <c r="BU108" s="112"/>
      <c r="BV108" s="112"/>
      <c r="BW108" s="112"/>
      <c r="BX108" s="112"/>
      <c r="BY108" s="112"/>
      <c r="BZ108" s="112"/>
      <c r="CA108" s="112"/>
      <c r="CB108" s="112"/>
      <c r="CC108" s="112"/>
      <c r="CD108" s="112"/>
      <c r="CE108" s="112"/>
      <c r="CF108" s="112"/>
      <c r="CG108" s="112"/>
      <c r="CH108" s="471"/>
      <c r="CI108" s="112"/>
      <c r="CJ108" s="112"/>
      <c r="CK108" s="112"/>
      <c r="CL108" s="112"/>
      <c r="CM108" s="112"/>
      <c r="CN108" s="112"/>
      <c r="CO108" s="112"/>
      <c r="CP108" s="112"/>
      <c r="CQ108" s="112"/>
      <c r="CR108" s="112"/>
      <c r="CS108" s="112"/>
      <c r="CT108" s="112"/>
      <c r="CU108" s="112"/>
      <c r="CV108" s="112"/>
      <c r="CW108" s="112"/>
      <c r="CX108" s="112"/>
      <c r="CY108" s="112"/>
      <c r="CZ108" s="112"/>
      <c r="DA108" s="112"/>
      <c r="DB108" s="112"/>
      <c r="DC108" s="112"/>
      <c r="DD108" s="112"/>
      <c r="DE108" s="112"/>
      <c r="DF108" s="112"/>
      <c r="DG108" s="112"/>
      <c r="DH108" s="112"/>
      <c r="DI108" s="112"/>
      <c r="DJ108" s="112"/>
      <c r="DK108" s="112"/>
      <c r="DL108" s="112"/>
      <c r="DM108" s="112"/>
      <c r="DN108" s="112"/>
      <c r="DO108" s="112"/>
      <c r="DP108" s="112"/>
      <c r="DQ108" s="112"/>
      <c r="DR108" s="112"/>
      <c r="DS108" s="112"/>
      <c r="DT108" s="112"/>
      <c r="DU108" s="112"/>
      <c r="DV108" s="112"/>
      <c r="DW108" s="112"/>
      <c r="DX108" s="112"/>
      <c r="DY108" s="112"/>
      <c r="DZ108" s="112"/>
      <c r="EA108" s="112"/>
      <c r="EB108" s="112"/>
      <c r="EC108" s="112"/>
      <c r="ED108" s="112"/>
      <c r="EE108" s="112"/>
      <c r="EF108" s="112"/>
      <c r="EG108" s="112"/>
      <c r="EH108" s="112"/>
      <c r="EI108" s="112"/>
      <c r="EJ108" s="112"/>
      <c r="EK108" s="112"/>
      <c r="EL108" s="112"/>
      <c r="EM108" s="112"/>
      <c r="EN108" s="112"/>
      <c r="EO108" s="112"/>
      <c r="EP108" s="112"/>
      <c r="EQ108" s="112"/>
      <c r="ER108" s="112"/>
      <c r="ES108" s="112"/>
      <c r="ET108" s="112"/>
      <c r="EU108" s="112"/>
      <c r="EV108" s="112"/>
      <c r="EW108" s="112"/>
      <c r="EX108" s="112"/>
      <c r="EY108" s="112"/>
      <c r="EZ108" s="112"/>
      <c r="FA108" s="112"/>
      <c r="FB108" s="112"/>
      <c r="FC108" s="112"/>
      <c r="FD108" s="112"/>
      <c r="FE108" s="112"/>
      <c r="FI108" s="451">
        <v>199.68299999964236</v>
      </c>
      <c r="FJ108" s="451">
        <v>266.80500000000001</v>
      </c>
      <c r="FK108" s="451">
        <v>334.2110000001199</v>
      </c>
      <c r="FL108" s="451">
        <v>401.90499999988054</v>
      </c>
      <c r="FM108" s="451">
        <v>469.88699999999983</v>
      </c>
      <c r="FN108" s="451">
        <v>584.61699999952339</v>
      </c>
      <c r="FO108" s="451">
        <v>676.55900000036058</v>
      </c>
      <c r="FP108" s="451">
        <f>+'Input BS ACCTS'!AO397/1000-FP107</f>
        <v>768.48399999940398</v>
      </c>
      <c r="FQ108" s="451">
        <f>+'Input BS ACCTS'!AP397/1000-FQ107</f>
        <v>860.80499999976348</v>
      </c>
      <c r="FR108" s="451">
        <f>+'Input BS ACCTS'!AQ397/1000-FR107</f>
        <v>953.52399999976262</v>
      </c>
      <c r="FS108" s="451">
        <f>+'Input BS ACCTS'!AR397/1000-FS107</f>
        <v>989.83500000000095</v>
      </c>
      <c r="FT108" s="451">
        <f>+'Input BS ACCTS'!AS397/1000-FT107</f>
        <v>1026.0830000001192</v>
      </c>
      <c r="FU108" s="451">
        <f>+'Input BS ACCTS'!AT397/1000-FU107</f>
        <v>1062.2660000000001</v>
      </c>
      <c r="FV108" s="451">
        <f>+'Input BS ACCTS'!AU397/1000-FV107</f>
        <v>1098.3830000004768</v>
      </c>
      <c r="FW108" s="451">
        <f>+'Input BS ACCTS'!AV397/1000-FW107</f>
        <v>1134.4330000002385</v>
      </c>
      <c r="FX108" s="451">
        <f>+'Input BS ACCTS'!AW397/1000-FX107</f>
        <v>1170.4159999997617</v>
      </c>
      <c r="FY108" s="451">
        <f>+'Input BS ACCTS'!AX397/1000-FY107</f>
        <v>1186.4649999997616</v>
      </c>
      <c r="FZ108" s="451">
        <f>+'Input BS ACCTS'!AY397/1000-FZ107</f>
        <v>1202.2799999995257</v>
      </c>
      <c r="GA108" s="451">
        <f>+'Input BS ACCTS'!AZ397/1000-GA107</f>
        <v>1217.8629999997618</v>
      </c>
      <c r="GB108" s="451">
        <f>+'Input BS ACCTS'!BA397/1000-GB107</f>
        <v>1232.5469999995223</v>
      </c>
      <c r="GC108" s="451">
        <f>+'Input BS ACCTS'!BB397/1000-GC107</f>
        <v>1246.9860000004771</v>
      </c>
      <c r="GD108" s="451">
        <f>+'Input BS ACCTS'!BC397/1000-GD107</f>
        <v>1261.1790000000015</v>
      </c>
      <c r="GE108" s="451">
        <f>+'Input BS ACCTS'!BD397/1000-GE107</f>
        <v>1275.1249999997608</v>
      </c>
      <c r="GF108" s="451">
        <f>+'Input BS ACCTS'!BE397/1000-GF107</f>
        <v>1288.8220000002402</v>
      </c>
      <c r="GG108" s="451">
        <f>+'Input BS ACCTS'!BF397/1000-GG107</f>
        <v>1302.2729999997609</v>
      </c>
      <c r="GH108" s="451">
        <f>+'Input BS ACCTS'!BG397/1000-GH107</f>
        <v>1315.4649999997637</v>
      </c>
      <c r="GI108" s="451">
        <f>+'Input BS ACCTS'!BH397/1000-GI107</f>
        <v>1328.4019999995237</v>
      </c>
      <c r="GJ108" s="451">
        <f>+'Input BS ACCTS'!BI397/1000-GJ107</f>
        <v>1341.0809999992841</v>
      </c>
      <c r="GK108" s="451">
        <f>+'Input BS ACCTS'!BJ397/1000-GK107</f>
        <v>1353.4999999995255</v>
      </c>
      <c r="GL108" s="451">
        <f>+'Input BS ACCTS'!BK397/1000-GL107</f>
        <v>1365.6569999995243</v>
      </c>
      <c r="GM108" s="451">
        <f>+'Input BS ACCTS'!BL397/1000-GM107</f>
        <v>1377.549999999761</v>
      </c>
      <c r="GN108" s="451">
        <f>+'Input BS ACCTS'!BM397/1000-GN107</f>
        <v>1388.5119999999997</v>
      </c>
      <c r="GO108" s="451">
        <f>+'Input BS ACCTS'!BN397/1000-GO107</f>
        <v>1399.1999999997622</v>
      </c>
      <c r="GP108" s="451">
        <f>+'Input BS ACCTS'!BO397/1000-GP107</f>
        <v>1409.6120000000024</v>
      </c>
      <c r="GQ108" s="451">
        <f>+'Input BS ACCTS'!BP397/1000-GQ107</f>
        <v>1419.744999999763</v>
      </c>
      <c r="GR108" s="451">
        <f>+'Input BS ACCTS'!BQ397/1000-GR107</f>
        <v>1429.5969999995239</v>
      </c>
      <c r="GS108" s="451">
        <f>+'Input BS ACCTS'!BR397/1000-GS107</f>
        <v>1439.1650000000022</v>
      </c>
      <c r="GT108" s="451">
        <f>+'Input BS ACCTS'!BS397/1000-GT107</f>
        <v>1448.4479999997625</v>
      </c>
      <c r="GU108" s="451">
        <f>+'Input BS ACCTS'!BT397/1000-GU107</f>
        <v>1457.4429999997626</v>
      </c>
      <c r="GV108" s="451">
        <f>+'Input BS ACCTS'!BU397/1000-GV107</f>
        <v>1466.146999999286</v>
      </c>
      <c r="GW108" s="451">
        <f>+'Input BS ACCTS'!BV397/1000-GW107</f>
        <v>1474.556</v>
      </c>
      <c r="GX108" s="451">
        <f>+'Input BS ACCTS'!BW397/1000-GX107</f>
        <v>1482.6709999992847</v>
      </c>
      <c r="GY108" s="451">
        <f>+'Input BS ACCTS'!BX397/1000-GY107</f>
        <v>1490.4889999997615</v>
      </c>
      <c r="GZ108" s="451">
        <f>+'Input BS ACCTS'!BY397/1000-GZ107</f>
        <v>1497.3429999997616</v>
      </c>
      <c r="HA108" s="451">
        <f>+'Input BS ACCTS'!BZ397/1000-HA107</f>
        <v>1503.89</v>
      </c>
      <c r="HB108" s="451">
        <f>+'Input BS ACCTS'!CA397/1000-HB107</f>
        <v>1510.1260000011921</v>
      </c>
      <c r="HC108" s="451">
        <f>+'Input BS ACCTS'!CB397/1000-HC107</f>
        <v>1531.7259999997616</v>
      </c>
      <c r="HD108" s="451">
        <f>+'Input BS ACCTS'!CC397/1000-HD107</f>
        <v>1553.1400000002384</v>
      </c>
      <c r="HE108" s="451">
        <f>+'Input BS ACCTS'!CD397/1000-HE107</f>
        <v>1574.3650000011921</v>
      </c>
      <c r="HF108" s="451">
        <f>+'Input BS ACCTS'!CE397/1000-HF107</f>
        <v>1595.4030000009548</v>
      </c>
      <c r="HG108" s="451">
        <f>+'Input BS ACCTS'!CF397/1000-HG107</f>
        <v>1616.248000000717</v>
      </c>
      <c r="HH108" s="451">
        <f>+'Input BS ACCTS'!CG397/1000-HH107</f>
        <v>1636.8999999997613</v>
      </c>
      <c r="HI108" s="451">
        <f>+'Input BS ACCTS'!CH397/1000-HI107</f>
        <v>1662.8409999999999</v>
      </c>
      <c r="HJ108" s="451">
        <f>+'Input BS ACCTS'!CI397/1000-HJ107</f>
        <v>1688.6319999997625</v>
      </c>
      <c r="HK108" s="451">
        <f>+'Input BS ACCTS'!CJ397/1000-HK107</f>
        <v>-802.79550999975186</v>
      </c>
      <c r="HL108" s="451">
        <f>+'Input BS ACCTS'!CK397/1000-HL107</f>
        <v>1739.0950000000012</v>
      </c>
      <c r="HM108" s="451">
        <f>+'Input BS ACCTS'!CL397/1000-HM107</f>
        <v>1763.7590000007167</v>
      </c>
      <c r="HN108" s="451">
        <f>+'Input BS ACCTS'!CM397/1000-HN107</f>
        <v>1788.2620000004774</v>
      </c>
      <c r="HO108" s="451">
        <f>+'Input BS ACCTS'!CN397/1000-HO107</f>
        <v>1812.6029999997611</v>
      </c>
      <c r="HP108" s="451">
        <f>+'Input BS ACCTS'!CO397/1000-HP107</f>
        <v>1836.7789999995232</v>
      </c>
      <c r="HQ108" s="451">
        <f>+'Input BS ACCTS'!CP397/1000-HQ107</f>
        <v>1860.7909999999999</v>
      </c>
      <c r="HR108" s="451">
        <f>+'Input BS ACCTS'!CQ397/1000-HR107</f>
        <v>1884.6369999999999</v>
      </c>
      <c r="HS108" s="451">
        <f>+'Input BS ACCTS'!CR397/1000-HS107</f>
        <v>1908.3149999992847</v>
      </c>
      <c r="HT108" s="451">
        <f>+'Input BS ACCTS'!CS397/1000-HT107</f>
        <v>1931.8239999992848</v>
      </c>
      <c r="HU108" s="451">
        <f>+'Input BS ACCTS'!CT397/1000-HU107</f>
        <v>1955.1619999997615</v>
      </c>
      <c r="HV108" s="451">
        <f>+'Input BS ACCTS'!CU397/1000-HV107</f>
        <v>1978.3290000004768</v>
      </c>
      <c r="HW108" s="451">
        <f>+'Input BS ACCTS'!CV397/1000-HW107</f>
        <v>2001.3209999995231</v>
      </c>
      <c r="HX108" s="451">
        <f>+'Input BS ACCTS'!CW397/1000-HX107</f>
        <v>2023.4760000000024</v>
      </c>
      <c r="HY108" s="451">
        <f>+'Input BS ACCTS'!CX397/1000-HY107</f>
        <v>2045.4510000007153</v>
      </c>
      <c r="HZ108" s="451">
        <f>+'Input BS ACCTS'!CY397/1000-HZ107</f>
        <v>1557.1789999997616</v>
      </c>
      <c r="IA108" s="451">
        <f>+'Input BS ACCTS'!CZ397/1000-IA107</f>
        <v>1572.913</v>
      </c>
      <c r="IB108" s="451">
        <f>+'Input BS ACCTS'!DA397/1000-IB107</f>
        <v>1588.5069999997615</v>
      </c>
      <c r="IC108" s="451">
        <f>+'Input BS ACCTS'!DB397/1000-IC107</f>
        <v>1603.9589999997615</v>
      </c>
      <c r="ID108" s="451">
        <f>+'Input BS ACCTS'!DC397/1000-ID107</f>
        <v>0</v>
      </c>
      <c r="IE108" s="451">
        <f>+'Input BS ACCTS'!DD397/1000-IE107</f>
        <v>0</v>
      </c>
      <c r="IF108" s="451">
        <f>+'Input BS ACCTS'!DE397/1000-IF107</f>
        <v>0</v>
      </c>
      <c r="IG108" s="451">
        <f>+'Input BS ACCTS'!DF397/1000-IG107</f>
        <v>0</v>
      </c>
      <c r="IH108" s="451">
        <f>+'Input BS ACCTS'!DG397/1000-IH107</f>
        <v>0</v>
      </c>
      <c r="II108" s="451">
        <f>+'Input BS ACCTS'!DH397/1000-II107</f>
        <v>0</v>
      </c>
      <c r="IJ108" s="191"/>
      <c r="IK108" s="226"/>
      <c r="IL108" s="226"/>
      <c r="IM108" s="191"/>
      <c r="IN108" s="191"/>
      <c r="IO108" s="191"/>
      <c r="IP108" s="191"/>
      <c r="IQ108" s="191"/>
      <c r="IR108" s="191"/>
      <c r="IS108" s="191"/>
      <c r="IT108" s="191"/>
      <c r="IU108" s="191"/>
      <c r="IV108" s="191"/>
      <c r="IW108" s="191"/>
      <c r="IX108" s="191"/>
      <c r="IY108" s="191"/>
    </row>
    <row r="109" spans="1:259">
      <c r="A109" s="30"/>
      <c r="B109" s="111">
        <v>0</v>
      </c>
      <c r="C109" s="111">
        <v>0</v>
      </c>
      <c r="D109" s="111">
        <v>0</v>
      </c>
      <c r="E109" s="111">
        <v>0</v>
      </c>
      <c r="F109" s="111">
        <v>0</v>
      </c>
      <c r="G109" s="111">
        <v>0</v>
      </c>
      <c r="H109" s="111">
        <v>0</v>
      </c>
      <c r="I109" s="111">
        <v>0</v>
      </c>
      <c r="J109" s="111">
        <v>0</v>
      </c>
      <c r="K109" s="111">
        <v>0</v>
      </c>
      <c r="L109" s="111">
        <v>0</v>
      </c>
      <c r="M109" s="111">
        <v>0</v>
      </c>
      <c r="N109" s="111">
        <v>0</v>
      </c>
      <c r="O109" s="111"/>
      <c r="P109" s="111"/>
      <c r="Q109" s="111"/>
      <c r="R109" s="111"/>
      <c r="S109" s="111"/>
      <c r="T109" s="111"/>
      <c r="U109" s="111"/>
      <c r="V109" s="111"/>
      <c r="W109" s="111"/>
      <c r="X109" s="111"/>
      <c r="Y109" s="111"/>
      <c r="Z109" s="111"/>
      <c r="AA109" s="111"/>
      <c r="AB109" s="111"/>
      <c r="AC109" s="111"/>
      <c r="AD109" s="111"/>
      <c r="AE109" s="111"/>
      <c r="AF109" s="111"/>
      <c r="AG109" s="111"/>
      <c r="AH109" s="111"/>
      <c r="AI109" s="111"/>
      <c r="AJ109" s="111"/>
      <c r="AK109" s="111"/>
      <c r="AL109" s="111"/>
      <c r="AM109" s="111"/>
      <c r="AN109" s="111"/>
      <c r="AO109" s="111"/>
      <c r="AP109" s="111"/>
      <c r="AQ109" s="250">
        <v>0</v>
      </c>
      <c r="AR109" s="250">
        <v>0</v>
      </c>
      <c r="AS109" s="111"/>
      <c r="AT109" s="111"/>
      <c r="AU109" s="111"/>
      <c r="AV109" s="111"/>
      <c r="AW109" s="111"/>
      <c r="AX109" s="111"/>
      <c r="AY109" s="111"/>
      <c r="AZ109" s="111"/>
      <c r="BA109" s="111"/>
      <c r="BB109" s="111"/>
      <c r="BC109" s="111"/>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EB109" s="250"/>
      <c r="EC109" s="250"/>
      <c r="ED109" s="250"/>
      <c r="EE109" s="250"/>
      <c r="EF109" s="250"/>
      <c r="EG109" s="250"/>
      <c r="EH109" s="250"/>
      <c r="EI109" s="250"/>
      <c r="EJ109" s="250"/>
      <c r="EK109" s="250"/>
      <c r="EL109" s="250"/>
      <c r="EM109" s="250"/>
      <c r="EN109" s="250"/>
      <c r="EO109" s="250"/>
      <c r="EP109" s="250"/>
      <c r="EQ109" s="250"/>
      <c r="ER109" s="250"/>
      <c r="ES109" s="250"/>
      <c r="ET109" s="250"/>
      <c r="EU109" s="250"/>
      <c r="EV109" s="250"/>
      <c r="EW109" s="250"/>
      <c r="EX109" s="250"/>
      <c r="EY109" s="250"/>
      <c r="EZ109" s="250"/>
      <c r="FA109" s="250"/>
      <c r="FB109" s="250"/>
      <c r="FC109" s="250"/>
      <c r="FD109" s="250"/>
      <c r="FE109" s="250"/>
      <c r="FF109" s="116"/>
      <c r="FG109" s="116"/>
      <c r="FH109" s="116"/>
      <c r="FI109" s="48">
        <v>-3.5763036976277363E-10</v>
      </c>
      <c r="FJ109" s="48">
        <v>0</v>
      </c>
      <c r="FK109" s="48">
        <v>1.198827703774441E-10</v>
      </c>
      <c r="FL109" s="48">
        <v>9.9999988054833011E-4</v>
      </c>
      <c r="FM109" s="48">
        <v>9.9999999980582288E-4</v>
      </c>
      <c r="FN109" s="48">
        <v>9.9999952340112941E-4</v>
      </c>
      <c r="FO109" s="48">
        <v>1.0000003605910024E-3</v>
      </c>
      <c r="FP109" s="48">
        <f t="shared" ref="FP109:GA109" si="210">+FP108+FP95</f>
        <v>9.999994040299498E-4</v>
      </c>
      <c r="FQ109" s="48">
        <f t="shared" si="210"/>
        <v>9.9999976350773068E-4</v>
      </c>
      <c r="FR109" s="48">
        <f t="shared" si="210"/>
        <v>9.9999976259823598E-4</v>
      </c>
      <c r="FS109" s="48">
        <f t="shared" si="210"/>
        <v>9.0949470177292824E-13</v>
      </c>
      <c r="FT109" s="48">
        <f t="shared" si="210"/>
        <v>1.191438059322536E-10</v>
      </c>
      <c r="FU109" s="48">
        <f>+FU108+FU95</f>
        <v>0</v>
      </c>
      <c r="FV109" s="48">
        <f t="shared" si="210"/>
        <v>4.7680259740445763E-10</v>
      </c>
      <c r="FW109" s="48">
        <f t="shared" si="210"/>
        <v>2.3851498553995043E-10</v>
      </c>
      <c r="FX109" s="48">
        <f t="shared" si="210"/>
        <v>-2.382876118645072E-10</v>
      </c>
      <c r="FY109" s="48">
        <f t="shared" si="210"/>
        <v>-2.382876118645072E-10</v>
      </c>
      <c r="FZ109" s="48">
        <f t="shared" si="210"/>
        <v>-1.0000004742778401E-3</v>
      </c>
      <c r="GA109" s="48">
        <f t="shared" si="210"/>
        <v>-1.000000238263965E-3</v>
      </c>
      <c r="GB109" s="48">
        <f t="shared" ref="GB109:GG109" si="211">+GB108+GB95</f>
        <v>-1.0000004776884452E-3</v>
      </c>
      <c r="GC109" s="48">
        <f t="shared" si="211"/>
        <v>-1.9999995229227352E-3</v>
      </c>
      <c r="GD109" s="48">
        <f t="shared" si="211"/>
        <v>-2.9999999985648174E-3</v>
      </c>
      <c r="GE109" s="48">
        <f t="shared" si="211"/>
        <v>-4.0000002391025191E-3</v>
      </c>
      <c r="GF109" s="48">
        <f t="shared" si="211"/>
        <v>-3.9999997597988113E-3</v>
      </c>
      <c r="GG109" s="48">
        <f t="shared" si="211"/>
        <v>9.9999976100662025E-4</v>
      </c>
      <c r="GH109" s="48">
        <f t="shared" ref="GH109:GM109" si="212">+GH108+GH95</f>
        <v>9.9999976373510435E-4</v>
      </c>
      <c r="GI109" s="48">
        <f t="shared" si="212"/>
        <v>9.9999952362850308E-4</v>
      </c>
      <c r="GJ109" s="48">
        <f t="shared" si="212"/>
        <v>9.9999928420402284E-4</v>
      </c>
      <c r="GK109" s="48">
        <f t="shared" si="212"/>
        <v>9.9999952544749249E-4</v>
      </c>
      <c r="GL109" s="48">
        <f t="shared" si="212"/>
        <v>9.9999952431062411E-4</v>
      </c>
      <c r="GM109" s="48">
        <f t="shared" si="212"/>
        <v>9.9999976100662025E-4</v>
      </c>
      <c r="GN109" s="48">
        <f t="shared" ref="GN109:GS109" si="213">+GN108+GN95</f>
        <v>9.9999999974897946E-4</v>
      </c>
      <c r="GO109" s="48">
        <f t="shared" si="213"/>
        <v>9.9999976214348862E-4</v>
      </c>
      <c r="GP109" s="48">
        <f t="shared" si="213"/>
        <v>1.0000000022500899E-3</v>
      </c>
      <c r="GQ109" s="48">
        <f t="shared" si="213"/>
        <v>9.9999976305298333E-4</v>
      </c>
      <c r="GR109" s="48">
        <f t="shared" si="213"/>
        <v>9.9999952385587676E-4</v>
      </c>
      <c r="GS109" s="48">
        <f t="shared" si="213"/>
        <v>1.0000000022500899E-3</v>
      </c>
      <c r="GT109" s="48">
        <f t="shared" ref="GT109:GY109" si="214">+GT108+GT95</f>
        <v>9.9999976259823598E-4</v>
      </c>
      <c r="GU109" s="48">
        <f t="shared" si="214"/>
        <v>9.9999976259823598E-4</v>
      </c>
      <c r="GV109" s="48">
        <f t="shared" si="214"/>
        <v>9.9999928602301225E-4</v>
      </c>
      <c r="GW109" s="48">
        <f t="shared" si="214"/>
        <v>0</v>
      </c>
      <c r="GX109" s="48">
        <f t="shared" si="214"/>
        <v>-7.1531758294440806E-10</v>
      </c>
      <c r="GY109" s="48">
        <f t="shared" si="214"/>
        <v>-2.3851498553995043E-10</v>
      </c>
      <c r="GZ109" s="48">
        <f t="shared" ref="GZ109:HH109" si="215">+GZ108+GZ95</f>
        <v>-2.3851498553995043E-10</v>
      </c>
      <c r="HA109" s="48">
        <f t="shared" si="215"/>
        <v>0</v>
      </c>
      <c r="HB109" s="48">
        <f t="shared" si="215"/>
        <v>1.1921201803488657E-9</v>
      </c>
      <c r="HC109" s="48">
        <f t="shared" si="215"/>
        <v>-2.3851498553995043E-10</v>
      </c>
      <c r="HD109" s="48">
        <f t="shared" si="215"/>
        <v>2.382876118645072E-10</v>
      </c>
      <c r="HE109" s="48">
        <f t="shared" si="215"/>
        <v>1.1921201803488657E-9</v>
      </c>
      <c r="HF109" s="48">
        <f t="shared" si="215"/>
        <v>1.0000009547184163E-3</v>
      </c>
      <c r="HG109" s="48">
        <f t="shared" si="215"/>
        <v>1.0000007168855518E-3</v>
      </c>
      <c r="HH109" s="48">
        <f t="shared" si="215"/>
        <v>9.999997614613676E-4</v>
      </c>
      <c r="HI109" s="48">
        <f t="shared" ref="HI109:HN109" si="216">+HI108+HI95</f>
        <v>9.9999999997635314E-4</v>
      </c>
      <c r="HJ109" s="48">
        <f t="shared" si="216"/>
        <v>9.999997623708623E-4</v>
      </c>
      <c r="HK109" s="48">
        <f>+HK108+HK95</f>
        <v>-2517.1795099997516</v>
      </c>
      <c r="HL109" s="48">
        <f t="shared" si="216"/>
        <v>1.0000000011132215E-3</v>
      </c>
      <c r="HM109" s="48">
        <f t="shared" si="216"/>
        <v>1.0000007166581781E-3</v>
      </c>
      <c r="HN109" s="48">
        <f t="shared" si="216"/>
        <v>1.0000004774610716E-3</v>
      </c>
      <c r="HO109" s="48">
        <f t="shared" ref="HO109:HT109" si="217">+HO108+HO95</f>
        <v>9.9999976100662025E-4</v>
      </c>
      <c r="HP109" s="48">
        <f t="shared" si="217"/>
        <v>-4.7680259740445763E-10</v>
      </c>
      <c r="HQ109" s="48">
        <f t="shared" si="217"/>
        <v>0</v>
      </c>
      <c r="HR109" s="48">
        <f t="shared" si="217"/>
        <v>0</v>
      </c>
      <c r="HS109" s="48">
        <f t="shared" si="217"/>
        <v>-7.1531758294440806E-10</v>
      </c>
      <c r="HT109" s="48">
        <f t="shared" si="217"/>
        <v>-7.1531758294440806E-10</v>
      </c>
      <c r="HU109" s="48">
        <f t="shared" ref="HU109:HZ109" si="218">+HU108+HU95</f>
        <v>-2.3851498553995043E-10</v>
      </c>
      <c r="HV109" s="48">
        <f t="shared" si="218"/>
        <v>4.7680259740445763E-10</v>
      </c>
      <c r="HW109" s="48">
        <f t="shared" si="218"/>
        <v>-4.7680259740445763E-10</v>
      </c>
      <c r="HX109" s="48">
        <f t="shared" si="218"/>
        <v>2.2737367544323206E-12</v>
      </c>
      <c r="HY109" s="48">
        <f t="shared" si="218"/>
        <v>7.1531758294440806E-10</v>
      </c>
      <c r="HZ109" s="48">
        <f t="shared" si="218"/>
        <v>-2.3851498553995043E-10</v>
      </c>
      <c r="IA109" s="48">
        <f t="shared" ref="IA109:IC109" si="219">+IA108+IA95</f>
        <v>0</v>
      </c>
      <c r="IB109" s="48">
        <f t="shared" si="219"/>
        <v>-2.3851498553995043E-10</v>
      </c>
      <c r="IC109" s="48">
        <f t="shared" si="219"/>
        <v>-2.3851498553995043E-10</v>
      </c>
      <c r="ID109" s="48">
        <f t="shared" ref="ID109:IH109" si="220">+ID108+ID95</f>
        <v>0</v>
      </c>
      <c r="IE109" s="48">
        <f t="shared" si="220"/>
        <v>0</v>
      </c>
      <c r="IF109" s="48">
        <f t="shared" si="220"/>
        <v>0</v>
      </c>
      <c r="IG109" s="48">
        <f t="shared" si="220"/>
        <v>0</v>
      </c>
      <c r="IH109" s="48">
        <f t="shared" si="220"/>
        <v>0</v>
      </c>
      <c r="II109" s="48">
        <f t="shared" ref="II109" si="221">+II108+II95</f>
        <v>0</v>
      </c>
      <c r="IJ109" s="35"/>
      <c r="IK109" s="226"/>
      <c r="IL109" s="226"/>
      <c r="IM109" s="35"/>
      <c r="IN109" s="35"/>
      <c r="IO109" s="35"/>
      <c r="IP109" s="35"/>
      <c r="IQ109" s="35"/>
      <c r="IR109" s="35"/>
      <c r="IS109" s="35"/>
      <c r="IT109" s="35"/>
      <c r="IU109" s="35"/>
      <c r="IV109" s="35"/>
      <c r="IW109" s="35"/>
      <c r="IX109" s="35"/>
      <c r="IY109" s="35"/>
    </row>
    <row r="110" spans="1:259">
      <c r="A110" s="30"/>
      <c r="B110" s="111">
        <v>0</v>
      </c>
      <c r="C110" s="111">
        <v>0</v>
      </c>
      <c r="D110" s="111">
        <v>0</v>
      </c>
      <c r="E110" s="111">
        <v>0</v>
      </c>
      <c r="F110" s="111">
        <v>0</v>
      </c>
      <c r="G110" s="111">
        <v>0</v>
      </c>
      <c r="H110" s="111">
        <v>0</v>
      </c>
      <c r="I110" s="111">
        <v>0</v>
      </c>
      <c r="J110" s="111">
        <v>0</v>
      </c>
      <c r="K110" s="111">
        <v>0</v>
      </c>
      <c r="L110" s="111">
        <v>0</v>
      </c>
      <c r="M110" s="111">
        <v>0</v>
      </c>
      <c r="N110" s="111">
        <v>0</v>
      </c>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M110" s="111"/>
      <c r="EN110" s="111"/>
      <c r="EO110" s="111"/>
      <c r="EP110" s="111"/>
      <c r="EQ110" s="111"/>
      <c r="ER110" s="111"/>
      <c r="ES110" s="111"/>
      <c r="ET110" s="111"/>
      <c r="EU110" s="111"/>
      <c r="EV110" s="111"/>
      <c r="EW110" s="111"/>
      <c r="EX110" s="111"/>
      <c r="EY110" s="111"/>
      <c r="EZ110" s="111"/>
      <c r="FA110" s="111"/>
      <c r="FB110" s="111"/>
      <c r="FC110" s="111"/>
      <c r="FD110" s="111"/>
      <c r="FE110" s="111"/>
      <c r="FF110" s="111"/>
      <c r="FG110" s="111"/>
      <c r="FH110" s="111"/>
      <c r="IJ110" s="35"/>
      <c r="IK110" s="226"/>
      <c r="IL110" s="226"/>
      <c r="IM110" s="35"/>
      <c r="IN110" s="35"/>
      <c r="IO110" s="35"/>
      <c r="IP110" s="35"/>
      <c r="IQ110" s="35"/>
      <c r="IR110" s="35"/>
      <c r="IS110" s="35"/>
      <c r="IT110" s="35"/>
      <c r="IU110" s="35"/>
      <c r="IV110" s="35"/>
      <c r="IW110" s="35"/>
      <c r="IX110" s="35"/>
      <c r="IY110" s="35"/>
    </row>
    <row r="111" spans="1:259">
      <c r="A111" s="391" t="s">
        <v>2330</v>
      </c>
      <c r="B111"/>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10"/>
      <c r="AA111" s="210"/>
      <c r="AB111" s="210"/>
      <c r="AC111" s="165"/>
      <c r="AD111" s="165"/>
      <c r="AE111" s="165"/>
      <c r="AF111" s="165"/>
      <c r="AG111" s="165"/>
      <c r="AH111" s="165"/>
      <c r="AI111" s="165"/>
      <c r="AJ111" s="165"/>
      <c r="AK111" s="165"/>
      <c r="AL111" s="165"/>
      <c r="AM111" s="165"/>
      <c r="AN111" s="165"/>
      <c r="AO111" s="165"/>
      <c r="AP111" s="165"/>
      <c r="AQ111" s="165"/>
      <c r="AR111" s="165"/>
      <c r="AS111" s="165"/>
      <c r="AT111" s="165"/>
      <c r="AU111" s="165"/>
      <c r="AV111" s="165"/>
      <c r="AW111" s="165"/>
      <c r="AX111" s="165"/>
      <c r="AY111" s="165"/>
      <c r="AZ111" s="165"/>
      <c r="BA111" s="165"/>
      <c r="BB111" s="165"/>
      <c r="BC111" s="165"/>
      <c r="BD111" s="165"/>
      <c r="BE111" s="165"/>
      <c r="BF111" s="165"/>
      <c r="BG111" s="165"/>
      <c r="BH111" s="165"/>
      <c r="BI111" s="165"/>
      <c r="BJ111" s="165"/>
      <c r="BK111" s="165"/>
      <c r="BL111" s="165"/>
      <c r="BM111" s="165"/>
      <c r="BN111" s="165"/>
      <c r="BO111" s="165"/>
      <c r="BP111" s="165"/>
      <c r="BQ111" s="165"/>
      <c r="BR111" s="165"/>
      <c r="BS111" s="165"/>
      <c r="BT111" s="165"/>
      <c r="BU111" s="165"/>
      <c r="BV111" s="165"/>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390"/>
      <c r="DH111" s="155"/>
      <c r="DI111" s="17"/>
      <c r="DJ111" s="17"/>
      <c r="DK111" s="17"/>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row>
    <row r="112" spans="1:259">
      <c r="A112" s="210" t="s">
        <v>2327</v>
      </c>
      <c r="B11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10"/>
      <c r="AA112" s="210"/>
      <c r="AB112" s="210"/>
      <c r="AC112" s="165"/>
      <c r="AD112" s="165"/>
      <c r="AE112" s="165"/>
      <c r="AF112" s="165"/>
      <c r="AG112" s="165"/>
      <c r="AH112" s="165"/>
      <c r="AI112" s="165"/>
      <c r="AJ112" s="165"/>
      <c r="AK112" s="165"/>
      <c r="AL112" s="165"/>
      <c r="AM112" s="165"/>
      <c r="AN112" s="165"/>
      <c r="AO112" s="165"/>
      <c r="AP112" s="165"/>
      <c r="AQ112" s="165"/>
      <c r="AR112" s="165"/>
      <c r="AS112" s="165"/>
      <c r="AT112" s="165"/>
      <c r="AU112" s="165"/>
      <c r="AV112" s="165"/>
      <c r="AW112" s="165"/>
      <c r="AX112" s="165"/>
      <c r="AY112" s="165"/>
      <c r="AZ112" s="165"/>
      <c r="BA112" s="165"/>
      <c r="BB112" s="165"/>
      <c r="BC112" s="165"/>
      <c r="BD112" s="165"/>
      <c r="BE112" s="165"/>
      <c r="BF112" s="165"/>
      <c r="BG112" s="165"/>
      <c r="BH112" s="165"/>
      <c r="BI112" s="165"/>
      <c r="BJ112" s="165"/>
      <c r="BK112" s="165"/>
      <c r="BL112" s="165"/>
      <c r="BM112" s="165"/>
      <c r="BN112" s="165"/>
      <c r="BO112" s="165"/>
      <c r="BP112" s="165"/>
      <c r="BQ112" s="165"/>
      <c r="BR112" s="165"/>
      <c r="BS112" s="165"/>
      <c r="BT112" s="165"/>
      <c r="BU112" s="165"/>
      <c r="BV112" s="165"/>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v>4760963.3600000003</v>
      </c>
      <c r="DF112" s="165">
        <v>1160834095.25</v>
      </c>
      <c r="DG112" s="165">
        <v>1180935268.4400001</v>
      </c>
      <c r="DH112" s="165">
        <v>1201359648.1099999</v>
      </c>
      <c r="DI112" s="165">
        <v>1224685887.01</v>
      </c>
      <c r="DJ112" s="165">
        <v>1245851925.23</v>
      </c>
      <c r="DK112" s="165">
        <v>1246408909.23</v>
      </c>
      <c r="DL112" s="165">
        <v>1257593647.8699999</v>
      </c>
      <c r="DM112" s="165">
        <v>1261451991.4100001</v>
      </c>
      <c r="DN112" s="165">
        <v>1273924807.72</v>
      </c>
      <c r="DO112" s="165">
        <v>1285251394.0599999</v>
      </c>
      <c r="DP112" s="165">
        <v>1298898817.21</v>
      </c>
      <c r="DQ112" s="165">
        <v>1317782362.8099999</v>
      </c>
      <c r="DR112" s="165">
        <v>1340764338.5999999</v>
      </c>
      <c r="DS112" s="165">
        <v>1357190299.23</v>
      </c>
      <c r="DT112" s="165">
        <v>1382140358.9400001</v>
      </c>
      <c r="DU112" s="165">
        <v>1406757195.1300001</v>
      </c>
      <c r="DV112" s="165">
        <v>1428603576.72</v>
      </c>
      <c r="DW112" s="165">
        <v>1440657003.78</v>
      </c>
      <c r="DX112" s="165">
        <v>1451715116.9100001</v>
      </c>
      <c r="DY112" s="165">
        <v>1470020729.1400001</v>
      </c>
      <c r="DZ112" s="165">
        <v>1493213205.5599999</v>
      </c>
      <c r="EA112" s="165">
        <v>1515171815.78</v>
      </c>
      <c r="EB112" s="165">
        <v>1535872168.5</v>
      </c>
      <c r="EC112" s="165">
        <v>1572823223.97</v>
      </c>
      <c r="ED112" s="165">
        <v>1598138498.73</v>
      </c>
      <c r="EE112" s="165">
        <v>1630045057.9200001</v>
      </c>
      <c r="EF112" s="165">
        <v>1664498657.79</v>
      </c>
      <c r="EG112" s="165">
        <v>1714605078.1199999</v>
      </c>
      <c r="EH112" s="165">
        <v>1742610526</v>
      </c>
      <c r="EI112" s="165">
        <v>1765420000.3699999</v>
      </c>
      <c r="EJ112" s="165">
        <v>1781368533.6600001</v>
      </c>
      <c r="EK112" s="165">
        <v>1797765653.9400001</v>
      </c>
      <c r="EL112" s="165">
        <v>1806154158.48</v>
      </c>
      <c r="EM112" s="165">
        <v>1825581512.29</v>
      </c>
      <c r="EN112" s="165">
        <v>1851639499.4400001</v>
      </c>
      <c r="EO112" s="165">
        <v>1869701885.3399999</v>
      </c>
      <c r="EP112" s="165">
        <v>1892848811.76</v>
      </c>
      <c r="EQ112" s="165">
        <v>1927505708.0899999</v>
      </c>
      <c r="ER112" s="165">
        <v>1958911460.72</v>
      </c>
      <c r="ES112" s="165">
        <v>1990225377.4000001</v>
      </c>
      <c r="ET112" s="165">
        <v>2021923662.22</v>
      </c>
      <c r="EU112" s="165">
        <v>2041108149.6900001</v>
      </c>
      <c r="EV112" s="165">
        <v>2050863748.04</v>
      </c>
      <c r="EW112" s="165">
        <v>2066379024.9000001</v>
      </c>
      <c r="EX112" s="165">
        <v>2092904650.55</v>
      </c>
      <c r="EY112" s="165">
        <v>2118941271.22</v>
      </c>
      <c r="EZ112" s="165">
        <v>2136862729.3099999</v>
      </c>
      <c r="FA112" s="165">
        <v>2152934893.73</v>
      </c>
      <c r="FB112" s="165">
        <v>2168239079.9400001</v>
      </c>
      <c r="FC112" s="165">
        <v>2180322911.5700002</v>
      </c>
      <c r="FD112" s="165">
        <v>2206019839.0700002</v>
      </c>
      <c r="FE112" s="165">
        <v>2267449529.5999999</v>
      </c>
      <c r="FF112" s="403">
        <f>SUM(ES112:FE112)/13</f>
        <v>2114936528.2492304</v>
      </c>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row>
    <row r="113" spans="16:243">
      <c r="Z113" s="48"/>
      <c r="AA113" s="48"/>
      <c r="AB113" s="48"/>
      <c r="AC113" s="48"/>
      <c r="AD113" s="163"/>
      <c r="AE113" s="163"/>
      <c r="AF113" s="163"/>
      <c r="AG113" s="163"/>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c r="BI113" s="163"/>
      <c r="BJ113" s="163"/>
      <c r="BK113" s="163"/>
      <c r="BL113" s="163"/>
      <c r="BM113" s="163"/>
      <c r="BN113" s="163"/>
      <c r="BO113" s="163"/>
      <c r="BP113" s="163"/>
      <c r="BQ113" s="163"/>
      <c r="BR113" s="163"/>
      <c r="BS113" s="163"/>
      <c r="BT113" s="163"/>
      <c r="BU113" s="163"/>
      <c r="BV113" s="163"/>
      <c r="BW113" s="163"/>
      <c r="BX113" s="163"/>
      <c r="BY113" s="163"/>
      <c r="BZ113" s="163"/>
      <c r="CA113" s="163"/>
      <c r="CB113" s="163"/>
      <c r="CC113" s="163"/>
      <c r="CD113" s="163"/>
      <c r="CE113" s="163"/>
      <c r="CF113" s="163"/>
      <c r="CG113" s="163"/>
      <c r="CH113" s="163"/>
      <c r="CI113" s="163"/>
      <c r="CJ113" s="163"/>
      <c r="CK113" s="163"/>
      <c r="CL113" s="163"/>
      <c r="CM113" s="163"/>
      <c r="CN113" s="163"/>
      <c r="CO113" s="163"/>
      <c r="CP113" s="163"/>
      <c r="CQ113" s="163"/>
      <c r="CR113" s="163"/>
      <c r="CS113" s="163"/>
      <c r="CT113" s="163"/>
      <c r="CU113" s="163"/>
      <c r="CV113" s="163"/>
      <c r="CW113" s="163"/>
      <c r="CX113" s="163"/>
      <c r="CY113" s="163"/>
      <c r="CZ113" s="163"/>
      <c r="DA113" s="163"/>
      <c r="DB113" s="163"/>
      <c r="DC113" s="163"/>
      <c r="DD113" s="163"/>
      <c r="DE113" s="163"/>
      <c r="DF113" s="745">
        <f t="shared" ref="DF113:DQ113" si="222">+DF105*1000-DF112</f>
        <v>0</v>
      </c>
      <c r="DG113" s="745">
        <f t="shared" si="222"/>
        <v>0</v>
      </c>
      <c r="DH113" s="745">
        <f t="shared" si="222"/>
        <v>0</v>
      </c>
      <c r="DI113" s="745">
        <f t="shared" si="222"/>
        <v>0</v>
      </c>
      <c r="DJ113" s="745">
        <f t="shared" si="222"/>
        <v>0</v>
      </c>
      <c r="DK113" s="745">
        <f t="shared" si="222"/>
        <v>0</v>
      </c>
      <c r="DL113" s="745">
        <f t="shared" si="222"/>
        <v>0</v>
      </c>
      <c r="DM113" s="745">
        <f t="shared" si="222"/>
        <v>0</v>
      </c>
      <c r="DN113" s="745">
        <f t="shared" si="222"/>
        <v>0</v>
      </c>
      <c r="DO113" s="745">
        <f t="shared" si="222"/>
        <v>0</v>
      </c>
      <c r="DP113" s="745">
        <f t="shared" si="222"/>
        <v>0</v>
      </c>
      <c r="DQ113" s="745">
        <f t="shared" si="222"/>
        <v>0</v>
      </c>
      <c r="DR113" s="745">
        <f t="shared" ref="DR113:DX113" si="223">+DR105*1000-DR112</f>
        <v>0</v>
      </c>
      <c r="DS113" s="745">
        <f t="shared" si="223"/>
        <v>1</v>
      </c>
      <c r="DT113" s="745">
        <f t="shared" si="223"/>
        <v>0.9999997615814209</v>
      </c>
      <c r="DU113" s="745">
        <f t="shared" si="223"/>
        <v>0</v>
      </c>
      <c r="DV113" s="745">
        <f t="shared" si="223"/>
        <v>0</v>
      </c>
      <c r="DW113" s="745">
        <f t="shared" si="223"/>
        <v>0</v>
      </c>
      <c r="DX113" s="745">
        <f t="shared" si="223"/>
        <v>0</v>
      </c>
      <c r="DY113" s="745">
        <f t="shared" ref="DY113:ED113" si="224">+DY105*1000-DY112</f>
        <v>0</v>
      </c>
      <c r="DZ113" s="745">
        <f t="shared" si="224"/>
        <v>0</v>
      </c>
      <c r="EA113" s="745">
        <f t="shared" si="224"/>
        <v>0</v>
      </c>
      <c r="EB113" s="745">
        <f t="shared" si="224"/>
        <v>0</v>
      </c>
      <c r="EC113" s="745">
        <f t="shared" si="224"/>
        <v>0</v>
      </c>
      <c r="ED113" s="745">
        <f t="shared" si="224"/>
        <v>0</v>
      </c>
      <c r="EE113" s="745">
        <f t="shared" ref="EE113:EJ113" si="225">+EE105*1000-EE112</f>
        <v>0</v>
      </c>
      <c r="EF113" s="745">
        <f t="shared" si="225"/>
        <v>0</v>
      </c>
      <c r="EG113" s="745">
        <f t="shared" si="225"/>
        <v>0</v>
      </c>
      <c r="EH113" s="745">
        <f t="shared" si="225"/>
        <v>0</v>
      </c>
      <c r="EI113" s="745">
        <f t="shared" si="225"/>
        <v>0</v>
      </c>
      <c r="EJ113" s="745">
        <f t="shared" si="225"/>
        <v>0</v>
      </c>
      <c r="EK113" s="745">
        <f t="shared" ref="EK113:FF113" si="226">+EK105*1000-EK112</f>
        <v>0</v>
      </c>
      <c r="EL113" s="745">
        <f t="shared" si="226"/>
        <v>0</v>
      </c>
      <c r="EM113" s="745">
        <f t="shared" si="226"/>
        <v>0</v>
      </c>
      <c r="EN113" s="745">
        <f t="shared" si="226"/>
        <v>0</v>
      </c>
      <c r="EO113" s="745">
        <f t="shared" si="226"/>
        <v>0</v>
      </c>
      <c r="EP113" s="745">
        <f t="shared" si="226"/>
        <v>0</v>
      </c>
      <c r="EQ113" s="745">
        <f t="shared" ref="EQ113:EV113" si="227">+EQ105*1000-EQ112</f>
        <v>0</v>
      </c>
      <c r="ER113" s="745">
        <f t="shared" si="227"/>
        <v>0</v>
      </c>
      <c r="ES113" s="745">
        <f t="shared" si="227"/>
        <v>0</v>
      </c>
      <c r="ET113" s="745">
        <f t="shared" si="227"/>
        <v>0</v>
      </c>
      <c r="EU113" s="745">
        <f t="shared" si="227"/>
        <v>0</v>
      </c>
      <c r="EV113" s="745">
        <f t="shared" si="227"/>
        <v>0</v>
      </c>
      <c r="EW113" s="745">
        <f t="shared" ref="EW113:FB113" si="228">+EW105*1000-EW112</f>
        <v>0</v>
      </c>
      <c r="EX113" s="745">
        <f t="shared" si="228"/>
        <v>0</v>
      </c>
      <c r="EY113" s="745">
        <f t="shared" si="228"/>
        <v>0</v>
      </c>
      <c r="EZ113" s="745">
        <f t="shared" si="228"/>
        <v>0</v>
      </c>
      <c r="FA113" s="745">
        <f t="shared" si="228"/>
        <v>0</v>
      </c>
      <c r="FB113" s="745">
        <f t="shared" si="228"/>
        <v>0</v>
      </c>
      <c r="FC113" s="745">
        <f t="shared" ref="FC113:FE113" si="229">+FC105*1000-FC112</f>
        <v>0</v>
      </c>
      <c r="FD113" s="745">
        <f t="shared" si="229"/>
        <v>0</v>
      </c>
      <c r="FE113" s="745">
        <f t="shared" si="229"/>
        <v>0</v>
      </c>
      <c r="FF113" s="810">
        <f t="shared" si="226"/>
        <v>0</v>
      </c>
      <c r="FG113" s="271"/>
      <c r="FH113" s="271"/>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c r="GJ113" s="48"/>
      <c r="GK113" s="48"/>
      <c r="GL113" s="48"/>
      <c r="GM113" s="48"/>
      <c r="GN113" s="48"/>
      <c r="GO113" s="48"/>
      <c r="GP113" s="48"/>
      <c r="GQ113" s="48"/>
      <c r="GR113" s="48"/>
      <c r="GS113" s="48"/>
      <c r="GT113" s="48"/>
      <c r="GU113" s="48"/>
      <c r="GV113" s="48"/>
      <c r="GW113" s="48"/>
      <c r="GX113" s="48"/>
      <c r="GY113" s="48"/>
      <c r="GZ113" s="48"/>
      <c r="HA113" s="48"/>
      <c r="HB113" s="48"/>
      <c r="HC113" s="48"/>
      <c r="HD113" s="48"/>
      <c r="HE113" s="48"/>
      <c r="HF113" s="48"/>
      <c r="HG113" s="48"/>
      <c r="HH113" s="48"/>
      <c r="HI113" s="48"/>
      <c r="HJ113" s="48"/>
      <c r="HK113" s="48"/>
      <c r="HL113" s="48"/>
      <c r="HM113" s="48"/>
      <c r="HN113" s="48"/>
      <c r="HO113" s="48"/>
      <c r="HP113" s="48"/>
      <c r="HQ113" s="48"/>
      <c r="HR113" s="48"/>
      <c r="HS113" s="48"/>
      <c r="HT113" s="48"/>
      <c r="HU113" s="48"/>
      <c r="HV113" s="48"/>
      <c r="HW113" s="48"/>
      <c r="HX113" s="48"/>
      <c r="HY113" s="48"/>
      <c r="HZ113" s="48"/>
      <c r="IA113" s="48"/>
      <c r="IB113" s="48"/>
      <c r="IC113" s="48"/>
      <c r="ID113" s="48"/>
      <c r="IE113" s="48"/>
      <c r="IF113" s="48"/>
      <c r="IG113" s="48"/>
      <c r="IH113" s="48"/>
      <c r="II113" s="48"/>
    </row>
    <row r="114" spans="16:243">
      <c r="FF114" s="116"/>
      <c r="FG114" s="116"/>
      <c r="FH114" s="116"/>
    </row>
    <row r="115" spans="16:243">
      <c r="P115" s="128" t="s">
        <v>513</v>
      </c>
      <c r="Q115" s="129">
        <v>796799</v>
      </c>
      <c r="R115" s="129">
        <v>782917</v>
      </c>
      <c r="FC115" s="180"/>
      <c r="FF115" s="116"/>
      <c r="FG115" s="116"/>
      <c r="FH115" s="116"/>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c r="GT115" s="48"/>
      <c r="GU115" s="48"/>
      <c r="GV115" s="48"/>
      <c r="GW115" s="48"/>
      <c r="GX115" s="48"/>
      <c r="GY115" s="48"/>
      <c r="GZ115" s="48"/>
      <c r="HA115" s="48"/>
      <c r="HB115" s="48"/>
      <c r="HC115" s="48"/>
      <c r="HD115" s="48"/>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row>
    <row r="116" spans="16:243">
      <c r="P116" s="128" t="s">
        <v>514</v>
      </c>
      <c r="Q116" s="129">
        <v>0</v>
      </c>
      <c r="R116" s="129">
        <v>0</v>
      </c>
      <c r="FF116" s="116"/>
      <c r="FG116" s="116"/>
      <c r="FH116" s="116"/>
    </row>
    <row r="117" spans="16:243">
      <c r="P117" s="129"/>
      <c r="Q117" s="129">
        <v>796799</v>
      </c>
      <c r="R117" s="129">
        <v>782917</v>
      </c>
      <c r="FF117" s="116"/>
      <c r="FG117" s="116"/>
      <c r="FH117" s="116"/>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c r="GQ117" s="48"/>
      <c r="GR117" s="48"/>
      <c r="GS117" s="48"/>
      <c r="GT117" s="48"/>
      <c r="GU117" s="48"/>
      <c r="GV117" s="48"/>
      <c r="GW117" s="48"/>
      <c r="GX117" s="48"/>
      <c r="GY117" s="48"/>
      <c r="GZ117" s="48"/>
      <c r="HA117" s="48"/>
      <c r="HB117" s="48"/>
      <c r="HC117" s="48"/>
      <c r="HD117" s="48"/>
      <c r="HE117" s="48"/>
      <c r="HF117" s="48"/>
      <c r="HG117" s="48"/>
      <c r="HH117" s="48"/>
      <c r="HI117" s="48"/>
      <c r="HJ117" s="48"/>
      <c r="HK117" s="48"/>
      <c r="HL117" s="48"/>
      <c r="HM117" s="48"/>
      <c r="HN117" s="48"/>
      <c r="HO117" s="48"/>
      <c r="HP117" s="48"/>
      <c r="HQ117" s="48"/>
      <c r="HR117" s="48"/>
      <c r="HS117" s="48"/>
      <c r="HT117" s="48"/>
      <c r="HU117" s="48"/>
      <c r="HV117" s="48"/>
      <c r="HW117" s="48"/>
      <c r="HX117" s="48"/>
      <c r="HY117" s="48"/>
      <c r="HZ117" s="48"/>
      <c r="IA117" s="48"/>
      <c r="IB117" s="48"/>
      <c r="IC117" s="48"/>
      <c r="ID117" s="48"/>
      <c r="IE117" s="48"/>
      <c r="IF117" s="48"/>
      <c r="IG117" s="48"/>
      <c r="IH117" s="48"/>
      <c r="II117" s="48"/>
    </row>
    <row r="118" spans="16:243">
      <c r="FC118" s="163"/>
      <c r="FF118" s="116"/>
      <c r="FG118" s="116"/>
      <c r="FH118" s="116"/>
    </row>
    <row r="119" spans="16:243">
      <c r="FF119" s="116"/>
      <c r="FG119" s="116"/>
      <c r="FH119" s="116"/>
    </row>
    <row r="120" spans="16:243">
      <c r="FF120" s="116"/>
      <c r="FG120" s="116"/>
      <c r="FH120" s="116"/>
    </row>
    <row r="121" spans="16:243">
      <c r="FF121" s="116"/>
      <c r="FG121" s="116"/>
      <c r="FH121" s="116"/>
    </row>
    <row r="122" spans="16:243">
      <c r="U122" s="48"/>
      <c r="FF122" s="116"/>
      <c r="FG122" s="116"/>
      <c r="FH122" s="116"/>
    </row>
    <row r="123" spans="16:243">
      <c r="FF123" s="116"/>
      <c r="FG123" s="116"/>
      <c r="FH123" s="116"/>
    </row>
    <row r="124" spans="16:243">
      <c r="FF124" s="116"/>
      <c r="FG124" s="116"/>
      <c r="FH124" s="116"/>
    </row>
    <row r="125" spans="16:243">
      <c r="FF125" s="116"/>
      <c r="FG125" s="116"/>
      <c r="FH125" s="116"/>
    </row>
    <row r="126" spans="16:243">
      <c r="FF126" s="116"/>
      <c r="FG126" s="116"/>
      <c r="FH126" s="116"/>
    </row>
    <row r="127" spans="16:243">
      <c r="FF127" s="116"/>
      <c r="FG127" s="116"/>
      <c r="FH127" s="116"/>
    </row>
    <row r="128" spans="16:243">
      <c r="FF128" s="116"/>
      <c r="FG128" s="116"/>
      <c r="FH128" s="116"/>
    </row>
    <row r="129" spans="162:164">
      <c r="FF129" s="116"/>
      <c r="FG129" s="116"/>
      <c r="FH129" s="116"/>
    </row>
    <row r="130" spans="162:164">
      <c r="FF130" s="116"/>
      <c r="FG130" s="116"/>
      <c r="FH130" s="116"/>
    </row>
    <row r="131" spans="162:164">
      <c r="FF131" s="116"/>
      <c r="FG131" s="116"/>
      <c r="FH131" s="116"/>
    </row>
    <row r="132" spans="162:164">
      <c r="FF132" s="116"/>
      <c r="FG132" s="116"/>
      <c r="FH132" s="116"/>
    </row>
    <row r="133" spans="162:164">
      <c r="FF133" s="116"/>
      <c r="FG133" s="116"/>
      <c r="FH133" s="116"/>
    </row>
    <row r="134" spans="162:164">
      <c r="FF134" s="116"/>
      <c r="FG134" s="116"/>
      <c r="FH134" s="116"/>
    </row>
  </sheetData>
  <phoneticPr fontId="0" type="noConversion"/>
  <printOptions horizontalCentered="1"/>
  <pageMargins left="0.25" right="0.25" top="0.75" bottom="0.75" header="0.3" footer="0.3"/>
  <pageSetup scale="32" fitToHeight="0" orientation="landscape" blackAndWhite="1" r:id="rId1"/>
  <headerFooter alignWithMargins="0">
    <oddFooter>&amp;L&amp;Z&amp;F
&amp;D</oddFooter>
  </headerFooter>
  <rowBreaks count="1" manualBreakCount="1">
    <brk id="57" max="122" man="1"/>
  </rowBreaks>
  <customProperties>
    <customPr name="_pios_id" r:id="rId2"/>
    <customPr name="EpmWorksheetKeyString_GUID" r:id="rId3"/>
  </customProperties>
  <ignoredErrors>
    <ignoredError sqref="FF91:FF92 FF100" formulaRange="1"/>
  </ignoredErrors>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000"/>
    <pageSetUpPr fitToPage="1"/>
  </sheetPr>
  <dimension ref="A1:EX111"/>
  <sheetViews>
    <sheetView zoomScaleNormal="100" workbookViewId="0">
      <pane xSplit="131" ySplit="8" topLeftCell="EK36" activePane="bottomRight" state="frozen"/>
      <selection pane="topRight" activeCell="EB1" sqref="EB1"/>
      <selection pane="bottomLeft" activeCell="A9" sqref="A9"/>
      <selection pane="bottomRight" activeCell="B45" sqref="B45"/>
    </sheetView>
  </sheetViews>
  <sheetFormatPr defaultColWidth="8.42578125" defaultRowHeight="12.75"/>
  <cols>
    <col min="1" max="1" width="37.5703125" customWidth="1"/>
    <col min="2" max="2" width="13.140625" customWidth="1"/>
    <col min="3" max="3" width="2.85546875" customWidth="1"/>
    <col min="4" max="4" width="11.5703125" customWidth="1"/>
    <col min="5" max="5" width="3.5703125" customWidth="1"/>
    <col min="6" max="28" width="12.85546875" hidden="1" customWidth="1"/>
    <col min="29" max="31" width="14" style="163" hidden="1" customWidth="1"/>
    <col min="32" max="32" width="15.140625" style="163" hidden="1" customWidth="1"/>
    <col min="33" max="33" width="14" style="163" hidden="1" customWidth="1"/>
    <col min="34" max="52" width="12.85546875" style="163" hidden="1" customWidth="1"/>
    <col min="53" max="53" width="14" style="163" hidden="1" customWidth="1"/>
    <col min="54" max="55" width="12.85546875" style="163" hidden="1" customWidth="1"/>
    <col min="56" max="90" width="14" style="163" hidden="1" customWidth="1"/>
    <col min="91" max="91" width="14.5703125" style="163" hidden="1" customWidth="1"/>
    <col min="92" max="106" width="14" style="163" hidden="1" customWidth="1"/>
    <col min="107" max="107" width="13.140625" style="163" hidden="1" customWidth="1"/>
    <col min="108" max="122" width="14" style="163" hidden="1" customWidth="1"/>
    <col min="123" max="123" width="14.5703125" style="163" hidden="1" customWidth="1"/>
    <col min="124" max="124" width="16.140625" style="163" hidden="1" customWidth="1"/>
    <col min="125" max="125" width="14.5703125" style="163" hidden="1" customWidth="1"/>
    <col min="126" max="126" width="15.5703125" style="163" hidden="1" customWidth="1"/>
    <col min="127" max="131" width="14.5703125" style="163" hidden="1" customWidth="1"/>
    <col min="132" max="137" width="14.5703125" style="163" bestFit="1" customWidth="1"/>
    <col min="138" max="149" width="14.5703125" style="163" customWidth="1"/>
    <col min="150" max="150" width="16.140625" bestFit="1" customWidth="1"/>
    <col min="151" max="151" width="11.42578125" style="35" bestFit="1" customWidth="1"/>
    <col min="152" max="152" width="58.140625" customWidth="1"/>
    <col min="153" max="153" width="20" bestFit="1" customWidth="1"/>
    <col min="154" max="154" width="11.85546875" bestFit="1" customWidth="1"/>
  </cols>
  <sheetData>
    <row r="1" spans="1:151" ht="15.75">
      <c r="A1" s="24" t="s">
        <v>376</v>
      </c>
      <c r="B1" s="24"/>
      <c r="C1" s="21"/>
      <c r="D1" s="26"/>
      <c r="E1" s="21"/>
      <c r="F1" s="21"/>
      <c r="G1" s="21"/>
      <c r="H1" s="21"/>
      <c r="I1" s="21"/>
      <c r="J1" s="21"/>
      <c r="K1" s="21"/>
      <c r="L1" s="21"/>
      <c r="M1" s="21"/>
      <c r="N1" s="21"/>
      <c r="O1" s="21"/>
      <c r="P1" s="21"/>
      <c r="Q1" s="21"/>
      <c r="R1" s="21"/>
      <c r="S1" s="21"/>
      <c r="T1" s="21"/>
      <c r="U1" s="21"/>
      <c r="V1" s="21"/>
      <c r="W1" s="21"/>
      <c r="X1" s="21"/>
      <c r="Y1" s="21"/>
      <c r="Z1" s="21"/>
      <c r="AA1" s="21"/>
      <c r="AB1" s="21"/>
      <c r="AC1" s="162"/>
      <c r="AD1" s="162"/>
      <c r="AE1" s="162"/>
      <c r="AF1" s="162"/>
      <c r="AG1" s="162"/>
      <c r="AH1" s="162"/>
      <c r="AI1" s="162"/>
      <c r="AJ1" s="162"/>
      <c r="AK1" s="162"/>
      <c r="AL1" s="162"/>
      <c r="AM1" s="162"/>
      <c r="AN1" s="162"/>
      <c r="AO1" s="162"/>
      <c r="AP1" s="162"/>
      <c r="AQ1" s="162"/>
      <c r="AR1" s="162"/>
      <c r="AS1" s="162"/>
      <c r="AT1" s="162"/>
      <c r="AU1" s="162"/>
      <c r="AV1" s="162"/>
      <c r="AW1" s="162"/>
      <c r="AX1" s="162"/>
      <c r="AY1" s="162"/>
      <c r="AZ1" s="162"/>
      <c r="BA1" s="162"/>
      <c r="BB1" s="162"/>
      <c r="BC1" s="162"/>
      <c r="BD1" s="162"/>
      <c r="BE1" s="162"/>
      <c r="BF1" s="162"/>
      <c r="BG1" s="162"/>
      <c r="BH1" s="162"/>
      <c r="BI1" s="162"/>
      <c r="BJ1" s="162"/>
      <c r="BK1" s="162"/>
      <c r="BL1" s="162"/>
      <c r="BM1" s="162"/>
      <c r="BN1" s="162"/>
      <c r="BO1" s="162"/>
      <c r="BP1" s="162"/>
      <c r="BQ1" s="162"/>
      <c r="BR1" s="162"/>
      <c r="BS1" s="162"/>
      <c r="BT1" s="162"/>
      <c r="BU1" s="162"/>
      <c r="BV1" s="162"/>
      <c r="BW1" s="162"/>
      <c r="BX1" s="162"/>
      <c r="BY1" s="162"/>
      <c r="BZ1" s="162"/>
      <c r="CA1" s="162"/>
      <c r="CB1" s="162"/>
      <c r="CC1" s="162"/>
      <c r="CD1" s="162"/>
      <c r="CE1" s="162"/>
      <c r="CF1" s="162"/>
      <c r="CG1" s="162"/>
      <c r="CH1" s="162"/>
      <c r="CI1" s="162"/>
      <c r="CJ1" s="162"/>
      <c r="CK1" s="162"/>
      <c r="CL1" s="162"/>
      <c r="CM1" s="162"/>
      <c r="CN1" s="162"/>
      <c r="CO1" s="162"/>
      <c r="CP1" s="162"/>
      <c r="CQ1" s="162"/>
      <c r="CR1" s="162"/>
      <c r="CS1" s="162"/>
      <c r="CT1" s="162"/>
      <c r="CU1" s="727"/>
      <c r="CV1" s="162"/>
      <c r="CW1" s="162"/>
      <c r="CX1" s="162"/>
      <c r="CY1" s="162"/>
      <c r="CZ1" s="162"/>
      <c r="DA1" s="162"/>
      <c r="DB1" s="162"/>
      <c r="DC1" s="162"/>
      <c r="DD1" s="162"/>
      <c r="DE1" s="162"/>
      <c r="DF1" s="162"/>
      <c r="DG1" s="162"/>
      <c r="DH1" s="162"/>
      <c r="DI1" s="162"/>
      <c r="DJ1" s="162"/>
      <c r="DK1" s="162"/>
      <c r="DL1" s="162"/>
      <c r="DM1" s="162"/>
      <c r="DN1" s="162"/>
      <c r="DO1" s="162"/>
      <c r="DP1" s="162"/>
      <c r="DQ1" s="162"/>
      <c r="DR1" s="162"/>
      <c r="DS1" s="162"/>
      <c r="DT1" s="162"/>
      <c r="DU1" s="162"/>
      <c r="DV1" s="162"/>
      <c r="DW1" s="162"/>
      <c r="DX1" s="162"/>
      <c r="DY1" s="162"/>
      <c r="DZ1" s="162"/>
      <c r="EA1" s="162"/>
      <c r="EB1" s="162"/>
      <c r="EC1" s="162"/>
      <c r="ED1" s="162"/>
      <c r="EE1" s="162"/>
      <c r="EF1" s="162"/>
      <c r="EG1" s="162"/>
      <c r="EH1" s="162"/>
      <c r="EI1" s="162"/>
      <c r="EJ1" s="162"/>
      <c r="EK1" s="162"/>
      <c r="EL1" s="162"/>
      <c r="EM1" s="162"/>
      <c r="EN1" s="162"/>
      <c r="EO1" s="162"/>
      <c r="EP1" s="162"/>
      <c r="EQ1" s="162"/>
      <c r="ER1" s="162"/>
      <c r="ES1" s="162"/>
      <c r="ET1" s="21"/>
    </row>
    <row r="2" spans="1:151" ht="15.75">
      <c r="A2" s="24" t="s">
        <v>568</v>
      </c>
      <c r="B2" s="24"/>
      <c r="C2" s="21"/>
      <c r="D2" s="21"/>
      <c r="E2" s="21"/>
      <c r="F2" s="229"/>
      <c r="G2" s="229"/>
      <c r="H2" s="229"/>
      <c r="I2" s="229"/>
      <c r="J2" s="229"/>
      <c r="K2" s="229"/>
      <c r="L2" s="229"/>
      <c r="M2" s="229"/>
      <c r="N2" s="229"/>
      <c r="O2" s="21"/>
      <c r="P2" s="21"/>
      <c r="Q2" s="21"/>
      <c r="R2" s="21"/>
      <c r="S2" s="21"/>
      <c r="T2" s="21"/>
      <c r="U2" s="21"/>
      <c r="V2" s="21"/>
      <c r="W2" s="21"/>
      <c r="X2" s="21"/>
      <c r="Y2" s="21"/>
      <c r="Z2" s="21"/>
      <c r="AA2" s="21"/>
      <c r="AB2" s="21"/>
      <c r="AC2" s="162"/>
      <c r="AD2" s="162"/>
      <c r="AE2" s="162"/>
      <c r="AF2" s="162"/>
      <c r="AG2" s="162"/>
      <c r="AH2" s="162"/>
      <c r="AI2" s="162"/>
      <c r="AJ2" s="162"/>
      <c r="AK2" s="162"/>
      <c r="AL2" s="162"/>
      <c r="AM2" s="162"/>
      <c r="AN2" s="162"/>
      <c r="AO2" s="162"/>
      <c r="AP2" s="162"/>
      <c r="AR2" s="162"/>
      <c r="AS2" s="162"/>
      <c r="AT2" s="162"/>
      <c r="AU2" s="162"/>
      <c r="AV2" s="162"/>
      <c r="AW2" s="162"/>
      <c r="AX2" s="162"/>
      <c r="AY2" s="162"/>
      <c r="BA2" s="162"/>
      <c r="BB2" s="162"/>
      <c r="BC2" s="162"/>
      <c r="BD2" s="162"/>
      <c r="BE2" s="162"/>
      <c r="BF2" s="162"/>
      <c r="BG2" s="162"/>
      <c r="BH2" s="162"/>
      <c r="BI2" s="162"/>
      <c r="BJ2" s="162"/>
      <c r="BK2" s="162"/>
      <c r="BL2" s="394" t="s">
        <v>1275</v>
      </c>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21"/>
    </row>
    <row r="3" spans="1:151" ht="15.75" customHeight="1">
      <c r="A3" s="184" t="str">
        <f>+Report!A3</f>
        <v>December 2022</v>
      </c>
      <c r="B3" s="24"/>
      <c r="C3" s="21"/>
      <c r="D3" s="21"/>
      <c r="E3" s="21"/>
      <c r="F3" s="230"/>
      <c r="G3" s="230"/>
      <c r="H3" s="230"/>
      <c r="I3" s="230"/>
      <c r="J3" s="230"/>
      <c r="K3" s="230"/>
      <c r="L3" s="230"/>
      <c r="M3" s="230"/>
      <c r="N3" s="230"/>
      <c r="O3" s="21"/>
      <c r="P3" s="21"/>
      <c r="Q3" s="21"/>
      <c r="R3" s="21"/>
      <c r="S3" s="21"/>
      <c r="T3" s="21"/>
      <c r="U3" s="21"/>
      <c r="V3" s="21"/>
      <c r="W3" s="21"/>
      <c r="X3" s="21"/>
      <c r="Y3" s="21"/>
      <c r="Z3" s="21"/>
      <c r="AA3" s="21"/>
      <c r="AB3" s="21"/>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21"/>
    </row>
    <row r="4" spans="1:151">
      <c r="A4" s="20"/>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162"/>
      <c r="AD4" s="162"/>
      <c r="AE4" s="162"/>
      <c r="AF4" s="162"/>
      <c r="AG4" s="162"/>
      <c r="AH4" s="162"/>
      <c r="AI4" s="162"/>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c r="BM4" s="162"/>
      <c r="BN4" s="162"/>
      <c r="BO4" s="162"/>
      <c r="BP4" s="162"/>
      <c r="BQ4" s="162"/>
      <c r="BR4" s="162"/>
      <c r="BS4" s="162"/>
      <c r="BT4" s="162"/>
      <c r="BU4" s="162"/>
      <c r="BV4" s="162"/>
      <c r="BW4" s="162"/>
      <c r="BX4" s="162"/>
      <c r="BY4" s="162"/>
      <c r="BZ4" s="162"/>
      <c r="CA4" s="162"/>
      <c r="CB4" s="162"/>
      <c r="CC4" s="162"/>
      <c r="CD4" s="162"/>
      <c r="CE4" s="162"/>
      <c r="CF4" s="162"/>
      <c r="CG4" s="162"/>
      <c r="CH4" s="162"/>
      <c r="CI4" s="162"/>
      <c r="CJ4" s="162"/>
      <c r="CK4" s="162"/>
      <c r="CL4" s="162"/>
      <c r="CM4" s="162"/>
      <c r="CN4" s="162"/>
      <c r="CO4" s="162"/>
      <c r="CP4" s="162"/>
      <c r="CQ4" s="162"/>
      <c r="CR4" s="162"/>
      <c r="CS4" s="162"/>
      <c r="CT4" s="162"/>
      <c r="CU4" s="162"/>
      <c r="CV4" s="162"/>
      <c r="CW4" s="162"/>
      <c r="CX4" s="162"/>
      <c r="CY4" s="162"/>
      <c r="CZ4" s="162"/>
      <c r="DA4" s="162"/>
      <c r="DB4" s="162"/>
      <c r="DC4" s="162"/>
      <c r="DD4" s="162"/>
      <c r="DE4" s="162"/>
      <c r="DF4" s="162"/>
      <c r="DG4" s="162"/>
      <c r="DH4" s="162"/>
      <c r="DI4" s="162"/>
      <c r="DJ4" s="162"/>
      <c r="DK4" s="162"/>
      <c r="DL4" s="162"/>
      <c r="DM4" s="162"/>
      <c r="DN4" s="162"/>
      <c r="DO4" s="162"/>
      <c r="DP4" s="162"/>
      <c r="DQ4" s="162"/>
      <c r="DR4" s="162"/>
      <c r="DS4" s="162"/>
      <c r="DT4" s="162"/>
      <c r="DU4" s="162"/>
      <c r="DV4" s="162"/>
      <c r="DW4" s="162"/>
      <c r="DX4" s="162"/>
      <c r="DY4" s="162"/>
      <c r="DZ4" s="162"/>
      <c r="EA4" s="162"/>
      <c r="EB4" s="162"/>
      <c r="EC4" s="162"/>
      <c r="ED4" s="162"/>
      <c r="EE4" s="162"/>
      <c r="EF4" s="162"/>
      <c r="EG4" s="162"/>
      <c r="EH4" s="162"/>
      <c r="EI4" s="162"/>
      <c r="EJ4" s="162"/>
      <c r="EK4" s="162"/>
      <c r="EL4" s="162"/>
      <c r="EM4" s="162"/>
      <c r="EN4" s="162"/>
      <c r="EO4" s="162"/>
      <c r="EP4" s="162"/>
      <c r="EQ4" s="162"/>
      <c r="ER4" s="162"/>
      <c r="ES4" s="162"/>
      <c r="ET4" s="21"/>
    </row>
    <row r="5" spans="1:151">
      <c r="A5" s="23"/>
      <c r="D5" s="36"/>
      <c r="AP5" s="116"/>
      <c r="AQ5" s="271"/>
      <c r="AR5" s="52"/>
      <c r="ET5" s="52"/>
    </row>
    <row r="6" spans="1:151" ht="15">
      <c r="A6" s="25"/>
      <c r="B6" s="317" t="s">
        <v>415</v>
      </c>
      <c r="C6" s="22"/>
      <c r="D6" s="317" t="s">
        <v>355</v>
      </c>
      <c r="E6" s="22"/>
      <c r="P6" s="22"/>
      <c r="Q6" s="22"/>
      <c r="R6" s="22"/>
      <c r="S6" s="22"/>
      <c r="T6" s="22"/>
      <c r="U6" s="22"/>
      <c r="V6" s="22"/>
      <c r="W6" s="22"/>
      <c r="X6" s="22"/>
      <c r="Y6" s="22"/>
      <c r="Z6" s="22"/>
      <c r="AA6" s="22"/>
      <c r="AB6" s="22"/>
      <c r="AC6" s="164"/>
      <c r="AD6" s="164"/>
      <c r="AE6" s="164"/>
      <c r="AF6" s="164"/>
      <c r="AG6" s="164"/>
      <c r="AH6" s="164"/>
      <c r="AI6" s="164"/>
      <c r="AJ6" s="164"/>
      <c r="AK6" s="164"/>
      <c r="AL6" s="164"/>
      <c r="AM6" s="164"/>
      <c r="AN6" s="164"/>
      <c r="AO6" s="164"/>
      <c r="AP6" s="198"/>
      <c r="AQ6" s="198"/>
      <c r="AR6" s="164"/>
      <c r="AS6" s="164"/>
      <c r="AT6" s="164"/>
      <c r="AU6" s="164"/>
      <c r="AV6" s="164"/>
      <c r="AW6" s="164"/>
      <c r="AX6" s="164"/>
      <c r="AY6" s="164"/>
      <c r="AZ6" s="164"/>
      <c r="BA6" s="164"/>
      <c r="BB6" s="164"/>
      <c r="BC6" s="164"/>
      <c r="BD6" s="164"/>
      <c r="BE6" s="164"/>
      <c r="BF6" s="164"/>
      <c r="BG6" s="164"/>
      <c r="BH6" s="164"/>
      <c r="BI6" s="164"/>
      <c r="BJ6" s="164"/>
      <c r="BK6" s="164"/>
      <c r="BL6" s="164"/>
      <c r="BM6" s="164"/>
      <c r="BN6" s="164"/>
      <c r="BO6" s="164"/>
      <c r="BP6" s="164"/>
      <c r="BQ6" s="164"/>
      <c r="BR6" s="164"/>
      <c r="BS6" s="164"/>
      <c r="BT6" s="164"/>
      <c r="BU6" s="164"/>
      <c r="BV6" s="164"/>
      <c r="BW6" s="164"/>
      <c r="BX6" s="164"/>
      <c r="BY6" s="164"/>
      <c r="BZ6" s="164"/>
      <c r="CA6" s="164"/>
      <c r="CB6" s="164"/>
      <c r="CC6" s="164"/>
      <c r="CD6" s="164"/>
      <c r="CE6" s="164"/>
      <c r="CF6" s="164"/>
      <c r="CG6" s="164"/>
      <c r="CH6" s="164"/>
      <c r="CI6" s="164"/>
      <c r="CJ6" s="164"/>
      <c r="CK6" s="164"/>
      <c r="CL6" s="164"/>
      <c r="CM6" s="164"/>
      <c r="CN6" s="164"/>
      <c r="CO6" s="164"/>
      <c r="CP6" s="164"/>
      <c r="CQ6" s="164"/>
      <c r="CR6" s="164"/>
      <c r="CS6" s="164"/>
      <c r="CT6" s="164"/>
      <c r="CU6" s="164"/>
      <c r="CV6" s="164"/>
      <c r="CW6" s="164"/>
      <c r="CX6" s="164"/>
      <c r="CY6" s="164"/>
      <c r="CZ6" s="164"/>
      <c r="DA6" s="164"/>
      <c r="DB6" s="164"/>
      <c r="DC6" s="164"/>
      <c r="DD6" s="164"/>
      <c r="DE6" s="164"/>
      <c r="DF6" s="164"/>
      <c r="DG6" s="164"/>
      <c r="DH6" s="164"/>
      <c r="DI6" s="164"/>
      <c r="DJ6" s="164"/>
      <c r="DK6" s="164"/>
      <c r="DL6" s="164"/>
      <c r="DM6" s="164"/>
      <c r="DN6" s="164"/>
      <c r="DO6" s="164"/>
      <c r="DP6" s="164"/>
      <c r="DQ6" s="164"/>
      <c r="DR6" s="164"/>
      <c r="DS6" s="164"/>
      <c r="DT6" s="164"/>
      <c r="DU6" s="164"/>
      <c r="DV6" s="164"/>
      <c r="DW6" s="164"/>
      <c r="DX6" s="164"/>
      <c r="DY6" s="164"/>
      <c r="DZ6" s="164"/>
      <c r="EA6" s="164"/>
      <c r="EB6" s="164"/>
      <c r="EC6" s="164"/>
      <c r="ED6" s="164"/>
      <c r="EE6" s="164"/>
      <c r="EF6" s="164"/>
      <c r="EG6" s="164"/>
      <c r="EH6" s="164"/>
      <c r="EI6" s="164"/>
      <c r="EJ6" s="164"/>
      <c r="EK6" s="164"/>
      <c r="EL6" s="164"/>
      <c r="EM6" s="164"/>
      <c r="EN6" s="164"/>
      <c r="EO6" s="164"/>
      <c r="EP6" s="164"/>
      <c r="EQ6" s="164"/>
      <c r="ER6" s="164"/>
      <c r="ES6" s="164"/>
    </row>
    <row r="7" spans="1:151" ht="15">
      <c r="A7" s="25"/>
      <c r="B7" s="318" t="s">
        <v>416</v>
      </c>
      <c r="C7" s="22"/>
      <c r="D7" s="318" t="s">
        <v>417</v>
      </c>
      <c r="E7" s="22"/>
      <c r="P7" s="22"/>
      <c r="Q7" s="22"/>
      <c r="R7" s="22"/>
      <c r="S7" s="22"/>
      <c r="T7" s="22"/>
      <c r="U7" s="22"/>
      <c r="V7" s="22"/>
      <c r="W7" s="22"/>
      <c r="X7" s="22"/>
      <c r="Y7" s="22"/>
      <c r="Z7" s="22"/>
      <c r="AA7" s="268"/>
      <c r="AB7" s="268"/>
      <c r="AC7" s="268"/>
      <c r="AD7" s="164"/>
      <c r="AE7" s="164"/>
      <c r="AF7" s="164"/>
      <c r="AG7" s="164"/>
      <c r="AH7" s="164"/>
      <c r="AI7" s="164"/>
      <c r="AJ7" s="164"/>
      <c r="AK7" s="164"/>
      <c r="AL7" s="16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4"/>
      <c r="BK7" s="194"/>
      <c r="BL7" s="194"/>
      <c r="BM7" s="194"/>
      <c r="BN7" s="194"/>
      <c r="BO7" s="194"/>
      <c r="BP7" s="194"/>
      <c r="BQ7" s="194"/>
      <c r="BR7" s="194"/>
      <c r="BS7" s="194"/>
      <c r="BT7" s="194"/>
      <c r="BU7" s="194"/>
      <c r="BV7" s="194"/>
      <c r="BW7" s="194"/>
      <c r="BX7" s="194"/>
      <c r="BY7" s="194"/>
      <c r="BZ7" s="194"/>
      <c r="CA7" s="194"/>
      <c r="CB7" s="194"/>
      <c r="CC7" s="194"/>
      <c r="CD7" s="194"/>
      <c r="CE7" s="194"/>
      <c r="CF7" s="194"/>
      <c r="CG7" s="194"/>
      <c r="CH7" s="194"/>
      <c r="CI7" s="194"/>
      <c r="CJ7" s="194"/>
      <c r="CK7" s="194"/>
      <c r="CL7" s="194"/>
      <c r="CM7" s="194"/>
      <c r="CN7" s="194"/>
      <c r="CO7" s="194"/>
      <c r="CP7" s="194"/>
      <c r="CQ7" s="194"/>
      <c r="CR7" s="194"/>
      <c r="CS7" s="194"/>
      <c r="CT7" s="194"/>
      <c r="CU7" s="194"/>
      <c r="CV7" s="194"/>
      <c r="CW7" s="194"/>
      <c r="CX7" s="194"/>
      <c r="CY7" s="194"/>
      <c r="CZ7" s="194"/>
      <c r="DA7" s="194"/>
      <c r="DB7" s="194"/>
      <c r="DC7" s="194"/>
      <c r="DD7" s="194"/>
      <c r="DE7" s="194"/>
      <c r="DF7" s="194"/>
      <c r="DG7" s="194"/>
      <c r="DH7" s="194"/>
      <c r="DI7" s="194"/>
      <c r="DJ7" s="194"/>
      <c r="DK7" s="194"/>
      <c r="DL7" s="194"/>
      <c r="DM7" s="194"/>
      <c r="DN7" s="194"/>
      <c r="DO7" s="194"/>
      <c r="DP7" s="194"/>
      <c r="DQ7" s="194"/>
      <c r="DR7" s="194"/>
      <c r="DS7" s="194"/>
      <c r="DT7" s="194"/>
      <c r="DU7" s="194"/>
      <c r="DV7" s="194"/>
      <c r="DW7" s="194"/>
      <c r="DX7" s="194"/>
      <c r="DY7" s="194"/>
      <c r="DZ7" s="194"/>
      <c r="EA7" s="194"/>
      <c r="EB7" s="194"/>
      <c r="EC7" s="194"/>
      <c r="ED7" s="194"/>
      <c r="EE7" s="194"/>
      <c r="EF7" s="194"/>
      <c r="EG7" s="194"/>
      <c r="EH7" s="194"/>
      <c r="EI7" s="194"/>
      <c r="EJ7" s="194"/>
      <c r="EK7" s="194"/>
      <c r="EL7" s="194"/>
      <c r="EM7" s="194"/>
      <c r="EN7" s="194"/>
      <c r="EO7" s="194"/>
      <c r="EP7" s="194"/>
      <c r="EQ7" s="194">
        <v>109</v>
      </c>
      <c r="ER7" s="194">
        <v>110</v>
      </c>
      <c r="ES7" s="194">
        <v>111</v>
      </c>
      <c r="ET7" s="1283" t="str">
        <f>+Input!A4</f>
        <v>(DEC 2021 - DEC 2022)</v>
      </c>
      <c r="EU7" s="1284"/>
    </row>
    <row r="8" spans="1:151" ht="15">
      <c r="A8" s="25"/>
      <c r="B8" s="319"/>
      <c r="C8" s="22"/>
      <c r="D8" s="319"/>
      <c r="E8" s="22"/>
      <c r="F8" s="45">
        <v>40544</v>
      </c>
      <c r="G8" s="45">
        <v>40575</v>
      </c>
      <c r="H8" s="45">
        <v>40603</v>
      </c>
      <c r="I8" s="45">
        <v>40634</v>
      </c>
      <c r="J8" s="45">
        <v>40664</v>
      </c>
      <c r="K8" s="45">
        <v>40695</v>
      </c>
      <c r="L8" s="45">
        <v>40725</v>
      </c>
      <c r="M8" s="45">
        <v>40756</v>
      </c>
      <c r="N8" s="45">
        <v>40787</v>
      </c>
      <c r="O8" s="45">
        <v>40848</v>
      </c>
      <c r="P8" s="45">
        <v>40848</v>
      </c>
      <c r="Q8" s="45">
        <v>40878</v>
      </c>
      <c r="R8" s="45">
        <v>40909</v>
      </c>
      <c r="S8" s="45">
        <v>40940</v>
      </c>
      <c r="T8" s="45">
        <v>40969</v>
      </c>
      <c r="U8" s="45">
        <v>41000</v>
      </c>
      <c r="V8" s="45">
        <v>41030</v>
      </c>
      <c r="W8" s="45">
        <v>41061</v>
      </c>
      <c r="X8" s="45">
        <v>41091</v>
      </c>
      <c r="Y8" s="45">
        <v>41122</v>
      </c>
      <c r="Z8" s="45">
        <v>41153</v>
      </c>
      <c r="AA8" s="45">
        <v>41183</v>
      </c>
      <c r="AB8" s="45">
        <v>41243</v>
      </c>
      <c r="AC8" s="45">
        <v>41274</v>
      </c>
      <c r="AD8" s="45">
        <v>41305</v>
      </c>
      <c r="AE8" s="45">
        <v>41333</v>
      </c>
      <c r="AF8" s="45">
        <v>41364</v>
      </c>
      <c r="AG8" s="45">
        <v>41394</v>
      </c>
      <c r="AH8" s="45">
        <v>41425</v>
      </c>
      <c r="AI8" s="45">
        <v>41455</v>
      </c>
      <c r="AJ8" s="45">
        <v>41486</v>
      </c>
      <c r="AK8" s="45">
        <v>41517</v>
      </c>
      <c r="AL8" s="45">
        <v>41547</v>
      </c>
      <c r="AM8" s="45">
        <v>41578</v>
      </c>
      <c r="AN8" s="45">
        <v>41608</v>
      </c>
      <c r="AO8" s="45">
        <v>41639</v>
      </c>
      <c r="AP8" s="45">
        <v>41670</v>
      </c>
      <c r="AQ8" s="45">
        <v>41698</v>
      </c>
      <c r="AR8" s="45">
        <v>41729</v>
      </c>
      <c r="AS8" s="45">
        <v>41759</v>
      </c>
      <c r="AT8" s="45">
        <v>41790</v>
      </c>
      <c r="AU8" s="45">
        <v>41820</v>
      </c>
      <c r="AV8" s="45">
        <v>41850</v>
      </c>
      <c r="AW8" s="45">
        <v>41882</v>
      </c>
      <c r="AX8" s="45">
        <v>41912</v>
      </c>
      <c r="AY8" s="45">
        <v>41943</v>
      </c>
      <c r="AZ8" s="45">
        <v>41973</v>
      </c>
      <c r="BA8" s="45">
        <v>42004</v>
      </c>
      <c r="BB8" s="45">
        <v>42035</v>
      </c>
      <c r="BC8" s="45">
        <v>42063</v>
      </c>
      <c r="BD8" s="45">
        <v>42094</v>
      </c>
      <c r="BE8" s="45">
        <v>42124</v>
      </c>
      <c r="BF8" s="45">
        <v>42155</v>
      </c>
      <c r="BG8" s="45">
        <v>42185</v>
      </c>
      <c r="BH8" s="45">
        <v>42216</v>
      </c>
      <c r="BI8" s="45">
        <v>42247</v>
      </c>
      <c r="BJ8" s="45">
        <v>42277</v>
      </c>
      <c r="BK8" s="45">
        <v>42308</v>
      </c>
      <c r="BL8" s="45">
        <v>42338</v>
      </c>
      <c r="BM8" s="45">
        <v>42369</v>
      </c>
      <c r="BN8" s="45">
        <v>42400</v>
      </c>
      <c r="BO8" s="45">
        <v>42429</v>
      </c>
      <c r="BP8" s="45">
        <v>42460</v>
      </c>
      <c r="BQ8" s="45">
        <v>42490</v>
      </c>
      <c r="BR8" s="45">
        <v>42521</v>
      </c>
      <c r="BS8" s="45">
        <v>42551</v>
      </c>
      <c r="BT8" s="45">
        <v>42582</v>
      </c>
      <c r="BU8" s="45">
        <v>42613</v>
      </c>
      <c r="BV8" s="45">
        <v>42643</v>
      </c>
      <c r="BW8" s="45">
        <v>42674</v>
      </c>
      <c r="BX8" s="45">
        <v>42704</v>
      </c>
      <c r="BY8" s="45">
        <v>42735</v>
      </c>
      <c r="BZ8" s="45">
        <v>42766</v>
      </c>
      <c r="CA8" s="45">
        <v>42794</v>
      </c>
      <c r="CB8" s="45">
        <v>42825</v>
      </c>
      <c r="CC8" s="45">
        <v>42855</v>
      </c>
      <c r="CD8" s="45">
        <v>42886</v>
      </c>
      <c r="CE8" s="45">
        <v>42916</v>
      </c>
      <c r="CF8" s="45">
        <v>42947</v>
      </c>
      <c r="CG8" s="45">
        <v>42950</v>
      </c>
      <c r="CH8" s="45">
        <v>43008</v>
      </c>
      <c r="CI8" s="45">
        <v>43039</v>
      </c>
      <c r="CJ8" s="45">
        <v>43069</v>
      </c>
      <c r="CK8" s="45">
        <v>43100</v>
      </c>
      <c r="CL8" s="45">
        <v>43131</v>
      </c>
      <c r="CM8" s="45">
        <v>43159</v>
      </c>
      <c r="CN8" s="45">
        <v>43190</v>
      </c>
      <c r="CO8" s="45">
        <v>43220</v>
      </c>
      <c r="CP8" s="45">
        <v>43251</v>
      </c>
      <c r="CQ8" s="45">
        <v>43281</v>
      </c>
      <c r="CR8" s="45">
        <v>43312</v>
      </c>
      <c r="CS8" s="45">
        <v>43343</v>
      </c>
      <c r="CT8" s="45">
        <v>43373</v>
      </c>
      <c r="CU8" s="45">
        <v>43404</v>
      </c>
      <c r="CV8" s="45">
        <v>43434</v>
      </c>
      <c r="CW8" s="45">
        <v>43465</v>
      </c>
      <c r="CX8" s="45">
        <v>43496</v>
      </c>
      <c r="CY8" s="45">
        <v>43524</v>
      </c>
      <c r="CZ8" s="45">
        <v>43555</v>
      </c>
      <c r="DA8" s="45">
        <v>43585</v>
      </c>
      <c r="DB8" s="45">
        <v>43616</v>
      </c>
      <c r="DC8" s="45">
        <v>43646</v>
      </c>
      <c r="DD8" s="45">
        <v>43677</v>
      </c>
      <c r="DE8" s="45">
        <v>43708</v>
      </c>
      <c r="DF8" s="45">
        <v>43738</v>
      </c>
      <c r="DG8" s="45">
        <v>43769</v>
      </c>
      <c r="DH8" s="45">
        <v>43799</v>
      </c>
      <c r="DI8" s="45">
        <v>43830</v>
      </c>
      <c r="DJ8" s="45">
        <f t="shared" ref="DJ8:EA8" si="0">+DI8+30</f>
        <v>43860</v>
      </c>
      <c r="DK8" s="45">
        <f t="shared" si="0"/>
        <v>43890</v>
      </c>
      <c r="DL8" s="45">
        <f t="shared" si="0"/>
        <v>43920</v>
      </c>
      <c r="DM8" s="45">
        <f t="shared" si="0"/>
        <v>43950</v>
      </c>
      <c r="DN8" s="45">
        <f t="shared" si="0"/>
        <v>43980</v>
      </c>
      <c r="DO8" s="45">
        <f t="shared" si="0"/>
        <v>44010</v>
      </c>
      <c r="DP8" s="45">
        <f t="shared" si="0"/>
        <v>44040</v>
      </c>
      <c r="DQ8" s="45">
        <f t="shared" si="0"/>
        <v>44070</v>
      </c>
      <c r="DR8" s="45">
        <f t="shared" si="0"/>
        <v>44100</v>
      </c>
      <c r="DS8" s="45">
        <f t="shared" si="0"/>
        <v>44130</v>
      </c>
      <c r="DT8" s="45">
        <f t="shared" si="0"/>
        <v>44160</v>
      </c>
      <c r="DU8" s="45">
        <f t="shared" si="0"/>
        <v>44190</v>
      </c>
      <c r="DV8" s="45">
        <f t="shared" si="0"/>
        <v>44220</v>
      </c>
      <c r="DW8" s="45">
        <f t="shared" si="0"/>
        <v>44250</v>
      </c>
      <c r="DX8" s="45">
        <f t="shared" si="0"/>
        <v>44280</v>
      </c>
      <c r="DY8" s="45">
        <f t="shared" si="0"/>
        <v>44310</v>
      </c>
      <c r="DZ8" s="45">
        <f t="shared" si="0"/>
        <v>44340</v>
      </c>
      <c r="EA8" s="45">
        <f t="shared" si="0"/>
        <v>44370</v>
      </c>
      <c r="EB8" s="45">
        <f t="shared" ref="EB8:EG8" si="1">+EA8+30</f>
        <v>44400</v>
      </c>
      <c r="EC8" s="45">
        <f t="shared" si="1"/>
        <v>44430</v>
      </c>
      <c r="ED8" s="45">
        <f t="shared" si="1"/>
        <v>44460</v>
      </c>
      <c r="EE8" s="45">
        <f t="shared" si="1"/>
        <v>44490</v>
      </c>
      <c r="EF8" s="45">
        <f t="shared" si="1"/>
        <v>44520</v>
      </c>
      <c r="EG8" s="45">
        <f t="shared" si="1"/>
        <v>44550</v>
      </c>
      <c r="EH8" s="45">
        <f t="shared" ref="EH8" si="2">+EG8+30</f>
        <v>44580</v>
      </c>
      <c r="EI8" s="45">
        <f t="shared" ref="EI8" si="3">+EH8+30</f>
        <v>44610</v>
      </c>
      <c r="EJ8" s="45">
        <f t="shared" ref="EJ8" si="4">+EI8+30</f>
        <v>44640</v>
      </c>
      <c r="EK8" s="45">
        <f t="shared" ref="EK8" si="5">+EJ8+30</f>
        <v>44670</v>
      </c>
      <c r="EL8" s="45">
        <f t="shared" ref="EL8" si="6">+EK8+30</f>
        <v>44700</v>
      </c>
      <c r="EM8" s="45">
        <f t="shared" ref="EM8:EN8" si="7">+EL8+30</f>
        <v>44730</v>
      </c>
      <c r="EN8" s="45">
        <f t="shared" si="7"/>
        <v>44760</v>
      </c>
      <c r="EO8" s="45">
        <f t="shared" ref="EO8" si="8">+EN8+30</f>
        <v>44790</v>
      </c>
      <c r="EP8" s="45">
        <f t="shared" ref="EP8:ES8" si="9">+EO8+30</f>
        <v>44820</v>
      </c>
      <c r="EQ8" s="45">
        <f>+EP8+30</f>
        <v>44850</v>
      </c>
      <c r="ER8" s="45">
        <f t="shared" si="9"/>
        <v>44880</v>
      </c>
      <c r="ES8" s="45">
        <f t="shared" si="9"/>
        <v>44910</v>
      </c>
      <c r="ET8" s="1285" t="s">
        <v>511</v>
      </c>
      <c r="EU8" s="1286"/>
    </row>
    <row r="9" spans="1:151">
      <c r="A9" s="17" t="s">
        <v>2501</v>
      </c>
      <c r="B9" s="320">
        <f>(+ET9/1000)</f>
        <v>644223.42538000015</v>
      </c>
      <c r="C9" s="22"/>
      <c r="D9" s="320">
        <f>(+ES9/1000)</f>
        <v>54187.865009999994</v>
      </c>
      <c r="E9" s="22"/>
      <c r="F9" s="102">
        <v>64136169</v>
      </c>
      <c r="G9" s="102">
        <v>50050202</v>
      </c>
      <c r="H9" s="102">
        <v>39116226</v>
      </c>
      <c r="I9" s="102">
        <v>38558175</v>
      </c>
      <c r="J9" s="102">
        <v>36493596</v>
      </c>
      <c r="K9" s="102">
        <v>33696507</v>
      </c>
      <c r="L9" s="102">
        <v>32015049.109999999</v>
      </c>
      <c r="M9" s="102">
        <v>30819251.23</v>
      </c>
      <c r="N9" s="102">
        <v>29138823.350000001</v>
      </c>
      <c r="O9" s="102">
        <v>25204319.739999998</v>
      </c>
      <c r="P9" s="107">
        <v>29050209.510000002</v>
      </c>
      <c r="Q9" s="107">
        <v>35806470.75</v>
      </c>
      <c r="R9" s="102">
        <v>43391687.470000006</v>
      </c>
      <c r="S9" s="102">
        <v>32196564.150000006</v>
      </c>
      <c r="T9" s="102">
        <v>32715816.079999991</v>
      </c>
      <c r="U9" s="231">
        <v>30401447.869999997</v>
      </c>
      <c r="V9" s="231">
        <v>32153777.120000001</v>
      </c>
      <c r="W9" s="231">
        <v>30245167.609999999</v>
      </c>
      <c r="X9" s="231">
        <v>33417311.540000003</v>
      </c>
      <c r="Y9" s="231">
        <v>31591437.529999997</v>
      </c>
      <c r="Z9" s="231">
        <v>28231109.160000004</v>
      </c>
      <c r="AA9" s="231">
        <v>29135360.84</v>
      </c>
      <c r="AB9" s="231">
        <v>30862407.25</v>
      </c>
      <c r="AC9" s="232">
        <v>36427763.600000001</v>
      </c>
      <c r="AD9" s="232">
        <v>41378770.899999999</v>
      </c>
      <c r="AE9" s="232">
        <v>36680833</v>
      </c>
      <c r="AF9" s="232">
        <v>40849682.419999994</v>
      </c>
      <c r="AG9" s="232">
        <v>38101873.32</v>
      </c>
      <c r="AH9" s="259">
        <v>30034745.960000008</v>
      </c>
      <c r="AI9" s="259">
        <v>31155361.370000001</v>
      </c>
      <c r="AJ9" s="327">
        <v>27701417.899999995</v>
      </c>
      <c r="AK9" s="327">
        <v>26322465.550000004</v>
      </c>
      <c r="AL9" s="327">
        <v>27200455.859999999</v>
      </c>
      <c r="AM9" s="287">
        <v>26331645.879999999</v>
      </c>
      <c r="AN9" s="287">
        <v>26819097.469999999</v>
      </c>
      <c r="AO9" s="287">
        <v>31154347.57</v>
      </c>
      <c r="AP9" s="373">
        <v>45049229.169999994</v>
      </c>
      <c r="AQ9" s="373">
        <v>41308285.779999994</v>
      </c>
      <c r="AR9" s="373">
        <v>34224059.170000002</v>
      </c>
      <c r="AS9" s="373">
        <v>35414910.509999998</v>
      </c>
      <c r="AT9" s="373">
        <v>26507728.270000003</v>
      </c>
      <c r="AU9" s="373">
        <v>27034326.639999997</v>
      </c>
      <c r="AV9" s="373">
        <v>28126906.250000004</v>
      </c>
      <c r="AW9" s="373">
        <v>29302705.43</v>
      </c>
      <c r="AX9" s="373">
        <v>27440191.66</v>
      </c>
      <c r="AY9" s="373">
        <v>28437528.969999999</v>
      </c>
      <c r="AZ9" s="373">
        <v>30694879.700000007</v>
      </c>
      <c r="BA9" s="373">
        <v>37376895.260000005</v>
      </c>
      <c r="BB9" s="373">
        <v>41526853.440000005</v>
      </c>
      <c r="BC9" s="373">
        <v>40747118.190000005</v>
      </c>
      <c r="BD9" s="373">
        <v>37675557.359999999</v>
      </c>
      <c r="BE9" s="373">
        <v>32020189.060000006</v>
      </c>
      <c r="BF9" s="373">
        <v>27373668.810000002</v>
      </c>
      <c r="BG9" s="373">
        <v>31846469.240000002</v>
      </c>
      <c r="BH9" s="373">
        <v>27944548.710000001</v>
      </c>
      <c r="BI9" s="373">
        <v>30544045.240000002</v>
      </c>
      <c r="BJ9" s="373">
        <v>28843664.960000001</v>
      </c>
      <c r="BK9" s="373">
        <v>30339340.559999999</v>
      </c>
      <c r="BL9" s="373">
        <v>34445454.619999997</v>
      </c>
      <c r="BM9" s="373">
        <v>33007907.030000001</v>
      </c>
      <c r="BN9" s="373">
        <v>43458243.620000005</v>
      </c>
      <c r="BO9" s="373">
        <v>46174577.250000007</v>
      </c>
      <c r="BP9" s="373">
        <v>38531095.469999999</v>
      </c>
      <c r="BQ9" s="373">
        <v>35996519.359999999</v>
      </c>
      <c r="BR9" s="373">
        <v>31116562.18</v>
      </c>
      <c r="BS9" s="373">
        <v>31939658.089999996</v>
      </c>
      <c r="BT9" s="373">
        <v>35031259.739999995</v>
      </c>
      <c r="BU9" s="373">
        <v>33686641.32</v>
      </c>
      <c r="BV9" s="373">
        <v>32101363.620000001</v>
      </c>
      <c r="BW9" s="373">
        <v>33260955</v>
      </c>
      <c r="BX9" s="373">
        <v>30184342.52</v>
      </c>
      <c r="BY9" s="373">
        <v>35134172.949999996</v>
      </c>
      <c r="BZ9" s="373">
        <v>39009633.990000002</v>
      </c>
      <c r="CA9" s="373">
        <v>36125128.779999994</v>
      </c>
      <c r="CB9" s="373">
        <v>33999266.789999999</v>
      </c>
      <c r="CC9" s="373">
        <v>36788892.019999996</v>
      </c>
      <c r="CD9" s="373">
        <v>34043478.120000005</v>
      </c>
      <c r="CE9" s="373">
        <v>30627749.869999997</v>
      </c>
      <c r="CF9" s="373">
        <v>31896481.530000001</v>
      </c>
      <c r="CG9" s="373">
        <v>37408660.879999995</v>
      </c>
      <c r="CH9" s="373">
        <v>37220060.560000002</v>
      </c>
      <c r="CI9" s="373">
        <v>31264726.539999999</v>
      </c>
      <c r="CJ9" s="373">
        <v>34454206.760000005</v>
      </c>
      <c r="CK9" s="373">
        <v>42142078.830000013</v>
      </c>
      <c r="CL9" s="373">
        <v>59737368.489999995</v>
      </c>
      <c r="CM9" s="373">
        <v>43456502.710000001</v>
      </c>
      <c r="CN9" s="373">
        <v>35439285.339999996</v>
      </c>
      <c r="CO9" s="373">
        <v>40963132.570000008</v>
      </c>
      <c r="CP9" s="373">
        <v>33750433.270000003</v>
      </c>
      <c r="CQ9" s="373">
        <v>36100149.720000006</v>
      </c>
      <c r="CR9" s="373">
        <v>38475401.810000002</v>
      </c>
      <c r="CS9" s="373">
        <v>33960823.980000004</v>
      </c>
      <c r="CT9" s="373">
        <v>36561610.080000013</v>
      </c>
      <c r="CU9" s="373">
        <v>39125040.050000004</v>
      </c>
      <c r="CV9" s="373">
        <v>36874124.920000009</v>
      </c>
      <c r="CW9" s="373">
        <v>42173747.170000009</v>
      </c>
      <c r="CX9" s="373">
        <v>47675399.100000001</v>
      </c>
      <c r="CY9" s="373">
        <v>41282346.650000006</v>
      </c>
      <c r="CZ9" s="373">
        <v>40972417.300000004</v>
      </c>
      <c r="DA9" s="373">
        <v>38557859.68</v>
      </c>
      <c r="DB9" s="373">
        <v>37479703.879999995</v>
      </c>
      <c r="DC9" s="373">
        <v>32025081.750000004</v>
      </c>
      <c r="DD9" s="373">
        <v>32140814.890000001</v>
      </c>
      <c r="DE9" s="373">
        <v>30763920.25</v>
      </c>
      <c r="DF9" s="373">
        <v>35334292.890000001</v>
      </c>
      <c r="DG9" s="834">
        <v>34311088.479999997</v>
      </c>
      <c r="DH9" s="834">
        <v>36757847.039999999</v>
      </c>
      <c r="DI9" s="373">
        <v>42437008.07</v>
      </c>
      <c r="DJ9" s="373">
        <v>46564399.519999996</v>
      </c>
      <c r="DK9" s="373">
        <v>41641503.240000002</v>
      </c>
      <c r="DL9" s="373">
        <v>38444839.949999996</v>
      </c>
      <c r="DM9" s="373">
        <v>31831182.150000006</v>
      </c>
      <c r="DN9" s="373">
        <v>30361232.48</v>
      </c>
      <c r="DO9" s="373">
        <v>32045007.690000001</v>
      </c>
      <c r="DP9" s="373">
        <v>30525209.949999999</v>
      </c>
      <c r="DQ9" s="373">
        <v>29434342.700000003</v>
      </c>
      <c r="DR9" s="373">
        <v>30091836.440000001</v>
      </c>
      <c r="DS9" s="373">
        <v>31448742.199999999</v>
      </c>
      <c r="DT9" s="373">
        <v>34809282.790000007</v>
      </c>
      <c r="DU9" s="373">
        <v>44829436.920000002</v>
      </c>
      <c r="DV9" s="373">
        <v>57427824.769999996</v>
      </c>
      <c r="DW9" s="373">
        <v>47714723.329999998</v>
      </c>
      <c r="DX9" s="373">
        <v>46349639.280000001</v>
      </c>
      <c r="DY9" s="373">
        <v>44995002.140000001</v>
      </c>
      <c r="DZ9" s="373">
        <v>37961226.520000011</v>
      </c>
      <c r="EA9" s="373">
        <v>37628565.090000004</v>
      </c>
      <c r="EB9" s="373">
        <v>38186269.560000002</v>
      </c>
      <c r="EC9" s="373">
        <v>36037868.090000004</v>
      </c>
      <c r="ED9" s="373">
        <v>38034830</v>
      </c>
      <c r="EE9" s="373">
        <v>40510482.890000001</v>
      </c>
      <c r="EF9" s="373">
        <v>41747696.730000004</v>
      </c>
      <c r="EG9" s="373">
        <v>50551459.530000001</v>
      </c>
      <c r="EH9" s="373">
        <v>65115020.080000006</v>
      </c>
      <c r="EI9" s="373">
        <v>60900488.100000009</v>
      </c>
      <c r="EJ9" s="373">
        <v>53646620.089999996</v>
      </c>
      <c r="EK9" s="373">
        <v>50116440.350000001</v>
      </c>
      <c r="EL9" s="373">
        <v>54964320.950000003</v>
      </c>
      <c r="EM9" s="373">
        <v>52433907.390000001</v>
      </c>
      <c r="EN9" s="373">
        <v>52130301.400000006</v>
      </c>
      <c r="EO9" s="373">
        <v>56212606.500000007</v>
      </c>
      <c r="EP9" s="373">
        <v>49362805.340000004</v>
      </c>
      <c r="EQ9" s="373">
        <f>-(VLOOKUP("4800",'Input IS ACCTS'!$A$6:$DH$518,109,FALSE)+VLOOKUP("4810",'Input IS ACCTS'!$A$6:$DH$518,109,FALSE)+VLOOKUP("4830",'Input IS ACCTS'!$A$6:$DH$518,109,FALSE)+VLOOKUP("4870",'Input IS ACCTS'!$A$6:$DH$518,109,FALSE)+VLOOKUP("4880",'Input IS ACCTS'!$A$6:$DH$518,109,FALSE)+VLOOKUP("4893",'Input IS ACCTS'!$A$6:$DH$518,109,FALSE)+VLOOKUP("4930",'Input IS ACCTS'!$A$6:$DH$518,109,FALSE)+VLOOKUP("4950",'Input IS ACCTS'!$A$6:$DH$518,109,FALSE))+-VLOOKUP("4074140",'Input IS ACCTS'!$A$6:$DH$518,109,FALSE)+-VLOOKUP("4074141",'Input IS ACCTS'!$A$6:$DH$518,109,FALSE)+-VLOOKUP("4074071",'Input IS ACCTS'!$A$6:$DH$518,109,FALSE)+-VLOOKUP("4074072",'Input IS ACCTS'!$A$6:$DH$518,109,FALSE)-VLOOKUP("4120",'Input IS ACCTS'!$A$6:$DH$518,109,FALSE)</f>
        <v>51960999.949999996</v>
      </c>
      <c r="ER9" s="373">
        <f>-(VLOOKUP("4800",'Input IS ACCTS'!$A$6:$DH$518,110,FALSE)+VLOOKUP("4810",'Input IS ACCTS'!$A$6:$DH$518,110,FALSE)+VLOOKUP("4830",'Input IS ACCTS'!$A$6:$DH$518,110,FALSE)+VLOOKUP("4870",'Input IS ACCTS'!$A$6:$DH$518,110,FALSE)+VLOOKUP("4880",'Input IS ACCTS'!$A$6:$DH$518,110,FALSE)+VLOOKUP("4893",'Input IS ACCTS'!$A$6:$DH$518,110,FALSE)+VLOOKUP("4930",'Input IS ACCTS'!$A$6:$DH$518,110,FALSE)+VLOOKUP("4950",'Input IS ACCTS'!$A$6:$DH$518,110,FALSE))+-VLOOKUP("4074140",'Input IS ACCTS'!$A$6:$DH$518,110,FALSE)+-VLOOKUP("4074141",'Input IS ACCTS'!$A$6:$DH$518,110,FALSE)+-VLOOKUP("4074071",'Input IS ACCTS'!$A$6:$DH$518,110,FALSE)+-VLOOKUP("4074072",'Input IS ACCTS'!$A$6:$DH$518,110,FALSE)-VLOOKUP("4120",'Input IS ACCTS'!$A$6:$DH$518,110,FALSE)</f>
        <v>43192050.219999991</v>
      </c>
      <c r="ES9" s="373">
        <f>-(VLOOKUP("4800",'Input IS ACCTS'!$A$6:$DH$518,111,FALSE)+VLOOKUP("4810",'Input IS ACCTS'!$A$6:$DH$518,111,FALSE)+VLOOKUP("4830",'Input IS ACCTS'!$A$6:$DH$518,111,FALSE)+VLOOKUP("4870",'Input IS ACCTS'!$A$6:$DH$518,111,FALSE)+VLOOKUP("4880",'Input IS ACCTS'!$A$6:$DH$518,111,FALSE)+VLOOKUP("4893",'Input IS ACCTS'!$A$6:$DH$518,111,FALSE)+VLOOKUP("4930",'Input IS ACCTS'!$A$6:$DH$518,111,FALSE)+VLOOKUP("4950",'Input IS ACCTS'!$A$6:$DH$518,111,FALSE))+-VLOOKUP("4074140",'Input IS ACCTS'!$A$6:$DH$518,111,FALSE)+-VLOOKUP("4074141",'Input IS ACCTS'!$A$6:$DH$518,111,FALSE)+-VLOOKUP("4074071",'Input IS ACCTS'!$A$6:$DH$518,111,FALSE)+-VLOOKUP("4074072",'Input IS ACCTS'!$A$6:$DH$518,111,FALSE)-VLOOKUP("4120",'Input IS ACCTS'!$A$6:$DH$518,111,FALSE)</f>
        <v>54187865.00999999</v>
      </c>
      <c r="ET9" s="132">
        <f>SUM(EH9:ES9)</f>
        <v>644223425.38000011</v>
      </c>
      <c r="EU9" s="174">
        <f>ET9/1000</f>
        <v>644223.42538000015</v>
      </c>
    </row>
    <row r="10" spans="1:151">
      <c r="A10" t="s">
        <v>377</v>
      </c>
      <c r="B10" s="320">
        <f>(+ET10/1000)</f>
        <v>263438.31910000002</v>
      </c>
      <c r="C10" s="22"/>
      <c r="D10" s="320">
        <f>(+ES10/1000)</f>
        <v>20091.264589999999</v>
      </c>
      <c r="E10" s="22"/>
      <c r="F10" s="102">
        <v>35929047</v>
      </c>
      <c r="G10" s="102">
        <v>28125374</v>
      </c>
      <c r="H10" s="102">
        <v>18312624</v>
      </c>
      <c r="I10" s="181">
        <v>19065132</v>
      </c>
      <c r="J10" s="181">
        <v>18720413</v>
      </c>
      <c r="K10" s="181">
        <v>16241683</v>
      </c>
      <c r="L10" s="181">
        <v>14575428.810000001</v>
      </c>
      <c r="M10" s="181">
        <v>14503895.970000001</v>
      </c>
      <c r="N10" s="181">
        <v>12476962.24</v>
      </c>
      <c r="O10" s="181">
        <v>8315577.0700000003</v>
      </c>
      <c r="P10" s="110">
        <v>10431436.41</v>
      </c>
      <c r="Q10" s="110">
        <v>14552678.27</v>
      </c>
      <c r="R10" s="102">
        <v>19323169.680000003</v>
      </c>
      <c r="S10" s="102">
        <v>11921843.789999999</v>
      </c>
      <c r="T10" s="102">
        <v>11972773.119999997</v>
      </c>
      <c r="U10" s="233">
        <v>10555026.039999999</v>
      </c>
      <c r="V10" s="233">
        <v>13428349.260000002</v>
      </c>
      <c r="W10" s="233">
        <v>12446485.77</v>
      </c>
      <c r="X10" s="233">
        <v>15460656.659999998</v>
      </c>
      <c r="Y10" s="233">
        <v>13964657.51</v>
      </c>
      <c r="Z10" s="233">
        <v>11030296.539999997</v>
      </c>
      <c r="AA10" s="233">
        <v>11152862.32</v>
      </c>
      <c r="AB10" s="233">
        <v>11038493.34</v>
      </c>
      <c r="AC10" s="234">
        <v>15300054.119999999</v>
      </c>
      <c r="AD10" s="283">
        <v>17559639.670000002</v>
      </c>
      <c r="AE10" s="283">
        <v>15098350.789999999</v>
      </c>
      <c r="AF10" s="283">
        <v>17464987.18</v>
      </c>
      <c r="AG10" s="283">
        <v>16042957.35</v>
      </c>
      <c r="AH10" s="270">
        <v>11549317.539999999</v>
      </c>
      <c r="AI10" s="270">
        <v>12803659.49</v>
      </c>
      <c r="AJ10" s="288">
        <v>9117444.25</v>
      </c>
      <c r="AK10" s="288">
        <v>8748767.25</v>
      </c>
      <c r="AL10" s="288">
        <v>9147665.0199999996</v>
      </c>
      <c r="AM10" s="288">
        <v>8124721.4700000007</v>
      </c>
      <c r="AN10" s="288">
        <v>7599607.8799999999</v>
      </c>
      <c r="AO10" s="288">
        <v>10193967.4</v>
      </c>
      <c r="AP10" s="374">
        <v>18885501.369999997</v>
      </c>
      <c r="AQ10" s="374">
        <v>16710103.75</v>
      </c>
      <c r="AR10" s="374">
        <v>11990899.669999998</v>
      </c>
      <c r="AS10" s="374">
        <v>14096943.02</v>
      </c>
      <c r="AT10" s="374">
        <v>7510945.0899999999</v>
      </c>
      <c r="AU10" s="374">
        <v>7780344.75</v>
      </c>
      <c r="AV10" s="374">
        <v>9254849.4300000016</v>
      </c>
      <c r="AW10" s="374">
        <v>11110747.470000001</v>
      </c>
      <c r="AX10" s="374">
        <v>8335265.129999999</v>
      </c>
      <c r="AY10" s="374">
        <v>9326457.1900000013</v>
      </c>
      <c r="AZ10" s="374">
        <v>10419190.390000001</v>
      </c>
      <c r="BA10" s="374">
        <v>14181834.150000002</v>
      </c>
      <c r="BB10" s="374">
        <v>15744195.169999998</v>
      </c>
      <c r="BC10" s="374">
        <v>15327773.870000001</v>
      </c>
      <c r="BD10" s="374">
        <v>12821273.630000001</v>
      </c>
      <c r="BE10" s="374">
        <v>11052671.949999999</v>
      </c>
      <c r="BF10" s="374">
        <v>8336276.6300000008</v>
      </c>
      <c r="BG10" s="374">
        <v>11506614.470000001</v>
      </c>
      <c r="BH10" s="374">
        <v>8591358.1300000008</v>
      </c>
      <c r="BI10" s="374">
        <v>11086216.839999998</v>
      </c>
      <c r="BJ10" s="374">
        <v>9651105.1400000006</v>
      </c>
      <c r="BK10" s="374">
        <v>10247454.67</v>
      </c>
      <c r="BL10" s="374">
        <v>13762675.949999997</v>
      </c>
      <c r="BM10" s="374">
        <v>10607495.420000002</v>
      </c>
      <c r="BN10" s="374">
        <v>17224147.039999999</v>
      </c>
      <c r="BO10" s="374">
        <v>18954001.390000001</v>
      </c>
      <c r="BP10" s="374">
        <v>14610091.289999999</v>
      </c>
      <c r="BQ10" s="374">
        <v>14301106.339999998</v>
      </c>
      <c r="BR10" s="374">
        <v>10633070.180000002</v>
      </c>
      <c r="BS10" s="374">
        <v>11450753.499999998</v>
      </c>
      <c r="BT10" s="374">
        <v>14877401.100000001</v>
      </c>
      <c r="BU10" s="374">
        <v>13866856.649999999</v>
      </c>
      <c r="BV10" s="374">
        <v>12207508.729999999</v>
      </c>
      <c r="BW10" s="374">
        <v>12879324.389999999</v>
      </c>
      <c r="BX10" s="374">
        <v>8853260.1499999985</v>
      </c>
      <c r="BY10" s="374">
        <v>11495331.029999999</v>
      </c>
      <c r="BZ10" s="374">
        <v>14123756.439999999</v>
      </c>
      <c r="CA10" s="374">
        <v>13284704.350000001</v>
      </c>
      <c r="CB10" s="374">
        <v>10132613.449999999</v>
      </c>
      <c r="CC10" s="374">
        <v>13624311.619999999</v>
      </c>
      <c r="CD10" s="374">
        <v>12076232.76</v>
      </c>
      <c r="CE10" s="374">
        <v>9351212.1099999994</v>
      </c>
      <c r="CF10" s="374">
        <v>11576206.780000001</v>
      </c>
      <c r="CG10" s="374">
        <v>16547458.02</v>
      </c>
      <c r="CH10" s="374">
        <v>16308798.129999999</v>
      </c>
      <c r="CI10" s="374">
        <v>10049997.700000001</v>
      </c>
      <c r="CJ10" s="374">
        <v>12227990.450000001</v>
      </c>
      <c r="CK10" s="374">
        <v>17224714.670000002</v>
      </c>
      <c r="CL10" s="374">
        <v>28323337.009999998</v>
      </c>
      <c r="CM10" s="374">
        <v>16877971.170000002</v>
      </c>
      <c r="CN10" s="374">
        <v>10656544.970000001</v>
      </c>
      <c r="CO10" s="374">
        <v>14035730.630000001</v>
      </c>
      <c r="CP10" s="374">
        <v>11584869.24</v>
      </c>
      <c r="CQ10" s="374">
        <v>13927010.850000001</v>
      </c>
      <c r="CR10" s="374">
        <v>15458251.729999999</v>
      </c>
      <c r="CS10" s="374">
        <v>12079612.24</v>
      </c>
      <c r="CT10" s="374">
        <v>14237102.5</v>
      </c>
      <c r="CU10" s="374">
        <v>16311723.799999997</v>
      </c>
      <c r="CV10" s="374">
        <v>13970101.419999998</v>
      </c>
      <c r="CW10" s="374">
        <v>15719752.549999999</v>
      </c>
      <c r="CX10" s="374">
        <v>19487678.060000002</v>
      </c>
      <c r="CY10" s="374">
        <v>14733147.84</v>
      </c>
      <c r="CZ10" s="374">
        <v>14785572.529999999</v>
      </c>
      <c r="DA10" s="374">
        <v>14444981.209999999</v>
      </c>
      <c r="DB10" s="374">
        <v>14046232.980000002</v>
      </c>
      <c r="DC10" s="374">
        <v>9707830.5600000005</v>
      </c>
      <c r="DD10" s="374">
        <v>9757329.5500000007</v>
      </c>
      <c r="DE10" s="374">
        <v>8618926.2399999984</v>
      </c>
      <c r="DF10" s="374">
        <v>12903755.140000001</v>
      </c>
      <c r="DG10" s="374">
        <v>11404519.58</v>
      </c>
      <c r="DH10" s="374">
        <v>11643663.42</v>
      </c>
      <c r="DI10" s="374">
        <v>14617248.200000001</v>
      </c>
      <c r="DJ10" s="374">
        <v>17024957.799999997</v>
      </c>
      <c r="DK10" s="374">
        <v>13648088.01</v>
      </c>
      <c r="DL10" s="374">
        <v>11822521.219999999</v>
      </c>
      <c r="DM10" s="374">
        <v>9129555.3499999996</v>
      </c>
      <c r="DN10" s="374">
        <v>8251960.5399999991</v>
      </c>
      <c r="DO10" s="374">
        <v>9245049.3399999999</v>
      </c>
      <c r="DP10" s="374">
        <v>8495809.9900000002</v>
      </c>
      <c r="DQ10" s="374">
        <v>6929366.8000000007</v>
      </c>
      <c r="DR10" s="374">
        <v>7392128.2000000002</v>
      </c>
      <c r="DS10" s="374">
        <v>7640179.5300000012</v>
      </c>
      <c r="DT10" s="374">
        <v>10170215.460000001</v>
      </c>
      <c r="DU10" s="374">
        <v>16417657.560000001</v>
      </c>
      <c r="DV10" s="374">
        <v>20452194.869999997</v>
      </c>
      <c r="DW10" s="374">
        <v>16480775.060000002</v>
      </c>
      <c r="DX10" s="374">
        <v>15481339.280000001</v>
      </c>
      <c r="DY10" s="374">
        <v>13943323.74</v>
      </c>
      <c r="DZ10" s="374">
        <v>10175093.430000002</v>
      </c>
      <c r="EA10" s="374">
        <v>10244738.020000001</v>
      </c>
      <c r="EB10" s="374">
        <v>10886004.699999999</v>
      </c>
      <c r="EC10" s="374">
        <v>10059469.49</v>
      </c>
      <c r="ED10" s="374">
        <v>10464940.5</v>
      </c>
      <c r="EE10" s="374">
        <v>13348919.390000001</v>
      </c>
      <c r="EF10" s="374">
        <v>12574748.779999997</v>
      </c>
      <c r="EG10" s="374">
        <v>17167270.149999999</v>
      </c>
      <c r="EH10" s="374">
        <v>28573571.32</v>
      </c>
      <c r="EI10" s="374">
        <v>25605040.670000002</v>
      </c>
      <c r="EJ10" s="374">
        <v>20130271.890000001</v>
      </c>
      <c r="EK10" s="374">
        <v>18116487.979999997</v>
      </c>
      <c r="EL10" s="374">
        <v>23996809.530000001</v>
      </c>
      <c r="EM10" s="374">
        <v>23752235.289999999</v>
      </c>
      <c r="EN10" s="374">
        <v>22736165.91</v>
      </c>
      <c r="EO10" s="374">
        <v>26908758.969999999</v>
      </c>
      <c r="EP10" s="374">
        <v>20760327.030000001</v>
      </c>
      <c r="EQ10" s="374">
        <f>(VLOOKUP("8010",'Input IS ACCTS'!$A$6:$DH$518,109,FALSE)+VLOOKUP("8040",'Input IS ACCTS'!$A$6:$DH$518,109,FALSE)+VLOOKUP("8081",'Input IS ACCTS'!$A$6:$DH$518,109,FALSE)+VLOOKUP("8082",'Input IS ACCTS'!$A$6:$DH$518,109,FALSE)+VLOOKUP("8120",'Input IS ACCTS'!$A$6:$DH$518,109,FALSE)+VLOOKUP("4073060",'Input IS ACCTS'!$A$6:$DH$518,109,FALSE)+VLOOKUP("4073061",'Input IS ACCTS'!$A$6:$DH$518,109,FALSE)+VLOOKUP("4074060",'Input IS ACCTS'!$A$6:$DH$518,109,FALSE)+VLOOKUP("4074061",'Input IS ACCTS'!$A$6:$DH$518,109,FALSE))</f>
        <v>20802289.300000001</v>
      </c>
      <c r="ER10" s="374">
        <f>(VLOOKUP("8010",'Input IS ACCTS'!$A$6:$DH$518,110,FALSE)+VLOOKUP("8040",'Input IS ACCTS'!$A$6:$DH$518,110,FALSE)+VLOOKUP("8081",'Input IS ACCTS'!$A$6:$DH$518,110,FALSE)+VLOOKUP("8082",'Input IS ACCTS'!$A$6:$DH$518,110,FALSE)+VLOOKUP("8120",'Input IS ACCTS'!$A$6:$DH$518,110,FALSE)+VLOOKUP("4073060",'Input IS ACCTS'!$A$6:$DH$518,110,FALSE)+VLOOKUP("4073061",'Input IS ACCTS'!$A$6:$DH$518,110,FALSE)+VLOOKUP("4074060",'Input IS ACCTS'!$A$6:$DH$518,110,FALSE)+VLOOKUP("4074061",'Input IS ACCTS'!$A$6:$DH$518,110,FALSE))</f>
        <v>11965096.620000001</v>
      </c>
      <c r="ES10" s="374">
        <f>(VLOOKUP("8010",'Input IS ACCTS'!$A$6:$DH$518,111,FALSE)+VLOOKUP("8040",'Input IS ACCTS'!$A$6:$DH$518,111,FALSE)+VLOOKUP("8081",'Input IS ACCTS'!$A$6:$DH$518,111,FALSE)+VLOOKUP("8082",'Input IS ACCTS'!$A$6:$DH$518,111,FALSE)+VLOOKUP("8120",'Input IS ACCTS'!$A$6:$DH$518,111,FALSE)+VLOOKUP("4073060",'Input IS ACCTS'!$A$6:$DH$518,111,FALSE)+VLOOKUP("4073061",'Input IS ACCTS'!$A$6:$DH$518,111,FALSE)+VLOOKUP("4074060",'Input IS ACCTS'!$A$6:$DH$518,111,FALSE)+VLOOKUP("4074061",'Input IS ACCTS'!$A$6:$DH$518,111,FALSE))</f>
        <v>20091264.59</v>
      </c>
      <c r="ET10" s="132">
        <f>SUM(EH10:ES10)</f>
        <v>263438319.09999999</v>
      </c>
      <c r="EU10" s="174">
        <f>ET10/1000</f>
        <v>263438.31910000002</v>
      </c>
    </row>
    <row r="11" spans="1:151">
      <c r="A11" t="s">
        <v>378</v>
      </c>
      <c r="B11" s="321">
        <f>+B9-B10</f>
        <v>380785.10628000012</v>
      </c>
      <c r="C11" s="22"/>
      <c r="D11" s="321">
        <f>+D9-D10</f>
        <v>34096.600419999995</v>
      </c>
      <c r="E11" s="22"/>
      <c r="F11" s="112">
        <v>28207122</v>
      </c>
      <c r="G11" s="111">
        <v>21924828</v>
      </c>
      <c r="H11" s="111">
        <v>20803602</v>
      </c>
      <c r="I11" s="111">
        <v>19493043</v>
      </c>
      <c r="J11" s="111">
        <v>17773183</v>
      </c>
      <c r="K11" s="111">
        <v>17454824</v>
      </c>
      <c r="L11" s="111">
        <v>17439620.299999997</v>
      </c>
      <c r="M11" s="111">
        <v>16315355.26</v>
      </c>
      <c r="N11" s="111">
        <v>16661861.110000001</v>
      </c>
      <c r="O11" s="111">
        <v>16888742.669999998</v>
      </c>
      <c r="P11" s="111">
        <v>18618773.100000001</v>
      </c>
      <c r="Q11" s="111">
        <v>21253792.48</v>
      </c>
      <c r="R11" s="111">
        <v>24068517.790000003</v>
      </c>
      <c r="S11" s="111">
        <v>20274720.360000007</v>
      </c>
      <c r="T11" s="111">
        <v>20743042.959999993</v>
      </c>
      <c r="U11" s="235">
        <v>19846421.829999998</v>
      </c>
      <c r="V11" s="235">
        <v>18725427.859999999</v>
      </c>
      <c r="W11" s="235">
        <v>17798681.84</v>
      </c>
      <c r="X11" s="235">
        <v>17956654.880000003</v>
      </c>
      <c r="Y11" s="235">
        <v>17626780.019999996</v>
      </c>
      <c r="Z11" s="235">
        <v>17200812.620000005</v>
      </c>
      <c r="AA11" s="235">
        <v>17982498.52</v>
      </c>
      <c r="AB11" s="235">
        <v>19823913.91</v>
      </c>
      <c r="AC11" s="235">
        <v>21127709.480000004</v>
      </c>
      <c r="AD11" s="235">
        <v>23819131.229999997</v>
      </c>
      <c r="AE11" s="235">
        <v>21582482.210000001</v>
      </c>
      <c r="AF11" s="235">
        <v>23384695.239999995</v>
      </c>
      <c r="AG11" s="235">
        <v>22058915.969999999</v>
      </c>
      <c r="AH11" s="235">
        <v>18485428.420000009</v>
      </c>
      <c r="AI11" s="235">
        <v>18351701.880000003</v>
      </c>
      <c r="AJ11" s="111">
        <v>18583973.649999995</v>
      </c>
      <c r="AK11" s="111">
        <v>17573698.300000004</v>
      </c>
      <c r="AL11" s="111">
        <v>18052790.84</v>
      </c>
      <c r="AM11" s="111">
        <v>18206924.409999996</v>
      </c>
      <c r="AN11" s="111">
        <v>19219489.59</v>
      </c>
      <c r="AO11" s="111">
        <v>20960380.170000002</v>
      </c>
      <c r="AP11" s="111">
        <v>26163727.799999997</v>
      </c>
      <c r="AQ11" s="111">
        <v>24598182.029999994</v>
      </c>
      <c r="AR11" s="111">
        <v>22233159.500000004</v>
      </c>
      <c r="AS11" s="111">
        <v>21317967.489999998</v>
      </c>
      <c r="AT11" s="111">
        <v>18996783.180000003</v>
      </c>
      <c r="AU11" s="111">
        <v>19253981.889999997</v>
      </c>
      <c r="AV11" s="111">
        <v>18872056.82</v>
      </c>
      <c r="AW11" s="111">
        <v>18191957.960000001</v>
      </c>
      <c r="AX11" s="111">
        <v>19104926.530000001</v>
      </c>
      <c r="AY11" s="111">
        <v>19111071.779999997</v>
      </c>
      <c r="AZ11" s="111">
        <v>20275689.310000006</v>
      </c>
      <c r="BA11" s="111">
        <v>23195061.110000003</v>
      </c>
      <c r="BB11" s="111">
        <v>25782658.270000007</v>
      </c>
      <c r="BC11" s="111">
        <v>25419344.320000004</v>
      </c>
      <c r="BD11" s="111">
        <v>24854283.729999997</v>
      </c>
      <c r="BE11" s="111">
        <v>20967517.110000007</v>
      </c>
      <c r="BF11" s="111">
        <v>19037392.18</v>
      </c>
      <c r="BG11" s="111">
        <v>20339854.770000003</v>
      </c>
      <c r="BH11" s="111">
        <v>19353190.579999998</v>
      </c>
      <c r="BI11" s="111">
        <v>19457828.400000006</v>
      </c>
      <c r="BJ11" s="111">
        <v>19192559.82</v>
      </c>
      <c r="BK11" s="111">
        <v>20091885.890000001</v>
      </c>
      <c r="BL11" s="111">
        <v>20682778.670000002</v>
      </c>
      <c r="BM11" s="111">
        <v>22400411.609999999</v>
      </c>
      <c r="BN11" s="111">
        <v>26234096.580000006</v>
      </c>
      <c r="BO11" s="111">
        <v>27220575.860000007</v>
      </c>
      <c r="BP11" s="111">
        <v>23921004.18</v>
      </c>
      <c r="BQ11" s="111">
        <v>21695413.020000003</v>
      </c>
      <c r="BR11" s="111">
        <v>20483492</v>
      </c>
      <c r="BS11" s="111">
        <v>20488904.589999996</v>
      </c>
      <c r="BT11" s="111">
        <v>20153858.639999993</v>
      </c>
      <c r="BU11" s="111">
        <v>19819784.670000002</v>
      </c>
      <c r="BV11" s="111">
        <v>19893854.890000001</v>
      </c>
      <c r="BW11" s="111">
        <v>20381630.609999999</v>
      </c>
      <c r="BX11" s="111">
        <v>21331082.370000001</v>
      </c>
      <c r="BY11" s="111">
        <v>23638841.919999994</v>
      </c>
      <c r="BZ11" s="111">
        <f>+BZ9-BZ10</f>
        <v>24885877.550000004</v>
      </c>
      <c r="CA11" s="111">
        <f>+CA9-CA10</f>
        <v>22840424.429999992</v>
      </c>
      <c r="CB11" s="111">
        <f>+CB9-CB10</f>
        <v>23866653.34</v>
      </c>
      <c r="CC11" s="111">
        <v>23164580.399999999</v>
      </c>
      <c r="CD11" s="111">
        <v>21967245.360000007</v>
      </c>
      <c r="CE11" s="111">
        <v>21276537.759999998</v>
      </c>
      <c r="CF11" s="111">
        <f t="shared" ref="CF11:CK11" si="10">+CF9-CF10</f>
        <v>20320274.75</v>
      </c>
      <c r="CG11" s="111">
        <f t="shared" si="10"/>
        <v>20861202.859999996</v>
      </c>
      <c r="CH11" s="111">
        <f t="shared" si="10"/>
        <v>20911262.430000003</v>
      </c>
      <c r="CI11" s="111">
        <f t="shared" si="10"/>
        <v>21214728.839999996</v>
      </c>
      <c r="CJ11" s="111">
        <f t="shared" si="10"/>
        <v>22226216.310000002</v>
      </c>
      <c r="CK11" s="111">
        <f t="shared" si="10"/>
        <v>24917364.160000011</v>
      </c>
      <c r="CL11" s="111">
        <f t="shared" ref="CL11:CQ11" si="11">+CL9-CL10</f>
        <v>31414031.479999997</v>
      </c>
      <c r="CM11" s="111">
        <f t="shared" si="11"/>
        <v>26578531.539999999</v>
      </c>
      <c r="CN11" s="111">
        <f t="shared" si="11"/>
        <v>24782740.369999997</v>
      </c>
      <c r="CO11" s="111">
        <f t="shared" si="11"/>
        <v>26927401.940000005</v>
      </c>
      <c r="CP11" s="111">
        <f t="shared" si="11"/>
        <v>22165564.030000001</v>
      </c>
      <c r="CQ11" s="111">
        <f t="shared" si="11"/>
        <v>22173138.870000005</v>
      </c>
      <c r="CR11" s="111">
        <f t="shared" ref="CR11:CW11" si="12">+CR9-CR10</f>
        <v>23017150.080000006</v>
      </c>
      <c r="CS11" s="111">
        <f t="shared" si="12"/>
        <v>21881211.740000002</v>
      </c>
      <c r="CT11" s="111">
        <f t="shared" si="12"/>
        <v>22324507.580000013</v>
      </c>
      <c r="CU11" s="111">
        <f t="shared" si="12"/>
        <v>22813316.250000007</v>
      </c>
      <c r="CV11" s="111">
        <f t="shared" si="12"/>
        <v>22904023.500000011</v>
      </c>
      <c r="CW11" s="111">
        <f t="shared" si="12"/>
        <v>26453994.620000012</v>
      </c>
      <c r="CX11" s="111">
        <f t="shared" ref="CX11:DC11" si="13">+CX9-CX10</f>
        <v>28187721.039999999</v>
      </c>
      <c r="CY11" s="111">
        <f t="shared" si="13"/>
        <v>26549198.810000006</v>
      </c>
      <c r="CZ11" s="111">
        <f t="shared" si="13"/>
        <v>26186844.770000003</v>
      </c>
      <c r="DA11" s="111">
        <f t="shared" si="13"/>
        <v>24112878.469999999</v>
      </c>
      <c r="DB11" s="111">
        <f t="shared" si="13"/>
        <v>23433470.899999991</v>
      </c>
      <c r="DC11" s="111">
        <f t="shared" si="13"/>
        <v>22317251.190000005</v>
      </c>
      <c r="DD11" s="111">
        <f t="shared" ref="DD11:DI11" si="14">+DD9-DD10</f>
        <v>22383485.34</v>
      </c>
      <c r="DE11" s="111">
        <f t="shared" si="14"/>
        <v>22144994.010000002</v>
      </c>
      <c r="DF11" s="111">
        <f t="shared" si="14"/>
        <v>22430537.75</v>
      </c>
      <c r="DG11" s="111">
        <f t="shared" si="14"/>
        <v>22906568.899999999</v>
      </c>
      <c r="DH11" s="111">
        <f t="shared" si="14"/>
        <v>25114183.619999997</v>
      </c>
      <c r="DI11" s="111">
        <f t="shared" si="14"/>
        <v>27819759.869999997</v>
      </c>
      <c r="DJ11" s="111">
        <f t="shared" ref="DJ11:EU11" si="15">+DJ9-DJ10</f>
        <v>29539441.719999999</v>
      </c>
      <c r="DK11" s="111">
        <f t="shared" si="15"/>
        <v>27993415.230000004</v>
      </c>
      <c r="DL11" s="111">
        <f t="shared" si="15"/>
        <v>26622318.729999997</v>
      </c>
      <c r="DM11" s="111">
        <f t="shared" si="15"/>
        <v>22701626.800000004</v>
      </c>
      <c r="DN11" s="111">
        <f t="shared" si="15"/>
        <v>22109271.940000001</v>
      </c>
      <c r="DO11" s="111">
        <f t="shared" si="15"/>
        <v>22799958.350000001</v>
      </c>
      <c r="DP11" s="111">
        <f t="shared" si="15"/>
        <v>22029399.960000001</v>
      </c>
      <c r="DQ11" s="111">
        <f t="shared" si="15"/>
        <v>22504975.900000002</v>
      </c>
      <c r="DR11" s="111">
        <f t="shared" si="15"/>
        <v>22699708.240000002</v>
      </c>
      <c r="DS11" s="111">
        <f t="shared" si="15"/>
        <v>23808562.669999998</v>
      </c>
      <c r="DT11" s="111">
        <f t="shared" si="15"/>
        <v>24639067.330000006</v>
      </c>
      <c r="DU11" s="111">
        <f t="shared" si="15"/>
        <v>28411779.359999999</v>
      </c>
      <c r="DV11" s="111">
        <f t="shared" ref="DV11:EA11" si="16">+DV9-DV10</f>
        <v>36975629.899999999</v>
      </c>
      <c r="DW11" s="111">
        <f t="shared" si="16"/>
        <v>31233948.269999996</v>
      </c>
      <c r="DX11" s="111">
        <f t="shared" si="16"/>
        <v>30868300</v>
      </c>
      <c r="DY11" s="111">
        <f t="shared" si="16"/>
        <v>31051678.399999999</v>
      </c>
      <c r="DZ11" s="111">
        <f t="shared" si="16"/>
        <v>27786133.090000011</v>
      </c>
      <c r="EA11" s="111">
        <f t="shared" si="16"/>
        <v>27383827.07</v>
      </c>
      <c r="EB11" s="111">
        <f t="shared" ref="EB11:ET11" si="17">+EB9-EB10</f>
        <v>27300264.860000003</v>
      </c>
      <c r="EC11" s="111">
        <f t="shared" si="17"/>
        <v>25978398.600000001</v>
      </c>
      <c r="ED11" s="111">
        <f t="shared" si="17"/>
        <v>27569889.5</v>
      </c>
      <c r="EE11" s="111">
        <f t="shared" si="17"/>
        <v>27161563.5</v>
      </c>
      <c r="EF11" s="111">
        <f t="shared" si="17"/>
        <v>29172947.950000007</v>
      </c>
      <c r="EG11" s="111">
        <f t="shared" si="17"/>
        <v>33384189.380000003</v>
      </c>
      <c r="EH11" s="111">
        <f t="shared" ref="EH11:EJ11" si="18">+EH9-EH10</f>
        <v>36541448.760000005</v>
      </c>
      <c r="EI11" s="111">
        <f t="shared" si="18"/>
        <v>35295447.430000007</v>
      </c>
      <c r="EJ11" s="111">
        <f t="shared" si="18"/>
        <v>33516348.199999996</v>
      </c>
      <c r="EK11" s="111">
        <f t="shared" ref="EK11:EM11" si="19">+EK9-EK10</f>
        <v>31999952.370000005</v>
      </c>
      <c r="EL11" s="111">
        <f t="shared" si="19"/>
        <v>30967511.420000002</v>
      </c>
      <c r="EM11" s="111">
        <f t="shared" si="19"/>
        <v>28681672.100000001</v>
      </c>
      <c r="EN11" s="111">
        <f t="shared" ref="EN11:EO11" si="20">+EN9-EN10</f>
        <v>29394135.490000006</v>
      </c>
      <c r="EO11" s="111">
        <f t="shared" si="20"/>
        <v>29303847.530000009</v>
      </c>
      <c r="EP11" s="111">
        <f t="shared" ref="EP11:EQ11" si="21">+EP9-EP10</f>
        <v>28602478.310000002</v>
      </c>
      <c r="EQ11" s="111">
        <f t="shared" si="21"/>
        <v>31158710.649999995</v>
      </c>
      <c r="ER11" s="111">
        <f t="shared" ref="ER11:ES11" si="22">+ER9-ER10</f>
        <v>31226953.59999999</v>
      </c>
      <c r="ES11" s="111">
        <f t="shared" si="22"/>
        <v>34096600.419999987</v>
      </c>
      <c r="ET11" s="360">
        <f t="shared" si="17"/>
        <v>380785106.28000009</v>
      </c>
      <c r="EU11" s="175">
        <f t="shared" si="15"/>
        <v>380785.10628000012</v>
      </c>
    </row>
    <row r="12" spans="1:151">
      <c r="B12" s="320"/>
      <c r="C12" s="22"/>
      <c r="D12" s="320"/>
      <c r="E12" s="22"/>
      <c r="F12" s="42"/>
      <c r="G12" s="42"/>
      <c r="H12" s="42"/>
      <c r="I12" s="42"/>
      <c r="J12" s="42"/>
      <c r="K12" s="42"/>
      <c r="L12" s="42"/>
      <c r="M12" s="42"/>
      <c r="N12" s="42"/>
      <c r="O12" s="42"/>
      <c r="P12" s="180"/>
      <c r="Q12" s="180"/>
      <c r="R12" s="42"/>
      <c r="S12" s="42"/>
      <c r="T12" s="42"/>
      <c r="U12" s="236"/>
      <c r="V12" s="236"/>
      <c r="W12" s="236"/>
      <c r="X12" s="236"/>
      <c r="Y12" s="236"/>
      <c r="Z12" s="236"/>
      <c r="AA12" s="236"/>
      <c r="AB12" s="236"/>
      <c r="AC12" s="237"/>
      <c r="AD12" s="237"/>
      <c r="AE12" s="237"/>
      <c r="AF12" s="237"/>
      <c r="AG12" s="237"/>
      <c r="AH12" s="237"/>
      <c r="AI12" s="237"/>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c r="CW12" s="180"/>
      <c r="CX12" s="180"/>
      <c r="CY12" s="180"/>
      <c r="CZ12" s="180"/>
      <c r="DA12" s="180"/>
      <c r="DB12" s="180"/>
      <c r="DC12" s="180"/>
      <c r="DD12" s="180"/>
      <c r="DE12" s="180"/>
      <c r="DF12" s="180"/>
      <c r="DG12" s="180"/>
      <c r="DH12" s="180"/>
      <c r="DI12" s="180"/>
      <c r="DJ12" s="180"/>
      <c r="DK12" s="180"/>
      <c r="DL12" s="180"/>
      <c r="DM12" s="180"/>
      <c r="DN12" s="180"/>
      <c r="DO12" s="180"/>
      <c r="DP12" s="180"/>
      <c r="DQ12" s="180"/>
      <c r="DR12" s="180"/>
      <c r="DS12" s="180"/>
      <c r="DT12" s="180"/>
      <c r="DU12" s="180"/>
      <c r="DV12" s="180"/>
      <c r="DW12" s="180"/>
      <c r="DX12" s="180"/>
      <c r="DY12" s="180"/>
      <c r="DZ12" s="180"/>
      <c r="EA12" s="180"/>
      <c r="EB12" s="180"/>
      <c r="EC12" s="180"/>
      <c r="ED12" s="180"/>
      <c r="EE12" s="180"/>
      <c r="EF12" s="180"/>
      <c r="EG12" s="180"/>
      <c r="EH12" s="180"/>
      <c r="EI12" s="180"/>
      <c r="EJ12" s="180"/>
      <c r="EK12" s="180"/>
      <c r="EL12" s="180"/>
      <c r="EM12" s="180"/>
      <c r="EN12" s="180"/>
      <c r="EO12" s="180"/>
      <c r="EP12" s="180"/>
      <c r="EQ12" s="180"/>
      <c r="ER12" s="180"/>
      <c r="ES12" s="180"/>
      <c r="ET12" s="180"/>
      <c r="EU12" s="174"/>
    </row>
    <row r="13" spans="1:151">
      <c r="A13" t="s">
        <v>379</v>
      </c>
      <c r="B13" s="320">
        <f t="shared" ref="B13:B21" si="23">(+ET13/1000)</f>
        <v>153041.29167999999</v>
      </c>
      <c r="C13" s="22"/>
      <c r="D13" s="320">
        <f t="shared" ref="D13:D21" si="24">(+ES13/1000)</f>
        <v>13472.778250000001</v>
      </c>
      <c r="E13" s="22"/>
      <c r="F13" s="102">
        <v>6872128</v>
      </c>
      <c r="G13" s="102">
        <v>6046886</v>
      </c>
      <c r="H13" s="102">
        <v>6794405</v>
      </c>
      <c r="I13" s="102">
        <v>6284464</v>
      </c>
      <c r="J13" s="102">
        <v>6066590</v>
      </c>
      <c r="K13" s="102">
        <v>9001917</v>
      </c>
      <c r="L13" s="102">
        <v>7199268.5899999999</v>
      </c>
      <c r="M13" s="102">
        <v>7455490.5999999996</v>
      </c>
      <c r="N13" s="102">
        <v>5855391.6699999999</v>
      </c>
      <c r="O13" s="102">
        <v>6689819.25</v>
      </c>
      <c r="P13" s="138">
        <v>7361662.0300000003</v>
      </c>
      <c r="Q13" s="107">
        <v>7700540.8499999996</v>
      </c>
      <c r="R13" s="102">
        <v>6956570.9299999997</v>
      </c>
      <c r="S13" s="102">
        <v>7083313.6299999999</v>
      </c>
      <c r="T13" s="102">
        <v>7192643.330000001</v>
      </c>
      <c r="U13" s="231">
        <v>6024997.54</v>
      </c>
      <c r="V13" s="231">
        <v>5862273.1400000015</v>
      </c>
      <c r="W13" s="231">
        <v>5682694.3700000001</v>
      </c>
      <c r="X13" s="231">
        <v>6455778.4300000006</v>
      </c>
      <c r="Y13" s="231">
        <v>5705293.0700000012</v>
      </c>
      <c r="Z13" s="231">
        <v>6467533.2100000018</v>
      </c>
      <c r="AA13" s="231">
        <v>7067774.1199999982</v>
      </c>
      <c r="AB13" s="231">
        <v>7820074.370000001</v>
      </c>
      <c r="AC13" s="232">
        <v>9089442.5200000014</v>
      </c>
      <c r="AD13" s="284">
        <v>7088845.7599999998</v>
      </c>
      <c r="AE13" s="284">
        <v>7214257.3099999996</v>
      </c>
      <c r="AF13" s="284">
        <v>7055404.6699999999</v>
      </c>
      <c r="AG13" s="285">
        <v>7204832</v>
      </c>
      <c r="AH13" s="285">
        <v>7100123.21</v>
      </c>
      <c r="AI13" s="285">
        <v>7677765.4400000004</v>
      </c>
      <c r="AJ13" s="291">
        <v>7678549.0299999993</v>
      </c>
      <c r="AK13" s="291">
        <v>7864351.1100000003</v>
      </c>
      <c r="AL13" s="291">
        <v>7179564.8200000003</v>
      </c>
      <c r="AM13" s="291">
        <v>7627635.540000001</v>
      </c>
      <c r="AN13" s="291">
        <v>7390667.4900000021</v>
      </c>
      <c r="AO13" s="291">
        <v>9195029.1299999971</v>
      </c>
      <c r="AP13" s="395">
        <v>8604544.5799999982</v>
      </c>
      <c r="AQ13" s="395">
        <v>8711405.8399999999</v>
      </c>
      <c r="AR13" s="395">
        <v>5758413.6399999997</v>
      </c>
      <c r="AS13" s="395">
        <v>7845599.8600000013</v>
      </c>
      <c r="AT13" s="395">
        <v>7891828.2200000007</v>
      </c>
      <c r="AU13" s="395">
        <v>7398391.8699999992</v>
      </c>
      <c r="AV13" s="395">
        <v>8197773.9600000018</v>
      </c>
      <c r="AW13" s="395">
        <v>7978026.6100000003</v>
      </c>
      <c r="AX13" s="395">
        <v>8772183.209999999</v>
      </c>
      <c r="AY13" s="404">
        <v>7332107.8500000006</v>
      </c>
      <c r="AZ13" s="404">
        <v>7425066.9700000016</v>
      </c>
      <c r="BA13" s="404">
        <v>8150539.0599999996</v>
      </c>
      <c r="BB13" s="404">
        <v>8083043.9900000012</v>
      </c>
      <c r="BC13" s="404">
        <v>8138014.9300000025</v>
      </c>
      <c r="BD13" s="404">
        <v>9042818.2600000016</v>
      </c>
      <c r="BE13" s="404">
        <v>8392853.5899999999</v>
      </c>
      <c r="BF13" s="404">
        <v>7063231.5199999986</v>
      </c>
      <c r="BG13" s="404">
        <v>7506052.9500000002</v>
      </c>
      <c r="BH13" s="404">
        <v>7598063.5099999998</v>
      </c>
      <c r="BI13" s="404">
        <v>8183300.3199999984</v>
      </c>
      <c r="BJ13" s="417">
        <v>7845017.2400000002</v>
      </c>
      <c r="BK13" s="417">
        <v>8018585.6399999997</v>
      </c>
      <c r="BL13" s="417">
        <v>9193033.1400000006</v>
      </c>
      <c r="BM13" s="417">
        <v>10024917.010000002</v>
      </c>
      <c r="BN13" s="417">
        <v>8254316.8999999985</v>
      </c>
      <c r="BO13" s="417">
        <v>8922885.25</v>
      </c>
      <c r="BP13" s="417">
        <v>8849971.2999999989</v>
      </c>
      <c r="BQ13" s="417">
        <v>7813729.5600000015</v>
      </c>
      <c r="BR13" s="450">
        <v>7256721.8600000022</v>
      </c>
      <c r="BS13" s="450">
        <v>9385053.7300000004</v>
      </c>
      <c r="BT13" s="450">
        <v>7317268.6600000001</v>
      </c>
      <c r="BU13" s="450">
        <v>9038044.700000003</v>
      </c>
      <c r="BV13" s="450">
        <v>7910332.6499999994</v>
      </c>
      <c r="BW13" s="450">
        <v>8674458.870000001</v>
      </c>
      <c r="BX13" s="450">
        <v>7902932.5300000012</v>
      </c>
      <c r="BY13" s="450">
        <v>11738945.810000001</v>
      </c>
      <c r="BZ13" s="450">
        <v>7865164.410000002</v>
      </c>
      <c r="CA13" s="450">
        <v>8269551.7300000014</v>
      </c>
      <c r="CB13" s="450">
        <v>8260874.8500000006</v>
      </c>
      <c r="CC13" s="450">
        <v>8496644.8100000005</v>
      </c>
      <c r="CD13" s="450">
        <v>8318895.7199999997</v>
      </c>
      <c r="CE13" s="450">
        <v>9566681.879999999</v>
      </c>
      <c r="CF13" s="450">
        <v>8228868.1500000004</v>
      </c>
      <c r="CG13" s="450">
        <v>8945266.620000001</v>
      </c>
      <c r="CH13" s="450">
        <v>8838165.0500000007</v>
      </c>
      <c r="CI13" s="450">
        <v>8999891.8099999987</v>
      </c>
      <c r="CJ13" s="450">
        <v>8987604.1400000006</v>
      </c>
      <c r="CK13" s="450">
        <v>8921564.7200000025</v>
      </c>
      <c r="CL13" s="450">
        <v>10389126.91</v>
      </c>
      <c r="CM13" s="450">
        <v>11405438.720000001</v>
      </c>
      <c r="CN13" s="450">
        <v>11489755.91</v>
      </c>
      <c r="CO13" s="450">
        <v>11848054.140000001</v>
      </c>
      <c r="CP13" s="450">
        <v>10278946.560000001</v>
      </c>
      <c r="CQ13" s="450">
        <v>10162091.91</v>
      </c>
      <c r="CR13" s="450">
        <v>11144812.370000003</v>
      </c>
      <c r="CS13" s="450">
        <v>10559682.59</v>
      </c>
      <c r="CT13" s="450">
        <v>2936739.0100000007</v>
      </c>
      <c r="CU13" s="450">
        <v>10667708.469999999</v>
      </c>
      <c r="CV13" s="450">
        <v>10051616.659999998</v>
      </c>
      <c r="CW13" s="450">
        <v>10828374.869999999</v>
      </c>
      <c r="CX13" s="450">
        <v>10704047.970000001</v>
      </c>
      <c r="CY13" s="450">
        <v>10197302.529999999</v>
      </c>
      <c r="CZ13" s="450">
        <v>10933807.130000001</v>
      </c>
      <c r="DA13" s="450">
        <v>9452738.7199999988</v>
      </c>
      <c r="DB13" s="450">
        <v>9623196.75</v>
      </c>
      <c r="DC13" s="450">
        <v>10004876.34</v>
      </c>
      <c r="DD13" s="450">
        <v>10836839.369999999</v>
      </c>
      <c r="DE13" s="756">
        <v>10289937.84</v>
      </c>
      <c r="DF13" s="450">
        <v>10658872.26</v>
      </c>
      <c r="DG13" s="756">
        <v>10816141.519999998</v>
      </c>
      <c r="DH13" s="450">
        <v>11388449.270000003</v>
      </c>
      <c r="DI13" s="450">
        <v>13809685.580000004</v>
      </c>
      <c r="DJ13" s="450">
        <v>10646212.800000001</v>
      </c>
      <c r="DK13" s="450">
        <v>11589610.57</v>
      </c>
      <c r="DL13" s="450">
        <v>12036201.48</v>
      </c>
      <c r="DM13" s="450">
        <v>10133297.039999999</v>
      </c>
      <c r="DN13" s="819">
        <v>9496298.040000001</v>
      </c>
      <c r="DO13" s="819">
        <v>10924631.790000003</v>
      </c>
      <c r="DP13" s="450">
        <v>10202309.84</v>
      </c>
      <c r="DQ13" s="450">
        <v>10103527.440000001</v>
      </c>
      <c r="DR13" s="450">
        <v>10896470.880000001</v>
      </c>
      <c r="DS13" s="450">
        <v>12718271.51</v>
      </c>
      <c r="DT13" s="450">
        <v>9979721.5499999989</v>
      </c>
      <c r="DU13" s="450">
        <v>14552383.76</v>
      </c>
      <c r="DV13" s="450">
        <v>11859828.670000002</v>
      </c>
      <c r="DW13" s="450">
        <v>11091194.499999998</v>
      </c>
      <c r="DX13" s="450">
        <v>11222752.209999999</v>
      </c>
      <c r="DY13" s="450">
        <v>10992290.48</v>
      </c>
      <c r="DZ13" s="450">
        <v>10570744.020000001</v>
      </c>
      <c r="EA13" s="450">
        <v>11346348.880000001</v>
      </c>
      <c r="EB13" s="450">
        <v>11808795.57</v>
      </c>
      <c r="EC13" s="450">
        <v>10489196.460000001</v>
      </c>
      <c r="ED13" s="450">
        <v>12746654.459999999</v>
      </c>
      <c r="EE13" s="450">
        <v>11250399.399999999</v>
      </c>
      <c r="EF13" s="450">
        <v>11186756.789999999</v>
      </c>
      <c r="EG13" s="450">
        <v>15466521.239999996</v>
      </c>
      <c r="EH13" s="450">
        <v>11817209.380000001</v>
      </c>
      <c r="EI13" s="450">
        <v>11981353.629999997</v>
      </c>
      <c r="EJ13" s="450">
        <v>13154234.879999995</v>
      </c>
      <c r="EK13" s="450">
        <v>11891382.190000001</v>
      </c>
      <c r="EL13" s="450">
        <v>11788210.339999996</v>
      </c>
      <c r="EM13" s="450">
        <v>13945951.32</v>
      </c>
      <c r="EN13" s="450">
        <v>13166863.370000001</v>
      </c>
      <c r="EO13" s="450">
        <v>12431270.190000001</v>
      </c>
      <c r="EP13" s="450">
        <v>13792995.849999996</v>
      </c>
      <c r="EQ13" s="450">
        <f>(VLOOKUP("O&amp;M Expense",'Input IS ACCTS'!$A$6:$DH$518,109,FALSE)+VLOOKUP("4073071",'Input IS ACCTS'!$A$6:$DH$518,109,FALSE)+VLOOKUP("4073072",'Input IS ACCTS'!$A$6:$DH$518,109,FALSE)+VLOOKUP("4073052",'Input IS ACCTS'!$A$5:$DH$518,109,FALSE)+VLOOKUP("4073140",'Input IS ACCTS'!$A$6:$DH$518,109,FALSE)+VLOOKUP("4073141",'Input IS ACCTS'!$A$6:$DH$518,109,FALSE)+VLOOKUP("4073212",'Input IS ACCTS'!$A$6:$DH$518,109,FALSE)+VLOOKUP("4073212",'Input IS ACCTS'!$A$6:$DH$518,109,FALSE)+VLOOKUP("4074212",'Input IS ACCTS'!$A$6:$DH$518,109,FALSE)+VLOOKUP("4130",'Input IS ACCTS'!$A$6:$DH$518,109,FALSE))</f>
        <v>13302596.949999997</v>
      </c>
      <c r="ER13" s="450">
        <f>(VLOOKUP("O&amp;M Expense",'Input IS ACCTS'!$A$6:$DH$518,110,FALSE)+VLOOKUP("4073071",'Input IS ACCTS'!$A$6:$DH$518,110,FALSE)+VLOOKUP("4073072",'Input IS ACCTS'!$A$6:$DH$518,110,FALSE)+VLOOKUP("4073052",'Input IS ACCTS'!$A$5:$DH$518,110,FALSE)+VLOOKUP("4073140",'Input IS ACCTS'!$A$6:$DH$518,110,FALSE)+VLOOKUP("4073141",'Input IS ACCTS'!$A$6:$DH$518,110,FALSE)+VLOOKUP("4073212",'Input IS ACCTS'!$A$6:$DH$518,110,FALSE)+VLOOKUP("4074212",'Input IS ACCTS'!$A$6:$DH$518,110,FALSE)+VLOOKUP("4130",'Input IS ACCTS'!$A$6:$DH$518,110,FALSE))</f>
        <v>12296445.33</v>
      </c>
      <c r="ES13" s="450">
        <f>(VLOOKUP("O&amp;M Expense",'Input IS ACCTS'!$A$6:$DH$518,111,FALSE)+VLOOKUP("4073071",'Input IS ACCTS'!$A$6:$DH$518,111,FALSE)+VLOOKUP("4073072",'Input IS ACCTS'!$A$6:$DH$518,111,FALSE)+VLOOKUP("4073052",'Input IS ACCTS'!$A$5:$DH$518,111,FALSE)+VLOOKUP("4073140",'Input IS ACCTS'!$A$6:$DH$518,111,FALSE)+VLOOKUP("4073141",'Input IS ACCTS'!$A$6:$DH$518,111,FALSE)+VLOOKUP("4073212",'Input IS ACCTS'!$A$6:$DH$518,111,FALSE)+VLOOKUP("4074212",'Input IS ACCTS'!$A$6:$DH$518,111,FALSE)+VLOOKUP("4130",'Input IS ACCTS'!$A$6:$DH$518,111,FALSE))</f>
        <v>13472778.250000002</v>
      </c>
      <c r="ET13" s="132">
        <f t="shared" ref="ET13:ET21" si="25">SUM(EH13:ES13)</f>
        <v>153041291.68000001</v>
      </c>
      <c r="EU13" s="174">
        <f t="shared" ref="EU13:EU42" si="26">ET13/1000</f>
        <v>153041.29167999999</v>
      </c>
    </row>
    <row r="14" spans="1:151">
      <c r="A14" t="s">
        <v>380</v>
      </c>
      <c r="B14" s="320">
        <f t="shared" si="23"/>
        <v>42022.467499999999</v>
      </c>
      <c r="C14" s="22"/>
      <c r="D14" s="320">
        <f t="shared" si="24"/>
        <v>4887.4409400000004</v>
      </c>
      <c r="E14" s="22"/>
      <c r="F14" s="102">
        <v>3747411</v>
      </c>
      <c r="G14" s="102">
        <v>3756052</v>
      </c>
      <c r="H14" s="102">
        <v>3776007</v>
      </c>
      <c r="I14" s="102">
        <v>3802618</v>
      </c>
      <c r="J14" s="102">
        <v>3814956</v>
      </c>
      <c r="K14" s="102">
        <v>3816945</v>
      </c>
      <c r="L14" s="102">
        <v>3826208.23</v>
      </c>
      <c r="M14" s="102">
        <v>3838114.27</v>
      </c>
      <c r="N14" s="102">
        <v>3856169.23</v>
      </c>
      <c r="O14" s="102">
        <v>3864854.1</v>
      </c>
      <c r="P14" s="138">
        <v>3879550.75</v>
      </c>
      <c r="Q14" s="107">
        <v>3902920.4</v>
      </c>
      <c r="R14" s="102">
        <v>4136485.6200000006</v>
      </c>
      <c r="S14" s="102">
        <v>4139241.89</v>
      </c>
      <c r="T14" s="102">
        <v>4175899.48</v>
      </c>
      <c r="U14" s="231">
        <v>4197432.0199999996</v>
      </c>
      <c r="V14" s="231">
        <v>3820603.32</v>
      </c>
      <c r="W14" s="231">
        <v>4139634.15</v>
      </c>
      <c r="X14" s="231">
        <v>3942543.7200000007</v>
      </c>
      <c r="Y14" s="231">
        <v>4029251.8699999996</v>
      </c>
      <c r="Z14" s="231">
        <v>4069973.52</v>
      </c>
      <c r="AA14" s="231">
        <v>4676681.84</v>
      </c>
      <c r="AB14" s="231">
        <v>4193254.21</v>
      </c>
      <c r="AC14" s="232">
        <v>4199819.4600000009</v>
      </c>
      <c r="AD14" s="232">
        <v>4203871.18</v>
      </c>
      <c r="AE14" s="232">
        <v>4292923.96</v>
      </c>
      <c r="AF14" s="232">
        <v>4301327.4000000004</v>
      </c>
      <c r="AG14" s="259">
        <v>4089366.89</v>
      </c>
      <c r="AH14" s="259">
        <v>4124320.6</v>
      </c>
      <c r="AI14" s="259">
        <v>4133270.16</v>
      </c>
      <c r="AJ14" s="327">
        <v>4139437.5899999994</v>
      </c>
      <c r="AK14" s="327">
        <v>4143387.2600000002</v>
      </c>
      <c r="AL14" s="327">
        <v>4160720.13</v>
      </c>
      <c r="AM14" s="287">
        <v>4166705.9999999991</v>
      </c>
      <c r="AN14" s="287">
        <v>4202054.04</v>
      </c>
      <c r="AO14" s="287">
        <v>4213408.72</v>
      </c>
      <c r="AP14" s="371">
        <v>4245161.26</v>
      </c>
      <c r="AQ14" s="371">
        <v>4207119.1399999997</v>
      </c>
      <c r="AR14" s="371">
        <v>4214231.42</v>
      </c>
      <c r="AS14" s="371">
        <v>4222479.62</v>
      </c>
      <c r="AT14" s="371">
        <v>4241082.46</v>
      </c>
      <c r="AU14" s="371">
        <v>4251586.87</v>
      </c>
      <c r="AV14" s="371">
        <v>4262005.4800000004</v>
      </c>
      <c r="AW14" s="371">
        <v>4298136.43</v>
      </c>
      <c r="AX14" s="371">
        <v>4316386.4000000004</v>
      </c>
      <c r="AY14" s="371">
        <v>4334447.7300000004</v>
      </c>
      <c r="AZ14" s="371">
        <v>4365072.1100000003</v>
      </c>
      <c r="BA14" s="371">
        <v>4384360.91</v>
      </c>
      <c r="BB14" s="371">
        <v>4407098.71</v>
      </c>
      <c r="BC14" s="371">
        <v>4425417.41</v>
      </c>
      <c r="BD14" s="371">
        <v>4431232.5199999996</v>
      </c>
      <c r="BE14" s="371">
        <v>4446182.9000000004</v>
      </c>
      <c r="BF14" s="371">
        <v>4467479.41</v>
      </c>
      <c r="BG14" s="371">
        <v>4488665.9000000004</v>
      </c>
      <c r="BH14" s="371">
        <v>4538000.74</v>
      </c>
      <c r="BI14" s="371">
        <v>4550526.09</v>
      </c>
      <c r="BJ14" s="371">
        <v>4562763.3</v>
      </c>
      <c r="BK14" s="371">
        <v>4584730.0999999996</v>
      </c>
      <c r="BL14" s="371">
        <v>4603963.09</v>
      </c>
      <c r="BM14" s="371">
        <v>4631851.5</v>
      </c>
      <c r="BN14" s="371">
        <v>4667147.76</v>
      </c>
      <c r="BO14" s="371">
        <v>4704864.67</v>
      </c>
      <c r="BP14" s="371">
        <v>4723345.3099999996</v>
      </c>
      <c r="BQ14" s="371">
        <v>4743484.2699999996</v>
      </c>
      <c r="BR14" s="371">
        <v>4763746.34</v>
      </c>
      <c r="BS14" s="371">
        <v>4777464.88</v>
      </c>
      <c r="BT14" s="371">
        <v>4959441.68</v>
      </c>
      <c r="BU14" s="371">
        <v>4837445.83</v>
      </c>
      <c r="BV14" s="371">
        <v>4938910.2699999996</v>
      </c>
      <c r="BW14" s="371">
        <v>4949351.38</v>
      </c>
      <c r="BX14" s="371">
        <v>5002328.6399999997</v>
      </c>
      <c r="BY14" s="371">
        <v>-11678706.08</v>
      </c>
      <c r="BZ14" s="371">
        <v>3595775.31</v>
      </c>
      <c r="CA14" s="371">
        <v>3616299.31</v>
      </c>
      <c r="CB14" s="371">
        <v>3633375.89</v>
      </c>
      <c r="CC14" s="371">
        <v>3642311.28</v>
      </c>
      <c r="CD14" s="371">
        <v>3646711.86</v>
      </c>
      <c r="CE14" s="371">
        <v>3664703.01</v>
      </c>
      <c r="CF14" s="371">
        <v>3681094.35</v>
      </c>
      <c r="CG14" s="371">
        <v>3699572.6</v>
      </c>
      <c r="CH14" s="371">
        <v>3720976.73</v>
      </c>
      <c r="CI14" s="371">
        <v>3759140.47</v>
      </c>
      <c r="CJ14" s="371">
        <v>3784764.26</v>
      </c>
      <c r="CK14" s="371">
        <v>3802460.82</v>
      </c>
      <c r="CL14" s="371">
        <v>3828881.35</v>
      </c>
      <c r="CM14" s="371">
        <v>3858918.81</v>
      </c>
      <c r="CN14" s="371">
        <v>3877230.57</v>
      </c>
      <c r="CO14" s="371">
        <v>3905747.53</v>
      </c>
      <c r="CP14" s="371">
        <v>3922730.34</v>
      </c>
      <c r="CQ14" s="371">
        <v>3962454.71</v>
      </c>
      <c r="CR14" s="371">
        <v>3982806.7</v>
      </c>
      <c r="CS14" s="371">
        <v>4002276.8</v>
      </c>
      <c r="CT14" s="371">
        <v>4045105.27</v>
      </c>
      <c r="CU14" s="371">
        <v>4031307.23</v>
      </c>
      <c r="CV14" s="371">
        <v>4072746.98</v>
      </c>
      <c r="CW14" s="371">
        <v>4134643.13</v>
      </c>
      <c r="CX14" s="371">
        <v>3107962.62</v>
      </c>
      <c r="CY14" s="371">
        <v>3127764.88</v>
      </c>
      <c r="CZ14" s="371">
        <v>3164395.09</v>
      </c>
      <c r="DA14" s="371">
        <v>3192930.59</v>
      </c>
      <c r="DB14" s="371">
        <v>3215751.7</v>
      </c>
      <c r="DC14" s="371">
        <v>3240566.32</v>
      </c>
      <c r="DD14" s="371">
        <v>3269450.45</v>
      </c>
      <c r="DE14" s="371">
        <v>3291399.24</v>
      </c>
      <c r="DF14" s="371">
        <v>3306879.04</v>
      </c>
      <c r="DG14" s="371">
        <v>3343583.3</v>
      </c>
      <c r="DH14" s="371">
        <v>3354950.57</v>
      </c>
      <c r="DI14" s="371">
        <v>3395513.35</v>
      </c>
      <c r="DJ14" s="371">
        <v>3428541.86</v>
      </c>
      <c r="DK14" s="371">
        <v>3444795.37</v>
      </c>
      <c r="DL14" s="371">
        <v>3482418.96</v>
      </c>
      <c r="DM14" s="371">
        <v>3513602.62</v>
      </c>
      <c r="DN14" s="371">
        <v>3534644.66</v>
      </c>
      <c r="DO14" s="371">
        <v>3555660.03</v>
      </c>
      <c r="DP14" s="371">
        <v>3580039.27</v>
      </c>
      <c r="DQ14" s="371">
        <v>3598451.29</v>
      </c>
      <c r="DR14" s="371">
        <v>3632403.4</v>
      </c>
      <c r="DS14" s="371">
        <v>3656996.48</v>
      </c>
      <c r="DT14" s="371">
        <v>3752982.95</v>
      </c>
      <c r="DU14" s="371">
        <v>3789137.69</v>
      </c>
      <c r="DV14" s="371">
        <v>4058861.98</v>
      </c>
      <c r="DW14" s="371">
        <v>4092393.43</v>
      </c>
      <c r="DX14" s="371">
        <v>4088038.85</v>
      </c>
      <c r="DY14" s="371">
        <v>4119088.03</v>
      </c>
      <c r="DZ14" s="371">
        <v>4253544.55</v>
      </c>
      <c r="EA14" s="371">
        <v>4279271.59</v>
      </c>
      <c r="EB14" s="371">
        <v>4304775.75</v>
      </c>
      <c r="EC14" s="371">
        <v>4323312.1900000004</v>
      </c>
      <c r="ED14" s="371">
        <v>4344549.92</v>
      </c>
      <c r="EE14" s="371">
        <v>4358337.1100000003</v>
      </c>
      <c r="EF14" s="371">
        <v>4383559.29</v>
      </c>
      <c r="EG14" s="371">
        <v>4514855.82</v>
      </c>
      <c r="EH14" s="371">
        <v>4556223.72</v>
      </c>
      <c r="EI14" s="371">
        <v>4580607.3600000003</v>
      </c>
      <c r="EJ14" s="371">
        <v>-192470.77</v>
      </c>
      <c r="EK14" s="371">
        <v>4621121.43</v>
      </c>
      <c r="EL14" s="371">
        <v>4653219.08</v>
      </c>
      <c r="EM14" s="371">
        <v>-96220.41</v>
      </c>
      <c r="EN14" s="371">
        <v>4717547.8899999997</v>
      </c>
      <c r="EO14" s="371">
        <v>4710523.5599999996</v>
      </c>
      <c r="EP14" s="371">
        <v>-42495.4</v>
      </c>
      <c r="EQ14" s="371">
        <f>(VLOOKUP("4030",'Input IS ACCTS'!$A$6:$DH$518,109,FALSE))</f>
        <v>4762167.58</v>
      </c>
      <c r="ER14" s="371">
        <f>(VLOOKUP("4030",'Input IS ACCTS'!$A$6:$DH$518,110,FALSE))</f>
        <v>4864802.5199999996</v>
      </c>
      <c r="ES14" s="371">
        <f>(VLOOKUP("4030",'Input IS ACCTS'!$A$6:$DH$518,111,FALSE))</f>
        <v>4887440.9400000004</v>
      </c>
      <c r="ET14" s="132">
        <f t="shared" si="25"/>
        <v>42022467.5</v>
      </c>
      <c r="EU14" s="174">
        <f t="shared" si="26"/>
        <v>42022.467499999999</v>
      </c>
    </row>
    <row r="15" spans="1:151">
      <c r="A15" t="s">
        <v>381</v>
      </c>
      <c r="B15" s="320">
        <f t="shared" si="23"/>
        <v>4013.3693200000002</v>
      </c>
      <c r="C15" s="22"/>
      <c r="D15" s="320">
        <f t="shared" si="24"/>
        <v>343.37844000000001</v>
      </c>
      <c r="E15" s="22"/>
      <c r="F15" s="102">
        <v>109390</v>
      </c>
      <c r="G15" s="102">
        <v>109392</v>
      </c>
      <c r="H15" s="102">
        <v>115857</v>
      </c>
      <c r="I15" s="102">
        <v>116554</v>
      </c>
      <c r="J15" s="102">
        <v>116564</v>
      </c>
      <c r="K15" s="102">
        <v>117240</v>
      </c>
      <c r="L15" s="102">
        <v>107925.79</v>
      </c>
      <c r="M15" s="102">
        <v>107757.62</v>
      </c>
      <c r="N15" s="102">
        <v>171646.9</v>
      </c>
      <c r="O15" s="102">
        <v>171654.18</v>
      </c>
      <c r="P15" s="138">
        <v>171656.4</v>
      </c>
      <c r="Q15" s="107">
        <v>171666.29</v>
      </c>
      <c r="R15" s="102">
        <v>0</v>
      </c>
      <c r="S15" s="102">
        <v>0</v>
      </c>
      <c r="T15" s="102">
        <v>0</v>
      </c>
      <c r="U15" s="231">
        <v>0</v>
      </c>
      <c r="V15" s="231">
        <v>0</v>
      </c>
      <c r="W15" s="231">
        <v>0</v>
      </c>
      <c r="X15" s="231">
        <v>129607.94000000002</v>
      </c>
      <c r="Y15" s="231">
        <v>129994.68999999999</v>
      </c>
      <c r="Z15" s="231">
        <v>129966.99</v>
      </c>
      <c r="AA15" s="231">
        <v>130250.75000000001</v>
      </c>
      <c r="AB15" s="231">
        <v>130250.75000000001</v>
      </c>
      <c r="AC15" s="232">
        <v>-650071.12</v>
      </c>
      <c r="AD15" s="245">
        <v>0</v>
      </c>
      <c r="AE15" s="245">
        <v>0</v>
      </c>
      <c r="AF15" s="232">
        <v>0</v>
      </c>
      <c r="AG15" s="259">
        <v>224522.19</v>
      </c>
      <c r="AH15" s="259">
        <v>224522.3</v>
      </c>
      <c r="AI15" s="259">
        <v>224522.34</v>
      </c>
      <c r="AJ15" s="327">
        <v>224522.36</v>
      </c>
      <c r="AK15" s="327">
        <v>224522.32</v>
      </c>
      <c r="AL15" s="327">
        <v>228197.62</v>
      </c>
      <c r="AM15" s="287">
        <v>228450.72</v>
      </c>
      <c r="AN15" s="287">
        <v>-1313179.76</v>
      </c>
      <c r="AO15" s="287">
        <v>150794.13</v>
      </c>
      <c r="AP15" s="371">
        <v>147191.46</v>
      </c>
      <c r="AQ15" s="371">
        <v>150189.5</v>
      </c>
      <c r="AR15" s="371">
        <v>150194.57999999999</v>
      </c>
      <c r="AS15" s="371">
        <v>150194.63</v>
      </c>
      <c r="AT15" s="371">
        <v>150484.89000000001</v>
      </c>
      <c r="AU15" s="371">
        <v>150486.68</v>
      </c>
      <c r="AV15" s="371">
        <v>150488.16</v>
      </c>
      <c r="AW15" s="371">
        <v>148336.57999999999</v>
      </c>
      <c r="AX15" s="371">
        <v>154584.12</v>
      </c>
      <c r="AY15" s="371">
        <v>154782.59</v>
      </c>
      <c r="AZ15" s="371">
        <v>154803.57999999999</v>
      </c>
      <c r="BA15" s="371">
        <v>154804.53</v>
      </c>
      <c r="BB15" s="371">
        <v>154806.53</v>
      </c>
      <c r="BC15" s="371">
        <v>154806.63</v>
      </c>
      <c r="BD15" s="371">
        <v>134962.85</v>
      </c>
      <c r="BE15" s="371">
        <v>135733.29</v>
      </c>
      <c r="BF15" s="371">
        <v>147032.15</v>
      </c>
      <c r="BG15" s="371">
        <v>146988.38</v>
      </c>
      <c r="BH15" s="371">
        <v>147053.41</v>
      </c>
      <c r="BI15" s="371">
        <v>148150.35999999999</v>
      </c>
      <c r="BJ15" s="371">
        <v>148668.26999999999</v>
      </c>
      <c r="BK15" s="371">
        <v>149307.07999999999</v>
      </c>
      <c r="BL15" s="371">
        <v>148928.76</v>
      </c>
      <c r="BM15" s="371">
        <v>149025.72</v>
      </c>
      <c r="BN15" s="371">
        <v>149157.06</v>
      </c>
      <c r="BO15" s="371">
        <v>149157.44</v>
      </c>
      <c r="BP15" s="371">
        <v>149159.98000000001</v>
      </c>
      <c r="BQ15" s="371">
        <v>149093.32999999999</v>
      </c>
      <c r="BR15" s="371">
        <v>149095.4</v>
      </c>
      <c r="BS15" s="371">
        <v>149095.99</v>
      </c>
      <c r="BT15" s="371">
        <v>151055.9</v>
      </c>
      <c r="BU15" s="371">
        <v>158659.17000000001</v>
      </c>
      <c r="BV15" s="371">
        <v>158665.84</v>
      </c>
      <c r="BW15" s="371">
        <v>158827.91</v>
      </c>
      <c r="BX15" s="371">
        <v>160395.59</v>
      </c>
      <c r="BY15" s="371">
        <v>160906.1</v>
      </c>
      <c r="BZ15" s="371">
        <v>155958.22</v>
      </c>
      <c r="CA15" s="371">
        <v>155958.41</v>
      </c>
      <c r="CB15" s="371">
        <v>155959.65</v>
      </c>
      <c r="CC15" s="371">
        <v>158368.13</v>
      </c>
      <c r="CD15" s="371">
        <v>157782.47</v>
      </c>
      <c r="CE15" s="371">
        <v>157809.01999999999</v>
      </c>
      <c r="CF15" s="371">
        <v>158117.35999999999</v>
      </c>
      <c r="CG15" s="371">
        <v>158131.23000000001</v>
      </c>
      <c r="CH15" s="371">
        <v>158476.85</v>
      </c>
      <c r="CI15" s="371">
        <v>158503.75</v>
      </c>
      <c r="CJ15" s="371">
        <v>158595.5</v>
      </c>
      <c r="CK15" s="371">
        <v>158595.15</v>
      </c>
      <c r="CL15" s="371">
        <v>160184.29999999999</v>
      </c>
      <c r="CM15" s="371">
        <v>160187.41</v>
      </c>
      <c r="CN15" s="371">
        <v>160210.32999999999</v>
      </c>
      <c r="CO15" s="371">
        <v>161347.1</v>
      </c>
      <c r="CP15" s="371">
        <v>161706.65</v>
      </c>
      <c r="CQ15" s="371">
        <v>161723.91</v>
      </c>
      <c r="CR15" s="371">
        <v>161648.19</v>
      </c>
      <c r="CS15" s="371">
        <v>163599.94</v>
      </c>
      <c r="CT15" s="371">
        <v>163761.54</v>
      </c>
      <c r="CU15" s="371">
        <v>163948.59</v>
      </c>
      <c r="CV15" s="371">
        <v>168391.29</v>
      </c>
      <c r="CW15" s="371">
        <v>168590.2</v>
      </c>
      <c r="CX15" s="371">
        <v>175750.58</v>
      </c>
      <c r="CY15" s="371">
        <v>176244.21</v>
      </c>
      <c r="CZ15" s="371">
        <v>176111.99</v>
      </c>
      <c r="DA15" s="371">
        <v>176101.6</v>
      </c>
      <c r="DB15" s="371">
        <v>176152.95</v>
      </c>
      <c r="DC15" s="371">
        <v>172556.62</v>
      </c>
      <c r="DD15" s="371">
        <v>172563.25</v>
      </c>
      <c r="DE15" s="371">
        <v>172487.48</v>
      </c>
      <c r="DF15" s="371">
        <v>172554.12</v>
      </c>
      <c r="DG15" s="371">
        <v>178817.54</v>
      </c>
      <c r="DH15" s="371">
        <v>179457.42</v>
      </c>
      <c r="DI15" s="371">
        <v>180492.46</v>
      </c>
      <c r="DJ15" s="371">
        <v>186368.99</v>
      </c>
      <c r="DK15" s="371">
        <v>184231.94</v>
      </c>
      <c r="DL15" s="371">
        <v>185353.5</v>
      </c>
      <c r="DM15" s="371">
        <v>184520.25</v>
      </c>
      <c r="DN15" s="371">
        <v>184391.25</v>
      </c>
      <c r="DO15" s="371">
        <v>184507.58</v>
      </c>
      <c r="DP15" s="371">
        <v>185260.31</v>
      </c>
      <c r="DQ15" s="371">
        <v>185376.15</v>
      </c>
      <c r="DR15" s="371">
        <v>183665.84</v>
      </c>
      <c r="DS15" s="371">
        <v>183812.57</v>
      </c>
      <c r="DT15" s="371">
        <v>274286.36</v>
      </c>
      <c r="DU15" s="371">
        <v>274706.28999999998</v>
      </c>
      <c r="DV15" s="371">
        <v>270651.27</v>
      </c>
      <c r="DW15" s="371">
        <v>270886.17</v>
      </c>
      <c r="DX15" s="371">
        <v>271218.26</v>
      </c>
      <c r="DY15" s="371">
        <v>285406.7</v>
      </c>
      <c r="DZ15" s="371">
        <v>301060.37</v>
      </c>
      <c r="EA15" s="371">
        <v>302455.27</v>
      </c>
      <c r="EB15" s="371">
        <v>303895.84999999998</v>
      </c>
      <c r="EC15" s="371">
        <v>305319.11</v>
      </c>
      <c r="ED15" s="371">
        <v>305870.89</v>
      </c>
      <c r="EE15" s="371">
        <v>306026.75</v>
      </c>
      <c r="EF15" s="371">
        <v>306171.98</v>
      </c>
      <c r="EG15" s="371">
        <v>306369.34999999998</v>
      </c>
      <c r="EH15" s="371">
        <v>306480.17</v>
      </c>
      <c r="EI15" s="371">
        <v>306715.53999999998</v>
      </c>
      <c r="EJ15" s="371">
        <v>339061.6</v>
      </c>
      <c r="EK15" s="371">
        <v>339744.77</v>
      </c>
      <c r="EL15" s="371">
        <v>339862.64</v>
      </c>
      <c r="EM15" s="371">
        <v>340197.19</v>
      </c>
      <c r="EN15" s="371">
        <v>339366.82</v>
      </c>
      <c r="EO15" s="371">
        <v>339490.01</v>
      </c>
      <c r="EP15" s="371">
        <v>339472.62</v>
      </c>
      <c r="EQ15" s="371">
        <f>(VLOOKUP("4043",'Input IS ACCTS'!$A$6:$DH$518,109,FALSE))</f>
        <v>339739.91</v>
      </c>
      <c r="ER15" s="371">
        <f>(VLOOKUP("4043",'Input IS ACCTS'!$A$6:$DH$518,110,FALSE))</f>
        <v>339859.61</v>
      </c>
      <c r="ES15" s="371">
        <f>(VLOOKUP("4043",'Input IS ACCTS'!$A$6:$DH$518,111,FALSE))</f>
        <v>343378.44</v>
      </c>
      <c r="ET15" s="132">
        <f t="shared" si="25"/>
        <v>4013369.3200000003</v>
      </c>
      <c r="EU15" s="174">
        <f t="shared" si="26"/>
        <v>4013.3693200000002</v>
      </c>
    </row>
    <row r="16" spans="1:151">
      <c r="A16" t="s">
        <v>382</v>
      </c>
      <c r="B16" s="320">
        <f t="shared" si="23"/>
        <v>0</v>
      </c>
      <c r="C16" s="22"/>
      <c r="D16" s="320">
        <f t="shared" si="24"/>
        <v>0</v>
      </c>
      <c r="E16" s="22"/>
      <c r="F16" s="102">
        <v>12429</v>
      </c>
      <c r="G16" s="102">
        <v>12429</v>
      </c>
      <c r="H16" s="102">
        <v>12429</v>
      </c>
      <c r="I16" s="102">
        <v>14617</v>
      </c>
      <c r="J16" s="102">
        <v>12429</v>
      </c>
      <c r="K16" s="102">
        <v>12429</v>
      </c>
      <c r="L16" s="102">
        <v>12428.82</v>
      </c>
      <c r="M16" s="102">
        <v>12428.82</v>
      </c>
      <c r="N16" s="102">
        <v>12428.82</v>
      </c>
      <c r="O16" s="102">
        <v>12428.82</v>
      </c>
      <c r="P16" s="138">
        <v>12428.82</v>
      </c>
      <c r="Q16" s="107">
        <v>12428.82</v>
      </c>
      <c r="R16" s="102">
        <v>0</v>
      </c>
      <c r="S16" s="102">
        <v>0</v>
      </c>
      <c r="T16" s="102">
        <v>0</v>
      </c>
      <c r="U16" s="231">
        <v>0</v>
      </c>
      <c r="V16" s="231">
        <v>0</v>
      </c>
      <c r="W16" s="231">
        <v>0</v>
      </c>
      <c r="X16" s="231">
        <v>87001.74</v>
      </c>
      <c r="Y16" s="231">
        <v>12428.82</v>
      </c>
      <c r="Z16" s="231">
        <v>12428.82</v>
      </c>
      <c r="AA16" s="231">
        <v>12428.82</v>
      </c>
      <c r="AB16" s="231">
        <v>12428.82</v>
      </c>
      <c r="AC16" s="232">
        <v>12428.82</v>
      </c>
      <c r="AD16" s="245">
        <v>12428.82</v>
      </c>
      <c r="AE16" s="245">
        <v>12428.82</v>
      </c>
      <c r="AF16" s="232">
        <v>12428.82</v>
      </c>
      <c r="AG16" s="259">
        <v>12428.82</v>
      </c>
      <c r="AH16" s="259">
        <v>12428.82</v>
      </c>
      <c r="AI16" s="259">
        <v>12428.82</v>
      </c>
      <c r="AJ16" s="327">
        <v>12428.82</v>
      </c>
      <c r="AK16" s="327">
        <v>12428.82</v>
      </c>
      <c r="AL16" s="327">
        <v>12428.82</v>
      </c>
      <c r="AM16" s="287">
        <v>12428.82</v>
      </c>
      <c r="AN16" s="287">
        <v>12428.82</v>
      </c>
      <c r="AO16" s="287">
        <v>12428.82</v>
      </c>
      <c r="AP16" s="371">
        <v>12428.82</v>
      </c>
      <c r="AQ16" s="371">
        <v>12428.82</v>
      </c>
      <c r="AR16" s="371">
        <v>12428.82</v>
      </c>
      <c r="AS16" s="371">
        <v>12428.82</v>
      </c>
      <c r="AT16" s="371">
        <v>12428.82</v>
      </c>
      <c r="AU16" s="371">
        <v>12428.82</v>
      </c>
      <c r="AV16" s="371">
        <v>12428.82</v>
      </c>
      <c r="AW16" s="371">
        <v>12428.82</v>
      </c>
      <c r="AX16" s="371">
        <v>12428.82</v>
      </c>
      <c r="AY16" s="371">
        <v>12428.82</v>
      </c>
      <c r="AZ16" s="371">
        <v>12428.82</v>
      </c>
      <c r="BA16" s="371">
        <v>12428.82</v>
      </c>
      <c r="BB16" s="371">
        <v>12428.82</v>
      </c>
      <c r="BC16" s="371">
        <v>12428.82</v>
      </c>
      <c r="BD16" s="371">
        <v>12428.82</v>
      </c>
      <c r="BE16" s="371">
        <v>12428.82</v>
      </c>
      <c r="BF16" s="371">
        <v>12428.82</v>
      </c>
      <c r="BG16" s="371">
        <v>12428.82</v>
      </c>
      <c r="BH16" s="371">
        <v>12428.82</v>
      </c>
      <c r="BI16" s="371">
        <v>12428.82</v>
      </c>
      <c r="BJ16" s="371">
        <v>12428.82</v>
      </c>
      <c r="BK16" s="371">
        <v>12428.82</v>
      </c>
      <c r="BL16" s="371">
        <v>12428.82</v>
      </c>
      <c r="BM16" s="371">
        <v>12428.82</v>
      </c>
      <c r="BN16" s="371">
        <v>12428.82</v>
      </c>
      <c r="BO16" s="371">
        <v>12428.82</v>
      </c>
      <c r="BP16" s="371">
        <v>12428.82</v>
      </c>
      <c r="BQ16" s="371">
        <v>12428.82</v>
      </c>
      <c r="BR16" s="371">
        <v>12428.82</v>
      </c>
      <c r="BS16" s="371">
        <v>12428.82</v>
      </c>
      <c r="BT16" s="371">
        <v>12428.82</v>
      </c>
      <c r="BU16" s="371">
        <v>12428.82</v>
      </c>
      <c r="BV16" s="371">
        <v>12428.82</v>
      </c>
      <c r="BW16" s="371">
        <v>12428.82</v>
      </c>
      <c r="BX16" s="371">
        <v>12428.82</v>
      </c>
      <c r="BY16" s="371">
        <v>12428.82</v>
      </c>
      <c r="BZ16" s="371">
        <v>12428.82</v>
      </c>
      <c r="CA16" s="371">
        <v>12428.82</v>
      </c>
      <c r="CB16" s="371">
        <v>12428.82</v>
      </c>
      <c r="CC16" s="371">
        <v>12428.82</v>
      </c>
      <c r="CD16" s="371">
        <v>12428.82</v>
      </c>
      <c r="CE16" s="371">
        <v>12428.82</v>
      </c>
      <c r="CF16" s="371">
        <v>12428.82</v>
      </c>
      <c r="CG16" s="371">
        <v>12428.82</v>
      </c>
      <c r="CH16" s="371">
        <v>12428.82</v>
      </c>
      <c r="CI16" s="371">
        <v>12428.82</v>
      </c>
      <c r="CJ16" s="371">
        <v>12428.82</v>
      </c>
      <c r="CK16" s="371">
        <v>12428.82</v>
      </c>
      <c r="CL16" s="371">
        <v>12428.82</v>
      </c>
      <c r="CM16" s="371">
        <v>12428.82</v>
      </c>
      <c r="CN16" s="371">
        <v>12428.82</v>
      </c>
      <c r="CO16" s="371">
        <v>12428.82</v>
      </c>
      <c r="CP16" s="371">
        <v>12428.82</v>
      </c>
      <c r="CQ16" s="371">
        <v>12428.82</v>
      </c>
      <c r="CR16" s="371">
        <v>12428.82</v>
      </c>
      <c r="CS16" s="371">
        <v>12428.82</v>
      </c>
      <c r="CT16" s="371">
        <v>12428.82</v>
      </c>
      <c r="CU16" s="371">
        <v>12428.82</v>
      </c>
      <c r="CV16" s="371">
        <v>12428.82</v>
      </c>
      <c r="CW16" s="371">
        <v>12428.82</v>
      </c>
      <c r="CX16" s="371">
        <v>12428.82</v>
      </c>
      <c r="CY16" s="371">
        <v>12428.82</v>
      </c>
      <c r="CZ16" s="371">
        <v>12428.82</v>
      </c>
      <c r="DA16" s="371">
        <v>12428.82</v>
      </c>
      <c r="DB16" s="371">
        <v>12428.82</v>
      </c>
      <c r="DC16" s="371">
        <v>12428.82</v>
      </c>
      <c r="DD16" s="371">
        <v>12428.82</v>
      </c>
      <c r="DE16" s="371">
        <v>12428.82</v>
      </c>
      <c r="DF16" s="371">
        <v>12428.82</v>
      </c>
      <c r="DG16" s="371">
        <v>12428.82</v>
      </c>
      <c r="DH16" s="371">
        <v>12428.82</v>
      </c>
      <c r="DI16" s="371">
        <v>12428.82</v>
      </c>
      <c r="DJ16" s="371">
        <v>12428.82</v>
      </c>
      <c r="DK16" s="371">
        <v>12428.82</v>
      </c>
      <c r="DL16" s="371">
        <v>12428.82</v>
      </c>
      <c r="DM16" s="371">
        <v>12428.82</v>
      </c>
      <c r="DN16" s="371">
        <v>12428.82</v>
      </c>
      <c r="DO16" s="371">
        <v>12428.82</v>
      </c>
      <c r="DP16" s="371">
        <v>12428.82</v>
      </c>
      <c r="DQ16" s="371">
        <v>12428.82</v>
      </c>
      <c r="DR16" s="371">
        <v>12428.82</v>
      </c>
      <c r="DS16" s="371">
        <v>5949.73</v>
      </c>
      <c r="DT16" s="371">
        <v>5949.73</v>
      </c>
      <c r="DU16" s="371">
        <v>5949.73</v>
      </c>
      <c r="DV16" s="371">
        <v>5949.73</v>
      </c>
      <c r="DW16" s="371">
        <v>5949.73</v>
      </c>
      <c r="DX16" s="371">
        <v>5949.73</v>
      </c>
      <c r="DY16" s="371">
        <v>5949.73</v>
      </c>
      <c r="DZ16" s="371">
        <v>5949.73</v>
      </c>
      <c r="EA16" s="371">
        <v>5949.73</v>
      </c>
      <c r="EB16" s="371">
        <v>5949.73</v>
      </c>
      <c r="EC16" s="371">
        <v>-687.37</v>
      </c>
      <c r="ED16" s="371">
        <v>0</v>
      </c>
      <c r="EE16" s="371">
        <v>0</v>
      </c>
      <c r="EF16" s="371">
        <v>0</v>
      </c>
      <c r="EG16" s="371">
        <v>0</v>
      </c>
      <c r="EH16" s="371">
        <v>0</v>
      </c>
      <c r="EI16" s="371">
        <v>0</v>
      </c>
      <c r="EJ16" s="371">
        <v>0</v>
      </c>
      <c r="EK16" s="371">
        <v>0</v>
      </c>
      <c r="EL16" s="371">
        <v>0</v>
      </c>
      <c r="EM16" s="371">
        <v>0</v>
      </c>
      <c r="EN16" s="371">
        <v>0</v>
      </c>
      <c r="EO16" s="371">
        <v>0</v>
      </c>
      <c r="EP16" s="371">
        <v>0</v>
      </c>
      <c r="EQ16" s="371">
        <f>(VLOOKUP("4060",'Input IS ACCTS'!$A$6:$DH$518,109,FALSE))</f>
        <v>0</v>
      </c>
      <c r="ER16" s="371">
        <f>(VLOOKUP("4060",'Input IS ACCTS'!$A$6:$DH$518,110,FALSE))</f>
        <v>0</v>
      </c>
      <c r="ES16" s="371">
        <f>(VLOOKUP("4060",'Input IS ACCTS'!$A$6:$DH$518,111,FALSE))</f>
        <v>0</v>
      </c>
      <c r="ET16" s="132">
        <f t="shared" si="25"/>
        <v>0</v>
      </c>
      <c r="EU16" s="174">
        <f t="shared" si="26"/>
        <v>0</v>
      </c>
    </row>
    <row r="17" spans="1:151">
      <c r="A17" t="s">
        <v>383</v>
      </c>
      <c r="B17" s="320">
        <f t="shared" si="23"/>
        <v>999.99995999999987</v>
      </c>
      <c r="C17" s="22"/>
      <c r="D17" s="320">
        <f t="shared" si="24"/>
        <v>83.333330000000004</v>
      </c>
      <c r="E17" s="22"/>
      <c r="F17" s="102">
        <v>53333</v>
      </c>
      <c r="G17" s="102">
        <v>53333</v>
      </c>
      <c r="H17" s="102">
        <v>53333</v>
      </c>
      <c r="I17" s="102">
        <v>53333</v>
      </c>
      <c r="J17" s="102">
        <v>53333</v>
      </c>
      <c r="K17" s="102">
        <v>53333</v>
      </c>
      <c r="L17" s="102">
        <v>53333</v>
      </c>
      <c r="M17" s="102">
        <v>53333</v>
      </c>
      <c r="N17" s="102">
        <v>53333</v>
      </c>
      <c r="O17" s="102">
        <v>53333</v>
      </c>
      <c r="P17" s="138">
        <v>53333</v>
      </c>
      <c r="Q17" s="107">
        <v>53333</v>
      </c>
      <c r="R17" s="102">
        <v>53333</v>
      </c>
      <c r="S17" s="102">
        <v>53333</v>
      </c>
      <c r="T17" s="102">
        <v>53333</v>
      </c>
      <c r="U17" s="231">
        <v>53333</v>
      </c>
      <c r="V17" s="231">
        <v>53333</v>
      </c>
      <c r="W17" s="231">
        <v>53333</v>
      </c>
      <c r="X17" s="231">
        <v>53333</v>
      </c>
      <c r="Y17" s="231">
        <v>53333</v>
      </c>
      <c r="Z17" s="231">
        <v>53333</v>
      </c>
      <c r="AA17" s="231">
        <v>53333</v>
      </c>
      <c r="AB17" s="231">
        <v>53333</v>
      </c>
      <c r="AC17" s="232">
        <v>53333</v>
      </c>
      <c r="AD17" s="245">
        <v>53333</v>
      </c>
      <c r="AE17" s="245">
        <v>53333</v>
      </c>
      <c r="AF17" s="232">
        <v>53333</v>
      </c>
      <c r="AG17" s="259">
        <v>53333</v>
      </c>
      <c r="AH17" s="259">
        <v>53333</v>
      </c>
      <c r="AI17" s="259">
        <v>0</v>
      </c>
      <c r="AJ17" s="327">
        <v>106666</v>
      </c>
      <c r="AK17" s="327">
        <v>53333</v>
      </c>
      <c r="AL17" s="327">
        <v>53333</v>
      </c>
      <c r="AM17" s="287">
        <v>53333</v>
      </c>
      <c r="AN17" s="287">
        <v>53333</v>
      </c>
      <c r="AO17" s="287">
        <v>53333</v>
      </c>
      <c r="AP17" s="373">
        <v>53333</v>
      </c>
      <c r="AQ17" s="373">
        <v>53333</v>
      </c>
      <c r="AR17" s="373">
        <v>53333</v>
      </c>
      <c r="AS17" s="373">
        <v>53333</v>
      </c>
      <c r="AT17" s="373">
        <v>53333</v>
      </c>
      <c r="AU17" s="373">
        <v>53333</v>
      </c>
      <c r="AV17" s="373">
        <v>53333</v>
      </c>
      <c r="AW17" s="373">
        <v>53333</v>
      </c>
      <c r="AX17" s="373">
        <v>53333</v>
      </c>
      <c r="AY17" s="373">
        <v>53333</v>
      </c>
      <c r="AZ17" s="373">
        <v>53333</v>
      </c>
      <c r="BA17" s="373">
        <v>53333</v>
      </c>
      <c r="BB17" s="373">
        <v>53333</v>
      </c>
      <c r="BC17" s="373">
        <v>53333</v>
      </c>
      <c r="BD17" s="373">
        <v>53333</v>
      </c>
      <c r="BE17" s="373">
        <v>53333</v>
      </c>
      <c r="BF17" s="373">
        <v>53333</v>
      </c>
      <c r="BG17" s="373">
        <v>53333</v>
      </c>
      <c r="BH17" s="373">
        <v>53333</v>
      </c>
      <c r="BI17" s="373">
        <v>53333</v>
      </c>
      <c r="BJ17" s="373">
        <v>53333</v>
      </c>
      <c r="BK17" s="373">
        <v>53333</v>
      </c>
      <c r="BL17" s="373">
        <v>53333</v>
      </c>
      <c r="BM17" s="373">
        <v>53333</v>
      </c>
      <c r="BN17" s="373">
        <v>53333</v>
      </c>
      <c r="BO17" s="373">
        <v>53333</v>
      </c>
      <c r="BP17" s="373">
        <v>53333</v>
      </c>
      <c r="BQ17" s="373">
        <v>53333</v>
      </c>
      <c r="BR17" s="373">
        <v>53333</v>
      </c>
      <c r="BS17" s="373">
        <v>53333</v>
      </c>
      <c r="BT17" s="373">
        <v>53333</v>
      </c>
      <c r="BU17" s="373">
        <v>53333</v>
      </c>
      <c r="BV17" s="373">
        <v>53333</v>
      </c>
      <c r="BW17" s="373">
        <v>53333</v>
      </c>
      <c r="BX17" s="373">
        <v>53333</v>
      </c>
      <c r="BY17" s="373">
        <v>16053333</v>
      </c>
      <c r="BZ17" s="373">
        <v>470000</v>
      </c>
      <c r="CA17" s="373">
        <v>470000</v>
      </c>
      <c r="CB17" s="373">
        <v>470000</v>
      </c>
      <c r="CC17" s="373">
        <v>470000</v>
      </c>
      <c r="CD17" s="373">
        <v>470000</v>
      </c>
      <c r="CE17" s="373">
        <v>470000</v>
      </c>
      <c r="CF17" s="373">
        <v>470000</v>
      </c>
      <c r="CG17" s="373">
        <v>470000</v>
      </c>
      <c r="CH17" s="373">
        <v>470000</v>
      </c>
      <c r="CI17" s="373">
        <v>470000</v>
      </c>
      <c r="CJ17" s="373">
        <v>470000</v>
      </c>
      <c r="CK17" s="373">
        <v>-755743</v>
      </c>
      <c r="CL17" s="373">
        <v>0</v>
      </c>
      <c r="CM17" s="373">
        <v>583333.34</v>
      </c>
      <c r="CN17" s="373">
        <v>2916666.68</v>
      </c>
      <c r="CO17" s="373">
        <v>0</v>
      </c>
      <c r="CP17" s="373">
        <v>0</v>
      </c>
      <c r="CQ17" s="373">
        <v>0</v>
      </c>
      <c r="CR17" s="373">
        <v>0</v>
      </c>
      <c r="CS17" s="373">
        <v>0</v>
      </c>
      <c r="CT17" s="373">
        <v>6517958</v>
      </c>
      <c r="CU17" s="373">
        <v>463895</v>
      </c>
      <c r="CV17" s="373">
        <v>463895</v>
      </c>
      <c r="CW17" s="373">
        <v>0</v>
      </c>
      <c r="CX17" s="373">
        <v>0</v>
      </c>
      <c r="CY17" s="373">
        <v>0</v>
      </c>
      <c r="CZ17" s="373">
        <v>0</v>
      </c>
      <c r="DA17" s="373">
        <v>0</v>
      </c>
      <c r="DB17" s="373">
        <v>0</v>
      </c>
      <c r="DC17" s="373">
        <v>0</v>
      </c>
      <c r="DD17" s="373">
        <v>0</v>
      </c>
      <c r="DE17" s="373">
        <v>0</v>
      </c>
      <c r="DF17" s="373">
        <v>0</v>
      </c>
      <c r="DG17" s="373">
        <v>0</v>
      </c>
      <c r="DH17" s="373">
        <v>0</v>
      </c>
      <c r="DI17" s="373">
        <v>0</v>
      </c>
      <c r="DJ17" s="373">
        <v>0</v>
      </c>
      <c r="DK17" s="373">
        <v>0</v>
      </c>
      <c r="DL17" s="373">
        <v>0</v>
      </c>
      <c r="DM17" s="373">
        <v>0</v>
      </c>
      <c r="DN17" s="373">
        <v>0</v>
      </c>
      <c r="DO17" s="373">
        <v>0</v>
      </c>
      <c r="DP17" s="373">
        <v>0</v>
      </c>
      <c r="DQ17" s="373">
        <v>0</v>
      </c>
      <c r="DR17" s="373">
        <v>0</v>
      </c>
      <c r="DS17" s="373">
        <v>0</v>
      </c>
      <c r="DT17" s="373">
        <v>0</v>
      </c>
      <c r="DU17" s="373">
        <v>0</v>
      </c>
      <c r="DV17" s="373">
        <v>83333.33</v>
      </c>
      <c r="DW17" s="373">
        <v>83333.33</v>
      </c>
      <c r="DX17" s="373">
        <v>83333.33</v>
      </c>
      <c r="DY17" s="373">
        <v>83333.33</v>
      </c>
      <c r="DZ17" s="373">
        <v>83333.33</v>
      </c>
      <c r="EA17" s="373">
        <v>83333.33</v>
      </c>
      <c r="EB17" s="373">
        <v>83333.33</v>
      </c>
      <c r="EC17" s="373">
        <v>83333.33</v>
      </c>
      <c r="ED17" s="373">
        <v>83333.33</v>
      </c>
      <c r="EE17" s="373">
        <v>83333.33</v>
      </c>
      <c r="EF17" s="373">
        <v>83333.33</v>
      </c>
      <c r="EG17" s="373">
        <v>83333.33</v>
      </c>
      <c r="EH17" s="373">
        <v>83333.33</v>
      </c>
      <c r="EI17" s="373">
        <v>83333.33</v>
      </c>
      <c r="EJ17" s="373">
        <v>83333.33</v>
      </c>
      <c r="EK17" s="373">
        <v>83333.33</v>
      </c>
      <c r="EL17" s="373">
        <v>83333.33</v>
      </c>
      <c r="EM17" s="373">
        <v>83333.33</v>
      </c>
      <c r="EN17" s="373">
        <v>83333.33</v>
      </c>
      <c r="EO17" s="373">
        <v>83333.33</v>
      </c>
      <c r="EP17" s="373">
        <v>83333.33</v>
      </c>
      <c r="EQ17" s="373">
        <f>VLOOKUP("6800050",'Input IS ACCTS'!$A$6:$DH$518,109,FALSE)+VLOOKUP("6800100",'Input IS ACCTS'!$A$6:$DH$518,109,FALSE)</f>
        <v>83333.33</v>
      </c>
      <c r="ER17" s="373">
        <f>VLOOKUP("6800050",'Input IS ACCTS'!$A$6:$DH$518,110,FALSE)+VLOOKUP("6800100",'Input IS ACCTS'!$A$6:$DH$518,110,FALSE)</f>
        <v>83333.33</v>
      </c>
      <c r="ES17" s="373">
        <f>VLOOKUP("6800050",'Input IS ACCTS'!$A$6:$DH$518,111,FALSE)+VLOOKUP("6800100",'Input IS ACCTS'!$A$6:$DH$518,111,FALSE)</f>
        <v>83333.33</v>
      </c>
      <c r="ET17" s="132">
        <f t="shared" si="25"/>
        <v>999999.95999999985</v>
      </c>
      <c r="EU17" s="174">
        <f t="shared" si="26"/>
        <v>999.99995999999987</v>
      </c>
    </row>
    <row r="18" spans="1:151">
      <c r="A18" t="s">
        <v>384</v>
      </c>
      <c r="B18" s="320">
        <f t="shared" si="23"/>
        <v>53866.712039999999</v>
      </c>
      <c r="C18" s="22"/>
      <c r="D18" s="320">
        <f t="shared" si="24"/>
        <v>5357.7177899999997</v>
      </c>
      <c r="E18" s="22"/>
      <c r="F18" s="102">
        <v>4570834</v>
      </c>
      <c r="G18" s="102">
        <v>4405906</v>
      </c>
      <c r="H18" s="102">
        <v>3504322</v>
      </c>
      <c r="I18" s="102">
        <v>3197233</v>
      </c>
      <c r="J18" s="102">
        <v>2817622</v>
      </c>
      <c r="K18" s="102">
        <v>2836030</v>
      </c>
      <c r="L18" s="102">
        <v>2413383.92</v>
      </c>
      <c r="M18" s="102">
        <v>2295845.7000000002</v>
      </c>
      <c r="N18" s="102">
        <v>2205612.17</v>
      </c>
      <c r="O18" s="102">
        <v>2316906.31</v>
      </c>
      <c r="P18" s="138">
        <v>2262394.4500000002</v>
      </c>
      <c r="Q18" s="107">
        <v>2989602.55</v>
      </c>
      <c r="R18" s="102">
        <v>3457356.1299999994</v>
      </c>
      <c r="S18" s="102">
        <v>3179808.2800000003</v>
      </c>
      <c r="T18" s="102">
        <v>2898077.9499999997</v>
      </c>
      <c r="U18" s="231">
        <v>2784552.89</v>
      </c>
      <c r="V18" s="231">
        <v>2545751.1399999997</v>
      </c>
      <c r="W18" s="231">
        <v>2528626.3200000003</v>
      </c>
      <c r="X18" s="231">
        <v>2470716.79</v>
      </c>
      <c r="Y18" s="231">
        <v>2408975.5400000005</v>
      </c>
      <c r="Z18" s="231">
        <v>2284097.33</v>
      </c>
      <c r="AA18" s="231">
        <v>2393649.1699999995</v>
      </c>
      <c r="AB18" s="231">
        <v>2723482.0400000005</v>
      </c>
      <c r="AC18" s="232">
        <v>2745644.82</v>
      </c>
      <c r="AD18" s="245">
        <v>3361509.58</v>
      </c>
      <c r="AE18" s="245">
        <v>3311222.75</v>
      </c>
      <c r="AF18" s="232">
        <v>3210628.1</v>
      </c>
      <c r="AG18" s="259">
        <v>3208422.0599999996</v>
      </c>
      <c r="AH18" s="259">
        <v>2834167.93</v>
      </c>
      <c r="AI18" s="259">
        <v>2511579.1</v>
      </c>
      <c r="AJ18" s="327">
        <v>2334528.6999999997</v>
      </c>
      <c r="AK18" s="327">
        <v>2419072.7200000007</v>
      </c>
      <c r="AL18" s="327">
        <v>2455521.7400000002</v>
      </c>
      <c r="AM18" s="287">
        <v>2557750.5700000003</v>
      </c>
      <c r="AN18" s="287">
        <v>2080247.7599999998</v>
      </c>
      <c r="AO18" s="287">
        <v>2818686.1699999995</v>
      </c>
      <c r="AP18" s="396">
        <v>3900728.63</v>
      </c>
      <c r="AQ18" s="396">
        <v>3576790.95</v>
      </c>
      <c r="AR18" s="396">
        <v>3236058.27</v>
      </c>
      <c r="AS18" s="396">
        <v>3026048.36</v>
      </c>
      <c r="AT18" s="396">
        <v>2806888.43</v>
      </c>
      <c r="AU18" s="396">
        <v>2620717.92</v>
      </c>
      <c r="AV18" s="396">
        <v>2518056.41</v>
      </c>
      <c r="AW18" s="396">
        <v>2150955.4900000002</v>
      </c>
      <c r="AX18" s="396">
        <v>2559103.38</v>
      </c>
      <c r="AY18" s="402">
        <v>2601447.5099999998</v>
      </c>
      <c r="AZ18" s="402">
        <v>2764179.48</v>
      </c>
      <c r="BA18" s="402">
        <v>3351238.9</v>
      </c>
      <c r="BB18" s="402">
        <v>3516551.96</v>
      </c>
      <c r="BC18" s="402">
        <v>3692989.66</v>
      </c>
      <c r="BD18" s="402">
        <v>3508343.87</v>
      </c>
      <c r="BE18" s="402">
        <v>3029851.64</v>
      </c>
      <c r="BF18" s="402">
        <v>2658287.17</v>
      </c>
      <c r="BG18" s="402">
        <v>2703167.19</v>
      </c>
      <c r="BH18" s="402">
        <v>3008899.7</v>
      </c>
      <c r="BI18" s="402">
        <v>1966851.14</v>
      </c>
      <c r="BJ18" s="418">
        <v>2595616.34</v>
      </c>
      <c r="BK18" s="418">
        <v>2716940.84</v>
      </c>
      <c r="BL18" s="418">
        <v>2810517.19</v>
      </c>
      <c r="BM18" s="418">
        <v>3136601.07</v>
      </c>
      <c r="BN18" s="418">
        <v>3699068.84</v>
      </c>
      <c r="BO18" s="418">
        <v>3886626.27</v>
      </c>
      <c r="BP18" s="418">
        <v>3544103.31</v>
      </c>
      <c r="BQ18" s="418">
        <v>3090934.6</v>
      </c>
      <c r="BR18" s="418">
        <v>2977110.5</v>
      </c>
      <c r="BS18" s="418">
        <v>2761534.17</v>
      </c>
      <c r="BT18" s="418">
        <v>2721572.76</v>
      </c>
      <c r="BU18" s="418">
        <v>2646289.21</v>
      </c>
      <c r="BV18" s="418">
        <v>2754142.86</v>
      </c>
      <c r="BW18" s="418">
        <v>2661219.9300000002</v>
      </c>
      <c r="BX18" s="418">
        <v>2430568.36</v>
      </c>
      <c r="BY18" s="418">
        <v>3139624.19</v>
      </c>
      <c r="BZ18" s="418">
        <v>3585184.72</v>
      </c>
      <c r="CA18" s="418">
        <v>3442063.32</v>
      </c>
      <c r="CB18" s="418">
        <v>3377076.84</v>
      </c>
      <c r="CC18" s="418">
        <v>3283577.51</v>
      </c>
      <c r="CD18" s="418">
        <v>2774403.19</v>
      </c>
      <c r="CE18" s="418">
        <v>2695535.35</v>
      </c>
      <c r="CF18" s="418">
        <v>2572142.87</v>
      </c>
      <c r="CG18" s="418">
        <v>2627913.4</v>
      </c>
      <c r="CH18" s="418">
        <v>2578610.96</v>
      </c>
      <c r="CI18" s="418">
        <v>2756832.45</v>
      </c>
      <c r="CJ18" s="418">
        <v>2674039.12</v>
      </c>
      <c r="CK18" s="418">
        <v>3520899.82</v>
      </c>
      <c r="CL18" s="418">
        <v>4334596.51</v>
      </c>
      <c r="CM18" s="418">
        <v>4015312.02</v>
      </c>
      <c r="CN18" s="418">
        <v>3337124.2</v>
      </c>
      <c r="CO18" s="418">
        <v>3589495.24</v>
      </c>
      <c r="CP18" s="418">
        <v>3221215.62</v>
      </c>
      <c r="CQ18" s="418">
        <v>3014361.48</v>
      </c>
      <c r="CR18" s="418">
        <v>2936582.3</v>
      </c>
      <c r="CS18" s="418">
        <v>2981647.76</v>
      </c>
      <c r="CT18" s="418">
        <v>2925509</v>
      </c>
      <c r="CU18" s="418">
        <v>2877123.16</v>
      </c>
      <c r="CV18" s="418">
        <v>2540050.87</v>
      </c>
      <c r="CW18" s="418">
        <v>3556648.52</v>
      </c>
      <c r="CX18" s="418">
        <v>4307739.33</v>
      </c>
      <c r="CY18" s="418">
        <v>4173065.52</v>
      </c>
      <c r="CZ18" s="418">
        <v>3738381.25</v>
      </c>
      <c r="DA18" s="418">
        <v>3495798.49</v>
      </c>
      <c r="DB18" s="418">
        <v>3411019.13</v>
      </c>
      <c r="DC18" s="418">
        <v>3099423.36</v>
      </c>
      <c r="DD18" s="418">
        <v>3149256.73</v>
      </c>
      <c r="DE18" s="418">
        <v>2655880.29</v>
      </c>
      <c r="DF18" s="418">
        <v>2933410.13</v>
      </c>
      <c r="DG18" s="418">
        <v>3022627.73</v>
      </c>
      <c r="DH18" s="418">
        <v>3338463.86</v>
      </c>
      <c r="DI18" s="418">
        <v>3904465.91</v>
      </c>
      <c r="DJ18" s="418">
        <v>4250408.28</v>
      </c>
      <c r="DK18" s="418">
        <v>4388338.07</v>
      </c>
      <c r="DL18" s="418">
        <v>3828557.5</v>
      </c>
      <c r="DM18" s="418">
        <v>3446284.32</v>
      </c>
      <c r="DN18" s="418">
        <v>3239483.55</v>
      </c>
      <c r="DO18" s="418">
        <v>3047965.42</v>
      </c>
      <c r="DP18" s="418">
        <v>3230459.86</v>
      </c>
      <c r="DQ18" s="418">
        <v>3169729.55</v>
      </c>
      <c r="DR18" s="418">
        <v>2793302.48</v>
      </c>
      <c r="DS18" s="418">
        <v>3215027.13</v>
      </c>
      <c r="DT18" s="418">
        <v>2972960.48</v>
      </c>
      <c r="DU18" s="418">
        <v>3310526.72</v>
      </c>
      <c r="DV18" s="418">
        <v>4930150.0999999996</v>
      </c>
      <c r="DW18" s="418">
        <v>4622177.08</v>
      </c>
      <c r="DX18" s="418">
        <v>4266596.8600000003</v>
      </c>
      <c r="DY18" s="418">
        <v>4290323.0599999996</v>
      </c>
      <c r="DZ18" s="418">
        <v>4348543.2699999996</v>
      </c>
      <c r="EA18" s="418">
        <v>3105990.25</v>
      </c>
      <c r="EB18" s="418">
        <v>3879599.44</v>
      </c>
      <c r="EC18" s="418">
        <v>3558072.92</v>
      </c>
      <c r="ED18" s="418">
        <v>2843876.53</v>
      </c>
      <c r="EE18" s="418">
        <v>3600052.09</v>
      </c>
      <c r="EF18" s="418">
        <v>3884712.46</v>
      </c>
      <c r="EG18" s="418">
        <v>4388583.91</v>
      </c>
      <c r="EH18" s="418">
        <v>5171990.68</v>
      </c>
      <c r="EI18" s="418">
        <v>5274757.16</v>
      </c>
      <c r="EJ18" s="418">
        <v>4861659.2</v>
      </c>
      <c r="EK18" s="418">
        <v>4755937.9800000004</v>
      </c>
      <c r="EL18" s="418">
        <v>4464843.93</v>
      </c>
      <c r="EM18" s="418">
        <v>4313233.5999999996</v>
      </c>
      <c r="EN18" s="418">
        <v>4030385.48</v>
      </c>
      <c r="EO18" s="418">
        <v>4095278.69</v>
      </c>
      <c r="EP18" s="418">
        <v>3364089.67</v>
      </c>
      <c r="EQ18" s="418">
        <f>(VLOOKUP("4081",'Input IS ACCTS'!$A$6:$DH$518,109,FALSE))</f>
        <v>4301171.3499999996</v>
      </c>
      <c r="ER18" s="418">
        <f>(VLOOKUP("4081",'Input IS ACCTS'!$A$6:$DH$518,110,FALSE))</f>
        <v>3875646.51</v>
      </c>
      <c r="ES18" s="418">
        <f>(VLOOKUP("4081",'Input IS ACCTS'!$A$6:$DH$518,111,FALSE))</f>
        <v>5357717.79</v>
      </c>
      <c r="ET18" s="132">
        <f t="shared" si="25"/>
        <v>53866712.039999999</v>
      </c>
      <c r="EU18" s="174">
        <f t="shared" si="26"/>
        <v>53866.712039999999</v>
      </c>
    </row>
    <row r="19" spans="1:151">
      <c r="A19" s="17" t="s">
        <v>1353</v>
      </c>
      <c r="B19" s="320">
        <f t="shared" si="23"/>
        <v>4362.9270399999987</v>
      </c>
      <c r="C19" s="22"/>
      <c r="D19" s="320">
        <f t="shared" si="24"/>
        <v>-71.585030000000003</v>
      </c>
      <c r="E19" s="22"/>
      <c r="F19" s="102">
        <v>6264735</v>
      </c>
      <c r="G19" s="102">
        <v>1237250</v>
      </c>
      <c r="H19" s="102">
        <v>587306</v>
      </c>
      <c r="I19" s="102">
        <v>-535691</v>
      </c>
      <c r="J19" s="102">
        <v>-335587</v>
      </c>
      <c r="K19" s="102">
        <v>-444427</v>
      </c>
      <c r="L19" s="102">
        <v>-931788.84</v>
      </c>
      <c r="M19" s="102">
        <v>-1534095.34</v>
      </c>
      <c r="N19" s="102">
        <v>-981223.32</v>
      </c>
      <c r="O19" s="102">
        <v>-969109.97</v>
      </c>
      <c r="P19" s="138">
        <v>-20045521.02</v>
      </c>
      <c r="Q19" s="107">
        <v>-214753.13</v>
      </c>
      <c r="R19" s="102">
        <v>743944.82</v>
      </c>
      <c r="S19" s="102">
        <v>-544097.64</v>
      </c>
      <c r="T19" s="102">
        <v>-419750.91</v>
      </c>
      <c r="U19" s="231">
        <v>-421642.94</v>
      </c>
      <c r="V19" s="231">
        <v>-575421.75</v>
      </c>
      <c r="W19" s="231">
        <v>-4100720.18</v>
      </c>
      <c r="X19" s="231">
        <v>-936189.89</v>
      </c>
      <c r="Y19" s="231">
        <v>-711953.01</v>
      </c>
      <c r="Z19" s="231">
        <v>-1137277.8700000001</v>
      </c>
      <c r="AA19" s="231">
        <v>-920337.29</v>
      </c>
      <c r="AB19" s="231">
        <v>-1314648.98</v>
      </c>
      <c r="AC19" s="232">
        <v>354873.95</v>
      </c>
      <c r="AD19" s="246">
        <v>2418750.69</v>
      </c>
      <c r="AE19" s="246">
        <v>1048257.95</v>
      </c>
      <c r="AF19" s="246">
        <v>1681792.31</v>
      </c>
      <c r="AG19" s="259">
        <v>1642437.4400000002</v>
      </c>
      <c r="AH19" s="261">
        <v>157980.6</v>
      </c>
      <c r="AI19" s="261">
        <v>-12514.08</v>
      </c>
      <c r="AJ19" s="219">
        <v>260722.57</v>
      </c>
      <c r="AK19" s="219">
        <v>-384160.62</v>
      </c>
      <c r="AL19" s="219">
        <v>-273262.15000000002</v>
      </c>
      <c r="AM19" s="190">
        <v>59600.24</v>
      </c>
      <c r="AN19" s="190">
        <v>5550724.7400000002</v>
      </c>
      <c r="AO19" s="190">
        <v>1126945.42</v>
      </c>
      <c r="AP19" s="371">
        <v>2311322.62</v>
      </c>
      <c r="AQ19" s="371">
        <v>2902688.25</v>
      </c>
      <c r="AR19" s="371">
        <v>3077094.1</v>
      </c>
      <c r="AS19" s="371">
        <v>1559304.35</v>
      </c>
      <c r="AT19" s="371">
        <v>1500195.37</v>
      </c>
      <c r="AU19" s="371">
        <v>1028903.32</v>
      </c>
      <c r="AV19" s="371">
        <v>586512.91</v>
      </c>
      <c r="AW19" s="371">
        <v>295040.34000000003</v>
      </c>
      <c r="AX19" s="371">
        <v>-1531844.39</v>
      </c>
      <c r="AY19" s="371">
        <v>1706364.14</v>
      </c>
      <c r="AZ19" s="371">
        <v>-1391789.68</v>
      </c>
      <c r="BA19" s="371">
        <v>-6024753.6500000004</v>
      </c>
      <c r="BB19" s="371">
        <v>3511605.82</v>
      </c>
      <c r="BC19" s="371">
        <v>1486957.79</v>
      </c>
      <c r="BD19" s="371">
        <v>2754928.81</v>
      </c>
      <c r="BE19" s="371">
        <v>1145289.07</v>
      </c>
      <c r="BF19" s="371">
        <v>967601.02</v>
      </c>
      <c r="BG19" s="371">
        <v>1453873.02</v>
      </c>
      <c r="BH19" s="371">
        <v>1108703.04</v>
      </c>
      <c r="BI19" s="371">
        <v>1119369.74</v>
      </c>
      <c r="BJ19" s="371">
        <v>-302940.55</v>
      </c>
      <c r="BK19" s="371">
        <v>-363891.14</v>
      </c>
      <c r="BL19" s="371">
        <v>-260495.75</v>
      </c>
      <c r="BM19" s="371">
        <v>-9712054.75</v>
      </c>
      <c r="BN19" s="371">
        <v>2228737.0299999998</v>
      </c>
      <c r="BO19" s="371">
        <v>2924935.11</v>
      </c>
      <c r="BP19" s="371">
        <v>1094866.82</v>
      </c>
      <c r="BQ19" s="371">
        <v>558731.92000000004</v>
      </c>
      <c r="BR19" s="371">
        <v>197956.07</v>
      </c>
      <c r="BS19" s="371">
        <v>155411.68</v>
      </c>
      <c r="BT19" s="371">
        <v>265820.09999999998</v>
      </c>
      <c r="BU19" s="371">
        <v>-930761.12</v>
      </c>
      <c r="BV19" s="371">
        <v>1072918.4099999999</v>
      </c>
      <c r="BW19" s="371">
        <v>-760549.82</v>
      </c>
      <c r="BX19" s="371">
        <v>-261599.67</v>
      </c>
      <c r="BY19" s="371">
        <v>546673.78</v>
      </c>
      <c r="BZ19" s="371">
        <v>2040825.61</v>
      </c>
      <c r="CA19" s="371">
        <v>-631584.13</v>
      </c>
      <c r="CB19" s="371">
        <v>194813.43</v>
      </c>
      <c r="CC19" s="371">
        <v>511396.46</v>
      </c>
      <c r="CD19" s="371">
        <v>-842268.7</v>
      </c>
      <c r="CE19" s="371">
        <v>-962104.34</v>
      </c>
      <c r="CF19" s="371">
        <v>-972907</v>
      </c>
      <c r="CG19" s="371">
        <v>-1022100.66</v>
      </c>
      <c r="CH19" s="371">
        <v>1584073.3</v>
      </c>
      <c r="CI19" s="371">
        <v>-2008499.03</v>
      </c>
      <c r="CJ19" s="371">
        <v>-1017595.27</v>
      </c>
      <c r="CK19" s="371">
        <v>5725359.7400000002</v>
      </c>
      <c r="CL19" s="371">
        <v>3172840.78</v>
      </c>
      <c r="CM19" s="371">
        <v>342951.69</v>
      </c>
      <c r="CN19" s="371">
        <v>895317.01</v>
      </c>
      <c r="CO19" s="371">
        <v>1259189.22</v>
      </c>
      <c r="CP19" s="371">
        <v>205117.85</v>
      </c>
      <c r="CQ19" s="371">
        <v>492073.16</v>
      </c>
      <c r="CR19" s="371">
        <v>166344.88</v>
      </c>
      <c r="CS19" s="371">
        <v>-879336.49</v>
      </c>
      <c r="CT19" s="371">
        <v>432770.52</v>
      </c>
      <c r="CU19" s="371">
        <v>-353761.9</v>
      </c>
      <c r="CV19" s="371">
        <v>-3383402.33</v>
      </c>
      <c r="CW19" s="371">
        <v>1424397.97</v>
      </c>
      <c r="CX19" s="371">
        <v>1898229.81</v>
      </c>
      <c r="CY19" s="371">
        <v>-87759.87</v>
      </c>
      <c r="CZ19" s="371">
        <v>1161289.22</v>
      </c>
      <c r="DA19" s="371">
        <v>559174.94999999995</v>
      </c>
      <c r="DB19" s="371">
        <v>280899.64</v>
      </c>
      <c r="DC19" s="371">
        <v>192965.77</v>
      </c>
      <c r="DD19" s="371">
        <v>-11924.53</v>
      </c>
      <c r="DE19" s="371">
        <v>-33331.160000000003</v>
      </c>
      <c r="DF19" s="371">
        <v>122357.41</v>
      </c>
      <c r="DG19" s="371">
        <v>114338.06</v>
      </c>
      <c r="DH19" s="371">
        <v>482314.44</v>
      </c>
      <c r="DI19" s="371">
        <v>85023.62</v>
      </c>
      <c r="DJ19" s="371">
        <v>3049614.09</v>
      </c>
      <c r="DK19" s="371">
        <v>-2074721.21</v>
      </c>
      <c r="DL19" s="371">
        <v>458500.76</v>
      </c>
      <c r="DM19" s="371">
        <v>139401.47</v>
      </c>
      <c r="DN19" s="371">
        <v>-398549.92</v>
      </c>
      <c r="DO19" s="371">
        <v>-17852.25</v>
      </c>
      <c r="DP19" s="371">
        <v>-500016.4</v>
      </c>
      <c r="DQ19" s="371">
        <v>-116709.75999999999</v>
      </c>
      <c r="DR19" s="371">
        <v>120395.35</v>
      </c>
      <c r="DS19" s="371">
        <v>-1700886.66</v>
      </c>
      <c r="DT19" s="371">
        <v>157810.87</v>
      </c>
      <c r="DU19" s="371">
        <v>323552.88</v>
      </c>
      <c r="DV19" s="371">
        <v>2773724.39</v>
      </c>
      <c r="DW19" s="371">
        <v>1074495.75</v>
      </c>
      <c r="DX19" s="371">
        <v>-504079.37</v>
      </c>
      <c r="DY19" s="371">
        <v>954143.7</v>
      </c>
      <c r="DZ19" s="371">
        <v>-330815.38</v>
      </c>
      <c r="EA19" s="371">
        <v>1955989.38</v>
      </c>
      <c r="EB19" s="371">
        <v>-376170.8</v>
      </c>
      <c r="EC19" s="371">
        <v>581226.12</v>
      </c>
      <c r="ED19" s="371">
        <v>1483442.87</v>
      </c>
      <c r="EE19" s="371">
        <v>-1692496.25</v>
      </c>
      <c r="EF19" s="371">
        <v>-1659190.4</v>
      </c>
      <c r="EG19" s="371">
        <v>3978282.47</v>
      </c>
      <c r="EH19" s="371">
        <v>2808335.05</v>
      </c>
      <c r="EI19" s="371">
        <v>3401893.44</v>
      </c>
      <c r="EJ19" s="371">
        <v>198240.37</v>
      </c>
      <c r="EK19" s="371">
        <v>1125620.96</v>
      </c>
      <c r="EL19" s="371">
        <v>398227.3</v>
      </c>
      <c r="EM19" s="371">
        <v>279421.68</v>
      </c>
      <c r="EN19" s="371">
        <v>-286222.64</v>
      </c>
      <c r="EO19" s="371">
        <v>-3528742.49</v>
      </c>
      <c r="EP19" s="371">
        <v>744323.69</v>
      </c>
      <c r="EQ19" s="371">
        <f>(VLOOKUP("4091",'Input IS ACCTS'!$A$6:$DH$518,109,FALSE))</f>
        <v>-650891.84</v>
      </c>
      <c r="ER19" s="371">
        <f>(VLOOKUP("4091",'Input IS ACCTS'!$A$6:$DH$518,110,FALSE))</f>
        <v>-55693.45</v>
      </c>
      <c r="ES19" s="371">
        <f>(VLOOKUP("4091",'Input IS ACCTS'!$A$6:$DH$518,111,FALSE))</f>
        <v>-71585.03</v>
      </c>
      <c r="ET19" s="132">
        <f t="shared" si="25"/>
        <v>4362927.0399999991</v>
      </c>
      <c r="EU19" s="174">
        <f t="shared" si="26"/>
        <v>4362.9270399999987</v>
      </c>
    </row>
    <row r="20" spans="1:151">
      <c r="A20" s="17" t="s">
        <v>1355</v>
      </c>
      <c r="B20" s="320">
        <f t="shared" si="23"/>
        <v>21535.034200000002</v>
      </c>
      <c r="C20" s="22"/>
      <c r="D20" s="320">
        <f t="shared" si="24"/>
        <v>2410.9741899999999</v>
      </c>
      <c r="E20" s="22"/>
      <c r="F20" s="102">
        <v>-2508073</v>
      </c>
      <c r="G20" s="102">
        <v>771079</v>
      </c>
      <c r="H20" s="102">
        <v>1090986</v>
      </c>
      <c r="I20" s="102">
        <v>2038470</v>
      </c>
      <c r="J20" s="102">
        <v>1465026</v>
      </c>
      <c r="K20" s="102">
        <v>490824</v>
      </c>
      <c r="L20" s="102">
        <v>1716143.58</v>
      </c>
      <c r="M20" s="102">
        <v>1897834.77</v>
      </c>
      <c r="N20" s="102">
        <v>1991923.54</v>
      </c>
      <c r="O20" s="102">
        <v>1739195.64</v>
      </c>
      <c r="P20" s="138">
        <v>21207240.789999999</v>
      </c>
      <c r="Q20" s="107">
        <v>1852673.46</v>
      </c>
      <c r="R20" s="102">
        <v>1912532.47</v>
      </c>
      <c r="S20" s="102">
        <v>1989296.82</v>
      </c>
      <c r="T20" s="102">
        <v>2066944.4899999998</v>
      </c>
      <c r="U20" s="231">
        <v>2190299.61</v>
      </c>
      <c r="V20" s="231">
        <v>2231259.54</v>
      </c>
      <c r="W20" s="231">
        <v>5375351.2599999998</v>
      </c>
      <c r="X20" s="231">
        <v>2080561.89</v>
      </c>
      <c r="Y20" s="231">
        <v>2060211.41</v>
      </c>
      <c r="Z20" s="231">
        <v>2170203.16</v>
      </c>
      <c r="AA20" s="231">
        <v>1757336.2</v>
      </c>
      <c r="AB20" s="231">
        <v>2568804.2599999998</v>
      </c>
      <c r="AC20" s="232">
        <v>1156166.03</v>
      </c>
      <c r="AD20" s="245">
        <v>223961.46304865149</v>
      </c>
      <c r="AE20" s="245">
        <v>799755.50304865162</v>
      </c>
      <c r="AF20" s="232">
        <v>846251.95304865146</v>
      </c>
      <c r="AG20" s="259">
        <v>392907.76304865145</v>
      </c>
      <c r="AH20" s="259">
        <v>849349.12304865161</v>
      </c>
      <c r="AI20" s="259">
        <v>899293.93304865155</v>
      </c>
      <c r="AJ20" s="327">
        <v>723316.04304865142</v>
      </c>
      <c r="AK20" s="327">
        <v>965231.15304865153</v>
      </c>
      <c r="AL20" s="327">
        <v>1218946.8630486515</v>
      </c>
      <c r="AM20" s="287">
        <v>752276.42304865154</v>
      </c>
      <c r="AN20" s="287">
        <v>-3651150.9369513481</v>
      </c>
      <c r="AO20" s="287">
        <v>467.62304865150259</v>
      </c>
      <c r="AP20" s="371">
        <v>797790.57</v>
      </c>
      <c r="AQ20" s="371">
        <v>-300304.7</v>
      </c>
      <c r="AR20" s="371">
        <v>-113876.48</v>
      </c>
      <c r="AS20" s="371">
        <v>259025.67</v>
      </c>
      <c r="AT20" s="371">
        <v>-374515.85</v>
      </c>
      <c r="AU20" s="371">
        <v>364456.3</v>
      </c>
      <c r="AV20" s="371">
        <v>386811.22</v>
      </c>
      <c r="AW20" s="371">
        <v>663651.21</v>
      </c>
      <c r="AX20" s="371">
        <v>2342998.9900000002</v>
      </c>
      <c r="AY20" s="371">
        <v>-366429.53</v>
      </c>
      <c r="AZ20" s="371">
        <v>3069502.86</v>
      </c>
      <c r="BA20" s="371">
        <v>8336921.8700000001</v>
      </c>
      <c r="BB20" s="371">
        <v>-275913.05</v>
      </c>
      <c r="BC20" s="371">
        <v>1517705.04</v>
      </c>
      <c r="BD20" s="371">
        <v>-229143.11</v>
      </c>
      <c r="BE20" s="371">
        <v>308339.71999999997</v>
      </c>
      <c r="BF20" s="371">
        <v>364626.14</v>
      </c>
      <c r="BG20" s="371">
        <v>113882.78</v>
      </c>
      <c r="BH20" s="371">
        <v>-29699.14</v>
      </c>
      <c r="BI20" s="371">
        <v>-151948.79999999999</v>
      </c>
      <c r="BJ20" s="371">
        <v>1417199.94</v>
      </c>
      <c r="BK20" s="371">
        <v>1646764.96</v>
      </c>
      <c r="BL20" s="371">
        <v>1290361.8700000001</v>
      </c>
      <c r="BM20" s="371">
        <v>10961767.789999999</v>
      </c>
      <c r="BN20" s="371">
        <v>923774.88</v>
      </c>
      <c r="BO20" s="371">
        <v>268317.09000000003</v>
      </c>
      <c r="BP20" s="371">
        <v>990508.94</v>
      </c>
      <c r="BQ20" s="371">
        <v>1224181.94</v>
      </c>
      <c r="BR20" s="371">
        <v>1369396.56</v>
      </c>
      <c r="BS20" s="371">
        <v>715535.25</v>
      </c>
      <c r="BT20" s="371">
        <v>1172591.31</v>
      </c>
      <c r="BU20" s="371">
        <v>1298883.51</v>
      </c>
      <c r="BV20" s="371">
        <v>-130656.15</v>
      </c>
      <c r="BW20" s="371">
        <v>1792223.13</v>
      </c>
      <c r="BX20" s="371">
        <v>2025072.31</v>
      </c>
      <c r="BY20" s="371">
        <v>1276753.72</v>
      </c>
      <c r="BZ20" s="371">
        <v>1007791.66</v>
      </c>
      <c r="CA20" s="371">
        <v>2803153.57</v>
      </c>
      <c r="CB20" s="371">
        <v>2561260.2000000002</v>
      </c>
      <c r="CC20" s="371">
        <v>1745517.27</v>
      </c>
      <c r="CD20" s="371">
        <v>2904990.24</v>
      </c>
      <c r="CE20" s="371">
        <v>2569026.12</v>
      </c>
      <c r="CF20" s="371">
        <v>2508529.0099999998</v>
      </c>
      <c r="CG20" s="371">
        <v>2444486.59</v>
      </c>
      <c r="CH20" s="371">
        <v>102029.45</v>
      </c>
      <c r="CI20" s="371">
        <v>3452189.2</v>
      </c>
      <c r="CJ20" s="371">
        <v>2924938.02</v>
      </c>
      <c r="CK20" s="371">
        <v>-2419811.6800000002</v>
      </c>
      <c r="CL20" s="371">
        <v>-424489.68</v>
      </c>
      <c r="CM20" s="371">
        <v>784354.58</v>
      </c>
      <c r="CN20" s="371">
        <v>-231493.34</v>
      </c>
      <c r="CO20" s="371">
        <v>224730.79</v>
      </c>
      <c r="CP20" s="371">
        <v>919013.52</v>
      </c>
      <c r="CQ20" s="371">
        <v>539773.27</v>
      </c>
      <c r="CR20" s="371">
        <v>721249.05999999994</v>
      </c>
      <c r="CS20" s="371">
        <v>1619384.2000000002</v>
      </c>
      <c r="CT20" s="371">
        <v>836768.26</v>
      </c>
      <c r="CU20" s="371">
        <f>(VLOOKUP("4101",'Input IS ACCTS'!$A$6:$DH$518,61,FALSE))</f>
        <v>1163529.56</v>
      </c>
      <c r="CV20" s="371">
        <f>(VLOOKUP("4101",'Input IS ACCTS'!$A$6:$DH$518,62,FALSE))</f>
        <v>4457679.3600000003</v>
      </c>
      <c r="CW20" s="371">
        <f>(VLOOKUP("4101",'Input IS ACCTS'!$A$6:$DH$518,63,FALSE))</f>
        <v>113328.6</v>
      </c>
      <c r="CX20" s="371">
        <f>(VLOOKUP("4101",'Input IS ACCTS'!$A$6:$DH$518,64,FALSE))</f>
        <v>246440.66</v>
      </c>
      <c r="CY20" s="371">
        <f>(VLOOKUP("4101",'Input IS ACCTS'!$A$6:$DH$518,65,FALSE))</f>
        <v>2016465.43</v>
      </c>
      <c r="CZ20" s="371">
        <f>(VLOOKUP("4101",'Input IS ACCTS'!$A$6:$DH$518,66,FALSE))</f>
        <v>641096.55000000005</v>
      </c>
      <c r="DA20" s="371">
        <f>(VLOOKUP("4101",'Input IS ACCTS'!$A$6:$DH$518,67,FALSE))</f>
        <v>1080080.19</v>
      </c>
      <c r="DB20" s="371">
        <f>(VLOOKUP("4101",'Input IS ACCTS'!$A$6:$DH$518,68,FALSE))</f>
        <v>1176801.29</v>
      </c>
      <c r="DC20" s="371">
        <f>(VLOOKUP("4101",'Input IS ACCTS'!$A$6:$DH$518,69,FALSE))</f>
        <v>1139163.42</v>
      </c>
      <c r="DD20" s="371">
        <v>944421.19</v>
      </c>
      <c r="DE20" s="371">
        <v>1173908.4099999999</v>
      </c>
      <c r="DF20" s="371">
        <v>599012.24</v>
      </c>
      <c r="DG20" s="371">
        <v>909892.55</v>
      </c>
      <c r="DH20" s="371">
        <v>858821.24</v>
      </c>
      <c r="DI20" s="371">
        <v>1452272.21</v>
      </c>
      <c r="DJ20" s="371">
        <v>-678148.9</v>
      </c>
      <c r="DK20" s="371">
        <v>3783401.71</v>
      </c>
      <c r="DL20" s="371">
        <v>983157.33</v>
      </c>
      <c r="DM20" s="371">
        <v>840155.65</v>
      </c>
      <c r="DN20" s="371">
        <v>1294461.54</v>
      </c>
      <c r="DO20" s="371">
        <v>911790.04</v>
      </c>
      <c r="DP20" s="371">
        <v>1291428.43</v>
      </c>
      <c r="DQ20" s="371">
        <v>1019109.73</v>
      </c>
      <c r="DR20" s="371">
        <v>1259997.56</v>
      </c>
      <c r="DS20" s="371">
        <v>1943284.86</v>
      </c>
      <c r="DT20" s="371">
        <v>1351955.5</v>
      </c>
      <c r="DU20" s="371">
        <v>1079410.44</v>
      </c>
      <c r="DV20" s="371">
        <v>675422.61</v>
      </c>
      <c r="DW20" s="371">
        <v>1189381.5</v>
      </c>
      <c r="DX20" s="371">
        <v>2754279.95</v>
      </c>
      <c r="DY20" s="371">
        <v>1355641.68</v>
      </c>
      <c r="DZ20" s="371">
        <v>1901529.35</v>
      </c>
      <c r="EA20" s="371">
        <v>-395914.15</v>
      </c>
      <c r="EB20" s="371">
        <v>1617623.67</v>
      </c>
      <c r="EC20" s="371">
        <v>729649.99</v>
      </c>
      <c r="ED20" s="371">
        <v>-747066.9</v>
      </c>
      <c r="EE20" s="371">
        <v>3026643.52</v>
      </c>
      <c r="EF20" s="371">
        <v>3801132.44</v>
      </c>
      <c r="EG20" s="371">
        <v>-2616528.1</v>
      </c>
      <c r="EH20" s="371">
        <v>447989.75</v>
      </c>
      <c r="EI20" s="371">
        <v>-533495.37</v>
      </c>
      <c r="EJ20" s="371">
        <v>3034364.22</v>
      </c>
      <c r="EK20" s="371">
        <v>1018819.87</v>
      </c>
      <c r="EL20" s="371">
        <v>1546580.43</v>
      </c>
      <c r="EM20" s="371">
        <v>1632224.02</v>
      </c>
      <c r="EN20" s="371">
        <v>1491018.23</v>
      </c>
      <c r="EO20" s="371">
        <v>4979215.91</v>
      </c>
      <c r="EP20" s="371">
        <v>1450781.13</v>
      </c>
      <c r="EQ20" s="371">
        <f>(VLOOKUP("4101",'Input IS ACCTS'!$A$6:$DH$518,109,FALSE))</f>
        <v>2165864.66</v>
      </c>
      <c r="ER20" s="371">
        <f>(VLOOKUP("4101",'Input IS ACCTS'!$A$6:$DH$518,110,FALSE))</f>
        <v>1890697.16</v>
      </c>
      <c r="ES20" s="371">
        <f>(VLOOKUP("4101",'Input IS ACCTS'!$A$6:$DH$518,111,FALSE))</f>
        <v>2410974.19</v>
      </c>
      <c r="ET20" s="132">
        <f t="shared" si="25"/>
        <v>21535034.200000003</v>
      </c>
      <c r="EU20" s="174">
        <f t="shared" si="26"/>
        <v>21535.034200000002</v>
      </c>
    </row>
    <row r="21" spans="1:151">
      <c r="A21" t="s">
        <v>413</v>
      </c>
      <c r="B21" s="320">
        <f t="shared" si="23"/>
        <v>0</v>
      </c>
      <c r="C21" s="22"/>
      <c r="D21" s="320">
        <f t="shared" si="24"/>
        <v>0</v>
      </c>
      <c r="E21" s="22"/>
      <c r="F21" s="102">
        <v>1</v>
      </c>
      <c r="G21" s="102">
        <v>-1</v>
      </c>
      <c r="H21" s="102"/>
      <c r="I21" s="181"/>
      <c r="J21" s="181"/>
      <c r="K21" s="181"/>
      <c r="L21" s="181"/>
      <c r="M21" s="181"/>
      <c r="N21" s="181"/>
      <c r="O21" s="181"/>
      <c r="P21" s="110"/>
      <c r="Q21" s="110"/>
      <c r="R21" s="102">
        <v>0</v>
      </c>
      <c r="S21" s="102"/>
      <c r="T21" s="102"/>
      <c r="U21" s="233"/>
      <c r="V21" s="233"/>
      <c r="W21" s="233">
        <v>0</v>
      </c>
      <c r="X21" s="233">
        <v>0</v>
      </c>
      <c r="Y21" s="233">
        <v>0</v>
      </c>
      <c r="Z21" s="233">
        <v>0</v>
      </c>
      <c r="AA21" s="233">
        <v>0</v>
      </c>
      <c r="AB21" s="233">
        <v>0</v>
      </c>
      <c r="AC21" s="234">
        <v>0</v>
      </c>
      <c r="AD21" s="234">
        <v>0</v>
      </c>
      <c r="AE21" s="234">
        <v>0</v>
      </c>
      <c r="AF21" s="234">
        <v>0</v>
      </c>
      <c r="AG21" s="262">
        <v>0</v>
      </c>
      <c r="AH21" s="262">
        <v>0</v>
      </c>
      <c r="AI21" s="262">
        <v>0</v>
      </c>
      <c r="AJ21" s="205">
        <v>0</v>
      </c>
      <c r="AK21" s="205">
        <v>0</v>
      </c>
      <c r="AL21" s="205">
        <v>0</v>
      </c>
      <c r="AM21" s="205">
        <v>0</v>
      </c>
      <c r="AN21" s="205">
        <v>0</v>
      </c>
      <c r="AO21" s="205">
        <v>0</v>
      </c>
      <c r="AP21" s="375">
        <v>0</v>
      </c>
      <c r="AQ21" s="375">
        <v>0</v>
      </c>
      <c r="AR21" s="375">
        <v>0</v>
      </c>
      <c r="AS21" s="375">
        <v>0</v>
      </c>
      <c r="AT21" s="375">
        <v>0</v>
      </c>
      <c r="AU21" s="375">
        <v>0</v>
      </c>
      <c r="AV21" s="375">
        <v>0</v>
      </c>
      <c r="AW21" s="375">
        <v>0</v>
      </c>
      <c r="AX21" s="375">
        <v>0</v>
      </c>
      <c r="AY21" s="375">
        <v>0</v>
      </c>
      <c r="AZ21" s="375">
        <v>0</v>
      </c>
      <c r="BA21" s="375">
        <v>0</v>
      </c>
      <c r="BB21" s="375">
        <v>0</v>
      </c>
      <c r="BC21" s="375">
        <v>0</v>
      </c>
      <c r="BD21" s="375">
        <v>0</v>
      </c>
      <c r="BE21" s="375">
        <v>0</v>
      </c>
      <c r="BF21" s="375">
        <v>0</v>
      </c>
      <c r="BG21" s="375">
        <v>0</v>
      </c>
      <c r="BH21" s="375">
        <v>0</v>
      </c>
      <c r="BI21" s="375">
        <v>0</v>
      </c>
      <c r="BJ21" s="375">
        <v>0</v>
      </c>
      <c r="BK21" s="375">
        <v>0</v>
      </c>
      <c r="BL21" s="375">
        <v>0</v>
      </c>
      <c r="BM21" s="375">
        <v>0</v>
      </c>
      <c r="BN21" s="375">
        <v>0</v>
      </c>
      <c r="BO21" s="375">
        <v>0</v>
      </c>
      <c r="BP21" s="375">
        <v>0</v>
      </c>
      <c r="BQ21" s="375">
        <v>0</v>
      </c>
      <c r="BR21" s="375">
        <v>0</v>
      </c>
      <c r="BS21" s="375">
        <v>0</v>
      </c>
      <c r="BT21" s="375">
        <v>0</v>
      </c>
      <c r="BU21" s="375">
        <v>0</v>
      </c>
      <c r="BV21" s="375">
        <v>0</v>
      </c>
      <c r="BW21" s="375">
        <v>0</v>
      </c>
      <c r="BX21" s="375">
        <v>0</v>
      </c>
      <c r="BY21" s="375">
        <v>0</v>
      </c>
      <c r="BZ21" s="375">
        <v>0</v>
      </c>
      <c r="CA21" s="375">
        <v>0</v>
      </c>
      <c r="CB21" s="375">
        <v>0</v>
      </c>
      <c r="CC21" s="375">
        <v>0</v>
      </c>
      <c r="CD21" s="375">
        <v>0</v>
      </c>
      <c r="CE21" s="375">
        <v>0</v>
      </c>
      <c r="CF21" s="375">
        <v>0</v>
      </c>
      <c r="CG21" s="375">
        <v>0</v>
      </c>
      <c r="CH21" s="375">
        <v>0</v>
      </c>
      <c r="CI21" s="375">
        <v>0</v>
      </c>
      <c r="CJ21" s="375">
        <v>0</v>
      </c>
      <c r="CK21" s="375">
        <v>0</v>
      </c>
      <c r="CL21" s="375">
        <v>0</v>
      </c>
      <c r="CM21" s="375">
        <v>0</v>
      </c>
      <c r="CN21" s="375">
        <v>0</v>
      </c>
      <c r="CO21" s="375">
        <v>0</v>
      </c>
      <c r="CP21" s="375">
        <v>0</v>
      </c>
      <c r="CQ21" s="375">
        <v>0</v>
      </c>
      <c r="CR21" s="375">
        <v>0</v>
      </c>
      <c r="CS21" s="375">
        <v>0</v>
      </c>
      <c r="CT21" s="375">
        <v>0</v>
      </c>
      <c r="CU21" s="375">
        <v>0</v>
      </c>
      <c r="CV21" s="375">
        <v>0</v>
      </c>
      <c r="CW21" s="375">
        <v>0</v>
      </c>
      <c r="CX21" s="375">
        <v>0</v>
      </c>
      <c r="CY21" s="375">
        <v>0</v>
      </c>
      <c r="CZ21" s="375">
        <v>0</v>
      </c>
      <c r="DA21" s="375">
        <v>0</v>
      </c>
      <c r="DB21" s="375">
        <v>0</v>
      </c>
      <c r="DC21" s="375">
        <v>0</v>
      </c>
      <c r="DD21" s="375">
        <v>0</v>
      </c>
      <c r="DE21" s="375">
        <v>0</v>
      </c>
      <c r="DF21" s="375">
        <v>0</v>
      </c>
      <c r="DG21" s="375">
        <v>0</v>
      </c>
      <c r="DH21" s="375">
        <v>0</v>
      </c>
      <c r="DI21" s="375">
        <v>0</v>
      </c>
      <c r="DJ21" s="375">
        <v>0</v>
      </c>
      <c r="DK21" s="375">
        <v>0</v>
      </c>
      <c r="DL21" s="375">
        <v>0</v>
      </c>
      <c r="DM21" s="375">
        <v>0</v>
      </c>
      <c r="DN21" s="375">
        <v>0</v>
      </c>
      <c r="DO21" s="375">
        <v>0</v>
      </c>
      <c r="DP21" s="375">
        <v>0</v>
      </c>
      <c r="DQ21" s="375">
        <v>0</v>
      </c>
      <c r="DR21" s="375">
        <v>0</v>
      </c>
      <c r="DS21" s="375">
        <v>0</v>
      </c>
      <c r="DT21" s="375">
        <v>0</v>
      </c>
      <c r="DU21" s="375">
        <v>0</v>
      </c>
      <c r="DV21" s="375">
        <v>0</v>
      </c>
      <c r="DW21" s="375">
        <v>0</v>
      </c>
      <c r="DX21" s="375">
        <v>0</v>
      </c>
      <c r="DY21" s="375">
        <v>0</v>
      </c>
      <c r="DZ21" s="375">
        <v>0</v>
      </c>
      <c r="EA21" s="375">
        <v>0</v>
      </c>
      <c r="EB21" s="375">
        <v>0</v>
      </c>
      <c r="EC21" s="375">
        <v>0</v>
      </c>
      <c r="ED21" s="375">
        <v>0</v>
      </c>
      <c r="EE21" s="375">
        <v>0</v>
      </c>
      <c r="EF21" s="375">
        <v>0</v>
      </c>
      <c r="EG21" s="375">
        <v>0</v>
      </c>
      <c r="EH21" s="375">
        <v>0</v>
      </c>
      <c r="EI21" s="375">
        <v>0</v>
      </c>
      <c r="EJ21" s="375">
        <v>0</v>
      </c>
      <c r="EK21" s="375">
        <v>0</v>
      </c>
      <c r="EL21" s="375">
        <v>0</v>
      </c>
      <c r="EM21" s="375">
        <v>0</v>
      </c>
      <c r="EN21" s="375">
        <v>0</v>
      </c>
      <c r="EO21" s="375">
        <v>0</v>
      </c>
      <c r="EP21" s="375">
        <v>0</v>
      </c>
      <c r="EQ21" s="375">
        <v>0</v>
      </c>
      <c r="ER21" s="375">
        <v>0</v>
      </c>
      <c r="ES21" s="375">
        <v>0</v>
      </c>
      <c r="ET21" s="132">
        <f t="shared" si="25"/>
        <v>0</v>
      </c>
      <c r="EU21" s="174">
        <f t="shared" si="26"/>
        <v>0</v>
      </c>
    </row>
    <row r="22" spans="1:151">
      <c r="A22" t="s">
        <v>385</v>
      </c>
      <c r="B22" s="322">
        <f>SUM(B13:B21)</f>
        <v>279841.80174000002</v>
      </c>
      <c r="C22" s="22"/>
      <c r="D22" s="322">
        <f>SUM(D13:D21)</f>
        <v>26484.037910000006</v>
      </c>
      <c r="E22" s="22"/>
      <c r="F22" s="112">
        <v>19746879</v>
      </c>
      <c r="G22" s="111">
        <v>16726289</v>
      </c>
      <c r="H22" s="111">
        <v>16213726</v>
      </c>
      <c r="I22" s="111">
        <v>15221493</v>
      </c>
      <c r="J22" s="111">
        <v>14198746</v>
      </c>
      <c r="K22" s="111">
        <v>15892007</v>
      </c>
      <c r="L22" s="111">
        <v>14527332.439999999</v>
      </c>
      <c r="M22" s="111">
        <v>14187195.209999997</v>
      </c>
      <c r="N22" s="111">
        <v>13333350.109999999</v>
      </c>
      <c r="O22" s="111">
        <v>14007137.9</v>
      </c>
      <c r="P22" s="111">
        <v>15092870.070000004</v>
      </c>
      <c r="Q22" s="111">
        <v>16740779.949999997</v>
      </c>
      <c r="R22" s="111">
        <v>17701965.23</v>
      </c>
      <c r="S22" s="111">
        <v>16141216.310000001</v>
      </c>
      <c r="T22" s="111">
        <v>16241057.110000001</v>
      </c>
      <c r="U22" s="235">
        <v>15123079.779999999</v>
      </c>
      <c r="V22" s="235">
        <v>14213145.57</v>
      </c>
      <c r="W22" s="235">
        <v>13890875.699999999</v>
      </c>
      <c r="X22" s="235">
        <v>14473649.790000001</v>
      </c>
      <c r="Y22" s="235">
        <v>13911735.590000004</v>
      </c>
      <c r="Z22" s="235">
        <v>14222022.030000005</v>
      </c>
      <c r="AA22" s="235">
        <v>15310300.089999996</v>
      </c>
      <c r="AB22" s="235">
        <v>16395850.910000004</v>
      </c>
      <c r="AC22" s="235">
        <v>17212906.400000002</v>
      </c>
      <c r="AD22" s="235">
        <v>17802153.933048654</v>
      </c>
      <c r="AE22" s="235">
        <v>17039483.253048651</v>
      </c>
      <c r="AF22" s="235">
        <v>17581551.693048652</v>
      </c>
      <c r="AG22" s="235">
        <v>17166705.303048652</v>
      </c>
      <c r="AH22" s="235">
        <v>15523733.323048653</v>
      </c>
      <c r="AI22" s="235">
        <v>15593807.373048654</v>
      </c>
      <c r="AJ22" s="111">
        <v>15643805.79304865</v>
      </c>
      <c r="AK22" s="111">
        <v>15394791.413048655</v>
      </c>
      <c r="AL22" s="111">
        <v>15192707.703048652</v>
      </c>
      <c r="AM22" s="111">
        <v>15593187.37304865</v>
      </c>
      <c r="AN22" s="111">
        <v>14641456.373048658</v>
      </c>
      <c r="AO22" s="111">
        <v>17758569.273048654</v>
      </c>
      <c r="AP22" s="111">
        <v>20072500.940000001</v>
      </c>
      <c r="AQ22" s="111">
        <v>19313650.800000001</v>
      </c>
      <c r="AR22" s="111">
        <v>16387877.349999998</v>
      </c>
      <c r="AS22" s="111">
        <v>17128414.310000002</v>
      </c>
      <c r="AT22" s="111">
        <v>16281725.340000002</v>
      </c>
      <c r="AU22" s="111">
        <v>15880304.779999999</v>
      </c>
      <c r="AV22" s="111">
        <v>16167409.960000003</v>
      </c>
      <c r="AW22" s="111">
        <v>15599908.48</v>
      </c>
      <c r="AX22" s="111">
        <v>16679173.529999999</v>
      </c>
      <c r="AY22" s="111">
        <v>15828482.110000003</v>
      </c>
      <c r="AZ22" s="111">
        <v>16452597.140000002</v>
      </c>
      <c r="BA22" s="111">
        <v>18418873.439999998</v>
      </c>
      <c r="BB22" s="111">
        <v>19462955.780000001</v>
      </c>
      <c r="BC22" s="111">
        <v>19481653.280000005</v>
      </c>
      <c r="BD22" s="111">
        <v>19708905.02</v>
      </c>
      <c r="BE22" s="111">
        <v>17524012.029999997</v>
      </c>
      <c r="BF22" s="111">
        <v>15734019.23</v>
      </c>
      <c r="BG22" s="111">
        <v>16478392.040000001</v>
      </c>
      <c r="BH22" s="111">
        <v>16436783.079999998</v>
      </c>
      <c r="BI22" s="111">
        <v>15882010.669999998</v>
      </c>
      <c r="BJ22" s="111">
        <v>16332086.359999998</v>
      </c>
      <c r="BK22" s="111">
        <v>16818199.299999997</v>
      </c>
      <c r="BL22" s="111">
        <v>17852070.120000001</v>
      </c>
      <c r="BM22" s="111">
        <v>19257870.16</v>
      </c>
      <c r="BN22" s="111">
        <v>19987964.289999999</v>
      </c>
      <c r="BO22" s="111">
        <v>20922547.649999999</v>
      </c>
      <c r="BP22" s="111">
        <v>19417717.48</v>
      </c>
      <c r="BQ22" s="111">
        <v>17645917.440000001</v>
      </c>
      <c r="BR22" s="111">
        <v>16779788.550000004</v>
      </c>
      <c r="BS22" s="111">
        <v>18009857.52</v>
      </c>
      <c r="BT22" s="111">
        <v>16653512.23</v>
      </c>
      <c r="BU22" s="111">
        <v>17114323.120000005</v>
      </c>
      <c r="BV22" s="111">
        <v>16770075.699999997</v>
      </c>
      <c r="BW22" s="111">
        <v>17541293.219999999</v>
      </c>
      <c r="BX22" s="111">
        <v>17325459.580000002</v>
      </c>
      <c r="BY22" s="111">
        <v>21249959.34</v>
      </c>
      <c r="BZ22" s="111">
        <f>SUM(BZ13:BZ21)</f>
        <v>18733128.750000004</v>
      </c>
      <c r="CA22" s="111">
        <f>SUM(CA13:CA21)</f>
        <v>18137871.030000001</v>
      </c>
      <c r="CB22" s="111">
        <f>SUM(CB13:CB21)</f>
        <v>18665789.68</v>
      </c>
      <c r="CC22" s="111">
        <v>18320244.280000001</v>
      </c>
      <c r="CD22" s="111">
        <v>17442943.600000001</v>
      </c>
      <c r="CE22" s="111">
        <v>18174079.859999999</v>
      </c>
      <c r="CF22" s="111">
        <f t="shared" ref="CF22:CK22" si="27">SUM(CF13:CF21)</f>
        <v>16658273.560000001</v>
      </c>
      <c r="CG22" s="111">
        <f t="shared" si="27"/>
        <v>17335698.600000001</v>
      </c>
      <c r="CH22" s="111">
        <f t="shared" si="27"/>
        <v>17464761.16</v>
      </c>
      <c r="CI22" s="111">
        <f t="shared" si="27"/>
        <v>17600487.470000003</v>
      </c>
      <c r="CJ22" s="111">
        <f t="shared" si="27"/>
        <v>17994774.59</v>
      </c>
      <c r="CK22" s="111">
        <f t="shared" si="27"/>
        <v>18965754.390000004</v>
      </c>
      <c r="CL22" s="111">
        <f t="shared" ref="CL22:CQ22" si="28">SUM(CL13:CL21)</f>
        <v>21473568.990000002</v>
      </c>
      <c r="CM22" s="111">
        <f t="shared" si="28"/>
        <v>21162925.390000001</v>
      </c>
      <c r="CN22" s="111">
        <f t="shared" si="28"/>
        <v>22457240.180000003</v>
      </c>
      <c r="CO22" s="111">
        <f t="shared" si="28"/>
        <v>21000992.839999996</v>
      </c>
      <c r="CP22" s="111">
        <f t="shared" si="28"/>
        <v>18721159.360000003</v>
      </c>
      <c r="CQ22" s="111">
        <f t="shared" si="28"/>
        <v>18344907.260000002</v>
      </c>
      <c r="CR22" s="111">
        <f t="shared" ref="CR22:CW22" si="29">SUM(CR13:CR21)</f>
        <v>19125872.32</v>
      </c>
      <c r="CS22" s="111">
        <f t="shared" si="29"/>
        <v>18459683.620000001</v>
      </c>
      <c r="CT22" s="111">
        <f t="shared" si="29"/>
        <v>17871040.420000002</v>
      </c>
      <c r="CU22" s="111">
        <f t="shared" si="29"/>
        <v>19026178.93</v>
      </c>
      <c r="CV22" s="111">
        <f t="shared" si="29"/>
        <v>18383406.649999999</v>
      </c>
      <c r="CW22" s="111">
        <f t="shared" si="29"/>
        <v>20238412.109999999</v>
      </c>
      <c r="CX22" s="111">
        <f t="shared" ref="CX22:DC22" si="30">SUM(CX13:CX21)</f>
        <v>20452599.789999999</v>
      </c>
      <c r="CY22" s="111">
        <f t="shared" si="30"/>
        <v>19615511.52</v>
      </c>
      <c r="CZ22" s="111">
        <f t="shared" si="30"/>
        <v>19827510.050000001</v>
      </c>
      <c r="DA22" s="111">
        <f t="shared" si="30"/>
        <v>17969253.359999999</v>
      </c>
      <c r="DB22" s="111">
        <f t="shared" si="30"/>
        <v>17896250.279999997</v>
      </c>
      <c r="DC22" s="111">
        <f t="shared" si="30"/>
        <v>17861980.649999999</v>
      </c>
      <c r="DD22" s="111">
        <f t="shared" ref="DD22:DI22" si="31">SUM(DD13:DD21)</f>
        <v>18373035.280000001</v>
      </c>
      <c r="DE22" s="111">
        <f t="shared" si="31"/>
        <v>17562710.920000002</v>
      </c>
      <c r="DF22" s="111">
        <f t="shared" si="31"/>
        <v>17805514.02</v>
      </c>
      <c r="DG22" s="111">
        <f t="shared" si="31"/>
        <v>18397829.519999996</v>
      </c>
      <c r="DH22" s="111">
        <f t="shared" si="31"/>
        <v>19614885.620000005</v>
      </c>
      <c r="DI22" s="111">
        <f t="shared" si="31"/>
        <v>22839881.950000007</v>
      </c>
      <c r="DJ22" s="111">
        <f t="shared" ref="DJ22:EU22" si="32">SUM(DJ13:DJ21)</f>
        <v>20895425.940000001</v>
      </c>
      <c r="DK22" s="111">
        <f t="shared" si="32"/>
        <v>21328085.270000003</v>
      </c>
      <c r="DL22" s="111">
        <f t="shared" si="32"/>
        <v>20986618.350000001</v>
      </c>
      <c r="DM22" s="111">
        <f t="shared" si="32"/>
        <v>18269690.169999998</v>
      </c>
      <c r="DN22" s="111">
        <f t="shared" si="32"/>
        <v>17363157.940000001</v>
      </c>
      <c r="DO22" s="111">
        <f t="shared" si="32"/>
        <v>18619131.43</v>
      </c>
      <c r="DP22" s="111">
        <f t="shared" si="32"/>
        <v>18001910.130000003</v>
      </c>
      <c r="DQ22" s="111">
        <f t="shared" si="32"/>
        <v>17971913.219999999</v>
      </c>
      <c r="DR22" s="111">
        <f t="shared" si="32"/>
        <v>18898664.330000002</v>
      </c>
      <c r="DS22" s="111">
        <f t="shared" si="32"/>
        <v>20022455.620000001</v>
      </c>
      <c r="DT22" s="111">
        <f t="shared" si="32"/>
        <v>18495667.440000001</v>
      </c>
      <c r="DU22" s="111">
        <f t="shared" si="32"/>
        <v>23335667.509999998</v>
      </c>
      <c r="DV22" s="111">
        <f t="shared" ref="DV22:EA22" si="33">SUM(DV13:DV21)</f>
        <v>24657922.080000002</v>
      </c>
      <c r="DW22" s="111">
        <f t="shared" si="33"/>
        <v>22429811.489999998</v>
      </c>
      <c r="DX22" s="111">
        <f t="shared" si="33"/>
        <v>22188089.819999997</v>
      </c>
      <c r="DY22" s="111">
        <f t="shared" si="33"/>
        <v>22086176.709999997</v>
      </c>
      <c r="DZ22" s="111">
        <f t="shared" si="33"/>
        <v>21133889.240000002</v>
      </c>
      <c r="EA22" s="111">
        <f t="shared" si="33"/>
        <v>20683424.280000001</v>
      </c>
      <c r="EB22" s="111">
        <f t="shared" ref="EB22:ET22" si="34">SUM(EB13:EB21)</f>
        <v>21627802.539999999</v>
      </c>
      <c r="EC22" s="111">
        <f t="shared" si="34"/>
        <v>20069422.75</v>
      </c>
      <c r="ED22" s="111">
        <f t="shared" si="34"/>
        <v>21060661.100000001</v>
      </c>
      <c r="EE22" s="111">
        <f t="shared" si="34"/>
        <v>20932295.949999999</v>
      </c>
      <c r="EF22" s="111">
        <f t="shared" si="34"/>
        <v>21986475.890000001</v>
      </c>
      <c r="EG22" s="111">
        <f t="shared" si="34"/>
        <v>26121418.019999992</v>
      </c>
      <c r="EH22" s="111">
        <f t="shared" ref="EH22:EJ22" si="35">SUM(EH13:EH21)</f>
        <v>25191562.080000002</v>
      </c>
      <c r="EI22" s="111">
        <f t="shared" si="35"/>
        <v>25095165.089999996</v>
      </c>
      <c r="EJ22" s="111">
        <f t="shared" si="35"/>
        <v>21478422.829999994</v>
      </c>
      <c r="EK22" s="111">
        <f t="shared" ref="EK22:EM22" si="36">SUM(EK13:EK21)</f>
        <v>23835960.530000001</v>
      </c>
      <c r="EL22" s="111">
        <f t="shared" si="36"/>
        <v>23274277.049999993</v>
      </c>
      <c r="EM22" s="111">
        <f t="shared" si="36"/>
        <v>20498140.73</v>
      </c>
      <c r="EN22" s="111">
        <f t="shared" ref="EN22:EO22" si="37">SUM(EN13:EN21)</f>
        <v>23542292.48</v>
      </c>
      <c r="EO22" s="111">
        <f t="shared" si="37"/>
        <v>23110369.199999999</v>
      </c>
      <c r="EP22" s="111">
        <f t="shared" ref="EP22:EQ22" si="38">SUM(EP13:EP21)</f>
        <v>19732500.889999993</v>
      </c>
      <c r="EQ22" s="111">
        <f t="shared" si="38"/>
        <v>24303981.939999998</v>
      </c>
      <c r="ER22" s="111">
        <f t="shared" ref="ER22:ES22" si="39">SUM(ER13:ER21)</f>
        <v>23295091.009999998</v>
      </c>
      <c r="ES22" s="111">
        <f t="shared" si="39"/>
        <v>26484037.91</v>
      </c>
      <c r="ET22" s="360">
        <f t="shared" si="34"/>
        <v>279841801.74000001</v>
      </c>
      <c r="EU22" s="175">
        <f t="shared" si="32"/>
        <v>279841.80174000002</v>
      </c>
    </row>
    <row r="23" spans="1:151">
      <c r="B23" s="322"/>
      <c r="C23" s="22"/>
      <c r="D23" s="322"/>
      <c r="E23" s="22"/>
      <c r="F23" s="328"/>
      <c r="G23" s="180"/>
      <c r="H23" s="180"/>
      <c r="I23" s="180"/>
      <c r="J23" s="180"/>
      <c r="K23" s="180"/>
      <c r="L23" s="180"/>
      <c r="M23" s="180"/>
      <c r="N23" s="180"/>
      <c r="O23" s="180"/>
      <c r="P23" s="180"/>
      <c r="Q23" s="180"/>
      <c r="R23" s="180"/>
      <c r="S23" s="180"/>
      <c r="T23" s="180"/>
      <c r="U23" s="237"/>
      <c r="V23" s="237"/>
      <c r="W23" s="237"/>
      <c r="X23" s="237"/>
      <c r="Y23" s="237"/>
      <c r="Z23" s="237"/>
      <c r="AA23" s="237"/>
      <c r="AB23" s="237"/>
      <c r="AC23" s="237"/>
      <c r="AD23" s="237"/>
      <c r="AE23" s="237"/>
      <c r="AF23" s="237"/>
      <c r="AG23" s="237"/>
      <c r="AH23" s="237"/>
      <c r="AI23" s="237"/>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c r="CV23" s="180"/>
      <c r="CW23" s="180"/>
      <c r="CX23" s="180"/>
      <c r="CY23" s="180"/>
      <c r="CZ23" s="180"/>
      <c r="DA23" s="180"/>
      <c r="DB23" s="180"/>
      <c r="DC23" s="180"/>
      <c r="DD23" s="180"/>
      <c r="DE23" s="180"/>
      <c r="DF23" s="180"/>
      <c r="DG23" s="180"/>
      <c r="DH23" s="180"/>
      <c r="DI23" s="180"/>
      <c r="DJ23" s="180"/>
      <c r="DK23" s="180"/>
      <c r="DL23" s="180"/>
      <c r="DM23" s="180"/>
      <c r="DN23" s="180"/>
      <c r="DO23" s="180"/>
      <c r="DP23" s="180"/>
      <c r="DQ23" s="180"/>
      <c r="DR23" s="180"/>
      <c r="DS23" s="180"/>
      <c r="DT23" s="180"/>
      <c r="DU23" s="180"/>
      <c r="DV23" s="180"/>
      <c r="DW23" s="180"/>
      <c r="DX23" s="180"/>
      <c r="DY23" s="180"/>
      <c r="DZ23" s="180"/>
      <c r="EA23" s="180"/>
      <c r="EB23" s="180"/>
      <c r="EC23" s="180"/>
      <c r="ED23" s="180"/>
      <c r="EE23" s="180"/>
      <c r="EF23" s="180"/>
      <c r="EG23" s="180"/>
      <c r="EH23" s="180"/>
      <c r="EI23" s="180"/>
      <c r="EJ23" s="180"/>
      <c r="EK23" s="180"/>
      <c r="EL23" s="180"/>
      <c r="EM23" s="180"/>
      <c r="EN23" s="180"/>
      <c r="EO23" s="180"/>
      <c r="EP23" s="180"/>
      <c r="EQ23" s="180"/>
      <c r="ER23" s="180"/>
      <c r="ES23" s="180"/>
      <c r="ET23" s="180"/>
      <c r="EU23" s="174"/>
    </row>
    <row r="24" spans="1:151">
      <c r="A24" t="s">
        <v>414</v>
      </c>
      <c r="B24" s="323">
        <f>+B11-B22</f>
        <v>100943.3045400001</v>
      </c>
      <c r="C24" s="22"/>
      <c r="D24" s="323">
        <f>+D11-D22</f>
        <v>7612.5625099999888</v>
      </c>
      <c r="E24" s="22"/>
      <c r="F24" s="182">
        <v>8460243</v>
      </c>
      <c r="G24" s="182">
        <v>5198539</v>
      </c>
      <c r="H24" s="182">
        <v>4589876</v>
      </c>
      <c r="I24" s="182">
        <v>4271550</v>
      </c>
      <c r="J24" s="182">
        <v>3574437</v>
      </c>
      <c r="K24" s="182">
        <v>1562817</v>
      </c>
      <c r="L24" s="182">
        <v>2912287.8599999975</v>
      </c>
      <c r="M24" s="182">
        <v>2128160.0500000026</v>
      </c>
      <c r="N24" s="182">
        <v>3328511.0000000019</v>
      </c>
      <c r="O24" s="182">
        <v>2881604.7699999977</v>
      </c>
      <c r="P24" s="182">
        <v>3525903.0299999975</v>
      </c>
      <c r="Q24" s="182">
        <v>4513012.5300000031</v>
      </c>
      <c r="R24" s="182">
        <v>6366552.5600000024</v>
      </c>
      <c r="S24" s="182">
        <v>4133504.0500000063</v>
      </c>
      <c r="T24" s="182">
        <v>4501985.8499999922</v>
      </c>
      <c r="U24" s="238">
        <v>4723342.0499999989</v>
      </c>
      <c r="V24" s="238">
        <v>4512282.2899999991</v>
      </c>
      <c r="W24" s="238">
        <v>3907806.1400000006</v>
      </c>
      <c r="X24" s="238">
        <v>3483005.0900000017</v>
      </c>
      <c r="Y24" s="238">
        <v>3715044.4299999923</v>
      </c>
      <c r="Z24" s="238">
        <v>2978790.59</v>
      </c>
      <c r="AA24" s="238">
        <v>2672198.4300000034</v>
      </c>
      <c r="AB24" s="238">
        <v>3428062.9999999963</v>
      </c>
      <c r="AC24" s="238">
        <v>3914803.0800000019</v>
      </c>
      <c r="AD24" s="238">
        <v>6016977.2969513424</v>
      </c>
      <c r="AE24" s="238">
        <v>4542998.95695135</v>
      </c>
      <c r="AF24" s="238">
        <v>5803143.5469513424</v>
      </c>
      <c r="AG24" s="238">
        <v>4892210.6669513471</v>
      </c>
      <c r="AH24" s="238">
        <v>2961695.0969513562</v>
      </c>
      <c r="AI24" s="238">
        <v>2757894.5069513489</v>
      </c>
      <c r="AJ24" s="182">
        <v>2940167.8569513448</v>
      </c>
      <c r="AK24" s="182">
        <v>2178906.8869513497</v>
      </c>
      <c r="AL24" s="182">
        <v>2860083.1369513478</v>
      </c>
      <c r="AM24" s="182">
        <v>2613737.0369513463</v>
      </c>
      <c r="AN24" s="182">
        <v>4578033.2169513423</v>
      </c>
      <c r="AO24" s="182">
        <v>3201810.8969513476</v>
      </c>
      <c r="AP24" s="182">
        <v>6091226.8599999957</v>
      </c>
      <c r="AQ24" s="182">
        <v>5284531.229999993</v>
      </c>
      <c r="AR24" s="182">
        <v>5845282.150000006</v>
      </c>
      <c r="AS24" s="182">
        <v>4189553.179999996</v>
      </c>
      <c r="AT24" s="182">
        <v>2715057.8400000017</v>
      </c>
      <c r="AU24" s="182">
        <v>3373677.1099999975</v>
      </c>
      <c r="AV24" s="182">
        <v>2704646.8599999975</v>
      </c>
      <c r="AW24" s="182">
        <v>2592049.4800000004</v>
      </c>
      <c r="AX24" s="182">
        <v>2425753.0000000019</v>
      </c>
      <c r="AY24" s="182">
        <v>3282589.6699999943</v>
      </c>
      <c r="AZ24" s="182">
        <v>3823092.1700000037</v>
      </c>
      <c r="BA24" s="182">
        <v>4776187.6700000055</v>
      </c>
      <c r="BB24" s="182">
        <v>6319702.4900000058</v>
      </c>
      <c r="BC24" s="182">
        <v>5937691.0399999991</v>
      </c>
      <c r="BD24" s="182">
        <v>5145378.7099999972</v>
      </c>
      <c r="BE24" s="182">
        <v>3443505.0800000094</v>
      </c>
      <c r="BF24" s="182">
        <v>3303372.9499999993</v>
      </c>
      <c r="BG24" s="182">
        <v>3861462.7300000023</v>
      </c>
      <c r="BH24" s="182">
        <v>2916407.5</v>
      </c>
      <c r="BI24" s="182">
        <v>3575817.7300000079</v>
      </c>
      <c r="BJ24" s="182">
        <v>2860473.4600000028</v>
      </c>
      <c r="BK24" s="182">
        <v>3273686.5900000036</v>
      </c>
      <c r="BL24" s="182">
        <v>2830708.5500000007</v>
      </c>
      <c r="BM24" s="182">
        <v>3142541.4499999993</v>
      </c>
      <c r="BN24" s="182">
        <v>6246132.2900000066</v>
      </c>
      <c r="BO24" s="182">
        <v>6298028.2100000083</v>
      </c>
      <c r="BP24" s="182">
        <v>4503286.6999999993</v>
      </c>
      <c r="BQ24" s="182">
        <v>4049495.5800000019</v>
      </c>
      <c r="BR24" s="182">
        <v>3703703.4499999993</v>
      </c>
      <c r="BS24" s="182">
        <v>2479047.0700000003</v>
      </c>
      <c r="BT24" s="182">
        <v>3500346.4099999927</v>
      </c>
      <c r="BU24" s="182">
        <v>2705461.549999997</v>
      </c>
      <c r="BV24" s="182">
        <v>3123779.1900000032</v>
      </c>
      <c r="BW24" s="182">
        <v>2840337.3900000006</v>
      </c>
      <c r="BX24" s="182">
        <v>4005622.7899999991</v>
      </c>
      <c r="BY24" s="182">
        <v>2388882.5799999945</v>
      </c>
      <c r="BZ24" s="182">
        <f>+BZ11-BZ22</f>
        <v>6152748.8000000007</v>
      </c>
      <c r="CA24" s="182">
        <f>+CA11-CA22</f>
        <v>4702553.3999999911</v>
      </c>
      <c r="CB24" s="182">
        <f>+CB11-CB22</f>
        <v>5200863.66</v>
      </c>
      <c r="CC24" s="182">
        <v>4844336.1199999973</v>
      </c>
      <c r="CD24" s="182">
        <v>4524301.7600000054</v>
      </c>
      <c r="CE24" s="182">
        <v>3102457.8999999985</v>
      </c>
      <c r="CF24" s="182">
        <f t="shared" ref="CF24:CK24" si="40">+CF11-CF22</f>
        <v>3662001.1899999995</v>
      </c>
      <c r="CG24" s="182">
        <f t="shared" si="40"/>
        <v>3525504.2599999942</v>
      </c>
      <c r="CH24" s="182">
        <f t="shared" si="40"/>
        <v>3446501.2700000033</v>
      </c>
      <c r="CI24" s="182">
        <f t="shared" si="40"/>
        <v>3614241.3699999936</v>
      </c>
      <c r="CJ24" s="182">
        <f t="shared" si="40"/>
        <v>4231441.7200000025</v>
      </c>
      <c r="CK24" s="182">
        <f t="shared" si="40"/>
        <v>5951609.770000007</v>
      </c>
      <c r="CL24" s="182">
        <f t="shared" ref="CL24:CQ24" si="41">+CL11-CL22</f>
        <v>9940462.4899999946</v>
      </c>
      <c r="CM24" s="182">
        <f t="shared" si="41"/>
        <v>5415606.1499999985</v>
      </c>
      <c r="CN24" s="182">
        <f t="shared" si="41"/>
        <v>2325500.1899999939</v>
      </c>
      <c r="CO24" s="182">
        <f t="shared" si="41"/>
        <v>5926409.1000000089</v>
      </c>
      <c r="CP24" s="182">
        <f t="shared" si="41"/>
        <v>3444404.6699999981</v>
      </c>
      <c r="CQ24" s="182">
        <f t="shared" si="41"/>
        <v>3828231.6100000031</v>
      </c>
      <c r="CR24" s="182">
        <f t="shared" ref="CR24:CW24" si="42">+CR11-CR22</f>
        <v>3891277.7600000054</v>
      </c>
      <c r="CS24" s="182">
        <f t="shared" si="42"/>
        <v>3421528.120000001</v>
      </c>
      <c r="CT24" s="182">
        <f t="shared" si="42"/>
        <v>4453467.1600000113</v>
      </c>
      <c r="CU24" s="182">
        <f t="shared" si="42"/>
        <v>3787137.3200000077</v>
      </c>
      <c r="CV24" s="182">
        <f t="shared" si="42"/>
        <v>4520616.8500000127</v>
      </c>
      <c r="CW24" s="182">
        <f t="shared" si="42"/>
        <v>6215582.5100000128</v>
      </c>
      <c r="CX24" s="182">
        <f t="shared" ref="CX24:DC24" si="43">+CX11-CX22</f>
        <v>7735121.25</v>
      </c>
      <c r="CY24" s="182">
        <f t="shared" si="43"/>
        <v>6933687.2900000066</v>
      </c>
      <c r="CZ24" s="182">
        <f t="shared" si="43"/>
        <v>6359334.7200000025</v>
      </c>
      <c r="DA24" s="182">
        <f t="shared" si="43"/>
        <v>6143625.1099999994</v>
      </c>
      <c r="DB24" s="182">
        <f t="shared" si="43"/>
        <v>5537220.6199999936</v>
      </c>
      <c r="DC24" s="182">
        <f t="shared" si="43"/>
        <v>4455270.5400000066</v>
      </c>
      <c r="DD24" s="182">
        <f t="shared" ref="DD24:DI24" si="44">+DD11-DD22</f>
        <v>4010450.0599999987</v>
      </c>
      <c r="DE24" s="182">
        <f t="shared" si="44"/>
        <v>4582283.09</v>
      </c>
      <c r="DF24" s="182">
        <f t="shared" si="44"/>
        <v>4625023.7300000004</v>
      </c>
      <c r="DG24" s="182">
        <f t="shared" si="44"/>
        <v>4508739.3800000027</v>
      </c>
      <c r="DH24" s="182">
        <f t="shared" si="44"/>
        <v>5499297.9999999925</v>
      </c>
      <c r="DI24" s="182">
        <f t="shared" si="44"/>
        <v>4979877.9199999906</v>
      </c>
      <c r="DJ24" s="182">
        <f t="shared" ref="DJ24:EU24" si="45">+DJ11-DJ22</f>
        <v>8644015.7799999975</v>
      </c>
      <c r="DK24" s="182">
        <f t="shared" si="45"/>
        <v>6665329.9600000009</v>
      </c>
      <c r="DL24" s="182">
        <f t="shared" si="45"/>
        <v>5635700.3799999952</v>
      </c>
      <c r="DM24" s="182">
        <f t="shared" si="45"/>
        <v>4431936.6300000064</v>
      </c>
      <c r="DN24" s="182">
        <f t="shared" si="45"/>
        <v>4746114</v>
      </c>
      <c r="DO24" s="182">
        <f t="shared" si="45"/>
        <v>4180826.9200000018</v>
      </c>
      <c r="DP24" s="182">
        <f t="shared" si="45"/>
        <v>4027489.8299999982</v>
      </c>
      <c r="DQ24" s="182">
        <f t="shared" si="45"/>
        <v>4533062.6800000034</v>
      </c>
      <c r="DR24" s="182">
        <f t="shared" si="45"/>
        <v>3801043.91</v>
      </c>
      <c r="DS24" s="182">
        <f t="shared" si="45"/>
        <v>3786107.049999997</v>
      </c>
      <c r="DT24" s="182">
        <f t="shared" si="45"/>
        <v>6143399.8900000043</v>
      </c>
      <c r="DU24" s="182">
        <f t="shared" si="45"/>
        <v>5076111.8500000015</v>
      </c>
      <c r="DV24" s="182">
        <f t="shared" ref="DV24:EA24" si="46">+DV11-DV22</f>
        <v>12317707.819999997</v>
      </c>
      <c r="DW24" s="182">
        <f t="shared" si="46"/>
        <v>8804136.7799999975</v>
      </c>
      <c r="DX24" s="182">
        <f t="shared" si="46"/>
        <v>8680210.1800000034</v>
      </c>
      <c r="DY24" s="182">
        <f t="shared" si="46"/>
        <v>8965501.6900000013</v>
      </c>
      <c r="DZ24" s="182">
        <f t="shared" si="46"/>
        <v>6652243.8500000089</v>
      </c>
      <c r="EA24" s="182">
        <f t="shared" si="46"/>
        <v>6700402.7899999991</v>
      </c>
      <c r="EB24" s="182">
        <f t="shared" ref="EB24:ET24" si="47">+EB11-EB22</f>
        <v>5672462.320000004</v>
      </c>
      <c r="EC24" s="182">
        <f t="shared" si="47"/>
        <v>5908975.8500000015</v>
      </c>
      <c r="ED24" s="182">
        <f t="shared" si="47"/>
        <v>6509228.3999999985</v>
      </c>
      <c r="EE24" s="182">
        <f t="shared" si="47"/>
        <v>6229267.5500000007</v>
      </c>
      <c r="EF24" s="182">
        <f t="shared" si="47"/>
        <v>7186472.0600000061</v>
      </c>
      <c r="EG24" s="182">
        <f t="shared" si="47"/>
        <v>7262771.3600000106</v>
      </c>
      <c r="EH24" s="182">
        <f t="shared" ref="EH24:EJ24" si="48">+EH11-EH22</f>
        <v>11349886.680000003</v>
      </c>
      <c r="EI24" s="182">
        <f t="shared" si="48"/>
        <v>10200282.340000011</v>
      </c>
      <c r="EJ24" s="182">
        <f t="shared" si="48"/>
        <v>12037925.370000001</v>
      </c>
      <c r="EK24" s="182">
        <f t="shared" ref="EK24:EM24" si="49">+EK11-EK22</f>
        <v>8163991.8400000036</v>
      </c>
      <c r="EL24" s="182">
        <f t="shared" si="49"/>
        <v>7693234.3700000085</v>
      </c>
      <c r="EM24" s="182">
        <f t="shared" si="49"/>
        <v>8183531.370000001</v>
      </c>
      <c r="EN24" s="182">
        <f t="shared" ref="EN24:EO24" si="50">+EN11-EN22</f>
        <v>5851843.0100000054</v>
      </c>
      <c r="EO24" s="182">
        <f t="shared" si="50"/>
        <v>6193478.3300000094</v>
      </c>
      <c r="EP24" s="182">
        <f t="shared" ref="EP24:EQ24" si="51">+EP11-EP22</f>
        <v>8869977.4200000092</v>
      </c>
      <c r="EQ24" s="182">
        <f t="shared" si="51"/>
        <v>6854728.7099999972</v>
      </c>
      <c r="ER24" s="182">
        <f t="shared" ref="ER24:ES24" si="52">+ER11-ER22</f>
        <v>7931862.5899999924</v>
      </c>
      <c r="ES24" s="182">
        <f t="shared" si="52"/>
        <v>7612562.5099999867</v>
      </c>
      <c r="ET24" s="378">
        <f t="shared" si="47"/>
        <v>100943304.54000008</v>
      </c>
      <c r="EU24" s="175">
        <f t="shared" si="45"/>
        <v>100943.3045400001</v>
      </c>
    </row>
    <row r="25" spans="1:151">
      <c r="B25" s="282"/>
      <c r="C25" s="22"/>
      <c r="D25" s="282"/>
      <c r="E25" s="22"/>
      <c r="F25" s="42"/>
      <c r="G25" s="42"/>
      <c r="H25" s="42"/>
      <c r="I25" s="42"/>
      <c r="J25" s="42"/>
      <c r="K25" s="42"/>
      <c r="L25" s="42"/>
      <c r="M25" s="42"/>
      <c r="N25" s="42"/>
      <c r="O25" s="42"/>
      <c r="P25" s="180"/>
      <c r="Q25" s="180"/>
      <c r="R25" s="42"/>
      <c r="S25" s="42"/>
      <c r="T25" s="42"/>
      <c r="U25" s="236"/>
      <c r="V25" s="236"/>
      <c r="W25" s="236"/>
      <c r="X25" s="236"/>
      <c r="Y25" s="236"/>
      <c r="Z25" s="236"/>
      <c r="AA25" s="236"/>
      <c r="AB25" s="236"/>
      <c r="AC25" s="237"/>
      <c r="AD25" s="237"/>
      <c r="AE25" s="237"/>
      <c r="AF25" s="237"/>
      <c r="AG25" s="237"/>
      <c r="AH25" s="237"/>
      <c r="AI25" s="237"/>
      <c r="AJ25" s="180"/>
      <c r="AK25" s="180"/>
      <c r="AL25" s="180"/>
      <c r="AM25" s="180"/>
      <c r="AN25" s="180"/>
      <c r="AO25" s="180"/>
      <c r="AP25" s="180"/>
      <c r="AQ25" s="180"/>
      <c r="AR25" s="180"/>
      <c r="AS25" s="180"/>
      <c r="AT25" s="180"/>
      <c r="AU25" s="180"/>
      <c r="AV25" s="180"/>
      <c r="AW25" s="180"/>
      <c r="AX25" s="180"/>
      <c r="AY25" s="180"/>
      <c r="AZ25" s="180"/>
      <c r="BA25" s="180"/>
      <c r="BB25" s="180"/>
      <c r="BC25" s="180"/>
      <c r="BD25" s="180"/>
      <c r="BE25" s="180"/>
      <c r="BF25" s="180"/>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c r="EM25" s="154"/>
      <c r="EN25" s="154"/>
      <c r="EO25" s="154"/>
      <c r="EP25" s="154"/>
      <c r="EQ25" s="154"/>
      <c r="ER25" s="154"/>
      <c r="ES25" s="154"/>
      <c r="ET25" s="180"/>
      <c r="EU25" s="174"/>
    </row>
    <row r="26" spans="1:151">
      <c r="A26" s="4" t="s">
        <v>386</v>
      </c>
      <c r="B26" s="324"/>
      <c r="C26" s="22"/>
      <c r="D26" s="324"/>
      <c r="E26" s="22"/>
      <c r="F26" s="42"/>
      <c r="G26" s="42"/>
      <c r="H26" s="42"/>
      <c r="I26" s="42"/>
      <c r="J26" s="42"/>
      <c r="K26" s="42"/>
      <c r="L26" s="42"/>
      <c r="M26" s="42"/>
      <c r="N26" s="42"/>
      <c r="O26" s="42"/>
      <c r="P26" s="180"/>
      <c r="Q26" s="180"/>
      <c r="R26" s="42"/>
      <c r="S26" s="42"/>
      <c r="T26" s="42"/>
      <c r="U26" s="236"/>
      <c r="V26" s="236"/>
      <c r="W26" s="236"/>
      <c r="X26" s="236"/>
      <c r="Y26" s="236"/>
      <c r="Z26" s="236"/>
      <c r="AA26" s="236"/>
      <c r="AB26" s="236"/>
      <c r="AC26" s="237"/>
      <c r="AD26" s="237"/>
      <c r="AE26" s="237"/>
      <c r="AF26" s="237"/>
      <c r="AG26" s="237"/>
      <c r="AH26" s="237"/>
      <c r="AI26" s="237"/>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80"/>
      <c r="DM26" s="180"/>
      <c r="DN26" s="180"/>
      <c r="DO26" s="180"/>
      <c r="DP26" s="180"/>
      <c r="DQ26" s="180"/>
      <c r="DR26" s="180"/>
      <c r="DS26" s="180"/>
      <c r="DT26" s="180"/>
      <c r="DU26" s="180"/>
      <c r="DV26" s="180"/>
      <c r="DW26" s="180"/>
      <c r="DX26" s="180"/>
      <c r="DY26" s="180"/>
      <c r="DZ26" s="180"/>
      <c r="EA26" s="180"/>
      <c r="EB26" s="180"/>
      <c r="EC26" s="180"/>
      <c r="ED26" s="180"/>
      <c r="EE26" s="180"/>
      <c r="EF26" s="180"/>
      <c r="EG26" s="180"/>
      <c r="EH26" s="180"/>
      <c r="EI26" s="180"/>
      <c r="EJ26" s="180"/>
      <c r="EK26" s="180"/>
      <c r="EL26" s="180"/>
      <c r="EM26" s="180"/>
      <c r="EN26" s="180"/>
      <c r="EO26" s="180"/>
      <c r="EP26" s="180"/>
      <c r="EQ26" s="180"/>
      <c r="ER26" s="180"/>
      <c r="ES26" s="180"/>
      <c r="ET26" s="180"/>
      <c r="EU26" s="174"/>
    </row>
    <row r="27" spans="1:151">
      <c r="A27" t="s">
        <v>387</v>
      </c>
      <c r="B27" s="320">
        <f t="shared" ref="B27:B33" si="53">(+ET27/1000)</f>
        <v>10.331170000000006</v>
      </c>
      <c r="C27" s="22"/>
      <c r="D27" s="320">
        <f t="shared" ref="D27:D33" si="54">(+ES27/1000)</f>
        <v>24.738840000000003</v>
      </c>
      <c r="E27" s="22"/>
      <c r="F27" s="102">
        <v>6948</v>
      </c>
      <c r="G27" s="102">
        <v>-7557</v>
      </c>
      <c r="H27" s="102">
        <v>-7479</v>
      </c>
      <c r="I27" s="102">
        <v>-3175</v>
      </c>
      <c r="J27" s="102">
        <v>-6695</v>
      </c>
      <c r="K27" s="102">
        <v>22278</v>
      </c>
      <c r="L27" s="102">
        <v>-12505.36</v>
      </c>
      <c r="M27" s="102">
        <v>-7240.1</v>
      </c>
      <c r="N27" s="102">
        <v>-7882.64</v>
      </c>
      <c r="O27" s="102">
        <v>-20678.650000000001</v>
      </c>
      <c r="P27" s="107">
        <v>-7558.98</v>
      </c>
      <c r="Q27" s="107">
        <v>-8753.4599999999991</v>
      </c>
      <c r="R27" s="102">
        <v>14163.84</v>
      </c>
      <c r="S27" s="102">
        <v>-12223.15</v>
      </c>
      <c r="T27" s="102">
        <v>6620.5499999999993</v>
      </c>
      <c r="U27" s="231">
        <v>-39078.509999999995</v>
      </c>
      <c r="V27" s="231">
        <v>-26074.799999999996</v>
      </c>
      <c r="W27" s="231">
        <v>8341.24</v>
      </c>
      <c r="X27" s="231">
        <v>3699.9999999999995</v>
      </c>
      <c r="Y27" s="231">
        <v>-3447.9799999999996</v>
      </c>
      <c r="Z27" s="231">
        <v>-7449.9999999999991</v>
      </c>
      <c r="AA27" s="231">
        <v>-12750</v>
      </c>
      <c r="AB27" s="231">
        <v>18775</v>
      </c>
      <c r="AC27" s="232">
        <v>-182220.51</v>
      </c>
      <c r="AD27" s="232">
        <v>-13560.770000000002</v>
      </c>
      <c r="AE27" s="232">
        <v>3323.75</v>
      </c>
      <c r="AF27" s="232">
        <v>-368.85000000000014</v>
      </c>
      <c r="AG27" s="259">
        <v>13612.000000000002</v>
      </c>
      <c r="AH27" s="259">
        <v>5418.7999999999975</v>
      </c>
      <c r="AI27" s="259">
        <v>-13891.2</v>
      </c>
      <c r="AJ27" s="327">
        <v>1162.8000000000006</v>
      </c>
      <c r="AK27" s="327">
        <v>8181.4400000000005</v>
      </c>
      <c r="AL27" s="327">
        <v>-1566.1999999999996</v>
      </c>
      <c r="AM27" s="287">
        <v>219.40000000000026</v>
      </c>
      <c r="AN27" s="287">
        <v>-1125.0000000000002</v>
      </c>
      <c r="AO27" s="287">
        <v>2125</v>
      </c>
      <c r="AP27" s="396">
        <v>-1664.4699999999998</v>
      </c>
      <c r="AQ27" s="396">
        <v>12652.33</v>
      </c>
      <c r="AR27" s="396">
        <v>-13061.66</v>
      </c>
      <c r="AS27" s="396">
        <v>-3819.5</v>
      </c>
      <c r="AT27" s="396">
        <v>-11079.28</v>
      </c>
      <c r="AU27" s="396">
        <v>-2954.58</v>
      </c>
      <c r="AV27" s="396">
        <v>-9090.4699999999993</v>
      </c>
      <c r="AW27" s="396">
        <v>9642.68</v>
      </c>
      <c r="AX27" s="396">
        <v>10603.73</v>
      </c>
      <c r="AY27" s="402">
        <v>2867.52</v>
      </c>
      <c r="AZ27" s="402">
        <v>-1360.22</v>
      </c>
      <c r="BA27" s="402">
        <v>-124299.7</v>
      </c>
      <c r="BB27" s="402">
        <v>6896.07</v>
      </c>
      <c r="BC27" s="402">
        <v>-7975.9000000000005</v>
      </c>
      <c r="BD27" s="402">
        <v>5833.95</v>
      </c>
      <c r="BE27" s="402">
        <v>4748.8900000000003</v>
      </c>
      <c r="BF27" s="402">
        <v>1500.27</v>
      </c>
      <c r="BG27" s="402">
        <v>-4327.74</v>
      </c>
      <c r="BH27" s="402">
        <v>18790.62</v>
      </c>
      <c r="BI27" s="402">
        <v>-249.46000000000004</v>
      </c>
      <c r="BJ27" s="418">
        <v>595.19000000000005</v>
      </c>
      <c r="BK27" s="418">
        <v>3982.67</v>
      </c>
      <c r="BL27" s="418">
        <v>16912.87</v>
      </c>
      <c r="BM27" s="418">
        <v>-90983.06</v>
      </c>
      <c r="BN27" s="418">
        <v>-787.7</v>
      </c>
      <c r="BO27" s="418">
        <v>-281.72000000000003</v>
      </c>
      <c r="BP27" s="418">
        <v>13091.92</v>
      </c>
      <c r="BQ27" s="418">
        <v>2167.83</v>
      </c>
      <c r="BR27" s="418">
        <v>2080</v>
      </c>
      <c r="BS27" s="418">
        <v>5855</v>
      </c>
      <c r="BT27" s="418">
        <v>2783.52</v>
      </c>
      <c r="BU27" s="418">
        <v>-72.519999999999982</v>
      </c>
      <c r="BV27" s="418">
        <v>-221.5</v>
      </c>
      <c r="BW27" s="418">
        <v>4210</v>
      </c>
      <c r="BX27" s="418">
        <v>-400.81</v>
      </c>
      <c r="BY27" s="418">
        <v>-65955</v>
      </c>
      <c r="BZ27" s="418">
        <v>125</v>
      </c>
      <c r="CA27" s="418">
        <v>0</v>
      </c>
      <c r="CB27" s="418">
        <v>26689.71</v>
      </c>
      <c r="CC27" s="418">
        <v>0</v>
      </c>
      <c r="CD27" s="418">
        <v>0</v>
      </c>
      <c r="CE27" s="418">
        <v>4139.9799999999996</v>
      </c>
      <c r="CF27" s="418">
        <v>-764.25</v>
      </c>
      <c r="CG27" s="418">
        <v>-109.83000000000001</v>
      </c>
      <c r="CH27" s="418">
        <v>-44.61</v>
      </c>
      <c r="CI27" s="418">
        <v>-28.42</v>
      </c>
      <c r="CJ27" s="418">
        <v>-710.23</v>
      </c>
      <c r="CK27" s="418">
        <v>37947</v>
      </c>
      <c r="CL27" s="418">
        <v>-36.43</v>
      </c>
      <c r="CM27" s="418">
        <v>14279.87</v>
      </c>
      <c r="CN27" s="418">
        <v>2460.94</v>
      </c>
      <c r="CO27" s="418">
        <v>22589.25</v>
      </c>
      <c r="CP27" s="418">
        <v>-32.590000000000003</v>
      </c>
      <c r="CQ27" s="418">
        <v>3943.19</v>
      </c>
      <c r="CR27" s="418">
        <v>5781.88</v>
      </c>
      <c r="CS27" s="418">
        <v>7777.3</v>
      </c>
      <c r="CT27" s="418">
        <v>5393.89</v>
      </c>
      <c r="CU27" s="418">
        <v>-239.08</v>
      </c>
      <c r="CV27" s="418">
        <v>-218.27</v>
      </c>
      <c r="CW27" s="418">
        <v>-316.47000000000003</v>
      </c>
      <c r="CX27" s="418">
        <v>-753.97</v>
      </c>
      <c r="CY27" s="418">
        <v>3809.22</v>
      </c>
      <c r="CZ27" s="418">
        <v>-115.45</v>
      </c>
      <c r="DA27" s="418">
        <v>-145.88999999999999</v>
      </c>
      <c r="DB27" s="418">
        <v>5830.38</v>
      </c>
      <c r="DC27" s="418">
        <v>-128.44</v>
      </c>
      <c r="DD27" s="418">
        <v>-275.52</v>
      </c>
      <c r="DE27" s="418">
        <v>571.84</v>
      </c>
      <c r="DF27" s="418">
        <v>-1720.8700000000001</v>
      </c>
      <c r="DG27" s="418">
        <v>3437.29</v>
      </c>
      <c r="DH27" s="418">
        <v>-1487.86</v>
      </c>
      <c r="DI27" s="418">
        <v>1708.8</v>
      </c>
      <c r="DJ27" s="418">
        <v>-301.91999999999996</v>
      </c>
      <c r="DK27" s="418">
        <v>2913.04</v>
      </c>
      <c r="DL27" s="418">
        <v>-835.78</v>
      </c>
      <c r="DM27" s="418">
        <v>4207.41</v>
      </c>
      <c r="DN27" s="418">
        <v>-2438.1</v>
      </c>
      <c r="DO27" s="418">
        <v>3701.68</v>
      </c>
      <c r="DP27" s="418">
        <v>-627.98</v>
      </c>
      <c r="DQ27" s="418">
        <v>5972.9599999999991</v>
      </c>
      <c r="DR27" s="418">
        <v>-679.6</v>
      </c>
      <c r="DS27" s="418">
        <v>-17017.97</v>
      </c>
      <c r="DT27" s="418">
        <v>-865.59</v>
      </c>
      <c r="DU27" s="418">
        <v>-4096.22</v>
      </c>
      <c r="DV27" s="418">
        <v>-2667.96</v>
      </c>
      <c r="DW27" s="418">
        <v>-2689.41</v>
      </c>
      <c r="DX27" s="418">
        <v>-2379.44</v>
      </c>
      <c r="DY27" s="418">
        <v>6465.51</v>
      </c>
      <c r="DZ27" s="418">
        <v>-592.79</v>
      </c>
      <c r="EA27" s="418">
        <v>-1644.0300000000002</v>
      </c>
      <c r="EB27" s="418">
        <v>-1331.57</v>
      </c>
      <c r="EC27" s="418">
        <v>-1656.31</v>
      </c>
      <c r="ED27" s="418">
        <v>-2642.34</v>
      </c>
      <c r="EE27" s="418">
        <v>-1974.72</v>
      </c>
      <c r="EF27" s="418">
        <v>-3059.44</v>
      </c>
      <c r="EG27" s="418">
        <v>-2266.75</v>
      </c>
      <c r="EH27" s="418">
        <v>-1835.51</v>
      </c>
      <c r="EI27" s="418">
        <v>-1269.93</v>
      </c>
      <c r="EJ27" s="418">
        <v>-1493.8000000000002</v>
      </c>
      <c r="EK27" s="418">
        <v>-743.82999999999993</v>
      </c>
      <c r="EL27" s="418">
        <v>-377.86</v>
      </c>
      <c r="EM27" s="418">
        <v>-2596.94</v>
      </c>
      <c r="EN27" s="418">
        <v>-427.72</v>
      </c>
      <c r="EO27" s="418">
        <v>-792.49</v>
      </c>
      <c r="EP27" s="418">
        <v>-74.489999999999995</v>
      </c>
      <c r="EQ27" s="418">
        <f>(-VLOOKUP("4150",'Input IS ACCTS'!$A$6:$DH$518,109,FALSE)+(-VLOOKUP("4160",'Input IS ACCTS'!$A$6:$DH$518,109,FALSE)))</f>
        <v>-1316.14</v>
      </c>
      <c r="ER27" s="418">
        <f>(-VLOOKUP("4150",'Input IS ACCTS'!$A$6:$DH$518,110,FALSE)+(-VLOOKUP("4160",'Input IS ACCTS'!$A$6:$DH$518,110,FALSE)))</f>
        <v>-3478.96</v>
      </c>
      <c r="ES27" s="418">
        <f>(-VLOOKUP("4150",'Input IS ACCTS'!$A$6:$DH$518,111,FALSE)+(-VLOOKUP("4160",'Input IS ACCTS'!$A$6:$DH$518,111,FALSE)))</f>
        <v>24738.840000000004</v>
      </c>
      <c r="ET27" s="132">
        <f t="shared" ref="ET27:ET33" si="55">SUM(EH27:ES27)</f>
        <v>10331.170000000006</v>
      </c>
      <c r="EU27" s="174">
        <f t="shared" si="26"/>
        <v>10.331170000000006</v>
      </c>
    </row>
    <row r="28" spans="1:151">
      <c r="A28" t="s">
        <v>388</v>
      </c>
      <c r="B28" s="320">
        <f t="shared" si="53"/>
        <v>337.88688000000002</v>
      </c>
      <c r="C28" s="22"/>
      <c r="D28" s="320">
        <f t="shared" si="54"/>
        <v>59.599089999999997</v>
      </c>
      <c r="E28" s="22"/>
      <c r="F28" s="102">
        <v>17112</v>
      </c>
      <c r="G28" s="102">
        <v>28005</v>
      </c>
      <c r="H28" s="102">
        <v>12092</v>
      </c>
      <c r="I28" s="102">
        <v>11566</v>
      </c>
      <c r="J28" s="102">
        <v>51059</v>
      </c>
      <c r="K28" s="102">
        <v>19032</v>
      </c>
      <c r="L28" s="102">
        <v>6846.93</v>
      </c>
      <c r="M28" s="102">
        <v>19448.66</v>
      </c>
      <c r="N28" s="102">
        <v>33893.1</v>
      </c>
      <c r="O28" s="102">
        <v>10242.69</v>
      </c>
      <c r="P28" s="107">
        <v>11970.65</v>
      </c>
      <c r="Q28" s="107">
        <v>13108.98</v>
      </c>
      <c r="R28" s="102">
        <v>8820.2900000000009</v>
      </c>
      <c r="S28" s="102">
        <v>5410.8</v>
      </c>
      <c r="T28" s="102">
        <v>15357.16</v>
      </c>
      <c r="U28" s="231">
        <v>19180.650000000001</v>
      </c>
      <c r="V28" s="231">
        <v>10946.170000000002</v>
      </c>
      <c r="W28" s="231">
        <v>13873.41</v>
      </c>
      <c r="X28" s="231">
        <v>16454.599999999999</v>
      </c>
      <c r="Y28" s="231">
        <v>10127.269999999999</v>
      </c>
      <c r="Z28" s="231">
        <v>22549.85</v>
      </c>
      <c r="AA28" s="231">
        <v>6424.68</v>
      </c>
      <c r="AB28" s="231">
        <v>6432.2</v>
      </c>
      <c r="AC28" s="232">
        <v>6435.38</v>
      </c>
      <c r="AD28" s="232">
        <v>12778.19</v>
      </c>
      <c r="AE28" s="232">
        <v>14689.19</v>
      </c>
      <c r="AF28" s="232">
        <v>14470.93</v>
      </c>
      <c r="AG28" s="259">
        <v>12612.26</v>
      </c>
      <c r="AH28" s="259">
        <v>17226.739999999998</v>
      </c>
      <c r="AI28" s="259">
        <v>11504.339999999998</v>
      </c>
      <c r="AJ28" s="327">
        <v>15795.3</v>
      </c>
      <c r="AK28" s="327">
        <v>20419.169999999998</v>
      </c>
      <c r="AL28" s="327">
        <v>12085.85</v>
      </c>
      <c r="AM28" s="287">
        <v>30010.22</v>
      </c>
      <c r="AN28" s="287">
        <v>24780.809999999998</v>
      </c>
      <c r="AO28" s="287">
        <v>12648.27</v>
      </c>
      <c r="AP28" s="396">
        <v>33105.9</v>
      </c>
      <c r="AQ28" s="396">
        <v>60160.57</v>
      </c>
      <c r="AR28" s="396">
        <v>16942.79</v>
      </c>
      <c r="AS28" s="396">
        <v>13700.03</v>
      </c>
      <c r="AT28" s="396">
        <v>22433.86</v>
      </c>
      <c r="AU28" s="396">
        <v>34601</v>
      </c>
      <c r="AV28" s="396">
        <v>13577.67</v>
      </c>
      <c r="AW28" s="396">
        <v>15638</v>
      </c>
      <c r="AX28" s="396">
        <v>15354.58</v>
      </c>
      <c r="AY28" s="402">
        <v>17160.03</v>
      </c>
      <c r="AZ28" s="402">
        <v>11242.67</v>
      </c>
      <c r="BA28" s="402">
        <v>30143.55</v>
      </c>
      <c r="BB28" s="402">
        <v>25287.87</v>
      </c>
      <c r="BC28" s="402">
        <v>18621.48</v>
      </c>
      <c r="BD28" s="402">
        <v>20659.18</v>
      </c>
      <c r="BE28" s="402">
        <v>25139.11</v>
      </c>
      <c r="BF28" s="402">
        <v>45226.83</v>
      </c>
      <c r="BG28" s="402">
        <v>46562.080000000002</v>
      </c>
      <c r="BH28" s="402">
        <v>13445.99</v>
      </c>
      <c r="BI28" s="402">
        <v>21691.13</v>
      </c>
      <c r="BJ28" s="418">
        <v>16325.54</v>
      </c>
      <c r="BK28" s="418">
        <v>18294.91</v>
      </c>
      <c r="BL28" s="418">
        <v>24058.92</v>
      </c>
      <c r="BM28" s="418">
        <v>21149.64</v>
      </c>
      <c r="BN28" s="418">
        <v>17840.47</v>
      </c>
      <c r="BO28" s="418">
        <v>68388.09</v>
      </c>
      <c r="BP28" s="418">
        <v>25117.439999999999</v>
      </c>
      <c r="BQ28" s="418">
        <v>36773.22</v>
      </c>
      <c r="BR28" s="418">
        <v>38605.68</v>
      </c>
      <c r="BS28" s="418">
        <v>48091.37</v>
      </c>
      <c r="BT28" s="418">
        <v>53566.52</v>
      </c>
      <c r="BU28" s="418">
        <v>41569.760000000002</v>
      </c>
      <c r="BV28" s="418">
        <v>29858.92</v>
      </c>
      <c r="BW28" s="418">
        <v>24046.71</v>
      </c>
      <c r="BX28" s="418">
        <v>34613.72</v>
      </c>
      <c r="BY28" s="418">
        <v>41797.339999999997</v>
      </c>
      <c r="BZ28" s="418">
        <v>28006.81</v>
      </c>
      <c r="CA28" s="418">
        <v>37984.57</v>
      </c>
      <c r="CB28" s="418">
        <v>31193.17</v>
      </c>
      <c r="CC28" s="418">
        <v>30066.84</v>
      </c>
      <c r="CD28" s="418">
        <v>9809.65</v>
      </c>
      <c r="CE28" s="418">
        <v>20994.17</v>
      </c>
      <c r="CF28" s="418">
        <v>1754.21</v>
      </c>
      <c r="CG28" s="418">
        <v>5124.66</v>
      </c>
      <c r="CH28" s="418">
        <v>1872.7</v>
      </c>
      <c r="CI28" s="418">
        <v>2250.67</v>
      </c>
      <c r="CJ28" s="418">
        <v>653.58000000000004</v>
      </c>
      <c r="CK28" s="418">
        <v>722.53</v>
      </c>
      <c r="CL28" s="418">
        <v>5980.14</v>
      </c>
      <c r="CM28" s="418">
        <v>683.95</v>
      </c>
      <c r="CN28" s="418">
        <v>593.34</v>
      </c>
      <c r="CO28" s="418">
        <v>1242.23</v>
      </c>
      <c r="CP28" s="418">
        <v>3325.19</v>
      </c>
      <c r="CQ28" s="418">
        <v>823.95</v>
      </c>
      <c r="CR28" s="418">
        <v>-61.04</v>
      </c>
      <c r="CS28" s="418">
        <v>774.42</v>
      </c>
      <c r="CT28" s="418">
        <v>869.08</v>
      </c>
      <c r="CU28" s="418">
        <v>-123.42</v>
      </c>
      <c r="CV28" s="418">
        <v>859.74</v>
      </c>
      <c r="CW28" s="418">
        <v>1245.73</v>
      </c>
      <c r="CX28" s="418">
        <v>1386.14</v>
      </c>
      <c r="CY28" s="418">
        <v>1039.8</v>
      </c>
      <c r="CZ28" s="418">
        <v>926.46</v>
      </c>
      <c r="DA28" s="418">
        <v>955.99</v>
      </c>
      <c r="DB28" s="418">
        <v>1150.17</v>
      </c>
      <c r="DC28" s="418">
        <v>3577.39</v>
      </c>
      <c r="DD28" s="418">
        <v>3981.29</v>
      </c>
      <c r="DE28" s="418">
        <v>3921.99</v>
      </c>
      <c r="DF28" s="418">
        <v>3048.89</v>
      </c>
      <c r="DG28" s="418">
        <v>21.6</v>
      </c>
      <c r="DH28" s="418">
        <v>5046.87</v>
      </c>
      <c r="DI28" s="418">
        <v>1393.46</v>
      </c>
      <c r="DJ28" s="418">
        <v>5829.61</v>
      </c>
      <c r="DK28" s="418">
        <v>5336.06</v>
      </c>
      <c r="DL28" s="418">
        <v>13624.8</v>
      </c>
      <c r="DM28" s="418">
        <v>48706.879999999997</v>
      </c>
      <c r="DN28" s="418">
        <v>1187.4000000000001</v>
      </c>
      <c r="DO28" s="418">
        <v>991.75</v>
      </c>
      <c r="DP28" s="418">
        <v>897.63</v>
      </c>
      <c r="DQ28" s="418">
        <v>1009.82</v>
      </c>
      <c r="DR28" s="418">
        <v>815.56</v>
      </c>
      <c r="DS28" s="418">
        <v>749.87</v>
      </c>
      <c r="DT28" s="418">
        <v>902.24</v>
      </c>
      <c r="DU28" s="418">
        <v>992.81</v>
      </c>
      <c r="DV28" s="418">
        <v>10589.77</v>
      </c>
      <c r="DW28" s="418">
        <v>10135.75</v>
      </c>
      <c r="DX28" s="418">
        <v>9969.0400000000009</v>
      </c>
      <c r="DY28" s="418">
        <v>9850.0300000000007</v>
      </c>
      <c r="DZ28" s="418">
        <v>14402.36</v>
      </c>
      <c r="EA28" s="418">
        <v>5189.09</v>
      </c>
      <c r="EB28" s="418">
        <v>3312.69</v>
      </c>
      <c r="EC28" s="418">
        <v>3259.81</v>
      </c>
      <c r="ED28" s="418">
        <v>2984.07</v>
      </c>
      <c r="EE28" s="418">
        <v>3102.86</v>
      </c>
      <c r="EF28" s="418">
        <v>3158.87</v>
      </c>
      <c r="EG28" s="418">
        <v>3669.28</v>
      </c>
      <c r="EH28" s="418">
        <v>4131.33</v>
      </c>
      <c r="EI28" s="418">
        <v>3504.64</v>
      </c>
      <c r="EJ28" s="418">
        <v>9107.92</v>
      </c>
      <c r="EK28" s="418">
        <v>12370.84</v>
      </c>
      <c r="EL28" s="418">
        <v>14123.49</v>
      </c>
      <c r="EM28" s="418">
        <v>18412.560000000001</v>
      </c>
      <c r="EN28" s="418">
        <v>24298.01</v>
      </c>
      <c r="EO28" s="418">
        <v>36020.74</v>
      </c>
      <c r="EP28" s="418">
        <v>47039.45</v>
      </c>
      <c r="EQ28" s="418">
        <f>(-VLOOKUP("4190",'Input IS ACCTS'!$A$6:$DH$518,109,FALSE))</f>
        <v>56763.22</v>
      </c>
      <c r="ER28" s="418">
        <f>(-VLOOKUP("4190",'Input IS ACCTS'!$A$6:$DH$518,110,FALSE))</f>
        <v>52515.59</v>
      </c>
      <c r="ES28" s="418">
        <f>(-VLOOKUP("4190",'Input IS ACCTS'!$A$6:$DH$518,111,FALSE))</f>
        <v>59599.09</v>
      </c>
      <c r="ET28" s="132">
        <f t="shared" si="55"/>
        <v>337886.88</v>
      </c>
      <c r="EU28" s="174">
        <f t="shared" si="26"/>
        <v>337.88688000000002</v>
      </c>
    </row>
    <row r="29" spans="1:151">
      <c r="A29" t="s">
        <v>389</v>
      </c>
      <c r="B29" s="320">
        <f>(+ET29/1000)</f>
        <v>296.58840999999995</v>
      </c>
      <c r="C29" s="22"/>
      <c r="D29" s="320">
        <f t="shared" si="54"/>
        <v>43.992419999999996</v>
      </c>
      <c r="E29" s="22"/>
      <c r="F29" s="102">
        <v>39542</v>
      </c>
      <c r="G29" s="102">
        <v>36326</v>
      </c>
      <c r="H29" s="102">
        <v>35097</v>
      </c>
      <c r="I29" s="102">
        <v>28520</v>
      </c>
      <c r="J29" s="102">
        <v>48905</v>
      </c>
      <c r="K29" s="102">
        <v>39235</v>
      </c>
      <c r="L29" s="102">
        <v>213371.16</v>
      </c>
      <c r="M29" s="102">
        <v>25762.11</v>
      </c>
      <c r="N29" s="102">
        <v>26711.11</v>
      </c>
      <c r="O29" s="102">
        <v>25198.16</v>
      </c>
      <c r="P29" s="107">
        <v>30837.66</v>
      </c>
      <c r="Q29" s="107">
        <v>43382.66</v>
      </c>
      <c r="R29" s="102">
        <v>25198.16</v>
      </c>
      <c r="S29" s="102">
        <v>29288.01</v>
      </c>
      <c r="T29" s="102">
        <v>27185.61</v>
      </c>
      <c r="U29" s="231">
        <v>25198.16</v>
      </c>
      <c r="V29" s="231">
        <v>25762.11</v>
      </c>
      <c r="W29" s="231">
        <v>26325.81</v>
      </c>
      <c r="X29" s="231">
        <v>25198.09</v>
      </c>
      <c r="Y29" s="231">
        <v>25198.09</v>
      </c>
      <c r="Z29" s="231">
        <v>0</v>
      </c>
      <c r="AA29" s="231">
        <v>0</v>
      </c>
      <c r="AB29" s="231">
        <v>0</v>
      </c>
      <c r="AC29" s="232">
        <v>0</v>
      </c>
      <c r="AD29" s="232">
        <v>0</v>
      </c>
      <c r="AE29" s="232">
        <v>7025.26</v>
      </c>
      <c r="AF29" s="232">
        <v>0</v>
      </c>
      <c r="AG29" s="259">
        <v>22061.77</v>
      </c>
      <c r="AH29" s="259">
        <v>14634.99</v>
      </c>
      <c r="AI29" s="259">
        <v>0</v>
      </c>
      <c r="AJ29" s="327">
        <v>10196.51</v>
      </c>
      <c r="AK29" s="327">
        <v>34428.230000000003</v>
      </c>
      <c r="AL29" s="327">
        <v>26390.98</v>
      </c>
      <c r="AM29" s="287">
        <v>0</v>
      </c>
      <c r="AN29" s="287">
        <v>0</v>
      </c>
      <c r="AO29" s="287">
        <v>13195.49</v>
      </c>
      <c r="AP29" s="396">
        <v>150</v>
      </c>
      <c r="AQ29" s="396">
        <v>6994.39</v>
      </c>
      <c r="AR29" s="396">
        <v>60</v>
      </c>
      <c r="AS29" s="396">
        <v>168</v>
      </c>
      <c r="AT29" s="396">
        <v>158</v>
      </c>
      <c r="AU29" s="396">
        <v>120</v>
      </c>
      <c r="AV29" s="396">
        <v>142</v>
      </c>
      <c r="AW29" s="396">
        <v>138</v>
      </c>
      <c r="AX29" s="396">
        <v>136</v>
      </c>
      <c r="AY29" s="402">
        <v>-215.02</v>
      </c>
      <c r="AZ29" s="402">
        <v>186</v>
      </c>
      <c r="BA29" s="402">
        <v>226</v>
      </c>
      <c r="BB29" s="402">
        <v>257</v>
      </c>
      <c r="BC29" s="402">
        <v>244</v>
      </c>
      <c r="BD29" s="402">
        <v>191</v>
      </c>
      <c r="BE29" s="402">
        <v>177</v>
      </c>
      <c r="BF29" s="402">
        <v>232</v>
      </c>
      <c r="BG29" s="402">
        <v>203</v>
      </c>
      <c r="BH29" s="402">
        <v>200</v>
      </c>
      <c r="BI29" s="402">
        <v>223</v>
      </c>
      <c r="BJ29" s="418">
        <v>246</v>
      </c>
      <c r="BK29" s="418">
        <v>353</v>
      </c>
      <c r="BL29" s="418">
        <v>672</v>
      </c>
      <c r="BM29" s="418">
        <v>689484.31</v>
      </c>
      <c r="BN29" s="418">
        <v>2208</v>
      </c>
      <c r="BO29" s="418">
        <v>1354</v>
      </c>
      <c r="BP29" s="418">
        <v>920</v>
      </c>
      <c r="BQ29" s="418">
        <v>839</v>
      </c>
      <c r="BR29" s="418">
        <v>735</v>
      </c>
      <c r="BS29" s="418">
        <v>784</v>
      </c>
      <c r="BT29" s="418">
        <v>179243.13</v>
      </c>
      <c r="BU29" s="418">
        <v>393794.13</v>
      </c>
      <c r="BV29" s="418">
        <v>179321.13</v>
      </c>
      <c r="BW29" s="418">
        <v>911674.98</v>
      </c>
      <c r="BX29" s="418">
        <v>179472.13</v>
      </c>
      <c r="BY29" s="418">
        <v>179729.03</v>
      </c>
      <c r="BZ29" s="418">
        <v>180045.13</v>
      </c>
      <c r="CA29" s="418">
        <v>179957.13</v>
      </c>
      <c r="CB29" s="418">
        <v>180174.23</v>
      </c>
      <c r="CC29" s="418">
        <v>178584.13</v>
      </c>
      <c r="CD29" s="418">
        <v>182218.13</v>
      </c>
      <c r="CE29" s="418">
        <v>180676.13</v>
      </c>
      <c r="CF29" s="418">
        <v>180862.13</v>
      </c>
      <c r="CG29" s="418">
        <v>180994.13</v>
      </c>
      <c r="CH29" s="418">
        <v>181050.13</v>
      </c>
      <c r="CI29" s="418">
        <v>182665.96</v>
      </c>
      <c r="CJ29" s="418">
        <v>186445.30000000002</v>
      </c>
      <c r="CK29" s="418">
        <v>188288.13</v>
      </c>
      <c r="CL29" s="418">
        <v>192933.99</v>
      </c>
      <c r="CM29" s="418">
        <v>184973.23</v>
      </c>
      <c r="CN29" s="418">
        <v>183278.47</v>
      </c>
      <c r="CO29" s="418">
        <v>146758.51</v>
      </c>
      <c r="CP29" s="418">
        <v>186318.64</v>
      </c>
      <c r="CQ29" s="418">
        <v>187862.47</v>
      </c>
      <c r="CR29" s="418">
        <v>189045.01</v>
      </c>
      <c r="CS29" s="418">
        <v>189231.06</v>
      </c>
      <c r="CT29" s="418">
        <v>196559.79</v>
      </c>
      <c r="CU29" s="418">
        <v>168325.95</v>
      </c>
      <c r="CV29" s="418">
        <v>193437.05000000002</v>
      </c>
      <c r="CW29" s="418">
        <v>180454.45</v>
      </c>
      <c r="CX29" s="418">
        <v>203266.58000000002</v>
      </c>
      <c r="CY29" s="418">
        <v>191020.30000000002</v>
      </c>
      <c r="CZ29" s="418">
        <v>190023.93</v>
      </c>
      <c r="DA29" s="418">
        <v>191603.24</v>
      </c>
      <c r="DB29" s="418">
        <v>187239.5</v>
      </c>
      <c r="DC29" s="418">
        <v>178349.92</v>
      </c>
      <c r="DD29" s="418">
        <v>195529.44</v>
      </c>
      <c r="DE29" s="418">
        <v>185547.74</v>
      </c>
      <c r="DF29" s="418">
        <v>189945.67</v>
      </c>
      <c r="DG29" s="418">
        <v>187425.12</v>
      </c>
      <c r="DH29" s="418">
        <v>187395.55000000002</v>
      </c>
      <c r="DI29" s="418">
        <v>186911.71</v>
      </c>
      <c r="DJ29" s="418">
        <v>183357.87</v>
      </c>
      <c r="DK29" s="418">
        <v>183381.67</v>
      </c>
      <c r="DL29" s="418">
        <v>187085.45</v>
      </c>
      <c r="DM29" s="418">
        <v>173926.1</v>
      </c>
      <c r="DN29" s="418">
        <v>134598.43</v>
      </c>
      <c r="DO29" s="418">
        <v>157662.21</v>
      </c>
      <c r="DP29" s="418">
        <v>21062.63</v>
      </c>
      <c r="DQ29" s="418">
        <v>13641.89</v>
      </c>
      <c r="DR29" s="418">
        <v>852.55</v>
      </c>
      <c r="DS29" s="418">
        <v>2386.31</v>
      </c>
      <c r="DT29" s="418">
        <v>-1094.53</v>
      </c>
      <c r="DU29" s="418">
        <v>395.97</v>
      </c>
      <c r="DV29" s="418">
        <v>999.71</v>
      </c>
      <c r="DW29" s="418">
        <v>-805.71</v>
      </c>
      <c r="DX29" s="418">
        <v>64.64</v>
      </c>
      <c r="DY29" s="418">
        <v>4013.08</v>
      </c>
      <c r="DZ29" s="418">
        <v>7</v>
      </c>
      <c r="EA29" s="418">
        <v>2693.33</v>
      </c>
      <c r="EB29" s="418">
        <v>-2444.14</v>
      </c>
      <c r="EC29" s="418">
        <v>113.74</v>
      </c>
      <c r="ED29" s="418">
        <v>1434.45</v>
      </c>
      <c r="EE29" s="418">
        <v>-1436.19</v>
      </c>
      <c r="EF29" s="418">
        <v>3539.36</v>
      </c>
      <c r="EG29" s="418">
        <v>-1551.62</v>
      </c>
      <c r="EH29" s="418">
        <v>2608.79</v>
      </c>
      <c r="EI29" s="418">
        <v>-948.79</v>
      </c>
      <c r="EJ29" s="418">
        <v>731</v>
      </c>
      <c r="EK29" s="418">
        <v>15940.24</v>
      </c>
      <c r="EL29" s="418">
        <v>10116.08</v>
      </c>
      <c r="EM29" s="418">
        <v>16299.65</v>
      </c>
      <c r="EN29" s="418">
        <v>11634.71</v>
      </c>
      <c r="EO29" s="418">
        <v>49008.39</v>
      </c>
      <c r="EP29" s="418">
        <v>57692.79</v>
      </c>
      <c r="EQ29" s="418">
        <f>(-VLOOKUP("4210",'Input IS ACCTS'!$A$6:$DH$518,109,FALSE)+(-VLOOKUP("4211",'Input IS ACCTS'!$A$6:$DH$518,109,FALSE))+(-VLOOKUP("4560",'Input IS ACCTS'!$A$6:$DH$518,109,FALSE)))</f>
        <v>42199.27</v>
      </c>
      <c r="ER29" s="418">
        <f>(-VLOOKUP("4210",'Input IS ACCTS'!$A$6:$DH$518,110,FALSE)+(-VLOOKUP("4211",'Input IS ACCTS'!$A$6:$DH$518,110,FALSE))+(-VLOOKUP("4560",'Input IS ACCTS'!$A$6:$DH$518,110,FALSE)))</f>
        <v>47313.86</v>
      </c>
      <c r="ES29" s="418">
        <f>(-VLOOKUP("4210",'Input IS ACCTS'!$A$6:$DH$518,111,FALSE)+(-VLOOKUP("4211",'Input IS ACCTS'!$A$6:$DH$518,111,FALSE))+(-VLOOKUP("4560",'Input IS ACCTS'!$A$6:$DH$518,111,FALSE)))</f>
        <v>43992.42</v>
      </c>
      <c r="ET29" s="132">
        <f t="shared" si="55"/>
        <v>296588.40999999997</v>
      </c>
      <c r="EU29" s="174">
        <f t="shared" si="26"/>
        <v>296.58840999999995</v>
      </c>
    </row>
    <row r="30" spans="1:151">
      <c r="A30" s="147" t="s">
        <v>471</v>
      </c>
      <c r="B30" s="320">
        <f t="shared" si="53"/>
        <v>3255.1836600000001</v>
      </c>
      <c r="C30" s="22"/>
      <c r="D30" s="320">
        <f t="shared" si="54"/>
        <v>13.128950000000001</v>
      </c>
      <c r="E30" s="22"/>
      <c r="F30" s="102">
        <v>384082</v>
      </c>
      <c r="G30" s="102">
        <v>70937</v>
      </c>
      <c r="H30" s="102">
        <v>410919</v>
      </c>
      <c r="I30" s="102">
        <v>199575</v>
      </c>
      <c r="J30" s="102">
        <v>237851</v>
      </c>
      <c r="K30" s="102">
        <v>435863</v>
      </c>
      <c r="L30" s="102">
        <v>326114.52</v>
      </c>
      <c r="M30" s="102">
        <v>120231.18</v>
      </c>
      <c r="N30" s="102">
        <v>211555.43</v>
      </c>
      <c r="O30" s="102">
        <v>39681.879999999997</v>
      </c>
      <c r="P30" s="107">
        <v>304140.34999999998</v>
      </c>
      <c r="Q30" s="107">
        <v>321742</v>
      </c>
      <c r="R30" s="102">
        <v>150326.49</v>
      </c>
      <c r="S30" s="102">
        <v>126121.07</v>
      </c>
      <c r="T30" s="102">
        <v>89869.8</v>
      </c>
      <c r="U30" s="231">
        <v>222889.46</v>
      </c>
      <c r="V30" s="231">
        <v>129498.73999999999</v>
      </c>
      <c r="W30" s="231">
        <v>-71705.61</v>
      </c>
      <c r="X30" s="231">
        <v>135245.64000000001</v>
      </c>
      <c r="Y30" s="231">
        <v>122405.05</v>
      </c>
      <c r="Z30" s="231">
        <v>141325.48000000001</v>
      </c>
      <c r="AA30" s="231">
        <v>124049.31</v>
      </c>
      <c r="AB30" s="231">
        <v>69022.64</v>
      </c>
      <c r="AC30" s="232">
        <v>344807.04</v>
      </c>
      <c r="AD30" s="232">
        <v>292455.71999999997</v>
      </c>
      <c r="AE30" s="232">
        <v>164796.48000000001</v>
      </c>
      <c r="AF30" s="232">
        <v>307255.33</v>
      </c>
      <c r="AG30" s="259">
        <v>198884.62</v>
      </c>
      <c r="AH30" s="259">
        <v>188158.68</v>
      </c>
      <c r="AI30" s="259">
        <v>255298.89</v>
      </c>
      <c r="AJ30" s="327">
        <v>207243.81</v>
      </c>
      <c r="AK30" s="327">
        <v>231420.29</v>
      </c>
      <c r="AL30" s="327">
        <v>260117.72000000003</v>
      </c>
      <c r="AM30" s="287">
        <v>228530.99</v>
      </c>
      <c r="AN30" s="287">
        <v>107196.27</v>
      </c>
      <c r="AO30" s="287">
        <v>174002.4</v>
      </c>
      <c r="AP30" s="371">
        <v>214296.28</v>
      </c>
      <c r="AQ30" s="371">
        <v>330590.94</v>
      </c>
      <c r="AR30" s="371">
        <v>206491.26</v>
      </c>
      <c r="AS30" s="371">
        <v>280856.64</v>
      </c>
      <c r="AT30" s="371">
        <v>178527.23</v>
      </c>
      <c r="AU30" s="371">
        <v>262447.71999999997</v>
      </c>
      <c r="AV30" s="371">
        <v>240575.55</v>
      </c>
      <c r="AW30" s="371">
        <v>197832.04</v>
      </c>
      <c r="AX30" s="371">
        <v>68753.320000000007</v>
      </c>
      <c r="AY30" s="371">
        <v>294246.26</v>
      </c>
      <c r="AZ30" s="371">
        <v>168347.11</v>
      </c>
      <c r="BA30" s="371">
        <v>192880.57</v>
      </c>
      <c r="BB30" s="371">
        <v>390775.07</v>
      </c>
      <c r="BC30" s="371">
        <v>210884.69</v>
      </c>
      <c r="BD30" s="371">
        <v>150763.29</v>
      </c>
      <c r="BE30" s="371">
        <v>117072.92</v>
      </c>
      <c r="BF30" s="371">
        <v>224359.7</v>
      </c>
      <c r="BG30" s="371">
        <v>216294.17</v>
      </c>
      <c r="BH30" s="371">
        <v>152920.16</v>
      </c>
      <c r="BI30" s="371">
        <v>171043.58</v>
      </c>
      <c r="BJ30" s="371">
        <v>223338.23999999999</v>
      </c>
      <c r="BK30" s="371">
        <v>130233.48</v>
      </c>
      <c r="BL30" s="371">
        <v>190346.84</v>
      </c>
      <c r="BM30" s="371">
        <v>703834.01</v>
      </c>
      <c r="BN30" s="371">
        <v>296280.46000000002</v>
      </c>
      <c r="BO30" s="371">
        <v>362928.71</v>
      </c>
      <c r="BP30" s="371">
        <v>102655.97</v>
      </c>
      <c r="BQ30" s="371">
        <v>122065.81</v>
      </c>
      <c r="BR30" s="371">
        <v>290536.36</v>
      </c>
      <c r="BS30" s="371">
        <v>148831.98000000001</v>
      </c>
      <c r="BT30" s="371">
        <v>214871.25</v>
      </c>
      <c r="BU30" s="371">
        <v>277765.40000000002</v>
      </c>
      <c r="BV30" s="371">
        <v>180270.99</v>
      </c>
      <c r="BW30" s="371">
        <v>769396.37</v>
      </c>
      <c r="BX30" s="371">
        <v>202984.49</v>
      </c>
      <c r="BY30" s="371">
        <v>221317.04</v>
      </c>
      <c r="BZ30" s="371">
        <v>353932.4</v>
      </c>
      <c r="CA30" s="371">
        <v>308136.26</v>
      </c>
      <c r="CB30" s="371">
        <v>287169.15000000002</v>
      </c>
      <c r="CC30" s="371">
        <v>146968.54999999999</v>
      </c>
      <c r="CD30" s="371">
        <v>331963.59000000003</v>
      </c>
      <c r="CE30" s="371">
        <v>-153361.17000000001</v>
      </c>
      <c r="CF30" s="371">
        <v>293256.39</v>
      </c>
      <c r="CG30" s="371">
        <v>142790.04999999999</v>
      </c>
      <c r="CH30" s="371">
        <v>297970.53000000003</v>
      </c>
      <c r="CI30" s="371">
        <v>245610.76</v>
      </c>
      <c r="CJ30" s="371">
        <v>341556.85</v>
      </c>
      <c r="CK30" s="371">
        <v>549068.92000000004</v>
      </c>
      <c r="CL30" s="371">
        <v>427265.75</v>
      </c>
      <c r="CM30" s="371">
        <v>414555.12</v>
      </c>
      <c r="CN30" s="371">
        <v>112602.5</v>
      </c>
      <c r="CO30" s="371">
        <v>506278.72</v>
      </c>
      <c r="CP30" s="371">
        <v>262049.55</v>
      </c>
      <c r="CQ30" s="371">
        <v>222660.19</v>
      </c>
      <c r="CR30" s="371">
        <v>289543.83</v>
      </c>
      <c r="CS30" s="371">
        <v>189620.79</v>
      </c>
      <c r="CT30" s="371">
        <v>174472.46</v>
      </c>
      <c r="CU30" s="371">
        <v>253677.03</v>
      </c>
      <c r="CV30" s="371">
        <v>242731.81</v>
      </c>
      <c r="CW30" s="371">
        <v>417337.17</v>
      </c>
      <c r="CX30" s="371">
        <v>256648.59</v>
      </c>
      <c r="CY30" s="371">
        <v>285523.38</v>
      </c>
      <c r="CZ30" s="371">
        <v>461128.74</v>
      </c>
      <c r="DA30" s="371">
        <v>417107.02</v>
      </c>
      <c r="DB30" s="371">
        <v>323818.81</v>
      </c>
      <c r="DC30" s="371">
        <v>234534.32</v>
      </c>
      <c r="DD30" s="371">
        <v>338930.12</v>
      </c>
      <c r="DE30" s="371">
        <v>459463.36</v>
      </c>
      <c r="DF30" s="371">
        <v>219164.33</v>
      </c>
      <c r="DG30" s="371">
        <v>197590.86</v>
      </c>
      <c r="DH30" s="371">
        <v>194188.46</v>
      </c>
      <c r="DI30" s="371">
        <v>228792.44</v>
      </c>
      <c r="DJ30" s="371">
        <v>126272.64</v>
      </c>
      <c r="DK30" s="371">
        <v>424898.82</v>
      </c>
      <c r="DL30" s="371">
        <v>93899.42</v>
      </c>
      <c r="DM30" s="371">
        <v>334447.24</v>
      </c>
      <c r="DN30" s="371">
        <v>410336.04</v>
      </c>
      <c r="DO30" s="371">
        <v>224341.44</v>
      </c>
      <c r="DP30" s="371">
        <v>188439.92</v>
      </c>
      <c r="DQ30" s="371">
        <v>311341.21000000002</v>
      </c>
      <c r="DR30" s="371">
        <v>239230.3</v>
      </c>
      <c r="DS30" s="371">
        <v>350793.42</v>
      </c>
      <c r="DT30" s="371">
        <v>209032.59</v>
      </c>
      <c r="DU30" s="371">
        <v>367048.31</v>
      </c>
      <c r="DV30" s="371">
        <v>334134.96999999997</v>
      </c>
      <c r="DW30" s="371">
        <v>387862.25</v>
      </c>
      <c r="DX30" s="371">
        <v>275361.32</v>
      </c>
      <c r="DY30" s="371">
        <v>331471.51</v>
      </c>
      <c r="DZ30" s="371">
        <v>390513.08</v>
      </c>
      <c r="EA30" s="371">
        <v>271490.58</v>
      </c>
      <c r="EB30" s="371">
        <v>274120.75</v>
      </c>
      <c r="EC30" s="371">
        <v>337068.29</v>
      </c>
      <c r="ED30" s="371">
        <v>295827.65000000002</v>
      </c>
      <c r="EE30" s="371">
        <v>313747.78000000003</v>
      </c>
      <c r="EF30" s="371">
        <v>273112.37</v>
      </c>
      <c r="EG30" s="371">
        <v>159444.92000000001</v>
      </c>
      <c r="EH30" s="371">
        <v>144996.4</v>
      </c>
      <c r="EI30" s="371">
        <v>253318.71</v>
      </c>
      <c r="EJ30" s="371">
        <v>473623.69</v>
      </c>
      <c r="EK30" s="371">
        <v>257376.17</v>
      </c>
      <c r="EL30" s="371">
        <v>276005.40999999997</v>
      </c>
      <c r="EM30" s="371">
        <v>222974.37</v>
      </c>
      <c r="EN30" s="371">
        <v>436612.73</v>
      </c>
      <c r="EO30" s="371">
        <v>287987.53999999998</v>
      </c>
      <c r="EP30" s="371">
        <v>337555.77</v>
      </c>
      <c r="EQ30" s="371">
        <f>-(VLOOKUP("4181",'Input IS ACCTS'!$A$6:$DH$518,109,FALSE))</f>
        <v>251499.69</v>
      </c>
      <c r="ER30" s="371">
        <f>-(VLOOKUP("4181",'Input IS ACCTS'!$A$6:$DH$518,110,FALSE))</f>
        <v>300104.23</v>
      </c>
      <c r="ES30" s="371">
        <f>-(VLOOKUP("4181",'Input IS ACCTS'!$A$6:$DH$518,111,FALSE))</f>
        <v>13128.95</v>
      </c>
      <c r="ET30" s="132">
        <f t="shared" si="55"/>
        <v>3255183.66</v>
      </c>
      <c r="EU30" s="174">
        <f t="shared" si="26"/>
        <v>3255.1836600000001</v>
      </c>
    </row>
    <row r="31" spans="1:151">
      <c r="A31" s="377" t="s">
        <v>390</v>
      </c>
      <c r="B31" s="320">
        <f t="shared" si="53"/>
        <v>773.15886</v>
      </c>
      <c r="C31" s="22"/>
      <c r="D31" s="320">
        <f t="shared" si="54"/>
        <v>53.175150000000002</v>
      </c>
      <c r="E31" s="22"/>
      <c r="F31" s="102">
        <v>7840</v>
      </c>
      <c r="G31" s="102">
        <v>42875</v>
      </c>
      <c r="H31" s="102">
        <v>2715</v>
      </c>
      <c r="I31" s="102">
        <v>2957</v>
      </c>
      <c r="J31" s="102">
        <v>43638</v>
      </c>
      <c r="K31" s="102">
        <v>11618</v>
      </c>
      <c r="L31" s="102">
        <v>33783.370000000003</v>
      </c>
      <c r="M31" s="102">
        <v>28542.799999999999</v>
      </c>
      <c r="N31" s="102">
        <v>5374.07</v>
      </c>
      <c r="O31" s="102">
        <v>12274.79</v>
      </c>
      <c r="P31" s="107">
        <v>6539.27</v>
      </c>
      <c r="Q31" s="107">
        <v>18903.57</v>
      </c>
      <c r="R31" s="102">
        <v>5480.37</v>
      </c>
      <c r="S31" s="102">
        <v>51211.72</v>
      </c>
      <c r="T31" s="102">
        <v>5558</v>
      </c>
      <c r="U31" s="231">
        <v>60260.61</v>
      </c>
      <c r="V31" s="231">
        <v>24520.1</v>
      </c>
      <c r="W31" s="231">
        <v>7334.52</v>
      </c>
      <c r="X31" s="231">
        <v>-154640.32000000007</v>
      </c>
      <c r="Y31" s="231">
        <v>2.1316282072803006E-11</v>
      </c>
      <c r="Z31" s="231">
        <v>1.4210854715202004E-11</v>
      </c>
      <c r="AA31" s="231">
        <v>-7.1054273576010019E-12</v>
      </c>
      <c r="AB31" s="231">
        <v>-150.00000000000568</v>
      </c>
      <c r="AC31" s="232">
        <v>150.00000000000568</v>
      </c>
      <c r="AD31" s="232">
        <v>-2.8421709430404007E-11</v>
      </c>
      <c r="AE31" s="232">
        <v>-6686.0000000000073</v>
      </c>
      <c r="AF31" s="232">
        <v>-1.4210854715202004E-11</v>
      </c>
      <c r="AG31" s="259">
        <v>-199.99999999998863</v>
      </c>
      <c r="AH31" s="259">
        <v>-539.99999999997783</v>
      </c>
      <c r="AI31" s="259">
        <v>-4000.0000000000073</v>
      </c>
      <c r="AJ31" s="327">
        <v>7.1054273576010019E-12</v>
      </c>
      <c r="AK31" s="327">
        <v>7.1054273576010019E-12</v>
      </c>
      <c r="AL31" s="327">
        <v>-48.000000000001819</v>
      </c>
      <c r="AM31" s="292">
        <v>-524.99999999998431</v>
      </c>
      <c r="AN31" s="292">
        <v>-50.000000000004263</v>
      </c>
      <c r="AO31" s="292">
        <v>-50.000000000011369</v>
      </c>
      <c r="AP31" s="396">
        <v>14929.1</v>
      </c>
      <c r="AQ31" s="396">
        <v>33606.619999999995</v>
      </c>
      <c r="AR31" s="396">
        <v>51965.72</v>
      </c>
      <c r="AS31" s="396">
        <v>9676.15</v>
      </c>
      <c r="AT31" s="396">
        <v>35363.839999999997</v>
      </c>
      <c r="AU31" s="396">
        <v>21268.1</v>
      </c>
      <c r="AV31" s="396">
        <v>58391.19</v>
      </c>
      <c r="AW31" s="396">
        <v>16695.39</v>
      </c>
      <c r="AX31" s="396">
        <v>9193.880000000001</v>
      </c>
      <c r="AY31" s="402">
        <v>9278.34</v>
      </c>
      <c r="AZ31" s="402">
        <v>15502.02</v>
      </c>
      <c r="BA31" s="402">
        <v>52738.51</v>
      </c>
      <c r="BB31" s="402">
        <v>20233.21</v>
      </c>
      <c r="BC31" s="402">
        <v>36051.25</v>
      </c>
      <c r="BD31" s="402">
        <v>53831.09</v>
      </c>
      <c r="BE31" s="402">
        <v>72535.839999999997</v>
      </c>
      <c r="BF31" s="402">
        <v>23683.559999999998</v>
      </c>
      <c r="BG31" s="402">
        <v>25999.53</v>
      </c>
      <c r="BH31" s="402">
        <v>40198.520000000004</v>
      </c>
      <c r="BI31" s="402">
        <v>20964.82</v>
      </c>
      <c r="BJ31" s="418">
        <v>60050.020000000004</v>
      </c>
      <c r="BK31" s="418">
        <v>27105.29</v>
      </c>
      <c r="BL31" s="418">
        <v>17678.09</v>
      </c>
      <c r="BM31" s="418">
        <v>79882.789999999994</v>
      </c>
      <c r="BN31" s="418">
        <v>31796.67</v>
      </c>
      <c r="BO31" s="418">
        <v>26794.6</v>
      </c>
      <c r="BP31" s="418">
        <v>1049660.75</v>
      </c>
      <c r="BQ31" s="418">
        <v>31151.879999999997</v>
      </c>
      <c r="BR31" s="418">
        <v>29807.87</v>
      </c>
      <c r="BS31" s="418">
        <v>147993.19</v>
      </c>
      <c r="BT31" s="418">
        <v>24845.64</v>
      </c>
      <c r="BU31" s="418">
        <v>26116.55</v>
      </c>
      <c r="BV31" s="418">
        <v>36942.050000000003</v>
      </c>
      <c r="BW31" s="418">
        <v>38123.35</v>
      </c>
      <c r="BX31" s="418">
        <v>24210.720000000001</v>
      </c>
      <c r="BY31" s="418">
        <v>122107.59</v>
      </c>
      <c r="BZ31" s="418">
        <v>-13338.130000000001</v>
      </c>
      <c r="CA31" s="418">
        <v>19634.73</v>
      </c>
      <c r="CB31" s="418">
        <v>8130.51</v>
      </c>
      <c r="CC31" s="418">
        <v>29685.57</v>
      </c>
      <c r="CD31" s="418">
        <v>15256.43</v>
      </c>
      <c r="CE31" s="418">
        <v>14519.84</v>
      </c>
      <c r="CF31" s="418">
        <v>53262.97</v>
      </c>
      <c r="CG31" s="418">
        <v>24941.200000000001</v>
      </c>
      <c r="CH31" s="418">
        <v>40323.160000000003</v>
      </c>
      <c r="CI31" s="418">
        <v>22215.79</v>
      </c>
      <c r="CJ31" s="418">
        <v>18851.760000000002</v>
      </c>
      <c r="CK31" s="418">
        <v>33791.69</v>
      </c>
      <c r="CL31" s="418">
        <v>13998.8</v>
      </c>
      <c r="CM31" s="418">
        <v>78467.87</v>
      </c>
      <c r="CN31" s="418">
        <v>20647.62</v>
      </c>
      <c r="CO31" s="418">
        <v>56162.89</v>
      </c>
      <c r="CP31" s="418">
        <v>32400.39</v>
      </c>
      <c r="CQ31" s="418">
        <v>13366.28</v>
      </c>
      <c r="CR31" s="418">
        <v>11097.45</v>
      </c>
      <c r="CS31" s="418">
        <v>27895.66</v>
      </c>
      <c r="CT31" s="418">
        <v>16658.64</v>
      </c>
      <c r="CU31" s="418">
        <v>73888.91</v>
      </c>
      <c r="CV31" s="418">
        <v>66279.03</v>
      </c>
      <c r="CW31" s="418">
        <v>37869.08</v>
      </c>
      <c r="CX31" s="418">
        <v>41193.14</v>
      </c>
      <c r="CY31" s="418">
        <v>25602.32</v>
      </c>
      <c r="CZ31" s="418">
        <v>89218.47</v>
      </c>
      <c r="DA31" s="418">
        <v>28832.25</v>
      </c>
      <c r="DB31" s="418">
        <v>35379.17</v>
      </c>
      <c r="DC31" s="418">
        <v>11174.1</v>
      </c>
      <c r="DD31" s="418">
        <v>14974.75</v>
      </c>
      <c r="DE31" s="418">
        <v>23220.42</v>
      </c>
      <c r="DF31" s="418">
        <v>77385.62000000001</v>
      </c>
      <c r="DG31" s="418">
        <v>19285.489999999998</v>
      </c>
      <c r="DH31" s="418">
        <v>41741.03</v>
      </c>
      <c r="DI31" s="418">
        <v>66190.570000000007</v>
      </c>
      <c r="DJ31" s="418">
        <v>11055.41</v>
      </c>
      <c r="DK31" s="418">
        <v>114461.26999999999</v>
      </c>
      <c r="DL31" s="418">
        <v>43439.23</v>
      </c>
      <c r="DM31" s="418">
        <v>113507.68</v>
      </c>
      <c r="DN31" s="418">
        <v>41371.550000000003</v>
      </c>
      <c r="DO31" s="418">
        <v>66857.179999999993</v>
      </c>
      <c r="DP31" s="418">
        <v>14575.52</v>
      </c>
      <c r="DQ31" s="418">
        <v>26196.880000000001</v>
      </c>
      <c r="DR31" s="418">
        <v>9238.27</v>
      </c>
      <c r="DS31" s="418">
        <v>47371.97</v>
      </c>
      <c r="DT31" s="418">
        <v>26350.89</v>
      </c>
      <c r="DU31" s="418">
        <v>80786.37</v>
      </c>
      <c r="DV31" s="418">
        <v>49957.54</v>
      </c>
      <c r="DW31" s="418">
        <v>61239.79</v>
      </c>
      <c r="DX31" s="418">
        <v>41263.420000000006</v>
      </c>
      <c r="DY31" s="418">
        <v>37604.119999999995</v>
      </c>
      <c r="DZ31" s="418">
        <v>23143.49</v>
      </c>
      <c r="EA31" s="418">
        <v>40925.760000000002</v>
      </c>
      <c r="EB31" s="418">
        <v>32993.35</v>
      </c>
      <c r="EC31" s="418">
        <v>33921.519999999997</v>
      </c>
      <c r="ED31" s="418">
        <v>93251.18</v>
      </c>
      <c r="EE31" s="418">
        <v>40916.58</v>
      </c>
      <c r="EF31" s="418">
        <v>33123.35</v>
      </c>
      <c r="EG31" s="418">
        <v>100632.34999999999</v>
      </c>
      <c r="EH31" s="418">
        <v>97357.119999999995</v>
      </c>
      <c r="EI31" s="418">
        <v>17359.57</v>
      </c>
      <c r="EJ31" s="418">
        <v>59151.110000000008</v>
      </c>
      <c r="EK31" s="418">
        <v>119240.51</v>
      </c>
      <c r="EL31" s="418">
        <v>61144.740000000005</v>
      </c>
      <c r="EM31" s="418">
        <v>130716.01</v>
      </c>
      <c r="EN31" s="418">
        <v>34948.160000000003</v>
      </c>
      <c r="EO31" s="418">
        <v>27179.95</v>
      </c>
      <c r="EP31" s="418">
        <v>32286.780000000002</v>
      </c>
      <c r="EQ31" s="418">
        <f>(VLOOKUP("4212",'Input IS ACCTS'!$A$6:$DH$518,109,FALSE)+(VLOOKUP("4261",'Input IS ACCTS'!$A$6:$DH$518,109,FALSE)+(VLOOKUP("4264",'Input IS ACCTS'!$A$6:$DH$518,109,FALSE)+(VLOOKUP("4265",'Input IS ACCTS'!$A$6:$DH$518,109,FALSE)+(VLOOKUP("4263",'Input IS ACCTS'!$A$6:$DH$518,109,FALSE))))))</f>
        <v>74480.399999999994</v>
      </c>
      <c r="ER31" s="418">
        <f>(VLOOKUP("4212",'Input IS ACCTS'!$A$6:$DH$518,110,FALSE)+(VLOOKUP("4261",'Input IS ACCTS'!$A$6:$DH$518,110,FALSE)+(VLOOKUP("4264",'Input IS ACCTS'!$A$6:$DH$518,110,FALSE)+(VLOOKUP("4265",'Input IS ACCTS'!$A$6:$DH$518,110,FALSE)+(VLOOKUP("4263",'Input IS ACCTS'!$A$6:$DH$518,110,FALSE))))))</f>
        <v>66119.360000000001</v>
      </c>
      <c r="ES31" s="418">
        <f>(VLOOKUP("4212",'Input IS ACCTS'!$A$6:$DH$518,111,FALSE)+(VLOOKUP("4261",'Input IS ACCTS'!$A$6:$DH$518,111,FALSE)+(VLOOKUP("4264",'Input IS ACCTS'!$A$6:$DH$518,111,FALSE)+(VLOOKUP("4265",'Input IS ACCTS'!$A$6:$DH$518,111,FALSE)+(VLOOKUP("4263",'Input IS ACCTS'!$A$6:$DH$518,111,FALSE))))))</f>
        <v>53175.15</v>
      </c>
      <c r="ET31" s="132">
        <f t="shared" si="55"/>
        <v>773158.86</v>
      </c>
      <c r="EU31" s="174">
        <f t="shared" si="26"/>
        <v>773.15886</v>
      </c>
    </row>
    <row r="32" spans="1:151">
      <c r="A32" s="734" t="s">
        <v>2282</v>
      </c>
      <c r="B32" s="320">
        <f t="shared" si="53"/>
        <v>3104.35572</v>
      </c>
      <c r="C32" s="22"/>
      <c r="D32" s="320">
        <f t="shared" si="54"/>
        <v>265.76827000000003</v>
      </c>
      <c r="E32" s="22"/>
      <c r="F32" s="102">
        <v>0</v>
      </c>
      <c r="G32" s="102">
        <v>0</v>
      </c>
      <c r="H32" s="102">
        <v>0</v>
      </c>
      <c r="I32" s="102">
        <v>0</v>
      </c>
      <c r="J32" s="102">
        <v>0</v>
      </c>
      <c r="K32" s="102">
        <v>0</v>
      </c>
      <c r="L32" s="102">
        <v>0</v>
      </c>
      <c r="M32" s="102">
        <v>0</v>
      </c>
      <c r="N32" s="102">
        <v>0</v>
      </c>
      <c r="O32" s="102">
        <v>0</v>
      </c>
      <c r="P32" s="107">
        <v>0</v>
      </c>
      <c r="Q32" s="107">
        <v>0</v>
      </c>
      <c r="R32" s="102">
        <v>0</v>
      </c>
      <c r="S32" s="102">
        <v>0</v>
      </c>
      <c r="T32" s="102">
        <v>0</v>
      </c>
      <c r="U32" s="231">
        <v>0</v>
      </c>
      <c r="V32" s="231">
        <v>0</v>
      </c>
      <c r="W32" s="231">
        <v>0</v>
      </c>
      <c r="X32" s="231">
        <v>0</v>
      </c>
      <c r="Y32" s="231">
        <v>0</v>
      </c>
      <c r="Z32" s="231">
        <v>0</v>
      </c>
      <c r="AA32" s="231">
        <v>0</v>
      </c>
      <c r="AB32" s="231">
        <v>0</v>
      </c>
      <c r="AC32" s="232">
        <v>0</v>
      </c>
      <c r="AD32" s="232">
        <v>0</v>
      </c>
      <c r="AE32" s="232">
        <v>0</v>
      </c>
      <c r="AF32" s="232">
        <v>0</v>
      </c>
      <c r="AG32" s="259">
        <v>0</v>
      </c>
      <c r="AH32" s="259">
        <v>0</v>
      </c>
      <c r="AI32" s="259">
        <v>0</v>
      </c>
      <c r="AJ32" s="327">
        <v>0</v>
      </c>
      <c r="AK32" s="327">
        <v>0</v>
      </c>
      <c r="AL32" s="327">
        <v>0</v>
      </c>
      <c r="AM32" s="287">
        <v>0</v>
      </c>
      <c r="AN32" s="287">
        <v>0</v>
      </c>
      <c r="AO32" s="287">
        <v>0</v>
      </c>
      <c r="AP32" s="371">
        <v>0</v>
      </c>
      <c r="AQ32" s="371">
        <v>0</v>
      </c>
      <c r="AR32" s="371">
        <v>0</v>
      </c>
      <c r="AS32" s="371">
        <v>0</v>
      </c>
      <c r="AT32" s="371">
        <v>0</v>
      </c>
      <c r="AU32" s="371">
        <v>0</v>
      </c>
      <c r="AV32" s="371">
        <v>0</v>
      </c>
      <c r="AW32" s="371">
        <v>0</v>
      </c>
      <c r="AX32" s="371">
        <v>0</v>
      </c>
      <c r="AY32" s="371">
        <v>0</v>
      </c>
      <c r="AZ32" s="371">
        <v>0</v>
      </c>
      <c r="BA32" s="371">
        <v>0</v>
      </c>
      <c r="BB32" s="371">
        <v>0</v>
      </c>
      <c r="BC32" s="371">
        <v>0</v>
      </c>
      <c r="BD32" s="371">
        <v>0</v>
      </c>
      <c r="BE32" s="371">
        <v>0</v>
      </c>
      <c r="BF32" s="371">
        <v>0</v>
      </c>
      <c r="BG32" s="371">
        <v>0</v>
      </c>
      <c r="BH32" s="371">
        <v>0</v>
      </c>
      <c r="BI32" s="371">
        <v>0</v>
      </c>
      <c r="BJ32" s="371">
        <v>0</v>
      </c>
      <c r="BK32" s="371">
        <v>0</v>
      </c>
      <c r="BL32" s="371">
        <v>0</v>
      </c>
      <c r="BM32" s="371">
        <v>0</v>
      </c>
      <c r="BN32" s="371">
        <v>0</v>
      </c>
      <c r="BO32" s="371">
        <v>0</v>
      </c>
      <c r="BP32" s="371">
        <v>0</v>
      </c>
      <c r="BQ32" s="371">
        <v>0</v>
      </c>
      <c r="BR32" s="371">
        <v>0</v>
      </c>
      <c r="BS32" s="371">
        <v>0</v>
      </c>
      <c r="BT32" s="371">
        <v>0</v>
      </c>
      <c r="BU32" s="371">
        <v>0</v>
      </c>
      <c r="BV32" s="371">
        <v>0</v>
      </c>
      <c r="BW32" s="371">
        <v>0</v>
      </c>
      <c r="BX32" s="371">
        <v>0</v>
      </c>
      <c r="BY32" s="371">
        <v>0</v>
      </c>
      <c r="BZ32" s="371">
        <v>0</v>
      </c>
      <c r="CA32" s="371">
        <v>0</v>
      </c>
      <c r="CB32" s="371">
        <v>0</v>
      </c>
      <c r="CC32" s="371">
        <v>0</v>
      </c>
      <c r="CD32" s="371">
        <v>0</v>
      </c>
      <c r="CE32" s="371">
        <v>0</v>
      </c>
      <c r="CF32" s="371">
        <v>0</v>
      </c>
      <c r="CG32" s="371">
        <v>0</v>
      </c>
      <c r="CH32" s="371">
        <v>0</v>
      </c>
      <c r="CI32" s="371">
        <v>0</v>
      </c>
      <c r="CJ32" s="371">
        <v>0</v>
      </c>
      <c r="CK32" s="371">
        <v>0</v>
      </c>
      <c r="CL32" s="371">
        <v>0</v>
      </c>
      <c r="CM32" s="371">
        <v>0</v>
      </c>
      <c r="CN32" s="371">
        <v>0</v>
      </c>
      <c r="CO32" s="371">
        <v>0</v>
      </c>
      <c r="CP32" s="371">
        <v>0</v>
      </c>
      <c r="CQ32" s="371">
        <v>0</v>
      </c>
      <c r="CR32" s="371">
        <v>0</v>
      </c>
      <c r="CS32" s="371">
        <v>0</v>
      </c>
      <c r="CT32" s="371">
        <v>0</v>
      </c>
      <c r="CU32" s="371">
        <v>0</v>
      </c>
      <c r="CV32" s="371">
        <v>0</v>
      </c>
      <c r="CW32" s="371">
        <v>0</v>
      </c>
      <c r="CX32" s="371">
        <v>0</v>
      </c>
      <c r="CY32" s="371">
        <v>0</v>
      </c>
      <c r="CZ32" s="371">
        <v>0</v>
      </c>
      <c r="DA32" s="371">
        <v>0</v>
      </c>
      <c r="DB32" s="371">
        <v>0</v>
      </c>
      <c r="DC32" s="371">
        <v>0</v>
      </c>
      <c r="DD32" s="371">
        <v>0</v>
      </c>
      <c r="DE32" s="757">
        <v>135260.79</v>
      </c>
      <c r="DF32" s="746">
        <f>-(VLOOKUP("4191",'Input IS ACCTS'!$A$6:$DH$518,72,FALSE))</f>
        <v>88143.23</v>
      </c>
      <c r="DG32" s="757">
        <v>69984.350000000006</v>
      </c>
      <c r="DH32" s="746">
        <v>78293.710000000006</v>
      </c>
      <c r="DI32" s="746">
        <v>98731.87</v>
      </c>
      <c r="DJ32" s="746">
        <v>128109.59</v>
      </c>
      <c r="DK32" s="746">
        <v>160068.20000000001</v>
      </c>
      <c r="DL32" s="746">
        <v>187039.09</v>
      </c>
      <c r="DM32" s="746">
        <v>212810.96</v>
      </c>
      <c r="DN32" s="746">
        <v>258036.43</v>
      </c>
      <c r="DO32" s="746">
        <v>295038.21000000002</v>
      </c>
      <c r="DP32" s="746">
        <v>317432.21000000002</v>
      </c>
      <c r="DQ32" s="746">
        <v>354208</v>
      </c>
      <c r="DR32" s="746">
        <v>396170.73</v>
      </c>
      <c r="DS32" s="746">
        <v>313400.96999999997</v>
      </c>
      <c r="DT32" s="746">
        <v>231389.87</v>
      </c>
      <c r="DU32" s="746">
        <v>267899.33</v>
      </c>
      <c r="DV32" s="746">
        <v>304757.78999999998</v>
      </c>
      <c r="DW32" s="746">
        <v>370593.85</v>
      </c>
      <c r="DX32" s="746">
        <v>389947.17</v>
      </c>
      <c r="DY32" s="746">
        <v>326242.06</v>
      </c>
      <c r="DZ32" s="746">
        <v>221915.58</v>
      </c>
      <c r="EA32" s="746">
        <v>230325.17</v>
      </c>
      <c r="EB32" s="746">
        <v>249458.15</v>
      </c>
      <c r="EC32" s="746">
        <v>280763.06</v>
      </c>
      <c r="ED32" s="746">
        <v>307772.68</v>
      </c>
      <c r="EE32" s="746">
        <v>330307.34000000003</v>
      </c>
      <c r="EF32" s="746">
        <v>118962.32</v>
      </c>
      <c r="EG32" s="746">
        <v>163717.22</v>
      </c>
      <c r="EH32" s="746">
        <v>180627.20000000001</v>
      </c>
      <c r="EI32" s="746">
        <v>197146.68</v>
      </c>
      <c r="EJ32" s="746">
        <v>214283.86</v>
      </c>
      <c r="EK32" s="746">
        <v>235931.8</v>
      </c>
      <c r="EL32" s="746">
        <v>260884.35</v>
      </c>
      <c r="EM32" s="746">
        <v>291434.89</v>
      </c>
      <c r="EN32" s="746">
        <v>325385.08</v>
      </c>
      <c r="EO32" s="746">
        <v>349541.75</v>
      </c>
      <c r="EP32" s="746">
        <v>370307.86</v>
      </c>
      <c r="EQ32" s="746">
        <f>-(VLOOKUP("4191",'Input IS ACCTS'!$A$6:$DH$518,109,FALSE))</f>
        <v>167646.16</v>
      </c>
      <c r="ER32" s="746">
        <f>-(VLOOKUP("4191",'Input IS ACCTS'!$A$6:$DH$518,110,FALSE))</f>
        <v>245397.82</v>
      </c>
      <c r="ES32" s="746">
        <f>-(VLOOKUP("4191",'Input IS ACCTS'!$A$6:$DH$518,111,FALSE))</f>
        <v>265768.27</v>
      </c>
      <c r="ET32" s="132">
        <f t="shared" si="55"/>
        <v>3104355.72</v>
      </c>
      <c r="EU32" s="174">
        <f>ET32/1000</f>
        <v>3104.35572</v>
      </c>
    </row>
    <row r="33" spans="1:154">
      <c r="A33" s="17" t="s">
        <v>1354</v>
      </c>
      <c r="B33" s="320">
        <f t="shared" si="53"/>
        <v>-105.27869999999996</v>
      </c>
      <c r="C33" s="22"/>
      <c r="D33" s="320">
        <f t="shared" si="54"/>
        <v>-751.25300000000004</v>
      </c>
      <c r="E33" s="22"/>
      <c r="F33" s="102">
        <v>18443</v>
      </c>
      <c r="G33" s="102">
        <v>4597</v>
      </c>
      <c r="H33" s="102">
        <v>12236</v>
      </c>
      <c r="I33" s="102">
        <v>11230</v>
      </c>
      <c r="J33" s="102">
        <v>16416</v>
      </c>
      <c r="K33" s="102">
        <v>22797</v>
      </c>
      <c r="L33" s="102">
        <v>57527.14</v>
      </c>
      <c r="M33" s="102">
        <v>3118.27</v>
      </c>
      <c r="N33" s="102">
        <v>15660.51</v>
      </c>
      <c r="O33" s="102">
        <v>822.71</v>
      </c>
      <c r="P33" s="107">
        <v>9495.85</v>
      </c>
      <c r="Q33" s="107">
        <v>9537.0499999999993</v>
      </c>
      <c r="R33" s="102">
        <v>14123.66</v>
      </c>
      <c r="S33" s="102">
        <v>-9504.4500000000007</v>
      </c>
      <c r="T33" s="102">
        <v>14422.46</v>
      </c>
      <c r="U33" s="231">
        <v>-18178.18</v>
      </c>
      <c r="V33" s="231">
        <v>-4592.9399999999996</v>
      </c>
      <c r="W33" s="231">
        <v>13628.86</v>
      </c>
      <c r="X33" s="231">
        <v>14514.79</v>
      </c>
      <c r="Y33" s="231">
        <v>9924.6</v>
      </c>
      <c r="Z33" s="231">
        <v>4297.3900000000003</v>
      </c>
      <c r="AA33" s="231">
        <v>-2462.87</v>
      </c>
      <c r="AB33" s="231">
        <v>6694.1</v>
      </c>
      <c r="AC33" s="232">
        <v>-60634.79</v>
      </c>
      <c r="AD33" s="247">
        <v>-1436.64</v>
      </c>
      <c r="AE33" s="247">
        <v>8363.74</v>
      </c>
      <c r="AF33" s="232">
        <v>4343.1099999999997</v>
      </c>
      <c r="AG33" s="259">
        <v>15505.9</v>
      </c>
      <c r="AH33" s="261">
        <v>6967.75</v>
      </c>
      <c r="AI33" s="261">
        <v>-837.41</v>
      </c>
      <c r="AJ33" s="219">
        <v>8485.26</v>
      </c>
      <c r="AK33" s="219">
        <v>15590.84</v>
      </c>
      <c r="AL33" s="219">
        <v>10463.16</v>
      </c>
      <c r="AM33" s="190">
        <v>6644.96</v>
      </c>
      <c r="AN33" s="190">
        <v>-4765.34</v>
      </c>
      <c r="AO33" s="190">
        <v>8448.17</v>
      </c>
      <c r="AP33" s="371">
        <v>11805.59</v>
      </c>
      <c r="AQ33" s="371">
        <v>29501.11</v>
      </c>
      <c r="AR33" s="371">
        <v>-4315.67</v>
      </c>
      <c r="AS33" s="371">
        <v>69773.03</v>
      </c>
      <c r="AT33" s="371">
        <v>-88174.27</v>
      </c>
      <c r="AU33" s="371">
        <v>6021.9</v>
      </c>
      <c r="AV33" s="371">
        <v>-30264.81</v>
      </c>
      <c r="AW33" s="371">
        <v>-205.56</v>
      </c>
      <c r="AX33" s="371">
        <v>12789.06</v>
      </c>
      <c r="AY33" s="371">
        <v>3687.56</v>
      </c>
      <c r="AZ33" s="371">
        <v>-1884</v>
      </c>
      <c r="BA33" s="371">
        <v>-73481.48</v>
      </c>
      <c r="BB33" s="371">
        <v>6276.79</v>
      </c>
      <c r="BC33" s="371">
        <v>-4135.96</v>
      </c>
      <c r="BD33" s="371">
        <v>-19752.57</v>
      </c>
      <c r="BE33" s="371">
        <v>-16626.43</v>
      </c>
      <c r="BF33" s="371">
        <v>10034.24</v>
      </c>
      <c r="BG33" s="371">
        <v>63832.62</v>
      </c>
      <c r="BH33" s="371">
        <v>-6916.4</v>
      </c>
      <c r="BI33" s="371">
        <v>686.37</v>
      </c>
      <c r="BJ33" s="371">
        <v>-55098.3</v>
      </c>
      <c r="BK33" s="371">
        <v>-1190.26</v>
      </c>
      <c r="BL33" s="371">
        <v>2078.04</v>
      </c>
      <c r="BM33" s="371">
        <v>200747.01</v>
      </c>
      <c r="BN33" s="371">
        <v>-4410.3599999999997</v>
      </c>
      <c r="BO33" s="371">
        <v>17900.09</v>
      </c>
      <c r="BP33" s="371">
        <v>-9925.41</v>
      </c>
      <c r="BQ33" s="371">
        <v>4342.6499999999996</v>
      </c>
      <c r="BR33" s="371">
        <v>4499.7</v>
      </c>
      <c r="BS33" s="371">
        <v>-14942.42</v>
      </c>
      <c r="BT33" s="371">
        <v>83453.100000000006</v>
      </c>
      <c r="BU33" s="371">
        <v>158199.67000000001</v>
      </c>
      <c r="BV33" s="371">
        <v>293901.32</v>
      </c>
      <c r="BW33" s="371">
        <v>348928.49</v>
      </c>
      <c r="BX33" s="371">
        <v>73327.27</v>
      </c>
      <c r="BY33" s="371">
        <v>-649371.51</v>
      </c>
      <c r="BZ33" s="371">
        <v>108287.96</v>
      </c>
      <c r="CA33" s="371">
        <v>77885.19</v>
      </c>
      <c r="CB33" s="371">
        <v>-82968.27</v>
      </c>
      <c r="CC33" s="371">
        <v>71306.460000000006</v>
      </c>
      <c r="CD33" s="371">
        <v>69687.77</v>
      </c>
      <c r="CE33" s="371">
        <v>-197242.61</v>
      </c>
      <c r="CF33" s="371">
        <v>58077.54</v>
      </c>
      <c r="CG33" s="371">
        <v>62267.25</v>
      </c>
      <c r="CH33" s="371">
        <v>-158640.4</v>
      </c>
      <c r="CI33" s="371">
        <v>64185.54</v>
      </c>
      <c r="CJ33" s="371">
        <v>65028.5</v>
      </c>
      <c r="CK33" s="371">
        <v>-132944.51999999999</v>
      </c>
      <c r="CL33" s="371">
        <v>47044.19</v>
      </c>
      <c r="CM33" s="371">
        <v>47958.5</v>
      </c>
      <c r="CN33" s="371">
        <v>-72836.14</v>
      </c>
      <c r="CO33" s="371">
        <v>25831.03</v>
      </c>
      <c r="CP33" s="371">
        <v>40255.230000000003</v>
      </c>
      <c r="CQ33" s="371">
        <v>-82719.839999999997</v>
      </c>
      <c r="CR33" s="371">
        <v>45225.96</v>
      </c>
      <c r="CS33" s="371">
        <v>41191.99</v>
      </c>
      <c r="CT33" s="371">
        <v>-97983.62</v>
      </c>
      <c r="CU33" s="371">
        <f>(VLOOKUP("4092",'Input IS ACCTS'!$A$6:$DH$518,61,FALSE))+(VLOOKUP("4102",'Input IS ACCTS'!$A$6:$DH$518,61,FALSE))</f>
        <v>30887.24</v>
      </c>
      <c r="CV33" s="371">
        <f>(VLOOKUP("4092",'Input IS ACCTS'!$A$6:$DH$518,62,FALSE))+(VLOOKUP("4102",'Input IS ACCTS'!$A$6:$DH$518,62,FALSE))</f>
        <v>32230.41</v>
      </c>
      <c r="CW33" s="371">
        <f>(VLOOKUP("4092",'Input IS ACCTS'!$A$6:$DH$518,63,FALSE))+(VLOOKUP("4102",'Input IS ACCTS'!$A$6:$DH$518,63,FALSE))</f>
        <v>-136738.46</v>
      </c>
      <c r="CX33" s="371">
        <f>(VLOOKUP("4092",'Input IS ACCTS'!$A$6:$DH$518,64,FALSE))+(VLOOKUP("4102",'Input IS ACCTS'!$A$6:$DH$518,64,FALSE))</f>
        <v>41463.75</v>
      </c>
      <c r="CY33" s="371">
        <f>(VLOOKUP("4092",'Input IS ACCTS'!$A$6:$DH$518,65,FALSE))+(VLOOKUP("4102",'Input IS ACCTS'!$A$6:$DH$518,65,FALSE))</f>
        <v>43404.83</v>
      </c>
      <c r="CZ33" s="371">
        <f>(VLOOKUP("4092",'Input IS ACCTS'!$A$6:$DH$518,66,FALSE))+(VLOOKUP("4102",'Input IS ACCTS'!$A$6:$DH$518,66,FALSE))</f>
        <v>-37189.61</v>
      </c>
      <c r="DA33" s="371">
        <f>(VLOOKUP("4092",'Input IS ACCTS'!$A$6:$DH$518,67,FALSE))+(VLOOKUP("4102",'Input IS ACCTS'!$A$6:$DH$518,67,FALSE))</f>
        <v>44384.56</v>
      </c>
      <c r="DB33" s="371">
        <f>(VLOOKUP("4092",'Input IS ACCTS'!$A$6:$DH$518,68,FALSE))+(VLOOKUP("4102",'Input IS ACCTS'!$A$6:$DH$518,68,FALSE))</f>
        <v>38837.67</v>
      </c>
      <c r="DC33" s="371">
        <f>(VLOOKUP("4092",'Input IS ACCTS'!$A$6:$DH$518,69,FALSE))+(VLOOKUP("4102",'Input IS ACCTS'!$A$6:$DH$518,69,FALSE))</f>
        <v>-82483.349999999991</v>
      </c>
      <c r="DD33" s="371">
        <v>47574.159999999996</v>
      </c>
      <c r="DE33" s="371">
        <v>76939.41</v>
      </c>
      <c r="DF33" s="371">
        <v>-85876.32</v>
      </c>
      <c r="DG33" s="371">
        <v>59840.92</v>
      </c>
      <c r="DH33" s="371">
        <v>57126.34</v>
      </c>
      <c r="DI33" s="371">
        <v>-129170.98999999999</v>
      </c>
      <c r="DJ33" s="371">
        <v>74900.95</v>
      </c>
      <c r="DK33" s="371">
        <v>67533.11</v>
      </c>
      <c r="DL33" s="371">
        <v>-83639</v>
      </c>
      <c r="DM33" s="371">
        <v>80390.73</v>
      </c>
      <c r="DN33" s="371">
        <v>87099.11</v>
      </c>
      <c r="DO33" s="371">
        <v>94208.05</v>
      </c>
      <c r="DP33" s="371">
        <v>80852.38</v>
      </c>
      <c r="DQ33" s="371">
        <v>87255.46</v>
      </c>
      <c r="DR33" s="371">
        <v>-317165.2</v>
      </c>
      <c r="DS33" s="371">
        <v>67378.92</v>
      </c>
      <c r="DT33" s="371">
        <v>50946.69</v>
      </c>
      <c r="DU33" s="371">
        <v>-410525.51</v>
      </c>
      <c r="DV33" s="371">
        <v>73434.78</v>
      </c>
      <c r="DW33" s="371">
        <v>79044.53</v>
      </c>
      <c r="DX33" s="371">
        <v>-85309.56</v>
      </c>
      <c r="DY33" s="371">
        <v>75487.13</v>
      </c>
      <c r="DZ33" s="371">
        <v>51845.84</v>
      </c>
      <c r="EA33" s="371">
        <v>-102745.14</v>
      </c>
      <c r="EB33" s="371">
        <v>57603.41</v>
      </c>
      <c r="EC33" s="371">
        <v>63536.03</v>
      </c>
      <c r="ED33" s="371">
        <v>-88413.01</v>
      </c>
      <c r="EE33" s="371">
        <v>72742.33</v>
      </c>
      <c r="EF33" s="371">
        <v>24007.59</v>
      </c>
      <c r="EG33" s="371">
        <v>-97575.82</v>
      </c>
      <c r="EH33" s="371">
        <v>30791.97</v>
      </c>
      <c r="EI33" s="371">
        <v>48747.32</v>
      </c>
      <c r="EJ33" s="371">
        <v>-9406.42</v>
      </c>
      <c r="EK33" s="371">
        <v>43736.86</v>
      </c>
      <c r="EL33" s="371">
        <v>61132.79</v>
      </c>
      <c r="EM33" s="371">
        <v>48570.91</v>
      </c>
      <c r="EN33" s="371">
        <v>84579.21</v>
      </c>
      <c r="EO33" s="371">
        <v>102921.42</v>
      </c>
      <c r="EP33" s="371">
        <v>110967.21</v>
      </c>
      <c r="EQ33" s="371">
        <f>(VLOOKUP("4092",'Input IS ACCTS'!$A$6:$DH$518,109,FALSE))+(VLOOKUP("4102",'Input IS ACCTS'!$A$6:$DH$518,109,FALSE))</f>
        <v>51821.279999999999</v>
      </c>
      <c r="ER33" s="371">
        <f>(VLOOKUP("4092",'Input IS ACCTS'!$A$6:$DH$518,110,FALSE))+(VLOOKUP("4102",'Input IS ACCTS'!$A$6:$DH$518,110,FALSE))</f>
        <v>72111.75</v>
      </c>
      <c r="ES33" s="371">
        <f>(VLOOKUP("4092",'Input IS ACCTS'!$A$6:$DH$518,111,FALSE))+(VLOOKUP("4102",'Input IS ACCTS'!$A$6:$DH$518,111,FALSE))</f>
        <v>-751253</v>
      </c>
      <c r="ET33" s="132">
        <f t="shared" si="55"/>
        <v>-105278.69999999995</v>
      </c>
      <c r="EU33" s="174">
        <f>ET33/1000</f>
        <v>-105.27869999999996</v>
      </c>
    </row>
    <row r="34" spans="1:154">
      <c r="A34" t="s">
        <v>391</v>
      </c>
      <c r="B34" s="323">
        <f>+B27+B28+B29+B30-B31+B32-B33</f>
        <v>6336.4656800000002</v>
      </c>
      <c r="C34" s="22"/>
      <c r="D34" s="323">
        <f>+D27+D28+D29+D30-D31+D32-D33</f>
        <v>1105.3054200000001</v>
      </c>
      <c r="E34" s="22"/>
      <c r="F34" s="182">
        <v>418334</v>
      </c>
      <c r="G34" s="182">
        <v>79475</v>
      </c>
      <c r="H34" s="182">
        <v>433643</v>
      </c>
      <c r="I34" s="182">
        <v>220432</v>
      </c>
      <c r="J34" s="182">
        <v>268336</v>
      </c>
      <c r="K34" s="182">
        <v>478202</v>
      </c>
      <c r="L34" s="182">
        <v>432950.63</v>
      </c>
      <c r="M34" s="182">
        <v>126022.24999999997</v>
      </c>
      <c r="N34" s="182">
        <v>240638.24999999997</v>
      </c>
      <c r="O34" s="182">
        <v>41209.769999999997</v>
      </c>
      <c r="P34" s="182">
        <v>321775.51</v>
      </c>
      <c r="Q34" s="182">
        <v>339453.65</v>
      </c>
      <c r="R34" s="182">
        <v>176556.14</v>
      </c>
      <c r="S34" s="182">
        <v>108469.95000000001</v>
      </c>
      <c r="T34" s="182">
        <v>116654.37000000001</v>
      </c>
      <c r="U34" s="238">
        <v>189130.15000000002</v>
      </c>
      <c r="V34" s="238">
        <v>120968.81999999999</v>
      </c>
      <c r="W34" s="238">
        <v>-46394.86</v>
      </c>
      <c r="X34" s="238">
        <v>318310.21000000008</v>
      </c>
      <c r="Y34" s="238">
        <v>142707.47999999995</v>
      </c>
      <c r="Z34" s="238">
        <v>151413.34</v>
      </c>
      <c r="AA34" s="238">
        <v>120596.39999999998</v>
      </c>
      <c r="AB34" s="238">
        <v>86572.59</v>
      </c>
      <c r="AC34" s="238">
        <v>239589.58</v>
      </c>
      <c r="AD34" s="238">
        <v>293348.68</v>
      </c>
      <c r="AE34" s="238">
        <v>186766.14000000004</v>
      </c>
      <c r="AF34" s="238">
        <v>316292.09000000003</v>
      </c>
      <c r="AG34" s="238">
        <v>229286.29</v>
      </c>
      <c r="AH34" s="238">
        <v>217852.80999999997</v>
      </c>
      <c r="AI34" s="238">
        <v>257888.69</v>
      </c>
      <c r="AJ34" s="182">
        <v>224502.14999999997</v>
      </c>
      <c r="AK34" s="182">
        <v>276265.70999999996</v>
      </c>
      <c r="AL34" s="182">
        <v>284873.29000000004</v>
      </c>
      <c r="AM34" s="182">
        <v>251535.66999999995</v>
      </c>
      <c r="AN34" s="182">
        <v>136459.84000000003</v>
      </c>
      <c r="AO34" s="182">
        <v>192168.15</v>
      </c>
      <c r="AP34" s="378">
        <v>219153.02</v>
      </c>
      <c r="AQ34" s="378">
        <v>347290.5</v>
      </c>
      <c r="AR34" s="378">
        <v>162782.34000000003</v>
      </c>
      <c r="AS34" s="378">
        <v>211455.99000000002</v>
      </c>
      <c r="AT34" s="378">
        <v>242850.24</v>
      </c>
      <c r="AU34" s="378">
        <v>266924.13999999996</v>
      </c>
      <c r="AV34" s="378">
        <v>217078.37</v>
      </c>
      <c r="AW34" s="378">
        <v>206760.89</v>
      </c>
      <c r="AX34" s="378">
        <v>72864.69</v>
      </c>
      <c r="AY34" s="378">
        <v>301092.89</v>
      </c>
      <c r="AZ34" s="378">
        <v>164797.54</v>
      </c>
      <c r="BA34" s="378">
        <v>119693.39000000001</v>
      </c>
      <c r="BB34" s="378">
        <v>396706.01</v>
      </c>
      <c r="BC34" s="378">
        <v>189858.97999999998</v>
      </c>
      <c r="BD34" s="378">
        <v>143368.90000000002</v>
      </c>
      <c r="BE34" s="378">
        <v>91228.50999999998</v>
      </c>
      <c r="BF34" s="378">
        <v>237601</v>
      </c>
      <c r="BG34" s="378">
        <v>168899.36000000002</v>
      </c>
      <c r="BH34" s="378">
        <v>152074.65</v>
      </c>
      <c r="BI34" s="378">
        <v>171057.06</v>
      </c>
      <c r="BJ34" s="378">
        <v>235553.25</v>
      </c>
      <c r="BK34" s="378">
        <v>126949.02999999998</v>
      </c>
      <c r="BL34" s="378">
        <v>212234.5</v>
      </c>
      <c r="BM34" s="378">
        <v>1042855.0999999999</v>
      </c>
      <c r="BN34" s="378">
        <v>288154.92000000004</v>
      </c>
      <c r="BO34" s="378">
        <v>387694.39</v>
      </c>
      <c r="BP34" s="378">
        <v>-897950.00999999989</v>
      </c>
      <c r="BQ34" s="378">
        <v>126351.32999999999</v>
      </c>
      <c r="BR34" s="378">
        <v>297649.46999999997</v>
      </c>
      <c r="BS34" s="378">
        <v>70511.58</v>
      </c>
      <c r="BT34" s="378">
        <v>342165.67999999993</v>
      </c>
      <c r="BU34" s="378">
        <v>528740.54999999993</v>
      </c>
      <c r="BV34" s="378">
        <v>58386.169999999984</v>
      </c>
      <c r="BW34" s="378">
        <v>1322276.22</v>
      </c>
      <c r="BX34" s="378">
        <v>319131.54000000004</v>
      </c>
      <c r="BY34" s="378">
        <v>904152.33000000007</v>
      </c>
      <c r="BZ34" s="378">
        <f>+BZ27+BZ28+BZ29+BZ30-BZ31-BZ33</f>
        <v>467159.51000000007</v>
      </c>
      <c r="CA34" s="378">
        <f>+CA27+CA28+CA29+CA30-CA31-CA33</f>
        <v>428558.04</v>
      </c>
      <c r="CB34" s="378">
        <f>+CB27+CB28+CB29+CB30-CB31-CB33</f>
        <v>600064.02</v>
      </c>
      <c r="CC34" s="182">
        <v>254627.49</v>
      </c>
      <c r="CD34" s="182">
        <v>439047.17</v>
      </c>
      <c r="CE34" s="182">
        <v>235171.87999999998</v>
      </c>
      <c r="CF34" s="182">
        <f t="shared" ref="CF34:CK34" si="56">+CF27+CF28+CF29+CF30-CF31-CF33</f>
        <v>363767.97000000003</v>
      </c>
      <c r="CG34" s="182">
        <f t="shared" si="56"/>
        <v>241590.56</v>
      </c>
      <c r="CH34" s="182">
        <f t="shared" si="56"/>
        <v>599165.99</v>
      </c>
      <c r="CI34" s="182">
        <f t="shared" si="56"/>
        <v>344097.64</v>
      </c>
      <c r="CJ34" s="182">
        <f t="shared" si="56"/>
        <v>444065.24</v>
      </c>
      <c r="CK34" s="182">
        <f t="shared" si="56"/>
        <v>875179.41000000015</v>
      </c>
      <c r="CL34" s="182">
        <f t="shared" ref="CL34:CQ34" si="57">+CL27+CL28+CL29+CL30-CL31-CL33</f>
        <v>565100.46</v>
      </c>
      <c r="CM34" s="182">
        <f t="shared" si="57"/>
        <v>488065.80000000005</v>
      </c>
      <c r="CN34" s="182">
        <f t="shared" si="57"/>
        <v>351123.77</v>
      </c>
      <c r="CO34" s="182">
        <f t="shared" si="57"/>
        <v>594874.78999999992</v>
      </c>
      <c r="CP34" s="182">
        <f t="shared" si="57"/>
        <v>379005.17000000004</v>
      </c>
      <c r="CQ34" s="182">
        <f t="shared" si="57"/>
        <v>484643.36</v>
      </c>
      <c r="CR34" s="182">
        <f t="shared" ref="CR34:CW34" si="58">+CR27+CR28+CR29+CR30-CR31-CR33</f>
        <v>427986.27</v>
      </c>
      <c r="CS34" s="182">
        <f t="shared" si="58"/>
        <v>318315.92000000004</v>
      </c>
      <c r="CT34" s="182">
        <f t="shared" si="58"/>
        <v>458620.19999999995</v>
      </c>
      <c r="CU34" s="182">
        <f t="shared" si="58"/>
        <v>316864.32999999996</v>
      </c>
      <c r="CV34" s="182">
        <f t="shared" si="58"/>
        <v>338300.89000000007</v>
      </c>
      <c r="CW34" s="182">
        <f t="shared" si="58"/>
        <v>697590.26</v>
      </c>
      <c r="CX34" s="182">
        <f t="shared" ref="CX34:DC34" si="59">+CX27+CX28+CX29+CX30-CX31-CX33</f>
        <v>377890.45</v>
      </c>
      <c r="CY34" s="182">
        <f t="shared" si="59"/>
        <v>412385.55</v>
      </c>
      <c r="CZ34" s="182">
        <f t="shared" si="59"/>
        <v>599934.81999999995</v>
      </c>
      <c r="DA34" s="182">
        <f t="shared" si="59"/>
        <v>536303.55000000005</v>
      </c>
      <c r="DB34" s="182">
        <f t="shared" si="59"/>
        <v>443822.02</v>
      </c>
      <c r="DC34" s="182">
        <f t="shared" si="59"/>
        <v>487642.44000000006</v>
      </c>
      <c r="DD34" s="182">
        <f t="shared" ref="DD34:DI34" si="60">+DD27+DD28+DD29+DD30-DD31+DD32-DD33</f>
        <v>475616.42</v>
      </c>
      <c r="DE34" s="182">
        <f t="shared" si="60"/>
        <v>684605.8899999999</v>
      </c>
      <c r="DF34" s="182">
        <f t="shared" si="60"/>
        <v>507071.95</v>
      </c>
      <c r="DG34" s="182">
        <f t="shared" si="60"/>
        <v>379332.81</v>
      </c>
      <c r="DH34" s="182">
        <f t="shared" si="60"/>
        <v>364569.36</v>
      </c>
      <c r="DI34" s="182">
        <f t="shared" si="60"/>
        <v>580518.69999999995</v>
      </c>
      <c r="DJ34" s="182">
        <f t="shared" ref="DJ34:DO34" si="61">+DJ27+DJ28+DJ29+DJ30-DJ31+DJ32-DJ33</f>
        <v>357311.43</v>
      </c>
      <c r="DK34" s="182">
        <f t="shared" si="61"/>
        <v>594603.41</v>
      </c>
      <c r="DL34" s="182">
        <f t="shared" si="61"/>
        <v>521012.75</v>
      </c>
      <c r="DM34" s="182">
        <f t="shared" si="61"/>
        <v>580200.18000000005</v>
      </c>
      <c r="DN34" s="182">
        <f t="shared" si="61"/>
        <v>673249.54</v>
      </c>
      <c r="DO34" s="182">
        <f t="shared" si="61"/>
        <v>520670.06</v>
      </c>
      <c r="DP34" s="182">
        <f t="shared" ref="DP34:DU34" si="62">+DP27+DP28+DP29+DP30-DP31+DP32-DP33</f>
        <v>431776.51</v>
      </c>
      <c r="DQ34" s="182">
        <f t="shared" si="62"/>
        <v>572721.54</v>
      </c>
      <c r="DR34" s="182">
        <f t="shared" si="62"/>
        <v>944316.47</v>
      </c>
      <c r="DS34" s="182">
        <f t="shared" si="62"/>
        <v>535561.71</v>
      </c>
      <c r="DT34" s="182">
        <f t="shared" si="62"/>
        <v>362067</v>
      </c>
      <c r="DU34" s="182">
        <f t="shared" si="62"/>
        <v>961979.34000000008</v>
      </c>
      <c r="DV34" s="182">
        <f t="shared" ref="DV34:EA34" si="63">+DV27+DV28+DV29+DV30-DV31+DV32-DV33</f>
        <v>524421.96</v>
      </c>
      <c r="DW34" s="182">
        <f t="shared" si="63"/>
        <v>624812.40999999992</v>
      </c>
      <c r="DX34" s="182">
        <f t="shared" si="63"/>
        <v>717008.86999999988</v>
      </c>
      <c r="DY34" s="182">
        <f t="shared" si="63"/>
        <v>564950.94000000006</v>
      </c>
      <c r="DZ34" s="182">
        <f t="shared" si="63"/>
        <v>551255.9</v>
      </c>
      <c r="EA34" s="182">
        <f t="shared" si="63"/>
        <v>569873.52</v>
      </c>
      <c r="EB34" s="182">
        <f t="shared" ref="EB34:EU34" si="64">+EB27+EB28+EB29+EB30-EB31+EB32-EB33</f>
        <v>432519.12</v>
      </c>
      <c r="EC34" s="182">
        <f t="shared" si="64"/>
        <v>522091.03999999992</v>
      </c>
      <c r="ED34" s="182">
        <f t="shared" si="64"/>
        <v>600538.34</v>
      </c>
      <c r="EE34" s="182">
        <f t="shared" si="64"/>
        <v>530088.16</v>
      </c>
      <c r="EF34" s="182">
        <f t="shared" si="64"/>
        <v>338582.54</v>
      </c>
      <c r="EG34" s="182">
        <f t="shared" si="64"/>
        <v>319956.52</v>
      </c>
      <c r="EH34" s="182">
        <f t="shared" ref="EH34:EJ34" si="65">+EH27+EH28+EH29+EH30-EH31+EH32-EH33</f>
        <v>202379.12</v>
      </c>
      <c r="EI34" s="182">
        <f t="shared" si="65"/>
        <v>385644.42</v>
      </c>
      <c r="EJ34" s="182">
        <f t="shared" si="65"/>
        <v>646507.9800000001</v>
      </c>
      <c r="EK34" s="182">
        <f t="shared" ref="EK34:EM34" si="66">+EK27+EK28+EK29+EK30-EK31+EK32-EK33</f>
        <v>357897.85000000003</v>
      </c>
      <c r="EL34" s="182">
        <f t="shared" si="66"/>
        <v>438473.94</v>
      </c>
      <c r="EM34" s="182">
        <f t="shared" si="66"/>
        <v>367237.61</v>
      </c>
      <c r="EN34" s="182">
        <f t="shared" ref="EN34:EO34" si="67">+EN27+EN28+EN29+EN30-EN31+EN32-EN33</f>
        <v>677975.44</v>
      </c>
      <c r="EO34" s="182">
        <f t="shared" si="67"/>
        <v>591664.55999999994</v>
      </c>
      <c r="EP34" s="182">
        <f t="shared" ref="EP34:EQ34" si="68">+EP27+EP28+EP29+EP30-EP31+EP32-EP33</f>
        <v>669267.39</v>
      </c>
      <c r="EQ34" s="182">
        <f t="shared" si="68"/>
        <v>390490.52</v>
      </c>
      <c r="ER34" s="182">
        <f t="shared" ref="ER34:ES34" si="69">+ER27+ER28+ER29+ER30-ER31+ER32-ER33</f>
        <v>503621.42999999993</v>
      </c>
      <c r="ES34" s="182">
        <f t="shared" si="69"/>
        <v>1105305.42</v>
      </c>
      <c r="ET34" s="378">
        <f t="shared" si="64"/>
        <v>6336465.6800000006</v>
      </c>
      <c r="EU34" s="175">
        <f t="shared" si="64"/>
        <v>6336.4656800000002</v>
      </c>
    </row>
    <row r="35" spans="1:154">
      <c r="B35" s="322"/>
      <c r="C35" s="22"/>
      <c r="D35" s="322"/>
      <c r="E35" s="22"/>
      <c r="F35" s="47"/>
      <c r="G35" s="47"/>
      <c r="H35" s="47"/>
      <c r="I35" s="47"/>
      <c r="J35" s="47"/>
      <c r="K35" s="47"/>
      <c r="L35" s="47"/>
      <c r="M35" s="47"/>
      <c r="N35" s="47"/>
      <c r="O35" s="47"/>
      <c r="P35" s="180"/>
      <c r="Q35" s="180"/>
      <c r="R35" s="47"/>
      <c r="S35" s="47"/>
      <c r="T35" s="47"/>
      <c r="U35" s="239"/>
      <c r="V35" s="239"/>
      <c r="W35" s="239"/>
      <c r="X35" s="239"/>
      <c r="Y35" s="239"/>
      <c r="Z35" s="239"/>
      <c r="AA35" s="239"/>
      <c r="AB35" s="239"/>
      <c r="AC35" s="237"/>
      <c r="AD35" s="237"/>
      <c r="AE35" s="237"/>
      <c r="AF35" s="237"/>
      <c r="AG35" s="237"/>
      <c r="AH35" s="237"/>
      <c r="AI35" s="237"/>
      <c r="AJ35" s="180"/>
      <c r="AK35" s="180"/>
      <c r="AL35" s="180"/>
      <c r="AM35" s="180"/>
      <c r="AN35" s="180"/>
      <c r="AO35" s="180"/>
      <c r="AP35" s="180"/>
      <c r="AQ35" s="180"/>
      <c r="AR35" s="180"/>
      <c r="AS35" s="180"/>
      <c r="AT35" s="180"/>
      <c r="AU35" s="180"/>
      <c r="AV35" s="180"/>
      <c r="AW35" s="180"/>
      <c r="AX35" s="180"/>
      <c r="AY35" s="180"/>
      <c r="AZ35" s="180"/>
      <c r="BA35" s="180"/>
      <c r="BB35" s="180"/>
      <c r="BC35" s="180"/>
      <c r="BD35" s="180"/>
      <c r="BE35" s="180"/>
      <c r="BF35" s="180"/>
      <c r="BG35" s="180"/>
      <c r="BH35" s="180"/>
      <c r="BI35" s="180"/>
      <c r="BJ35" s="180"/>
      <c r="BK35" s="180"/>
      <c r="BL35" s="180"/>
      <c r="BM35" s="180"/>
      <c r="BN35" s="180"/>
      <c r="BO35" s="180"/>
      <c r="BP35" s="180"/>
      <c r="BQ35" s="180"/>
      <c r="BR35" s="180"/>
      <c r="BS35" s="180"/>
      <c r="BT35" s="180"/>
      <c r="BU35" s="180"/>
      <c r="BV35" s="180"/>
      <c r="BW35" s="180"/>
      <c r="BX35" s="180"/>
      <c r="BY35" s="180"/>
      <c r="BZ35" s="180"/>
      <c r="CA35" s="180"/>
      <c r="CB35" s="180"/>
      <c r="CC35" s="180"/>
      <c r="CD35" s="180"/>
      <c r="CE35" s="180"/>
      <c r="CF35" s="180"/>
      <c r="CG35" s="180"/>
      <c r="CH35" s="180"/>
      <c r="CI35" s="180"/>
      <c r="CJ35" s="180"/>
      <c r="CK35" s="180"/>
      <c r="CL35" s="180"/>
      <c r="CM35" s="180"/>
      <c r="CN35" s="180"/>
      <c r="CO35" s="180"/>
      <c r="CP35" s="180"/>
      <c r="CQ35" s="180"/>
      <c r="CR35" s="180"/>
      <c r="CS35" s="180"/>
      <c r="CT35" s="180"/>
      <c r="CU35" s="180"/>
      <c r="CV35" s="180"/>
      <c r="CW35" s="180"/>
      <c r="CX35" s="180"/>
      <c r="CY35" s="180"/>
      <c r="CZ35" s="180"/>
      <c r="DA35" s="180"/>
      <c r="DB35" s="180"/>
      <c r="DC35" s="180"/>
      <c r="DD35" s="180"/>
      <c r="DE35" s="180"/>
      <c r="DF35" s="180"/>
      <c r="DG35" s="180"/>
      <c r="DH35" s="180"/>
      <c r="DI35" s="180"/>
      <c r="DJ35" s="180"/>
      <c r="DK35" s="180"/>
      <c r="DL35" s="180"/>
      <c r="DM35" s="180"/>
      <c r="DN35" s="180"/>
      <c r="DO35" s="180"/>
      <c r="DP35" s="180"/>
      <c r="DQ35" s="180"/>
      <c r="DR35" s="180"/>
      <c r="DS35" s="180"/>
      <c r="DT35" s="180"/>
      <c r="DU35" s="180"/>
      <c r="DV35" s="180"/>
      <c r="DW35" s="180"/>
      <c r="DX35" s="180"/>
      <c r="DY35" s="180"/>
      <c r="DZ35" s="180"/>
      <c r="EA35" s="180"/>
      <c r="EB35" s="180"/>
      <c r="EC35" s="180"/>
      <c r="ED35" s="180"/>
      <c r="EE35" s="180"/>
      <c r="EF35" s="180"/>
      <c r="EG35" s="180"/>
      <c r="EH35" s="180"/>
      <c r="EI35" s="180"/>
      <c r="EJ35" s="180"/>
      <c r="EK35" s="180"/>
      <c r="EL35" s="180"/>
      <c r="EM35" s="180"/>
      <c r="EN35" s="180"/>
      <c r="EO35" s="180"/>
      <c r="EP35" s="180"/>
      <c r="EQ35" s="180"/>
      <c r="ER35" s="180"/>
      <c r="ES35" s="180"/>
      <c r="ET35" s="180"/>
      <c r="EU35" s="174"/>
    </row>
    <row r="36" spans="1:154">
      <c r="A36" s="4" t="s">
        <v>392</v>
      </c>
      <c r="B36" s="322"/>
      <c r="C36" s="22"/>
      <c r="D36" s="320"/>
      <c r="E36" s="22"/>
      <c r="F36" s="42"/>
      <c r="G36" s="42"/>
      <c r="H36" s="42"/>
      <c r="I36" s="42"/>
      <c r="J36" s="42"/>
      <c r="K36" s="42"/>
      <c r="L36" s="42"/>
      <c r="M36" s="42"/>
      <c r="N36" s="42"/>
      <c r="O36" s="42"/>
      <c r="P36" s="180"/>
      <c r="Q36" s="180"/>
      <c r="R36" s="42"/>
      <c r="S36" s="42"/>
      <c r="T36" s="42"/>
      <c r="U36" s="236"/>
      <c r="V36" s="236"/>
      <c r="W36" s="236"/>
      <c r="X36" s="236"/>
      <c r="Y36" s="236"/>
      <c r="Z36" s="236"/>
      <c r="AA36" s="236"/>
      <c r="AB36" s="236"/>
      <c r="AC36" s="237"/>
      <c r="AD36" s="237"/>
      <c r="AE36" s="237"/>
      <c r="AF36" s="237"/>
      <c r="AG36" s="237"/>
      <c r="AH36" s="237"/>
      <c r="AI36" s="237"/>
      <c r="AJ36" s="180"/>
      <c r="AK36" s="180"/>
      <c r="AL36" s="180"/>
      <c r="AM36" s="180"/>
      <c r="AN36" s="180"/>
      <c r="AO36" s="180"/>
      <c r="AP36" s="180"/>
      <c r="AQ36" s="180"/>
      <c r="AR36" s="180"/>
      <c r="AS36" s="180"/>
      <c r="AT36" s="180"/>
      <c r="AU36" s="180"/>
      <c r="AV36" s="180"/>
      <c r="AW36" s="180"/>
      <c r="AX36" s="180"/>
      <c r="AY36" s="180"/>
      <c r="AZ36" s="180"/>
      <c r="BA36" s="180"/>
      <c r="BB36" s="180"/>
      <c r="BC36" s="180"/>
      <c r="BD36" s="180"/>
      <c r="BE36" s="180"/>
      <c r="BF36" s="180"/>
      <c r="BG36" s="180"/>
      <c r="BH36" s="180"/>
      <c r="BI36" s="180"/>
      <c r="BJ36" s="180"/>
      <c r="BK36" s="180"/>
      <c r="BL36" s="180"/>
      <c r="BM36" s="180"/>
      <c r="BN36" s="180"/>
      <c r="BO36" s="180"/>
      <c r="BP36" s="180"/>
      <c r="BQ36" s="180"/>
      <c r="BR36" s="180"/>
      <c r="BS36" s="180"/>
      <c r="BT36" s="180"/>
      <c r="BU36" s="180"/>
      <c r="BV36" s="180"/>
      <c r="BW36" s="180"/>
      <c r="BX36" s="180"/>
      <c r="BY36" s="180"/>
      <c r="BZ36" s="180"/>
      <c r="CA36" s="180"/>
      <c r="CB36" s="180"/>
      <c r="CC36" s="180"/>
      <c r="CD36" s="180"/>
      <c r="CE36" s="180"/>
      <c r="CF36" s="180"/>
      <c r="CG36" s="180"/>
      <c r="CH36" s="180"/>
      <c r="CI36" s="180"/>
      <c r="CJ36" s="180"/>
      <c r="CK36" s="180"/>
      <c r="CL36" s="180"/>
      <c r="CM36" s="180"/>
      <c r="CN36" s="180"/>
      <c r="CO36" s="180"/>
      <c r="CP36" s="180"/>
      <c r="CQ36" s="180"/>
      <c r="CR36" s="180"/>
      <c r="CS36" s="180"/>
      <c r="CT36" s="180"/>
      <c r="CU36" s="180"/>
      <c r="CV36" s="180"/>
      <c r="CW36" s="180"/>
      <c r="CX36" s="180"/>
      <c r="CY36" s="180"/>
      <c r="CZ36" s="180"/>
      <c r="DA36" s="180"/>
      <c r="DB36" s="180"/>
      <c r="DC36" s="180"/>
      <c r="DD36" s="180"/>
      <c r="DE36" s="180"/>
      <c r="DF36" s="180"/>
      <c r="DG36" s="180"/>
      <c r="DH36" s="180"/>
      <c r="DI36" s="180"/>
      <c r="DJ36" s="180"/>
      <c r="DK36" s="180"/>
      <c r="DL36" s="180"/>
      <c r="DM36" s="180"/>
      <c r="DN36" s="180"/>
      <c r="DO36" s="180"/>
      <c r="DP36" s="180"/>
      <c r="DQ36" s="180"/>
      <c r="DR36" s="180"/>
      <c r="DS36" s="180"/>
      <c r="DT36" s="180"/>
      <c r="DU36" s="180"/>
      <c r="DV36" s="180"/>
      <c r="DW36" s="180"/>
      <c r="DX36" s="180"/>
      <c r="DY36" s="180"/>
      <c r="DZ36" s="180"/>
      <c r="EA36" s="180"/>
      <c r="EB36" s="180"/>
      <c r="EC36" s="180"/>
      <c r="ED36" s="180"/>
      <c r="EE36" s="180"/>
      <c r="EF36" s="180"/>
      <c r="EG36" s="180"/>
      <c r="EH36" s="180"/>
      <c r="EI36" s="180"/>
      <c r="EJ36" s="180"/>
      <c r="EK36" s="180"/>
      <c r="EL36" s="180"/>
      <c r="EM36" s="180"/>
      <c r="EN36" s="180"/>
      <c r="EO36" s="180"/>
      <c r="EP36" s="180"/>
      <c r="EQ36" s="180"/>
      <c r="ER36" s="180"/>
      <c r="ES36" s="180"/>
      <c r="ET36" s="180"/>
      <c r="EU36" s="174"/>
    </row>
    <row r="37" spans="1:154">
      <c r="A37" t="s">
        <v>393</v>
      </c>
      <c r="B37" s="320">
        <f t="shared" ref="B37:B42" si="70">(+ET37/1000)</f>
        <v>20999.791449999997</v>
      </c>
      <c r="C37" s="22"/>
      <c r="D37" s="320">
        <f t="shared" ref="D37:D42" si="71">(+ES37/1000)</f>
        <v>1859.53124</v>
      </c>
      <c r="E37" s="22"/>
      <c r="F37" s="179">
        <v>1170065</v>
      </c>
      <c r="G37" s="179">
        <v>1157681</v>
      </c>
      <c r="H37" s="179">
        <v>1161281</v>
      </c>
      <c r="I37" s="179">
        <v>1168296</v>
      </c>
      <c r="J37" s="179">
        <v>1161281</v>
      </c>
      <c r="K37" s="179">
        <v>1161281</v>
      </c>
      <c r="L37" s="179">
        <v>1141414.69</v>
      </c>
      <c r="M37" s="179">
        <v>1138614.51</v>
      </c>
      <c r="N37" s="179">
        <v>1138614.51</v>
      </c>
      <c r="O37" s="179">
        <v>1138614.51</v>
      </c>
      <c r="P37" s="107">
        <v>1138614.51</v>
      </c>
      <c r="Q37" s="107">
        <v>1138614.51</v>
      </c>
      <c r="R37" s="179">
        <v>1138614.51</v>
      </c>
      <c r="S37" s="179">
        <v>1138614.51</v>
      </c>
      <c r="T37" s="179">
        <v>1138614.51</v>
      </c>
      <c r="U37" s="240">
        <v>1138614.51</v>
      </c>
      <c r="V37" s="240">
        <v>1138614.51</v>
      </c>
      <c r="W37" s="240">
        <v>1226916.1000000001</v>
      </c>
      <c r="X37" s="240">
        <v>1178122.25</v>
      </c>
      <c r="Y37" s="240">
        <v>1061287.1100000001</v>
      </c>
      <c r="Z37" s="240">
        <v>942941.06</v>
      </c>
      <c r="AA37" s="240">
        <v>1002524.39</v>
      </c>
      <c r="AB37" s="240">
        <v>997107.72</v>
      </c>
      <c r="AC37" s="232">
        <v>997107.72</v>
      </c>
      <c r="AD37" s="232">
        <v>996837.72</v>
      </c>
      <c r="AE37" s="232">
        <v>997107.72</v>
      </c>
      <c r="AF37" s="232">
        <v>997107.72</v>
      </c>
      <c r="AG37" s="259">
        <v>997107.72</v>
      </c>
      <c r="AH37" s="259">
        <v>997107.72</v>
      </c>
      <c r="AI37" s="259">
        <v>997107.72</v>
      </c>
      <c r="AJ37" s="327">
        <v>997107.72</v>
      </c>
      <c r="AK37" s="327">
        <v>997107.72</v>
      </c>
      <c r="AL37" s="327">
        <v>997107.72</v>
      </c>
      <c r="AM37" s="287">
        <v>997107.72</v>
      </c>
      <c r="AN37" s="287">
        <v>997107.72</v>
      </c>
      <c r="AO37" s="287">
        <v>997107.72</v>
      </c>
      <c r="AP37" s="371">
        <v>997107.72</v>
      </c>
      <c r="AQ37" s="371">
        <v>997107.72</v>
      </c>
      <c r="AR37" s="371">
        <v>997107.72</v>
      </c>
      <c r="AS37" s="371">
        <v>997107.72</v>
      </c>
      <c r="AT37" s="371">
        <v>1015232.72</v>
      </c>
      <c r="AU37" s="371">
        <v>1033357.72</v>
      </c>
      <c r="AV37" s="371">
        <v>1033357.72</v>
      </c>
      <c r="AW37" s="371">
        <v>1033357.72</v>
      </c>
      <c r="AX37" s="371">
        <v>1033357.72</v>
      </c>
      <c r="AY37" s="371">
        <v>1033357.72</v>
      </c>
      <c r="AZ37" s="371">
        <v>1033357.72</v>
      </c>
      <c r="BA37" s="371">
        <v>1033357.72</v>
      </c>
      <c r="BB37" s="371">
        <v>1033357.72</v>
      </c>
      <c r="BC37" s="371">
        <v>1033357.73</v>
      </c>
      <c r="BD37" s="371">
        <v>1033357.73</v>
      </c>
      <c r="BE37" s="371">
        <v>1033357.73</v>
      </c>
      <c r="BF37" s="371">
        <v>1033357.73</v>
      </c>
      <c r="BG37" s="371">
        <v>1136024.3999999999</v>
      </c>
      <c r="BH37" s="371">
        <v>1103357.73</v>
      </c>
      <c r="BI37" s="371">
        <v>1103357.73</v>
      </c>
      <c r="BJ37" s="371">
        <v>1103357.73</v>
      </c>
      <c r="BK37" s="371">
        <v>1103357.73</v>
      </c>
      <c r="BL37" s="371">
        <v>1103357.73</v>
      </c>
      <c r="BM37" s="371">
        <v>1103357.73</v>
      </c>
      <c r="BN37" s="371">
        <v>1103357.73</v>
      </c>
      <c r="BO37" s="371">
        <v>1103357.73</v>
      </c>
      <c r="BP37" s="371">
        <v>1103357.73</v>
      </c>
      <c r="BQ37" s="371">
        <v>1103357.73</v>
      </c>
      <c r="BR37" s="371">
        <v>1103357.73</v>
      </c>
      <c r="BS37" s="371">
        <v>1103357.73</v>
      </c>
      <c r="BT37" s="371">
        <v>1103357.73</v>
      </c>
      <c r="BU37" s="371">
        <v>1093107.73</v>
      </c>
      <c r="BV37" s="371">
        <v>1103357.73</v>
      </c>
      <c r="BW37" s="371">
        <v>1103357.73</v>
      </c>
      <c r="BX37" s="371">
        <v>1103357.73</v>
      </c>
      <c r="BY37" s="371">
        <v>1103357.73</v>
      </c>
      <c r="BZ37" s="371">
        <v>1103357.73</v>
      </c>
      <c r="CA37" s="371">
        <v>1103357.73</v>
      </c>
      <c r="CB37" s="371">
        <v>1103357.73</v>
      </c>
      <c r="CC37" s="371">
        <v>1103357.73</v>
      </c>
      <c r="CD37" s="371">
        <v>1103357.73</v>
      </c>
      <c r="CE37" s="371">
        <v>1103357.73</v>
      </c>
      <c r="CF37" s="371">
        <v>1103357.73</v>
      </c>
      <c r="CG37" s="371">
        <v>1103357.73</v>
      </c>
      <c r="CH37" s="371">
        <v>1103357.73</v>
      </c>
      <c r="CI37" s="371">
        <v>1103357.73</v>
      </c>
      <c r="CJ37" s="371">
        <v>1103357.73</v>
      </c>
      <c r="CK37" s="371">
        <v>1103357.73</v>
      </c>
      <c r="CL37" s="371">
        <v>1103357.73</v>
      </c>
      <c r="CM37" s="371">
        <v>1103357.73</v>
      </c>
      <c r="CN37" s="371">
        <v>1103357.73</v>
      </c>
      <c r="CO37" s="371">
        <v>1103357.73</v>
      </c>
      <c r="CP37" s="371">
        <v>976274</v>
      </c>
      <c r="CQ37" s="371">
        <v>1055232.6499999999</v>
      </c>
      <c r="CR37" s="371">
        <v>1117941.06</v>
      </c>
      <c r="CS37" s="371">
        <v>1117941.06</v>
      </c>
      <c r="CT37" s="371">
        <v>1117941.06</v>
      </c>
      <c r="CU37" s="371">
        <v>1198288.32</v>
      </c>
      <c r="CV37" s="371">
        <v>1210649.3899999999</v>
      </c>
      <c r="CW37" s="371">
        <v>1210649.3899999999</v>
      </c>
      <c r="CX37" s="371">
        <v>1210649.3899999999</v>
      </c>
      <c r="CY37" s="371">
        <v>1210649.3899999999</v>
      </c>
      <c r="CZ37" s="371">
        <v>1210649.3899999999</v>
      </c>
      <c r="DA37" s="371">
        <v>1210649.3899999999</v>
      </c>
      <c r="DB37" s="371">
        <v>1210649.3899999999</v>
      </c>
      <c r="DC37" s="371">
        <v>1210649.3899999999</v>
      </c>
      <c r="DD37" s="371">
        <v>1230788.28</v>
      </c>
      <c r="DE37" s="371">
        <v>1286170.22</v>
      </c>
      <c r="DF37" s="371">
        <v>1286170.22</v>
      </c>
      <c r="DG37" s="371">
        <v>1286170.22</v>
      </c>
      <c r="DH37" s="371">
        <v>1286170.22</v>
      </c>
      <c r="DI37" s="371">
        <v>1286170.22</v>
      </c>
      <c r="DJ37" s="371">
        <v>1286170.22</v>
      </c>
      <c r="DK37" s="371">
        <v>1286170.22</v>
      </c>
      <c r="DL37" s="371">
        <v>1281135.51</v>
      </c>
      <c r="DM37" s="371">
        <v>1286170.22</v>
      </c>
      <c r="DN37" s="371">
        <v>1286170.22</v>
      </c>
      <c r="DO37" s="371">
        <v>1286170.22</v>
      </c>
      <c r="DP37" s="371">
        <v>1286170.22</v>
      </c>
      <c r="DQ37" s="371">
        <v>1286170.22</v>
      </c>
      <c r="DR37" s="371">
        <v>1286170.22</v>
      </c>
      <c r="DS37" s="371">
        <v>1286170.22</v>
      </c>
      <c r="DT37" s="371">
        <v>1286170.22</v>
      </c>
      <c r="DU37" s="371">
        <v>1286170.22</v>
      </c>
      <c r="DV37" s="371">
        <v>1286170.22</v>
      </c>
      <c r="DW37" s="371">
        <v>1286170.22</v>
      </c>
      <c r="DX37" s="371">
        <v>1603857.72</v>
      </c>
      <c r="DY37" s="371">
        <v>1846795.22</v>
      </c>
      <c r="DZ37" s="371">
        <v>1636354.16</v>
      </c>
      <c r="EA37" s="371">
        <v>1741574.69</v>
      </c>
      <c r="EB37" s="371">
        <v>1636354.16</v>
      </c>
      <c r="EC37" s="371">
        <v>1636354.16</v>
      </c>
      <c r="ED37" s="371">
        <v>1542916.66</v>
      </c>
      <c r="EE37" s="371">
        <v>1636354.16</v>
      </c>
      <c r="EF37" s="371">
        <v>1636354.16</v>
      </c>
      <c r="EG37" s="371">
        <v>1636354.16</v>
      </c>
      <c r="EH37" s="371">
        <v>1636354.16</v>
      </c>
      <c r="EI37" s="371">
        <v>1636354.16</v>
      </c>
      <c r="EJ37" s="371">
        <v>1636354.16</v>
      </c>
      <c r="EK37" s="371">
        <v>1636354.16</v>
      </c>
      <c r="EL37" s="371">
        <v>1636354.16</v>
      </c>
      <c r="EM37" s="371">
        <v>1636354.16</v>
      </c>
      <c r="EN37" s="371">
        <v>1802760.41</v>
      </c>
      <c r="EO37" s="371">
        <v>1913697.91</v>
      </c>
      <c r="EP37" s="371">
        <v>1886614.45</v>
      </c>
      <c r="EQ37" s="371">
        <f>(VLOOKUP("4270",'Input IS ACCTS'!$A$6:$DH$518,109,FALSE))</f>
        <v>1859531.24</v>
      </c>
      <c r="ER37" s="371">
        <f>(VLOOKUP("4270",'Input IS ACCTS'!$A$6:$DH$518,110,FALSE))</f>
        <v>1859531.24</v>
      </c>
      <c r="ES37" s="371">
        <f>(VLOOKUP("4270",'Input IS ACCTS'!$A$6:$DH$518,111,FALSE))</f>
        <v>1859531.24</v>
      </c>
      <c r="ET37" s="132">
        <f t="shared" ref="ET37:ET42" si="72">SUM(EH37:ES37)</f>
        <v>20999791.449999996</v>
      </c>
      <c r="EU37" s="174">
        <f>ET37/1000</f>
        <v>20999.791449999997</v>
      </c>
    </row>
    <row r="38" spans="1:154">
      <c r="A38" t="s">
        <v>394</v>
      </c>
      <c r="B38" s="320">
        <f t="shared" si="70"/>
        <v>3907.2807199999997</v>
      </c>
      <c r="C38" s="22"/>
      <c r="D38" s="320">
        <f t="shared" si="71"/>
        <v>761.98527999999988</v>
      </c>
      <c r="E38" s="22"/>
      <c r="F38" s="102">
        <v>934</v>
      </c>
      <c r="G38" s="102">
        <v>0</v>
      </c>
      <c r="H38" s="102">
        <v>713</v>
      </c>
      <c r="I38" s="102">
        <v>0</v>
      </c>
      <c r="J38" s="102">
        <v>0</v>
      </c>
      <c r="K38" s="102">
        <v>0</v>
      </c>
      <c r="L38" s="102">
        <v>0</v>
      </c>
      <c r="M38" s="102">
        <v>0</v>
      </c>
      <c r="N38" s="102">
        <v>0</v>
      </c>
      <c r="O38" s="102">
        <v>0</v>
      </c>
      <c r="P38" s="107">
        <v>0</v>
      </c>
      <c r="Q38" s="107">
        <v>0</v>
      </c>
      <c r="R38" s="102">
        <v>0</v>
      </c>
      <c r="S38" s="102">
        <v>0</v>
      </c>
      <c r="T38" s="102">
        <v>0</v>
      </c>
      <c r="U38" s="231">
        <v>0</v>
      </c>
      <c r="V38" s="231">
        <v>0</v>
      </c>
      <c r="W38" s="231">
        <v>0</v>
      </c>
      <c r="X38" s="231">
        <v>0</v>
      </c>
      <c r="Y38" s="231">
        <v>0</v>
      </c>
      <c r="Z38" s="231">
        <v>0</v>
      </c>
      <c r="AA38" s="231">
        <v>0</v>
      </c>
      <c r="AB38" s="231">
        <v>0</v>
      </c>
      <c r="AC38" s="232">
        <v>0</v>
      </c>
      <c r="AD38" s="232">
        <v>-0.19277645286729239</v>
      </c>
      <c r="AE38" s="232">
        <v>-0.19277645286729239</v>
      </c>
      <c r="AF38" s="232">
        <v>-0.19277645286729239</v>
      </c>
      <c r="AG38" s="259">
        <v>-0.19277645286729239</v>
      </c>
      <c r="AH38" s="259">
        <v>-0.19277645286729239</v>
      </c>
      <c r="AI38" s="259">
        <v>-0.19277645286729239</v>
      </c>
      <c r="AJ38" s="327">
        <v>-0.19277645286729239</v>
      </c>
      <c r="AK38" s="327">
        <v>-0.19277645286729239</v>
      </c>
      <c r="AL38" s="327">
        <v>-0.19277645286729239</v>
      </c>
      <c r="AM38" s="287">
        <v>-0.19277645286729239</v>
      </c>
      <c r="AN38" s="287">
        <v>-0.19277645286729239</v>
      </c>
      <c r="AO38" s="287">
        <v>-0.19277645286729239</v>
      </c>
      <c r="AP38" s="373">
        <v>9928.48</v>
      </c>
      <c r="AQ38" s="373">
        <v>4748.9800000000005</v>
      </c>
      <c r="AR38" s="373">
        <v>1714.33</v>
      </c>
      <c r="AS38" s="373">
        <v>236.07</v>
      </c>
      <c r="AT38" s="373">
        <v>0</v>
      </c>
      <c r="AU38" s="373">
        <v>0</v>
      </c>
      <c r="AV38" s="373">
        <v>0</v>
      </c>
      <c r="AW38" s="373">
        <v>0</v>
      </c>
      <c r="AX38" s="373">
        <v>0</v>
      </c>
      <c r="AY38" s="373">
        <v>0</v>
      </c>
      <c r="AZ38" s="373">
        <v>0</v>
      </c>
      <c r="BA38" s="373">
        <v>2350.77</v>
      </c>
      <c r="BB38" s="373">
        <v>6336.83</v>
      </c>
      <c r="BC38" s="373">
        <v>3113.86</v>
      </c>
      <c r="BD38" s="373">
        <v>2717.41</v>
      </c>
      <c r="BE38" s="373">
        <v>0</v>
      </c>
      <c r="BF38" s="373">
        <v>0</v>
      </c>
      <c r="BG38" s="373">
        <v>0</v>
      </c>
      <c r="BH38" s="373">
        <v>0</v>
      </c>
      <c r="BI38" s="373">
        <v>0</v>
      </c>
      <c r="BJ38" s="373">
        <v>0</v>
      </c>
      <c r="BK38" s="373">
        <v>0</v>
      </c>
      <c r="BL38" s="373">
        <v>0</v>
      </c>
      <c r="BM38" s="373">
        <v>0</v>
      </c>
      <c r="BN38" s="373">
        <v>0</v>
      </c>
      <c r="BO38" s="373">
        <v>64.81</v>
      </c>
      <c r="BP38" s="373">
        <v>10.98</v>
      </c>
      <c r="BQ38" s="373">
        <v>0</v>
      </c>
      <c r="BR38" s="373">
        <v>0</v>
      </c>
      <c r="BS38" s="373">
        <v>621.5</v>
      </c>
      <c r="BT38" s="373">
        <v>924.31</v>
      </c>
      <c r="BU38" s="373">
        <v>1186.83</v>
      </c>
      <c r="BV38" s="373">
        <v>2130.1999999999998</v>
      </c>
      <c r="BW38" s="373">
        <v>153.06</v>
      </c>
      <c r="BX38" s="373">
        <v>6551.43</v>
      </c>
      <c r="BY38" s="373">
        <v>27616.11</v>
      </c>
      <c r="BZ38" s="373">
        <v>44905.67</v>
      </c>
      <c r="CA38" s="373">
        <v>49530.64</v>
      </c>
      <c r="CB38" s="373">
        <v>53647.49</v>
      </c>
      <c r="CC38" s="373">
        <v>57773.82</v>
      </c>
      <c r="CD38" s="373">
        <v>34876.49</v>
      </c>
      <c r="CE38" s="373">
        <v>46596.95</v>
      </c>
      <c r="CF38" s="373">
        <v>59324.639999999999</v>
      </c>
      <c r="CG38" s="373">
        <v>64594.479999999996</v>
      </c>
      <c r="CH38" s="373">
        <v>132738.07</v>
      </c>
      <c r="CI38" s="373">
        <v>123731.22</v>
      </c>
      <c r="CJ38" s="373">
        <v>16783.32</v>
      </c>
      <c r="CK38" s="373">
        <v>970.83</v>
      </c>
      <c r="CL38" s="373">
        <v>7178.15</v>
      </c>
      <c r="CM38" s="373">
        <v>196947.8</v>
      </c>
      <c r="CN38" s="373">
        <v>-180863.37999999998</v>
      </c>
      <c r="CO38" s="373">
        <v>7725.76</v>
      </c>
      <c r="CP38" s="373">
        <v>67465.7</v>
      </c>
      <c r="CQ38" s="373">
        <v>84725.13</v>
      </c>
      <c r="CR38" s="373">
        <v>17948.07</v>
      </c>
      <c r="CS38" s="373">
        <v>11889.599999999999</v>
      </c>
      <c r="CT38" s="373">
        <v>17109.919999999998</v>
      </c>
      <c r="CU38" s="373">
        <v>13053.15</v>
      </c>
      <c r="CV38" s="373">
        <v>46774.2</v>
      </c>
      <c r="CW38" s="373">
        <v>153884.13</v>
      </c>
      <c r="CX38" s="373">
        <f>VLOOKUP("7500020",'Input IS ACCTS'!$A$6:$DH$518,64,FALSE)+VLOOKUP("7500080",'Input IS ACCTS'!$A$6:$DH$518,64,FALSE)+'Debt &amp; Cust Dep'!CI61*1000</f>
        <v>214969.99</v>
      </c>
      <c r="CY38" s="373">
        <f>VLOOKUP("7500020",'Input IS ACCTS'!$A$6:$DH$518,65,FALSE)+VLOOKUP("7500080",'Input IS ACCTS'!$A$6:$DH$518,65,FALSE)+'Debt &amp; Cust Dep'!CJ61*1000</f>
        <v>197877.37</v>
      </c>
      <c r="CZ38" s="373">
        <f>VLOOKUP("7500020",'Input IS ACCTS'!$A$6:$DH$518,66,FALSE)+VLOOKUP("7500080",'Input IS ACCTS'!$A$6:$DH$518,66,FALSE)+'Debt &amp; Cust Dep'!CK61*1000</f>
        <v>175503.68999999997</v>
      </c>
      <c r="DA38" s="373">
        <f>VLOOKUP("7500020",'Input IS ACCTS'!$A$6:$DH$518,67,FALSE)+VLOOKUP("7500080",'Input IS ACCTS'!$A$6:$DH$518,67,FALSE)+'Debt &amp; Cust Dep'!CL61*1000</f>
        <v>161745.99999999997</v>
      </c>
      <c r="DB38" s="373">
        <f>VLOOKUP("7500020",'Input IS ACCTS'!$A$6:$DH$518,68,FALSE)+VLOOKUP("7500080",'Input IS ACCTS'!$A$6:$DH$518,68,FALSE)+'Debt &amp; Cust Dep'!CM61*1000</f>
        <v>101718.97999999998</v>
      </c>
      <c r="DC38" s="373">
        <f>VLOOKUP("7500020",'Input IS ACCTS'!$A$6:$DH$518,69,FALSE)+VLOOKUP("7500080",'Input IS ACCTS'!$A$6:$DH$518,69,FALSE)+'Debt &amp; Cust Dep'!CN61*1000</f>
        <v>-121127.27000000002</v>
      </c>
      <c r="DD38" s="373">
        <f>VLOOKUP("7500020",'Input IS ACCTS'!$A$6:$DH$518,70,FALSE)+VLOOKUP("7500080",'Input IS ACCTS'!$A$6:$DH$518,70,FALSE)+'Debt &amp; Cust Dep'!CO61*1000</f>
        <v>108407.9</v>
      </c>
      <c r="DE38" s="373">
        <f>VLOOKUP("7500020",'Input IS ACCTS'!$A$6:$DH$518,71,FALSE)+VLOOKUP("7500080",'Input IS ACCTS'!$A$6:$DH$518,71,FALSE)+'Debt &amp; Cust Dep'!CP61*1000</f>
        <v>95194.639999999985</v>
      </c>
      <c r="DF38" s="373">
        <f>VLOOKUP("7500020",'Input IS ACCTS'!$A$6:$DH$518,72,FALSE)+VLOOKUP("7500080",'Input IS ACCTS'!$A$6:$DH$518,72,FALSE)+'Debt &amp; Cust Dep'!CQ61*1000</f>
        <v>104624.98999999999</v>
      </c>
      <c r="DG38" s="373">
        <v>115835.31999999999</v>
      </c>
      <c r="DH38" s="373">
        <v>123047.75999999998</v>
      </c>
      <c r="DI38" s="373">
        <v>179924.16</v>
      </c>
      <c r="DJ38" s="373">
        <v>210215.55000000002</v>
      </c>
      <c r="DK38" s="373">
        <v>90143.97</v>
      </c>
      <c r="DL38" s="373">
        <v>237609.57</v>
      </c>
      <c r="DM38" s="373">
        <v>95122.09</v>
      </c>
      <c r="DN38" s="373">
        <v>94080.85</v>
      </c>
      <c r="DO38" s="373">
        <v>98773.909999999974</v>
      </c>
      <c r="DP38" s="373">
        <v>117552.37</v>
      </c>
      <c r="DQ38" s="373">
        <v>114333.16</v>
      </c>
      <c r="DR38" s="373">
        <v>110193.62</v>
      </c>
      <c r="DS38" s="373">
        <v>128807.5</v>
      </c>
      <c r="DT38" s="373">
        <v>143573.54</v>
      </c>
      <c r="DU38" s="373">
        <v>182942.44</v>
      </c>
      <c r="DV38" s="373">
        <v>218833.53</v>
      </c>
      <c r="DW38" s="373">
        <v>205384.68999999997</v>
      </c>
      <c r="DX38" s="373">
        <v>170017.74</v>
      </c>
      <c r="DY38" s="373">
        <v>28172.49</v>
      </c>
      <c r="DZ38" s="373">
        <v>47144.56</v>
      </c>
      <c r="EA38" s="373">
        <v>92193.74</v>
      </c>
      <c r="EB38" s="373">
        <v>48576.85</v>
      </c>
      <c r="EC38" s="373">
        <v>53198.429999999993</v>
      </c>
      <c r="ED38" s="373">
        <v>44199.61</v>
      </c>
      <c r="EE38" s="373">
        <v>57750.91</v>
      </c>
      <c r="EF38" s="373">
        <v>58941.5</v>
      </c>
      <c r="EG38" s="373">
        <v>80505.77</v>
      </c>
      <c r="EH38" s="373">
        <v>115215.61</v>
      </c>
      <c r="EI38" s="373">
        <v>93170.03</v>
      </c>
      <c r="EJ38" s="373">
        <v>138232.37</v>
      </c>
      <c r="EK38" s="373">
        <v>180005.09</v>
      </c>
      <c r="EL38" s="373">
        <v>248595.58</v>
      </c>
      <c r="EM38" s="373">
        <v>274414.95</v>
      </c>
      <c r="EN38" s="373">
        <v>331705.44</v>
      </c>
      <c r="EO38" s="373">
        <v>262025.87</v>
      </c>
      <c r="EP38" s="373">
        <v>372285.58</v>
      </c>
      <c r="EQ38" s="373">
        <f>VLOOKUP("7500020",'Input IS ACCTS'!$A$6:$DH$518,109,FALSE)+VLOOKUP("7500080",'Input IS ACCTS'!$A$6:$DH$518,109,FALSE)+VLOOKUP("7500090",'Input IS ACCTS'!$A$6:$DH$518,109,FALSE)</f>
        <v>518192.06</v>
      </c>
      <c r="ER38" s="373">
        <f>VLOOKUP("7500020",'Input IS ACCTS'!$A$6:$DH$518,110,FALSE)+VLOOKUP("7500080",'Input IS ACCTS'!$A$6:$DH$518,110,FALSE)+VLOOKUP("7500090",'Input IS ACCTS'!$A$6:$DH$518,110,FALSE)</f>
        <v>611452.86</v>
      </c>
      <c r="ES38" s="373">
        <f>VLOOKUP("7500020",'Input IS ACCTS'!$A$6:$DH$518,111,FALSE)+VLOOKUP("7500080",'Input IS ACCTS'!$A$6:$DH$518,111,FALSE)+VLOOKUP("7500090",'Input IS ACCTS'!$A$6:$DH$518,111,FALSE)</f>
        <v>761985.27999999991</v>
      </c>
      <c r="ET38" s="132">
        <f t="shared" si="72"/>
        <v>3907280.7199999997</v>
      </c>
      <c r="EU38" s="174">
        <f t="shared" si="26"/>
        <v>3907.2807199999997</v>
      </c>
    </row>
    <row r="39" spans="1:154">
      <c r="A39" t="s">
        <v>395</v>
      </c>
      <c r="B39" s="320">
        <f t="shared" si="70"/>
        <v>425.28970999999996</v>
      </c>
      <c r="C39" s="22"/>
      <c r="D39" s="320">
        <f t="shared" si="71"/>
        <v>38.387680000000003</v>
      </c>
      <c r="E39" s="22"/>
      <c r="F39" s="102">
        <v>115724</v>
      </c>
      <c r="G39" s="102">
        <v>115594</v>
      </c>
      <c r="H39" s="102">
        <v>117086</v>
      </c>
      <c r="I39" s="102">
        <v>116062</v>
      </c>
      <c r="J39" s="102">
        <v>119057</v>
      </c>
      <c r="K39" s="102">
        <v>119953</v>
      </c>
      <c r="L39" s="102">
        <v>116796.27</v>
      </c>
      <c r="M39" s="102">
        <v>116485.37</v>
      </c>
      <c r="N39" s="102">
        <v>116329.04</v>
      </c>
      <c r="O39" s="102">
        <v>116268.61</v>
      </c>
      <c r="P39" s="153">
        <v>116268.61</v>
      </c>
      <c r="Q39" s="153">
        <v>116287.71</v>
      </c>
      <c r="R39" s="102">
        <v>116274.97</v>
      </c>
      <c r="S39" s="102">
        <v>116274.97</v>
      </c>
      <c r="T39" s="102">
        <v>116274.97</v>
      </c>
      <c r="U39" s="231">
        <v>116274.97</v>
      </c>
      <c r="V39" s="231">
        <v>116274.97</v>
      </c>
      <c r="W39" s="231">
        <v>121680.31999999999</v>
      </c>
      <c r="X39" s="231">
        <v>113923.78</v>
      </c>
      <c r="Y39" s="231">
        <v>78512.809999999983</v>
      </c>
      <c r="Z39" s="231">
        <v>43505.340000000004</v>
      </c>
      <c r="AA39" s="231">
        <v>45176.18</v>
      </c>
      <c r="AB39" s="231">
        <v>45202.28</v>
      </c>
      <c r="AC39" s="241">
        <v>45296.530000000006</v>
      </c>
      <c r="AD39" s="232">
        <v>45303.65</v>
      </c>
      <c r="AE39" s="232">
        <v>45238.68</v>
      </c>
      <c r="AF39" s="232">
        <v>45238.68</v>
      </c>
      <c r="AG39" s="259">
        <v>45238.68</v>
      </c>
      <c r="AH39" s="259">
        <v>45238.68</v>
      </c>
      <c r="AI39" s="259">
        <v>45238.68</v>
      </c>
      <c r="AJ39" s="327">
        <v>45240.4</v>
      </c>
      <c r="AK39" s="327">
        <v>45262.73</v>
      </c>
      <c r="AL39" s="327">
        <v>45277.41</v>
      </c>
      <c r="AM39" s="287">
        <v>45243.49</v>
      </c>
      <c r="AN39" s="287">
        <v>45243.49</v>
      </c>
      <c r="AO39" s="287">
        <v>45243.49</v>
      </c>
      <c r="AP39" s="371">
        <v>45243.49</v>
      </c>
      <c r="AQ39" s="371">
        <v>45243.49</v>
      </c>
      <c r="AR39" s="371">
        <v>45243.49</v>
      </c>
      <c r="AS39" s="371">
        <v>45243.49</v>
      </c>
      <c r="AT39" s="371">
        <v>45257.87</v>
      </c>
      <c r="AU39" s="371">
        <v>45696.66</v>
      </c>
      <c r="AV39" s="371">
        <v>45572.94</v>
      </c>
      <c r="AW39" s="371">
        <v>45564.24</v>
      </c>
      <c r="AX39" s="371">
        <v>45768.45</v>
      </c>
      <c r="AY39" s="371">
        <v>45596.65</v>
      </c>
      <c r="AZ39" s="371">
        <v>45594.559999999998</v>
      </c>
      <c r="BA39" s="371">
        <v>45594.559999999998</v>
      </c>
      <c r="BB39" s="371">
        <v>45594.559999999998</v>
      </c>
      <c r="BC39" s="371">
        <v>45594.559999999998</v>
      </c>
      <c r="BD39" s="371">
        <v>45594.559999999998</v>
      </c>
      <c r="BE39" s="371">
        <v>45594.559999999998</v>
      </c>
      <c r="BF39" s="371">
        <v>78261.23</v>
      </c>
      <c r="BG39" s="371">
        <v>12648.48</v>
      </c>
      <c r="BH39" s="371">
        <v>45320.55</v>
      </c>
      <c r="BI39" s="371">
        <v>45317.25</v>
      </c>
      <c r="BJ39" s="371">
        <v>45428.37</v>
      </c>
      <c r="BK39" s="371">
        <v>45345.03</v>
      </c>
      <c r="BL39" s="371">
        <v>45344.32</v>
      </c>
      <c r="BM39" s="371">
        <v>45363.15</v>
      </c>
      <c r="BN39" s="371">
        <v>45345.03</v>
      </c>
      <c r="BO39" s="371">
        <v>45345.03</v>
      </c>
      <c r="BP39" s="371">
        <v>45345.03</v>
      </c>
      <c r="BQ39" s="371">
        <v>45345.03</v>
      </c>
      <c r="BR39" s="371">
        <v>45345.03</v>
      </c>
      <c r="BS39" s="371">
        <v>45345.03</v>
      </c>
      <c r="BT39" s="371">
        <v>45345.03</v>
      </c>
      <c r="BU39" s="371">
        <v>45345.03</v>
      </c>
      <c r="BV39" s="371">
        <v>45345.03</v>
      </c>
      <c r="BW39" s="371">
        <v>45345.03</v>
      </c>
      <c r="BX39" s="371">
        <v>45345.03</v>
      </c>
      <c r="BY39" s="371">
        <v>45345.03</v>
      </c>
      <c r="BZ39" s="371">
        <v>45345.03</v>
      </c>
      <c r="CA39" s="371">
        <v>45345.03</v>
      </c>
      <c r="CB39" s="371">
        <v>45345.03</v>
      </c>
      <c r="CC39" s="371">
        <v>45345.03</v>
      </c>
      <c r="CD39" s="371">
        <v>45345.03</v>
      </c>
      <c r="CE39" s="371">
        <v>45345.03</v>
      </c>
      <c r="CF39" s="371">
        <v>45345.03</v>
      </c>
      <c r="CG39" s="371">
        <v>45345.03</v>
      </c>
      <c r="CH39" s="371">
        <v>45345.03</v>
      </c>
      <c r="CI39" s="371">
        <v>45345.03</v>
      </c>
      <c r="CJ39" s="371">
        <v>45345.03</v>
      </c>
      <c r="CK39" s="371">
        <v>45345.03</v>
      </c>
      <c r="CL39" s="371">
        <v>45345.03</v>
      </c>
      <c r="CM39" s="371">
        <v>45345.03</v>
      </c>
      <c r="CN39" s="371">
        <v>45345.03</v>
      </c>
      <c r="CO39" s="371">
        <v>45345.03</v>
      </c>
      <c r="CP39" s="371">
        <v>27368.99</v>
      </c>
      <c r="CQ39" s="371">
        <v>12617.1</v>
      </c>
      <c r="CR39" s="371">
        <v>12704.24</v>
      </c>
      <c r="CS39" s="371">
        <v>12706.38</v>
      </c>
      <c r="CT39" s="371">
        <v>13141.73</v>
      </c>
      <c r="CU39" s="371">
        <v>13803.91</v>
      </c>
      <c r="CV39" s="371">
        <v>13829.09</v>
      </c>
      <c r="CW39" s="371">
        <v>13850.32</v>
      </c>
      <c r="CX39" s="371">
        <v>13822.88</v>
      </c>
      <c r="CY39" s="371">
        <v>13822.88</v>
      </c>
      <c r="CZ39" s="371">
        <v>14052.4</v>
      </c>
      <c r="DA39" s="371">
        <v>13860.92</v>
      </c>
      <c r="DB39" s="371">
        <v>13860.92</v>
      </c>
      <c r="DC39" s="371">
        <v>13860.92</v>
      </c>
      <c r="DD39" s="371">
        <v>13860.92</v>
      </c>
      <c r="DE39" s="371">
        <v>15398.62</v>
      </c>
      <c r="DF39" s="371">
        <v>15460.32</v>
      </c>
      <c r="DG39" s="371">
        <v>15429.82</v>
      </c>
      <c r="DH39" s="371">
        <v>15429.82</v>
      </c>
      <c r="DI39" s="371">
        <v>15628.22</v>
      </c>
      <c r="DJ39" s="371">
        <v>15469.92</v>
      </c>
      <c r="DK39" s="371">
        <v>15469.92</v>
      </c>
      <c r="DL39" s="371">
        <v>15481.28</v>
      </c>
      <c r="DM39" s="371">
        <v>15471.2</v>
      </c>
      <c r="DN39" s="371">
        <v>15471.2</v>
      </c>
      <c r="DO39" s="371">
        <v>15471.2</v>
      </c>
      <c r="DP39" s="371">
        <v>15471.2</v>
      </c>
      <c r="DQ39" s="371">
        <v>15471.2</v>
      </c>
      <c r="DR39" s="371">
        <v>15471.2</v>
      </c>
      <c r="DS39" s="371">
        <v>15471.2</v>
      </c>
      <c r="DT39" s="371">
        <v>15471.2</v>
      </c>
      <c r="DU39" s="371">
        <v>15471.2</v>
      </c>
      <c r="DV39" s="371">
        <v>15471.2</v>
      </c>
      <c r="DW39" s="371">
        <v>15471.2</v>
      </c>
      <c r="DX39" s="371">
        <v>28962.53</v>
      </c>
      <c r="DY39" s="371">
        <v>30345.65</v>
      </c>
      <c r="DZ39" s="371">
        <v>32308.91</v>
      </c>
      <c r="EA39" s="371">
        <v>34366.57</v>
      </c>
      <c r="EB39" s="371">
        <v>31548.63</v>
      </c>
      <c r="EC39" s="371">
        <v>31548.63</v>
      </c>
      <c r="ED39" s="371">
        <v>31548.63</v>
      </c>
      <c r="EE39" s="371">
        <v>31548.63</v>
      </c>
      <c r="EF39" s="371">
        <v>33014.53</v>
      </c>
      <c r="EG39" s="371">
        <v>31548.63</v>
      </c>
      <c r="EH39" s="371">
        <v>31548.63</v>
      </c>
      <c r="EI39" s="371">
        <v>31548.63</v>
      </c>
      <c r="EJ39" s="371">
        <v>31548.63</v>
      </c>
      <c r="EK39" s="371">
        <v>31548.63</v>
      </c>
      <c r="EL39" s="371">
        <v>31548.63</v>
      </c>
      <c r="EM39" s="371">
        <v>31548.63</v>
      </c>
      <c r="EN39" s="371">
        <v>38388.78</v>
      </c>
      <c r="EO39" s="371">
        <v>41512.61</v>
      </c>
      <c r="EP39" s="371">
        <v>40002.01</v>
      </c>
      <c r="EQ39" s="371">
        <f>(VLOOKUP("4280",'Input IS ACCTS'!$A$6:$DH$518,109,FALSE))</f>
        <v>39319.17</v>
      </c>
      <c r="ER39" s="371">
        <f>(VLOOKUP("4280",'Input IS ACCTS'!$A$6:$DH$518,110,FALSE))</f>
        <v>38387.68</v>
      </c>
      <c r="ES39" s="371">
        <f>(VLOOKUP("4280",'Input IS ACCTS'!$A$6:$DH$518,111,FALSE))</f>
        <v>38387.68</v>
      </c>
      <c r="ET39" s="132">
        <f t="shared" si="72"/>
        <v>425289.70999999996</v>
      </c>
      <c r="EU39" s="174">
        <f t="shared" si="26"/>
        <v>425.28970999999996</v>
      </c>
    </row>
    <row r="40" spans="1:154">
      <c r="A40" t="s">
        <v>396</v>
      </c>
      <c r="B40" s="320">
        <f t="shared" si="70"/>
        <v>114.14551</v>
      </c>
      <c r="C40" s="22"/>
      <c r="D40" s="320">
        <f t="shared" si="71"/>
        <v>0</v>
      </c>
      <c r="E40" s="22"/>
      <c r="F40" s="102">
        <v>2418</v>
      </c>
      <c r="G40" s="102">
        <v>1065</v>
      </c>
      <c r="H40" s="102">
        <v>-1368</v>
      </c>
      <c r="I40" s="102">
        <v>17</v>
      </c>
      <c r="J40" s="102">
        <v>-852</v>
      </c>
      <c r="K40" s="102">
        <v>-2797</v>
      </c>
      <c r="L40" s="102">
        <v>-456.39</v>
      </c>
      <c r="M40" s="102">
        <v>228.03</v>
      </c>
      <c r="N40" s="102">
        <v>65.64</v>
      </c>
      <c r="O40" s="102">
        <v>39.5</v>
      </c>
      <c r="P40" s="153">
        <v>441.36</v>
      </c>
      <c r="Q40" s="153">
        <v>1166.47</v>
      </c>
      <c r="R40" s="102">
        <v>-238.16</v>
      </c>
      <c r="S40" s="102">
        <v>-374.59</v>
      </c>
      <c r="T40" s="102">
        <v>-6605.67</v>
      </c>
      <c r="U40" s="231">
        <v>-10785.78</v>
      </c>
      <c r="V40" s="231">
        <v>-12303.67</v>
      </c>
      <c r="W40" s="231">
        <v>-1816.46</v>
      </c>
      <c r="X40" s="231">
        <v>0</v>
      </c>
      <c r="Y40" s="231">
        <v>-742.56000000000006</v>
      </c>
      <c r="Z40" s="231">
        <v>2534.6499999999996</v>
      </c>
      <c r="AA40" s="231">
        <v>0</v>
      </c>
      <c r="AB40" s="231">
        <v>-235.08</v>
      </c>
      <c r="AC40" s="241">
        <v>-351.41</v>
      </c>
      <c r="AD40" s="232">
        <v>-287.85000000000002</v>
      </c>
      <c r="AE40" s="232">
        <v>211.15</v>
      </c>
      <c r="AF40" s="232">
        <v>2.74</v>
      </c>
      <c r="AG40" s="259">
        <v>-308.02</v>
      </c>
      <c r="AH40" s="259">
        <v>-122.4</v>
      </c>
      <c r="AI40" s="259">
        <v>-610.28</v>
      </c>
      <c r="AJ40" s="327">
        <v>-169.25</v>
      </c>
      <c r="AK40" s="327">
        <v>-40.43</v>
      </c>
      <c r="AL40" s="327">
        <v>-3644.44</v>
      </c>
      <c r="AM40" s="287">
        <v>-374.34</v>
      </c>
      <c r="AN40" s="287">
        <v>-46.36</v>
      </c>
      <c r="AO40" s="287">
        <v>0</v>
      </c>
      <c r="AP40" s="373">
        <v>8.7899999999999991</v>
      </c>
      <c r="AQ40" s="373">
        <v>0</v>
      </c>
      <c r="AR40" s="373">
        <v>0</v>
      </c>
      <c r="AS40" s="373">
        <v>0</v>
      </c>
      <c r="AT40" s="373">
        <v>0</v>
      </c>
      <c r="AU40" s="373">
        <v>0</v>
      </c>
      <c r="AV40" s="373">
        <v>0</v>
      </c>
      <c r="AW40" s="373">
        <v>21.92</v>
      </c>
      <c r="AX40" s="373">
        <v>471.22</v>
      </c>
      <c r="AY40" s="373">
        <v>359.57</v>
      </c>
      <c r="AZ40" s="373">
        <v>0</v>
      </c>
      <c r="BA40" s="373">
        <v>255.48</v>
      </c>
      <c r="BB40" s="373">
        <v>0</v>
      </c>
      <c r="BC40" s="373">
        <v>0</v>
      </c>
      <c r="BD40" s="373">
        <v>0</v>
      </c>
      <c r="BE40" s="373">
        <v>0</v>
      </c>
      <c r="BF40" s="373">
        <v>0</v>
      </c>
      <c r="BG40" s="373">
        <v>0</v>
      </c>
      <c r="BH40" s="373">
        <v>0</v>
      </c>
      <c r="BI40" s="373">
        <v>0</v>
      </c>
      <c r="BJ40" s="373">
        <v>0</v>
      </c>
      <c r="BK40" s="373">
        <v>0</v>
      </c>
      <c r="BL40" s="373">
        <v>0</v>
      </c>
      <c r="BM40" s="373">
        <v>0</v>
      </c>
      <c r="BN40" s="373">
        <v>0</v>
      </c>
      <c r="BO40" s="373">
        <v>0</v>
      </c>
      <c r="BP40" s="373">
        <v>0</v>
      </c>
      <c r="BQ40" s="373">
        <v>0</v>
      </c>
      <c r="BR40" s="373">
        <v>0</v>
      </c>
      <c r="BS40" s="373">
        <v>0</v>
      </c>
      <c r="BT40" s="373">
        <v>0</v>
      </c>
      <c r="BU40" s="373">
        <v>0</v>
      </c>
      <c r="BV40" s="373">
        <v>0</v>
      </c>
      <c r="BW40" s="373">
        <v>4.37</v>
      </c>
      <c r="BX40" s="373">
        <v>0</v>
      </c>
      <c r="BY40" s="373">
        <v>0</v>
      </c>
      <c r="BZ40" s="373">
        <v>0</v>
      </c>
      <c r="CA40" s="373">
        <v>0</v>
      </c>
      <c r="CB40" s="373">
        <v>0</v>
      </c>
      <c r="CC40" s="373">
        <v>0</v>
      </c>
      <c r="CD40" s="373">
        <v>0</v>
      </c>
      <c r="CE40" s="373">
        <v>0</v>
      </c>
      <c r="CF40" s="373">
        <v>0</v>
      </c>
      <c r="CG40" s="373">
        <v>0</v>
      </c>
      <c r="CH40" s="373">
        <v>0</v>
      </c>
      <c r="CI40" s="373">
        <v>0</v>
      </c>
      <c r="CJ40" s="373">
        <v>11265.77</v>
      </c>
      <c r="CK40" s="373">
        <v>17164.080000000002</v>
      </c>
      <c r="CL40" s="373">
        <v>0</v>
      </c>
      <c r="CM40" s="373">
        <v>0</v>
      </c>
      <c r="CN40" s="373">
        <v>0</v>
      </c>
      <c r="CO40" s="373">
        <v>0</v>
      </c>
      <c r="CP40" s="373">
        <v>0</v>
      </c>
      <c r="CQ40" s="373">
        <v>0</v>
      </c>
      <c r="CR40" s="373">
        <v>0</v>
      </c>
      <c r="CS40" s="373">
        <v>0</v>
      </c>
      <c r="CT40" s="373">
        <v>0</v>
      </c>
      <c r="CU40" s="373">
        <v>10930.39</v>
      </c>
      <c r="CV40" s="373">
        <v>9713.34</v>
      </c>
      <c r="CW40" s="373">
        <v>0</v>
      </c>
      <c r="CX40" s="373">
        <v>0</v>
      </c>
      <c r="CY40" s="373">
        <v>0</v>
      </c>
      <c r="CZ40" s="373">
        <v>0</v>
      </c>
      <c r="DA40" s="373">
        <v>0</v>
      </c>
      <c r="DB40" s="373">
        <v>0</v>
      </c>
      <c r="DC40" s="373">
        <v>0</v>
      </c>
      <c r="DD40" s="373">
        <v>0</v>
      </c>
      <c r="DE40" s="373">
        <v>0</v>
      </c>
      <c r="DF40" s="373">
        <v>0</v>
      </c>
      <c r="DG40" s="373">
        <v>0</v>
      </c>
      <c r="DH40" s="373">
        <v>0</v>
      </c>
      <c r="DI40" s="373">
        <v>0</v>
      </c>
      <c r="DJ40" s="373">
        <v>0</v>
      </c>
      <c r="DK40" s="373">
        <v>0</v>
      </c>
      <c r="DL40" s="373">
        <v>219.4</v>
      </c>
      <c r="DM40" s="373">
        <v>0</v>
      </c>
      <c r="DN40" s="373">
        <v>0</v>
      </c>
      <c r="DO40" s="373">
        <v>0</v>
      </c>
      <c r="DP40" s="373">
        <v>0</v>
      </c>
      <c r="DQ40" s="373">
        <v>0</v>
      </c>
      <c r="DR40" s="373">
        <v>0</v>
      </c>
      <c r="DS40" s="373">
        <v>0</v>
      </c>
      <c r="DT40" s="373">
        <v>0</v>
      </c>
      <c r="DU40" s="373">
        <v>0</v>
      </c>
      <c r="DV40" s="373">
        <v>0</v>
      </c>
      <c r="DW40" s="373">
        <v>0</v>
      </c>
      <c r="DX40" s="373">
        <v>278.17</v>
      </c>
      <c r="DY40" s="373">
        <v>993.1</v>
      </c>
      <c r="DZ40" s="373">
        <v>0</v>
      </c>
      <c r="EA40" s="373">
        <v>0</v>
      </c>
      <c r="EB40" s="373">
        <v>0</v>
      </c>
      <c r="EC40" s="373">
        <v>0</v>
      </c>
      <c r="ED40" s="373">
        <v>0</v>
      </c>
      <c r="EE40" s="373">
        <v>0</v>
      </c>
      <c r="EF40" s="373">
        <v>0</v>
      </c>
      <c r="EG40" s="373">
        <v>0</v>
      </c>
      <c r="EH40" s="373">
        <v>0</v>
      </c>
      <c r="EI40" s="373">
        <v>0</v>
      </c>
      <c r="EJ40" s="373">
        <v>0</v>
      </c>
      <c r="EK40" s="373">
        <v>0</v>
      </c>
      <c r="EL40" s="373">
        <v>0</v>
      </c>
      <c r="EM40" s="373">
        <v>0</v>
      </c>
      <c r="EN40" s="373">
        <v>17810.62</v>
      </c>
      <c r="EO40" s="373">
        <v>65441.59</v>
      </c>
      <c r="EP40" s="373">
        <v>30893.3</v>
      </c>
      <c r="EQ40" s="373">
        <f>VLOOKUP("7500700",'Input IS ACCTS'!$A$6:$DH$518,109,FALSE)</f>
        <v>0</v>
      </c>
      <c r="ER40" s="373">
        <f>VLOOKUP("7500700",'Input IS ACCTS'!$A$6:$DH$518,110,FALSE)</f>
        <v>0</v>
      </c>
      <c r="ES40" s="373">
        <f>VLOOKUP("7500700",'Input IS ACCTS'!$A$6:$DH$518,111,FALSE)</f>
        <v>0</v>
      </c>
      <c r="ET40" s="132">
        <f t="shared" si="72"/>
        <v>114145.51</v>
      </c>
      <c r="EU40" s="174">
        <f>ET40/1000</f>
        <v>114.14551</v>
      </c>
    </row>
    <row r="41" spans="1:154">
      <c r="A41" t="s">
        <v>397</v>
      </c>
      <c r="B41" s="320">
        <f t="shared" si="70"/>
        <v>585.57349000000011</v>
      </c>
      <c r="C41" s="22"/>
      <c r="D41" s="320">
        <f t="shared" si="71"/>
        <v>35.592990000000107</v>
      </c>
      <c r="E41" s="22"/>
      <c r="F41" s="102">
        <v>207447</v>
      </c>
      <c r="G41" s="102">
        <v>207445</v>
      </c>
      <c r="H41" s="102">
        <v>208336</v>
      </c>
      <c r="I41" s="102">
        <v>209299</v>
      </c>
      <c r="J41" s="102">
        <v>210422</v>
      </c>
      <c r="K41" s="102">
        <v>211215</v>
      </c>
      <c r="L41" s="102">
        <v>210874.5</v>
      </c>
      <c r="M41" s="102">
        <v>210316.13</v>
      </c>
      <c r="N41" s="102">
        <v>209487.13</v>
      </c>
      <c r="O41" s="102">
        <v>209523.01</v>
      </c>
      <c r="P41" s="153">
        <v>209629.75</v>
      </c>
      <c r="Q41" s="153">
        <v>228091.87</v>
      </c>
      <c r="R41" s="102">
        <v>192762.22</v>
      </c>
      <c r="S41" s="102">
        <v>209166.38</v>
      </c>
      <c r="T41" s="102">
        <v>209114.90000000002</v>
      </c>
      <c r="U41" s="231">
        <v>209175.02999999997</v>
      </c>
      <c r="V41" s="231">
        <v>209109.77</v>
      </c>
      <c r="W41" s="231">
        <v>208376.84</v>
      </c>
      <c r="X41" s="231">
        <v>208038.36</v>
      </c>
      <c r="Y41" s="231">
        <v>81032.289999999994</v>
      </c>
      <c r="Z41" s="231">
        <v>81176.37</v>
      </c>
      <c r="AA41" s="231">
        <v>81347.910000000018</v>
      </c>
      <c r="AB41" s="231">
        <v>81283.990000000005</v>
      </c>
      <c r="AC41" s="241">
        <v>81228.12</v>
      </c>
      <c r="AD41" s="232">
        <v>82510.48</v>
      </c>
      <c r="AE41" s="232">
        <v>80819.570000000007</v>
      </c>
      <c r="AF41" s="232">
        <v>80864.09</v>
      </c>
      <c r="AG41" s="260">
        <v>80865.88</v>
      </c>
      <c r="AH41" s="260">
        <v>86952.07</v>
      </c>
      <c r="AI41" s="260">
        <v>81303.09</v>
      </c>
      <c r="AJ41" s="290">
        <v>81982.76999999999</v>
      </c>
      <c r="AK41" s="290">
        <v>81083.87999999999</v>
      </c>
      <c r="AL41" s="290">
        <v>80969.090000000011</v>
      </c>
      <c r="AM41" s="293">
        <v>81345.31</v>
      </c>
      <c r="AN41" s="293">
        <v>81362.42</v>
      </c>
      <c r="AO41" s="293">
        <v>81762.73000000001</v>
      </c>
      <c r="AP41" s="373">
        <v>81894.760000000009</v>
      </c>
      <c r="AQ41" s="373">
        <v>82094.7</v>
      </c>
      <c r="AR41" s="373">
        <v>82115.39</v>
      </c>
      <c r="AS41" s="373">
        <v>82626.37999999999</v>
      </c>
      <c r="AT41" s="373">
        <v>83203.09</v>
      </c>
      <c r="AU41" s="373">
        <v>83004.789999999994</v>
      </c>
      <c r="AV41" s="373">
        <v>83313.78</v>
      </c>
      <c r="AW41" s="373">
        <v>83750.91</v>
      </c>
      <c r="AX41" s="373">
        <v>84355.54</v>
      </c>
      <c r="AY41" s="373">
        <v>84780.989999999991</v>
      </c>
      <c r="AZ41" s="373">
        <v>83829.83</v>
      </c>
      <c r="BA41" s="373">
        <v>84436.05</v>
      </c>
      <c r="BB41" s="373">
        <v>85442.34</v>
      </c>
      <c r="BC41" s="373">
        <v>84854.13</v>
      </c>
      <c r="BD41" s="373">
        <v>85595.22</v>
      </c>
      <c r="BE41" s="373">
        <v>84733.17</v>
      </c>
      <c r="BF41" s="373">
        <v>85537.26</v>
      </c>
      <c r="BG41" s="373">
        <v>85868.43</v>
      </c>
      <c r="BH41" s="373">
        <v>86218.240000000005</v>
      </c>
      <c r="BI41" s="373">
        <v>86523.16</v>
      </c>
      <c r="BJ41" s="373">
        <v>86793.2</v>
      </c>
      <c r="BK41" s="373">
        <v>86922.98</v>
      </c>
      <c r="BL41" s="373">
        <v>87199.89</v>
      </c>
      <c r="BM41" s="373">
        <v>87642.38</v>
      </c>
      <c r="BN41" s="373">
        <v>88204.160000000003</v>
      </c>
      <c r="BO41" s="373">
        <v>84851.199999999997</v>
      </c>
      <c r="BP41" s="373">
        <v>83457.48000000001</v>
      </c>
      <c r="BQ41" s="373">
        <v>81129.69</v>
      </c>
      <c r="BR41" s="373">
        <v>79572.649999999994</v>
      </c>
      <c r="BS41" s="373">
        <v>77905.850000000006</v>
      </c>
      <c r="BT41" s="373">
        <v>76787.37</v>
      </c>
      <c r="BU41" s="373">
        <v>74686.73</v>
      </c>
      <c r="BV41" s="373">
        <v>72356.320000000007</v>
      </c>
      <c r="BW41" s="373">
        <v>69772.560000000012</v>
      </c>
      <c r="BX41" s="373">
        <v>65144.549999999996</v>
      </c>
      <c r="BY41" s="373">
        <v>63466.990000000005</v>
      </c>
      <c r="BZ41" s="373">
        <v>61471</v>
      </c>
      <c r="CA41" s="373">
        <v>61667</v>
      </c>
      <c r="CB41" s="373">
        <v>61786.000000000007</v>
      </c>
      <c r="CC41" s="373">
        <v>61519.000000000007</v>
      </c>
      <c r="CD41" s="373">
        <v>61397.000000000007</v>
      </c>
      <c r="CE41" s="373">
        <v>60711</v>
      </c>
      <c r="CF41" s="373">
        <v>58858</v>
      </c>
      <c r="CG41" s="373">
        <v>56890</v>
      </c>
      <c r="CH41" s="373">
        <v>56308</v>
      </c>
      <c r="CI41" s="373">
        <v>55755.119999999995</v>
      </c>
      <c r="CJ41" s="373">
        <v>55424.87999999999</v>
      </c>
      <c r="CK41" s="373">
        <v>75832.44</v>
      </c>
      <c r="CL41" s="373">
        <v>47575.75</v>
      </c>
      <c r="CM41" s="373">
        <v>54553.06</v>
      </c>
      <c r="CN41" s="373">
        <v>58215.859999999971</v>
      </c>
      <c r="CO41" s="373">
        <v>59953.73</v>
      </c>
      <c r="CP41" s="373">
        <v>64137.11</v>
      </c>
      <c r="CQ41" s="373">
        <v>63925.09</v>
      </c>
      <c r="CR41" s="373">
        <v>65400.46</v>
      </c>
      <c r="CS41" s="373">
        <v>65203.68</v>
      </c>
      <c r="CT41" s="373">
        <v>65944.14</v>
      </c>
      <c r="CU41" s="373">
        <v>64652.650000000009</v>
      </c>
      <c r="CV41" s="373">
        <v>56088.36</v>
      </c>
      <c r="CW41" s="373">
        <v>41433.169999999984</v>
      </c>
      <c r="CX41" s="373">
        <f>(VLOOKUP("4310",'Input IS ACCTS'!$A$6:$DH$518,64,FALSE))-CX38-CX40</f>
        <v>55623.549999999988</v>
      </c>
      <c r="CY41" s="373">
        <f>(VLOOKUP("4310",'Input IS ACCTS'!$A$6:$DH$518,65,FALSE))-CY38-CY40</f>
        <v>57061.350000000006</v>
      </c>
      <c r="CZ41" s="373">
        <f>(VLOOKUP("4310",'Input IS ACCTS'!$A$6:$DH$518,66,FALSE))-CZ38-CZ40</f>
        <v>63013.750000000029</v>
      </c>
      <c r="DA41" s="373">
        <f>(VLOOKUP("4310",'Input IS ACCTS'!$A$6:$DH$518,67,FALSE))-DA38-DA40</f>
        <v>66742.160000000033</v>
      </c>
      <c r="DB41" s="373">
        <f>(VLOOKUP("4310",'Input IS ACCTS'!$A$6:$DH$518,68,FALSE))-DB38-DB40</f>
        <v>71652.23000000001</v>
      </c>
      <c r="DC41" s="373">
        <f>(VLOOKUP("4310",'Input IS ACCTS'!$A$6:$DH$518,69,FALSE))-DC38-DC40</f>
        <v>74356.570000000022</v>
      </c>
      <c r="DD41" s="373">
        <f>(VLOOKUP("4310",'Input IS ACCTS'!$A$6:$DH$518,70,FALSE))-DD38-DD40</f>
        <v>74194</v>
      </c>
      <c r="DE41" s="373">
        <f>(VLOOKUP("4310",'Input IS ACCTS'!$A$6:$DH$518,71,FALSE))-DE38-DE40</f>
        <v>71661.140000000014</v>
      </c>
      <c r="DF41" s="373">
        <f>(VLOOKUP("4310",'Input IS ACCTS'!$A$6:$DH$518,72,FALSE))-DF38-DF40</f>
        <v>70275.050000000017</v>
      </c>
      <c r="DG41" s="373">
        <v>67494.130000000019</v>
      </c>
      <c r="DH41" s="373">
        <v>62713.550000000017</v>
      </c>
      <c r="DI41" s="373">
        <v>48962.799999999988</v>
      </c>
      <c r="DJ41" s="373">
        <v>-145022.20000000001</v>
      </c>
      <c r="DK41" s="373">
        <v>-20934.880000000005</v>
      </c>
      <c r="DL41" s="373">
        <v>-162475.22</v>
      </c>
      <c r="DM41" s="373">
        <v>-27041.479999999996</v>
      </c>
      <c r="DN41" s="819">
        <v>498125.57</v>
      </c>
      <c r="DO41" s="819">
        <v>185997.39999999991</v>
      </c>
      <c r="DP41" s="373">
        <v>45836.630000000005</v>
      </c>
      <c r="DQ41" s="373">
        <v>45689.53</v>
      </c>
      <c r="DR41" s="373">
        <v>45340.69</v>
      </c>
      <c r="DS41" s="373">
        <v>44945.899999999994</v>
      </c>
      <c r="DT41" s="373">
        <v>44632.26999999999</v>
      </c>
      <c r="DU41" s="373">
        <v>19939.53</v>
      </c>
      <c r="DV41" s="373">
        <v>23996.459999999992</v>
      </c>
      <c r="DW41" s="373">
        <v>31247.650000000023</v>
      </c>
      <c r="DX41" s="373">
        <v>28477.64</v>
      </c>
      <c r="DY41" s="373">
        <v>32186.019999999997</v>
      </c>
      <c r="DZ41" s="373">
        <v>35035.270000000004</v>
      </c>
      <c r="EA41" s="373">
        <v>32970.089999999997</v>
      </c>
      <c r="EB41" s="373">
        <v>33447.470000000008</v>
      </c>
      <c r="EC41" s="373">
        <v>31970.030000000013</v>
      </c>
      <c r="ED41" s="373">
        <v>33317.679999999993</v>
      </c>
      <c r="EE41" s="373">
        <v>33344.509999999995</v>
      </c>
      <c r="EF41" s="373">
        <v>33793.789999999994</v>
      </c>
      <c r="EG41" s="373">
        <v>23926.300000000003</v>
      </c>
      <c r="EH41" s="373">
        <v>38809.009999999995</v>
      </c>
      <c r="EI41" s="373">
        <v>39287.459999999992</v>
      </c>
      <c r="EJ41" s="373">
        <v>39997.959999999992</v>
      </c>
      <c r="EK41" s="373">
        <v>40076.300000000017</v>
      </c>
      <c r="EL41" s="373">
        <v>43057.41</v>
      </c>
      <c r="EM41" s="373">
        <v>42825.25</v>
      </c>
      <c r="EN41" s="373">
        <v>47714.869999999995</v>
      </c>
      <c r="EO41" s="373">
        <v>51768.579999999987</v>
      </c>
      <c r="EP41" s="373">
        <v>57526.210000000006</v>
      </c>
      <c r="EQ41" s="373">
        <f>(VLOOKUP("4310",'Input IS ACCTS'!$A$6:$DH$518,109,FALSE))-EQ38-EQ40</f>
        <v>77570.879999999946</v>
      </c>
      <c r="ER41" s="373">
        <f>(VLOOKUP("4310",'Input IS ACCTS'!$A$6:$DH$518,110,FALSE))-ER38-ER40</f>
        <v>71346.570000000065</v>
      </c>
      <c r="ES41" s="373">
        <f>(VLOOKUP("4310",'Input IS ACCTS'!$A$6:$DH$518,111,FALSE))-ES38-ES40</f>
        <v>35592.990000000107</v>
      </c>
      <c r="ET41" s="132">
        <f t="shared" si="72"/>
        <v>585573.49000000011</v>
      </c>
      <c r="EU41" s="174">
        <f>ET41/1000</f>
        <v>585.57349000000011</v>
      </c>
    </row>
    <row r="42" spans="1:154">
      <c r="A42" s="454" t="s">
        <v>2283</v>
      </c>
      <c r="B42" s="320">
        <f t="shared" si="70"/>
        <v>-989.92861000000005</v>
      </c>
      <c r="C42" s="22"/>
      <c r="D42" s="320">
        <f t="shared" si="71"/>
        <v>-84.749189999999999</v>
      </c>
      <c r="E42" s="22"/>
      <c r="F42" s="102">
        <v>0</v>
      </c>
      <c r="G42" s="102">
        <v>0</v>
      </c>
      <c r="H42" s="102">
        <v>0</v>
      </c>
      <c r="I42" s="102">
        <v>0</v>
      </c>
      <c r="J42" s="102">
        <v>0</v>
      </c>
      <c r="K42" s="102">
        <v>0</v>
      </c>
      <c r="L42" s="102">
        <v>0</v>
      </c>
      <c r="M42" s="102">
        <v>0</v>
      </c>
      <c r="N42" s="102">
        <v>0</v>
      </c>
      <c r="O42" s="102">
        <v>0</v>
      </c>
      <c r="P42" s="153">
        <v>0</v>
      </c>
      <c r="Q42" s="153">
        <v>0</v>
      </c>
      <c r="R42" s="102">
        <v>0</v>
      </c>
      <c r="S42" s="102">
        <v>0</v>
      </c>
      <c r="T42" s="102">
        <v>0</v>
      </c>
      <c r="U42" s="231">
        <v>0</v>
      </c>
      <c r="V42" s="231">
        <v>0</v>
      </c>
      <c r="W42" s="231">
        <v>0</v>
      </c>
      <c r="X42" s="231">
        <v>0</v>
      </c>
      <c r="Y42" s="231">
        <v>0</v>
      </c>
      <c r="Z42" s="231">
        <v>0</v>
      </c>
      <c r="AA42" s="231">
        <v>0</v>
      </c>
      <c r="AB42" s="231">
        <v>0</v>
      </c>
      <c r="AC42" s="241">
        <v>0</v>
      </c>
      <c r="AD42" s="232">
        <v>0</v>
      </c>
      <c r="AE42" s="232">
        <v>0</v>
      </c>
      <c r="AF42" s="232">
        <v>0</v>
      </c>
      <c r="AG42" s="260">
        <v>0</v>
      </c>
      <c r="AH42" s="260">
        <v>0</v>
      </c>
      <c r="AI42" s="260">
        <v>0</v>
      </c>
      <c r="AJ42" s="290">
        <v>0</v>
      </c>
      <c r="AK42" s="290">
        <v>0</v>
      </c>
      <c r="AL42" s="290">
        <v>0</v>
      </c>
      <c r="AM42" s="293">
        <v>0</v>
      </c>
      <c r="AN42" s="293">
        <v>0</v>
      </c>
      <c r="AO42" s="293">
        <v>0</v>
      </c>
      <c r="AP42" s="373">
        <v>0</v>
      </c>
      <c r="AQ42" s="373">
        <v>0</v>
      </c>
      <c r="AR42" s="373">
        <v>0</v>
      </c>
      <c r="AS42" s="373">
        <v>0</v>
      </c>
      <c r="AT42" s="373">
        <v>0</v>
      </c>
      <c r="AU42" s="373">
        <v>0</v>
      </c>
      <c r="AV42" s="373">
        <v>0</v>
      </c>
      <c r="AW42" s="373">
        <v>0</v>
      </c>
      <c r="AX42" s="373">
        <v>0</v>
      </c>
      <c r="AY42" s="373">
        <v>0</v>
      </c>
      <c r="AZ42" s="373">
        <v>0</v>
      </c>
      <c r="BA42" s="373">
        <v>0</v>
      </c>
      <c r="BB42" s="373">
        <v>0</v>
      </c>
      <c r="BC42" s="373">
        <v>0</v>
      </c>
      <c r="BD42" s="373">
        <v>0</v>
      </c>
      <c r="BE42" s="373">
        <v>0</v>
      </c>
      <c r="BF42" s="373">
        <v>0</v>
      </c>
      <c r="BG42" s="373">
        <v>0</v>
      </c>
      <c r="BH42" s="373">
        <v>0</v>
      </c>
      <c r="BI42" s="373">
        <v>0</v>
      </c>
      <c r="BJ42" s="373">
        <v>0</v>
      </c>
      <c r="BK42" s="373">
        <v>0</v>
      </c>
      <c r="BL42" s="373">
        <v>0</v>
      </c>
      <c r="BM42" s="373">
        <v>0</v>
      </c>
      <c r="BN42" s="373">
        <v>0</v>
      </c>
      <c r="BO42" s="373">
        <v>0</v>
      </c>
      <c r="BP42" s="373">
        <v>0</v>
      </c>
      <c r="BQ42" s="373">
        <v>0</v>
      </c>
      <c r="BR42" s="373">
        <v>0</v>
      </c>
      <c r="BS42" s="373">
        <v>0</v>
      </c>
      <c r="BT42" s="373">
        <v>0</v>
      </c>
      <c r="BU42" s="373">
        <v>0</v>
      </c>
      <c r="BV42" s="373">
        <v>0</v>
      </c>
      <c r="BW42" s="373">
        <v>0</v>
      </c>
      <c r="BX42" s="373">
        <v>0</v>
      </c>
      <c r="BY42" s="373">
        <v>0</v>
      </c>
      <c r="BZ42" s="373">
        <v>0</v>
      </c>
      <c r="CA42" s="373">
        <v>0</v>
      </c>
      <c r="CB42" s="373">
        <v>0</v>
      </c>
      <c r="CC42" s="373">
        <v>0</v>
      </c>
      <c r="CD42" s="373">
        <v>0</v>
      </c>
      <c r="CE42" s="373">
        <v>0</v>
      </c>
      <c r="CF42" s="373">
        <v>0</v>
      </c>
      <c r="CG42" s="373">
        <v>0</v>
      </c>
      <c r="CH42" s="373">
        <v>0</v>
      </c>
      <c r="CI42" s="373">
        <v>0</v>
      </c>
      <c r="CJ42" s="373">
        <v>0</v>
      </c>
      <c r="CK42" s="373">
        <v>0</v>
      </c>
      <c r="CL42" s="373">
        <v>0</v>
      </c>
      <c r="CM42" s="373">
        <v>0</v>
      </c>
      <c r="CN42" s="373">
        <v>0</v>
      </c>
      <c r="CO42" s="373">
        <v>0</v>
      </c>
      <c r="CP42" s="373">
        <v>0</v>
      </c>
      <c r="CQ42" s="373">
        <v>0</v>
      </c>
      <c r="CR42" s="373">
        <v>0</v>
      </c>
      <c r="CS42" s="373">
        <v>0</v>
      </c>
      <c r="CT42" s="373">
        <v>0</v>
      </c>
      <c r="CU42" s="373">
        <v>0</v>
      </c>
      <c r="CV42" s="373">
        <v>0</v>
      </c>
      <c r="CW42" s="373">
        <v>0</v>
      </c>
      <c r="CX42" s="373">
        <v>0</v>
      </c>
      <c r="CY42" s="373">
        <v>0</v>
      </c>
      <c r="CZ42" s="373">
        <v>0</v>
      </c>
      <c r="DA42" s="373">
        <v>0</v>
      </c>
      <c r="DB42" s="373">
        <v>0</v>
      </c>
      <c r="DC42" s="373">
        <v>0</v>
      </c>
      <c r="DD42" s="373">
        <v>0</v>
      </c>
      <c r="DE42" s="756">
        <v>-43419.48</v>
      </c>
      <c r="DF42" s="747">
        <v>-28294.53</v>
      </c>
      <c r="DG42" s="756">
        <v>-22465.389999999992</v>
      </c>
      <c r="DH42" s="747">
        <v>-25132.7</v>
      </c>
      <c r="DI42" s="747">
        <v>-31693.47</v>
      </c>
      <c r="DJ42" s="747">
        <v>-41123.9</v>
      </c>
      <c r="DK42" s="747">
        <v>-51382.78</v>
      </c>
      <c r="DL42" s="747">
        <v>-60040.59</v>
      </c>
      <c r="DM42" s="747">
        <v>-68313.5</v>
      </c>
      <c r="DN42" s="747">
        <v>-82831.14</v>
      </c>
      <c r="DO42" s="747">
        <v>-94708.89</v>
      </c>
      <c r="DP42" s="747">
        <v>-101897.5</v>
      </c>
      <c r="DQ42" s="747">
        <v>-113702.74</v>
      </c>
      <c r="DR42" s="747">
        <v>-127173</v>
      </c>
      <c r="DS42" s="747">
        <v>-100603.36</v>
      </c>
      <c r="DT42" s="747">
        <v>-74277.42</v>
      </c>
      <c r="DU42" s="747">
        <v>-85997.18</v>
      </c>
      <c r="DV42" s="747">
        <v>-97828.96</v>
      </c>
      <c r="DW42" s="747">
        <v>-118962.67</v>
      </c>
      <c r="DX42" s="747">
        <v>-125175.22</v>
      </c>
      <c r="DY42" s="747">
        <v>-101772.96</v>
      </c>
      <c r="DZ42" s="747">
        <v>-70765.289999999994</v>
      </c>
      <c r="EA42" s="747">
        <v>-73446.960000000006</v>
      </c>
      <c r="EB42" s="747">
        <v>-79548.13</v>
      </c>
      <c r="EC42" s="747">
        <v>-89530.79</v>
      </c>
      <c r="ED42" s="747">
        <v>-98143.71</v>
      </c>
      <c r="EE42" s="747">
        <v>-105329.65</v>
      </c>
      <c r="EF42" s="747">
        <v>-37935.15</v>
      </c>
      <c r="EG42" s="747">
        <v>-52206.77</v>
      </c>
      <c r="EH42" s="747">
        <v>-57599.07</v>
      </c>
      <c r="EI42" s="747">
        <v>-62866.879999999997</v>
      </c>
      <c r="EJ42" s="747">
        <v>-68331.64</v>
      </c>
      <c r="EK42" s="747">
        <v>-75234.820000000007</v>
      </c>
      <c r="EL42" s="747">
        <v>-83191.78</v>
      </c>
      <c r="EM42" s="747">
        <v>-92933.84</v>
      </c>
      <c r="EN42" s="747">
        <v>-103760.02</v>
      </c>
      <c r="EO42" s="747">
        <v>-111463.17</v>
      </c>
      <c r="EP42" s="747">
        <v>-118085.17</v>
      </c>
      <c r="EQ42" s="747">
        <f>(VLOOKUP("4320",'Input IS ACCTS'!$A$6:$DH$518,109,FALSE))</f>
        <v>-53459.64</v>
      </c>
      <c r="ER42" s="747">
        <f>(VLOOKUP("4320",'Input IS ACCTS'!$A$6:$DH$518,110,FALSE))</f>
        <v>-78253.39</v>
      </c>
      <c r="ES42" s="747">
        <f>(VLOOKUP("4320",'Input IS ACCTS'!$A$6:$DH$518,111,FALSE))</f>
        <v>-84749.19</v>
      </c>
      <c r="ET42" s="132">
        <f t="shared" si="72"/>
        <v>-989928.6100000001</v>
      </c>
      <c r="EU42" s="174">
        <f t="shared" si="26"/>
        <v>-989.92861000000005</v>
      </c>
    </row>
    <row r="43" spans="1:154">
      <c r="A43" t="s">
        <v>398</v>
      </c>
      <c r="B43" s="323">
        <f>SUM(B37:B42)</f>
        <v>25042.152269999995</v>
      </c>
      <c r="C43" s="22"/>
      <c r="D43" s="323">
        <f>SUM(D37:D42)</f>
        <v>2610.748</v>
      </c>
      <c r="E43" s="22"/>
      <c r="F43" s="183">
        <v>1496588</v>
      </c>
      <c r="G43" s="183">
        <v>1481785</v>
      </c>
      <c r="H43" s="183">
        <v>1486048</v>
      </c>
      <c r="I43" s="183">
        <v>1493674</v>
      </c>
      <c r="J43" s="183">
        <v>1489908</v>
      </c>
      <c r="K43" s="183">
        <v>1489652</v>
      </c>
      <c r="L43" s="183">
        <v>1468629.07</v>
      </c>
      <c r="M43" s="183">
        <v>1465644.04</v>
      </c>
      <c r="N43" s="183">
        <v>1464496.3199999998</v>
      </c>
      <c r="O43" s="183">
        <v>1464445.6300000001</v>
      </c>
      <c r="P43" s="183">
        <v>1464954.2300000002</v>
      </c>
      <c r="Q43" s="183">
        <v>1484160.56</v>
      </c>
      <c r="R43" s="183">
        <v>1447413.54</v>
      </c>
      <c r="S43" s="183">
        <v>1463681.27</v>
      </c>
      <c r="T43" s="183">
        <v>1457398.71</v>
      </c>
      <c r="U43" s="242">
        <v>1453278.73</v>
      </c>
      <c r="V43" s="242">
        <v>1451695.58</v>
      </c>
      <c r="W43" s="242">
        <v>1555156.8000000003</v>
      </c>
      <c r="X43" s="242">
        <v>1500084.3900000001</v>
      </c>
      <c r="Y43" s="242">
        <v>1220089.6500000001</v>
      </c>
      <c r="Z43" s="242">
        <v>1070157.42</v>
      </c>
      <c r="AA43" s="242">
        <v>1129048.48</v>
      </c>
      <c r="AB43" s="242">
        <v>1123358.9100000001</v>
      </c>
      <c r="AC43" s="242">
        <v>1123280.96</v>
      </c>
      <c r="AD43" s="242">
        <v>1124363.8072235473</v>
      </c>
      <c r="AE43" s="242">
        <v>1123376.9272235471</v>
      </c>
      <c r="AF43" s="242">
        <v>1123213.0372235472</v>
      </c>
      <c r="AG43" s="242">
        <v>1122904.067223547</v>
      </c>
      <c r="AH43" s="242">
        <v>1129175.8772235471</v>
      </c>
      <c r="AI43" s="242">
        <v>1123039.0172235472</v>
      </c>
      <c r="AJ43" s="183">
        <v>1124161.4472235471</v>
      </c>
      <c r="AK43" s="183">
        <v>1123413.7072235469</v>
      </c>
      <c r="AL43" s="183">
        <v>1119709.5872235473</v>
      </c>
      <c r="AM43" s="183">
        <v>1123321.9872235472</v>
      </c>
      <c r="AN43" s="183">
        <v>1123667.077223547</v>
      </c>
      <c r="AO43" s="183">
        <v>1124113.7472235472</v>
      </c>
      <c r="AP43" s="376">
        <v>1134183.24</v>
      </c>
      <c r="AQ43" s="376">
        <v>1129194.8899999999</v>
      </c>
      <c r="AR43" s="376">
        <v>1126180.93</v>
      </c>
      <c r="AS43" s="376">
        <v>1125213.6599999999</v>
      </c>
      <c r="AT43" s="376">
        <v>1143693.6800000002</v>
      </c>
      <c r="AU43" s="376">
        <v>1162059.17</v>
      </c>
      <c r="AV43" s="376">
        <v>1162244.44</v>
      </c>
      <c r="AW43" s="376">
        <v>1162694.7899999998</v>
      </c>
      <c r="AX43" s="376">
        <v>1163952.93</v>
      </c>
      <c r="AY43" s="376">
        <v>1164094.93</v>
      </c>
      <c r="AZ43" s="376">
        <v>1162782.1100000001</v>
      </c>
      <c r="BA43" s="376">
        <v>1165994.58</v>
      </c>
      <c r="BB43" s="376">
        <v>1170731.45</v>
      </c>
      <c r="BC43" s="376">
        <v>1166920.2799999998</v>
      </c>
      <c r="BD43" s="376">
        <v>1167264.92</v>
      </c>
      <c r="BE43" s="376">
        <v>1163685.46</v>
      </c>
      <c r="BF43" s="376">
        <v>1197156.22</v>
      </c>
      <c r="BG43" s="376">
        <v>1234541.3099999998</v>
      </c>
      <c r="BH43" s="376">
        <v>1234896.52</v>
      </c>
      <c r="BI43" s="376">
        <v>1235198.1399999999</v>
      </c>
      <c r="BJ43" s="376">
        <v>1235579.3</v>
      </c>
      <c r="BK43" s="376">
        <v>1235625.74</v>
      </c>
      <c r="BL43" s="376">
        <v>1235901.94</v>
      </c>
      <c r="BM43" s="376">
        <v>1236363.2599999998</v>
      </c>
      <c r="BN43" s="376">
        <v>1236906.92</v>
      </c>
      <c r="BO43" s="376">
        <v>1233618.77</v>
      </c>
      <c r="BP43" s="376">
        <v>1232171.22</v>
      </c>
      <c r="BQ43" s="376">
        <v>1229832.45</v>
      </c>
      <c r="BR43" s="376">
        <v>1228275.4099999999</v>
      </c>
      <c r="BS43" s="376">
        <v>1227230.1100000001</v>
      </c>
      <c r="BT43" s="376">
        <v>1226414.44</v>
      </c>
      <c r="BU43" s="376">
        <v>1214326.32</v>
      </c>
      <c r="BV43" s="376">
        <v>1223189.28</v>
      </c>
      <c r="BW43" s="376">
        <v>1218632.7500000002</v>
      </c>
      <c r="BX43" s="376">
        <v>1220398.74</v>
      </c>
      <c r="BY43" s="376">
        <v>1239785.8600000001</v>
      </c>
      <c r="BZ43" s="376">
        <f>SUM(BZ37:BZ42)</f>
        <v>1255079.43</v>
      </c>
      <c r="CA43" s="376">
        <f>SUM(CA37:CA42)</f>
        <v>1259900.3999999999</v>
      </c>
      <c r="CB43" s="376">
        <f>SUM(CB37:CB42)</f>
        <v>1264136.25</v>
      </c>
      <c r="CC43" s="183">
        <v>1267995.58</v>
      </c>
      <c r="CD43" s="183">
        <v>1244976.25</v>
      </c>
      <c r="CE43" s="183">
        <v>1256010.71</v>
      </c>
      <c r="CF43" s="183">
        <f t="shared" ref="CF43:CK43" si="73">SUM(CF37:CF42)</f>
        <v>1266885.3999999999</v>
      </c>
      <c r="CG43" s="183">
        <f t="shared" si="73"/>
        <v>1270187.24</v>
      </c>
      <c r="CH43" s="183">
        <f t="shared" si="73"/>
        <v>1337748.83</v>
      </c>
      <c r="CI43" s="183">
        <f t="shared" si="73"/>
        <v>1328189.1000000001</v>
      </c>
      <c r="CJ43" s="183">
        <f t="shared" si="73"/>
        <v>1232176.73</v>
      </c>
      <c r="CK43" s="183">
        <f t="shared" si="73"/>
        <v>1242670.1100000001</v>
      </c>
      <c r="CL43" s="183">
        <f t="shared" ref="CL43:CQ43" si="74">SUM(CL37:CL42)</f>
        <v>1203456.6599999999</v>
      </c>
      <c r="CM43" s="183">
        <f t="shared" si="74"/>
        <v>1400203.62</v>
      </c>
      <c r="CN43" s="183">
        <f t="shared" si="74"/>
        <v>1026055.24</v>
      </c>
      <c r="CO43" s="183">
        <f t="shared" si="74"/>
        <v>1216382.25</v>
      </c>
      <c r="CP43" s="183">
        <f t="shared" si="74"/>
        <v>1135245.8</v>
      </c>
      <c r="CQ43" s="183">
        <f t="shared" si="74"/>
        <v>1216499.97</v>
      </c>
      <c r="CR43" s="183">
        <f t="shared" ref="CR43:CW43" si="75">SUM(CR37:CR42)</f>
        <v>1213993.83</v>
      </c>
      <c r="CS43" s="183">
        <f t="shared" si="75"/>
        <v>1207740.72</v>
      </c>
      <c r="CT43" s="183">
        <f t="shared" si="75"/>
        <v>1214136.8499999999</v>
      </c>
      <c r="CU43" s="183">
        <f t="shared" si="75"/>
        <v>1300728.4199999997</v>
      </c>
      <c r="CV43" s="183">
        <f t="shared" si="75"/>
        <v>1337054.3800000001</v>
      </c>
      <c r="CW43" s="183">
        <f t="shared" si="75"/>
        <v>1419817.01</v>
      </c>
      <c r="CX43" s="183">
        <f t="shared" ref="CX43:DC43" si="76">SUM(CX37:CX42)</f>
        <v>1495065.8099999998</v>
      </c>
      <c r="CY43" s="183">
        <f t="shared" si="76"/>
        <v>1479410.9899999998</v>
      </c>
      <c r="CZ43" s="183">
        <f t="shared" si="76"/>
        <v>1463219.2299999997</v>
      </c>
      <c r="DA43" s="183">
        <f t="shared" si="76"/>
        <v>1452998.4699999997</v>
      </c>
      <c r="DB43" s="183">
        <f t="shared" si="76"/>
        <v>1397881.5199999998</v>
      </c>
      <c r="DC43" s="183">
        <f t="shared" si="76"/>
        <v>1177739.6099999999</v>
      </c>
      <c r="DD43" s="183">
        <f t="shared" ref="DD43:DI43" si="77">SUM(DD37:DD42)</f>
        <v>1427251.0999999999</v>
      </c>
      <c r="DE43" s="183">
        <f t="shared" si="77"/>
        <v>1425005.1400000001</v>
      </c>
      <c r="DF43" s="183">
        <f t="shared" si="77"/>
        <v>1448236.05</v>
      </c>
      <c r="DG43" s="183">
        <f t="shared" si="77"/>
        <v>1462464.1000000003</v>
      </c>
      <c r="DH43" s="183">
        <f t="shared" si="77"/>
        <v>1462228.6500000001</v>
      </c>
      <c r="DI43" s="183">
        <f t="shared" si="77"/>
        <v>1498991.93</v>
      </c>
      <c r="DJ43" s="183">
        <f t="shared" ref="DJ43:DO43" si="78">SUM(DJ37:DJ42)</f>
        <v>1325709.5900000001</v>
      </c>
      <c r="DK43" s="183">
        <f t="shared" si="78"/>
        <v>1319466.45</v>
      </c>
      <c r="DL43" s="183">
        <f t="shared" si="78"/>
        <v>1311929.95</v>
      </c>
      <c r="DM43" s="183">
        <f t="shared" si="78"/>
        <v>1301408.53</v>
      </c>
      <c r="DN43" s="183">
        <f t="shared" si="78"/>
        <v>1811016.7000000002</v>
      </c>
      <c r="DO43" s="183">
        <f t="shared" si="78"/>
        <v>1491703.8399999999</v>
      </c>
      <c r="DP43" s="183">
        <f t="shared" ref="DP43:DU43" si="79">SUM(DP37:DP42)</f>
        <v>1363132.92</v>
      </c>
      <c r="DQ43" s="183">
        <f t="shared" si="79"/>
        <v>1347961.3699999999</v>
      </c>
      <c r="DR43" s="183">
        <f t="shared" si="79"/>
        <v>1330002.7299999997</v>
      </c>
      <c r="DS43" s="183">
        <f t="shared" si="79"/>
        <v>1374791.4599999997</v>
      </c>
      <c r="DT43" s="183">
        <f t="shared" si="79"/>
        <v>1415569.81</v>
      </c>
      <c r="DU43" s="183">
        <f t="shared" si="79"/>
        <v>1418526.21</v>
      </c>
      <c r="DV43" s="183">
        <f t="shared" ref="DV43:EU43" si="80">SUM(DV37:DV42)</f>
        <v>1446642.45</v>
      </c>
      <c r="DW43" s="183">
        <f t="shared" si="80"/>
        <v>1419311.0899999999</v>
      </c>
      <c r="DX43" s="183">
        <f t="shared" si="80"/>
        <v>1706418.5799999998</v>
      </c>
      <c r="DY43" s="183">
        <f t="shared" si="80"/>
        <v>1836719.52</v>
      </c>
      <c r="DZ43" s="183">
        <f t="shared" si="80"/>
        <v>1680077.6099999999</v>
      </c>
      <c r="EA43" s="183">
        <f t="shared" si="80"/>
        <v>1827658.1300000001</v>
      </c>
      <c r="EB43" s="183">
        <f t="shared" ref="EB43:ET43" si="81">SUM(EB37:EB42)</f>
        <v>1670378.98</v>
      </c>
      <c r="EC43" s="183">
        <f t="shared" si="81"/>
        <v>1663540.4599999997</v>
      </c>
      <c r="ED43" s="183">
        <f t="shared" si="81"/>
        <v>1553838.8699999999</v>
      </c>
      <c r="EE43" s="183">
        <f t="shared" si="81"/>
        <v>1653668.5599999998</v>
      </c>
      <c r="EF43" s="183">
        <f t="shared" si="81"/>
        <v>1724168.83</v>
      </c>
      <c r="EG43" s="183">
        <f t="shared" si="81"/>
        <v>1720128.0899999999</v>
      </c>
      <c r="EH43" s="183">
        <f t="shared" ref="EH43:EJ43" si="82">SUM(EH37:EH42)</f>
        <v>1764328.3399999999</v>
      </c>
      <c r="EI43" s="183">
        <f t="shared" si="82"/>
        <v>1737493.4</v>
      </c>
      <c r="EJ43" s="183">
        <f t="shared" si="82"/>
        <v>1777801.4799999997</v>
      </c>
      <c r="EK43" s="183">
        <f t="shared" ref="EK43:EM43" si="83">SUM(EK37:EK42)</f>
        <v>1812749.3599999999</v>
      </c>
      <c r="EL43" s="183">
        <f t="shared" si="83"/>
        <v>1876363.9999999998</v>
      </c>
      <c r="EM43" s="183">
        <f t="shared" si="83"/>
        <v>1892209.1499999997</v>
      </c>
      <c r="EN43" s="183">
        <f t="shared" ref="EN43:EO43" si="84">SUM(EN37:EN42)</f>
        <v>2134620.1</v>
      </c>
      <c r="EO43" s="183">
        <f t="shared" si="84"/>
        <v>2222983.3899999997</v>
      </c>
      <c r="EP43" s="183">
        <f t="shared" ref="EP43:EQ43" si="85">SUM(EP37:EP42)</f>
        <v>2269236.3799999994</v>
      </c>
      <c r="EQ43" s="183">
        <f t="shared" si="85"/>
        <v>2441153.7099999995</v>
      </c>
      <c r="ER43" s="183">
        <f t="shared" ref="ER43:ES43" si="86">SUM(ER37:ER42)</f>
        <v>2502464.9600000004</v>
      </c>
      <c r="ES43" s="183">
        <f t="shared" si="86"/>
        <v>2610748.0000000005</v>
      </c>
      <c r="ET43" s="378">
        <f t="shared" si="81"/>
        <v>25042152.269999996</v>
      </c>
      <c r="EU43" s="175">
        <f t="shared" si="80"/>
        <v>25042.152269999995</v>
      </c>
    </row>
    <row r="44" spans="1:154">
      <c r="B44" s="325"/>
      <c r="C44" s="22"/>
      <c r="D44" s="325"/>
      <c r="E44" s="22"/>
      <c r="F44" s="329"/>
      <c r="G44" s="154"/>
      <c r="H44" s="154"/>
      <c r="I44" s="154"/>
      <c r="J44" s="154"/>
      <c r="K44" s="154"/>
      <c r="L44" s="154"/>
      <c r="M44" s="154"/>
      <c r="N44" s="154"/>
      <c r="O44" s="154"/>
      <c r="P44" s="154"/>
      <c r="Q44" s="154"/>
      <c r="R44" s="154"/>
      <c r="S44" s="154"/>
      <c r="T44" s="154"/>
      <c r="U44" s="243"/>
      <c r="V44" s="243"/>
      <c r="W44" s="243"/>
      <c r="X44" s="243"/>
      <c r="Y44" s="243"/>
      <c r="Z44" s="243"/>
      <c r="AA44" s="243"/>
      <c r="AB44" s="243"/>
      <c r="AC44" s="243"/>
      <c r="AD44" s="243"/>
      <c r="AE44" s="243"/>
      <c r="AF44" s="243"/>
      <c r="AG44" s="243"/>
      <c r="AH44" s="243"/>
      <c r="AI44" s="243"/>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154"/>
      <c r="DH44" s="154"/>
      <c r="DI44" s="154"/>
      <c r="DJ44" s="154"/>
      <c r="DK44" s="154"/>
      <c r="DL44" s="154"/>
      <c r="DM44" s="154"/>
      <c r="DN44" s="154"/>
      <c r="DO44" s="154"/>
      <c r="DP44" s="154"/>
      <c r="DQ44" s="154"/>
      <c r="DR44" s="154"/>
      <c r="DS44" s="154"/>
      <c r="DT44" s="154"/>
      <c r="DU44" s="154"/>
      <c r="DV44" s="154"/>
      <c r="DW44" s="154"/>
      <c r="DX44" s="154"/>
      <c r="DY44" s="154"/>
      <c r="DZ44" s="154"/>
      <c r="EA44" s="154"/>
      <c r="EB44" s="154"/>
      <c r="EC44" s="154"/>
      <c r="ED44" s="154"/>
      <c r="EE44" s="154"/>
      <c r="EF44" s="154"/>
      <c r="EG44" s="154"/>
      <c r="EH44" s="154"/>
      <c r="EI44" s="154"/>
      <c r="EJ44" s="154"/>
      <c r="EK44" s="154"/>
      <c r="EL44" s="154"/>
      <c r="EM44" s="154"/>
      <c r="EN44" s="154"/>
      <c r="EO44" s="154"/>
      <c r="EP44" s="154"/>
      <c r="EQ44" s="154"/>
      <c r="ER44" s="154"/>
      <c r="ES44" s="154"/>
      <c r="ET44" s="154"/>
      <c r="EU44" s="174"/>
    </row>
    <row r="45" spans="1:154" ht="13.5" thickBot="1">
      <c r="A45" s="148" t="s">
        <v>399</v>
      </c>
      <c r="B45" s="326">
        <f>+B24+B34-B43</f>
        <v>82237.617950000102</v>
      </c>
      <c r="C45" s="22"/>
      <c r="D45" s="326">
        <f>+D24+D34-D43</f>
        <v>6107.1199299999898</v>
      </c>
      <c r="E45" s="22"/>
      <c r="F45" s="197">
        <v>7381989</v>
      </c>
      <c r="G45" s="197">
        <v>3796229</v>
      </c>
      <c r="H45" s="197">
        <v>3537471</v>
      </c>
      <c r="I45" s="197">
        <v>2998308</v>
      </c>
      <c r="J45" s="197">
        <v>2352865</v>
      </c>
      <c r="K45" s="197">
        <v>551367</v>
      </c>
      <c r="L45" s="197">
        <v>1876609.4199999974</v>
      </c>
      <c r="M45" s="197">
        <v>788538.26000000257</v>
      </c>
      <c r="N45" s="197">
        <v>2104652.930000002</v>
      </c>
      <c r="O45" s="197">
        <v>1458368.9099999976</v>
      </c>
      <c r="P45" s="197">
        <v>2382724.3099999968</v>
      </c>
      <c r="Q45" s="197">
        <v>3368305.6200000034</v>
      </c>
      <c r="R45" s="197">
        <v>5095695.160000002</v>
      </c>
      <c r="S45" s="197">
        <v>2778292.7300000065</v>
      </c>
      <c r="T45" s="197">
        <v>3161241.5099999923</v>
      </c>
      <c r="U45" s="244">
        <v>3459193.4699999993</v>
      </c>
      <c r="V45" s="244">
        <v>3181555.5299999993</v>
      </c>
      <c r="W45" s="244">
        <v>2306254.4800000004</v>
      </c>
      <c r="X45" s="244">
        <v>2301230.9100000015</v>
      </c>
      <c r="Y45" s="244">
        <v>2637662.2599999923</v>
      </c>
      <c r="Z45" s="244">
        <v>2060046.5099999998</v>
      </c>
      <c r="AA45" s="244">
        <v>1663746.3500000034</v>
      </c>
      <c r="AB45" s="244">
        <v>2391276.679999996</v>
      </c>
      <c r="AC45" s="244">
        <v>3031111.700000002</v>
      </c>
      <c r="AD45" s="244">
        <v>5185962.1697277948</v>
      </c>
      <c r="AE45" s="244">
        <v>3606388.1697278023</v>
      </c>
      <c r="AF45" s="248">
        <v>4996222.5997277945</v>
      </c>
      <c r="AG45" s="244">
        <v>3998592.8897278002</v>
      </c>
      <c r="AH45" s="244">
        <v>2050372.0297278091</v>
      </c>
      <c r="AI45" s="244">
        <v>1892744.1797278016</v>
      </c>
      <c r="AJ45" s="197">
        <v>2040508.5597277975</v>
      </c>
      <c r="AK45" s="197">
        <v>1331758.8897278027</v>
      </c>
      <c r="AL45" s="197">
        <v>2025246.8397278006</v>
      </c>
      <c r="AM45" s="197">
        <v>1741950.7197277991</v>
      </c>
      <c r="AN45" s="197">
        <v>3590825.9797277953</v>
      </c>
      <c r="AO45" s="197">
        <v>2269865.2997278003</v>
      </c>
      <c r="AP45" s="197">
        <v>5176196.639999995</v>
      </c>
      <c r="AQ45" s="197">
        <v>4502626.8399999933</v>
      </c>
      <c r="AR45" s="197">
        <v>4881883.5600000061</v>
      </c>
      <c r="AS45" s="197">
        <v>3275795.5099999961</v>
      </c>
      <c r="AT45" s="197">
        <v>1814214.4000000018</v>
      </c>
      <c r="AU45" s="197">
        <v>2478542.0799999977</v>
      </c>
      <c r="AV45" s="197">
        <v>1759480.7899999977</v>
      </c>
      <c r="AW45" s="197">
        <v>1636115.5800000008</v>
      </c>
      <c r="AX45" s="197">
        <v>1334664.7600000019</v>
      </c>
      <c r="AY45" s="197">
        <v>2419587.6299999943</v>
      </c>
      <c r="AZ45" s="197">
        <v>2825107.6000000034</v>
      </c>
      <c r="BA45" s="197">
        <v>3729886.4800000051</v>
      </c>
      <c r="BB45" s="197">
        <v>5545677.0500000054</v>
      </c>
      <c r="BC45" s="197">
        <v>4960629.74</v>
      </c>
      <c r="BD45" s="197">
        <v>4121482.6899999976</v>
      </c>
      <c r="BE45" s="197">
        <v>2371048.1300000092</v>
      </c>
      <c r="BF45" s="197">
        <v>2343817.7299999995</v>
      </c>
      <c r="BG45" s="197">
        <v>2795820.7800000021</v>
      </c>
      <c r="BH45" s="197">
        <v>1833585.63</v>
      </c>
      <c r="BI45" s="197">
        <v>2511676.6500000078</v>
      </c>
      <c r="BJ45" s="197">
        <v>1860447.4100000027</v>
      </c>
      <c r="BK45" s="197">
        <v>2165009.8800000036</v>
      </c>
      <c r="BL45" s="197">
        <v>1807041.1100000008</v>
      </c>
      <c r="BM45" s="197">
        <v>2949033.2899999991</v>
      </c>
      <c r="BN45" s="197">
        <v>5297380.2900000066</v>
      </c>
      <c r="BO45" s="197">
        <v>5452103.8300000075</v>
      </c>
      <c r="BP45" s="197">
        <v>2373165.4699999997</v>
      </c>
      <c r="BQ45" s="197">
        <v>2946014.4600000018</v>
      </c>
      <c r="BR45" s="197">
        <v>2773077.5099999988</v>
      </c>
      <c r="BS45" s="197">
        <v>1322328.5400000003</v>
      </c>
      <c r="BT45" s="197">
        <v>2616097.6499999925</v>
      </c>
      <c r="BU45" s="197">
        <v>2019875.7799999968</v>
      </c>
      <c r="BV45" s="197">
        <v>1958976.0800000031</v>
      </c>
      <c r="BW45" s="197">
        <v>2943980.8600000003</v>
      </c>
      <c r="BX45" s="197">
        <v>3104355.5899999989</v>
      </c>
      <c r="BY45" s="197">
        <v>2053249.0499999945</v>
      </c>
      <c r="BZ45" s="197">
        <f>+BZ24+BZ34-BZ43</f>
        <v>5364828.8800000008</v>
      </c>
      <c r="CA45" s="197">
        <f>+CA24+CA34-CA43</f>
        <v>3871211.0399999912</v>
      </c>
      <c r="CB45" s="197">
        <f>+CB24+CB34-CB43</f>
        <v>4536791.43</v>
      </c>
      <c r="CC45" s="197">
        <v>3830968.0299999975</v>
      </c>
      <c r="CD45" s="197">
        <v>3718372.6800000053</v>
      </c>
      <c r="CE45" s="197">
        <v>2081619.0699999984</v>
      </c>
      <c r="CF45" s="197">
        <f t="shared" ref="CF45:CQ45" si="87">+CF24+CF34-CF43</f>
        <v>2758883.76</v>
      </c>
      <c r="CG45" s="197">
        <f t="shared" si="87"/>
        <v>2496907.5799999945</v>
      </c>
      <c r="CH45" s="197">
        <f t="shared" si="87"/>
        <v>2707918.4300000034</v>
      </c>
      <c r="CI45" s="197">
        <f t="shared" si="87"/>
        <v>2630149.9099999936</v>
      </c>
      <c r="CJ45" s="197">
        <f t="shared" si="87"/>
        <v>3443330.2300000028</v>
      </c>
      <c r="CK45" s="197">
        <f t="shared" si="87"/>
        <v>5584119.0700000068</v>
      </c>
      <c r="CL45" s="197">
        <f t="shared" si="87"/>
        <v>9302106.2899999954</v>
      </c>
      <c r="CM45" s="197">
        <f t="shared" si="87"/>
        <v>4503468.3299999982</v>
      </c>
      <c r="CN45" s="197">
        <f t="shared" si="87"/>
        <v>1650568.7199999939</v>
      </c>
      <c r="CO45" s="197">
        <f t="shared" si="87"/>
        <v>5304901.640000009</v>
      </c>
      <c r="CP45" s="197">
        <f t="shared" si="87"/>
        <v>2688164.0399999982</v>
      </c>
      <c r="CQ45" s="197">
        <f t="shared" si="87"/>
        <v>3096375.0000000037</v>
      </c>
      <c r="CR45" s="197">
        <f t="shared" ref="CR45:CW45" si="88">+CR24+CR34-CR43</f>
        <v>3105270.2000000048</v>
      </c>
      <c r="CS45" s="197">
        <f t="shared" si="88"/>
        <v>2532103.3200000012</v>
      </c>
      <c r="CT45" s="197">
        <f t="shared" si="88"/>
        <v>3697950.5100000119</v>
      </c>
      <c r="CU45" s="197">
        <f t="shared" si="88"/>
        <v>2803273.2300000079</v>
      </c>
      <c r="CV45" s="197">
        <f t="shared" si="88"/>
        <v>3521863.3600000124</v>
      </c>
      <c r="CW45" s="197">
        <f t="shared" si="88"/>
        <v>5493355.7600000128</v>
      </c>
      <c r="CX45" s="197">
        <f t="shared" ref="CX45:DF45" si="89">+CX24+CX34-CX43</f>
        <v>6617945.8900000006</v>
      </c>
      <c r="CY45" s="197">
        <f t="shared" si="89"/>
        <v>5866661.8500000071</v>
      </c>
      <c r="CZ45" s="197">
        <f t="shared" si="89"/>
        <v>5496050.3100000033</v>
      </c>
      <c r="DA45" s="197">
        <f t="shared" si="89"/>
        <v>5226930.1899999995</v>
      </c>
      <c r="DB45" s="197">
        <f t="shared" si="89"/>
        <v>4583161.1199999936</v>
      </c>
      <c r="DC45" s="197">
        <f t="shared" si="89"/>
        <v>3765173.3700000071</v>
      </c>
      <c r="DD45" s="197">
        <f t="shared" si="89"/>
        <v>3058815.379999999</v>
      </c>
      <c r="DE45" s="197">
        <f t="shared" si="89"/>
        <v>3841883.8399999994</v>
      </c>
      <c r="DF45" s="197">
        <f t="shared" si="89"/>
        <v>3683859.6300000008</v>
      </c>
      <c r="DG45" s="197">
        <f t="shared" ref="DG45:DL45" si="90">+DG24+DG34-DG43</f>
        <v>3425608.0900000017</v>
      </c>
      <c r="DH45" s="197">
        <f t="shared" si="90"/>
        <v>4401638.7099999925</v>
      </c>
      <c r="DI45" s="197">
        <f t="shared" si="90"/>
        <v>4061404.6899999911</v>
      </c>
      <c r="DJ45" s="197">
        <f t="shared" si="90"/>
        <v>7675617.6199999973</v>
      </c>
      <c r="DK45" s="197">
        <f t="shared" si="90"/>
        <v>5940466.9200000009</v>
      </c>
      <c r="DL45" s="197">
        <f t="shared" si="90"/>
        <v>4844783.179999995</v>
      </c>
      <c r="DM45" s="197">
        <f t="shared" ref="DM45:DR45" si="91">+DM24+DM34-DM43</f>
        <v>3710728.2800000058</v>
      </c>
      <c r="DN45" s="197">
        <f t="shared" si="91"/>
        <v>3608346.84</v>
      </c>
      <c r="DO45" s="197">
        <f t="shared" si="91"/>
        <v>3209793.1400000015</v>
      </c>
      <c r="DP45" s="197">
        <f t="shared" si="91"/>
        <v>3096133.4199999981</v>
      </c>
      <c r="DQ45" s="197">
        <f t="shared" si="91"/>
        <v>3757822.8500000034</v>
      </c>
      <c r="DR45" s="197">
        <f t="shared" si="91"/>
        <v>3415357.6500000004</v>
      </c>
      <c r="DS45" s="197">
        <f t="shared" ref="DS45:DX45" si="92">+DS24+DS34-DS43</f>
        <v>2946877.299999997</v>
      </c>
      <c r="DT45" s="197">
        <f t="shared" si="92"/>
        <v>5089897.0800000038</v>
      </c>
      <c r="DU45" s="197">
        <f t="shared" si="92"/>
        <v>4619564.9800000014</v>
      </c>
      <c r="DV45" s="197">
        <f t="shared" si="92"/>
        <v>11395487.329999998</v>
      </c>
      <c r="DW45" s="197">
        <f t="shared" si="92"/>
        <v>8009638.0999999978</v>
      </c>
      <c r="DX45" s="197">
        <f t="shared" si="92"/>
        <v>7690800.4700000025</v>
      </c>
      <c r="DY45" s="197">
        <f t="shared" ref="DY45:EU45" si="93">+DY24+DY34-DY43</f>
        <v>7693733.1100000013</v>
      </c>
      <c r="DZ45" s="197">
        <f t="shared" si="93"/>
        <v>5523422.1400000099</v>
      </c>
      <c r="EA45" s="197">
        <f t="shared" si="93"/>
        <v>5442618.1799999988</v>
      </c>
      <c r="EB45" s="197">
        <f t="shared" si="93"/>
        <v>4434602.4600000046</v>
      </c>
      <c r="EC45" s="197">
        <f t="shared" si="93"/>
        <v>4767526.4300000016</v>
      </c>
      <c r="ED45" s="197">
        <f t="shared" si="93"/>
        <v>5555927.8699999982</v>
      </c>
      <c r="EE45" s="197">
        <f t="shared" ref="EE45:ET45" si="94">+EE24+EE34-EE43</f>
        <v>5105687.1500000013</v>
      </c>
      <c r="EF45" s="197">
        <f t="shared" si="94"/>
        <v>5800885.7700000061</v>
      </c>
      <c r="EG45" s="197">
        <f t="shared" si="94"/>
        <v>5862599.7900000103</v>
      </c>
      <c r="EH45" s="197">
        <f t="shared" si="94"/>
        <v>9787937.4600000028</v>
      </c>
      <c r="EI45" s="197">
        <f t="shared" si="94"/>
        <v>8848433.3600000106</v>
      </c>
      <c r="EJ45" s="197">
        <f t="shared" si="94"/>
        <v>10906631.870000001</v>
      </c>
      <c r="EK45" s="197">
        <f t="shared" ref="EK45:EM45" si="95">+EK24+EK34-EK43</f>
        <v>6709140.3300000038</v>
      </c>
      <c r="EL45" s="197">
        <f t="shared" si="95"/>
        <v>6255344.3100000089</v>
      </c>
      <c r="EM45" s="197">
        <f t="shared" si="95"/>
        <v>6658559.830000001</v>
      </c>
      <c r="EN45" s="197">
        <f t="shared" ref="EN45:EO45" si="96">+EN24+EN34-EN43</f>
        <v>4395198.3500000052</v>
      </c>
      <c r="EO45" s="197">
        <f t="shared" si="96"/>
        <v>4562159.5000000093</v>
      </c>
      <c r="EP45" s="197">
        <f t="shared" ref="EP45:EQ45" si="97">+EP24+EP34-EP43</f>
        <v>7270008.4300000109</v>
      </c>
      <c r="EQ45" s="197">
        <f t="shared" si="97"/>
        <v>4804065.5199999977</v>
      </c>
      <c r="ER45" s="197">
        <f t="shared" ref="ER45:ES45" si="98">+ER24+ER34-ER43</f>
        <v>5933019.0599999912</v>
      </c>
      <c r="ES45" s="197">
        <f t="shared" si="98"/>
        <v>6107119.9299999867</v>
      </c>
      <c r="ET45" s="449">
        <f t="shared" si="94"/>
        <v>82237617.950000092</v>
      </c>
      <c r="EU45" s="176">
        <f t="shared" si="93"/>
        <v>82237.617950000102</v>
      </c>
    </row>
    <row r="46" spans="1:154" ht="13.5" thickTop="1">
      <c r="C46" s="22"/>
      <c r="E46" s="22"/>
      <c r="F46" s="22"/>
      <c r="G46" s="22"/>
      <c r="H46" s="22"/>
      <c r="I46" s="22"/>
      <c r="J46" s="22"/>
      <c r="K46" s="22"/>
      <c r="L46" s="22"/>
      <c r="M46" s="22"/>
      <c r="N46" s="209"/>
      <c r="O46" s="209"/>
      <c r="P46" s="165"/>
      <c r="Q46" s="165"/>
      <c r="R46" s="22"/>
      <c r="S46" s="22"/>
      <c r="T46" s="22"/>
      <c r="U46" s="22"/>
      <c r="V46" s="22"/>
      <c r="W46" s="22"/>
      <c r="X46" s="22"/>
      <c r="Y46" s="22"/>
      <c r="Z46" s="209"/>
      <c r="AA46" s="209"/>
      <c r="AB46" s="209"/>
      <c r="AC46" s="165"/>
      <c r="AD46" s="165"/>
      <c r="AE46" s="165"/>
      <c r="AF46" s="165"/>
      <c r="AG46" s="165">
        <v>0</v>
      </c>
      <c r="AH46" s="165">
        <v>-3.2596290111541748E-9</v>
      </c>
      <c r="AI46" s="165">
        <v>0</v>
      </c>
      <c r="AJ46" s="165">
        <v>0</v>
      </c>
      <c r="AK46" s="165">
        <v>-3.2596290111541748E-9</v>
      </c>
      <c r="AL46" s="165">
        <v>0</v>
      </c>
      <c r="AM46" s="165">
        <v>-2.0954757928848267E-9</v>
      </c>
      <c r="AN46" s="165">
        <v>0</v>
      </c>
      <c r="AO46" s="165">
        <v>-8.3819031715393066E-9</v>
      </c>
      <c r="AP46" s="198">
        <v>-566.00000001490116</v>
      </c>
      <c r="AQ46" s="198">
        <v>-321.00000001490116</v>
      </c>
      <c r="AR46" s="198">
        <v>-151.99999998882413</v>
      </c>
      <c r="AS46" s="198">
        <v>-260.00000000046566</v>
      </c>
      <c r="AT46" s="198">
        <v>-294.00000000023283</v>
      </c>
      <c r="AU46" s="198">
        <v>-206.00000000791624</v>
      </c>
      <c r="AV46" s="393">
        <v>74861.499999997439</v>
      </c>
      <c r="AW46" s="393">
        <v>-75171.519999993267</v>
      </c>
      <c r="AX46" s="198">
        <v>-229.97999999835156</v>
      </c>
      <c r="AY46" s="198">
        <v>-291.99999999767169</v>
      </c>
      <c r="AZ46" s="198">
        <v>-99.999999998137355</v>
      </c>
      <c r="BA46" s="198">
        <v>-326.00999999186024</v>
      </c>
      <c r="BB46" s="198">
        <v>-622.95000000484288</v>
      </c>
      <c r="BC46" s="198">
        <v>-270.26000000908971</v>
      </c>
      <c r="BD46" s="198">
        <v>182.68999999575317</v>
      </c>
      <c r="BE46" s="198">
        <v>348.13000001106411</v>
      </c>
      <c r="BF46" s="198">
        <v>-182.26999999862164</v>
      </c>
      <c r="BG46" s="198">
        <v>-279.22000000299886</v>
      </c>
      <c r="BH46" s="198">
        <v>385.63000000850298</v>
      </c>
      <c r="BI46" s="198">
        <v>76.650000010151416</v>
      </c>
      <c r="BJ46" s="198">
        <v>147.40999999735504</v>
      </c>
      <c r="BK46" s="198">
        <v>-390.1199999996461</v>
      </c>
      <c r="BL46" s="198">
        <v>241.110000004293</v>
      </c>
      <c r="BM46" s="198">
        <v>-766.71000001113862</v>
      </c>
      <c r="BN46" s="198">
        <v>480.28999999817461</v>
      </c>
      <c r="BO46" s="165">
        <v>3.8300000140443444</v>
      </c>
      <c r="BP46" s="198">
        <v>65.470000008121133</v>
      </c>
      <c r="BQ46" s="198">
        <v>214.45999999623746</v>
      </c>
      <c r="BR46" s="198">
        <v>277.50999998860061</v>
      </c>
      <c r="BS46" s="198">
        <v>728.53999999817461</v>
      </c>
      <c r="BT46" s="198">
        <v>-602.35000000800937</v>
      </c>
      <c r="BU46" s="198">
        <v>-524.22000001044944</v>
      </c>
      <c r="BV46" s="198">
        <v>376.08000000729226</v>
      </c>
      <c r="BW46" s="198">
        <v>-119.13999999454245</v>
      </c>
      <c r="BX46" s="198">
        <v>755.58999999566004</v>
      </c>
      <c r="BY46" s="198">
        <v>49.050000001909211</v>
      </c>
      <c r="BZ46" s="198">
        <v>-471.12000000476837</v>
      </c>
      <c r="CA46" s="198">
        <v>111.03999999864027</v>
      </c>
      <c r="CB46" s="198">
        <v>-408.57000000867993</v>
      </c>
      <c r="CC46" s="198">
        <v>-231.97000000393018</v>
      </c>
      <c r="CD46" s="198">
        <v>72.680000010412186</v>
      </c>
      <c r="CE46" s="198">
        <v>119.06999999308027</v>
      </c>
      <c r="CF46" s="198">
        <v>-316.24000000488013</v>
      </c>
      <c r="CG46" s="198">
        <v>-592.41999999806285</v>
      </c>
      <c r="CH46" s="198">
        <v>-181.56999999983236</v>
      </c>
      <c r="CI46" s="198">
        <v>-950.09000000264496</v>
      </c>
      <c r="CJ46" s="198">
        <v>330.23000000370666</v>
      </c>
      <c r="CK46" s="198">
        <v>619.07000000495464</v>
      </c>
      <c r="CL46" s="198">
        <v>-193.71000000834465</v>
      </c>
      <c r="CM46" s="198">
        <v>368.33000000938773</v>
      </c>
      <c r="CN46" s="198">
        <v>368.71999999089167</v>
      </c>
      <c r="CO46" s="198">
        <v>-98.359999988228083</v>
      </c>
      <c r="CP46" s="198">
        <v>-735.95999999158084</v>
      </c>
      <c r="CQ46" s="198">
        <v>75.000000014901161</v>
      </c>
      <c r="CR46" s="198">
        <v>170.20000001275912</v>
      </c>
      <c r="CS46" s="198">
        <v>-796.67999999783933</v>
      </c>
      <c r="CT46" s="198">
        <v>50.51000001328066</v>
      </c>
      <c r="CU46" s="198">
        <v>473.23000000556931</v>
      </c>
      <c r="CV46" s="198">
        <v>363.36000002361834</v>
      </c>
      <c r="CW46" s="198">
        <v>955.76000001747161</v>
      </c>
      <c r="CX46" s="198">
        <v>345.88999998755753</v>
      </c>
      <c r="CY46" s="198">
        <v>-538.14999999012798</v>
      </c>
      <c r="CZ46" s="198">
        <v>-549.68999999482185</v>
      </c>
      <c r="DA46" s="198">
        <v>-269.80999999400228</v>
      </c>
      <c r="DB46" s="198">
        <v>-638.88000001199543</v>
      </c>
      <c r="DC46" s="198">
        <v>673.370000007096</v>
      </c>
      <c r="DD46" s="198">
        <v>215.38000000175089</v>
      </c>
      <c r="DE46" s="198">
        <v>-116.16000000061467</v>
      </c>
      <c r="DF46" s="198">
        <v>459.6299999980256</v>
      </c>
      <c r="DG46" s="198">
        <v>8.0900000054389238</v>
      </c>
      <c r="DH46" s="198">
        <v>338.70999999064952</v>
      </c>
      <c r="DI46" s="198">
        <v>604.6899999929592</v>
      </c>
      <c r="DJ46" s="198">
        <f>+DJ45-'[1]Income Statement Detail'!BV46*1000</f>
        <v>117.6200000019744</v>
      </c>
      <c r="DK46" s="198">
        <f>+DK45-'[1]Income Statement Detail'!BW46*1000</f>
        <v>366.9200000083074</v>
      </c>
      <c r="DL46" s="198">
        <f>+DL45-'[1]Income Statement Detail'!BX46*1000</f>
        <v>183.1800000006333</v>
      </c>
      <c r="DM46" s="198">
        <f>+DM45-'[1]Income Statement Detail'!BY46*1000</f>
        <v>-671.71999999182299</v>
      </c>
      <c r="DN46" s="198">
        <f>+DN45-'[1]Income Statement Detail'!BZ46*1000</f>
        <v>346.83999998541549</v>
      </c>
      <c r="DO46" s="198">
        <f>+DO45-'[1]Income Statement Detail'!CA46*1000</f>
        <v>93.140000007115304</v>
      </c>
      <c r="DP46" s="198">
        <f>+DP45-'[1]Income Statement Detail'!CB46*1000</f>
        <v>833.42000000411645</v>
      </c>
      <c r="DQ46" s="198">
        <f>+DQ45-'[1]Income Statement Detail'!CC46*1000</f>
        <v>222.85000000242144</v>
      </c>
      <c r="DR46" s="198">
        <f>+DR45-'[1]Income Statement Detail'!CD46*1000</f>
        <v>-342.34999998752028</v>
      </c>
      <c r="DS46" s="198">
        <f>+DS45-'[1]Income Statement Detail'!CE46*1000</f>
        <v>477.29999998537824</v>
      </c>
      <c r="DT46" s="198">
        <f>+DT45-'[1]Income Statement Detail'!CF46*1000</f>
        <v>297.08000000752509</v>
      </c>
      <c r="DU46" s="198">
        <f>+DU45-'[1]Income Statement Detail'!CG46*1000</f>
        <v>-235.01999997999519</v>
      </c>
      <c r="DV46" s="198">
        <f>+DV45-'[1]Income Statement Detail'!CH46*1000</f>
        <v>287.32999998703599</v>
      </c>
      <c r="DW46" s="198">
        <f>+DW45-'[1]Income Statement Detail'!CI46*1000</f>
        <v>38.100000032223761</v>
      </c>
      <c r="DX46" s="198">
        <f>+DX45-'[1]Income Statement Detail'!CJ46*1000</f>
        <v>500.47000001277775</v>
      </c>
      <c r="DY46" s="198">
        <f>+DY45-'[1]Income Statement Detail'!CK46*1000</f>
        <v>33.11000001244247</v>
      </c>
      <c r="DZ46" s="198">
        <f>+DZ45-'[1]Income Statement Detail'!CL46*1000</f>
        <v>122.14000002294779</v>
      </c>
      <c r="EA46" s="198">
        <f>+EA45-'[1]Income Statement Detail'!CM46*1000</f>
        <v>418.17999999318272</v>
      </c>
      <c r="EB46" s="198">
        <f>+EB45-'[1]Income Statement Detail'!CN46*1000</f>
        <v>-97.540000004693866</v>
      </c>
      <c r="EC46" s="198">
        <f>+EC45-'[1]Income Statement Detail'!CO46*1000</f>
        <v>-573.56999998632818</v>
      </c>
      <c r="ED46" s="198">
        <f>+ED45-'[1]Income Statement Detail'!CP46*1000</f>
        <v>627.87000001315027</v>
      </c>
      <c r="EE46" s="198">
        <f>+EE45-'[1]Income Statement Detail'!CQ46*1000</f>
        <v>-112.84999999590218</v>
      </c>
      <c r="EF46" s="198">
        <f>+EF45-'[1]Income Statement Detail'!CR46*1000</f>
        <v>485.77000002469867</v>
      </c>
      <c r="EG46" s="198">
        <f>+EG45-'[1]Income Statement Detail'!CS46*1000</f>
        <v>499.79000002983958</v>
      </c>
      <c r="EH46" s="198">
        <f>+EH45-'[1]Income Statement Detail'!CT46*1000</f>
        <v>-162.5399999730289</v>
      </c>
      <c r="EI46" s="198">
        <f>+EI45-'[1]Income Statement Detail'!CU46*1000</f>
        <v>-266.63999997265637</v>
      </c>
      <c r="EJ46" s="198">
        <f>+EJ45-'[1]Income Statement Detail'!CV46*1000</f>
        <v>-268.12999998219311</v>
      </c>
      <c r="EK46" s="198">
        <f>+EK45-'[1]Income Statement Detail'!CW46*1000</f>
        <v>40.329999998211861</v>
      </c>
      <c r="EL46" s="198">
        <f>+EL45-'[1]Income Statement Detail'!CX46*1000</f>
        <v>144.31000002846122</v>
      </c>
      <c r="EM46" s="198">
        <f>+EM45-'[1]Income Statement Detail'!CY46*1000</f>
        <v>259.83000003919005</v>
      </c>
      <c r="EN46" s="198">
        <f>+EN45-'[1]Income Statement Detail'!CZ46*1000</f>
        <v>-201.64999996684492</v>
      </c>
      <c r="EO46" s="198">
        <f>+EO45-'[1]Income Statement Detail'!DA46*1000</f>
        <v>-340.49999998882413</v>
      </c>
      <c r="EP46" s="198">
        <f>+EP45-'[1]Income Statement Detail'!DB46*1000</f>
        <v>-591.57000000588596</v>
      </c>
      <c r="EQ46" s="198">
        <f>+EQ45-'[1]Income Statement Detail'!DC46*1000</f>
        <v>465.51999998278916</v>
      </c>
      <c r="ER46" s="198">
        <f>+ER45-'[1]Income Statement Detail'!DD46*1000</f>
        <v>419.06000000610948</v>
      </c>
      <c r="ES46" s="198">
        <f>+ES45-'[1]Income Statement Detail'!DE46*1000</f>
        <v>-180.07000000029802</v>
      </c>
      <c r="ET46" s="132">
        <f t="shared" ref="ET46" si="99">SUM(EB46:EM46)</f>
        <v>576.63000021874905</v>
      </c>
      <c r="EU46" s="155"/>
      <c r="EV46" s="155"/>
      <c r="EW46" s="17"/>
      <c r="EX46" s="17"/>
    </row>
    <row r="47" spans="1:154">
      <c r="C47" s="22"/>
      <c r="E47" s="22"/>
      <c r="F47" s="22"/>
      <c r="G47" s="22"/>
      <c r="H47" s="22"/>
      <c r="I47" s="22"/>
      <c r="J47" s="22"/>
      <c r="K47" s="22"/>
      <c r="L47" s="22"/>
      <c r="M47" s="22"/>
      <c r="N47" s="198"/>
      <c r="O47" s="210"/>
      <c r="P47" s="165"/>
      <c r="Q47" s="165"/>
      <c r="R47" s="22"/>
      <c r="S47" s="22"/>
      <c r="T47" s="22"/>
      <c r="U47" s="22"/>
      <c r="V47" s="22"/>
      <c r="W47" s="22"/>
      <c r="X47" s="22"/>
      <c r="Y47" s="22"/>
      <c r="Z47" s="198"/>
      <c r="AA47" s="210"/>
      <c r="AB47" s="210"/>
      <c r="AC47" s="165"/>
      <c r="AD47" s="165"/>
      <c r="AE47" s="165"/>
      <c r="AF47" s="165"/>
      <c r="AG47" s="165"/>
      <c r="AH47" s="165"/>
      <c r="AI47" s="165"/>
      <c r="AJ47" s="165"/>
      <c r="AK47" s="165"/>
      <c r="AL47" s="165"/>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c r="CC47" s="198"/>
      <c r="CD47" s="198"/>
      <c r="CE47" s="198"/>
      <c r="CF47" s="198"/>
      <c r="CG47" s="198"/>
      <c r="CH47" s="198"/>
      <c r="CI47" s="198"/>
      <c r="CJ47" s="198"/>
      <c r="CK47" s="198"/>
      <c r="CL47" s="198"/>
      <c r="CM47" s="198"/>
      <c r="CN47" s="198"/>
      <c r="CO47" s="198"/>
      <c r="CP47" s="198"/>
      <c r="CQ47" s="198"/>
      <c r="CR47" s="198"/>
      <c r="CS47" s="198"/>
      <c r="CT47" s="198"/>
      <c r="CU47" s="198"/>
      <c r="CV47" s="198"/>
      <c r="CW47" s="198"/>
      <c r="CX47" s="198"/>
      <c r="CY47" s="198"/>
      <c r="CZ47" s="198"/>
      <c r="DA47" s="198"/>
      <c r="DB47" s="198"/>
      <c r="DC47" s="198"/>
      <c r="DD47" s="198"/>
      <c r="DE47" s="198"/>
      <c r="DF47" s="198"/>
      <c r="DG47" s="198"/>
      <c r="DH47" s="198"/>
      <c r="DI47" s="198"/>
      <c r="DJ47" s="198"/>
      <c r="DK47" s="198"/>
      <c r="DL47" s="198"/>
      <c r="DM47" s="198"/>
      <c r="DN47" s="198"/>
      <c r="DO47" s="198"/>
      <c r="DP47" s="198"/>
      <c r="DQ47" s="198"/>
      <c r="DR47" s="198"/>
      <c r="DS47" s="198"/>
      <c r="DT47" s="198"/>
      <c r="DU47" s="198"/>
      <c r="DV47" s="198"/>
      <c r="DW47" s="198"/>
      <c r="DX47" s="198"/>
      <c r="DY47" s="198"/>
      <c r="DZ47" s="198"/>
      <c r="EA47" s="198"/>
      <c r="EB47" s="198"/>
      <c r="EC47" s="198"/>
      <c r="ED47" s="198"/>
      <c r="EE47" s="198"/>
      <c r="EF47" s="198"/>
      <c r="EG47" s="198"/>
      <c r="EH47" s="198"/>
      <c r="EI47" s="198"/>
      <c r="EJ47" s="198"/>
      <c r="EK47" s="198"/>
      <c r="EL47" s="198"/>
      <c r="EM47" s="198"/>
      <c r="EN47" s="198"/>
      <c r="EO47" s="198"/>
      <c r="EP47" s="198"/>
      <c r="EQ47" s="198"/>
      <c r="ER47" s="198"/>
      <c r="ES47" s="198"/>
      <c r="ET47" s="198"/>
      <c r="EU47" s="155"/>
      <c r="EV47" s="17"/>
      <c r="EW47" s="17"/>
      <c r="EX47" s="17"/>
    </row>
    <row r="48" spans="1:154">
      <c r="B48" s="3"/>
      <c r="C48" s="22"/>
      <c r="D48" s="22"/>
      <c r="E48" s="22"/>
      <c r="F48" s="22"/>
      <c r="G48" s="22"/>
      <c r="H48" s="22"/>
      <c r="I48" s="22"/>
      <c r="J48" s="22"/>
      <c r="K48" s="22"/>
      <c r="L48" s="22"/>
      <c r="M48" s="22"/>
      <c r="N48" s="210"/>
      <c r="O48" s="210"/>
      <c r="P48" s="165"/>
      <c r="Q48" s="165"/>
      <c r="R48" s="22"/>
      <c r="S48" s="22"/>
      <c r="T48" s="22"/>
      <c r="U48" s="22"/>
      <c r="V48" s="22"/>
      <c r="W48" s="22"/>
      <c r="X48" s="22"/>
      <c r="Y48" s="22"/>
      <c r="Z48" s="210"/>
      <c r="AA48" s="210"/>
      <c r="AB48" s="210"/>
      <c r="AC48" s="165"/>
      <c r="AD48" s="165"/>
      <c r="AE48" s="165"/>
      <c r="AF48" s="165"/>
      <c r="AG48" s="165"/>
      <c r="AH48" s="165"/>
      <c r="AI48" s="165"/>
      <c r="AJ48" s="165"/>
      <c r="AK48" s="165"/>
      <c r="AL48" s="165"/>
      <c r="AM48" s="165"/>
      <c r="AN48" s="165"/>
      <c r="AO48" s="165"/>
      <c r="AP48" s="165"/>
      <c r="AQ48" s="165"/>
      <c r="AR48" s="165"/>
      <c r="AS48" s="165"/>
      <c r="AT48" s="165"/>
      <c r="AU48" s="165"/>
      <c r="AV48" s="165"/>
      <c r="AW48" s="165"/>
      <c r="AX48" s="165"/>
      <c r="AY48" s="165"/>
      <c r="AZ48" s="165"/>
      <c r="BA48" s="165"/>
      <c r="BB48" s="165"/>
      <c r="BC48" s="165"/>
      <c r="BD48" s="165"/>
      <c r="BE48" s="165"/>
      <c r="BF48" s="165"/>
      <c r="BG48" s="165"/>
      <c r="BH48" s="165"/>
      <c r="BI48" s="165"/>
      <c r="BJ48" s="165"/>
      <c r="BK48" s="165"/>
      <c r="BL48" s="165"/>
      <c r="BM48" s="165"/>
      <c r="BN48" s="165"/>
      <c r="BO48" s="165"/>
      <c r="BP48" s="165"/>
      <c r="BQ48" s="165"/>
      <c r="BR48" s="165"/>
      <c r="BS48" s="165"/>
      <c r="BT48" s="165"/>
      <c r="BU48" s="165"/>
      <c r="BV48" s="165"/>
      <c r="BW48" s="165"/>
      <c r="BX48" s="165"/>
      <c r="BY48" s="165"/>
      <c r="BZ48" s="165"/>
      <c r="CA48" s="165"/>
      <c r="CB48" s="165"/>
      <c r="CC48" s="165"/>
      <c r="CD48" s="165"/>
      <c r="CE48" s="165"/>
      <c r="CF48" s="165"/>
      <c r="CG48" s="165"/>
      <c r="CH48" s="165"/>
      <c r="CI48" s="165"/>
      <c r="CJ48" s="165"/>
      <c r="CK48" s="165"/>
      <c r="CL48" s="165"/>
      <c r="CM48" s="165"/>
      <c r="CN48" s="165"/>
      <c r="CO48" s="165"/>
      <c r="CP48" s="165"/>
      <c r="CQ48" s="165"/>
      <c r="CR48" s="165"/>
      <c r="CS48" s="165"/>
      <c r="CT48" s="165"/>
      <c r="CU48" s="165"/>
      <c r="CV48" s="165"/>
      <c r="CW48" s="165"/>
      <c r="CX48" s="165"/>
      <c r="CY48" s="165"/>
      <c r="CZ48" s="165"/>
      <c r="DA48" s="165"/>
      <c r="DB48" s="165"/>
      <c r="DC48" s="165"/>
      <c r="DD48" s="165"/>
      <c r="DE48" s="165"/>
      <c r="DF48" s="165"/>
      <c r="DG48" s="165"/>
      <c r="DH48" s="165"/>
      <c r="DI48" s="165"/>
      <c r="DJ48" s="165"/>
      <c r="DK48" s="165"/>
      <c r="DL48" s="165"/>
      <c r="DM48" s="165"/>
      <c r="DN48" s="165"/>
      <c r="DO48" s="165"/>
      <c r="DP48" s="165"/>
      <c r="DQ48" s="165"/>
      <c r="DR48" s="165"/>
      <c r="DS48" s="165"/>
      <c r="DT48" s="165"/>
      <c r="DU48" s="165"/>
      <c r="DV48" s="165"/>
      <c r="DW48" s="165"/>
      <c r="DX48" s="165"/>
      <c r="DY48" s="165"/>
      <c r="DZ48" s="165"/>
      <c r="EA48" s="165"/>
      <c r="EB48" s="165"/>
      <c r="EC48" s="165"/>
      <c r="ED48" s="165"/>
      <c r="EE48" s="165"/>
      <c r="EF48" s="165"/>
      <c r="EG48" s="165"/>
      <c r="EH48" s="165"/>
      <c r="EI48" s="165"/>
      <c r="EJ48" s="165"/>
      <c r="EK48" s="165"/>
      <c r="EL48" s="165"/>
      <c r="EM48" s="165"/>
      <c r="EN48" s="165"/>
      <c r="EO48" s="165"/>
      <c r="EP48" s="165"/>
      <c r="EQ48" s="165"/>
      <c r="ER48" s="165"/>
      <c r="ES48" s="165"/>
      <c r="ET48" s="165"/>
      <c r="EU48" s="155"/>
      <c r="EV48" s="17"/>
      <c r="EW48" s="17"/>
      <c r="EX48" s="17"/>
    </row>
    <row r="49" spans="1:154">
      <c r="C49" s="22"/>
      <c r="D49" s="22"/>
      <c r="E49" s="22"/>
      <c r="F49" s="22"/>
      <c r="G49" s="22"/>
      <c r="H49" s="22"/>
      <c r="I49" s="22"/>
      <c r="J49" s="22"/>
      <c r="K49" s="22"/>
      <c r="L49" s="22"/>
      <c r="M49" s="22"/>
      <c r="N49" s="210"/>
      <c r="O49" s="165"/>
      <c r="P49" s="165"/>
      <c r="Q49" s="165"/>
      <c r="R49" s="22"/>
      <c r="S49" s="22"/>
      <c r="T49" s="22"/>
      <c r="U49" s="22"/>
      <c r="V49" s="22"/>
      <c r="W49" s="22"/>
      <c r="X49" s="22"/>
      <c r="Y49" s="22"/>
      <c r="Z49" s="210"/>
      <c r="AA49" s="165"/>
      <c r="AB49" s="165"/>
      <c r="AC49" s="165"/>
      <c r="AD49" s="165"/>
      <c r="AE49" s="165"/>
      <c r="AF49" s="165"/>
      <c r="AG49" s="165"/>
      <c r="AH49" s="165"/>
      <c r="AI49" s="165"/>
      <c r="AJ49" s="165"/>
      <c r="AK49" s="165"/>
      <c r="AL49" s="165"/>
      <c r="AM49" s="165"/>
      <c r="AN49" s="165"/>
      <c r="AO49" s="165"/>
      <c r="AP49" s="165"/>
      <c r="AQ49" s="165"/>
      <c r="AR49" s="165"/>
      <c r="AS49" s="165"/>
      <c r="AT49" s="165"/>
      <c r="AU49" s="165"/>
      <c r="AV49" s="165"/>
      <c r="AW49" s="165"/>
      <c r="AX49" s="165"/>
      <c r="AY49" s="165"/>
      <c r="BB49" s="165"/>
      <c r="BC49" s="165"/>
      <c r="BD49" s="165" t="s">
        <v>1407</v>
      </c>
      <c r="BE49" s="165"/>
      <c r="BF49" s="165"/>
      <c r="BG49" s="165"/>
      <c r="BH49" s="165"/>
      <c r="BI49" s="165"/>
      <c r="BJ49" s="165"/>
      <c r="BK49" s="165"/>
      <c r="BL49" s="165"/>
      <c r="BM49" s="165"/>
      <c r="BN49" s="165"/>
      <c r="BO49" s="165"/>
      <c r="BP49" s="165"/>
      <c r="BQ49" s="165"/>
      <c r="BR49" s="165"/>
      <c r="BS49" s="165"/>
      <c r="BT49" s="165"/>
      <c r="BU49" s="165"/>
      <c r="BV49" s="165"/>
      <c r="BW49" s="165"/>
      <c r="BX49" s="165"/>
      <c r="BY49" s="165"/>
      <c r="BZ49" s="165"/>
      <c r="CA49" s="165"/>
      <c r="CB49" s="165"/>
      <c r="CC49" s="165"/>
      <c r="CD49" s="165"/>
      <c r="CE49" s="165"/>
      <c r="CF49" s="165"/>
      <c r="CG49" s="165"/>
      <c r="CH49" s="165"/>
      <c r="CI49" s="165"/>
      <c r="CJ49" s="165"/>
      <c r="CK49" s="165"/>
      <c r="CL49" s="165"/>
      <c r="CM49" s="165"/>
      <c r="CN49" s="165"/>
      <c r="CO49" s="165"/>
      <c r="CP49" s="165"/>
      <c r="CQ49" s="165"/>
      <c r="CR49" s="165"/>
      <c r="CS49" s="165"/>
      <c r="CT49" s="165"/>
      <c r="CU49" s="165"/>
      <c r="CV49" s="165"/>
      <c r="CW49" s="165"/>
      <c r="CX49" s="165"/>
      <c r="CY49" s="165"/>
      <c r="CZ49" s="165"/>
      <c r="DA49" s="165"/>
      <c r="DB49" s="165"/>
      <c r="DC49" s="165"/>
      <c r="DD49" s="165"/>
      <c r="DE49" s="165"/>
      <c r="DF49" s="165"/>
      <c r="DG49" s="165"/>
      <c r="DH49" s="165"/>
      <c r="DI49" s="165"/>
      <c r="DJ49" s="165"/>
      <c r="DK49" s="165"/>
      <c r="DL49" s="165"/>
      <c r="DM49" s="165"/>
      <c r="DN49" s="165"/>
      <c r="DO49" s="165"/>
      <c r="DP49" s="165"/>
      <c r="DQ49" s="165"/>
      <c r="DR49" s="165"/>
      <c r="DS49" s="165"/>
      <c r="DT49" s="165"/>
      <c r="DU49" s="165"/>
      <c r="DV49" s="165"/>
      <c r="DW49" s="165"/>
      <c r="DX49" s="165"/>
      <c r="DY49" s="165"/>
      <c r="DZ49" s="165"/>
      <c r="EA49" s="165"/>
      <c r="EB49" s="165"/>
      <c r="EC49" s="165"/>
      <c r="ED49" s="165"/>
      <c r="EE49" s="165"/>
      <c r="EF49" s="165"/>
      <c r="EG49" s="165"/>
      <c r="EH49" s="165"/>
      <c r="EI49" s="165"/>
      <c r="EJ49" s="165"/>
      <c r="EK49" s="165"/>
      <c r="EL49" s="165"/>
      <c r="EM49" s="165"/>
      <c r="EN49" s="165"/>
      <c r="EO49" s="165"/>
      <c r="EP49" s="165"/>
      <c r="EQ49" s="1268" t="s">
        <v>2913</v>
      </c>
      <c r="ER49" s="165"/>
      <c r="ES49" s="165"/>
      <c r="ET49" s="198"/>
      <c r="EU49" s="155"/>
      <c r="EV49" s="17"/>
      <c r="EW49" s="17"/>
      <c r="EX49" s="17"/>
    </row>
    <row r="50" spans="1:154">
      <c r="A50" s="391" t="s">
        <v>1381</v>
      </c>
      <c r="B50" s="3"/>
      <c r="C50" s="22"/>
      <c r="D50" s="22"/>
      <c r="E50" s="22"/>
      <c r="F50" s="22"/>
      <c r="G50" s="22"/>
      <c r="H50" s="22"/>
      <c r="I50" s="22"/>
      <c r="J50" s="22"/>
      <c r="K50" s="22"/>
      <c r="L50" s="22"/>
      <c r="M50" s="22"/>
      <c r="N50" s="210"/>
      <c r="O50" s="210"/>
      <c r="P50" s="165"/>
      <c r="Q50" s="165"/>
      <c r="R50" s="22"/>
      <c r="S50" s="22"/>
      <c r="T50" s="22"/>
      <c r="U50" s="22"/>
      <c r="V50" s="22"/>
      <c r="W50" s="22"/>
      <c r="X50" s="22"/>
      <c r="Y50" s="22"/>
      <c r="Z50" s="210"/>
      <c r="AA50" s="210"/>
      <c r="AB50" s="210"/>
      <c r="AC50" s="165"/>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ET50" s="198"/>
      <c r="EU50" s="155"/>
      <c r="EV50" s="17"/>
      <c r="EW50" s="17"/>
      <c r="EX50" s="17"/>
    </row>
    <row r="51" spans="1:154">
      <c r="A51" s="165" t="s">
        <v>1414</v>
      </c>
      <c r="C51" s="22"/>
      <c r="D51" s="22"/>
      <c r="E51" s="22"/>
      <c r="F51" s="22"/>
      <c r="G51" s="22"/>
      <c r="H51" s="22"/>
      <c r="I51" s="22"/>
      <c r="J51" s="22"/>
      <c r="K51" s="22"/>
      <c r="L51" s="22"/>
      <c r="M51" s="22"/>
      <c r="N51" s="210"/>
      <c r="O51" s="210"/>
      <c r="P51" s="165"/>
      <c r="Q51" s="165"/>
      <c r="R51" s="22"/>
      <c r="S51" s="22"/>
      <c r="T51" s="22"/>
      <c r="U51" s="22"/>
      <c r="V51" s="22"/>
      <c r="W51" s="22"/>
      <c r="X51" s="22"/>
      <c r="Y51" s="22"/>
      <c r="Z51" s="210"/>
      <c r="AA51" s="210"/>
      <c r="AB51" s="210"/>
      <c r="AC51" s="165"/>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391" t="s">
        <v>1381</v>
      </c>
      <c r="BB51" s="198">
        <v>5545677.0499999998</v>
      </c>
      <c r="BC51" s="198">
        <v>4960629.7399999993</v>
      </c>
      <c r="BD51" s="52">
        <v>4121482.69</v>
      </c>
      <c r="BE51" s="163">
        <v>2371048.13</v>
      </c>
      <c r="BF51" s="163">
        <v>2343817.73</v>
      </c>
      <c r="BG51" s="163">
        <v>2795820.78</v>
      </c>
      <c r="BH51" s="163">
        <v>1833585.63</v>
      </c>
      <c r="BI51" s="163">
        <v>2511676.65</v>
      </c>
      <c r="BJ51" s="163">
        <v>1860447.41</v>
      </c>
      <c r="BK51" s="163">
        <v>2165009.88</v>
      </c>
      <c r="BL51" s="163">
        <v>1807041.1099999994</v>
      </c>
      <c r="BM51" s="163">
        <v>2949033.29</v>
      </c>
      <c r="BN51" s="163">
        <v>5297380.29</v>
      </c>
      <c r="BO51" s="163">
        <v>5452103.8300000001</v>
      </c>
      <c r="BP51" s="163">
        <v>2373165.4700000002</v>
      </c>
      <c r="BQ51" s="163">
        <v>2946014.46</v>
      </c>
      <c r="BR51" s="163">
        <v>2773077.51</v>
      </c>
      <c r="BS51" s="163">
        <v>1322328.54</v>
      </c>
      <c r="BT51" s="163">
        <v>2616097.65</v>
      </c>
      <c r="BU51" s="163">
        <v>2019875.78</v>
      </c>
      <c r="BV51" s="163">
        <v>1958976.08</v>
      </c>
      <c r="BW51" s="163">
        <v>2943980.86</v>
      </c>
      <c r="BX51" s="163">
        <v>3104355.59</v>
      </c>
      <c r="BY51" s="163">
        <v>2053249.05</v>
      </c>
      <c r="BZ51" s="163">
        <v>5364828.88</v>
      </c>
      <c r="CA51" s="163">
        <f>8007312.53-4136101.49</f>
        <v>3871211.04</v>
      </c>
      <c r="CB51" s="163">
        <v>4536791.43</v>
      </c>
      <c r="CC51" s="163">
        <v>3830968.03</v>
      </c>
      <c r="CD51" s="163">
        <v>3718372.6800000006</v>
      </c>
      <c r="CE51" s="163">
        <v>2081619.07</v>
      </c>
      <c r="CF51" s="163">
        <v>2758883.76</v>
      </c>
      <c r="CG51" s="163">
        <f>12086132.14-9589224.56</f>
        <v>2496907.58</v>
      </c>
      <c r="CH51" s="163">
        <v>2707918.43</v>
      </c>
      <c r="CI51" s="163">
        <v>2630149.91</v>
      </c>
      <c r="CJ51" s="271">
        <f>7337410.41-3894080.18</f>
        <v>3443330.23</v>
      </c>
      <c r="CK51" s="163">
        <v>5584119.0700000003</v>
      </c>
      <c r="CL51" s="717">
        <v>9302106.2899999991</v>
      </c>
      <c r="CM51" s="717">
        <f>14365517.64-9862049.31</f>
        <v>4503468.33</v>
      </c>
      <c r="CN51" s="717">
        <v>1650568.72</v>
      </c>
      <c r="CO51" s="717">
        <v>5304901.6399999997</v>
      </c>
      <c r="CP51" s="717">
        <f>15456143.34-12767979.3</f>
        <v>2688164.0399999991</v>
      </c>
      <c r="CQ51" s="717">
        <v>3096375</v>
      </c>
      <c r="CR51" s="717">
        <v>3105270.2</v>
      </c>
      <c r="CS51" s="717">
        <f>11089440.68-8557337.36</f>
        <v>2532103.3200000003</v>
      </c>
      <c r="CT51" s="717">
        <v>3697950.51</v>
      </c>
      <c r="CU51" s="717">
        <v>2803273.23</v>
      </c>
      <c r="CV51" s="717">
        <f>9335324.03-5813460.67</f>
        <v>3521863.3599999994</v>
      </c>
      <c r="CW51" s="717">
        <v>5493355.7599999998</v>
      </c>
      <c r="CX51" s="717">
        <v>6617945.8899999997</v>
      </c>
      <c r="CY51" s="717">
        <f>11818492.35-5951830.5</f>
        <v>5866661.8499999996</v>
      </c>
      <c r="CZ51" s="717">
        <v>5496050.3099999996</v>
      </c>
      <c r="DA51" s="717">
        <v>5226930.1900000004</v>
      </c>
      <c r="DB51" s="717">
        <f>17980658.05-13397496.93</f>
        <v>4583161.120000001</v>
      </c>
      <c r="DC51" s="717">
        <v>3765173.37</v>
      </c>
      <c r="DD51" s="717">
        <v>3058815.38</v>
      </c>
      <c r="DE51" s="717">
        <f>13575264.68-9733380.84</f>
        <v>3841883.84</v>
      </c>
      <c r="DF51" s="717">
        <v>3683859.63</v>
      </c>
      <c r="DG51" s="717">
        <v>3425609.09</v>
      </c>
      <c r="DH51" s="717">
        <f>10584558-6182919.29</f>
        <v>4401638.71</v>
      </c>
      <c r="DI51" s="717">
        <v>4061403.69</v>
      </c>
      <c r="DJ51" s="717">
        <v>7675617.6200000001</v>
      </c>
      <c r="DK51" s="717">
        <f>11888651-5948184.08</f>
        <v>5940466.9199999999</v>
      </c>
      <c r="DL51" s="717">
        <v>4844783.18</v>
      </c>
      <c r="DM51" s="717">
        <v>3710728.28</v>
      </c>
      <c r="DN51" s="717">
        <f>18460868-14852521.16</f>
        <v>3608346.84</v>
      </c>
      <c r="DO51" s="165">
        <v>3209793.14</v>
      </c>
      <c r="DP51" s="165">
        <v>3096133.42</v>
      </c>
      <c r="DQ51" s="165">
        <f>10528868-6771045.15</f>
        <v>3757822.8499999996</v>
      </c>
      <c r="DR51" s="165">
        <v>3415357.65</v>
      </c>
      <c r="DS51" s="165">
        <v>2946877.3</v>
      </c>
      <c r="DT51" s="165">
        <f>10269314-5179416.92</f>
        <v>5089897.08</v>
      </c>
      <c r="DU51" s="165">
        <v>4619564.9800000004</v>
      </c>
      <c r="DV51" s="165">
        <v>11395487.33</v>
      </c>
      <c r="DW51" s="165">
        <f>12656339-4646700.9</f>
        <v>8009638.0999999996</v>
      </c>
      <c r="DX51" s="165">
        <v>7690800.4699999997</v>
      </c>
      <c r="DY51" s="165">
        <f>27095926-19402192.89</f>
        <v>7693733.1099999994</v>
      </c>
      <c r="DZ51" s="165">
        <v>5523422.1399999997</v>
      </c>
      <c r="EA51" s="165">
        <v>5442618.1799999997</v>
      </c>
      <c r="EB51" s="165">
        <v>4434602.46</v>
      </c>
      <c r="EC51" s="165">
        <f>18659773-13892246.57</f>
        <v>4767526.43</v>
      </c>
      <c r="ED51" s="165">
        <v>5555927.8700000001</v>
      </c>
      <c r="EE51" s="165">
        <v>5105687.1500000004</v>
      </c>
      <c r="EF51" s="165">
        <f>14758057-8957171.23</f>
        <v>5800885.7699999996</v>
      </c>
      <c r="EG51" s="165">
        <v>5862599.79</v>
      </c>
      <c r="EH51" s="165">
        <v>9787937.4600000009</v>
      </c>
      <c r="EI51" s="165">
        <f>16769173+-7920739.64</f>
        <v>8848433.3599999994</v>
      </c>
      <c r="EJ51" s="165">
        <v>10906631.869999999</v>
      </c>
      <c r="EK51" s="165">
        <f>29543003-22833862.67</f>
        <v>6709140.3299999982</v>
      </c>
      <c r="EL51" s="165">
        <v>6255344.3099999996</v>
      </c>
      <c r="EM51" s="165">
        <v>6658559.8300000001</v>
      </c>
      <c r="EN51" s="163">
        <v>4395198.3499999996</v>
      </c>
      <c r="EO51" s="165">
        <f>19623044-15060884.5</f>
        <v>4562159.5</v>
      </c>
      <c r="EP51" s="165">
        <v>7270008.4299999997</v>
      </c>
      <c r="EQ51" s="165">
        <f>-11423300.48+16227366</f>
        <v>4804065.5199999996</v>
      </c>
      <c r="ER51" s="165">
        <v>5933019.0599999996</v>
      </c>
      <c r="ES51" s="165">
        <v>6107119.9299999997</v>
      </c>
      <c r="ET51" s="403">
        <f>SUM(EH51:ES51)</f>
        <v>82237617.949999988</v>
      </c>
      <c r="EU51" s="155"/>
      <c r="EV51" s="17"/>
      <c r="EW51" s="17"/>
      <c r="EX51" s="17"/>
    </row>
    <row r="52" spans="1:154">
      <c r="B52" s="35"/>
      <c r="C52" s="22"/>
      <c r="D52" s="22"/>
      <c r="E52" s="22"/>
      <c r="F52" s="22"/>
      <c r="G52" s="22"/>
      <c r="H52" s="22"/>
      <c r="I52" s="22"/>
      <c r="J52" s="22"/>
      <c r="K52" s="22"/>
      <c r="L52" s="22"/>
      <c r="M52" s="22"/>
      <c r="N52" s="22"/>
      <c r="O52" s="22"/>
      <c r="P52" s="22"/>
      <c r="Q52" s="22"/>
      <c r="R52" s="22"/>
      <c r="S52" s="22"/>
      <c r="T52" s="22"/>
      <c r="U52" s="22"/>
      <c r="V52" s="22"/>
      <c r="W52" s="22"/>
      <c r="X52" s="22"/>
      <c r="Y52" s="22"/>
      <c r="Z52" s="210"/>
      <c r="AA52" s="210"/>
      <c r="AB52" s="210"/>
      <c r="AC52" s="165"/>
      <c r="AD52" s="165"/>
      <c r="AE52" s="165"/>
      <c r="AF52" s="165"/>
      <c r="AG52" s="165"/>
      <c r="AH52" s="165"/>
      <c r="AI52" s="165"/>
      <c r="AJ52" s="165"/>
      <c r="AK52" s="165"/>
      <c r="AL52" s="165"/>
      <c r="AM52" s="165"/>
      <c r="AN52" s="165"/>
      <c r="AO52" s="165"/>
      <c r="AP52" s="165"/>
      <c r="AQ52" s="165"/>
      <c r="AR52" s="165"/>
      <c r="AS52" s="165"/>
      <c r="AT52" s="165"/>
      <c r="AU52" s="165"/>
      <c r="AV52" s="165"/>
      <c r="AW52" s="165"/>
      <c r="AX52" s="165"/>
      <c r="AY52" s="165"/>
      <c r="AZ52" s="165"/>
      <c r="BA52" s="165"/>
      <c r="BB52" s="165">
        <v>0</v>
      </c>
      <c r="BC52" s="165">
        <v>0</v>
      </c>
      <c r="BD52" s="165">
        <v>0</v>
      </c>
      <c r="BE52" s="165">
        <v>-9.3132257461547852E-9</v>
      </c>
      <c r="BF52" s="165">
        <v>0</v>
      </c>
      <c r="BG52" s="165">
        <v>0</v>
      </c>
      <c r="BH52" s="165">
        <v>0</v>
      </c>
      <c r="BI52" s="165">
        <v>-7.9162418842315674E-9</v>
      </c>
      <c r="BJ52" s="165">
        <v>-2.7939677238464355E-9</v>
      </c>
      <c r="BK52" s="165">
        <v>-3.7252902984619141E-9</v>
      </c>
      <c r="BL52" s="165">
        <v>0</v>
      </c>
      <c r="BM52" s="165">
        <v>0</v>
      </c>
      <c r="BN52" s="165">
        <v>0</v>
      </c>
      <c r="BO52" s="165">
        <v>-7.4505805969238281E-9</v>
      </c>
      <c r="BP52" s="165">
        <v>0</v>
      </c>
      <c r="BQ52" s="165">
        <v>0</v>
      </c>
      <c r="BR52" s="165">
        <v>0</v>
      </c>
      <c r="BS52" s="165">
        <v>0</v>
      </c>
      <c r="BT52" s="165">
        <v>7.4505805969238281E-9</v>
      </c>
      <c r="BU52" s="165">
        <v>3.2596290111541748E-9</v>
      </c>
      <c r="BV52" s="165">
        <v>-3.0267983675003052E-9</v>
      </c>
      <c r="BW52" s="165">
        <v>0</v>
      </c>
      <c r="BX52" s="165">
        <v>0</v>
      </c>
      <c r="BY52" s="165">
        <v>5.5879354476928711E-9</v>
      </c>
      <c r="BZ52" s="165">
        <f>+BZ51-BZ45</f>
        <v>0</v>
      </c>
      <c r="CA52" s="165">
        <f>+CA51-CA45</f>
        <v>8.8475644588470459E-9</v>
      </c>
      <c r="CB52" s="165">
        <f>+CB51-CB45</f>
        <v>0</v>
      </c>
      <c r="CC52" s="165">
        <v>0</v>
      </c>
      <c r="CD52" s="165">
        <v>-4.6566128730773926E-9</v>
      </c>
      <c r="CE52" s="165">
        <v>0</v>
      </c>
      <c r="CF52" s="165">
        <f t="shared" ref="CF52:DE52" si="100">+CF51-CF45</f>
        <v>0</v>
      </c>
      <c r="CG52" s="165">
        <f t="shared" si="100"/>
        <v>5.5879354476928711E-9</v>
      </c>
      <c r="CH52" s="165">
        <f t="shared" si="100"/>
        <v>0</v>
      </c>
      <c r="CI52" s="165">
        <f t="shared" si="100"/>
        <v>6.5192580223083496E-9</v>
      </c>
      <c r="CJ52" s="165">
        <f t="shared" si="100"/>
        <v>0</v>
      </c>
      <c r="CK52" s="165">
        <f t="shared" si="100"/>
        <v>0</v>
      </c>
      <c r="CL52" s="165">
        <f t="shared" si="100"/>
        <v>0</v>
      </c>
      <c r="CM52" s="165">
        <f t="shared" si="100"/>
        <v>0</v>
      </c>
      <c r="CN52" s="165">
        <f t="shared" si="100"/>
        <v>6.0535967350006104E-9</v>
      </c>
      <c r="CO52" s="165">
        <f t="shared" si="100"/>
        <v>-9.3132257461547852E-9</v>
      </c>
      <c r="CP52" s="165">
        <f t="shared" si="100"/>
        <v>0</v>
      </c>
      <c r="CQ52" s="165">
        <f t="shared" si="100"/>
        <v>-3.7252902984619141E-9</v>
      </c>
      <c r="CR52" s="165">
        <f t="shared" si="100"/>
        <v>-4.6566128730773926E-9</v>
      </c>
      <c r="CS52" s="165">
        <f t="shared" si="100"/>
        <v>0</v>
      </c>
      <c r="CT52" s="165">
        <f t="shared" si="100"/>
        <v>-1.2107193470001221E-8</v>
      </c>
      <c r="CU52" s="743">
        <f t="shared" si="100"/>
        <v>-7.9162418842315674E-9</v>
      </c>
      <c r="CV52" s="743">
        <f t="shared" si="100"/>
        <v>-1.3038516044616699E-8</v>
      </c>
      <c r="CW52" s="743">
        <f t="shared" si="100"/>
        <v>-1.3038516044616699E-8</v>
      </c>
      <c r="CX52" s="743">
        <f t="shared" si="100"/>
        <v>0</v>
      </c>
      <c r="CY52" s="743">
        <f t="shared" si="100"/>
        <v>-7.4505805969238281E-9</v>
      </c>
      <c r="CZ52" s="743">
        <f t="shared" si="100"/>
        <v>0</v>
      </c>
      <c r="DA52" s="743">
        <f t="shared" si="100"/>
        <v>0</v>
      </c>
      <c r="DB52" s="743">
        <f t="shared" si="100"/>
        <v>7.4505805969238281E-9</v>
      </c>
      <c r="DC52" s="743">
        <f t="shared" si="100"/>
        <v>-6.9849193096160889E-9</v>
      </c>
      <c r="DD52" s="743">
        <f t="shared" si="100"/>
        <v>0</v>
      </c>
      <c r="DE52" s="743">
        <f t="shared" si="100"/>
        <v>0</v>
      </c>
      <c r="DF52" s="743">
        <f t="shared" ref="DF52:DL52" si="101">+DF51-DF45</f>
        <v>0</v>
      </c>
      <c r="DG52" s="743">
        <f t="shared" si="101"/>
        <v>0.99999999813735485</v>
      </c>
      <c r="DH52" s="743">
        <f t="shared" si="101"/>
        <v>7.4505805969238281E-9</v>
      </c>
      <c r="DI52" s="743">
        <f t="shared" si="101"/>
        <v>-0.99999999115243554</v>
      </c>
      <c r="DJ52" s="743">
        <f t="shared" si="101"/>
        <v>0</v>
      </c>
      <c r="DK52" s="743">
        <f t="shared" si="101"/>
        <v>0</v>
      </c>
      <c r="DL52" s="743">
        <f t="shared" si="101"/>
        <v>0</v>
      </c>
      <c r="DM52" s="743">
        <f t="shared" ref="DM52:DR52" si="102">+DM51-DM45</f>
        <v>-6.0535967350006104E-9</v>
      </c>
      <c r="DN52" s="743">
        <f t="shared" si="102"/>
        <v>0</v>
      </c>
      <c r="DO52" s="743">
        <f t="shared" si="102"/>
        <v>0</v>
      </c>
      <c r="DP52" s="743">
        <f t="shared" si="102"/>
        <v>0</v>
      </c>
      <c r="DQ52" s="743">
        <f t="shared" si="102"/>
        <v>-3.7252902984619141E-9</v>
      </c>
      <c r="DR52" s="743">
        <f t="shared" si="102"/>
        <v>0</v>
      </c>
      <c r="DS52" s="743">
        <f t="shared" ref="DS52:DX52" si="103">+DS51-DS45</f>
        <v>0</v>
      </c>
      <c r="DT52" s="743">
        <f t="shared" si="103"/>
        <v>0</v>
      </c>
      <c r="DU52" s="743">
        <f t="shared" si="103"/>
        <v>0</v>
      </c>
      <c r="DV52" s="743">
        <f t="shared" si="103"/>
        <v>0</v>
      </c>
      <c r="DW52" s="743">
        <f t="shared" si="103"/>
        <v>0</v>
      </c>
      <c r="DX52" s="743">
        <f t="shared" si="103"/>
        <v>0</v>
      </c>
      <c r="DY52" s="743">
        <f t="shared" ref="DY52:ED52" si="104">+DY51-DY45</f>
        <v>0</v>
      </c>
      <c r="DZ52" s="743">
        <f t="shared" si="104"/>
        <v>-1.0244548320770264E-8</v>
      </c>
      <c r="EA52" s="743">
        <f t="shared" si="104"/>
        <v>0</v>
      </c>
      <c r="EB52" s="743">
        <f t="shared" si="104"/>
        <v>0</v>
      </c>
      <c r="EC52" s="743">
        <f t="shared" si="104"/>
        <v>0</v>
      </c>
      <c r="ED52" s="743">
        <f t="shared" si="104"/>
        <v>0</v>
      </c>
      <c r="EE52" s="743">
        <f t="shared" ref="EE52:EJ52" si="105">+EE51-EE45</f>
        <v>0</v>
      </c>
      <c r="EF52" s="743">
        <f t="shared" si="105"/>
        <v>0</v>
      </c>
      <c r="EG52" s="743">
        <f t="shared" si="105"/>
        <v>-1.0244548320770264E-8</v>
      </c>
      <c r="EH52" s="743">
        <f t="shared" si="105"/>
        <v>0</v>
      </c>
      <c r="EI52" s="743">
        <f t="shared" si="105"/>
        <v>0</v>
      </c>
      <c r="EJ52" s="743">
        <f t="shared" si="105"/>
        <v>0</v>
      </c>
      <c r="EK52" s="743">
        <f t="shared" ref="EK52:EP52" si="106">+EK51-EK45</f>
        <v>0</v>
      </c>
      <c r="EL52" s="743">
        <f t="shared" si="106"/>
        <v>-9.3132257461547852E-9</v>
      </c>
      <c r="EM52" s="743">
        <f t="shared" si="106"/>
        <v>0</v>
      </c>
      <c r="EN52" s="743">
        <f t="shared" si="106"/>
        <v>0</v>
      </c>
      <c r="EO52" s="743">
        <f t="shared" si="106"/>
        <v>-9.3132257461547852E-9</v>
      </c>
      <c r="EP52" s="743">
        <f t="shared" si="106"/>
        <v>-1.1175870895385742E-8</v>
      </c>
      <c r="EQ52" s="743">
        <f t="shared" ref="EQ52:ER52" si="107">+EQ51-EQ45</f>
        <v>0</v>
      </c>
      <c r="ER52" s="743">
        <f t="shared" si="107"/>
        <v>8.3819031715393066E-9</v>
      </c>
      <c r="ES52" s="743">
        <f t="shared" ref="ES52" si="108">+ES51-ES45</f>
        <v>1.3038516044616699E-8</v>
      </c>
      <c r="ET52" s="744">
        <f>SUM(EH52:ES52)</f>
        <v>-8.3819031715393066E-9</v>
      </c>
      <c r="EU52" s="155"/>
      <c r="EV52" s="17"/>
      <c r="EW52" s="17"/>
      <c r="EX52" s="17"/>
    </row>
    <row r="53" spans="1:154">
      <c r="A53" s="391" t="s">
        <v>2329</v>
      </c>
      <c r="C53" s="22"/>
      <c r="D53" s="22"/>
      <c r="E53" s="22"/>
      <c r="F53" s="22"/>
      <c r="G53" s="22"/>
      <c r="H53" s="22"/>
      <c r="I53" s="22"/>
      <c r="J53" s="22"/>
      <c r="K53" s="22"/>
      <c r="L53" s="22"/>
      <c r="M53" s="22"/>
      <c r="N53" s="22"/>
      <c r="O53" s="22"/>
      <c r="P53" s="22"/>
      <c r="Q53" s="22"/>
      <c r="R53" s="22"/>
      <c r="S53" s="22"/>
      <c r="T53" s="22"/>
      <c r="U53" s="22"/>
      <c r="V53" s="22"/>
      <c r="W53" s="22"/>
      <c r="X53" s="22"/>
      <c r="Y53" s="22"/>
      <c r="Z53" s="210"/>
      <c r="AA53" s="210"/>
      <c r="AB53" s="210"/>
      <c r="AC53" s="165"/>
      <c r="AD53" s="165"/>
      <c r="AE53" s="165"/>
      <c r="AF53" s="165"/>
      <c r="AG53" s="165"/>
      <c r="AH53" s="165"/>
      <c r="AI53" s="165"/>
      <c r="AJ53" s="165"/>
      <c r="AK53" s="165"/>
      <c r="AL53" s="165"/>
      <c r="AM53" s="165"/>
      <c r="AN53" s="165"/>
      <c r="AO53" s="165"/>
      <c r="AP53" s="165"/>
      <c r="AQ53" s="165"/>
      <c r="AR53" s="165"/>
      <c r="AS53" s="165"/>
      <c r="AT53" s="165"/>
      <c r="AU53" s="165"/>
      <c r="AV53" s="165"/>
      <c r="AW53" s="165"/>
      <c r="AX53" s="165"/>
      <c r="AY53" s="165"/>
      <c r="AZ53" s="165"/>
      <c r="BA53" s="165"/>
      <c r="BB53" s="165"/>
      <c r="BC53" s="165"/>
      <c r="BD53" s="165"/>
      <c r="BE53" s="165"/>
      <c r="BF53" s="165"/>
      <c r="BG53" s="165"/>
      <c r="BH53" s="165"/>
      <c r="BI53" s="165"/>
      <c r="BJ53" s="165"/>
      <c r="BK53" s="165"/>
      <c r="BL53" s="165"/>
      <c r="BM53" s="165"/>
      <c r="BN53" s="165"/>
      <c r="BO53" s="165"/>
      <c r="BP53" s="165"/>
      <c r="BQ53" s="165"/>
      <c r="BR53" s="165"/>
      <c r="BS53" s="165"/>
      <c r="BT53" s="165"/>
      <c r="BU53" s="165"/>
      <c r="BV53" s="165"/>
      <c r="BW53" s="165"/>
      <c r="BX53" s="165"/>
      <c r="BY53" s="165"/>
      <c r="BZ53" s="165"/>
      <c r="CA53" s="165"/>
      <c r="CB53" s="165"/>
      <c r="CC53" s="165"/>
      <c r="CD53" s="165"/>
      <c r="CE53" s="165"/>
      <c r="CF53" s="165"/>
      <c r="CG53" s="165"/>
      <c r="CH53" s="165"/>
      <c r="CI53" s="165"/>
      <c r="CJ53" s="165"/>
      <c r="CK53" s="165"/>
      <c r="CL53" s="165"/>
      <c r="CM53" s="165"/>
      <c r="CN53" s="165"/>
      <c r="CO53" s="165"/>
      <c r="CP53" s="165"/>
      <c r="CQ53" s="165"/>
      <c r="CR53" s="165"/>
      <c r="CS53" s="165"/>
      <c r="CT53" s="165"/>
      <c r="CU53" s="165"/>
      <c r="CV53" s="165"/>
      <c r="CW53" s="165"/>
      <c r="CX53" s="165"/>
      <c r="CY53" s="165"/>
      <c r="CZ53" s="165"/>
      <c r="DA53" s="165"/>
      <c r="DB53" s="165"/>
      <c r="DC53" s="165"/>
      <c r="DD53" s="165"/>
      <c r="DE53" s="165"/>
      <c r="DF53" s="165"/>
      <c r="DG53" s="165"/>
      <c r="DH53" s="165"/>
      <c r="DI53" s="165"/>
      <c r="DJ53" s="165"/>
      <c r="DK53" s="165"/>
      <c r="DL53" s="165"/>
      <c r="DM53" s="165"/>
      <c r="DN53" s="165"/>
      <c r="DO53" s="165"/>
      <c r="DP53" s="165"/>
      <c r="DQ53" s="165"/>
      <c r="DR53" s="165"/>
      <c r="DS53" s="165"/>
      <c r="DT53" s="165"/>
      <c r="DU53" s="165"/>
      <c r="DV53" s="165"/>
      <c r="DW53" s="165"/>
      <c r="DX53" s="165"/>
      <c r="DY53" s="165"/>
      <c r="DZ53" s="165"/>
      <c r="EA53" s="165"/>
      <c r="EB53" s="165"/>
      <c r="EC53" s="165"/>
      <c r="ED53" s="165"/>
      <c r="EE53" s="165"/>
      <c r="EF53" s="165"/>
      <c r="EG53" s="165"/>
      <c r="EH53" s="165"/>
      <c r="EI53" s="165"/>
      <c r="EJ53" s="165"/>
      <c r="EK53" s="165"/>
      <c r="EL53" s="165"/>
      <c r="EM53" s="165"/>
      <c r="EN53" s="165"/>
      <c r="EO53" s="165"/>
      <c r="EP53" s="165"/>
      <c r="EQ53" s="165"/>
      <c r="ER53" s="165"/>
      <c r="ES53" s="165"/>
      <c r="ET53" s="390"/>
      <c r="EU53" s="155"/>
      <c r="EV53" s="17"/>
      <c r="EW53" s="17"/>
      <c r="EX53" s="17"/>
    </row>
    <row r="54" spans="1:154">
      <c r="A54" s="210" t="s">
        <v>2327</v>
      </c>
      <c r="C54" s="22"/>
      <c r="D54" s="22"/>
      <c r="E54" s="22"/>
      <c r="F54" s="22"/>
      <c r="G54" s="22"/>
      <c r="H54" s="22"/>
      <c r="I54" s="22"/>
      <c r="J54" s="22"/>
      <c r="K54" s="22"/>
      <c r="L54" s="22"/>
      <c r="M54" s="22"/>
      <c r="N54" s="22"/>
      <c r="O54" s="22"/>
      <c r="P54" s="22"/>
      <c r="Q54" s="22"/>
      <c r="R54" s="22"/>
      <c r="S54" s="22"/>
      <c r="T54" s="22"/>
      <c r="U54" s="22"/>
      <c r="V54" s="22"/>
      <c r="W54" s="22"/>
      <c r="X54" s="22"/>
      <c r="Y54" s="22"/>
      <c r="Z54" s="210"/>
      <c r="AA54" s="210"/>
      <c r="AB54" s="210"/>
      <c r="AC54" s="165"/>
      <c r="AD54" s="165"/>
      <c r="AE54" s="165"/>
      <c r="AF54" s="165"/>
      <c r="AG54" s="165"/>
      <c r="AH54" s="165"/>
      <c r="AI54" s="165"/>
      <c r="AJ54" s="165"/>
      <c r="AK54" s="165"/>
      <c r="AL54" s="165"/>
      <c r="AM54" s="165"/>
      <c r="AN54" s="165"/>
      <c r="AO54" s="165"/>
      <c r="AP54" s="165"/>
      <c r="AQ54" s="165"/>
      <c r="AR54" s="165"/>
      <c r="AS54" s="165"/>
      <c r="AT54" s="165"/>
      <c r="AU54" s="165"/>
      <c r="AV54" s="165"/>
      <c r="AW54" s="165"/>
      <c r="AX54" s="165"/>
      <c r="AY54" s="165"/>
      <c r="AZ54" s="165"/>
      <c r="BA54" s="165"/>
      <c r="BB54" s="165"/>
      <c r="BC54" s="165"/>
      <c r="BD54" s="165"/>
      <c r="BE54" s="165"/>
      <c r="BF54" s="165"/>
      <c r="BG54" s="165"/>
      <c r="BH54" s="165"/>
      <c r="BI54" s="165"/>
      <c r="BJ54" s="165"/>
      <c r="BK54" s="165"/>
      <c r="BL54" s="165"/>
      <c r="BM54" s="165"/>
      <c r="BN54" s="165"/>
      <c r="BO54" s="165"/>
      <c r="BP54" s="165"/>
      <c r="BQ54" s="165"/>
      <c r="BR54" s="165"/>
      <c r="BS54" s="165"/>
      <c r="BT54" s="165"/>
      <c r="BU54" s="165"/>
      <c r="BV54" s="165"/>
      <c r="BW54" s="165"/>
      <c r="BX54" s="165"/>
      <c r="BY54" s="165"/>
      <c r="BZ54" s="165"/>
      <c r="CA54" s="165"/>
      <c r="CB54" s="165"/>
      <c r="CC54" s="165"/>
      <c r="CD54" s="165"/>
      <c r="CE54" s="165"/>
      <c r="CF54" s="165"/>
      <c r="CG54" s="165"/>
      <c r="CH54" s="165"/>
      <c r="CI54" s="165"/>
      <c r="CJ54" s="165"/>
      <c r="CK54" s="165"/>
      <c r="CL54" s="165"/>
      <c r="CM54" s="165"/>
      <c r="CN54" s="165"/>
      <c r="CO54" s="165"/>
      <c r="CP54" s="165"/>
      <c r="CQ54" s="165"/>
      <c r="CR54" s="165"/>
      <c r="CS54" s="165"/>
      <c r="CT54" s="165"/>
      <c r="CU54" s="165">
        <v>2803273.23</v>
      </c>
      <c r="CV54" s="165">
        <v>3521863.36</v>
      </c>
      <c r="CW54" s="165">
        <v>5493355.7599999998</v>
      </c>
      <c r="CX54" s="165">
        <v>6617945.8899999997</v>
      </c>
      <c r="CY54" s="165">
        <v>5866661.8499999996</v>
      </c>
      <c r="CZ54" s="165">
        <v>5496050.3099999996</v>
      </c>
      <c r="DA54" s="165">
        <v>5226930.1900000004</v>
      </c>
      <c r="DB54" s="165">
        <v>4583161.12</v>
      </c>
      <c r="DC54" s="165">
        <v>3765173.37</v>
      </c>
      <c r="DD54" s="165">
        <v>3058815.38</v>
      </c>
      <c r="DE54" s="165">
        <v>3841883.8480000002</v>
      </c>
      <c r="DF54" s="165">
        <v>3683859.63</v>
      </c>
      <c r="DG54" s="165">
        <v>3425608.09</v>
      </c>
      <c r="DH54" s="165">
        <v>4401638.71</v>
      </c>
      <c r="DI54" s="165">
        <v>4061404.69</v>
      </c>
      <c r="DJ54" s="165">
        <v>7675617.6200000001</v>
      </c>
      <c r="DK54" s="165">
        <v>5940466.9199999999</v>
      </c>
      <c r="DL54" s="165">
        <v>4844783.18</v>
      </c>
      <c r="DM54" s="165">
        <v>3710728.28</v>
      </c>
      <c r="DN54" s="165">
        <v>3608346.84</v>
      </c>
      <c r="DO54" s="165">
        <v>3209793.14</v>
      </c>
      <c r="DP54" s="165">
        <v>3096133.42</v>
      </c>
      <c r="DQ54" s="165">
        <v>3757822.85</v>
      </c>
      <c r="DR54" s="165">
        <v>3415357.65</v>
      </c>
      <c r="DS54" s="165">
        <v>2946877.3</v>
      </c>
      <c r="DT54" s="165">
        <v>5089897.08</v>
      </c>
      <c r="DU54" s="165">
        <v>4619564.9800000004</v>
      </c>
      <c r="DV54" s="165">
        <v>11395487.33</v>
      </c>
      <c r="DW54" s="165">
        <v>8009638.0999999996</v>
      </c>
      <c r="DX54" s="165">
        <v>7690800.4699999997</v>
      </c>
      <c r="DY54" s="165">
        <v>7693733.1100000003</v>
      </c>
      <c r="DZ54" s="165">
        <v>5523422.1399999997</v>
      </c>
      <c r="EA54" s="165">
        <v>5442618.1799999997</v>
      </c>
      <c r="EB54" s="165">
        <v>4434602.46</v>
      </c>
      <c r="EC54" s="165">
        <v>4767526.43</v>
      </c>
      <c r="ED54" s="165">
        <v>5555927.8700000001</v>
      </c>
      <c r="EE54" s="165">
        <v>5105687.1500000004</v>
      </c>
      <c r="EF54" s="165">
        <v>5800885.7699999996</v>
      </c>
      <c r="EG54" s="165">
        <v>5862599.79</v>
      </c>
      <c r="EH54" s="165">
        <v>9787937.4600000009</v>
      </c>
      <c r="EI54" s="165">
        <v>8848433.3599999994</v>
      </c>
      <c r="EJ54" s="165">
        <v>10906631.869999999</v>
      </c>
      <c r="EK54" s="165">
        <v>6709140.3300000001</v>
      </c>
      <c r="EL54" s="165">
        <v>6255344.3099999996</v>
      </c>
      <c r="EM54" s="165">
        <v>6658559.8300000001</v>
      </c>
      <c r="EN54" s="165">
        <v>4395198.3499999996</v>
      </c>
      <c r="EO54" s="165">
        <v>4562159.5</v>
      </c>
      <c r="EP54" s="165">
        <v>7270008.4299999997</v>
      </c>
      <c r="EQ54" s="165">
        <v>4804065.5199999996</v>
      </c>
      <c r="ER54" s="165">
        <v>5933019.0599999996</v>
      </c>
      <c r="ES54" s="165">
        <v>6107119.9299999997</v>
      </c>
      <c r="ET54" s="403">
        <f>SUM(EH54:ES54)</f>
        <v>82237617.949999988</v>
      </c>
      <c r="EU54" s="155"/>
      <c r="EV54" s="17"/>
      <c r="EW54" s="17"/>
      <c r="EX54" s="17"/>
    </row>
    <row r="55" spans="1:154">
      <c r="C55" s="22"/>
      <c r="D55" s="22"/>
      <c r="E55" s="22"/>
      <c r="F55" s="22"/>
      <c r="G55" s="22"/>
      <c r="H55" s="22"/>
      <c r="I55" s="22"/>
      <c r="J55" s="22"/>
      <c r="K55" s="22"/>
      <c r="L55" s="22"/>
      <c r="M55" s="22"/>
      <c r="N55" s="22"/>
      <c r="O55" s="22"/>
      <c r="P55" s="22"/>
      <c r="Q55" s="22"/>
      <c r="R55" s="22"/>
      <c r="S55" s="22"/>
      <c r="T55" s="22"/>
      <c r="U55" s="22"/>
      <c r="V55" s="22"/>
      <c r="W55" s="22"/>
      <c r="X55" s="22"/>
      <c r="Y55" s="22"/>
      <c r="Z55" s="210"/>
      <c r="AA55" s="210"/>
      <c r="AB55" s="210"/>
      <c r="AC55" s="165"/>
      <c r="AD55" s="165"/>
      <c r="AE55" s="165"/>
      <c r="AF55" s="165"/>
      <c r="AG55" s="165"/>
      <c r="AH55" s="165"/>
      <c r="AI55" s="165"/>
      <c r="AJ55" s="165"/>
      <c r="AK55" s="165"/>
      <c r="AL55" s="165"/>
      <c r="AM55" s="165"/>
      <c r="AN55" s="165"/>
      <c r="AO55" s="165"/>
      <c r="AP55" s="165"/>
      <c r="AQ55" s="165"/>
      <c r="AR55" s="165"/>
      <c r="AS55" s="165"/>
      <c r="AT55" s="165"/>
      <c r="AU55" s="165"/>
      <c r="AV55" s="165"/>
      <c r="AW55" s="165"/>
      <c r="AX55" s="165"/>
      <c r="AY55" s="165"/>
      <c r="AZ55" s="165"/>
      <c r="BA55" s="165"/>
      <c r="BB55" s="165"/>
      <c r="BC55" s="165"/>
      <c r="BD55" s="165"/>
      <c r="BE55" s="165"/>
      <c r="BF55" s="165"/>
      <c r="BG55" s="165"/>
      <c r="BH55" s="165"/>
      <c r="BI55" s="165"/>
      <c r="BJ55" s="165"/>
      <c r="BK55" s="165"/>
      <c r="BL55" s="165"/>
      <c r="BM55" s="165"/>
      <c r="BN55" s="165"/>
      <c r="BO55" s="165"/>
      <c r="BP55" s="165"/>
      <c r="BQ55" s="165"/>
      <c r="BR55" s="165"/>
      <c r="BS55" s="165"/>
      <c r="BT55" s="165"/>
      <c r="BU55" s="165"/>
      <c r="BV55" s="165"/>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743">
        <f t="shared" ref="CU55:DE55" si="109">+CU45-CU54</f>
        <v>7.9162418842315674E-9</v>
      </c>
      <c r="CV55" s="743">
        <f t="shared" si="109"/>
        <v>1.257285475730896E-8</v>
      </c>
      <c r="CW55" s="743">
        <f t="shared" si="109"/>
        <v>1.3038516044616699E-8</v>
      </c>
      <c r="CX55" s="743">
        <f t="shared" si="109"/>
        <v>0</v>
      </c>
      <c r="CY55" s="743">
        <f t="shared" si="109"/>
        <v>7.4505805969238281E-9</v>
      </c>
      <c r="CZ55" s="743">
        <f t="shared" si="109"/>
        <v>0</v>
      </c>
      <c r="DA55" s="743">
        <f t="shared" si="109"/>
        <v>0</v>
      </c>
      <c r="DB55" s="743">
        <f t="shared" si="109"/>
        <v>0</v>
      </c>
      <c r="DC55" s="743">
        <f t="shared" si="109"/>
        <v>6.9849193096160889E-9</v>
      </c>
      <c r="DD55" s="743">
        <f t="shared" si="109"/>
        <v>0</v>
      </c>
      <c r="DE55" s="743">
        <f t="shared" si="109"/>
        <v>-8.0000008456408978E-3</v>
      </c>
      <c r="DF55" s="743">
        <f t="shared" ref="DF55:DL55" si="110">+DF45-DF54</f>
        <v>0</v>
      </c>
      <c r="DG55" s="743">
        <f t="shared" si="110"/>
        <v>0</v>
      </c>
      <c r="DH55" s="743">
        <f t="shared" si="110"/>
        <v>-7.4505805969238281E-9</v>
      </c>
      <c r="DI55" s="743">
        <f t="shared" si="110"/>
        <v>-8.8475644588470459E-9</v>
      </c>
      <c r="DJ55" s="743">
        <f t="shared" si="110"/>
        <v>0</v>
      </c>
      <c r="DK55" s="743">
        <f t="shared" si="110"/>
        <v>0</v>
      </c>
      <c r="DL55" s="743">
        <f t="shared" si="110"/>
        <v>0</v>
      </c>
      <c r="DM55" s="743">
        <f t="shared" ref="DM55:DR55" si="111">+DM45-DM54</f>
        <v>6.0535967350006104E-9</v>
      </c>
      <c r="DN55" s="743">
        <f t="shared" si="111"/>
        <v>0</v>
      </c>
      <c r="DO55" s="743">
        <f t="shared" si="111"/>
        <v>0</v>
      </c>
      <c r="DP55" s="743">
        <f t="shared" si="111"/>
        <v>0</v>
      </c>
      <c r="DQ55" s="743">
        <f t="shared" si="111"/>
        <v>0</v>
      </c>
      <c r="DR55" s="743">
        <f t="shared" si="111"/>
        <v>0</v>
      </c>
      <c r="DS55" s="743">
        <f t="shared" ref="DS55:DX55" si="112">+DS45-DS54</f>
        <v>0</v>
      </c>
      <c r="DT55" s="743">
        <f t="shared" si="112"/>
        <v>0</v>
      </c>
      <c r="DU55" s="743">
        <f t="shared" si="112"/>
        <v>0</v>
      </c>
      <c r="DV55" s="743">
        <f t="shared" si="112"/>
        <v>0</v>
      </c>
      <c r="DW55" s="743">
        <f t="shared" si="112"/>
        <v>0</v>
      </c>
      <c r="DX55" s="743">
        <f t="shared" si="112"/>
        <v>0</v>
      </c>
      <c r="DY55" s="743">
        <f t="shared" ref="DY55:ED55" si="113">+DY45-DY54</f>
        <v>0</v>
      </c>
      <c r="DZ55" s="743">
        <f t="shared" si="113"/>
        <v>1.0244548320770264E-8</v>
      </c>
      <c r="EA55" s="743">
        <f t="shared" si="113"/>
        <v>0</v>
      </c>
      <c r="EB55" s="743">
        <f t="shared" si="113"/>
        <v>0</v>
      </c>
      <c r="EC55" s="743">
        <f t="shared" si="113"/>
        <v>0</v>
      </c>
      <c r="ED55" s="743">
        <f t="shared" si="113"/>
        <v>0</v>
      </c>
      <c r="EE55" s="743">
        <f t="shared" ref="EE55:EJ55" si="114">+EE45-EE54</f>
        <v>0</v>
      </c>
      <c r="EF55" s="743">
        <f t="shared" si="114"/>
        <v>0</v>
      </c>
      <c r="EG55" s="743">
        <f t="shared" si="114"/>
        <v>1.0244548320770264E-8</v>
      </c>
      <c r="EH55" s="743">
        <f t="shared" si="114"/>
        <v>0</v>
      </c>
      <c r="EI55" s="743">
        <f t="shared" si="114"/>
        <v>0</v>
      </c>
      <c r="EJ55" s="743">
        <f t="shared" si="114"/>
        <v>0</v>
      </c>
      <c r="EK55" s="743">
        <f t="shared" ref="EK55:EP55" si="115">+EK45-EK54</f>
        <v>0</v>
      </c>
      <c r="EL55" s="743">
        <f t="shared" si="115"/>
        <v>9.3132257461547852E-9</v>
      </c>
      <c r="EM55" s="743">
        <f t="shared" si="115"/>
        <v>0</v>
      </c>
      <c r="EN55" s="743">
        <f t="shared" si="115"/>
        <v>0</v>
      </c>
      <c r="EO55" s="743">
        <f t="shared" si="115"/>
        <v>9.3132257461547852E-9</v>
      </c>
      <c r="EP55" s="743">
        <f t="shared" si="115"/>
        <v>1.1175870895385742E-8</v>
      </c>
      <c r="EQ55" s="743">
        <f t="shared" ref="EQ55:ER55" si="116">+EQ45-EQ54</f>
        <v>0</v>
      </c>
      <c r="ER55" s="743">
        <f t="shared" si="116"/>
        <v>-8.3819031715393066E-9</v>
      </c>
      <c r="ES55" s="743">
        <f t="shared" ref="ES55" si="117">+ES45-ES54</f>
        <v>-1.3038516044616699E-8</v>
      </c>
      <c r="ET55" s="744">
        <f>SUM(EH55:ES55)</f>
        <v>8.3819031715393066E-9</v>
      </c>
      <c r="EU55" s="155"/>
      <c r="EV55" s="17"/>
      <c r="EW55" s="17"/>
      <c r="EX55" s="17"/>
    </row>
    <row r="56" spans="1:154">
      <c r="A56" s="391" t="s">
        <v>2328</v>
      </c>
      <c r="C56" s="22"/>
      <c r="D56" s="22"/>
      <c r="E56" s="22"/>
      <c r="F56" s="22"/>
      <c r="G56" s="22"/>
      <c r="H56" s="22"/>
      <c r="I56" s="22"/>
      <c r="J56" s="22"/>
      <c r="K56" s="22"/>
      <c r="L56" s="22"/>
      <c r="M56" s="22"/>
      <c r="N56" s="22"/>
      <c r="O56" s="22"/>
      <c r="P56" s="22"/>
      <c r="Q56" s="22"/>
      <c r="R56" s="22"/>
      <c r="S56" s="22"/>
      <c r="T56" s="22"/>
      <c r="U56" s="22"/>
      <c r="V56" s="22"/>
      <c r="W56" s="22"/>
      <c r="X56" s="22"/>
      <c r="Y56" s="22"/>
      <c r="Z56" s="210"/>
      <c r="AA56" s="210"/>
      <c r="AB56" s="210"/>
      <c r="AC56" s="165"/>
      <c r="AD56" s="165"/>
      <c r="AE56" s="165"/>
      <c r="AF56" s="165"/>
      <c r="AG56" s="165"/>
      <c r="AH56" s="165"/>
      <c r="AI56" s="165"/>
      <c r="AJ56" s="165"/>
      <c r="AK56" s="165"/>
      <c r="AL56" s="165"/>
      <c r="AM56" s="165"/>
      <c r="AN56" s="165"/>
      <c r="AO56" s="165"/>
      <c r="AP56" s="165"/>
      <c r="AQ56" s="165"/>
      <c r="AR56" s="165"/>
      <c r="AS56" s="165"/>
      <c r="AT56" s="165"/>
      <c r="AU56" s="165"/>
      <c r="AV56" s="165"/>
      <c r="AW56" s="165"/>
      <c r="AX56" s="165"/>
      <c r="AY56" s="165"/>
      <c r="AZ56" s="165"/>
      <c r="BA56" s="165"/>
      <c r="BB56" s="165"/>
      <c r="BC56" s="165"/>
      <c r="BD56" s="165"/>
      <c r="BE56" s="165"/>
      <c r="BF56" s="165"/>
      <c r="BG56" s="165"/>
      <c r="BH56" s="165"/>
      <c r="BI56" s="165"/>
      <c r="BJ56" s="165"/>
      <c r="BK56" s="165"/>
      <c r="BL56" s="165"/>
      <c r="BM56" s="165"/>
      <c r="BN56" s="165"/>
      <c r="BO56" s="165"/>
      <c r="BP56" s="165"/>
      <c r="BQ56" s="165"/>
      <c r="BR56" s="165"/>
      <c r="BS56" s="165"/>
      <c r="BT56" s="165"/>
      <c r="BU56" s="165"/>
      <c r="BV56" s="16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c r="DH56" s="165"/>
      <c r="DI56" s="165"/>
      <c r="DJ56" s="165"/>
      <c r="DK56" s="165"/>
      <c r="DL56" s="165"/>
      <c r="DM56" s="165"/>
      <c r="DN56" s="165"/>
      <c r="DO56" s="165"/>
      <c r="DP56" s="165"/>
      <c r="DQ56" s="165"/>
      <c r="DR56" s="165"/>
      <c r="DS56" s="165"/>
      <c r="DT56" s="165"/>
      <c r="DU56" s="165"/>
      <c r="DV56" s="165"/>
      <c r="DW56" s="165"/>
      <c r="DX56" s="165"/>
      <c r="DY56" s="165"/>
      <c r="DZ56" s="165"/>
      <c r="EA56" s="165"/>
      <c r="EB56" s="165"/>
      <c r="EC56" s="165"/>
      <c r="ED56" s="165"/>
      <c r="EE56" s="165"/>
      <c r="EF56" s="165"/>
      <c r="EG56" s="165"/>
      <c r="EH56" s="165"/>
      <c r="EI56" s="165"/>
      <c r="EJ56" s="165"/>
      <c r="EK56" s="165"/>
      <c r="EL56" s="165"/>
      <c r="EM56" s="165"/>
      <c r="EN56" s="165"/>
      <c r="EO56" s="165"/>
      <c r="EP56" s="165"/>
      <c r="EQ56" s="165"/>
      <c r="ER56" s="165"/>
      <c r="ES56" s="165"/>
      <c r="ET56" s="390"/>
      <c r="EU56" s="155"/>
      <c r="EV56" s="17"/>
      <c r="EW56" s="17"/>
      <c r="EX56" s="17"/>
    </row>
    <row r="57" spans="1:154">
      <c r="A57" s="210" t="s">
        <v>2327</v>
      </c>
      <c r="C57" s="22"/>
      <c r="D57" s="22"/>
      <c r="E57" s="22"/>
      <c r="F57" s="22"/>
      <c r="G57" s="22"/>
      <c r="H57" s="22"/>
      <c r="I57" s="22"/>
      <c r="J57" s="22"/>
      <c r="K57" s="22"/>
      <c r="L57" s="22"/>
      <c r="M57" s="22"/>
      <c r="N57" s="22"/>
      <c r="O57" s="22"/>
      <c r="P57" s="22"/>
      <c r="Q57" s="22"/>
      <c r="R57" s="22"/>
      <c r="S57" s="22"/>
      <c r="T57" s="22"/>
      <c r="U57" s="22"/>
      <c r="V57" s="22"/>
      <c r="W57" s="22"/>
      <c r="X57" s="22"/>
      <c r="Y57" s="22"/>
      <c r="Z57" s="210"/>
      <c r="AA57" s="210"/>
      <c r="AB57" s="210"/>
      <c r="AC57" s="165"/>
      <c r="AD57" s="165"/>
      <c r="AE57" s="165"/>
      <c r="AF57" s="165"/>
      <c r="AG57" s="165"/>
      <c r="AH57" s="165"/>
      <c r="AI57" s="165"/>
      <c r="AJ57" s="165"/>
      <c r="AK57" s="165"/>
      <c r="AL57" s="165"/>
      <c r="AM57" s="165"/>
      <c r="AN57" s="165"/>
      <c r="AO57" s="165"/>
      <c r="AP57" s="165"/>
      <c r="AQ57" s="165"/>
      <c r="AR57" s="165"/>
      <c r="AS57" s="165"/>
      <c r="AT57" s="165"/>
      <c r="AU57" s="165"/>
      <c r="AV57" s="165"/>
      <c r="AW57" s="165"/>
      <c r="AX57" s="165"/>
      <c r="AY57" s="165"/>
      <c r="AZ57" s="165"/>
      <c r="BA57" s="165"/>
      <c r="BB57" s="165"/>
      <c r="BC57" s="165"/>
      <c r="BD57" s="165"/>
      <c r="BE57" s="165"/>
      <c r="BF57" s="165"/>
      <c r="BG57" s="165"/>
      <c r="BH57" s="165"/>
      <c r="BI57" s="165"/>
      <c r="BJ57" s="165"/>
      <c r="BK57" s="165"/>
      <c r="BL57" s="165"/>
      <c r="BM57" s="165"/>
      <c r="BN57" s="165"/>
      <c r="BO57" s="165"/>
      <c r="BP57" s="165"/>
      <c r="BQ57" s="165"/>
      <c r="BR57" s="165"/>
      <c r="BS57" s="165"/>
      <c r="BT57" s="165"/>
      <c r="BU57" s="165"/>
      <c r="BV57" s="165"/>
      <c r="BW57" s="165"/>
      <c r="BX57" s="165"/>
      <c r="BY57" s="165"/>
      <c r="BZ57" s="165"/>
      <c r="CA57" s="165"/>
      <c r="CB57" s="165"/>
      <c r="CC57" s="165"/>
      <c r="CD57" s="165"/>
      <c r="CE57" s="165"/>
      <c r="CF57" s="165"/>
      <c r="CG57" s="165"/>
      <c r="CH57" s="165"/>
      <c r="CI57" s="165"/>
      <c r="CJ57" s="165"/>
      <c r="CK57" s="165"/>
      <c r="CL57" s="165"/>
      <c r="CM57" s="165"/>
      <c r="CN57" s="165"/>
      <c r="CO57" s="165"/>
      <c r="CP57" s="165"/>
      <c r="CQ57" s="165"/>
      <c r="CR57" s="165"/>
      <c r="CS57" s="165"/>
      <c r="CT57" s="165"/>
      <c r="CU57" s="165">
        <v>3787137.32</v>
      </c>
      <c r="CV57" s="165">
        <v>4520616.8499999996</v>
      </c>
      <c r="CW57" s="165">
        <v>6215582.5099999998</v>
      </c>
      <c r="CX57" s="165">
        <v>7735121.25</v>
      </c>
      <c r="CY57" s="165">
        <v>6933687.29</v>
      </c>
      <c r="CZ57" s="165">
        <v>6359334.7199999997</v>
      </c>
      <c r="DA57" s="165">
        <v>6143625.1100000003</v>
      </c>
      <c r="DB57" s="165">
        <v>5537220.6200000001</v>
      </c>
      <c r="DC57" s="165">
        <v>4455270.54</v>
      </c>
      <c r="DD57" s="165">
        <v>4010450.06</v>
      </c>
      <c r="DE57" s="165">
        <v>4760963.3600000003</v>
      </c>
      <c r="DF57" s="165">
        <v>4625023.7300000004</v>
      </c>
      <c r="DG57" s="165">
        <v>4330059.1100000003</v>
      </c>
      <c r="DH57" s="165">
        <v>5499298</v>
      </c>
      <c r="DI57" s="165">
        <v>4979877.92</v>
      </c>
      <c r="DJ57" s="165">
        <v>8644015.7799999993</v>
      </c>
      <c r="DK57" s="165">
        <v>6665329.96</v>
      </c>
      <c r="DL57" s="165">
        <v>5635700.3799999999</v>
      </c>
      <c r="DM57" s="165">
        <v>4431936.63</v>
      </c>
      <c r="DN57" s="165">
        <v>4209775.22</v>
      </c>
      <c r="DO57" s="165">
        <v>4717165.7</v>
      </c>
      <c r="DP57" s="165">
        <v>4027489.83</v>
      </c>
      <c r="DQ57" s="165">
        <v>4533062.68</v>
      </c>
      <c r="DR57" s="165">
        <v>3801043.91</v>
      </c>
      <c r="DS57" s="165">
        <v>3786107.05</v>
      </c>
      <c r="DT57" s="165">
        <v>6143399.8899999997</v>
      </c>
      <c r="DU57" s="165">
        <v>5076111.8499999996</v>
      </c>
      <c r="DV57" s="165">
        <v>12317707.82</v>
      </c>
      <c r="DW57" s="165">
        <v>8804136.7799999993</v>
      </c>
      <c r="DX57" s="165">
        <v>8680210.1799999997</v>
      </c>
      <c r="DY57" s="165">
        <v>8965501.6899999995</v>
      </c>
      <c r="DZ57" s="165">
        <v>6652243.8499999996</v>
      </c>
      <c r="EA57" s="165">
        <v>6700402.79</v>
      </c>
      <c r="EB57" s="165">
        <v>5672462.3200000003</v>
      </c>
      <c r="EC57" s="165">
        <v>5908975.8499999996</v>
      </c>
      <c r="ED57" s="165">
        <v>6509228.4000000004</v>
      </c>
      <c r="EE57" s="165">
        <v>6229267.5499999998</v>
      </c>
      <c r="EF57" s="165">
        <v>7186472.0599999996</v>
      </c>
      <c r="EG57" s="165">
        <v>7262771.3600000003</v>
      </c>
      <c r="EH57" s="165">
        <v>11349886.68</v>
      </c>
      <c r="EI57" s="165">
        <v>10200282.34</v>
      </c>
      <c r="EJ57" s="165">
        <v>12037925.369999999</v>
      </c>
      <c r="EK57" s="165">
        <v>8163991.8399999999</v>
      </c>
      <c r="EL57" s="165">
        <v>7693234.3700000001</v>
      </c>
      <c r="EM57" s="165">
        <v>8183531.3700000001</v>
      </c>
      <c r="EN57" s="165">
        <v>5851843.0099999998</v>
      </c>
      <c r="EO57" s="165">
        <v>6193478.3300000001</v>
      </c>
      <c r="EP57" s="165">
        <v>8869977.4199999999</v>
      </c>
      <c r="EQ57" s="165">
        <v>6854728.71</v>
      </c>
      <c r="ER57" s="165">
        <v>7931862.5899999999</v>
      </c>
      <c r="ES57" s="165">
        <v>7612562.5099999998</v>
      </c>
      <c r="ET57" s="403">
        <f>SUM(EH57:ES57)</f>
        <v>100943304.54000001</v>
      </c>
      <c r="EU57" s="155"/>
      <c r="EV57" s="17"/>
      <c r="EW57" s="17"/>
      <c r="EX57" s="17"/>
    </row>
    <row r="58" spans="1:154">
      <c r="C58" s="22"/>
      <c r="D58" s="22"/>
      <c r="E58" s="22"/>
      <c r="F58" s="22"/>
      <c r="G58" s="22"/>
      <c r="H58" s="22"/>
      <c r="I58" s="22"/>
      <c r="J58" s="22"/>
      <c r="K58" s="22"/>
      <c r="L58" s="22"/>
      <c r="M58" s="22"/>
      <c r="N58" s="22"/>
      <c r="O58" s="22"/>
      <c r="P58" s="22"/>
      <c r="Q58" s="22"/>
      <c r="R58" s="22"/>
      <c r="S58" s="22"/>
      <c r="T58" s="22"/>
      <c r="U58" s="22"/>
      <c r="V58" s="22"/>
      <c r="W58" s="22"/>
      <c r="X58" s="22"/>
      <c r="Y58" s="22"/>
      <c r="Z58" s="210"/>
      <c r="AA58" s="210"/>
      <c r="AB58" s="210"/>
      <c r="AC58" s="165"/>
      <c r="AD58" s="165"/>
      <c r="AE58" s="165"/>
      <c r="AF58" s="165"/>
      <c r="AG58" s="165"/>
      <c r="AH58" s="165"/>
      <c r="AI58" s="165"/>
      <c r="AJ58" s="165"/>
      <c r="AK58" s="165"/>
      <c r="AL58" s="165"/>
      <c r="AM58" s="165"/>
      <c r="AN58" s="165"/>
      <c r="AO58" s="165"/>
      <c r="AP58" s="165"/>
      <c r="AQ58" s="165"/>
      <c r="AR58" s="165"/>
      <c r="AS58" s="165"/>
      <c r="AT58" s="165"/>
      <c r="AU58" s="165"/>
      <c r="AV58" s="165"/>
      <c r="AW58" s="165"/>
      <c r="AX58" s="165"/>
      <c r="AY58" s="165"/>
      <c r="AZ58" s="165"/>
      <c r="BA58" s="165"/>
      <c r="BB58" s="165"/>
      <c r="BC58" s="165"/>
      <c r="BD58" s="165"/>
      <c r="BE58" s="165"/>
      <c r="BF58" s="165"/>
      <c r="BG58" s="165"/>
      <c r="BH58" s="165"/>
      <c r="BI58" s="165"/>
      <c r="BJ58" s="165"/>
      <c r="BK58" s="165"/>
      <c r="BL58" s="165"/>
      <c r="BM58" s="165"/>
      <c r="BN58" s="165"/>
      <c r="BO58" s="165"/>
      <c r="BP58" s="165"/>
      <c r="BQ58" s="165"/>
      <c r="BR58" s="165"/>
      <c r="BS58" s="165"/>
      <c r="BT58" s="165"/>
      <c r="BU58" s="165"/>
      <c r="BV58" s="165"/>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743">
        <f t="shared" ref="CU58:DE58" si="118">+CU24-CU57</f>
        <v>7.9162418842315674E-9</v>
      </c>
      <c r="CV58" s="743">
        <f t="shared" si="118"/>
        <v>1.3038516044616699E-8</v>
      </c>
      <c r="CW58" s="743">
        <f t="shared" si="118"/>
        <v>1.3038516044616699E-8</v>
      </c>
      <c r="CX58" s="743">
        <f t="shared" si="118"/>
        <v>0</v>
      </c>
      <c r="CY58" s="743">
        <f t="shared" si="118"/>
        <v>0</v>
      </c>
      <c r="CZ58" s="743">
        <f t="shared" si="118"/>
        <v>0</v>
      </c>
      <c r="DA58" s="743">
        <f t="shared" si="118"/>
        <v>0</v>
      </c>
      <c r="DB58" s="743">
        <f t="shared" si="118"/>
        <v>0</v>
      </c>
      <c r="DC58" s="743">
        <f t="shared" si="118"/>
        <v>0</v>
      </c>
      <c r="DD58" s="743">
        <f t="shared" si="118"/>
        <v>0</v>
      </c>
      <c r="DE58" s="832">
        <f t="shared" si="118"/>
        <v>-178680.27000000048</v>
      </c>
      <c r="DF58" s="743">
        <f t="shared" ref="DF58:DL58" si="119">+DF24-DF57</f>
        <v>0</v>
      </c>
      <c r="DG58" s="832">
        <f t="shared" si="119"/>
        <v>178680.27000000235</v>
      </c>
      <c r="DH58" s="743">
        <f t="shared" si="119"/>
        <v>-7.4505805969238281E-9</v>
      </c>
      <c r="DI58" s="743">
        <f t="shared" si="119"/>
        <v>-9.3132257461547852E-9</v>
      </c>
      <c r="DJ58" s="743">
        <f t="shared" si="119"/>
        <v>0</v>
      </c>
      <c r="DK58" s="743">
        <f t="shared" si="119"/>
        <v>0</v>
      </c>
      <c r="DL58" s="743">
        <f t="shared" si="119"/>
        <v>0</v>
      </c>
      <c r="DM58" s="743">
        <f t="shared" ref="DM58:DR58" si="120">+DM24-DM57</f>
        <v>0</v>
      </c>
      <c r="DN58" s="833">
        <f t="shared" si="120"/>
        <v>536338.78000000026</v>
      </c>
      <c r="DO58" s="833">
        <f t="shared" si="120"/>
        <v>-536338.7799999984</v>
      </c>
      <c r="DP58" s="743">
        <f t="shared" si="120"/>
        <v>0</v>
      </c>
      <c r="DQ58" s="743">
        <f t="shared" si="120"/>
        <v>0</v>
      </c>
      <c r="DR58" s="743">
        <f t="shared" si="120"/>
        <v>0</v>
      </c>
      <c r="DS58" s="743">
        <f t="shared" ref="DS58:DX58" si="121">+DS24-DS57</f>
        <v>0</v>
      </c>
      <c r="DT58" s="743">
        <f t="shared" si="121"/>
        <v>0</v>
      </c>
      <c r="DU58" s="743">
        <f t="shared" si="121"/>
        <v>0</v>
      </c>
      <c r="DV58" s="743">
        <f t="shared" si="121"/>
        <v>0</v>
      </c>
      <c r="DW58" s="743">
        <f t="shared" si="121"/>
        <v>0</v>
      </c>
      <c r="DX58" s="743">
        <f t="shared" si="121"/>
        <v>0</v>
      </c>
      <c r="DY58" s="743">
        <f t="shared" ref="DY58:ED58" si="122">+DY24-DY57</f>
        <v>0</v>
      </c>
      <c r="DZ58" s="743">
        <f t="shared" si="122"/>
        <v>9.3132257461547852E-9</v>
      </c>
      <c r="EA58" s="743">
        <f t="shared" si="122"/>
        <v>0</v>
      </c>
      <c r="EB58" s="743">
        <f t="shared" si="122"/>
        <v>0</v>
      </c>
      <c r="EC58" s="743">
        <f t="shared" si="122"/>
        <v>0</v>
      </c>
      <c r="ED58" s="743">
        <f t="shared" si="122"/>
        <v>0</v>
      </c>
      <c r="EE58" s="743">
        <f t="shared" ref="EE58:EJ58" si="123">+EE24-EE57</f>
        <v>0</v>
      </c>
      <c r="EF58" s="743">
        <f t="shared" si="123"/>
        <v>0</v>
      </c>
      <c r="EG58" s="743">
        <f t="shared" si="123"/>
        <v>1.0244548320770264E-8</v>
      </c>
      <c r="EH58" s="743">
        <f t="shared" si="123"/>
        <v>0</v>
      </c>
      <c r="EI58" s="743">
        <f t="shared" si="123"/>
        <v>0</v>
      </c>
      <c r="EJ58" s="743">
        <f t="shared" si="123"/>
        <v>0</v>
      </c>
      <c r="EK58" s="743">
        <f t="shared" ref="EK58:EP58" si="124">+EK24-EK57</f>
        <v>0</v>
      </c>
      <c r="EL58" s="743">
        <f t="shared" si="124"/>
        <v>8.3819031715393066E-9</v>
      </c>
      <c r="EM58" s="743">
        <f t="shared" si="124"/>
        <v>0</v>
      </c>
      <c r="EN58" s="743">
        <f t="shared" si="124"/>
        <v>0</v>
      </c>
      <c r="EO58" s="743">
        <f t="shared" si="124"/>
        <v>9.3132257461547852E-9</v>
      </c>
      <c r="EP58" s="743">
        <f t="shared" si="124"/>
        <v>0</v>
      </c>
      <c r="EQ58" s="743">
        <f t="shared" ref="EQ58:ER58" si="125">+EQ24-EQ57</f>
        <v>0</v>
      </c>
      <c r="ER58" s="743">
        <f t="shared" si="125"/>
        <v>-7.4505805969238281E-9</v>
      </c>
      <c r="ES58" s="743">
        <f t="shared" ref="ES58" si="126">+ES24-ES57</f>
        <v>-1.3038516044616699E-8</v>
      </c>
      <c r="ET58" s="744">
        <f>SUM(EH58:ES58)</f>
        <v>-2.7939677238464355E-9</v>
      </c>
      <c r="EU58" s="155"/>
    </row>
    <row r="59" spans="1:154">
      <c r="C59" s="22"/>
      <c r="D59" s="22"/>
      <c r="E59" s="22"/>
      <c r="F59" s="22"/>
      <c r="G59" s="22"/>
      <c r="H59" s="22"/>
      <c r="I59" s="22"/>
      <c r="J59" s="22"/>
      <c r="K59" s="22"/>
      <c r="L59" s="22"/>
      <c r="M59" s="22"/>
      <c r="N59" s="22"/>
      <c r="O59" s="22"/>
      <c r="P59" s="22"/>
      <c r="Q59" s="22"/>
      <c r="R59" s="22"/>
      <c r="S59" s="22"/>
      <c r="T59" s="22"/>
      <c r="U59" s="22"/>
      <c r="V59" s="22"/>
      <c r="W59" s="22"/>
      <c r="X59" s="22"/>
      <c r="Y59" s="22"/>
      <c r="Z59" s="210"/>
      <c r="AA59" s="210"/>
      <c r="AB59" s="210"/>
      <c r="AC59" s="165"/>
      <c r="AD59" s="165"/>
      <c r="AE59" s="165"/>
      <c r="AF59" s="165"/>
      <c r="AG59" s="165"/>
      <c r="AH59" s="165"/>
      <c r="AI59" s="165"/>
      <c r="AJ59" s="165"/>
      <c r="AK59" s="165"/>
      <c r="AL59" s="165"/>
      <c r="AM59" s="165"/>
      <c r="AN59" s="165"/>
      <c r="AO59" s="165"/>
      <c r="AP59" s="165"/>
      <c r="AQ59" s="165"/>
      <c r="AR59" s="165"/>
      <c r="AS59" s="165"/>
      <c r="AT59" s="165"/>
      <c r="AU59" s="165"/>
      <c r="AV59" s="165"/>
      <c r="AW59" s="165"/>
      <c r="AX59" s="165"/>
      <c r="AY59" s="165"/>
      <c r="AZ59" s="165"/>
      <c r="BA59" s="165"/>
      <c r="BB59" s="165"/>
      <c r="BC59" s="165"/>
      <c r="BD59" s="165"/>
      <c r="BE59" s="165"/>
      <c r="BF59" s="165"/>
      <c r="BG59" s="165"/>
      <c r="BH59" s="165"/>
      <c r="BI59" s="165"/>
      <c r="BJ59" s="165"/>
      <c r="BK59" s="165"/>
      <c r="BL59" s="165"/>
      <c r="BM59" s="165"/>
      <c r="BN59" s="165"/>
      <c r="BO59" s="165"/>
      <c r="BP59" s="165"/>
      <c r="BQ59" s="165"/>
      <c r="BR59" s="165"/>
      <c r="BS59" s="165"/>
      <c r="BT59" s="165"/>
      <c r="BU59" s="165"/>
      <c r="BV59" s="165"/>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c r="DH59" s="165"/>
      <c r="DI59" s="165"/>
      <c r="DJ59" s="165"/>
      <c r="DK59" s="165"/>
      <c r="DL59" s="165"/>
      <c r="DM59" s="165"/>
      <c r="DN59" s="165"/>
      <c r="DO59" s="165"/>
      <c r="DP59" s="165"/>
      <c r="DQ59" s="165"/>
      <c r="DR59" s="165"/>
      <c r="DS59" s="165"/>
      <c r="DT59" s="165"/>
      <c r="DU59" s="165"/>
      <c r="DV59" s="165"/>
      <c r="DW59" s="165"/>
      <c r="DX59" s="165"/>
      <c r="DY59" s="165"/>
      <c r="DZ59" s="165"/>
      <c r="EA59" s="165"/>
      <c r="EB59" s="165"/>
      <c r="EC59" s="165"/>
      <c r="ED59" s="165"/>
      <c r="EE59" s="165"/>
      <c r="EF59" s="165"/>
      <c r="EG59" s="165"/>
      <c r="EH59" s="165"/>
      <c r="EI59" s="165"/>
      <c r="EJ59" s="165"/>
      <c r="EK59" s="165"/>
      <c r="EL59" s="165"/>
      <c r="EM59" s="165"/>
      <c r="EN59" s="165"/>
      <c r="EO59" s="165"/>
      <c r="EP59" s="165"/>
      <c r="EQ59" s="165"/>
      <c r="ER59" s="165"/>
      <c r="ES59" s="165"/>
      <c r="ET59" s="210"/>
      <c r="EU59" s="155"/>
    </row>
    <row r="60" spans="1:154">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22"/>
      <c r="EK60" s="22"/>
      <c r="EL60" s="22"/>
      <c r="EM60" s="22"/>
      <c r="EN60" s="22"/>
      <c r="EO60" s="22"/>
      <c r="EP60" s="22"/>
      <c r="EQ60" s="22"/>
      <c r="ER60" s="22"/>
      <c r="ES60" s="22"/>
      <c r="ET60" s="22"/>
      <c r="EU60" s="22"/>
      <c r="EV60" s="17"/>
      <c r="EW60" s="17"/>
      <c r="EX60" s="17"/>
    </row>
    <row r="61" spans="1:154">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2"/>
      <c r="EK61" s="22"/>
      <c r="EL61" s="22"/>
      <c r="EM61" s="22"/>
      <c r="EN61" s="22"/>
      <c r="EO61" s="22"/>
      <c r="EP61" s="22"/>
      <c r="EQ61" s="22"/>
      <c r="ER61" s="22"/>
      <c r="ES61" s="22"/>
      <c r="ET61" s="22"/>
      <c r="EU61" s="22"/>
      <c r="EV61" s="17"/>
      <c r="EW61" s="17"/>
      <c r="EX61" s="17"/>
    </row>
    <row r="62" spans="1:154">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17"/>
      <c r="EW62" s="17"/>
      <c r="EX62" s="17"/>
    </row>
    <row r="63" spans="1:154">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17"/>
      <c r="EW63" s="17"/>
      <c r="EX63" s="17"/>
    </row>
    <row r="64" spans="1:154">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17"/>
      <c r="EW64" s="17"/>
      <c r="EX64" s="17"/>
    </row>
    <row r="65" spans="3:154">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17"/>
      <c r="EW65" s="17"/>
      <c r="EX65" s="17"/>
    </row>
    <row r="66" spans="3:154">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17"/>
      <c r="EW66" s="17"/>
      <c r="EX66" s="17"/>
    </row>
    <row r="67" spans="3:154">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c r="EA67" s="22"/>
      <c r="EB67" s="22"/>
      <c r="EC67" s="22"/>
      <c r="ED67" s="22"/>
      <c r="EE67" s="22"/>
      <c r="EF67" s="22"/>
      <c r="EG67" s="22"/>
      <c r="EH67" s="22"/>
      <c r="EI67" s="22"/>
      <c r="EJ67" s="22"/>
      <c r="EK67" s="22"/>
      <c r="EL67" s="22"/>
      <c r="EM67" s="22"/>
      <c r="EN67" s="22"/>
      <c r="EO67" s="22"/>
      <c r="EP67" s="22"/>
      <c r="EQ67" s="22"/>
      <c r="ER67" s="22"/>
      <c r="ES67" s="22"/>
      <c r="ET67" s="22"/>
      <c r="EU67" s="22"/>
      <c r="EV67" s="17"/>
      <c r="EW67" s="17"/>
      <c r="EX67" s="17"/>
    </row>
    <row r="68" spans="3:154">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17"/>
      <c r="EW68" s="17"/>
      <c r="EX68" s="17"/>
    </row>
    <row r="69" spans="3:154">
      <c r="C69" s="22"/>
      <c r="D69" s="22"/>
      <c r="E69" s="22"/>
      <c r="F69" s="22"/>
      <c r="G69" s="22"/>
      <c r="H69" s="22"/>
      <c r="I69" s="22"/>
      <c r="J69" s="22"/>
      <c r="K69" s="22"/>
      <c r="L69" s="22"/>
      <c r="M69" s="22"/>
      <c r="N69" s="22"/>
      <c r="O69" s="22"/>
      <c r="P69" s="22"/>
      <c r="Q69" s="22"/>
      <c r="R69" s="22"/>
      <c r="S69" s="22"/>
      <c r="T69" s="22"/>
      <c r="U69" s="22"/>
      <c r="V69" s="22"/>
      <c r="W69" s="22"/>
      <c r="X69" s="22"/>
      <c r="Y69" s="22"/>
      <c r="Z69" s="210"/>
      <c r="AA69" s="210"/>
      <c r="AB69" s="210"/>
      <c r="AC69" s="165"/>
      <c r="AD69" s="165"/>
      <c r="AE69" s="165"/>
      <c r="AF69" s="165"/>
      <c r="AG69" s="165"/>
      <c r="AH69" s="165"/>
      <c r="AI69" s="165"/>
      <c r="AJ69" s="165"/>
      <c r="AK69" s="165"/>
      <c r="AL69" s="165"/>
      <c r="AM69" s="165"/>
      <c r="AN69" s="165"/>
      <c r="AO69" s="165"/>
      <c r="AP69" s="165"/>
      <c r="AQ69" s="165"/>
      <c r="AR69" s="165"/>
      <c r="AS69" s="165"/>
      <c r="AT69" s="165"/>
      <c r="AU69" s="165"/>
      <c r="AV69" s="165"/>
      <c r="AW69" s="165"/>
      <c r="AX69" s="165"/>
      <c r="AY69" s="165"/>
      <c r="AZ69" s="165"/>
      <c r="BA69" s="165"/>
      <c r="BB69" s="165"/>
      <c r="BC69" s="165"/>
      <c r="BD69" s="165"/>
      <c r="BE69" s="165"/>
      <c r="BF69" s="165"/>
      <c r="BG69" s="165"/>
      <c r="BH69" s="165"/>
      <c r="BI69" s="165"/>
      <c r="BJ69" s="165"/>
      <c r="BK69" s="165"/>
      <c r="BL69" s="165"/>
      <c r="BM69" s="165"/>
      <c r="BN69" s="165"/>
      <c r="BO69" s="165"/>
      <c r="BP69" s="165"/>
      <c r="BQ69" s="165"/>
      <c r="BR69" s="165"/>
      <c r="BS69" s="165"/>
      <c r="BT69" s="165"/>
      <c r="BU69" s="165"/>
      <c r="BV69" s="165"/>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c r="DH69" s="165"/>
      <c r="DI69" s="165"/>
      <c r="DJ69" s="165"/>
      <c r="DK69" s="165"/>
      <c r="DL69" s="165"/>
      <c r="DM69" s="165"/>
      <c r="DN69" s="165"/>
      <c r="DO69" s="165"/>
      <c r="DP69" s="165"/>
      <c r="DQ69" s="165"/>
      <c r="DR69" s="165"/>
      <c r="DS69" s="165"/>
      <c r="DT69" s="165"/>
      <c r="DU69" s="165"/>
      <c r="DV69" s="165"/>
      <c r="DW69" s="165"/>
      <c r="DX69" s="165"/>
      <c r="DY69" s="165"/>
      <c r="DZ69" s="165"/>
      <c r="EA69" s="165"/>
      <c r="EB69" s="165"/>
      <c r="EC69" s="165"/>
      <c r="ED69" s="165"/>
      <c r="EE69" s="165"/>
      <c r="EF69" s="165"/>
      <c r="EG69" s="165"/>
      <c r="EH69" s="165"/>
      <c r="EI69" s="165"/>
      <c r="EJ69" s="165"/>
      <c r="EK69" s="165"/>
      <c r="EL69" s="165"/>
      <c r="EM69" s="165"/>
      <c r="EN69" s="165"/>
      <c r="EO69" s="165"/>
      <c r="EP69" s="165"/>
      <c r="EQ69" s="165"/>
      <c r="ER69" s="165"/>
      <c r="ES69" s="165"/>
      <c r="ET69" s="210"/>
      <c r="EU69" s="155"/>
      <c r="EV69" s="17"/>
      <c r="EW69" s="17"/>
      <c r="EX69" s="17"/>
    </row>
    <row r="70" spans="3:154">
      <c r="C70" s="22"/>
      <c r="D70" s="22"/>
      <c r="E70" s="22"/>
      <c r="F70" s="22"/>
      <c r="G70" s="22"/>
      <c r="H70" s="22"/>
      <c r="I70" s="22"/>
      <c r="J70" s="22"/>
      <c r="K70" s="22"/>
      <c r="L70" s="22"/>
      <c r="M70" s="22"/>
      <c r="N70" s="22"/>
      <c r="O70" s="22"/>
      <c r="P70" s="22"/>
      <c r="Q70" s="22"/>
      <c r="R70" s="22"/>
      <c r="S70" s="22"/>
      <c r="T70" s="22"/>
      <c r="U70" s="22"/>
      <c r="V70" s="22"/>
      <c r="W70" s="22"/>
      <c r="X70" s="22"/>
      <c r="Y70" s="22"/>
      <c r="Z70" s="210"/>
      <c r="AA70" s="210"/>
      <c r="AB70" s="210"/>
      <c r="AC70" s="165"/>
      <c r="AD70" s="165"/>
      <c r="AE70" s="165"/>
      <c r="AF70" s="165"/>
      <c r="AG70" s="165"/>
      <c r="AH70" s="165"/>
      <c r="AI70" s="165"/>
      <c r="AJ70" s="165"/>
      <c r="AK70" s="165"/>
      <c r="AL70" s="165"/>
      <c r="AM70" s="165"/>
      <c r="AN70" s="165"/>
      <c r="AO70" s="165"/>
      <c r="AP70" s="165"/>
      <c r="AQ70" s="165"/>
      <c r="AR70" s="165"/>
      <c r="AS70" s="165"/>
      <c r="AT70" s="165"/>
      <c r="AU70" s="165"/>
      <c r="AV70" s="165"/>
      <c r="AW70" s="165"/>
      <c r="AX70" s="165"/>
      <c r="AY70" s="165"/>
      <c r="AZ70" s="165"/>
      <c r="BA70" s="165"/>
      <c r="BB70" s="165"/>
      <c r="BC70" s="165"/>
      <c r="BD70" s="165"/>
      <c r="BE70" s="165"/>
      <c r="BF70" s="165"/>
      <c r="BG70" s="165"/>
      <c r="BH70" s="165"/>
      <c r="BI70" s="165"/>
      <c r="BJ70" s="165"/>
      <c r="BK70" s="165"/>
      <c r="BL70" s="165"/>
      <c r="BM70" s="165"/>
      <c r="BN70" s="165"/>
      <c r="BO70" s="165"/>
      <c r="BP70" s="165"/>
      <c r="BQ70" s="165"/>
      <c r="BR70" s="165"/>
      <c r="BS70" s="165"/>
      <c r="BT70" s="165"/>
      <c r="BU70" s="165"/>
      <c r="BV70" s="165"/>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c r="DH70" s="165"/>
      <c r="DI70" s="165"/>
      <c r="DJ70" s="165"/>
      <c r="DK70" s="165"/>
      <c r="DL70" s="165"/>
      <c r="DM70" s="165"/>
      <c r="DN70" s="165"/>
      <c r="DO70" s="165"/>
      <c r="DP70" s="165"/>
      <c r="DQ70" s="165"/>
      <c r="DR70" s="165"/>
      <c r="DS70" s="165"/>
      <c r="DT70" s="165"/>
      <c r="DU70" s="165"/>
      <c r="DV70" s="165"/>
      <c r="DW70" s="165"/>
      <c r="DX70" s="165"/>
      <c r="DY70" s="165"/>
      <c r="DZ70" s="165"/>
      <c r="EA70" s="165"/>
      <c r="EB70" s="165"/>
      <c r="EC70" s="165"/>
      <c r="ED70" s="165"/>
      <c r="EE70" s="165"/>
      <c r="EF70" s="165"/>
      <c r="EG70" s="165"/>
      <c r="EH70" s="165"/>
      <c r="EI70" s="165"/>
      <c r="EJ70" s="165"/>
      <c r="EK70" s="165"/>
      <c r="EL70" s="165"/>
      <c r="EM70" s="165"/>
      <c r="EN70" s="165"/>
      <c r="EO70" s="165"/>
      <c r="EP70" s="165"/>
      <c r="EQ70" s="165"/>
      <c r="ER70" s="165"/>
      <c r="ES70" s="165"/>
      <c r="ET70" s="210"/>
      <c r="EU70" s="155"/>
      <c r="EV70" s="17"/>
      <c r="EW70" s="17"/>
      <c r="EX70" s="17"/>
    </row>
    <row r="71" spans="3:154">
      <c r="C71" s="22"/>
      <c r="D71" s="22"/>
      <c r="E71" s="22"/>
      <c r="F71" s="22"/>
      <c r="G71" s="22"/>
      <c r="H71" s="22"/>
      <c r="I71" s="22"/>
      <c r="J71" s="22"/>
      <c r="K71" s="22"/>
      <c r="L71" s="22"/>
      <c r="M71" s="22"/>
      <c r="N71" s="22"/>
      <c r="O71" s="22"/>
      <c r="P71" s="22"/>
      <c r="Q71" s="22"/>
      <c r="R71" s="22"/>
      <c r="S71" s="22"/>
      <c r="T71" s="22"/>
      <c r="U71" s="22"/>
      <c r="V71" s="22"/>
      <c r="W71" s="22"/>
      <c r="X71" s="22"/>
      <c r="Y71" s="22"/>
      <c r="Z71" s="210"/>
      <c r="AA71" s="210"/>
      <c r="AB71" s="210"/>
      <c r="AC71" s="165"/>
      <c r="AD71" s="165"/>
      <c r="AE71" s="165"/>
      <c r="AF71" s="165"/>
      <c r="AG71" s="165"/>
      <c r="AH71" s="165"/>
      <c r="AI71" s="165"/>
      <c r="AJ71" s="165"/>
      <c r="AK71" s="165"/>
      <c r="AL71" s="165"/>
      <c r="AM71" s="165"/>
      <c r="AN71" s="165"/>
      <c r="AO71" s="165"/>
      <c r="AP71" s="165"/>
      <c r="AQ71" s="165"/>
      <c r="AR71" s="165"/>
      <c r="AS71" s="165"/>
      <c r="AT71" s="165"/>
      <c r="AU71" s="165"/>
      <c r="AV71" s="165"/>
      <c r="AW71" s="165"/>
      <c r="AX71" s="165"/>
      <c r="AY71" s="165"/>
      <c r="AZ71" s="165"/>
      <c r="BA71" s="165"/>
      <c r="BB71" s="165"/>
      <c r="BC71" s="165"/>
      <c r="BD71" s="165"/>
      <c r="BE71" s="165"/>
      <c r="BF71" s="165"/>
      <c r="BG71" s="165"/>
      <c r="BH71" s="165"/>
      <c r="BI71" s="165"/>
      <c r="BJ71" s="165"/>
      <c r="BK71" s="165"/>
      <c r="BL71" s="165"/>
      <c r="BM71" s="165"/>
      <c r="BN71" s="165"/>
      <c r="BO71" s="165"/>
      <c r="BP71" s="165"/>
      <c r="BQ71" s="165"/>
      <c r="BR71" s="165"/>
      <c r="BS71" s="165"/>
      <c r="BT71" s="165"/>
      <c r="BU71" s="165"/>
      <c r="BV71" s="165"/>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c r="DH71" s="165"/>
      <c r="DI71" s="165"/>
      <c r="DJ71" s="165"/>
      <c r="DK71" s="165"/>
      <c r="DL71" s="165"/>
      <c r="DM71" s="165"/>
      <c r="DN71" s="165"/>
      <c r="DO71" s="165"/>
      <c r="DP71" s="165"/>
      <c r="DQ71" s="165"/>
      <c r="DR71" s="165"/>
      <c r="DS71" s="165"/>
      <c r="DT71" s="165"/>
      <c r="DU71" s="165"/>
      <c r="DV71" s="165"/>
      <c r="DW71" s="165"/>
      <c r="DX71" s="165"/>
      <c r="DY71" s="165"/>
      <c r="DZ71" s="165"/>
      <c r="EA71" s="165"/>
      <c r="EB71" s="165"/>
      <c r="EC71" s="165"/>
      <c r="ED71" s="165"/>
      <c r="EE71" s="165"/>
      <c r="EF71" s="165"/>
      <c r="EG71" s="165"/>
      <c r="EH71" s="165"/>
      <c r="EI71" s="165"/>
      <c r="EJ71" s="165"/>
      <c r="EK71" s="165"/>
      <c r="EL71" s="165"/>
      <c r="EM71" s="165"/>
      <c r="EN71" s="165"/>
      <c r="EO71" s="165"/>
      <c r="EP71" s="165"/>
      <c r="EQ71" s="165"/>
      <c r="ER71" s="165"/>
      <c r="ES71" s="165"/>
      <c r="ET71" s="210"/>
      <c r="EU71" s="155"/>
      <c r="EV71" s="17"/>
      <c r="EW71" s="17"/>
      <c r="EX71" s="17"/>
    </row>
    <row r="72" spans="3:154">
      <c r="C72" s="22"/>
      <c r="D72" s="22"/>
      <c r="E72" s="22"/>
      <c r="F72" s="22"/>
      <c r="G72" s="22"/>
      <c r="H72" s="22"/>
      <c r="I72" s="22"/>
      <c r="J72" s="22"/>
      <c r="K72" s="22"/>
      <c r="L72" s="22"/>
      <c r="M72" s="22"/>
      <c r="N72" s="22"/>
      <c r="O72" s="22"/>
      <c r="P72" s="22"/>
      <c r="Q72" s="22"/>
      <c r="R72" s="22"/>
      <c r="S72" s="22"/>
      <c r="T72" s="22"/>
      <c r="U72" s="22"/>
      <c r="V72" s="22"/>
      <c r="W72" s="22"/>
      <c r="X72" s="22"/>
      <c r="Y72" s="22"/>
      <c r="Z72" s="210"/>
      <c r="AA72" s="210"/>
      <c r="AB72" s="210"/>
      <c r="AC72" s="165"/>
      <c r="AD72" s="165"/>
      <c r="AE72" s="165"/>
      <c r="AF72" s="165"/>
      <c r="AG72" s="165"/>
      <c r="AH72" s="165"/>
      <c r="AI72" s="165"/>
      <c r="AJ72" s="165"/>
      <c r="AK72" s="165"/>
      <c r="AL72" s="165"/>
      <c r="AM72" s="165"/>
      <c r="AN72" s="165"/>
      <c r="AO72" s="165"/>
      <c r="AP72" s="165"/>
      <c r="AQ72" s="165"/>
      <c r="AR72" s="165"/>
      <c r="AS72" s="165"/>
      <c r="AT72" s="165"/>
      <c r="AU72" s="165"/>
      <c r="AV72" s="165"/>
      <c r="AW72" s="165"/>
      <c r="AX72" s="165"/>
      <c r="AY72" s="165"/>
      <c r="AZ72" s="165"/>
      <c r="BA72" s="165"/>
      <c r="BB72" s="165"/>
      <c r="BC72" s="165"/>
      <c r="BD72" s="165"/>
      <c r="BE72" s="165"/>
      <c r="BF72" s="165"/>
      <c r="BG72" s="165"/>
      <c r="BH72" s="165"/>
      <c r="BI72" s="165"/>
      <c r="BJ72" s="165"/>
      <c r="BK72" s="165"/>
      <c r="BL72" s="165"/>
      <c r="BM72" s="165"/>
      <c r="BN72" s="165"/>
      <c r="BO72" s="165"/>
      <c r="BP72" s="165"/>
      <c r="BQ72" s="165"/>
      <c r="BR72" s="165"/>
      <c r="BS72" s="165"/>
      <c r="BT72" s="165"/>
      <c r="BU72" s="165"/>
      <c r="BV72" s="165"/>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c r="DH72" s="165"/>
      <c r="DI72" s="165"/>
      <c r="DJ72" s="165"/>
      <c r="DK72" s="165"/>
      <c r="DL72" s="165"/>
      <c r="DM72" s="165"/>
      <c r="DN72" s="165"/>
      <c r="DO72" s="165"/>
      <c r="DP72" s="165"/>
      <c r="DQ72" s="165"/>
      <c r="DR72" s="165"/>
      <c r="DS72" s="165"/>
      <c r="DT72" s="165"/>
      <c r="DU72" s="165"/>
      <c r="DV72" s="165"/>
      <c r="DW72" s="165"/>
      <c r="DX72" s="165"/>
      <c r="DY72" s="165"/>
      <c r="DZ72" s="165"/>
      <c r="EA72" s="165"/>
      <c r="EB72" s="165"/>
      <c r="EC72" s="165"/>
      <c r="ED72" s="165"/>
      <c r="EE72" s="165"/>
      <c r="EF72" s="165"/>
      <c r="EG72" s="165"/>
      <c r="EH72" s="165"/>
      <c r="EI72" s="165"/>
      <c r="EJ72" s="165"/>
      <c r="EK72" s="165"/>
      <c r="EL72" s="165"/>
      <c r="EM72" s="165"/>
      <c r="EN72" s="165"/>
      <c r="EO72" s="165"/>
      <c r="EP72" s="165"/>
      <c r="EQ72" s="165"/>
      <c r="ER72" s="165"/>
      <c r="ES72" s="165"/>
      <c r="ET72" s="210"/>
      <c r="EU72" s="155"/>
      <c r="EV72" s="17"/>
      <c r="EW72" s="17"/>
      <c r="EX72" s="17"/>
    </row>
    <row r="73" spans="3:154">
      <c r="C73" s="22"/>
      <c r="D73" s="22"/>
      <c r="E73" s="22"/>
      <c r="F73" s="22"/>
      <c r="G73" s="22"/>
      <c r="H73" s="22"/>
      <c r="I73" s="22"/>
      <c r="J73" s="22"/>
      <c r="K73" s="22"/>
      <c r="L73" s="22"/>
      <c r="M73" s="22"/>
      <c r="N73" s="22"/>
      <c r="O73" s="22"/>
      <c r="P73" s="22"/>
      <c r="Q73" s="22"/>
      <c r="R73" s="22"/>
      <c r="S73" s="22"/>
      <c r="T73" s="22"/>
      <c r="U73" s="22"/>
      <c r="V73" s="22"/>
      <c r="W73" s="22"/>
      <c r="X73" s="22"/>
      <c r="Y73" s="22"/>
      <c r="Z73" s="210"/>
      <c r="AA73" s="210"/>
      <c r="AB73" s="210"/>
      <c r="AC73" s="165"/>
      <c r="AD73" s="165"/>
      <c r="AE73" s="165"/>
      <c r="AF73" s="165"/>
      <c r="AG73" s="165"/>
      <c r="AH73" s="165"/>
      <c r="AI73" s="165"/>
      <c r="AJ73" s="165"/>
      <c r="AK73" s="165"/>
      <c r="AL73" s="165"/>
      <c r="AM73" s="165"/>
      <c r="AN73" s="165"/>
      <c r="AO73" s="165"/>
      <c r="AP73" s="165"/>
      <c r="AQ73" s="165"/>
      <c r="AR73" s="165"/>
      <c r="AS73" s="165"/>
      <c r="AT73" s="165"/>
      <c r="AU73" s="165"/>
      <c r="AV73" s="165"/>
      <c r="AW73" s="165"/>
      <c r="AX73" s="165"/>
      <c r="AY73" s="165"/>
      <c r="AZ73" s="165"/>
      <c r="BA73" s="165"/>
      <c r="BB73" s="165"/>
      <c r="BC73" s="165"/>
      <c r="BD73" s="165"/>
      <c r="BE73" s="165"/>
      <c r="BF73" s="165"/>
      <c r="BG73" s="165"/>
      <c r="BH73" s="165"/>
      <c r="BI73" s="165"/>
      <c r="BJ73" s="165"/>
      <c r="BK73" s="165"/>
      <c r="BL73" s="165"/>
      <c r="BM73" s="165"/>
      <c r="BN73" s="165"/>
      <c r="BO73" s="165"/>
      <c r="BP73" s="165"/>
      <c r="BQ73" s="165"/>
      <c r="BR73" s="165"/>
      <c r="BS73" s="165"/>
      <c r="BT73" s="165"/>
      <c r="BU73" s="165"/>
      <c r="BV73" s="165"/>
      <c r="BW73" s="165"/>
      <c r="BX73" s="165"/>
      <c r="BY73" s="165"/>
      <c r="BZ73" s="165"/>
      <c r="CA73" s="165"/>
      <c r="CB73" s="165"/>
      <c r="CC73" s="165"/>
      <c r="CD73" s="165"/>
      <c r="CE73" s="165"/>
      <c r="CF73" s="165"/>
      <c r="CG73" s="165"/>
      <c r="CH73" s="165"/>
      <c r="CI73" s="165"/>
      <c r="CJ73" s="165"/>
      <c r="CK73" s="165"/>
      <c r="CL73" s="165"/>
      <c r="CM73" s="165"/>
      <c r="CN73" s="165"/>
      <c r="CO73" s="165"/>
      <c r="CP73" s="165"/>
      <c r="CQ73" s="165"/>
      <c r="CR73" s="165"/>
      <c r="CS73" s="165"/>
      <c r="CT73" s="165"/>
      <c r="CU73" s="165"/>
      <c r="CV73" s="165"/>
      <c r="CW73" s="165"/>
      <c r="CX73" s="165"/>
      <c r="CY73" s="165"/>
      <c r="CZ73" s="165"/>
      <c r="DA73" s="165"/>
      <c r="DB73" s="165"/>
      <c r="DC73" s="165"/>
      <c r="DD73" s="165"/>
      <c r="DE73" s="165"/>
      <c r="DF73" s="165"/>
      <c r="DG73" s="165"/>
      <c r="DH73" s="165"/>
      <c r="DI73" s="165"/>
      <c r="DJ73" s="165"/>
      <c r="DK73" s="165"/>
      <c r="DL73" s="165"/>
      <c r="DM73" s="165"/>
      <c r="DN73" s="165"/>
      <c r="DO73" s="165"/>
      <c r="DP73" s="165"/>
      <c r="DQ73" s="165"/>
      <c r="DR73" s="165"/>
      <c r="DS73" s="165"/>
      <c r="DT73" s="165"/>
      <c r="DU73" s="165"/>
      <c r="DV73" s="165"/>
      <c r="DW73" s="165"/>
      <c r="DX73" s="165"/>
      <c r="DY73" s="165"/>
      <c r="DZ73" s="165"/>
      <c r="EA73" s="165"/>
      <c r="EB73" s="165"/>
      <c r="EC73" s="165"/>
      <c r="ED73" s="165"/>
      <c r="EE73" s="165"/>
      <c r="EF73" s="165"/>
      <c r="EG73" s="165"/>
      <c r="EH73" s="165"/>
      <c r="EI73" s="165"/>
      <c r="EJ73" s="165"/>
      <c r="EK73" s="165"/>
      <c r="EL73" s="165"/>
      <c r="EM73" s="165"/>
      <c r="EN73" s="165"/>
      <c r="EO73" s="165"/>
      <c r="EP73" s="165"/>
      <c r="EQ73" s="165"/>
      <c r="ER73" s="165"/>
      <c r="ES73" s="165"/>
      <c r="ET73" s="210"/>
      <c r="EU73" s="155"/>
      <c r="EV73" s="17"/>
      <c r="EW73" s="17"/>
      <c r="EX73" s="17"/>
    </row>
    <row r="74" spans="3:154">
      <c r="C74" s="22"/>
      <c r="D74" s="22"/>
      <c r="E74" s="22"/>
      <c r="F74" s="22"/>
      <c r="G74" s="22"/>
      <c r="H74" s="22"/>
      <c r="I74" s="22"/>
      <c r="J74" s="22"/>
      <c r="K74" s="22"/>
      <c r="L74" s="22"/>
      <c r="M74" s="22"/>
      <c r="N74" s="22"/>
      <c r="O74" s="22"/>
      <c r="P74" s="22"/>
      <c r="Q74" s="22"/>
      <c r="R74" s="22"/>
      <c r="S74" s="22"/>
      <c r="T74" s="22"/>
      <c r="U74" s="22"/>
      <c r="V74" s="22"/>
      <c r="W74" s="22"/>
      <c r="X74" s="22"/>
      <c r="Y74" s="22"/>
      <c r="Z74" s="210"/>
      <c r="AA74" s="210"/>
      <c r="AB74" s="210"/>
      <c r="AC74" s="165"/>
      <c r="AD74" s="165"/>
      <c r="AE74" s="165"/>
      <c r="AF74" s="165"/>
      <c r="AG74" s="165"/>
      <c r="AH74" s="165"/>
      <c r="AI74" s="165"/>
      <c r="AJ74" s="165"/>
      <c r="AK74" s="165"/>
      <c r="AL74" s="165"/>
      <c r="AM74" s="165"/>
      <c r="AN74" s="165"/>
      <c r="AO74" s="165"/>
      <c r="AP74" s="165"/>
      <c r="AQ74" s="165"/>
      <c r="AR74" s="165"/>
      <c r="AS74" s="165"/>
      <c r="AT74" s="165"/>
      <c r="AU74" s="165"/>
      <c r="AV74" s="165"/>
      <c r="AW74" s="165"/>
      <c r="AX74" s="165"/>
      <c r="AY74" s="165"/>
      <c r="AZ74" s="165"/>
      <c r="BA74" s="165"/>
      <c r="BB74" s="165"/>
      <c r="BC74" s="165"/>
      <c r="BD74" s="165"/>
      <c r="BE74" s="165"/>
      <c r="BF74" s="165"/>
      <c r="BG74" s="165"/>
      <c r="BH74" s="165"/>
      <c r="BI74" s="165"/>
      <c r="BJ74" s="165"/>
      <c r="BK74" s="165"/>
      <c r="BL74" s="165"/>
      <c r="BM74" s="165"/>
      <c r="BN74" s="165"/>
      <c r="BO74" s="165"/>
      <c r="BP74" s="165"/>
      <c r="BQ74" s="165"/>
      <c r="BR74" s="165"/>
      <c r="BS74" s="165"/>
      <c r="BT74" s="165"/>
      <c r="BU74" s="165"/>
      <c r="BV74" s="165"/>
      <c r="BW74" s="165"/>
      <c r="BX74" s="165"/>
      <c r="BY74" s="165"/>
      <c r="BZ74" s="165"/>
      <c r="CA74" s="165"/>
      <c r="CB74" s="165"/>
      <c r="CC74" s="165"/>
      <c r="CD74" s="165"/>
      <c r="CE74" s="165"/>
      <c r="CF74" s="165"/>
      <c r="CG74" s="165"/>
      <c r="CH74" s="165"/>
      <c r="CI74" s="165"/>
      <c r="CJ74" s="165"/>
      <c r="CK74" s="165"/>
      <c r="CL74" s="165"/>
      <c r="CM74" s="165"/>
      <c r="CN74" s="165"/>
      <c r="CO74" s="165"/>
      <c r="CP74" s="165"/>
      <c r="CQ74" s="165"/>
      <c r="CR74" s="165"/>
      <c r="CS74" s="165"/>
      <c r="CT74" s="165"/>
      <c r="CU74" s="165"/>
      <c r="CV74" s="165"/>
      <c r="CW74" s="165"/>
      <c r="CX74" s="165"/>
      <c r="CY74" s="165"/>
      <c r="CZ74" s="165"/>
      <c r="DA74" s="165"/>
      <c r="DB74" s="165"/>
      <c r="DC74" s="165"/>
      <c r="DD74" s="165"/>
      <c r="DE74" s="165"/>
      <c r="DF74" s="165"/>
      <c r="DG74" s="165"/>
      <c r="DH74" s="165"/>
      <c r="DI74" s="165"/>
      <c r="DJ74" s="165"/>
      <c r="DK74" s="165"/>
      <c r="DL74" s="165"/>
      <c r="DM74" s="165"/>
      <c r="DN74" s="165"/>
      <c r="DO74" s="165"/>
      <c r="DP74" s="165"/>
      <c r="DQ74" s="165"/>
      <c r="DR74" s="165"/>
      <c r="DS74" s="165"/>
      <c r="DT74" s="165"/>
      <c r="DU74" s="165"/>
      <c r="DV74" s="165"/>
      <c r="DW74" s="165"/>
      <c r="DX74" s="165"/>
      <c r="DY74" s="165"/>
      <c r="DZ74" s="165"/>
      <c r="EA74" s="165"/>
      <c r="EB74" s="165"/>
      <c r="EC74" s="165"/>
      <c r="ED74" s="165"/>
      <c r="EE74" s="165"/>
      <c r="EF74" s="165"/>
      <c r="EG74" s="165"/>
      <c r="EH74" s="165"/>
      <c r="EI74" s="165"/>
      <c r="EJ74" s="165"/>
      <c r="EK74" s="165"/>
      <c r="EL74" s="165"/>
      <c r="EM74" s="165"/>
      <c r="EN74" s="165"/>
      <c r="EO74" s="165"/>
      <c r="EP74" s="165"/>
      <c r="EQ74" s="165"/>
      <c r="ER74" s="165"/>
      <c r="ES74" s="165"/>
      <c r="ET74" s="210"/>
      <c r="EU74" s="155"/>
      <c r="EV74" s="17"/>
      <c r="EW74" s="17"/>
      <c r="EX74" s="17"/>
    </row>
    <row r="75" spans="3:154">
      <c r="C75" s="22"/>
      <c r="D75" s="22"/>
      <c r="E75" s="22"/>
      <c r="F75" s="22"/>
      <c r="G75" s="22"/>
      <c r="H75" s="22"/>
      <c r="I75" s="22"/>
      <c r="J75" s="22"/>
      <c r="K75" s="22"/>
      <c r="L75" s="22"/>
      <c r="M75" s="22"/>
      <c r="N75" s="22"/>
      <c r="O75" s="22"/>
      <c r="P75" s="22"/>
      <c r="Q75" s="22"/>
      <c r="R75" s="22"/>
      <c r="S75" s="22"/>
      <c r="T75" s="22"/>
      <c r="U75" s="22"/>
      <c r="V75" s="22"/>
      <c r="W75" s="22"/>
      <c r="X75" s="22"/>
      <c r="Y75" s="22"/>
      <c r="Z75" s="210"/>
      <c r="AA75" s="210"/>
      <c r="AB75" s="210"/>
      <c r="AC75" s="165"/>
      <c r="AD75" s="165"/>
      <c r="AE75" s="165"/>
      <c r="AF75" s="165"/>
      <c r="AG75" s="165"/>
      <c r="AH75" s="165"/>
      <c r="AI75" s="165"/>
      <c r="AJ75" s="165"/>
      <c r="AK75" s="165"/>
      <c r="AL75" s="165"/>
      <c r="AM75" s="165"/>
      <c r="AN75" s="165"/>
      <c r="AO75" s="165"/>
      <c r="AP75" s="165"/>
      <c r="AQ75" s="165"/>
      <c r="AR75" s="165"/>
      <c r="AS75" s="165"/>
      <c r="AT75" s="165"/>
      <c r="AU75" s="165"/>
      <c r="AV75" s="165"/>
      <c r="AW75" s="165"/>
      <c r="AX75" s="165"/>
      <c r="AY75" s="165"/>
      <c r="AZ75" s="165"/>
      <c r="BA75" s="165"/>
      <c r="BB75" s="165"/>
      <c r="BC75" s="165"/>
      <c r="BD75" s="165"/>
      <c r="BE75" s="165"/>
      <c r="BF75" s="165"/>
      <c r="BG75" s="165"/>
      <c r="BH75" s="165"/>
      <c r="BI75" s="165"/>
      <c r="BJ75" s="165"/>
      <c r="BK75" s="165"/>
      <c r="BL75" s="165"/>
      <c r="BM75" s="165"/>
      <c r="BN75" s="165"/>
      <c r="BO75" s="165"/>
      <c r="BP75" s="165"/>
      <c r="BQ75" s="165"/>
      <c r="BR75" s="165"/>
      <c r="BS75" s="165"/>
      <c r="BT75" s="165"/>
      <c r="BU75" s="165"/>
      <c r="BV75" s="165"/>
      <c r="BW75" s="165"/>
      <c r="BX75" s="165"/>
      <c r="BY75" s="165"/>
      <c r="BZ75" s="165"/>
      <c r="CA75" s="165"/>
      <c r="CB75" s="165"/>
      <c r="CC75" s="165"/>
      <c r="CD75" s="165"/>
      <c r="CE75" s="165"/>
      <c r="CF75" s="165"/>
      <c r="CG75" s="165"/>
      <c r="CH75" s="165"/>
      <c r="CI75" s="165"/>
      <c r="CJ75" s="165"/>
      <c r="CK75" s="165"/>
      <c r="CL75" s="165"/>
      <c r="CM75" s="165"/>
      <c r="CN75" s="165"/>
      <c r="CO75" s="165"/>
      <c r="CP75" s="165"/>
      <c r="CQ75" s="165"/>
      <c r="CR75" s="165"/>
      <c r="CS75" s="165"/>
      <c r="CT75" s="165"/>
      <c r="CU75" s="165"/>
      <c r="CV75" s="165"/>
      <c r="CW75" s="165"/>
      <c r="CX75" s="165"/>
      <c r="CY75" s="165"/>
      <c r="CZ75" s="165"/>
      <c r="DA75" s="165"/>
      <c r="DB75" s="165"/>
      <c r="DC75" s="165"/>
      <c r="DD75" s="165"/>
      <c r="DE75" s="165"/>
      <c r="DF75" s="165"/>
      <c r="DG75" s="165"/>
      <c r="DH75" s="165"/>
      <c r="DI75" s="165"/>
      <c r="DJ75" s="165"/>
      <c r="DK75" s="165"/>
      <c r="DL75" s="165"/>
      <c r="DM75" s="165"/>
      <c r="DN75" s="165"/>
      <c r="DO75" s="165"/>
      <c r="DP75" s="165"/>
      <c r="DQ75" s="165"/>
      <c r="DR75" s="165"/>
      <c r="DS75" s="165"/>
      <c r="DT75" s="165"/>
      <c r="DU75" s="165"/>
      <c r="DV75" s="165"/>
      <c r="DW75" s="165"/>
      <c r="DX75" s="165"/>
      <c r="DY75" s="165"/>
      <c r="DZ75" s="165"/>
      <c r="EA75" s="165"/>
      <c r="EB75" s="165"/>
      <c r="EC75" s="165"/>
      <c r="ED75" s="165"/>
      <c r="EE75" s="165"/>
      <c r="EF75" s="165"/>
      <c r="EG75" s="165"/>
      <c r="EH75" s="165"/>
      <c r="EI75" s="165"/>
      <c r="EJ75" s="165"/>
      <c r="EK75" s="165"/>
      <c r="EL75" s="165"/>
      <c r="EM75" s="165"/>
      <c r="EN75" s="165"/>
      <c r="EO75" s="165"/>
      <c r="EP75" s="165"/>
      <c r="EQ75" s="165"/>
      <c r="ER75" s="165"/>
      <c r="ES75" s="165"/>
      <c r="ET75" s="210"/>
      <c r="EU75" s="155"/>
      <c r="EV75" s="17"/>
      <c r="EW75" s="17"/>
      <c r="EX75" s="17"/>
    </row>
    <row r="76" spans="3:154">
      <c r="C76" s="22"/>
      <c r="D76" s="22"/>
      <c r="E76" s="22"/>
      <c r="F76" s="22"/>
      <c r="G76" s="22"/>
      <c r="H76" s="22"/>
      <c r="I76" s="22"/>
      <c r="J76" s="22"/>
      <c r="K76" s="22"/>
      <c r="L76" s="22"/>
      <c r="M76" s="22"/>
      <c r="N76" s="22"/>
      <c r="O76" s="22"/>
      <c r="P76" s="22"/>
      <c r="Q76" s="22"/>
      <c r="R76" s="22"/>
      <c r="S76" s="22"/>
      <c r="T76" s="22"/>
      <c r="U76" s="22"/>
      <c r="V76" s="22"/>
      <c r="W76" s="22"/>
      <c r="X76" s="22"/>
      <c r="Y76" s="22"/>
      <c r="Z76" s="210"/>
      <c r="AA76" s="210"/>
      <c r="AB76" s="210"/>
      <c r="AC76" s="165"/>
      <c r="AD76" s="165"/>
      <c r="AE76" s="165"/>
      <c r="AF76" s="165"/>
      <c r="AG76" s="165"/>
      <c r="AH76" s="165"/>
      <c r="AI76" s="165"/>
      <c r="AJ76" s="165"/>
      <c r="AK76" s="165"/>
      <c r="AL76" s="165"/>
      <c r="AM76" s="165"/>
      <c r="AN76" s="165"/>
      <c r="AO76" s="165"/>
      <c r="AP76" s="165"/>
      <c r="AQ76" s="165"/>
      <c r="AR76" s="165"/>
      <c r="AS76" s="165"/>
      <c r="AT76" s="165"/>
      <c r="AU76" s="165"/>
      <c r="AV76" s="165"/>
      <c r="AW76" s="165"/>
      <c r="AX76" s="165"/>
      <c r="AY76" s="165"/>
      <c r="AZ76" s="165"/>
      <c r="BA76" s="165"/>
      <c r="BB76" s="165"/>
      <c r="BC76" s="165"/>
      <c r="BD76" s="165"/>
      <c r="BE76" s="165"/>
      <c r="BF76" s="165"/>
      <c r="BG76" s="165"/>
      <c r="BH76" s="165"/>
      <c r="BI76" s="165"/>
      <c r="BJ76" s="165"/>
      <c r="BK76" s="165"/>
      <c r="BL76" s="165"/>
      <c r="BM76" s="165"/>
      <c r="BN76" s="165"/>
      <c r="BO76" s="165"/>
      <c r="BP76" s="165"/>
      <c r="BQ76" s="165"/>
      <c r="BR76" s="165"/>
      <c r="BS76" s="165"/>
      <c r="BT76" s="165"/>
      <c r="BU76" s="165"/>
      <c r="BV76" s="165"/>
      <c r="BW76" s="165"/>
      <c r="BX76" s="165"/>
      <c r="BY76" s="165"/>
      <c r="BZ76" s="165"/>
      <c r="CA76" s="165"/>
      <c r="CB76" s="165"/>
      <c r="CC76" s="165"/>
      <c r="CD76" s="165"/>
      <c r="CE76" s="165"/>
      <c r="CF76" s="165"/>
      <c r="CG76" s="165"/>
      <c r="CH76" s="165"/>
      <c r="CI76" s="165"/>
      <c r="CJ76" s="165"/>
      <c r="CK76" s="165"/>
      <c r="CL76" s="165"/>
      <c r="CM76" s="165"/>
      <c r="CN76" s="165"/>
      <c r="CO76" s="165"/>
      <c r="CP76" s="165"/>
      <c r="CQ76" s="165"/>
      <c r="CR76" s="165"/>
      <c r="CS76" s="165"/>
      <c r="CT76" s="165"/>
      <c r="CU76" s="165"/>
      <c r="CV76" s="165"/>
      <c r="CW76" s="165"/>
      <c r="CX76" s="165"/>
      <c r="CY76" s="165"/>
      <c r="CZ76" s="165"/>
      <c r="DA76" s="165"/>
      <c r="DB76" s="165"/>
      <c r="DC76" s="165"/>
      <c r="DD76" s="165"/>
      <c r="DE76" s="165"/>
      <c r="DF76" s="165"/>
      <c r="DG76" s="165"/>
      <c r="DH76" s="165"/>
      <c r="DI76" s="165"/>
      <c r="DJ76" s="165"/>
      <c r="DK76" s="165"/>
      <c r="DL76" s="165"/>
      <c r="DM76" s="165"/>
      <c r="DN76" s="165"/>
      <c r="DO76" s="165"/>
      <c r="DP76" s="165"/>
      <c r="DQ76" s="165"/>
      <c r="DR76" s="165"/>
      <c r="DS76" s="165"/>
      <c r="DT76" s="165"/>
      <c r="DU76" s="165"/>
      <c r="DV76" s="165"/>
      <c r="DW76" s="165"/>
      <c r="DX76" s="165"/>
      <c r="DY76" s="165"/>
      <c r="DZ76" s="165"/>
      <c r="EA76" s="165"/>
      <c r="EB76" s="165"/>
      <c r="EC76" s="165"/>
      <c r="ED76" s="165"/>
      <c r="EE76" s="165"/>
      <c r="EF76" s="165"/>
      <c r="EG76" s="165"/>
      <c r="EH76" s="165"/>
      <c r="EI76" s="165"/>
      <c r="EJ76" s="165"/>
      <c r="EK76" s="165"/>
      <c r="EL76" s="165"/>
      <c r="EM76" s="165"/>
      <c r="EN76" s="165"/>
      <c r="EO76" s="165"/>
      <c r="EP76" s="165"/>
      <c r="EQ76" s="165"/>
      <c r="ER76" s="165"/>
      <c r="ES76" s="165"/>
      <c r="ET76" s="210"/>
      <c r="EU76" s="155"/>
      <c r="EV76" s="17"/>
      <c r="EW76" s="17"/>
      <c r="EX76" s="17"/>
    </row>
    <row r="77" spans="3:154">
      <c r="C77" s="22"/>
      <c r="D77" s="22"/>
      <c r="E77" s="22"/>
      <c r="F77" s="22"/>
      <c r="G77" s="22"/>
      <c r="H77" s="22"/>
      <c r="I77" s="22"/>
      <c r="J77" s="22"/>
      <c r="K77" s="22"/>
      <c r="L77" s="22"/>
      <c r="M77" s="22"/>
      <c r="N77" s="22"/>
      <c r="O77" s="22"/>
      <c r="P77" s="22"/>
      <c r="Q77" s="22"/>
      <c r="R77" s="22"/>
      <c r="S77" s="22"/>
      <c r="T77" s="22"/>
      <c r="U77" s="22"/>
      <c r="V77" s="22"/>
      <c r="W77" s="22"/>
      <c r="X77" s="22"/>
      <c r="Y77" s="22"/>
      <c r="Z77" s="210"/>
      <c r="AA77" s="210"/>
      <c r="AB77" s="210"/>
      <c r="AC77" s="165"/>
      <c r="AD77" s="165"/>
      <c r="AE77" s="165"/>
      <c r="AF77" s="165"/>
      <c r="AG77" s="165"/>
      <c r="AH77" s="165"/>
      <c r="AI77" s="165"/>
      <c r="AJ77" s="165"/>
      <c r="AK77" s="165"/>
      <c r="AL77" s="165"/>
      <c r="AM77" s="165"/>
      <c r="AN77" s="165"/>
      <c r="AO77" s="165"/>
      <c r="AP77" s="165"/>
      <c r="AQ77" s="165"/>
      <c r="AR77" s="165"/>
      <c r="AS77" s="165"/>
      <c r="AT77" s="165"/>
      <c r="AU77" s="165"/>
      <c r="AV77" s="165"/>
      <c r="AW77" s="165"/>
      <c r="AX77" s="165"/>
      <c r="AY77" s="165"/>
      <c r="AZ77" s="165"/>
      <c r="BA77" s="165"/>
      <c r="BB77" s="165"/>
      <c r="BC77" s="165"/>
      <c r="BD77" s="165"/>
      <c r="BE77" s="165"/>
      <c r="BF77" s="165"/>
      <c r="BG77" s="165"/>
      <c r="BH77" s="165"/>
      <c r="BI77" s="165"/>
      <c r="BJ77" s="165"/>
      <c r="BK77" s="165"/>
      <c r="BL77" s="165"/>
      <c r="BM77" s="165"/>
      <c r="BN77" s="165"/>
      <c r="BO77" s="165"/>
      <c r="BP77" s="165"/>
      <c r="BQ77" s="165"/>
      <c r="BR77" s="165"/>
      <c r="BS77" s="165"/>
      <c r="BT77" s="165"/>
      <c r="BU77" s="165"/>
      <c r="BV77" s="165"/>
      <c r="BW77" s="165"/>
      <c r="BX77" s="165"/>
      <c r="BY77" s="165"/>
      <c r="BZ77" s="165"/>
      <c r="CA77" s="165"/>
      <c r="CB77" s="165"/>
      <c r="CC77" s="165"/>
      <c r="CD77" s="165"/>
      <c r="CE77" s="165"/>
      <c r="CF77" s="165"/>
      <c r="CG77" s="165"/>
      <c r="CH77" s="165"/>
      <c r="CI77" s="165"/>
      <c r="CJ77" s="165"/>
      <c r="CK77" s="165"/>
      <c r="CL77" s="165"/>
      <c r="CM77" s="165"/>
      <c r="CN77" s="165"/>
      <c r="CO77" s="165"/>
      <c r="CP77" s="165"/>
      <c r="CQ77" s="165"/>
      <c r="CR77" s="165"/>
      <c r="CS77" s="165"/>
      <c r="CT77" s="165"/>
      <c r="CU77" s="165"/>
      <c r="CV77" s="165"/>
      <c r="CW77" s="165"/>
      <c r="CX77" s="165"/>
      <c r="CY77" s="165"/>
      <c r="CZ77" s="165"/>
      <c r="DA77" s="165"/>
      <c r="DB77" s="165"/>
      <c r="DC77" s="165"/>
      <c r="DD77" s="165"/>
      <c r="DE77" s="165"/>
      <c r="DF77" s="165"/>
      <c r="DG77" s="165"/>
      <c r="DH77" s="165"/>
      <c r="DI77" s="165"/>
      <c r="DJ77" s="165"/>
      <c r="DK77" s="165"/>
      <c r="DL77" s="165"/>
      <c r="DM77" s="165"/>
      <c r="DN77" s="165"/>
      <c r="DO77" s="165"/>
      <c r="DP77" s="165"/>
      <c r="DQ77" s="165"/>
      <c r="DR77" s="165"/>
      <c r="DS77" s="165"/>
      <c r="DT77" s="165"/>
      <c r="DU77" s="165"/>
      <c r="DV77" s="165"/>
      <c r="DW77" s="165"/>
      <c r="DX77" s="165"/>
      <c r="DY77" s="165"/>
      <c r="DZ77" s="165"/>
      <c r="EA77" s="165"/>
      <c r="EB77" s="165"/>
      <c r="EC77" s="165"/>
      <c r="ED77" s="165"/>
      <c r="EE77" s="165"/>
      <c r="EF77" s="165"/>
      <c r="EG77" s="165"/>
      <c r="EH77" s="165"/>
      <c r="EI77" s="165"/>
      <c r="EJ77" s="165"/>
      <c r="EK77" s="165"/>
      <c r="EL77" s="165"/>
      <c r="EM77" s="165"/>
      <c r="EN77" s="165"/>
      <c r="EO77" s="165"/>
      <c r="EP77" s="165"/>
      <c r="EQ77" s="165"/>
      <c r="ER77" s="165"/>
      <c r="ES77" s="165"/>
      <c r="ET77" s="210"/>
      <c r="EU77" s="155"/>
      <c r="EV77" s="17"/>
      <c r="EW77" s="17"/>
      <c r="EX77" s="17"/>
    </row>
    <row r="78" spans="3:154">
      <c r="C78" s="22"/>
      <c r="D78" s="22"/>
      <c r="E78" s="22"/>
      <c r="F78" s="22"/>
      <c r="G78" s="22"/>
      <c r="H78" s="22"/>
      <c r="I78" s="22"/>
      <c r="J78" s="22"/>
      <c r="K78" s="22"/>
      <c r="L78" s="22"/>
      <c r="M78" s="22"/>
      <c r="N78" s="22"/>
      <c r="O78" s="22"/>
      <c r="P78" s="22"/>
      <c r="Q78" s="22"/>
      <c r="R78" s="22"/>
      <c r="S78" s="22"/>
      <c r="T78" s="22"/>
      <c r="U78" s="22"/>
      <c r="V78" s="22"/>
      <c r="W78" s="22"/>
      <c r="X78" s="22"/>
      <c r="Y78" s="22"/>
      <c r="Z78" s="210"/>
      <c r="AA78" s="210"/>
      <c r="AB78" s="210"/>
      <c r="AC78" s="165"/>
      <c r="AD78" s="165"/>
      <c r="AE78" s="165"/>
      <c r="AF78" s="165"/>
      <c r="AG78" s="165"/>
      <c r="AH78" s="165"/>
      <c r="AI78" s="165"/>
      <c r="AJ78" s="165"/>
      <c r="AK78" s="165"/>
      <c r="AL78" s="165"/>
      <c r="AM78" s="165"/>
      <c r="AN78" s="165"/>
      <c r="AO78" s="165"/>
      <c r="AP78" s="165"/>
      <c r="AQ78" s="165"/>
      <c r="AR78" s="165"/>
      <c r="AS78" s="165"/>
      <c r="AT78" s="165"/>
      <c r="AU78" s="165"/>
      <c r="AV78" s="165"/>
      <c r="AW78" s="165"/>
      <c r="AX78" s="165"/>
      <c r="AY78" s="165"/>
      <c r="AZ78" s="165"/>
      <c r="BA78" s="165"/>
      <c r="BB78" s="165"/>
      <c r="BC78" s="165"/>
      <c r="BD78" s="165"/>
      <c r="BE78" s="165"/>
      <c r="BF78" s="165"/>
      <c r="BG78" s="165"/>
      <c r="BH78" s="165"/>
      <c r="BI78" s="165"/>
      <c r="BJ78" s="165"/>
      <c r="BK78" s="165"/>
      <c r="BL78" s="165"/>
      <c r="BM78" s="165"/>
      <c r="BN78" s="165"/>
      <c r="BO78" s="165"/>
      <c r="BP78" s="165"/>
      <c r="BQ78" s="165"/>
      <c r="BR78" s="165"/>
      <c r="BS78" s="165"/>
      <c r="BT78" s="165"/>
      <c r="BU78" s="165"/>
      <c r="BV78" s="165"/>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c r="DH78" s="165"/>
      <c r="DI78" s="165"/>
      <c r="DJ78" s="165"/>
      <c r="DK78" s="165"/>
      <c r="DL78" s="165"/>
      <c r="DM78" s="165"/>
      <c r="DN78" s="165"/>
      <c r="DO78" s="165"/>
      <c r="DP78" s="165"/>
      <c r="DQ78" s="165"/>
      <c r="DR78" s="165"/>
      <c r="DS78" s="165"/>
      <c r="DT78" s="165"/>
      <c r="DU78" s="165"/>
      <c r="DV78" s="165"/>
      <c r="DW78" s="165"/>
      <c r="DX78" s="165"/>
      <c r="DY78" s="165"/>
      <c r="DZ78" s="165"/>
      <c r="EA78" s="165"/>
      <c r="EB78" s="165"/>
      <c r="EC78" s="165"/>
      <c r="ED78" s="165"/>
      <c r="EE78" s="165"/>
      <c r="EF78" s="165"/>
      <c r="EG78" s="165"/>
      <c r="EH78" s="165"/>
      <c r="EI78" s="165"/>
      <c r="EJ78" s="165"/>
      <c r="EK78" s="165"/>
      <c r="EL78" s="165"/>
      <c r="EM78" s="165"/>
      <c r="EN78" s="165"/>
      <c r="EO78" s="165"/>
      <c r="EP78" s="165"/>
      <c r="EQ78" s="165"/>
      <c r="ER78" s="165"/>
      <c r="ES78" s="165"/>
      <c r="ET78" s="210"/>
      <c r="EU78" s="155"/>
      <c r="EV78" s="17"/>
      <c r="EW78" s="17"/>
      <c r="EX78" s="17"/>
    </row>
    <row r="79" spans="3:154">
      <c r="C79" s="22"/>
      <c r="D79" s="22"/>
      <c r="E79" s="22"/>
      <c r="F79" s="22"/>
      <c r="G79" s="22"/>
      <c r="H79" s="22"/>
      <c r="I79" s="22"/>
      <c r="J79" s="22"/>
      <c r="K79" s="22"/>
      <c r="L79" s="22"/>
      <c r="M79" s="22"/>
      <c r="N79" s="22"/>
      <c r="O79" s="22"/>
      <c r="P79" s="22"/>
      <c r="Q79" s="22"/>
      <c r="R79" s="22"/>
      <c r="S79" s="22"/>
      <c r="T79" s="22"/>
      <c r="U79" s="22"/>
      <c r="V79" s="22"/>
      <c r="W79" s="22"/>
      <c r="X79" s="22"/>
      <c r="Y79" s="22"/>
      <c r="Z79" s="210"/>
      <c r="AA79" s="210"/>
      <c r="AB79" s="210"/>
      <c r="AC79" s="165"/>
      <c r="AD79" s="165"/>
      <c r="AE79" s="165"/>
      <c r="AF79" s="165"/>
      <c r="AG79" s="165"/>
      <c r="AH79" s="165"/>
      <c r="AI79" s="165"/>
      <c r="AJ79" s="165"/>
      <c r="AK79" s="165"/>
      <c r="AL79" s="165"/>
      <c r="AM79" s="165"/>
      <c r="AN79" s="165"/>
      <c r="AO79" s="165"/>
      <c r="AP79" s="165"/>
      <c r="AQ79" s="165"/>
      <c r="AR79" s="165"/>
      <c r="AS79" s="165"/>
      <c r="AT79" s="165"/>
      <c r="AU79" s="165"/>
      <c r="AV79" s="165"/>
      <c r="AW79" s="165"/>
      <c r="AX79" s="165"/>
      <c r="AY79" s="165"/>
      <c r="AZ79" s="165"/>
      <c r="BA79" s="165"/>
      <c r="BB79" s="165"/>
      <c r="BC79" s="165"/>
      <c r="BD79" s="165"/>
      <c r="BE79" s="165"/>
      <c r="BF79" s="165"/>
      <c r="BG79" s="165"/>
      <c r="BH79" s="165"/>
      <c r="BI79" s="165"/>
      <c r="BJ79" s="165"/>
      <c r="BK79" s="165"/>
      <c r="BL79" s="165"/>
      <c r="BM79" s="165"/>
      <c r="BN79" s="165"/>
      <c r="BO79" s="165"/>
      <c r="BP79" s="165"/>
      <c r="BQ79" s="165"/>
      <c r="BR79" s="165"/>
      <c r="BS79" s="165"/>
      <c r="BT79" s="165"/>
      <c r="BU79" s="165"/>
      <c r="BV79" s="165"/>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c r="DH79" s="165"/>
      <c r="DI79" s="165"/>
      <c r="DJ79" s="165"/>
      <c r="DK79" s="165"/>
      <c r="DL79" s="165"/>
      <c r="DM79" s="165"/>
      <c r="DN79" s="165"/>
      <c r="DO79" s="165"/>
      <c r="DP79" s="165"/>
      <c r="DQ79" s="165"/>
      <c r="DR79" s="165"/>
      <c r="DS79" s="165"/>
      <c r="DT79" s="165"/>
      <c r="DU79" s="165"/>
      <c r="DV79" s="165"/>
      <c r="DW79" s="165"/>
      <c r="DX79" s="165"/>
      <c r="DY79" s="165"/>
      <c r="DZ79" s="165"/>
      <c r="EA79" s="165"/>
      <c r="EB79" s="165"/>
      <c r="EC79" s="165"/>
      <c r="ED79" s="165"/>
      <c r="EE79" s="165"/>
      <c r="EF79" s="165"/>
      <c r="EG79" s="165"/>
      <c r="EH79" s="165"/>
      <c r="EI79" s="165"/>
      <c r="EJ79" s="165"/>
      <c r="EK79" s="165"/>
      <c r="EL79" s="165"/>
      <c r="EM79" s="165"/>
      <c r="EN79" s="165"/>
      <c r="EO79" s="165"/>
      <c r="EP79" s="165"/>
      <c r="EQ79" s="165"/>
      <c r="ER79" s="165"/>
      <c r="ES79" s="165"/>
      <c r="ET79" s="210"/>
      <c r="EU79" s="155"/>
      <c r="EV79" s="17"/>
      <c r="EW79" s="17"/>
      <c r="EX79" s="17"/>
    </row>
    <row r="80" spans="3:154">
      <c r="C80" s="22"/>
      <c r="D80" s="22"/>
      <c r="E80" s="22"/>
      <c r="F80" s="22"/>
      <c r="G80" s="22"/>
      <c r="H80" s="22"/>
      <c r="I80" s="22"/>
      <c r="J80" s="22"/>
      <c r="K80" s="22"/>
      <c r="L80" s="22"/>
      <c r="M80" s="22"/>
      <c r="N80" s="22"/>
      <c r="O80" s="22"/>
      <c r="P80" s="22"/>
      <c r="Q80" s="22"/>
      <c r="R80" s="22"/>
      <c r="S80" s="22"/>
      <c r="T80" s="22"/>
      <c r="U80" s="22"/>
      <c r="V80" s="22"/>
      <c r="W80" s="22"/>
      <c r="X80" s="22"/>
      <c r="Y80" s="22"/>
      <c r="Z80" s="210"/>
      <c r="AA80" s="210"/>
      <c r="AB80" s="210"/>
      <c r="AC80" s="165"/>
      <c r="AD80" s="165"/>
      <c r="AE80" s="165"/>
      <c r="AF80" s="165"/>
      <c r="AG80" s="165"/>
      <c r="AH80" s="165"/>
      <c r="AI80" s="165"/>
      <c r="AJ80" s="165"/>
      <c r="AK80" s="165"/>
      <c r="AL80" s="165"/>
      <c r="AM80" s="165"/>
      <c r="AN80" s="165"/>
      <c r="AO80" s="165"/>
      <c r="AP80" s="165"/>
      <c r="AQ80" s="165"/>
      <c r="AR80" s="165"/>
      <c r="AS80" s="165"/>
      <c r="AT80" s="165"/>
      <c r="AU80" s="165"/>
      <c r="AV80" s="165"/>
      <c r="AW80" s="165"/>
      <c r="AX80" s="165"/>
      <c r="AY80" s="165"/>
      <c r="AZ80" s="165"/>
      <c r="BA80" s="165"/>
      <c r="BB80" s="165"/>
      <c r="BC80" s="165"/>
      <c r="BD80" s="165"/>
      <c r="BE80" s="165"/>
      <c r="BF80" s="165"/>
      <c r="BG80" s="165"/>
      <c r="BH80" s="165"/>
      <c r="BI80" s="165"/>
      <c r="BJ80" s="165"/>
      <c r="BK80" s="165"/>
      <c r="BL80" s="165"/>
      <c r="BM80" s="165"/>
      <c r="BN80" s="165"/>
      <c r="BO80" s="165"/>
      <c r="BP80" s="165"/>
      <c r="BQ80" s="165"/>
      <c r="BR80" s="165"/>
      <c r="BS80" s="165"/>
      <c r="BT80" s="165"/>
      <c r="BU80" s="165"/>
      <c r="BV80" s="165"/>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c r="DH80" s="165"/>
      <c r="DI80" s="165"/>
      <c r="DJ80" s="165"/>
      <c r="DK80" s="165"/>
      <c r="DL80" s="165"/>
      <c r="DM80" s="165"/>
      <c r="DN80" s="165"/>
      <c r="DO80" s="165"/>
      <c r="DP80" s="165"/>
      <c r="DQ80" s="165"/>
      <c r="DR80" s="165"/>
      <c r="DS80" s="165"/>
      <c r="DT80" s="165"/>
      <c r="DU80" s="165"/>
      <c r="DV80" s="165"/>
      <c r="DW80" s="165"/>
      <c r="DX80" s="165"/>
      <c r="DY80" s="165"/>
      <c r="DZ80" s="165"/>
      <c r="EA80" s="165"/>
      <c r="EB80" s="165"/>
      <c r="EC80" s="165"/>
      <c r="ED80" s="165"/>
      <c r="EE80" s="165"/>
      <c r="EF80" s="165"/>
      <c r="EG80" s="165"/>
      <c r="EH80" s="165"/>
      <c r="EI80" s="165"/>
      <c r="EJ80" s="165"/>
      <c r="EK80" s="165"/>
      <c r="EL80" s="165"/>
      <c r="EM80" s="165"/>
      <c r="EN80" s="165"/>
      <c r="EO80" s="165"/>
      <c r="EP80" s="165"/>
      <c r="EQ80" s="165"/>
      <c r="ER80" s="165"/>
      <c r="ES80" s="165"/>
      <c r="ET80" s="210"/>
      <c r="EU80" s="155"/>
      <c r="EV80" s="17"/>
      <c r="EW80" s="17"/>
      <c r="EX80" s="17"/>
    </row>
    <row r="81" spans="3:154">
      <c r="C81" s="22"/>
      <c r="D81" s="22"/>
      <c r="E81" s="22"/>
      <c r="F81" s="22"/>
      <c r="G81" s="22"/>
      <c r="H81" s="22"/>
      <c r="I81" s="22"/>
      <c r="J81" s="22"/>
      <c r="K81" s="22"/>
      <c r="L81" s="22"/>
      <c r="M81" s="22"/>
      <c r="N81" s="22"/>
      <c r="O81" s="22"/>
      <c r="P81" s="22"/>
      <c r="Q81" s="22"/>
      <c r="R81" s="22"/>
      <c r="S81" s="22"/>
      <c r="T81" s="22"/>
      <c r="U81" s="22"/>
      <c r="V81" s="22"/>
      <c r="W81" s="22"/>
      <c r="X81" s="22"/>
      <c r="Y81" s="22"/>
      <c r="Z81" s="210"/>
      <c r="AA81" s="210"/>
      <c r="AB81" s="210"/>
      <c r="AC81" s="165"/>
      <c r="AD81" s="165"/>
      <c r="AE81" s="165"/>
      <c r="AF81" s="165"/>
      <c r="AG81" s="165"/>
      <c r="AH81" s="165"/>
      <c r="AI81" s="165"/>
      <c r="AJ81" s="165"/>
      <c r="AK81" s="165"/>
      <c r="AL81" s="165"/>
      <c r="AM81" s="165"/>
      <c r="AN81" s="165"/>
      <c r="AO81" s="165"/>
      <c r="AP81" s="165"/>
      <c r="AQ81" s="165"/>
      <c r="AR81" s="165"/>
      <c r="AS81" s="165"/>
      <c r="AT81" s="165"/>
      <c r="AU81" s="165"/>
      <c r="AV81" s="165"/>
      <c r="AW81" s="165"/>
      <c r="AX81" s="165"/>
      <c r="AY81" s="165"/>
      <c r="AZ81" s="165"/>
      <c r="BA81" s="165"/>
      <c r="BB81" s="165"/>
      <c r="BC81" s="165"/>
      <c r="BD81" s="165"/>
      <c r="BE81" s="165"/>
      <c r="BF81" s="165"/>
      <c r="BG81" s="165"/>
      <c r="BH81" s="165"/>
      <c r="BI81" s="165"/>
      <c r="BJ81" s="165"/>
      <c r="BK81" s="165"/>
      <c r="BL81" s="165"/>
      <c r="BM81" s="165"/>
      <c r="BN81" s="165"/>
      <c r="BO81" s="165"/>
      <c r="BP81" s="165"/>
      <c r="BQ81" s="165"/>
      <c r="BR81" s="165"/>
      <c r="BS81" s="165"/>
      <c r="BT81" s="165"/>
      <c r="BU81" s="165"/>
      <c r="BV81" s="165"/>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c r="DH81" s="165"/>
      <c r="DI81" s="165"/>
      <c r="DJ81" s="165"/>
      <c r="DK81" s="165"/>
      <c r="DL81" s="165"/>
      <c r="DM81" s="165"/>
      <c r="DN81" s="165"/>
      <c r="DO81" s="165"/>
      <c r="DP81" s="165"/>
      <c r="DQ81" s="165"/>
      <c r="DR81" s="165"/>
      <c r="DS81" s="165"/>
      <c r="DT81" s="165"/>
      <c r="DU81" s="165"/>
      <c r="DV81" s="165"/>
      <c r="DW81" s="165"/>
      <c r="DX81" s="165"/>
      <c r="DY81" s="165"/>
      <c r="DZ81" s="165"/>
      <c r="EA81" s="165"/>
      <c r="EB81" s="165"/>
      <c r="EC81" s="165"/>
      <c r="ED81" s="165"/>
      <c r="EE81" s="165"/>
      <c r="EF81" s="165"/>
      <c r="EG81" s="165"/>
      <c r="EH81" s="165"/>
      <c r="EI81" s="165"/>
      <c r="EJ81" s="165"/>
      <c r="EK81" s="165"/>
      <c r="EL81" s="165"/>
      <c r="EM81" s="165"/>
      <c r="EN81" s="165"/>
      <c r="EO81" s="165"/>
      <c r="EP81" s="165"/>
      <c r="EQ81" s="165"/>
      <c r="ER81" s="165"/>
      <c r="ES81" s="165"/>
      <c r="ET81" s="210"/>
      <c r="EU81" s="155"/>
      <c r="EV81" s="17"/>
      <c r="EW81" s="17"/>
      <c r="EX81" s="17"/>
    </row>
    <row r="82" spans="3:154">
      <c r="C82" s="22"/>
      <c r="D82" s="22"/>
      <c r="E82" s="22"/>
      <c r="F82" s="22"/>
      <c r="G82" s="22"/>
      <c r="H82" s="22"/>
      <c r="I82" s="22"/>
      <c r="J82" s="22"/>
      <c r="K82" s="22"/>
      <c r="L82" s="22"/>
      <c r="M82" s="22"/>
      <c r="N82" s="22"/>
      <c r="O82" s="22"/>
      <c r="P82" s="22"/>
      <c r="Q82" s="22"/>
      <c r="R82" s="22"/>
      <c r="S82" s="22"/>
      <c r="T82" s="22"/>
      <c r="U82" s="22"/>
      <c r="V82" s="22"/>
      <c r="W82" s="22"/>
      <c r="X82" s="22"/>
      <c r="Y82" s="22"/>
      <c r="Z82" s="210"/>
      <c r="AA82" s="210"/>
      <c r="AB82" s="210"/>
      <c r="AC82" s="165"/>
      <c r="AD82" s="165"/>
      <c r="AE82" s="165"/>
      <c r="AF82" s="165"/>
      <c r="AG82" s="165"/>
      <c r="AH82" s="165"/>
      <c r="AI82" s="165"/>
      <c r="AJ82" s="165"/>
      <c r="AK82" s="165"/>
      <c r="AL82" s="165"/>
      <c r="AM82" s="165"/>
      <c r="AN82" s="165"/>
      <c r="AO82" s="165"/>
      <c r="AP82" s="165"/>
      <c r="AQ82" s="165"/>
      <c r="AR82" s="165"/>
      <c r="AS82" s="165"/>
      <c r="AT82" s="165"/>
      <c r="AU82" s="165"/>
      <c r="AV82" s="165"/>
      <c r="AW82" s="165"/>
      <c r="AX82" s="165"/>
      <c r="AY82" s="165"/>
      <c r="AZ82" s="165"/>
      <c r="BA82" s="165"/>
      <c r="BB82" s="165"/>
      <c r="BC82" s="165"/>
      <c r="BD82" s="165"/>
      <c r="BE82" s="165"/>
      <c r="BF82" s="165"/>
      <c r="BG82" s="165"/>
      <c r="BH82" s="165"/>
      <c r="BI82" s="165"/>
      <c r="BJ82" s="165"/>
      <c r="BK82" s="165"/>
      <c r="BL82" s="165"/>
      <c r="BM82" s="165"/>
      <c r="BN82" s="165"/>
      <c r="BO82" s="165"/>
      <c r="BP82" s="165"/>
      <c r="BQ82" s="165"/>
      <c r="BR82" s="165"/>
      <c r="BS82" s="165"/>
      <c r="BT82" s="165"/>
      <c r="BU82" s="165"/>
      <c r="BV82" s="165"/>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c r="DH82" s="165"/>
      <c r="DI82" s="165"/>
      <c r="DJ82" s="165"/>
      <c r="DK82" s="165"/>
      <c r="DL82" s="165"/>
      <c r="DM82" s="165"/>
      <c r="DN82" s="165"/>
      <c r="DO82" s="165"/>
      <c r="DP82" s="165"/>
      <c r="DQ82" s="165"/>
      <c r="DR82" s="165"/>
      <c r="DS82" s="165"/>
      <c r="DT82" s="165"/>
      <c r="DU82" s="165"/>
      <c r="DV82" s="165"/>
      <c r="DW82" s="165"/>
      <c r="DX82" s="165"/>
      <c r="DY82" s="165"/>
      <c r="DZ82" s="165"/>
      <c r="EA82" s="165"/>
      <c r="EB82" s="165"/>
      <c r="EC82" s="165"/>
      <c r="ED82" s="165"/>
      <c r="EE82" s="165"/>
      <c r="EF82" s="165"/>
      <c r="EG82" s="165"/>
      <c r="EH82" s="165"/>
      <c r="EI82" s="165"/>
      <c r="EJ82" s="165"/>
      <c r="EK82" s="165"/>
      <c r="EL82" s="165"/>
      <c r="EM82" s="165"/>
      <c r="EN82" s="165"/>
      <c r="EO82" s="165"/>
      <c r="EP82" s="165"/>
      <c r="EQ82" s="165"/>
      <c r="ER82" s="165"/>
      <c r="ES82" s="165"/>
      <c r="ET82" s="210"/>
      <c r="EU82" s="155"/>
      <c r="EV82" s="17"/>
      <c r="EW82" s="17"/>
      <c r="EX82" s="17"/>
    </row>
    <row r="83" spans="3:154">
      <c r="C83" s="22"/>
      <c r="D83" s="22"/>
      <c r="E83" s="22"/>
      <c r="F83" s="22"/>
      <c r="G83" s="22"/>
      <c r="H83" s="22"/>
      <c r="I83" s="22"/>
      <c r="J83" s="22"/>
      <c r="K83" s="22"/>
      <c r="L83" s="22"/>
      <c r="M83" s="22"/>
      <c r="N83" s="22"/>
      <c r="O83" s="22"/>
      <c r="P83" s="22"/>
      <c r="Q83" s="22"/>
      <c r="R83" s="22"/>
      <c r="S83" s="22"/>
      <c r="T83" s="22"/>
      <c r="U83" s="22"/>
      <c r="V83" s="22"/>
      <c r="W83" s="22"/>
      <c r="X83" s="22"/>
      <c r="Y83" s="22"/>
      <c r="Z83" s="210"/>
      <c r="AA83" s="210"/>
      <c r="AB83" s="210"/>
      <c r="AC83" s="165"/>
      <c r="AD83" s="165"/>
      <c r="AE83" s="165"/>
      <c r="AF83" s="165"/>
      <c r="AG83" s="165"/>
      <c r="AH83" s="165"/>
      <c r="AI83" s="165"/>
      <c r="AJ83" s="165"/>
      <c r="AK83" s="165"/>
      <c r="AL83" s="165"/>
      <c r="AM83" s="165"/>
      <c r="AN83" s="165"/>
      <c r="AO83" s="165"/>
      <c r="AP83" s="165"/>
      <c r="AQ83" s="165"/>
      <c r="AR83" s="165"/>
      <c r="AS83" s="165"/>
      <c r="AT83" s="165"/>
      <c r="AU83" s="165"/>
      <c r="AV83" s="165"/>
      <c r="AW83" s="165"/>
      <c r="AX83" s="165"/>
      <c r="AY83" s="165"/>
      <c r="AZ83" s="165"/>
      <c r="BA83" s="165"/>
      <c r="BB83" s="165"/>
      <c r="BC83" s="165"/>
      <c r="BD83" s="165"/>
      <c r="BE83" s="165"/>
      <c r="BF83" s="165"/>
      <c r="BG83" s="165"/>
      <c r="BH83" s="165"/>
      <c r="BI83" s="165"/>
      <c r="BJ83" s="165"/>
      <c r="BK83" s="165"/>
      <c r="BL83" s="165"/>
      <c r="BM83" s="165"/>
      <c r="BN83" s="165"/>
      <c r="BO83" s="165"/>
      <c r="BP83" s="165"/>
      <c r="BQ83" s="165"/>
      <c r="BR83" s="165"/>
      <c r="BS83" s="165"/>
      <c r="BT83" s="165"/>
      <c r="BU83" s="165"/>
      <c r="BV83" s="165"/>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c r="DH83" s="165"/>
      <c r="DI83" s="165"/>
      <c r="DJ83" s="165"/>
      <c r="DK83" s="165"/>
      <c r="DL83" s="165"/>
      <c r="DM83" s="165"/>
      <c r="DN83" s="165"/>
      <c r="DO83" s="165"/>
      <c r="DP83" s="165"/>
      <c r="DQ83" s="165"/>
      <c r="DR83" s="165"/>
      <c r="DS83" s="165"/>
      <c r="DT83" s="165"/>
      <c r="DU83" s="165"/>
      <c r="DV83" s="165"/>
      <c r="DW83" s="165"/>
      <c r="DX83" s="165"/>
      <c r="DY83" s="165"/>
      <c r="DZ83" s="165"/>
      <c r="EA83" s="165"/>
      <c r="EB83" s="165"/>
      <c r="EC83" s="165"/>
      <c r="ED83" s="165"/>
      <c r="EE83" s="165"/>
      <c r="EF83" s="165"/>
      <c r="EG83" s="165"/>
      <c r="EH83" s="165"/>
      <c r="EI83" s="165"/>
      <c r="EJ83" s="165"/>
      <c r="EK83" s="165"/>
      <c r="EL83" s="165"/>
      <c r="EM83" s="165"/>
      <c r="EN83" s="165"/>
      <c r="EO83" s="165"/>
      <c r="EP83" s="165"/>
      <c r="EQ83" s="165"/>
      <c r="ER83" s="165"/>
      <c r="ES83" s="165"/>
      <c r="ET83" s="210"/>
      <c r="EU83" s="155"/>
      <c r="EV83" s="17"/>
      <c r="EW83" s="17"/>
      <c r="EX83" s="17"/>
    </row>
    <row r="84" spans="3:154">
      <c r="C84" s="22"/>
      <c r="D84" s="22"/>
      <c r="E84" s="22"/>
      <c r="F84" s="22"/>
      <c r="G84" s="22"/>
      <c r="H84" s="22"/>
      <c r="I84" s="22"/>
      <c r="J84" s="22"/>
      <c r="K84" s="22"/>
      <c r="L84" s="22"/>
      <c r="M84" s="22"/>
      <c r="N84" s="22"/>
      <c r="O84" s="22"/>
      <c r="P84" s="22"/>
      <c r="Q84" s="22"/>
      <c r="R84" s="22"/>
      <c r="S84" s="22"/>
      <c r="T84" s="22"/>
      <c r="U84" s="22"/>
      <c r="V84" s="22"/>
      <c r="W84" s="22"/>
      <c r="X84" s="22"/>
      <c r="Y84" s="22"/>
      <c r="Z84" s="210"/>
      <c r="AA84" s="210"/>
      <c r="AB84" s="210"/>
      <c r="AC84" s="165"/>
      <c r="AD84" s="165"/>
      <c r="AE84" s="165"/>
      <c r="AF84" s="165"/>
      <c r="AG84" s="165"/>
      <c r="AH84" s="165"/>
      <c r="AI84" s="165"/>
      <c r="AJ84" s="165"/>
      <c r="AK84" s="165"/>
      <c r="AL84" s="165"/>
      <c r="AM84" s="165"/>
      <c r="AN84" s="165"/>
      <c r="AO84" s="165"/>
      <c r="AP84" s="165"/>
      <c r="AQ84" s="165"/>
      <c r="AR84" s="165"/>
      <c r="AS84" s="165"/>
      <c r="AT84" s="165"/>
      <c r="AU84" s="165"/>
      <c r="AV84" s="165"/>
      <c r="AW84" s="165"/>
      <c r="AX84" s="165"/>
      <c r="AY84" s="165"/>
      <c r="AZ84" s="165"/>
      <c r="BA84" s="165"/>
      <c r="BB84" s="165"/>
      <c r="BC84" s="165"/>
      <c r="BD84" s="165"/>
      <c r="BE84" s="165"/>
      <c r="BF84" s="165"/>
      <c r="BG84" s="165"/>
      <c r="BH84" s="165"/>
      <c r="BI84" s="165"/>
      <c r="BJ84" s="165"/>
      <c r="BK84" s="165"/>
      <c r="BL84" s="165"/>
      <c r="BM84" s="165"/>
      <c r="BN84" s="165"/>
      <c r="BO84" s="165"/>
      <c r="BP84" s="165"/>
      <c r="BQ84" s="165"/>
      <c r="BR84" s="165"/>
      <c r="BS84" s="165"/>
      <c r="BT84" s="165"/>
      <c r="BU84" s="165"/>
      <c r="BV84" s="165"/>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c r="DH84" s="165"/>
      <c r="DI84" s="165"/>
      <c r="DJ84" s="165"/>
      <c r="DK84" s="165"/>
      <c r="DL84" s="165"/>
      <c r="DM84" s="165"/>
      <c r="DN84" s="165"/>
      <c r="DO84" s="165"/>
      <c r="DP84" s="165"/>
      <c r="DQ84" s="165"/>
      <c r="DR84" s="165"/>
      <c r="DS84" s="165"/>
      <c r="DT84" s="165"/>
      <c r="DU84" s="165"/>
      <c r="DV84" s="165"/>
      <c r="DW84" s="165"/>
      <c r="DX84" s="165"/>
      <c r="DY84" s="165"/>
      <c r="DZ84" s="165"/>
      <c r="EA84" s="165"/>
      <c r="EB84" s="165"/>
      <c r="EC84" s="165"/>
      <c r="ED84" s="165"/>
      <c r="EE84" s="165"/>
      <c r="EF84" s="165"/>
      <c r="EG84" s="165"/>
      <c r="EH84" s="165"/>
      <c r="EI84" s="165"/>
      <c r="EJ84" s="165"/>
      <c r="EK84" s="165"/>
      <c r="EL84" s="165"/>
      <c r="EM84" s="165"/>
      <c r="EN84" s="165"/>
      <c r="EO84" s="165"/>
      <c r="EP84" s="165"/>
      <c r="EQ84" s="165"/>
      <c r="ER84" s="165"/>
      <c r="ES84" s="165"/>
      <c r="ET84" s="210"/>
      <c r="EU84" s="155"/>
      <c r="EV84" s="17"/>
      <c r="EW84" s="17"/>
      <c r="EX84" s="17"/>
    </row>
    <row r="85" spans="3:154">
      <c r="C85" s="22"/>
      <c r="D85" s="22"/>
      <c r="E85" s="22"/>
      <c r="F85" s="22"/>
      <c r="G85" s="22"/>
      <c r="H85" s="22"/>
      <c r="I85" s="22"/>
      <c r="J85" s="22"/>
      <c r="K85" s="22"/>
      <c r="L85" s="22"/>
      <c r="M85" s="22"/>
      <c r="N85" s="22"/>
      <c r="O85" s="22"/>
      <c r="P85" s="22"/>
      <c r="Q85" s="22"/>
      <c r="R85" s="22"/>
      <c r="S85" s="22"/>
      <c r="T85" s="22"/>
      <c r="U85" s="22"/>
      <c r="V85" s="22"/>
      <c r="W85" s="22"/>
      <c r="X85" s="22"/>
      <c r="Y85" s="22"/>
      <c r="Z85" s="210"/>
      <c r="AA85" s="210"/>
      <c r="AB85" s="210"/>
      <c r="AC85" s="165"/>
      <c r="AD85" s="165"/>
      <c r="AE85" s="165"/>
      <c r="AF85" s="165"/>
      <c r="AG85" s="165"/>
      <c r="AH85" s="165"/>
      <c r="AI85" s="165"/>
      <c r="AJ85" s="165"/>
      <c r="AK85" s="165"/>
      <c r="AL85" s="165"/>
      <c r="AM85" s="165"/>
      <c r="AN85" s="165"/>
      <c r="AO85" s="165"/>
      <c r="AP85" s="165"/>
      <c r="AQ85" s="165"/>
      <c r="AR85" s="165"/>
      <c r="AS85" s="165"/>
      <c r="AT85" s="165"/>
      <c r="AU85" s="165"/>
      <c r="AV85" s="165"/>
      <c r="AW85" s="165"/>
      <c r="AX85" s="165"/>
      <c r="AY85" s="165"/>
      <c r="AZ85" s="165"/>
      <c r="BA85" s="165"/>
      <c r="BB85" s="165"/>
      <c r="BC85" s="165"/>
      <c r="BD85" s="165"/>
      <c r="BE85" s="165"/>
      <c r="BF85" s="165"/>
      <c r="BG85" s="165"/>
      <c r="BH85" s="165"/>
      <c r="BI85" s="165"/>
      <c r="BJ85" s="165"/>
      <c r="BK85" s="165"/>
      <c r="BL85" s="165"/>
      <c r="BM85" s="165"/>
      <c r="BN85" s="165"/>
      <c r="BO85" s="165"/>
      <c r="BP85" s="165"/>
      <c r="BQ85" s="165"/>
      <c r="BR85" s="165"/>
      <c r="BS85" s="165"/>
      <c r="BT85" s="165"/>
      <c r="BU85" s="165"/>
      <c r="BV85" s="165"/>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c r="DH85" s="165"/>
      <c r="DI85" s="165"/>
      <c r="DJ85" s="165"/>
      <c r="DK85" s="165"/>
      <c r="DL85" s="165"/>
      <c r="DM85" s="165"/>
      <c r="DN85" s="165"/>
      <c r="DO85" s="165"/>
      <c r="DP85" s="165"/>
      <c r="DQ85" s="165"/>
      <c r="DR85" s="165"/>
      <c r="DS85" s="165"/>
      <c r="DT85" s="165"/>
      <c r="DU85" s="165"/>
      <c r="DV85" s="165"/>
      <c r="DW85" s="165"/>
      <c r="DX85" s="165"/>
      <c r="DY85" s="165"/>
      <c r="DZ85" s="165"/>
      <c r="EA85" s="165"/>
      <c r="EB85" s="165"/>
      <c r="EC85" s="165"/>
      <c r="ED85" s="165"/>
      <c r="EE85" s="165"/>
      <c r="EF85" s="165"/>
      <c r="EG85" s="165"/>
      <c r="EH85" s="165"/>
      <c r="EI85" s="165"/>
      <c r="EJ85" s="165"/>
      <c r="EK85" s="165"/>
      <c r="EL85" s="165"/>
      <c r="EM85" s="165"/>
      <c r="EN85" s="165"/>
      <c r="EO85" s="165"/>
      <c r="EP85" s="165"/>
      <c r="EQ85" s="165"/>
      <c r="ER85" s="165"/>
      <c r="ES85" s="165"/>
      <c r="ET85" s="210"/>
      <c r="EU85" s="155"/>
      <c r="EV85" s="17"/>
      <c r="EW85" s="17"/>
      <c r="EX85" s="17"/>
    </row>
    <row r="86" spans="3:154">
      <c r="C86" s="22"/>
      <c r="D86" s="22"/>
      <c r="E86" s="22"/>
      <c r="F86" s="22"/>
      <c r="G86" s="22"/>
      <c r="H86" s="22"/>
      <c r="I86" s="22"/>
      <c r="J86" s="22"/>
      <c r="K86" s="22"/>
      <c r="L86" s="22"/>
      <c r="M86" s="22"/>
      <c r="N86" s="22"/>
      <c r="O86" s="22"/>
      <c r="P86" s="22"/>
      <c r="Q86" s="22"/>
      <c r="R86" s="22"/>
      <c r="S86" s="22"/>
      <c r="T86" s="22"/>
      <c r="U86" s="22"/>
      <c r="V86" s="22"/>
      <c r="W86" s="22"/>
      <c r="X86" s="22"/>
      <c r="Y86" s="22"/>
      <c r="Z86" s="210"/>
      <c r="AA86" s="210"/>
      <c r="AB86" s="210"/>
      <c r="AC86" s="165"/>
      <c r="AD86" s="165"/>
      <c r="AE86" s="165"/>
      <c r="AF86" s="165"/>
      <c r="AG86" s="165"/>
      <c r="AH86" s="165"/>
      <c r="AI86" s="165"/>
      <c r="AJ86" s="165"/>
      <c r="AK86" s="165"/>
      <c r="AL86" s="165"/>
      <c r="AM86" s="165"/>
      <c r="AN86" s="165"/>
      <c r="AO86" s="165"/>
      <c r="AP86" s="165"/>
      <c r="AQ86" s="165"/>
      <c r="AR86" s="165"/>
      <c r="AS86" s="165"/>
      <c r="AT86" s="165"/>
      <c r="AU86" s="165"/>
      <c r="AV86" s="165"/>
      <c r="AW86" s="165"/>
      <c r="AX86" s="165"/>
      <c r="AY86" s="165"/>
      <c r="AZ86" s="165"/>
      <c r="BA86" s="165"/>
      <c r="BB86" s="165"/>
      <c r="BC86" s="165"/>
      <c r="BD86" s="165"/>
      <c r="BE86" s="165"/>
      <c r="BF86" s="165"/>
      <c r="BG86" s="165"/>
      <c r="BH86" s="165"/>
      <c r="BI86" s="165"/>
      <c r="BJ86" s="165"/>
      <c r="BK86" s="165"/>
      <c r="BL86" s="165"/>
      <c r="BM86" s="165"/>
      <c r="BN86" s="165"/>
      <c r="BO86" s="165"/>
      <c r="BP86" s="165"/>
      <c r="BQ86" s="165"/>
      <c r="BR86" s="165"/>
      <c r="BS86" s="165"/>
      <c r="BT86" s="165"/>
      <c r="BU86" s="165"/>
      <c r="BV86" s="165"/>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c r="DH86" s="165"/>
      <c r="DI86" s="165"/>
      <c r="DJ86" s="165"/>
      <c r="DK86" s="165"/>
      <c r="DL86" s="165"/>
      <c r="DM86" s="165"/>
      <c r="DN86" s="165"/>
      <c r="DO86" s="165"/>
      <c r="DP86" s="165"/>
      <c r="DQ86" s="165"/>
      <c r="DR86" s="165"/>
      <c r="DS86" s="165"/>
      <c r="DT86" s="165"/>
      <c r="DU86" s="165"/>
      <c r="DV86" s="165"/>
      <c r="DW86" s="165"/>
      <c r="DX86" s="165"/>
      <c r="DY86" s="165"/>
      <c r="DZ86" s="165"/>
      <c r="EA86" s="165"/>
      <c r="EB86" s="165"/>
      <c r="EC86" s="165"/>
      <c r="ED86" s="165"/>
      <c r="EE86" s="165"/>
      <c r="EF86" s="165"/>
      <c r="EG86" s="165"/>
      <c r="EH86" s="165"/>
      <c r="EI86" s="165"/>
      <c r="EJ86" s="165"/>
      <c r="EK86" s="165"/>
      <c r="EL86" s="165"/>
      <c r="EM86" s="165"/>
      <c r="EN86" s="165"/>
      <c r="EO86" s="165"/>
      <c r="EP86" s="165"/>
      <c r="EQ86" s="165"/>
      <c r="ER86" s="165"/>
      <c r="ES86" s="165"/>
      <c r="ET86" s="210"/>
      <c r="EU86" s="155"/>
      <c r="EV86" s="17"/>
      <c r="EW86" s="17"/>
      <c r="EX86" s="17"/>
    </row>
    <row r="87" spans="3:154">
      <c r="C87" s="22"/>
      <c r="D87" s="22"/>
      <c r="E87" s="22"/>
      <c r="F87" s="22"/>
      <c r="G87" s="22"/>
      <c r="H87" s="22"/>
      <c r="I87" s="22"/>
      <c r="J87" s="22"/>
      <c r="K87" s="22"/>
      <c r="L87" s="22"/>
      <c r="M87" s="22"/>
      <c r="N87" s="22"/>
      <c r="O87" s="22"/>
      <c r="P87" s="22"/>
      <c r="Q87" s="22"/>
      <c r="R87" s="22"/>
      <c r="S87" s="22"/>
      <c r="T87" s="22"/>
      <c r="U87" s="22"/>
      <c r="V87" s="22"/>
      <c r="W87" s="22"/>
      <c r="X87" s="22"/>
      <c r="Y87" s="22"/>
      <c r="Z87" s="210"/>
      <c r="AA87" s="210"/>
      <c r="AB87" s="210"/>
      <c r="AC87" s="165"/>
      <c r="AD87" s="165"/>
      <c r="AE87" s="165"/>
      <c r="AF87" s="165"/>
      <c r="AG87" s="165"/>
      <c r="AH87" s="165"/>
      <c r="AI87" s="165"/>
      <c r="AJ87" s="165"/>
      <c r="AK87" s="165"/>
      <c r="AL87" s="165"/>
      <c r="AM87" s="165"/>
      <c r="AN87" s="165"/>
      <c r="AO87" s="165"/>
      <c r="AP87" s="165"/>
      <c r="AQ87" s="165"/>
      <c r="AR87" s="165"/>
      <c r="AS87" s="165"/>
      <c r="AT87" s="165"/>
      <c r="AU87" s="165"/>
      <c r="AV87" s="165"/>
      <c r="AW87" s="165"/>
      <c r="AX87" s="165"/>
      <c r="AY87" s="165"/>
      <c r="AZ87" s="165"/>
      <c r="BA87" s="165"/>
      <c r="BB87" s="165"/>
      <c r="BC87" s="165"/>
      <c r="BD87" s="165"/>
      <c r="BE87" s="165"/>
      <c r="BF87" s="165"/>
      <c r="BG87" s="165"/>
      <c r="BH87" s="165"/>
      <c r="BI87" s="165"/>
      <c r="BJ87" s="165"/>
      <c r="BK87" s="165"/>
      <c r="BL87" s="165"/>
      <c r="BM87" s="165"/>
      <c r="BN87" s="165"/>
      <c r="BO87" s="165"/>
      <c r="BP87" s="165"/>
      <c r="BQ87" s="165"/>
      <c r="BR87" s="165"/>
      <c r="BS87" s="165"/>
      <c r="BT87" s="165"/>
      <c r="BU87" s="165"/>
      <c r="BV87" s="165"/>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c r="DH87" s="165"/>
      <c r="DI87" s="165"/>
      <c r="DJ87" s="165"/>
      <c r="DK87" s="165"/>
      <c r="DL87" s="165"/>
      <c r="DM87" s="165"/>
      <c r="DN87" s="165"/>
      <c r="DO87" s="165"/>
      <c r="DP87" s="165"/>
      <c r="DQ87" s="165"/>
      <c r="DR87" s="165"/>
      <c r="DS87" s="165"/>
      <c r="DT87" s="165"/>
      <c r="DU87" s="165"/>
      <c r="DV87" s="165"/>
      <c r="DW87" s="165"/>
      <c r="DX87" s="165"/>
      <c r="DY87" s="165"/>
      <c r="DZ87" s="165"/>
      <c r="EA87" s="165"/>
      <c r="EB87" s="165"/>
      <c r="EC87" s="165"/>
      <c r="ED87" s="165"/>
      <c r="EE87" s="165"/>
      <c r="EF87" s="165"/>
      <c r="EG87" s="165"/>
      <c r="EH87" s="165"/>
      <c r="EI87" s="165"/>
      <c r="EJ87" s="165"/>
      <c r="EK87" s="165"/>
      <c r="EL87" s="165"/>
      <c r="EM87" s="165"/>
      <c r="EN87" s="165"/>
      <c r="EO87" s="165"/>
      <c r="EP87" s="165"/>
      <c r="EQ87" s="165"/>
      <c r="ER87" s="165"/>
      <c r="ES87" s="165"/>
      <c r="ET87" s="210"/>
      <c r="EU87" s="155"/>
      <c r="EV87" s="17"/>
      <c r="EW87" s="17"/>
      <c r="EX87" s="17"/>
    </row>
    <row r="88" spans="3:154">
      <c r="C88" s="22"/>
      <c r="D88" s="22"/>
      <c r="E88" s="22"/>
      <c r="F88" s="22"/>
      <c r="G88" s="22"/>
      <c r="H88" s="22"/>
      <c r="I88" s="22"/>
      <c r="J88" s="22"/>
      <c r="K88" s="22"/>
      <c r="L88" s="22"/>
      <c r="M88" s="22"/>
      <c r="N88" s="22"/>
      <c r="O88" s="22"/>
      <c r="P88" s="22"/>
      <c r="Q88" s="22"/>
      <c r="R88" s="22"/>
      <c r="S88" s="22"/>
      <c r="T88" s="22"/>
      <c r="U88" s="22"/>
      <c r="V88" s="22"/>
      <c r="W88" s="22"/>
      <c r="X88" s="22"/>
      <c r="Y88" s="22"/>
      <c r="Z88" s="210"/>
      <c r="AA88" s="210"/>
      <c r="AB88" s="210"/>
      <c r="AC88" s="165"/>
      <c r="AD88" s="165"/>
      <c r="AE88" s="165"/>
      <c r="AF88" s="165"/>
      <c r="AG88" s="165"/>
      <c r="AH88" s="165"/>
      <c r="AI88" s="165"/>
      <c r="AJ88" s="165"/>
      <c r="AK88" s="165"/>
      <c r="AL88" s="165"/>
      <c r="AM88" s="165"/>
      <c r="AN88" s="165"/>
      <c r="AO88" s="165"/>
      <c r="AP88" s="165"/>
      <c r="AQ88" s="165"/>
      <c r="AR88" s="165"/>
      <c r="AS88" s="165"/>
      <c r="AT88" s="165"/>
      <c r="AU88" s="165"/>
      <c r="AV88" s="165"/>
      <c r="AW88" s="165"/>
      <c r="AX88" s="165"/>
      <c r="AY88" s="165"/>
      <c r="AZ88" s="165"/>
      <c r="BA88" s="165"/>
      <c r="BB88" s="165"/>
      <c r="BC88" s="165"/>
      <c r="BD88" s="165"/>
      <c r="BE88" s="165"/>
      <c r="BF88" s="165"/>
      <c r="BG88" s="165"/>
      <c r="BH88" s="165"/>
      <c r="BI88" s="165"/>
      <c r="BJ88" s="165"/>
      <c r="BK88" s="165"/>
      <c r="BL88" s="165"/>
      <c r="BM88" s="165"/>
      <c r="BN88" s="165"/>
      <c r="BO88" s="165"/>
      <c r="BP88" s="165"/>
      <c r="BQ88" s="165"/>
      <c r="BR88" s="165"/>
      <c r="BS88" s="165"/>
      <c r="BT88" s="165"/>
      <c r="BU88" s="165"/>
      <c r="BV88" s="165"/>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c r="DH88" s="165"/>
      <c r="DI88" s="165"/>
      <c r="DJ88" s="165"/>
      <c r="DK88" s="165"/>
      <c r="DL88" s="165"/>
      <c r="DM88" s="165"/>
      <c r="DN88" s="165"/>
      <c r="DO88" s="165"/>
      <c r="DP88" s="165"/>
      <c r="DQ88" s="165"/>
      <c r="DR88" s="165"/>
      <c r="DS88" s="165"/>
      <c r="DT88" s="165"/>
      <c r="DU88" s="165"/>
      <c r="DV88" s="165"/>
      <c r="DW88" s="165"/>
      <c r="DX88" s="165"/>
      <c r="DY88" s="165"/>
      <c r="DZ88" s="165"/>
      <c r="EA88" s="165"/>
      <c r="EB88" s="165"/>
      <c r="EC88" s="165"/>
      <c r="ED88" s="165"/>
      <c r="EE88" s="165"/>
      <c r="EF88" s="165"/>
      <c r="EG88" s="165"/>
      <c r="EH88" s="165"/>
      <c r="EI88" s="165"/>
      <c r="EJ88" s="165"/>
      <c r="EK88" s="165"/>
      <c r="EL88" s="165"/>
      <c r="EM88" s="165"/>
      <c r="EN88" s="165"/>
      <c r="EO88" s="165"/>
      <c r="EP88" s="165"/>
      <c r="EQ88" s="165"/>
      <c r="ER88" s="165"/>
      <c r="ES88" s="165"/>
      <c r="ET88" s="210"/>
      <c r="EU88" s="155"/>
      <c r="EV88" s="17"/>
      <c r="EW88" s="17"/>
      <c r="EX88" s="17"/>
    </row>
    <row r="89" spans="3:154">
      <c r="C89" s="22"/>
      <c r="D89" s="22"/>
      <c r="E89" s="22"/>
      <c r="F89" s="22"/>
      <c r="G89" s="22"/>
      <c r="H89" s="22"/>
      <c r="I89" s="22"/>
      <c r="J89" s="22"/>
      <c r="K89" s="22"/>
      <c r="L89" s="22"/>
      <c r="M89" s="22"/>
      <c r="N89" s="22"/>
      <c r="O89" s="22"/>
      <c r="P89" s="22"/>
      <c r="Q89" s="22"/>
      <c r="R89" s="22"/>
      <c r="S89" s="22"/>
      <c r="T89" s="22"/>
      <c r="U89" s="22"/>
      <c r="V89" s="22"/>
      <c r="W89" s="22"/>
      <c r="X89" s="22"/>
      <c r="Y89" s="22"/>
      <c r="Z89" s="210"/>
      <c r="AA89" s="210"/>
      <c r="AB89" s="210"/>
      <c r="AC89" s="165"/>
      <c r="AD89" s="165"/>
      <c r="AE89" s="165"/>
      <c r="AF89" s="165"/>
      <c r="AG89" s="165"/>
      <c r="AH89" s="165"/>
      <c r="AI89" s="165"/>
      <c r="AJ89" s="165"/>
      <c r="AK89" s="165"/>
      <c r="AL89" s="165"/>
      <c r="AM89" s="165"/>
      <c r="AN89" s="165"/>
      <c r="AO89" s="165"/>
      <c r="AP89" s="165"/>
      <c r="AQ89" s="165"/>
      <c r="AR89" s="165"/>
      <c r="AS89" s="165"/>
      <c r="AT89" s="165"/>
      <c r="AU89" s="165"/>
      <c r="AV89" s="165"/>
      <c r="AW89" s="165"/>
      <c r="AX89" s="165"/>
      <c r="AY89" s="165"/>
      <c r="AZ89" s="165"/>
      <c r="BA89" s="165"/>
      <c r="BB89" s="165"/>
      <c r="BC89" s="165"/>
      <c r="BD89" s="165"/>
      <c r="BE89" s="165"/>
      <c r="BF89" s="165"/>
      <c r="BG89" s="165"/>
      <c r="BH89" s="165"/>
      <c r="BI89" s="165"/>
      <c r="BJ89" s="165"/>
      <c r="BK89" s="165"/>
      <c r="BL89" s="165"/>
      <c r="BM89" s="165"/>
      <c r="BN89" s="165"/>
      <c r="BO89" s="165"/>
      <c r="BP89" s="165"/>
      <c r="BQ89" s="165"/>
      <c r="BR89" s="165"/>
      <c r="BS89" s="165"/>
      <c r="BT89" s="165"/>
      <c r="BU89" s="165"/>
      <c r="BV89" s="165"/>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c r="DH89" s="165"/>
      <c r="DI89" s="165"/>
      <c r="DJ89" s="165"/>
      <c r="DK89" s="165"/>
      <c r="DL89" s="165"/>
      <c r="DM89" s="165"/>
      <c r="DN89" s="165"/>
      <c r="DO89" s="165"/>
      <c r="DP89" s="165"/>
      <c r="DQ89" s="165"/>
      <c r="DR89" s="165"/>
      <c r="DS89" s="165"/>
      <c r="DT89" s="165"/>
      <c r="DU89" s="165"/>
      <c r="DV89" s="165"/>
      <c r="DW89" s="165"/>
      <c r="DX89" s="165"/>
      <c r="DY89" s="165"/>
      <c r="DZ89" s="165"/>
      <c r="EA89" s="165"/>
      <c r="EB89" s="165"/>
      <c r="EC89" s="165"/>
      <c r="ED89" s="165"/>
      <c r="EE89" s="165"/>
      <c r="EF89" s="165"/>
      <c r="EG89" s="165"/>
      <c r="EH89" s="165"/>
      <c r="EI89" s="165"/>
      <c r="EJ89" s="165"/>
      <c r="EK89" s="165"/>
      <c r="EL89" s="165"/>
      <c r="EM89" s="165"/>
      <c r="EN89" s="165"/>
      <c r="EO89" s="165"/>
      <c r="EP89" s="165"/>
      <c r="EQ89" s="165"/>
      <c r="ER89" s="165"/>
      <c r="ES89" s="165"/>
      <c r="ET89" s="210"/>
      <c r="EU89" s="155"/>
      <c r="EV89" s="17"/>
      <c r="EW89" s="17"/>
      <c r="EX89" s="17"/>
    </row>
    <row r="90" spans="3:154">
      <c r="C90" s="22"/>
      <c r="D90" s="22"/>
      <c r="E90" s="22"/>
      <c r="F90" s="22"/>
      <c r="G90" s="22"/>
      <c r="H90" s="22"/>
      <c r="I90" s="22"/>
      <c r="J90" s="22"/>
      <c r="K90" s="22"/>
      <c r="L90" s="22"/>
      <c r="M90" s="22"/>
      <c r="N90" s="22"/>
      <c r="O90" s="22"/>
      <c r="P90" s="22"/>
      <c r="Q90" s="22"/>
      <c r="R90" s="22"/>
      <c r="S90" s="22"/>
      <c r="T90" s="22"/>
      <c r="U90" s="22"/>
      <c r="V90" s="22"/>
      <c r="W90" s="22"/>
      <c r="X90" s="22"/>
      <c r="Y90" s="22"/>
      <c r="Z90" s="210"/>
      <c r="AA90" s="210"/>
      <c r="AB90" s="210"/>
      <c r="AC90" s="165"/>
      <c r="AD90" s="165"/>
      <c r="AE90" s="165"/>
      <c r="AF90" s="165"/>
      <c r="AG90" s="165"/>
      <c r="AH90" s="165"/>
      <c r="AI90" s="165"/>
      <c r="AJ90" s="165"/>
      <c r="AK90" s="165"/>
      <c r="AL90" s="165"/>
      <c r="AM90" s="165"/>
      <c r="AN90" s="165"/>
      <c r="AO90" s="165"/>
      <c r="AP90" s="165"/>
      <c r="AQ90" s="165"/>
      <c r="AR90" s="165"/>
      <c r="AS90" s="165"/>
      <c r="AT90" s="165"/>
      <c r="AU90" s="165"/>
      <c r="AV90" s="165"/>
      <c r="AW90" s="165"/>
      <c r="AX90" s="165"/>
      <c r="AY90" s="165"/>
      <c r="AZ90" s="165"/>
      <c r="BA90" s="165"/>
      <c r="BB90" s="165"/>
      <c r="BC90" s="165"/>
      <c r="BD90" s="165"/>
      <c r="BE90" s="165"/>
      <c r="BF90" s="165"/>
      <c r="BG90" s="165"/>
      <c r="BH90" s="165"/>
      <c r="BI90" s="165"/>
      <c r="BJ90" s="165"/>
      <c r="BK90" s="165"/>
      <c r="BL90" s="165"/>
      <c r="BM90" s="165"/>
      <c r="BN90" s="165"/>
      <c r="BO90" s="165"/>
      <c r="BP90" s="165"/>
      <c r="BQ90" s="165"/>
      <c r="BR90" s="165"/>
      <c r="BS90" s="165"/>
      <c r="BT90" s="165"/>
      <c r="BU90" s="165"/>
      <c r="BV90" s="165"/>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c r="DH90" s="165"/>
      <c r="DI90" s="165"/>
      <c r="DJ90" s="165"/>
      <c r="DK90" s="165"/>
      <c r="DL90" s="165"/>
      <c r="DM90" s="165"/>
      <c r="DN90" s="165"/>
      <c r="DO90" s="165"/>
      <c r="DP90" s="165"/>
      <c r="DQ90" s="165"/>
      <c r="DR90" s="165"/>
      <c r="DS90" s="165"/>
      <c r="DT90" s="165"/>
      <c r="DU90" s="165"/>
      <c r="DV90" s="165"/>
      <c r="DW90" s="165"/>
      <c r="DX90" s="165"/>
      <c r="DY90" s="165"/>
      <c r="DZ90" s="165"/>
      <c r="EA90" s="165"/>
      <c r="EB90" s="165"/>
      <c r="EC90" s="165"/>
      <c r="ED90" s="165"/>
      <c r="EE90" s="165"/>
      <c r="EF90" s="165"/>
      <c r="EG90" s="165"/>
      <c r="EH90" s="165"/>
      <c r="EI90" s="165"/>
      <c r="EJ90" s="165"/>
      <c r="EK90" s="165"/>
      <c r="EL90" s="165"/>
      <c r="EM90" s="165"/>
      <c r="EN90" s="165"/>
      <c r="EO90" s="165"/>
      <c r="EP90" s="165"/>
      <c r="EQ90" s="165"/>
      <c r="ER90" s="165"/>
      <c r="ES90" s="165"/>
      <c r="ET90" s="210"/>
      <c r="EU90" s="155"/>
      <c r="EV90" s="17"/>
      <c r="EW90" s="17"/>
      <c r="EX90" s="17"/>
    </row>
    <row r="91" spans="3:154">
      <c r="C91" s="22"/>
      <c r="D91" s="22"/>
      <c r="E91" s="22"/>
      <c r="F91" s="22"/>
      <c r="G91" s="22"/>
      <c r="H91" s="22"/>
      <c r="I91" s="22"/>
      <c r="J91" s="22"/>
      <c r="K91" s="22"/>
      <c r="L91" s="22"/>
      <c r="M91" s="22"/>
      <c r="N91" s="22"/>
      <c r="O91" s="22"/>
      <c r="P91" s="22"/>
      <c r="Q91" s="22"/>
      <c r="R91" s="22"/>
      <c r="S91" s="22"/>
      <c r="T91" s="22"/>
      <c r="U91" s="22"/>
      <c r="V91" s="22"/>
      <c r="W91" s="22"/>
      <c r="X91" s="22"/>
      <c r="Y91" s="22"/>
      <c r="Z91" s="210"/>
      <c r="AA91" s="210"/>
      <c r="AB91" s="210"/>
      <c r="AC91" s="165"/>
      <c r="AD91" s="165"/>
      <c r="AE91" s="165"/>
      <c r="AF91" s="165"/>
      <c r="AG91" s="165"/>
      <c r="AH91" s="165"/>
      <c r="AI91" s="165"/>
      <c r="AJ91" s="165"/>
      <c r="AK91" s="165"/>
      <c r="AL91" s="165"/>
      <c r="AM91" s="165"/>
      <c r="AN91" s="165"/>
      <c r="AO91" s="165"/>
      <c r="AP91" s="165"/>
      <c r="AQ91" s="165"/>
      <c r="AR91" s="165"/>
      <c r="AS91" s="165"/>
      <c r="AT91" s="165"/>
      <c r="AU91" s="165"/>
      <c r="AV91" s="165"/>
      <c r="AW91" s="165"/>
      <c r="AX91" s="165"/>
      <c r="AY91" s="165"/>
      <c r="AZ91" s="165"/>
      <c r="BA91" s="165"/>
      <c r="BB91" s="165"/>
      <c r="BC91" s="165"/>
      <c r="BD91" s="165"/>
      <c r="BE91" s="165"/>
      <c r="BF91" s="165"/>
      <c r="BG91" s="165"/>
      <c r="BH91" s="165"/>
      <c r="BI91" s="165"/>
      <c r="BJ91" s="165"/>
      <c r="BK91" s="165"/>
      <c r="BL91" s="165"/>
      <c r="BM91" s="165"/>
      <c r="BN91" s="165"/>
      <c r="BO91" s="165"/>
      <c r="BP91" s="165"/>
      <c r="BQ91" s="165"/>
      <c r="BR91" s="165"/>
      <c r="BS91" s="165"/>
      <c r="BT91" s="165"/>
      <c r="BU91" s="165"/>
      <c r="BV91" s="165"/>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c r="DH91" s="165"/>
      <c r="DI91" s="165"/>
      <c r="DJ91" s="165"/>
      <c r="DK91" s="165"/>
      <c r="DL91" s="165"/>
      <c r="DM91" s="165"/>
      <c r="DN91" s="165"/>
      <c r="DO91" s="165"/>
      <c r="DP91" s="165"/>
      <c r="DQ91" s="165"/>
      <c r="DR91" s="165"/>
      <c r="DS91" s="165"/>
      <c r="DT91" s="165"/>
      <c r="DU91" s="165"/>
      <c r="DV91" s="165"/>
      <c r="DW91" s="165"/>
      <c r="DX91" s="165"/>
      <c r="DY91" s="165"/>
      <c r="DZ91" s="165"/>
      <c r="EA91" s="165"/>
      <c r="EB91" s="165"/>
      <c r="EC91" s="165"/>
      <c r="ED91" s="165"/>
      <c r="EE91" s="165"/>
      <c r="EF91" s="165"/>
      <c r="EG91" s="165"/>
      <c r="EH91" s="165"/>
      <c r="EI91" s="165"/>
      <c r="EJ91" s="165"/>
      <c r="EK91" s="165"/>
      <c r="EL91" s="165"/>
      <c r="EM91" s="165"/>
      <c r="EN91" s="165"/>
      <c r="EO91" s="165"/>
      <c r="EP91" s="165"/>
      <c r="EQ91" s="165"/>
      <c r="ER91" s="165"/>
      <c r="ES91" s="165"/>
      <c r="ET91" s="210"/>
      <c r="EU91" s="155"/>
      <c r="EV91" s="17"/>
      <c r="EW91" s="17"/>
      <c r="EX91" s="17"/>
    </row>
    <row r="92" spans="3:154">
      <c r="C92" s="22"/>
      <c r="D92" s="22"/>
      <c r="E92" s="22"/>
      <c r="F92" s="22"/>
      <c r="G92" s="22"/>
      <c r="H92" s="22"/>
      <c r="I92" s="22"/>
      <c r="J92" s="22"/>
      <c r="K92" s="22"/>
      <c r="L92" s="22"/>
      <c r="M92" s="22"/>
      <c r="N92" s="22"/>
      <c r="O92" s="22"/>
      <c r="P92" s="22"/>
      <c r="Q92" s="22"/>
      <c r="R92" s="22"/>
      <c r="S92" s="22"/>
      <c r="T92" s="22"/>
      <c r="U92" s="22"/>
      <c r="V92" s="22"/>
      <c r="W92" s="22"/>
      <c r="X92" s="22"/>
      <c r="Y92" s="22"/>
      <c r="Z92" s="210"/>
      <c r="AA92" s="210"/>
      <c r="AB92" s="210"/>
      <c r="AC92" s="165"/>
      <c r="AD92" s="165"/>
      <c r="AE92" s="165"/>
      <c r="AF92" s="165"/>
      <c r="AG92" s="165"/>
      <c r="AH92" s="165"/>
      <c r="AI92" s="165"/>
      <c r="AJ92" s="165"/>
      <c r="AK92" s="165"/>
      <c r="AL92" s="165"/>
      <c r="AM92" s="165"/>
      <c r="AN92" s="165"/>
      <c r="AO92" s="165"/>
      <c r="AP92" s="165"/>
      <c r="AQ92" s="165"/>
      <c r="AR92" s="165"/>
      <c r="AS92" s="165"/>
      <c r="AT92" s="165"/>
      <c r="AU92" s="165"/>
      <c r="AV92" s="165"/>
      <c r="AW92" s="165"/>
      <c r="AX92" s="165"/>
      <c r="AY92" s="165"/>
      <c r="AZ92" s="165"/>
      <c r="BA92" s="165"/>
      <c r="BB92" s="165"/>
      <c r="BC92" s="165"/>
      <c r="BD92" s="165"/>
      <c r="BE92" s="165"/>
      <c r="BF92" s="165"/>
      <c r="BG92" s="165"/>
      <c r="BH92" s="165"/>
      <c r="BI92" s="165"/>
      <c r="BJ92" s="165"/>
      <c r="BK92" s="165"/>
      <c r="BL92" s="165"/>
      <c r="BM92" s="165"/>
      <c r="BN92" s="165"/>
      <c r="BO92" s="165"/>
      <c r="BP92" s="165"/>
      <c r="BQ92" s="165"/>
      <c r="BR92" s="165"/>
      <c r="BS92" s="165"/>
      <c r="BT92" s="165"/>
      <c r="BU92" s="165"/>
      <c r="BV92" s="165"/>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c r="DH92" s="165"/>
      <c r="DI92" s="165"/>
      <c r="DJ92" s="165"/>
      <c r="DK92" s="165"/>
      <c r="DL92" s="165"/>
      <c r="DM92" s="165"/>
      <c r="DN92" s="165"/>
      <c r="DO92" s="165"/>
      <c r="DP92" s="165"/>
      <c r="DQ92" s="165"/>
      <c r="DR92" s="165"/>
      <c r="DS92" s="165"/>
      <c r="DT92" s="165"/>
      <c r="DU92" s="165"/>
      <c r="DV92" s="165"/>
      <c r="DW92" s="165"/>
      <c r="DX92" s="165"/>
      <c r="DY92" s="165"/>
      <c r="DZ92" s="165"/>
      <c r="EA92" s="165"/>
      <c r="EB92" s="165"/>
      <c r="EC92" s="165"/>
      <c r="ED92" s="165"/>
      <c r="EE92" s="165"/>
      <c r="EF92" s="165"/>
      <c r="EG92" s="165"/>
      <c r="EH92" s="165"/>
      <c r="EI92" s="165"/>
      <c r="EJ92" s="165"/>
      <c r="EK92" s="165"/>
      <c r="EL92" s="165"/>
      <c r="EM92" s="165"/>
      <c r="EN92" s="165"/>
      <c r="EO92" s="165"/>
      <c r="EP92" s="165"/>
      <c r="EQ92" s="165"/>
      <c r="ER92" s="165"/>
      <c r="ES92" s="165"/>
      <c r="ET92" s="210"/>
      <c r="EU92" s="155"/>
      <c r="EV92" s="17"/>
      <c r="EW92" s="17"/>
      <c r="EX92" s="17"/>
    </row>
    <row r="93" spans="3:154">
      <c r="C93" s="22"/>
      <c r="D93" s="22"/>
      <c r="E93" s="22"/>
      <c r="F93" s="22"/>
      <c r="G93" s="22"/>
      <c r="H93" s="22"/>
      <c r="I93" s="22"/>
      <c r="J93" s="22"/>
      <c r="K93" s="22"/>
      <c r="L93" s="22"/>
      <c r="M93" s="22"/>
      <c r="N93" s="22"/>
      <c r="O93" s="22"/>
      <c r="P93" s="22"/>
      <c r="Q93" s="22"/>
      <c r="R93" s="22"/>
      <c r="S93" s="22"/>
      <c r="T93" s="22"/>
      <c r="U93" s="22"/>
      <c r="V93" s="22"/>
      <c r="W93" s="22"/>
      <c r="X93" s="22"/>
      <c r="Y93" s="22"/>
      <c r="Z93" s="210"/>
      <c r="AA93" s="210"/>
      <c r="AB93" s="210"/>
      <c r="AC93" s="165"/>
      <c r="AD93" s="165"/>
      <c r="AE93" s="165"/>
      <c r="AF93" s="165"/>
      <c r="AG93" s="165"/>
      <c r="AH93" s="165"/>
      <c r="AI93" s="165"/>
      <c r="AJ93" s="165"/>
      <c r="AK93" s="165"/>
      <c r="AL93" s="165"/>
      <c r="AM93" s="165"/>
      <c r="AN93" s="165"/>
      <c r="AO93" s="165"/>
      <c r="AP93" s="165"/>
      <c r="AQ93" s="165"/>
      <c r="AR93" s="165"/>
      <c r="AS93" s="165"/>
      <c r="AT93" s="165"/>
      <c r="AU93" s="165"/>
      <c r="AV93" s="165"/>
      <c r="AW93" s="165"/>
      <c r="AX93" s="165"/>
      <c r="AY93" s="165"/>
      <c r="AZ93" s="165"/>
      <c r="BA93" s="165"/>
      <c r="BB93" s="165"/>
      <c r="BC93" s="165"/>
      <c r="BD93" s="165"/>
      <c r="BE93" s="165"/>
      <c r="BF93" s="165"/>
      <c r="BG93" s="165"/>
      <c r="BH93" s="165"/>
      <c r="BI93" s="165"/>
      <c r="BJ93" s="165"/>
      <c r="BK93" s="165"/>
      <c r="BL93" s="165"/>
      <c r="BM93" s="165"/>
      <c r="BN93" s="165"/>
      <c r="BO93" s="165"/>
      <c r="BP93" s="165"/>
      <c r="BQ93" s="165"/>
      <c r="BR93" s="165"/>
      <c r="BS93" s="165"/>
      <c r="BT93" s="165"/>
      <c r="BU93" s="165"/>
      <c r="BV93" s="165"/>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c r="DH93" s="165"/>
      <c r="DI93" s="165"/>
      <c r="DJ93" s="165"/>
      <c r="DK93" s="165"/>
      <c r="DL93" s="165"/>
      <c r="DM93" s="165"/>
      <c r="DN93" s="165"/>
      <c r="DO93" s="165"/>
      <c r="DP93" s="165"/>
      <c r="DQ93" s="165"/>
      <c r="DR93" s="165"/>
      <c r="DS93" s="165"/>
      <c r="DT93" s="165"/>
      <c r="DU93" s="165"/>
      <c r="DV93" s="165"/>
      <c r="DW93" s="165"/>
      <c r="DX93" s="165"/>
      <c r="DY93" s="165"/>
      <c r="DZ93" s="165"/>
      <c r="EA93" s="165"/>
      <c r="EB93" s="165"/>
      <c r="EC93" s="165"/>
      <c r="ED93" s="165"/>
      <c r="EE93" s="165"/>
      <c r="EF93" s="165"/>
      <c r="EG93" s="165"/>
      <c r="EH93" s="165"/>
      <c r="EI93" s="165"/>
      <c r="EJ93" s="165"/>
      <c r="EK93" s="165"/>
      <c r="EL93" s="165"/>
      <c r="EM93" s="165"/>
      <c r="EN93" s="165"/>
      <c r="EO93" s="165"/>
      <c r="EP93" s="165"/>
      <c r="EQ93" s="165"/>
      <c r="ER93" s="165"/>
      <c r="ES93" s="165"/>
      <c r="ET93" s="210"/>
      <c r="EU93" s="155"/>
      <c r="EV93" s="17"/>
      <c r="EW93" s="17"/>
      <c r="EX93" s="17"/>
    </row>
    <row r="94" spans="3:154">
      <c r="C94" s="22"/>
      <c r="D94" s="22"/>
      <c r="E94" s="22"/>
      <c r="F94" s="22"/>
      <c r="G94" s="22"/>
      <c r="H94" s="22"/>
      <c r="I94" s="22"/>
      <c r="J94" s="22"/>
      <c r="K94" s="22"/>
      <c r="L94" s="22"/>
      <c r="M94" s="22"/>
      <c r="N94" s="22"/>
      <c r="O94" s="22"/>
      <c r="P94" s="22"/>
      <c r="Q94" s="22"/>
      <c r="R94" s="22"/>
      <c r="S94" s="22"/>
      <c r="T94" s="22"/>
      <c r="U94" s="22"/>
      <c r="V94" s="22"/>
      <c r="W94" s="22"/>
      <c r="X94" s="22"/>
      <c r="Y94" s="22"/>
      <c r="Z94" s="210"/>
      <c r="AA94" s="210"/>
      <c r="AB94" s="210"/>
      <c r="AC94" s="165"/>
      <c r="AD94" s="165"/>
      <c r="AE94" s="165"/>
      <c r="AF94" s="165"/>
      <c r="AG94" s="165"/>
      <c r="AH94" s="165"/>
      <c r="AI94" s="165"/>
      <c r="AJ94" s="165"/>
      <c r="AK94" s="165"/>
      <c r="AL94" s="165"/>
      <c r="AM94" s="165"/>
      <c r="AN94" s="165"/>
      <c r="AO94" s="165"/>
      <c r="AP94" s="165"/>
      <c r="AQ94" s="165"/>
      <c r="AR94" s="165"/>
      <c r="AS94" s="165"/>
      <c r="AT94" s="165"/>
      <c r="AU94" s="165"/>
      <c r="AV94" s="165"/>
      <c r="AW94" s="165"/>
      <c r="AX94" s="165"/>
      <c r="AY94" s="165"/>
      <c r="AZ94" s="165"/>
      <c r="BA94" s="165"/>
      <c r="BB94" s="165"/>
      <c r="BC94" s="165"/>
      <c r="BD94" s="165"/>
      <c r="BE94" s="165"/>
      <c r="BF94" s="165"/>
      <c r="BG94" s="165"/>
      <c r="BH94" s="165"/>
      <c r="BI94" s="165"/>
      <c r="BJ94" s="165"/>
      <c r="BK94" s="165"/>
      <c r="BL94" s="165"/>
      <c r="BM94" s="165"/>
      <c r="BN94" s="165"/>
      <c r="BO94" s="165"/>
      <c r="BP94" s="165"/>
      <c r="BQ94" s="165"/>
      <c r="BR94" s="165"/>
      <c r="BS94" s="165"/>
      <c r="BT94" s="165"/>
      <c r="BU94" s="165"/>
      <c r="BV94" s="165"/>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c r="DH94" s="165"/>
      <c r="DI94" s="165"/>
      <c r="DJ94" s="165"/>
      <c r="DK94" s="165"/>
      <c r="DL94" s="165"/>
      <c r="DM94" s="165"/>
      <c r="DN94" s="165"/>
      <c r="DO94" s="165"/>
      <c r="DP94" s="165"/>
      <c r="DQ94" s="165"/>
      <c r="DR94" s="165"/>
      <c r="DS94" s="165"/>
      <c r="DT94" s="165"/>
      <c r="DU94" s="165"/>
      <c r="DV94" s="165"/>
      <c r="DW94" s="165"/>
      <c r="DX94" s="165"/>
      <c r="DY94" s="165"/>
      <c r="DZ94" s="165"/>
      <c r="EA94" s="165"/>
      <c r="EB94" s="165"/>
      <c r="EC94" s="165"/>
      <c r="ED94" s="165"/>
      <c r="EE94" s="165"/>
      <c r="EF94" s="165"/>
      <c r="EG94" s="165"/>
      <c r="EH94" s="165"/>
      <c r="EI94" s="165"/>
      <c r="EJ94" s="165"/>
      <c r="EK94" s="165"/>
      <c r="EL94" s="165"/>
      <c r="EM94" s="165"/>
      <c r="EN94" s="165"/>
      <c r="EO94" s="165"/>
      <c r="EP94" s="165"/>
      <c r="EQ94" s="165"/>
      <c r="ER94" s="165"/>
      <c r="ES94" s="165"/>
      <c r="ET94" s="210"/>
      <c r="EU94" s="155"/>
      <c r="EV94" s="17"/>
      <c r="EW94" s="17"/>
      <c r="EX94" s="17"/>
    </row>
    <row r="95" spans="3:154">
      <c r="C95" s="22"/>
      <c r="D95" s="22"/>
      <c r="E95" s="22"/>
      <c r="F95" s="22"/>
      <c r="G95" s="22"/>
      <c r="H95" s="22"/>
      <c r="I95" s="22"/>
      <c r="J95" s="22"/>
      <c r="K95" s="22"/>
      <c r="L95" s="22"/>
      <c r="M95" s="22"/>
      <c r="N95" s="22"/>
      <c r="O95" s="22"/>
      <c r="P95" s="22"/>
      <c r="Q95" s="22"/>
      <c r="R95" s="22"/>
      <c r="S95" s="22"/>
      <c r="T95" s="22"/>
      <c r="U95" s="22"/>
      <c r="V95" s="22"/>
      <c r="W95" s="22"/>
      <c r="X95" s="22"/>
      <c r="Y95" s="22"/>
      <c r="Z95" s="210"/>
      <c r="AA95" s="210"/>
      <c r="AB95" s="210"/>
      <c r="AC95" s="165"/>
      <c r="AD95" s="165"/>
      <c r="AE95" s="165"/>
      <c r="AF95" s="165"/>
      <c r="AG95" s="165"/>
      <c r="AH95" s="165"/>
      <c r="AI95" s="165"/>
      <c r="AJ95" s="165"/>
      <c r="AK95" s="165"/>
      <c r="AL95" s="165"/>
      <c r="AM95" s="165"/>
      <c r="AN95" s="165"/>
      <c r="AO95" s="165"/>
      <c r="AP95" s="165"/>
      <c r="AQ95" s="165"/>
      <c r="AR95" s="165"/>
      <c r="AS95" s="165"/>
      <c r="AT95" s="165"/>
      <c r="AU95" s="165"/>
      <c r="AV95" s="165"/>
      <c r="AW95" s="165"/>
      <c r="AX95" s="165"/>
      <c r="AY95" s="165"/>
      <c r="AZ95" s="165"/>
      <c r="BA95" s="165"/>
      <c r="BB95" s="165"/>
      <c r="BC95" s="165"/>
      <c r="BD95" s="165"/>
      <c r="BE95" s="165"/>
      <c r="BF95" s="165"/>
      <c r="BG95" s="165"/>
      <c r="BH95" s="165"/>
      <c r="BI95" s="165"/>
      <c r="BJ95" s="165"/>
      <c r="BK95" s="165"/>
      <c r="BL95" s="165"/>
      <c r="BM95" s="165"/>
      <c r="BN95" s="165"/>
      <c r="BO95" s="165"/>
      <c r="BP95" s="165"/>
      <c r="BQ95" s="165"/>
      <c r="BR95" s="165"/>
      <c r="BS95" s="165"/>
      <c r="BT95" s="165"/>
      <c r="BU95" s="165"/>
      <c r="BV95" s="165"/>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c r="DH95" s="165"/>
      <c r="DI95" s="165"/>
      <c r="DJ95" s="165"/>
      <c r="DK95" s="165"/>
      <c r="DL95" s="165"/>
      <c r="DM95" s="165"/>
      <c r="DN95" s="165"/>
      <c r="DO95" s="165"/>
      <c r="DP95" s="165"/>
      <c r="DQ95" s="165"/>
      <c r="DR95" s="165"/>
      <c r="DS95" s="165"/>
      <c r="DT95" s="165"/>
      <c r="DU95" s="165"/>
      <c r="DV95" s="165"/>
      <c r="DW95" s="165"/>
      <c r="DX95" s="165"/>
      <c r="DY95" s="165"/>
      <c r="DZ95" s="165"/>
      <c r="EA95" s="165"/>
      <c r="EB95" s="165"/>
      <c r="EC95" s="165"/>
      <c r="ED95" s="165"/>
      <c r="EE95" s="165"/>
      <c r="EF95" s="165"/>
      <c r="EG95" s="165"/>
      <c r="EH95" s="165"/>
      <c r="EI95" s="165"/>
      <c r="EJ95" s="165"/>
      <c r="EK95" s="165"/>
      <c r="EL95" s="165"/>
      <c r="EM95" s="165"/>
      <c r="EN95" s="165"/>
      <c r="EO95" s="165"/>
      <c r="EP95" s="165"/>
      <c r="EQ95" s="165"/>
      <c r="ER95" s="165"/>
      <c r="ES95" s="165"/>
      <c r="ET95" s="210"/>
      <c r="EU95" s="155"/>
      <c r="EV95" s="17"/>
      <c r="EW95" s="17"/>
      <c r="EX95" s="17"/>
    </row>
    <row r="96" spans="3:154">
      <c r="C96" s="22"/>
      <c r="D96" s="22"/>
      <c r="E96" s="22"/>
      <c r="O96" s="22"/>
      <c r="P96" s="22"/>
      <c r="Q96" s="22"/>
      <c r="R96" s="22"/>
      <c r="S96" s="22"/>
      <c r="T96" s="22"/>
      <c r="U96" s="22"/>
      <c r="V96" s="22"/>
      <c r="W96" s="22"/>
      <c r="X96" s="22"/>
      <c r="Y96" s="22"/>
      <c r="Z96" s="210"/>
      <c r="AA96" s="210"/>
      <c r="AB96" s="210"/>
      <c r="AC96" s="165"/>
      <c r="AD96" s="165"/>
      <c r="AE96" s="165"/>
      <c r="AF96" s="165"/>
      <c r="AG96" s="165"/>
      <c r="AH96" s="165"/>
      <c r="AI96" s="165"/>
      <c r="AJ96" s="165"/>
      <c r="AK96" s="165"/>
      <c r="AL96" s="165"/>
      <c r="AM96" s="165"/>
      <c r="AN96" s="165"/>
      <c r="AO96" s="165"/>
      <c r="AP96" s="165"/>
      <c r="AQ96" s="165"/>
      <c r="AR96" s="165"/>
      <c r="AS96" s="165"/>
      <c r="AT96" s="165"/>
      <c r="AU96" s="165"/>
      <c r="AV96" s="165"/>
      <c r="AW96" s="165"/>
      <c r="AX96" s="165"/>
      <c r="AY96" s="165"/>
      <c r="AZ96" s="165"/>
      <c r="BA96" s="165"/>
      <c r="BB96" s="165"/>
      <c r="BC96" s="165"/>
      <c r="BD96" s="165"/>
      <c r="BE96" s="165"/>
      <c r="BF96" s="165"/>
      <c r="BG96" s="165"/>
      <c r="BH96" s="165"/>
      <c r="BI96" s="165"/>
      <c r="BJ96" s="165"/>
      <c r="BK96" s="165"/>
      <c r="BL96" s="165"/>
      <c r="BM96" s="165"/>
      <c r="BN96" s="165"/>
      <c r="BO96" s="165"/>
      <c r="BP96" s="165"/>
      <c r="BQ96" s="165"/>
      <c r="BR96" s="165"/>
      <c r="BS96" s="165"/>
      <c r="BT96" s="165"/>
      <c r="BU96" s="165"/>
      <c r="BV96" s="165"/>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c r="DH96" s="165"/>
      <c r="DI96" s="165"/>
      <c r="DJ96" s="165"/>
      <c r="DK96" s="165"/>
      <c r="DL96" s="165"/>
      <c r="DM96" s="165"/>
      <c r="DN96" s="165"/>
      <c r="DO96" s="165"/>
      <c r="DP96" s="165"/>
      <c r="DQ96" s="165"/>
      <c r="DR96" s="165"/>
      <c r="DS96" s="165"/>
      <c r="DT96" s="165"/>
      <c r="DU96" s="165"/>
      <c r="DV96" s="165"/>
      <c r="DW96" s="165"/>
      <c r="DX96" s="165"/>
      <c r="DY96" s="165"/>
      <c r="DZ96" s="165"/>
      <c r="EA96" s="165"/>
      <c r="EB96" s="165"/>
      <c r="EC96" s="165"/>
      <c r="ED96" s="165"/>
      <c r="EE96" s="165"/>
      <c r="EF96" s="165"/>
      <c r="EG96" s="165"/>
      <c r="EH96" s="165"/>
      <c r="EI96" s="165"/>
      <c r="EJ96" s="165"/>
      <c r="EK96" s="165"/>
      <c r="EL96" s="165"/>
      <c r="EM96" s="165"/>
      <c r="EN96" s="165"/>
      <c r="EO96" s="165"/>
      <c r="EP96" s="165"/>
      <c r="EQ96" s="165"/>
      <c r="ER96" s="165"/>
      <c r="ES96" s="165"/>
      <c r="ET96" s="17"/>
      <c r="EU96" s="155"/>
      <c r="EV96" s="17"/>
      <c r="EW96" s="17"/>
      <c r="EX96" s="17"/>
    </row>
    <row r="97" spans="3:154">
      <c r="C97" s="22"/>
      <c r="D97" s="22"/>
      <c r="E97" s="22"/>
      <c r="O97" s="22"/>
      <c r="P97" s="22"/>
      <c r="Q97" s="22"/>
      <c r="R97" s="22"/>
      <c r="S97" s="22"/>
      <c r="T97" s="22"/>
      <c r="U97" s="22"/>
      <c r="V97" s="22"/>
      <c r="W97" s="22"/>
      <c r="X97" s="22"/>
      <c r="Y97" s="22"/>
      <c r="Z97" s="210"/>
      <c r="AA97" s="210"/>
      <c r="AB97" s="210"/>
      <c r="AC97" s="165"/>
      <c r="AD97" s="165"/>
      <c r="AE97" s="165"/>
      <c r="AF97" s="165"/>
      <c r="AG97" s="165"/>
      <c r="AH97" s="165"/>
      <c r="AI97" s="165"/>
      <c r="AJ97" s="165"/>
      <c r="AK97" s="165"/>
      <c r="AL97" s="165"/>
      <c r="AM97" s="165"/>
      <c r="AN97" s="165"/>
      <c r="AO97" s="165"/>
      <c r="AP97" s="165"/>
      <c r="AQ97" s="165"/>
      <c r="AR97" s="165"/>
      <c r="AS97" s="165"/>
      <c r="AT97" s="165"/>
      <c r="AU97" s="165"/>
      <c r="AV97" s="165"/>
      <c r="AW97" s="165"/>
      <c r="AX97" s="165"/>
      <c r="AY97" s="165"/>
      <c r="AZ97" s="165"/>
      <c r="BA97" s="165"/>
      <c r="BB97" s="165"/>
      <c r="BC97" s="165"/>
      <c r="BD97" s="165"/>
      <c r="BE97" s="165"/>
      <c r="BF97" s="165"/>
      <c r="BG97" s="165"/>
      <c r="BH97" s="165"/>
      <c r="BI97" s="165"/>
      <c r="BJ97" s="165"/>
      <c r="BK97" s="165"/>
      <c r="BL97" s="165"/>
      <c r="BM97" s="165"/>
      <c r="BN97" s="165"/>
      <c r="BO97" s="165"/>
      <c r="BP97" s="165"/>
      <c r="BQ97" s="165"/>
      <c r="BR97" s="165"/>
      <c r="BS97" s="165"/>
      <c r="BT97" s="165"/>
      <c r="BU97" s="165"/>
      <c r="BV97" s="165"/>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c r="DH97" s="165"/>
      <c r="DI97" s="165"/>
      <c r="DJ97" s="165"/>
      <c r="DK97" s="165"/>
      <c r="DL97" s="165"/>
      <c r="DM97" s="165"/>
      <c r="DN97" s="165"/>
      <c r="DO97" s="165"/>
      <c r="DP97" s="165"/>
      <c r="DQ97" s="165"/>
      <c r="DR97" s="165"/>
      <c r="DS97" s="165"/>
      <c r="DT97" s="165"/>
      <c r="DU97" s="165"/>
      <c r="DV97" s="165"/>
      <c r="DW97" s="165"/>
      <c r="DX97" s="165"/>
      <c r="DY97" s="165"/>
      <c r="DZ97" s="165"/>
      <c r="EA97" s="165"/>
      <c r="EB97" s="165"/>
      <c r="EC97" s="165"/>
      <c r="ED97" s="165"/>
      <c r="EE97" s="165"/>
      <c r="EF97" s="165"/>
      <c r="EG97" s="165"/>
      <c r="EH97" s="165"/>
      <c r="EI97" s="165"/>
      <c r="EJ97" s="165"/>
      <c r="EK97" s="165"/>
      <c r="EL97" s="165"/>
      <c r="EM97" s="165"/>
      <c r="EN97" s="165"/>
      <c r="EO97" s="165"/>
      <c r="EP97" s="165"/>
      <c r="EQ97" s="165"/>
      <c r="ER97" s="165"/>
      <c r="ES97" s="165"/>
      <c r="ET97" s="17"/>
      <c r="EU97" s="155"/>
      <c r="EV97" s="17"/>
      <c r="EW97" s="17"/>
      <c r="EX97" s="17"/>
    </row>
    <row r="98" spans="3:154">
      <c r="C98" s="22"/>
      <c r="D98" s="22"/>
      <c r="E98" s="22"/>
      <c r="O98" s="22"/>
      <c r="P98" s="22"/>
      <c r="Q98" s="22"/>
      <c r="R98" s="22"/>
      <c r="S98" s="22"/>
      <c r="T98" s="22"/>
      <c r="U98" s="22"/>
      <c r="V98" s="22"/>
      <c r="W98" s="22"/>
      <c r="X98" s="22"/>
      <c r="Y98" s="22"/>
      <c r="Z98" s="210"/>
      <c r="AA98" s="210"/>
      <c r="AB98" s="210"/>
      <c r="AC98" s="165"/>
      <c r="AD98" s="165"/>
      <c r="AE98" s="165"/>
      <c r="AF98" s="165"/>
      <c r="AG98" s="165"/>
      <c r="AH98" s="165"/>
      <c r="AI98" s="165"/>
      <c r="AJ98" s="165"/>
      <c r="AK98" s="165"/>
      <c r="AL98" s="165"/>
      <c r="AM98" s="165"/>
      <c r="AN98" s="165"/>
      <c r="AO98" s="165"/>
      <c r="AP98" s="165"/>
      <c r="AQ98" s="165"/>
      <c r="AR98" s="165"/>
      <c r="AS98" s="165"/>
      <c r="AT98" s="165"/>
      <c r="AU98" s="165"/>
      <c r="AV98" s="165"/>
      <c r="AW98" s="165"/>
      <c r="AX98" s="165"/>
      <c r="AY98" s="165"/>
      <c r="AZ98" s="165"/>
      <c r="BA98" s="165"/>
      <c r="BB98" s="165"/>
      <c r="BC98" s="165"/>
      <c r="BD98" s="165"/>
      <c r="BE98" s="165"/>
      <c r="BF98" s="165"/>
      <c r="BG98" s="165"/>
      <c r="BH98" s="165"/>
      <c r="BI98" s="165"/>
      <c r="BJ98" s="165"/>
      <c r="BK98" s="165"/>
      <c r="BL98" s="165"/>
      <c r="BM98" s="165"/>
      <c r="BN98" s="165"/>
      <c r="BO98" s="165"/>
      <c r="BP98" s="165"/>
      <c r="BQ98" s="165"/>
      <c r="BR98" s="165"/>
      <c r="BS98" s="165"/>
      <c r="BT98" s="165"/>
      <c r="BU98" s="165"/>
      <c r="BV98" s="165"/>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c r="DH98" s="165"/>
      <c r="DI98" s="165"/>
      <c r="DJ98" s="165"/>
      <c r="DK98" s="165"/>
      <c r="DL98" s="165"/>
      <c r="DM98" s="165"/>
      <c r="DN98" s="165"/>
      <c r="DO98" s="165"/>
      <c r="DP98" s="165"/>
      <c r="DQ98" s="165"/>
      <c r="DR98" s="165"/>
      <c r="DS98" s="165"/>
      <c r="DT98" s="165"/>
      <c r="DU98" s="165"/>
      <c r="DV98" s="165"/>
      <c r="DW98" s="165"/>
      <c r="DX98" s="165"/>
      <c r="DY98" s="165"/>
      <c r="DZ98" s="165"/>
      <c r="EA98" s="165"/>
      <c r="EB98" s="165"/>
      <c r="EC98" s="165"/>
      <c r="ED98" s="165"/>
      <c r="EE98" s="165"/>
      <c r="EF98" s="165"/>
      <c r="EG98" s="165"/>
      <c r="EH98" s="165"/>
      <c r="EI98" s="165"/>
      <c r="EJ98" s="165"/>
      <c r="EK98" s="165"/>
      <c r="EL98" s="165"/>
      <c r="EM98" s="165"/>
      <c r="EN98" s="165"/>
      <c r="EO98" s="165"/>
      <c r="EP98" s="165"/>
      <c r="EQ98" s="165"/>
      <c r="ER98" s="165"/>
      <c r="ES98" s="165"/>
      <c r="ET98" s="17"/>
      <c r="EU98" s="155"/>
      <c r="EV98" s="17"/>
      <c r="EW98" s="17"/>
      <c r="EX98" s="17"/>
    </row>
    <row r="99" spans="3:154">
      <c r="C99" s="22"/>
      <c r="D99" s="22"/>
      <c r="E99" s="22"/>
      <c r="O99" s="22"/>
      <c r="P99" s="22"/>
      <c r="Q99" s="22"/>
      <c r="R99" s="22"/>
      <c r="S99" s="22"/>
      <c r="T99" s="22"/>
      <c r="U99" s="22"/>
      <c r="V99" s="22"/>
      <c r="W99" s="22"/>
      <c r="X99" s="22"/>
      <c r="Y99" s="22"/>
      <c r="Z99" s="210"/>
      <c r="AA99" s="210"/>
      <c r="AB99" s="210"/>
      <c r="AC99" s="165"/>
      <c r="AD99" s="165"/>
      <c r="AE99" s="165"/>
      <c r="AF99" s="165"/>
      <c r="AG99" s="165"/>
      <c r="AH99" s="165"/>
      <c r="AI99" s="165"/>
      <c r="AJ99" s="165"/>
      <c r="AK99" s="165"/>
      <c r="AL99" s="165"/>
      <c r="AM99" s="165"/>
      <c r="AN99" s="165"/>
      <c r="AO99" s="165"/>
      <c r="AP99" s="165"/>
      <c r="AQ99" s="165"/>
      <c r="AR99" s="165"/>
      <c r="AS99" s="165"/>
      <c r="AT99" s="165"/>
      <c r="AU99" s="165"/>
      <c r="AV99" s="165"/>
      <c r="AW99" s="165"/>
      <c r="AX99" s="165"/>
      <c r="AY99" s="165"/>
      <c r="AZ99" s="165"/>
      <c r="BA99" s="165"/>
      <c r="BB99" s="165"/>
      <c r="BC99" s="165"/>
      <c r="BD99" s="165"/>
      <c r="BE99" s="165"/>
      <c r="BF99" s="165"/>
      <c r="BG99" s="165"/>
      <c r="BH99" s="165"/>
      <c r="BI99" s="165"/>
      <c r="BJ99" s="165"/>
      <c r="BK99" s="165"/>
      <c r="BL99" s="165"/>
      <c r="BM99" s="165"/>
      <c r="BN99" s="165"/>
      <c r="BO99" s="165"/>
      <c r="BP99" s="165"/>
      <c r="BQ99" s="165"/>
      <c r="BR99" s="165"/>
      <c r="BS99" s="165"/>
      <c r="BT99" s="165"/>
      <c r="BU99" s="165"/>
      <c r="BV99" s="165"/>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c r="DH99" s="165"/>
      <c r="DI99" s="165"/>
      <c r="DJ99" s="165"/>
      <c r="DK99" s="165"/>
      <c r="DL99" s="165"/>
      <c r="DM99" s="165"/>
      <c r="DN99" s="165"/>
      <c r="DO99" s="165"/>
      <c r="DP99" s="165"/>
      <c r="DQ99" s="165"/>
      <c r="DR99" s="165"/>
      <c r="DS99" s="165"/>
      <c r="DT99" s="165"/>
      <c r="DU99" s="165"/>
      <c r="DV99" s="165"/>
      <c r="DW99" s="165"/>
      <c r="DX99" s="165"/>
      <c r="DY99" s="165"/>
      <c r="DZ99" s="165"/>
      <c r="EA99" s="165"/>
      <c r="EB99" s="165"/>
      <c r="EC99" s="165"/>
      <c r="ED99" s="165"/>
      <c r="EE99" s="165"/>
      <c r="EF99" s="165"/>
      <c r="EG99" s="165"/>
      <c r="EH99" s="165"/>
      <c r="EI99" s="165"/>
      <c r="EJ99" s="165"/>
      <c r="EK99" s="165"/>
      <c r="EL99" s="165"/>
      <c r="EM99" s="165"/>
      <c r="EN99" s="165"/>
      <c r="EO99" s="165"/>
      <c r="EP99" s="165"/>
      <c r="EQ99" s="165"/>
      <c r="ER99" s="165"/>
      <c r="ES99" s="165"/>
      <c r="ET99" s="17"/>
      <c r="EU99" s="155"/>
      <c r="EV99" s="17"/>
      <c r="EW99" s="17"/>
      <c r="EX99" s="17"/>
    </row>
    <row r="100" spans="3:154">
      <c r="C100" s="22"/>
      <c r="D100" s="22"/>
      <c r="E100" s="22"/>
      <c r="O100" s="22"/>
      <c r="P100" s="22"/>
      <c r="Q100" s="22"/>
      <c r="R100" s="22"/>
      <c r="S100" s="22"/>
      <c r="T100" s="22"/>
      <c r="U100" s="22"/>
      <c r="V100" s="22"/>
      <c r="W100" s="22"/>
      <c r="X100" s="22"/>
      <c r="Y100" s="22"/>
      <c r="Z100" s="210"/>
      <c r="AA100" s="210"/>
      <c r="AB100" s="210"/>
      <c r="AC100" s="165"/>
      <c r="AD100" s="165"/>
      <c r="AE100" s="165"/>
      <c r="AF100" s="165"/>
      <c r="AG100" s="165"/>
      <c r="AH100" s="165"/>
      <c r="AI100" s="165"/>
      <c r="AJ100" s="165"/>
      <c r="AK100" s="165"/>
      <c r="AL100" s="165"/>
      <c r="AM100" s="165"/>
      <c r="AN100" s="165"/>
      <c r="AO100" s="165"/>
      <c r="AP100" s="165"/>
      <c r="AQ100" s="165"/>
      <c r="AR100" s="165"/>
      <c r="AS100" s="165"/>
      <c r="AT100" s="165"/>
      <c r="AU100" s="165"/>
      <c r="AV100" s="165"/>
      <c r="AW100" s="165"/>
      <c r="AX100" s="165"/>
      <c r="AY100" s="165"/>
      <c r="AZ100" s="165"/>
      <c r="BA100" s="165"/>
      <c r="BB100" s="165"/>
      <c r="BC100" s="165"/>
      <c r="BD100" s="165"/>
      <c r="BE100" s="165"/>
      <c r="BF100" s="165"/>
      <c r="BG100" s="165"/>
      <c r="BH100" s="165"/>
      <c r="BI100" s="165"/>
      <c r="BJ100" s="165"/>
      <c r="BK100" s="165"/>
      <c r="BL100" s="165"/>
      <c r="BM100" s="165"/>
      <c r="BN100" s="165"/>
      <c r="BO100" s="165"/>
      <c r="BP100" s="165"/>
      <c r="BQ100" s="165"/>
      <c r="BR100" s="165"/>
      <c r="BS100" s="165"/>
      <c r="BT100" s="165"/>
      <c r="BU100" s="165"/>
      <c r="BV100" s="165"/>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c r="DH100" s="165"/>
      <c r="DI100" s="165"/>
      <c r="DJ100" s="165"/>
      <c r="DK100" s="165"/>
      <c r="DL100" s="165"/>
      <c r="DM100" s="165"/>
      <c r="DN100" s="165"/>
      <c r="DO100" s="165"/>
      <c r="DP100" s="165"/>
      <c r="DQ100" s="165"/>
      <c r="DR100" s="165"/>
      <c r="DS100" s="165"/>
      <c r="DT100" s="165"/>
      <c r="DU100" s="165"/>
      <c r="DV100" s="165"/>
      <c r="DW100" s="165"/>
      <c r="DX100" s="165"/>
      <c r="DY100" s="165"/>
      <c r="DZ100" s="165"/>
      <c r="EA100" s="165"/>
      <c r="EB100" s="165"/>
      <c r="EC100" s="165"/>
      <c r="ED100" s="165"/>
      <c r="EE100" s="165"/>
      <c r="EF100" s="165"/>
      <c r="EG100" s="165"/>
      <c r="EH100" s="165"/>
      <c r="EI100" s="165"/>
      <c r="EJ100" s="165"/>
      <c r="EK100" s="165"/>
      <c r="EL100" s="165"/>
      <c r="EM100" s="165"/>
      <c r="EN100" s="165"/>
      <c r="EO100" s="165"/>
      <c r="EP100" s="165"/>
      <c r="EQ100" s="165"/>
      <c r="ER100" s="165"/>
      <c r="ES100" s="165"/>
      <c r="ET100" s="17"/>
      <c r="EU100" s="155"/>
      <c r="EV100" s="17"/>
      <c r="EW100" s="17"/>
      <c r="EX100" s="17"/>
    </row>
    <row r="101" spans="3:154">
      <c r="C101" s="22"/>
      <c r="D101" s="22"/>
      <c r="E101" s="22"/>
      <c r="O101" s="22"/>
      <c r="P101" s="22"/>
      <c r="Q101" s="22"/>
      <c r="R101" s="22"/>
      <c r="S101" s="22"/>
      <c r="T101" s="22"/>
      <c r="U101" s="22"/>
      <c r="V101" s="22"/>
      <c r="W101" s="22"/>
      <c r="X101" s="22"/>
      <c r="Y101" s="22"/>
      <c r="Z101" s="210"/>
      <c r="AA101" s="210"/>
      <c r="AB101" s="210"/>
      <c r="AC101" s="165"/>
      <c r="AD101" s="165"/>
      <c r="AE101" s="165"/>
      <c r="AF101" s="165"/>
      <c r="AG101" s="165"/>
      <c r="AH101" s="165"/>
      <c r="AI101" s="165"/>
      <c r="AJ101" s="165"/>
      <c r="AK101" s="165"/>
      <c r="AL101" s="165"/>
      <c r="AM101" s="165"/>
      <c r="AN101" s="165"/>
      <c r="AO101" s="165"/>
      <c r="AP101" s="165"/>
      <c r="AQ101" s="165"/>
      <c r="AR101" s="165"/>
      <c r="AS101" s="165"/>
      <c r="AT101" s="165"/>
      <c r="AU101" s="165"/>
      <c r="AV101" s="165"/>
      <c r="AW101" s="165"/>
      <c r="AX101" s="165"/>
      <c r="AY101" s="165"/>
      <c r="AZ101" s="165"/>
      <c r="BA101" s="165"/>
      <c r="BB101" s="165"/>
      <c r="BC101" s="165"/>
      <c r="BD101" s="165"/>
      <c r="BE101" s="165"/>
      <c r="BF101" s="165"/>
      <c r="BG101" s="165"/>
      <c r="BH101" s="165"/>
      <c r="BI101" s="165"/>
      <c r="BJ101" s="165"/>
      <c r="BK101" s="165"/>
      <c r="BL101" s="165"/>
      <c r="BM101" s="165"/>
      <c r="BN101" s="165"/>
      <c r="BO101" s="165"/>
      <c r="BP101" s="165"/>
      <c r="BQ101" s="165"/>
      <c r="BR101" s="165"/>
      <c r="BS101" s="165"/>
      <c r="BT101" s="165"/>
      <c r="BU101" s="165"/>
      <c r="BV101" s="165"/>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c r="DH101" s="165"/>
      <c r="DI101" s="165"/>
      <c r="DJ101" s="165"/>
      <c r="DK101" s="165"/>
      <c r="DL101" s="165"/>
      <c r="DM101" s="165"/>
      <c r="DN101" s="165"/>
      <c r="DO101" s="165"/>
      <c r="DP101" s="165"/>
      <c r="DQ101" s="165"/>
      <c r="DR101" s="165"/>
      <c r="DS101" s="165"/>
      <c r="DT101" s="165"/>
      <c r="DU101" s="165"/>
      <c r="DV101" s="165"/>
      <c r="DW101" s="165"/>
      <c r="DX101" s="165"/>
      <c r="DY101" s="165"/>
      <c r="DZ101" s="165"/>
      <c r="EA101" s="165"/>
      <c r="EB101" s="165"/>
      <c r="EC101" s="165"/>
      <c r="ED101" s="165"/>
      <c r="EE101" s="165"/>
      <c r="EF101" s="165"/>
      <c r="EG101" s="165"/>
      <c r="EH101" s="165"/>
      <c r="EI101" s="165"/>
      <c r="EJ101" s="165"/>
      <c r="EK101" s="165"/>
      <c r="EL101" s="165"/>
      <c r="EM101" s="165"/>
      <c r="EN101" s="165"/>
      <c r="EO101" s="165"/>
      <c r="EP101" s="165"/>
      <c r="EQ101" s="165"/>
      <c r="ER101" s="165"/>
      <c r="ES101" s="165"/>
      <c r="ET101" s="17"/>
      <c r="EU101" s="155"/>
      <c r="EV101" s="17"/>
      <c r="EW101" s="17"/>
      <c r="EX101" s="17"/>
    </row>
    <row r="102" spans="3:154">
      <c r="C102" s="22"/>
      <c r="D102" s="22"/>
      <c r="E102" s="22"/>
      <c r="O102" s="22"/>
      <c r="P102" s="22"/>
      <c r="Q102" s="22"/>
      <c r="R102" s="22"/>
      <c r="S102" s="22"/>
      <c r="T102" s="22"/>
      <c r="U102" s="22"/>
      <c r="V102" s="22"/>
      <c r="W102" s="22"/>
      <c r="X102" s="22"/>
      <c r="Y102" s="22"/>
      <c r="Z102" s="210"/>
      <c r="AA102" s="210"/>
      <c r="AB102" s="210"/>
      <c r="AC102" s="165"/>
      <c r="AD102" s="165"/>
      <c r="AE102" s="165"/>
      <c r="AF102" s="165"/>
      <c r="AG102" s="165"/>
      <c r="AH102" s="165"/>
      <c r="AI102" s="165"/>
      <c r="AJ102" s="165"/>
      <c r="AK102" s="165"/>
      <c r="AL102" s="165"/>
      <c r="AM102" s="165"/>
      <c r="AN102" s="165"/>
      <c r="AO102" s="165"/>
      <c r="AP102" s="165"/>
      <c r="AQ102" s="165"/>
      <c r="AR102" s="165"/>
      <c r="AS102" s="165"/>
      <c r="AT102" s="165"/>
      <c r="AU102" s="165"/>
      <c r="AV102" s="165"/>
      <c r="AW102" s="165"/>
      <c r="AX102" s="165"/>
      <c r="AY102" s="165"/>
      <c r="AZ102" s="165"/>
      <c r="BA102" s="165"/>
      <c r="BB102" s="165"/>
      <c r="BC102" s="165"/>
      <c r="BD102" s="165"/>
      <c r="BE102" s="165"/>
      <c r="BF102" s="165"/>
      <c r="BG102" s="165"/>
      <c r="BH102" s="165"/>
      <c r="BI102" s="165"/>
      <c r="BJ102" s="165"/>
      <c r="BK102" s="165"/>
      <c r="BL102" s="165"/>
      <c r="BM102" s="165"/>
      <c r="BN102" s="165"/>
      <c r="BO102" s="165"/>
      <c r="BP102" s="165"/>
      <c r="BQ102" s="165"/>
      <c r="BR102" s="165"/>
      <c r="BS102" s="165"/>
      <c r="BT102" s="165"/>
      <c r="BU102" s="165"/>
      <c r="BV102" s="165"/>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c r="DH102" s="165"/>
      <c r="DI102" s="165"/>
      <c r="DJ102" s="165"/>
      <c r="DK102" s="165"/>
      <c r="DL102" s="165"/>
      <c r="DM102" s="165"/>
      <c r="DN102" s="165"/>
      <c r="DO102" s="165"/>
      <c r="DP102" s="165"/>
      <c r="DQ102" s="165"/>
      <c r="DR102" s="165"/>
      <c r="DS102" s="165"/>
      <c r="DT102" s="165"/>
      <c r="DU102" s="165"/>
      <c r="DV102" s="165"/>
      <c r="DW102" s="165"/>
      <c r="DX102" s="165"/>
      <c r="DY102" s="165"/>
      <c r="DZ102" s="165"/>
      <c r="EA102" s="165"/>
      <c r="EB102" s="165"/>
      <c r="EC102" s="165"/>
      <c r="ED102" s="165"/>
      <c r="EE102" s="165"/>
      <c r="EF102" s="165"/>
      <c r="EG102" s="165"/>
      <c r="EH102" s="165"/>
      <c r="EI102" s="165"/>
      <c r="EJ102" s="165"/>
      <c r="EK102" s="165"/>
      <c r="EL102" s="165"/>
      <c r="EM102" s="165"/>
      <c r="EN102" s="165"/>
      <c r="EO102" s="165"/>
      <c r="EP102" s="165"/>
      <c r="EQ102" s="165"/>
      <c r="ER102" s="165"/>
      <c r="ES102" s="165"/>
      <c r="ET102" s="17"/>
      <c r="EU102" s="155"/>
    </row>
    <row r="103" spans="3:154">
      <c r="C103" s="22"/>
      <c r="D103" s="22"/>
      <c r="E103" s="22"/>
      <c r="O103" s="22"/>
      <c r="P103" s="22"/>
      <c r="Q103" s="22"/>
      <c r="R103" s="22"/>
      <c r="S103" s="22"/>
      <c r="T103" s="22"/>
      <c r="U103" s="22"/>
      <c r="V103" s="22"/>
      <c r="W103" s="22"/>
      <c r="X103" s="22"/>
      <c r="Y103" s="22"/>
      <c r="Z103" s="22"/>
      <c r="AA103" s="22"/>
      <c r="AB103" s="22"/>
      <c r="AC103" s="164"/>
      <c r="AD103" s="164"/>
      <c r="AE103" s="164"/>
      <c r="AF103" s="164"/>
      <c r="AG103" s="164"/>
      <c r="AH103" s="164"/>
      <c r="AI103" s="164"/>
      <c r="AJ103" s="164"/>
      <c r="AK103" s="164"/>
      <c r="AL103" s="164"/>
      <c r="AM103" s="164"/>
      <c r="AN103" s="164"/>
      <c r="AO103" s="164"/>
      <c r="AP103" s="164"/>
      <c r="AQ103" s="164"/>
      <c r="AR103" s="164"/>
      <c r="AS103" s="164"/>
      <c r="AT103" s="164"/>
      <c r="AU103" s="164"/>
      <c r="AV103" s="164"/>
      <c r="AW103" s="164"/>
      <c r="AX103" s="164"/>
      <c r="AY103" s="164"/>
      <c r="AZ103" s="164"/>
      <c r="BA103" s="164"/>
      <c r="BB103" s="164"/>
      <c r="BC103" s="164"/>
      <c r="BD103" s="164"/>
      <c r="BE103" s="164"/>
      <c r="BF103" s="164"/>
      <c r="BG103" s="164"/>
      <c r="BH103" s="164"/>
      <c r="BI103" s="164"/>
      <c r="BJ103" s="164"/>
      <c r="BK103" s="164"/>
      <c r="BL103" s="164"/>
      <c r="BM103" s="164"/>
      <c r="BN103" s="164"/>
      <c r="BO103" s="164"/>
      <c r="BP103" s="164"/>
      <c r="BQ103" s="164"/>
      <c r="BR103" s="164"/>
      <c r="BS103" s="164"/>
      <c r="BT103" s="164"/>
      <c r="BU103" s="164"/>
      <c r="BV103" s="164"/>
      <c r="BW103" s="164"/>
      <c r="BX103" s="164"/>
      <c r="BY103" s="164"/>
      <c r="BZ103" s="164"/>
      <c r="CA103" s="164"/>
      <c r="CB103" s="164"/>
      <c r="CC103" s="164"/>
      <c r="CD103" s="164"/>
      <c r="CE103" s="164"/>
      <c r="CF103" s="164"/>
      <c r="CG103" s="164"/>
      <c r="CH103" s="164"/>
      <c r="CI103" s="164"/>
      <c r="CJ103" s="164"/>
      <c r="CK103" s="164"/>
      <c r="CL103" s="164"/>
      <c r="CM103" s="164"/>
      <c r="CN103" s="164"/>
      <c r="CO103" s="164"/>
      <c r="CP103" s="164"/>
      <c r="CQ103" s="164"/>
      <c r="CR103" s="164"/>
      <c r="CS103" s="164"/>
      <c r="CT103" s="164"/>
      <c r="CU103" s="164"/>
      <c r="CV103" s="164"/>
      <c r="CW103" s="164"/>
      <c r="CX103" s="164"/>
      <c r="CY103" s="164"/>
      <c r="CZ103" s="164"/>
      <c r="DA103" s="164"/>
      <c r="DB103" s="164"/>
      <c r="DC103" s="164"/>
      <c r="DD103" s="164"/>
      <c r="DE103" s="164"/>
      <c r="DF103" s="164"/>
      <c r="DG103" s="164"/>
      <c r="DH103" s="164"/>
      <c r="DI103" s="164"/>
      <c r="DJ103" s="164"/>
      <c r="DK103" s="164"/>
      <c r="DL103" s="164"/>
      <c r="DM103" s="164"/>
      <c r="DN103" s="164"/>
      <c r="DO103" s="164"/>
      <c r="DP103" s="164"/>
      <c r="DQ103" s="164"/>
      <c r="DR103" s="164"/>
      <c r="DS103" s="164"/>
      <c r="DT103" s="164"/>
      <c r="DU103" s="164"/>
      <c r="DV103" s="164"/>
      <c r="DW103" s="164"/>
      <c r="DX103" s="164"/>
      <c r="DY103" s="164"/>
      <c r="DZ103" s="164"/>
      <c r="EA103" s="164"/>
      <c r="EB103" s="164"/>
      <c r="EC103" s="164"/>
      <c r="ED103" s="164"/>
      <c r="EE103" s="164"/>
      <c r="EF103" s="164"/>
      <c r="EG103" s="164"/>
      <c r="EH103" s="164"/>
      <c r="EI103" s="164"/>
      <c r="EJ103" s="164"/>
      <c r="EK103" s="164"/>
      <c r="EL103" s="164"/>
      <c r="EM103" s="164"/>
      <c r="EN103" s="164"/>
      <c r="EO103" s="164"/>
      <c r="EP103" s="164"/>
      <c r="EQ103" s="164"/>
      <c r="ER103" s="164"/>
      <c r="ES103" s="164"/>
    </row>
    <row r="104" spans="3:154">
      <c r="C104" s="22"/>
      <c r="D104" s="22"/>
      <c r="E104" s="22"/>
      <c r="O104" s="22"/>
      <c r="P104" s="22"/>
      <c r="Q104" s="22"/>
      <c r="R104" s="22"/>
      <c r="S104" s="22"/>
      <c r="T104" s="22"/>
      <c r="U104" s="22"/>
      <c r="V104" s="22"/>
      <c r="W104" s="22"/>
      <c r="X104" s="22"/>
      <c r="Y104" s="22"/>
      <c r="Z104" s="22"/>
      <c r="AA104" s="22"/>
      <c r="AB104" s="22"/>
      <c r="AC104" s="164"/>
      <c r="AD104" s="164"/>
      <c r="AE104" s="164"/>
      <c r="AF104" s="164"/>
      <c r="AG104" s="164"/>
      <c r="AH104" s="164"/>
      <c r="AI104" s="164"/>
      <c r="AJ104" s="164"/>
      <c r="AK104" s="164"/>
      <c r="AL104" s="164"/>
      <c r="AM104" s="164"/>
      <c r="AN104" s="164"/>
      <c r="AO104" s="164"/>
      <c r="AP104" s="164"/>
      <c r="AQ104" s="164"/>
      <c r="AR104" s="164"/>
      <c r="AS104" s="164"/>
      <c r="AT104" s="164"/>
      <c r="AU104" s="164"/>
      <c r="AV104" s="164"/>
      <c r="AW104" s="164"/>
      <c r="AX104" s="164"/>
      <c r="AY104" s="164"/>
      <c r="AZ104" s="164"/>
      <c r="BA104" s="164"/>
      <c r="BB104" s="164"/>
      <c r="BC104" s="164"/>
      <c r="BD104" s="164"/>
      <c r="BE104" s="164"/>
      <c r="BF104" s="164"/>
      <c r="BG104" s="164"/>
      <c r="BH104" s="164"/>
      <c r="BI104" s="164"/>
      <c r="BJ104" s="164"/>
      <c r="BK104" s="164"/>
      <c r="BL104" s="164"/>
      <c r="BM104" s="164"/>
      <c r="BN104" s="164"/>
      <c r="BO104" s="164"/>
      <c r="BP104" s="164"/>
      <c r="BQ104" s="164"/>
      <c r="BR104" s="164"/>
      <c r="BS104" s="164"/>
      <c r="BT104" s="164"/>
      <c r="BU104" s="164"/>
      <c r="BV104" s="164"/>
      <c r="BW104" s="164"/>
      <c r="BX104" s="164"/>
      <c r="BY104" s="164"/>
      <c r="BZ104" s="164"/>
      <c r="CA104" s="164"/>
      <c r="CB104" s="164"/>
      <c r="CC104" s="164"/>
      <c r="CD104" s="164"/>
      <c r="CE104" s="164"/>
      <c r="CF104" s="164"/>
      <c r="CG104" s="164"/>
      <c r="CH104" s="164"/>
      <c r="CI104" s="164"/>
      <c r="CJ104" s="164"/>
      <c r="CK104" s="164"/>
      <c r="CL104" s="164"/>
      <c r="CM104" s="164"/>
      <c r="CN104" s="164"/>
      <c r="CO104" s="164"/>
      <c r="CP104" s="164"/>
      <c r="CQ104" s="164"/>
      <c r="CR104" s="164"/>
      <c r="CS104" s="164"/>
      <c r="CT104" s="164"/>
      <c r="CU104" s="164"/>
      <c r="CV104" s="164"/>
      <c r="CW104" s="164"/>
      <c r="CX104" s="164"/>
      <c r="CY104" s="164"/>
      <c r="CZ104" s="164"/>
      <c r="DA104" s="164"/>
      <c r="DB104" s="164"/>
      <c r="DC104" s="164"/>
      <c r="DD104" s="164"/>
      <c r="DE104" s="164"/>
      <c r="DF104" s="164"/>
      <c r="DG104" s="164"/>
      <c r="DH104" s="164"/>
      <c r="DI104" s="164"/>
      <c r="DJ104" s="164"/>
      <c r="DK104" s="164"/>
      <c r="DL104" s="164"/>
      <c r="DM104" s="164"/>
      <c r="DN104" s="164"/>
      <c r="DO104" s="164"/>
      <c r="DP104" s="164"/>
      <c r="DQ104" s="164"/>
      <c r="DR104" s="164"/>
      <c r="DS104" s="164"/>
      <c r="DT104" s="164"/>
      <c r="DU104" s="164"/>
      <c r="DV104" s="164"/>
      <c r="DW104" s="164"/>
      <c r="DX104" s="164"/>
      <c r="DY104" s="164"/>
      <c r="DZ104" s="164"/>
      <c r="EA104" s="164"/>
      <c r="EB104" s="164"/>
      <c r="EC104" s="164"/>
      <c r="ED104" s="164"/>
      <c r="EE104" s="164"/>
      <c r="EF104" s="164"/>
      <c r="EG104" s="164"/>
      <c r="EH104" s="164"/>
      <c r="EI104" s="164"/>
      <c r="EJ104" s="164"/>
      <c r="EK104" s="164"/>
      <c r="EL104" s="164"/>
      <c r="EM104" s="164"/>
      <c r="EN104" s="164"/>
      <c r="EO104" s="164"/>
      <c r="EP104" s="164"/>
      <c r="EQ104" s="164"/>
      <c r="ER104" s="164"/>
      <c r="ES104" s="164"/>
    </row>
    <row r="105" spans="3:154">
      <c r="O105" s="22"/>
    </row>
    <row r="106" spans="3:154">
      <c r="O106" s="22"/>
    </row>
    <row r="107" spans="3:154">
      <c r="O107" s="22"/>
    </row>
    <row r="108" spans="3:154">
      <c r="O108" s="22"/>
    </row>
    <row r="109" spans="3:154">
      <c r="O109" s="22"/>
    </row>
    <row r="110" spans="3:154">
      <c r="O110" s="22"/>
    </row>
    <row r="111" spans="3:154">
      <c r="O111" s="22"/>
    </row>
  </sheetData>
  <mergeCells count="2">
    <mergeCell ref="ET7:EU7"/>
    <mergeCell ref="ET8:EU8"/>
  </mergeCells>
  <phoneticPr fontId="0" type="noConversion"/>
  <pageMargins left="0.1" right="0.1" top="0.5" bottom="0.5" header="0.5" footer="0.5"/>
  <pageSetup scale="39" orientation="landscape" blackAndWhite="1" r:id="rId1"/>
  <headerFooter alignWithMargins="0">
    <oddFooter>&amp;L&amp;Z&amp;F
&amp;D</oddFooter>
  </headerFooter>
  <customProperties>
    <customPr name="_pios_id" r:id="rId2"/>
    <customPr name="EpmWorksheetKeyString_GUID" r:id="rId3"/>
    <customPr name="FPMExcelClientCellBasedFunctionStatus" r:id="rId4"/>
  </customProperties>
  <ignoredErrors>
    <ignoredError sqref="B12:C12 C9 B23:C23 B35:C36 B43:C44 D24 D35 D23 D25:D26 D11:D12 D22 D44 D46:D48 C11 C22 B25:C26 C24 C34 C45" unlockedFormula="1"/>
    <ignoredError sqref="ET35:ET36 ET12 ET23" formula="1"/>
  </ignoredErrors>
  <legacy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C000"/>
  </sheetPr>
  <dimension ref="A1:C49"/>
  <sheetViews>
    <sheetView workbookViewId="0">
      <selection activeCell="B17" sqref="B17"/>
    </sheetView>
  </sheetViews>
  <sheetFormatPr defaultRowHeight="12.75"/>
  <cols>
    <col min="1" max="1" width="41" customWidth="1"/>
    <col min="2" max="2" width="13.5703125" bestFit="1" customWidth="1"/>
    <col min="3" max="3" width="17.140625" hidden="1" customWidth="1"/>
    <col min="4" max="4" width="41" customWidth="1"/>
  </cols>
  <sheetData>
    <row r="1" spans="1:3" ht="15.75">
      <c r="A1" s="1059" t="s">
        <v>2550</v>
      </c>
      <c r="B1" s="1072"/>
      <c r="C1" s="1073"/>
    </row>
    <row r="2" spans="1:3" ht="15.75">
      <c r="A2" s="697"/>
      <c r="B2" s="697"/>
      <c r="C2" s="697"/>
    </row>
    <row r="3" spans="1:3" ht="15">
      <c r="A3" s="944"/>
      <c r="B3" s="778" t="s">
        <v>102</v>
      </c>
      <c r="C3" s="778" t="s">
        <v>1755</v>
      </c>
    </row>
    <row r="4" spans="1:3" ht="15">
      <c r="A4" s="944" t="s">
        <v>2551</v>
      </c>
      <c r="B4" s="945">
        <f>+Report!B160+Report!D160+Report!F160</f>
        <v>502771.98464988876</v>
      </c>
      <c r="C4" s="945">
        <f>+'Report YE'!B160+'Report YE'!D160+'Report YE'!F160</f>
        <v>469059.50984141685</v>
      </c>
    </row>
    <row r="5" spans="1:3" ht="15">
      <c r="A5" s="944" t="s">
        <v>2552</v>
      </c>
      <c r="B5" s="945">
        <f>+Report!B162+Report!D162+Report!F162</f>
        <v>155786.81676947701</v>
      </c>
      <c r="C5" s="945">
        <f>+'Report YE'!B162+'Report YE'!D162+'Report YE'!F162</f>
        <v>173053.603876248</v>
      </c>
    </row>
    <row r="6" spans="1:3" ht="15">
      <c r="A6" s="946"/>
      <c r="B6" s="947">
        <f>SUM(B4:B5)</f>
        <v>658558.8014193658</v>
      </c>
      <c r="C6" s="947">
        <f>SUM(C4:C5)</f>
        <v>642113.11371766485</v>
      </c>
    </row>
    <row r="7" spans="1:3">
      <c r="A7" s="948"/>
      <c r="B7" s="2"/>
      <c r="C7" s="2"/>
    </row>
    <row r="8" spans="1:3" ht="15">
      <c r="A8" s="944" t="s">
        <v>2553</v>
      </c>
      <c r="B8" s="776">
        <f>+B4/B6</f>
        <v>0.76344281416675952</v>
      </c>
      <c r="C8" s="776">
        <f>+C4/C6</f>
        <v>0.73049358410652376</v>
      </c>
    </row>
    <row r="9" spans="1:3" ht="15">
      <c r="A9" s="944" t="s">
        <v>2554</v>
      </c>
      <c r="B9" s="774">
        <f>+B5/B6</f>
        <v>0.23655718583324045</v>
      </c>
      <c r="C9" s="774">
        <f>+C5/C6</f>
        <v>0.26950641589347629</v>
      </c>
    </row>
    <row r="10" spans="1:3" ht="15">
      <c r="A10" s="948"/>
      <c r="B10" s="776">
        <f>SUM(B8:B9)</f>
        <v>1</v>
      </c>
      <c r="C10" s="776">
        <f>SUM(C8:C9)</f>
        <v>1</v>
      </c>
    </row>
    <row r="11" spans="1:3">
      <c r="A11" s="948"/>
      <c r="B11" s="2"/>
      <c r="C11" s="2"/>
    </row>
    <row r="12" spans="1:3" ht="15">
      <c r="A12" s="944" t="s">
        <v>2555</v>
      </c>
      <c r="B12" s="945">
        <f>B4+B5+Report!B166+Report!D166+Report!F166</f>
        <v>1486409.4795950067</v>
      </c>
      <c r="C12" s="945">
        <f>C4+C5+'Report YE'!B166+'Report YE'!D166+'Report YE'!F166</f>
        <v>1357122.3010073926</v>
      </c>
    </row>
    <row r="13" spans="1:3">
      <c r="A13" s="2"/>
      <c r="B13" s="2"/>
      <c r="C13" s="2"/>
    </row>
    <row r="14" spans="1:3" ht="15">
      <c r="A14" s="944" t="s">
        <v>2556</v>
      </c>
      <c r="B14" s="949">
        <v>0.54700000000000004</v>
      </c>
      <c r="C14" s="949">
        <v>0.54700000000000004</v>
      </c>
    </row>
    <row r="15" spans="1:3" ht="15">
      <c r="A15" s="944" t="s">
        <v>2557</v>
      </c>
      <c r="B15" s="776">
        <f>Report!H166/(Report!H160+Report!H162+Report!H166)</f>
        <v>0.54700000000000004</v>
      </c>
      <c r="C15" s="776">
        <f>'Report YE'!H166/('Report YE'!H160+'Report YE'!H162+'Report YE'!H166)</f>
        <v>0.54700000000000004</v>
      </c>
    </row>
    <row r="16" spans="1:3">
      <c r="A16" s="2"/>
      <c r="B16" s="2"/>
      <c r="C16" s="2"/>
    </row>
    <row r="17" spans="1:3" ht="15">
      <c r="A17" s="944" t="s">
        <v>2558</v>
      </c>
      <c r="B17" s="950">
        <f>(1-(B6/B12)-B14)*B12</f>
        <v>14784.692837172201</v>
      </c>
      <c r="C17" s="950">
        <f>(1-(C6/C12)-C14)*C12</f>
        <v>-27336.711361315996</v>
      </c>
    </row>
    <row r="19" spans="1:3" ht="15">
      <c r="A19" s="951" t="s">
        <v>493</v>
      </c>
      <c r="B19" s="952">
        <f>[4]Report!H174-[4]Report!T95</f>
        <v>0</v>
      </c>
      <c r="C19" s="952">
        <f>'[4]Report YE'!H174-'[4]Report YE'!T95</f>
        <v>0</v>
      </c>
    </row>
    <row r="21" spans="1:3" ht="15.75">
      <c r="A21" s="1059" t="s">
        <v>2678</v>
      </c>
      <c r="B21" s="1060"/>
      <c r="C21" s="1061"/>
    </row>
    <row r="22" spans="1:3" ht="15">
      <c r="A22" s="1062" t="s">
        <v>2679</v>
      </c>
      <c r="B22" s="778"/>
      <c r="C22" s="1063"/>
    </row>
    <row r="23" spans="1:3" ht="15">
      <c r="A23" s="1064"/>
      <c r="B23" s="778" t="s">
        <v>2680</v>
      </c>
      <c r="C23" s="1063" t="s">
        <v>2681</v>
      </c>
    </row>
    <row r="24" spans="1:3" ht="15">
      <c r="A24" s="1065" t="str">
        <f>+Report!A160</f>
        <v>LONG TERM DEBT</v>
      </c>
      <c r="B24" s="945">
        <f>+Report!B160+Report!D160</f>
        <v>540550.50242084078</v>
      </c>
      <c r="C24" s="1066">
        <f>+B24/$B$30</f>
        <v>0.3382459487454802</v>
      </c>
    </row>
    <row r="25" spans="1:3" ht="15">
      <c r="A25" s="1065" t="str">
        <f>+Report!A162</f>
        <v>SHORT TERM DEBT</v>
      </c>
      <c r="B25" s="945">
        <f>+Report!B162+Report!D162</f>
        <v>167492.70971</v>
      </c>
      <c r="C25" s="1066">
        <f t="shared" ref="C25:C30" si="0">+B25/$B$30</f>
        <v>0.10480746988503027</v>
      </c>
    </row>
    <row r="26" spans="1:3" ht="15">
      <c r="A26" s="1065" t="str">
        <f>+Report!A164</f>
        <v>CUSTOMER DEPOSITS</v>
      </c>
      <c r="B26" s="945">
        <v>0</v>
      </c>
      <c r="C26" s="1066">
        <v>0</v>
      </c>
    </row>
    <row r="27" spans="1:3" ht="15">
      <c r="A27" s="1065" t="str">
        <f>+Report!A166</f>
        <v>COMMON EQUITY</v>
      </c>
      <c r="B27" s="945">
        <f>+Report!B166+Report!D166</f>
        <v>890055.75823580381</v>
      </c>
      <c r="C27" s="1066">
        <f t="shared" si="0"/>
        <v>0.55694658136948949</v>
      </c>
    </row>
    <row r="28" spans="1:3" ht="15">
      <c r="A28" s="1065" t="str">
        <f>+Report!A168</f>
        <v>DEFERRED INCOME TAX</v>
      </c>
      <c r="B28" s="945">
        <v>0</v>
      </c>
      <c r="C28" s="1066">
        <v>0</v>
      </c>
    </row>
    <row r="29" spans="1:3" ht="15">
      <c r="A29" s="1065" t="str">
        <f>+Report!A170</f>
        <v>TAX CREDITS - ZERO COST</v>
      </c>
      <c r="B29" s="945">
        <v>0</v>
      </c>
      <c r="C29" s="1066">
        <v>0</v>
      </c>
    </row>
    <row r="30" spans="1:3" ht="15">
      <c r="A30" s="1067" t="str">
        <f>+Report!A171</f>
        <v>TOTAL</v>
      </c>
      <c r="B30" s="1068">
        <f>SUM(B24:B27)</f>
        <v>1598098.9703666447</v>
      </c>
      <c r="C30" s="1069">
        <f t="shared" si="0"/>
        <v>1</v>
      </c>
    </row>
    <row r="32" spans="1:3" ht="15.75">
      <c r="A32" s="1059" t="s">
        <v>2678</v>
      </c>
      <c r="B32" s="1060"/>
      <c r="C32" s="1061"/>
    </row>
    <row r="33" spans="1:3">
      <c r="A33" s="1062" t="s">
        <v>2682</v>
      </c>
      <c r="C33" s="1070"/>
    </row>
    <row r="34" spans="1:3" ht="15">
      <c r="A34" s="1071"/>
      <c r="B34" s="778" t="s">
        <v>2680</v>
      </c>
      <c r="C34" s="1063" t="s">
        <v>2681</v>
      </c>
    </row>
    <row r="35" spans="1:3" ht="15">
      <c r="A35" s="1065" t="str">
        <f>+Report!A160</f>
        <v>LONG TERM DEBT</v>
      </c>
      <c r="B35" s="945">
        <f>+Report!B160+Report!D160</f>
        <v>540550.50242084078</v>
      </c>
      <c r="C35" s="1066">
        <f>+B35/$B$41</f>
        <v>0.29035907182266152</v>
      </c>
    </row>
    <row r="36" spans="1:3" ht="15">
      <c r="A36" s="1065" t="str">
        <f>+Report!A162</f>
        <v>SHORT TERM DEBT</v>
      </c>
      <c r="B36" s="945">
        <f>+Report!B162+Report!D162</f>
        <v>167492.70971</v>
      </c>
      <c r="C36" s="1066">
        <f t="shared" ref="C36:C41" si="1">+B36/$B$41</f>
        <v>8.9969443207723224E-2</v>
      </c>
    </row>
    <row r="37" spans="1:3" ht="15">
      <c r="A37" s="1065" t="str">
        <f>+Report!A164</f>
        <v>CUSTOMER DEPOSITS</v>
      </c>
      <c r="B37" s="945">
        <f>+Report!B164+Report!D164</f>
        <v>28428.894845384613</v>
      </c>
      <c r="C37" s="1066">
        <f t="shared" si="1"/>
        <v>1.5270705481323163E-2</v>
      </c>
    </row>
    <row r="38" spans="1:3" ht="15">
      <c r="A38" s="1065" t="str">
        <f>+Report!A166</f>
        <v>COMMON EQUITY</v>
      </c>
      <c r="B38" s="945">
        <f>+Report!B166+Report!D166</f>
        <v>890055.75823580381</v>
      </c>
      <c r="C38" s="1066">
        <f t="shared" si="1"/>
        <v>0.47809735200386577</v>
      </c>
    </row>
    <row r="39" spans="1:3" ht="15">
      <c r="A39" s="1065" t="str">
        <f>+Report!A168</f>
        <v>DEFERRED INCOME TAX</v>
      </c>
      <c r="B39" s="945">
        <f>+Report!B168+Report!D168</f>
        <v>235134.31406021037</v>
      </c>
      <c r="C39" s="1066">
        <f t="shared" si="1"/>
        <v>0.1263034274844263</v>
      </c>
    </row>
    <row r="40" spans="1:3" ht="15">
      <c r="A40" s="1065" t="str">
        <f>+Report!A170</f>
        <v>TAX CREDITS - ZERO COST</v>
      </c>
      <c r="B40" s="945">
        <f>+Report!B170+Report!D170</f>
        <v>0</v>
      </c>
      <c r="C40" s="1066">
        <f t="shared" si="1"/>
        <v>0</v>
      </c>
    </row>
    <row r="41" spans="1:3" ht="15">
      <c r="A41" s="1067" t="str">
        <f>+Report!A171</f>
        <v>TOTAL</v>
      </c>
      <c r="B41" s="1068">
        <f>+Report!B171+Report!D171</f>
        <v>1861662.1792722396</v>
      </c>
      <c r="C41" s="1069">
        <f t="shared" si="1"/>
        <v>1</v>
      </c>
    </row>
    <row r="43" spans="1:3" ht="15.75">
      <c r="A43" s="1059" t="s">
        <v>2683</v>
      </c>
      <c r="B43" s="1060"/>
      <c r="C43" s="1061"/>
    </row>
    <row r="44" spans="1:3">
      <c r="A44" s="1064"/>
      <c r="C44" s="1070"/>
    </row>
    <row r="45" spans="1:3" ht="15">
      <c r="A45" s="1064"/>
      <c r="B45" s="778" t="s">
        <v>2680</v>
      </c>
      <c r="C45" s="1063" t="s">
        <v>2681</v>
      </c>
    </row>
    <row r="46" spans="1:3" ht="15">
      <c r="A46" s="1065" t="str">
        <f>+Report!A160</f>
        <v>LONG TERM DEBT</v>
      </c>
      <c r="B46" s="945">
        <f>+Report!H160</f>
        <v>514059.25215609063</v>
      </c>
      <c r="C46" s="1066">
        <f>+B46/$B$49</f>
        <v>0.34583959481754212</v>
      </c>
    </row>
    <row r="47" spans="1:3" ht="15">
      <c r="A47" s="1065" t="str">
        <f>+Report!A162</f>
        <v>SHORT TERM DEBT</v>
      </c>
      <c r="B47" s="945">
        <f>+Report!H162</f>
        <v>159284.24210044733</v>
      </c>
      <c r="C47" s="1066">
        <f>+B47/$B$49</f>
        <v>0.10716040518245794</v>
      </c>
    </row>
    <row r="48" spans="1:3" ht="15">
      <c r="A48" s="1065" t="str">
        <f>+Report!A166</f>
        <v>COMMON EQUITY</v>
      </c>
      <c r="B48" s="945">
        <f>+Report!H166</f>
        <v>813065.98533846857</v>
      </c>
      <c r="C48" s="1066">
        <f>+B48/$B$49</f>
        <v>0.54700000000000004</v>
      </c>
    </row>
    <row r="49" spans="1:3" ht="15">
      <c r="A49" s="1067" t="str">
        <f>+Report!A171</f>
        <v>TOTAL</v>
      </c>
      <c r="B49" s="1068">
        <f>SUM(B46:B48)</f>
        <v>1486409.4795950064</v>
      </c>
      <c r="C49" s="1069">
        <f>+B49/$B$49</f>
        <v>1</v>
      </c>
    </row>
  </sheetData>
  <pageMargins left="0.7" right="0.7" top="0.75" bottom="0.75" header="0.3" footer="0.3"/>
  <pageSetup orientation="portrait" r:id="rId1"/>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C000"/>
    <pageSetUpPr fitToPage="1"/>
  </sheetPr>
  <dimension ref="A1:J67"/>
  <sheetViews>
    <sheetView view="pageBreakPreview" zoomScale="60" zoomScaleNormal="100" workbookViewId="0">
      <selection activeCell="D50" sqref="D50"/>
    </sheetView>
  </sheetViews>
  <sheetFormatPr defaultColWidth="8.42578125" defaultRowHeight="12.75"/>
  <cols>
    <col min="1" max="1" width="33.42578125" customWidth="1"/>
    <col min="2" max="2" width="19.5703125" customWidth="1"/>
    <col min="3" max="3" width="20.42578125" bestFit="1" customWidth="1"/>
    <col min="4" max="4" width="19.85546875" customWidth="1"/>
    <col min="5" max="5" width="30.5703125" bestFit="1" customWidth="1"/>
    <col min="6" max="6" width="10.85546875" customWidth="1"/>
    <col min="7" max="7" width="10.5703125" customWidth="1"/>
    <col min="8" max="8" width="9.85546875" customWidth="1"/>
    <col min="9" max="9" width="8.85546875" bestFit="1" customWidth="1"/>
    <col min="10" max="10" width="20.42578125" bestFit="1" customWidth="1"/>
  </cols>
  <sheetData>
    <row r="1" spans="1:10">
      <c r="A1" s="1"/>
      <c r="B1" s="2"/>
      <c r="C1" s="2"/>
      <c r="D1" s="1"/>
      <c r="E1" s="1"/>
      <c r="F1" s="1"/>
      <c r="G1" s="1"/>
      <c r="H1" s="1"/>
      <c r="I1" s="1"/>
      <c r="J1" s="1"/>
    </row>
    <row r="3" spans="1:10" ht="13.5" thickBot="1"/>
    <row r="4" spans="1:10" ht="15">
      <c r="A4" s="1287" t="s">
        <v>51</v>
      </c>
      <c r="B4" s="1288"/>
      <c r="C4" s="1288"/>
      <c r="D4" s="1288"/>
      <c r="E4" s="1289"/>
    </row>
    <row r="5" spans="1:10" ht="15">
      <c r="A5" s="1290" t="s">
        <v>52</v>
      </c>
      <c r="B5" s="1291"/>
      <c r="C5" s="1291"/>
      <c r="D5" s="1291"/>
      <c r="E5" s="1292"/>
    </row>
    <row r="6" spans="1:10">
      <c r="A6" s="294"/>
      <c r="E6" s="161"/>
    </row>
    <row r="7" spans="1:10">
      <c r="A7" s="294"/>
      <c r="B7" s="1"/>
      <c r="C7" s="17" t="s">
        <v>207</v>
      </c>
      <c r="D7" s="938" t="s">
        <v>215</v>
      </c>
      <c r="E7" s="939" t="str">
        <f>Reconcil!E172</f>
        <v>December 2022</v>
      </c>
      <c r="F7" s="1"/>
      <c r="G7" s="1"/>
    </row>
    <row r="8" spans="1:10">
      <c r="A8" s="294"/>
      <c r="E8" s="161"/>
    </row>
    <row r="9" spans="1:10">
      <c r="A9" s="294" t="s">
        <v>53</v>
      </c>
      <c r="E9" s="161"/>
    </row>
    <row r="10" spans="1:10">
      <c r="A10" s="294" t="s">
        <v>54</v>
      </c>
      <c r="E10" s="161"/>
    </row>
    <row r="11" spans="1:10">
      <c r="A11" s="294"/>
      <c r="E11" s="161"/>
    </row>
    <row r="12" spans="1:10">
      <c r="A12" s="295"/>
      <c r="B12" s="17"/>
      <c r="C12" s="17"/>
      <c r="D12" s="17"/>
      <c r="E12" s="296"/>
    </row>
    <row r="13" spans="1:10">
      <c r="A13" s="295"/>
      <c r="B13" s="17"/>
      <c r="C13" s="17"/>
      <c r="D13" s="17"/>
      <c r="E13" s="297" t="s">
        <v>308</v>
      </c>
      <c r="F13" s="1"/>
      <c r="G13" s="1"/>
    </row>
    <row r="14" spans="1:10">
      <c r="A14" s="298" t="s">
        <v>305</v>
      </c>
      <c r="B14" s="17"/>
      <c r="C14" s="299" t="s">
        <v>306</v>
      </c>
      <c r="D14" s="299" t="s">
        <v>307</v>
      </c>
      <c r="E14" s="300" t="s">
        <v>309</v>
      </c>
      <c r="F14" s="1"/>
      <c r="G14" s="1"/>
    </row>
    <row r="15" spans="1:10">
      <c r="A15" s="301"/>
      <c r="B15" s="17"/>
      <c r="C15" s="210"/>
      <c r="D15" s="210"/>
      <c r="E15" s="297"/>
      <c r="F15" s="1"/>
      <c r="G15" s="1"/>
    </row>
    <row r="16" spans="1:10">
      <c r="A16" s="295"/>
      <c r="B16" s="17"/>
      <c r="C16" s="131"/>
      <c r="D16" s="302"/>
      <c r="E16" s="303"/>
      <c r="F16" s="1"/>
      <c r="G16" s="1"/>
    </row>
    <row r="17" spans="1:7">
      <c r="A17" s="295" t="s">
        <v>55</v>
      </c>
      <c r="B17" s="17"/>
      <c r="C17" s="304">
        <f>+Report!H160</f>
        <v>514059.25215609063</v>
      </c>
      <c r="D17" s="957">
        <f>+'Debt &amp; Cust Dep'!ED33</f>
        <v>3.9699999999999999E-2</v>
      </c>
      <c r="E17" s="303">
        <f>(C17*D17)</f>
        <v>20408.152310596797</v>
      </c>
      <c r="F17" s="2"/>
      <c r="G17" s="2"/>
    </row>
    <row r="18" spans="1:7">
      <c r="A18" s="295" t="s">
        <v>56</v>
      </c>
      <c r="B18" s="17"/>
      <c r="C18" s="305"/>
      <c r="D18" s="306" t="s">
        <v>7</v>
      </c>
      <c r="E18" s="303"/>
      <c r="F18" s="2"/>
      <c r="G18" s="2"/>
    </row>
    <row r="19" spans="1:7">
      <c r="A19" s="295" t="s">
        <v>57</v>
      </c>
      <c r="B19" s="17"/>
      <c r="C19" s="304">
        <f>+Report!H162</f>
        <v>159284.24210044733</v>
      </c>
      <c r="D19" s="957">
        <f>+'Debt &amp; Cust Dep'!ED42</f>
        <v>2.2032118366889127E-2</v>
      </c>
      <c r="E19" s="303">
        <f>(C19*D19)</f>
        <v>3509.3692759372798</v>
      </c>
      <c r="F19" s="2"/>
      <c r="G19" s="2"/>
    </row>
    <row r="20" spans="1:7">
      <c r="A20" s="295"/>
      <c r="B20" s="17"/>
      <c r="C20" s="305"/>
      <c r="D20" s="302"/>
      <c r="E20" s="303"/>
      <c r="F20" s="2"/>
      <c r="G20" s="2"/>
    </row>
    <row r="21" spans="1:7">
      <c r="A21" s="295" t="s">
        <v>2359</v>
      </c>
      <c r="B21" s="17"/>
      <c r="C21" s="304">
        <f>+Report!H164</f>
        <v>26701.639116913611</v>
      </c>
      <c r="D21" s="957">
        <f>+'Debt &amp; Cust Dep'!ED90</f>
        <v>2.4799999999999999E-2</v>
      </c>
      <c r="E21" s="303">
        <f>(C21*D21)</f>
        <v>662.20065009945756</v>
      </c>
      <c r="F21" s="2"/>
      <c r="G21" s="2"/>
    </row>
    <row r="22" spans="1:7">
      <c r="A22" s="295"/>
      <c r="B22" s="17"/>
      <c r="C22" s="18"/>
      <c r="D22" s="302"/>
      <c r="E22" s="307"/>
      <c r="F22" s="2"/>
      <c r="G22" s="2"/>
    </row>
    <row r="23" spans="1:7">
      <c r="A23" s="295" t="s">
        <v>58</v>
      </c>
      <c r="B23" s="17"/>
      <c r="C23" s="131">
        <f>SUM(C17:C21)</f>
        <v>700045.13337345165</v>
      </c>
      <c r="D23" s="302"/>
      <c r="E23" s="303">
        <f>SUM(E17:E21)</f>
        <v>24579.722236633534</v>
      </c>
      <c r="F23" s="2"/>
      <c r="G23" s="2"/>
    </row>
    <row r="24" spans="1:7">
      <c r="A24" s="295"/>
      <c r="B24" s="17"/>
      <c r="C24" s="131"/>
      <c r="D24" s="302"/>
      <c r="E24" s="308"/>
      <c r="F24" s="1"/>
      <c r="G24" s="1"/>
    </row>
    <row r="25" spans="1:7">
      <c r="A25" s="295" t="s">
        <v>59</v>
      </c>
      <c r="B25" s="17"/>
      <c r="C25" s="131"/>
      <c r="D25" s="302"/>
      <c r="E25" s="309">
        <f>+IncomeStmt!B43</f>
        <v>25042.152269999995</v>
      </c>
      <c r="F25" s="2"/>
      <c r="G25" s="1"/>
    </row>
    <row r="26" spans="1:7">
      <c r="A26" s="295"/>
      <c r="B26" s="17"/>
      <c r="C26" s="131"/>
      <c r="D26" s="302"/>
      <c r="E26" s="307"/>
      <c r="F26" s="1"/>
      <c r="G26" s="1"/>
    </row>
    <row r="27" spans="1:7">
      <c r="A27" s="295"/>
      <c r="B27" s="17"/>
      <c r="C27" s="131"/>
      <c r="D27" s="302"/>
      <c r="E27" s="303"/>
      <c r="F27" s="1"/>
      <c r="G27" s="1"/>
    </row>
    <row r="28" spans="1:7" ht="13.5" thickBot="1">
      <c r="A28" s="295" t="s">
        <v>310</v>
      </c>
      <c r="B28" s="17"/>
      <c r="C28" s="131"/>
      <c r="D28" s="302"/>
      <c r="E28" s="310">
        <f>E23-E25</f>
        <v>-462.43003336646143</v>
      </c>
      <c r="F28" s="1"/>
      <c r="G28" s="1"/>
    </row>
    <row r="29" spans="1:7" ht="13.5" thickTop="1">
      <c r="A29" s="295"/>
      <c r="B29" s="17"/>
      <c r="C29" s="131"/>
      <c r="D29" s="302"/>
      <c r="E29" s="303"/>
      <c r="F29" s="1"/>
      <c r="G29" s="1"/>
    </row>
    <row r="30" spans="1:7">
      <c r="A30" s="295"/>
      <c r="B30" s="17"/>
      <c r="C30" s="131"/>
      <c r="D30" s="302"/>
      <c r="E30" s="303"/>
      <c r="F30" s="1"/>
      <c r="G30" s="1"/>
    </row>
    <row r="31" spans="1:7" ht="13.5" thickBot="1">
      <c r="A31" s="295" t="s">
        <v>311</v>
      </c>
      <c r="B31" s="1252">
        <f>+'Input Tax Rate'!$B$36</f>
        <v>0.25345000000000001</v>
      </c>
      <c r="C31" s="131"/>
      <c r="D31" s="302"/>
      <c r="E31" s="310">
        <f>(E28*B31)</f>
        <v>-117.20289195672966</v>
      </c>
      <c r="F31" s="1"/>
      <c r="G31" s="1"/>
    </row>
    <row r="32" spans="1:7" ht="13.5" thickTop="1">
      <c r="A32" s="295"/>
      <c r="B32" s="17"/>
      <c r="C32" s="17"/>
      <c r="D32" s="17"/>
      <c r="E32" s="311"/>
    </row>
    <row r="33" spans="1:5">
      <c r="A33" s="295"/>
      <c r="B33" s="17"/>
      <c r="C33" s="17"/>
      <c r="D33" s="17"/>
      <c r="E33" s="296"/>
    </row>
    <row r="34" spans="1:5" ht="13.5" thickBot="1">
      <c r="A34" s="312"/>
      <c r="B34" s="313"/>
      <c r="C34" s="313"/>
      <c r="D34" s="313"/>
      <c r="E34" s="314"/>
    </row>
    <row r="36" spans="1:5" ht="13.5" thickBot="1"/>
    <row r="37" spans="1:5" ht="15">
      <c r="A37" s="1287" t="s">
        <v>51</v>
      </c>
      <c r="B37" s="1288"/>
      <c r="C37" s="1288"/>
      <c r="D37" s="1288"/>
      <c r="E37" s="1289"/>
    </row>
    <row r="38" spans="1:5" ht="15">
      <c r="A38" s="1290" t="s">
        <v>52</v>
      </c>
      <c r="B38" s="1291"/>
      <c r="C38" s="1291"/>
      <c r="D38" s="1291"/>
      <c r="E38" s="1292"/>
    </row>
    <row r="39" spans="1:5">
      <c r="A39" s="294"/>
      <c r="E39" s="161"/>
    </row>
    <row r="40" spans="1:5">
      <c r="A40" s="294"/>
      <c r="B40" s="1"/>
      <c r="C40" s="17" t="s">
        <v>207</v>
      </c>
      <c r="D40" s="938" t="s">
        <v>2548</v>
      </c>
      <c r="E40" s="939" t="str">
        <f>Reconcil!E172</f>
        <v>December 2022</v>
      </c>
    </row>
    <row r="41" spans="1:5">
      <c r="A41" s="294"/>
      <c r="E41" s="161"/>
    </row>
    <row r="42" spans="1:5">
      <c r="A42" s="294" t="s">
        <v>53</v>
      </c>
      <c r="E42" s="161"/>
    </row>
    <row r="43" spans="1:5">
      <c r="A43" s="294" t="s">
        <v>2549</v>
      </c>
      <c r="E43" s="161"/>
    </row>
    <row r="44" spans="1:5">
      <c r="A44" s="294"/>
      <c r="E44" s="161"/>
    </row>
    <row r="45" spans="1:5">
      <c r="A45" s="295"/>
      <c r="B45" s="17"/>
      <c r="C45" s="17"/>
      <c r="D45" s="17"/>
      <c r="E45" s="296"/>
    </row>
    <row r="46" spans="1:5">
      <c r="A46" s="295"/>
      <c r="B46" s="17"/>
      <c r="C46" s="17"/>
      <c r="D46" s="17"/>
      <c r="E46" s="297" t="s">
        <v>308</v>
      </c>
    </row>
    <row r="47" spans="1:5">
      <c r="A47" s="298" t="s">
        <v>305</v>
      </c>
      <c r="B47" s="17"/>
      <c r="C47" s="299" t="s">
        <v>306</v>
      </c>
      <c r="D47" s="299" t="s">
        <v>307</v>
      </c>
      <c r="E47" s="300" t="s">
        <v>309</v>
      </c>
    </row>
    <row r="48" spans="1:5">
      <c r="A48" s="301"/>
      <c r="B48" s="17"/>
      <c r="C48" s="210"/>
      <c r="D48" s="210"/>
      <c r="E48" s="297"/>
    </row>
    <row r="49" spans="1:5">
      <c r="A49" s="295"/>
      <c r="B49" s="17"/>
      <c r="C49" s="131"/>
      <c r="D49" s="302"/>
      <c r="E49" s="303"/>
    </row>
    <row r="50" spans="1:5">
      <c r="A50" s="295" t="s">
        <v>55</v>
      </c>
      <c r="B50" s="17"/>
      <c r="C50" s="304">
        <f>+'Report YE'!H160</f>
        <v>449090.21758140362</v>
      </c>
      <c r="D50" s="957">
        <f>+'Debt &amp; Cust Dep'!ED35</f>
        <v>3.7999999999999999E-2</v>
      </c>
      <c r="E50" s="303">
        <f>(C50*D50)</f>
        <v>17065.428268093336</v>
      </c>
    </row>
    <row r="51" spans="1:5">
      <c r="A51" s="295" t="s">
        <v>56</v>
      </c>
      <c r="B51" s="17"/>
      <c r="C51" s="305"/>
      <c r="D51" s="306" t="s">
        <v>7</v>
      </c>
      <c r="E51" s="303"/>
    </row>
    <row r="52" spans="1:5">
      <c r="A52" s="295" t="s">
        <v>57</v>
      </c>
      <c r="B52" s="17"/>
      <c r="C52" s="304">
        <f>+'Report YE'!H162</f>
        <v>165686.18477494526</v>
      </c>
      <c r="D52" s="957">
        <f>+'Debt &amp; Cust Dep'!ED44</f>
        <v>4.8296533726109959E-2</v>
      </c>
      <c r="E52" s="303">
        <f>(C52*D52)</f>
        <v>8002.0684109336298</v>
      </c>
    </row>
    <row r="53" spans="1:5">
      <c r="A53" s="295"/>
      <c r="B53" s="17"/>
      <c r="C53" s="305"/>
      <c r="D53" s="302"/>
      <c r="E53" s="303"/>
    </row>
    <row r="54" spans="1:5">
      <c r="A54" s="295" t="s">
        <v>2359</v>
      </c>
      <c r="B54" s="17"/>
      <c r="C54" s="304">
        <f>+'Report YE'!H164</f>
        <v>25317.723638917003</v>
      </c>
      <c r="D54" s="957">
        <f>+'Debt &amp; Cust Dep'!ED92</f>
        <v>2.35E-2</v>
      </c>
      <c r="E54" s="303">
        <f>(C54*D54)</f>
        <v>594.96650551454957</v>
      </c>
    </row>
    <row r="55" spans="1:5">
      <c r="A55" s="295"/>
      <c r="B55" s="17"/>
      <c r="C55" s="18"/>
      <c r="D55" s="302"/>
      <c r="E55" s="307"/>
    </row>
    <row r="56" spans="1:5">
      <c r="A56" s="295" t="s">
        <v>58</v>
      </c>
      <c r="B56" s="17"/>
      <c r="C56" s="131">
        <f>SUM(C50:C54)</f>
        <v>640094.1259952659</v>
      </c>
      <c r="D56" s="302"/>
      <c r="E56" s="303">
        <f>SUM(E50:E54)</f>
        <v>25662.463184541513</v>
      </c>
    </row>
    <row r="57" spans="1:5">
      <c r="A57" s="295"/>
      <c r="B57" s="17"/>
      <c r="C57" s="131"/>
      <c r="D57" s="302"/>
      <c r="E57" s="308"/>
    </row>
    <row r="58" spans="1:5">
      <c r="A58" s="295" t="s">
        <v>59</v>
      </c>
      <c r="B58" s="17"/>
      <c r="C58" s="131"/>
      <c r="D58" s="302"/>
      <c r="E58" s="309">
        <f>+IncomeStmt!B43</f>
        <v>25042.152269999995</v>
      </c>
    </row>
    <row r="59" spans="1:5">
      <c r="A59" s="295"/>
      <c r="B59" s="17"/>
      <c r="C59" s="131"/>
      <c r="D59" s="302"/>
      <c r="E59" s="307"/>
    </row>
    <row r="60" spans="1:5">
      <c r="A60" s="295"/>
      <c r="B60" s="17"/>
      <c r="C60" s="131"/>
      <c r="D60" s="302"/>
      <c r="E60" s="303"/>
    </row>
    <row r="61" spans="1:5" ht="13.5" thickBot="1">
      <c r="A61" s="295" t="s">
        <v>310</v>
      </c>
      <c r="B61" s="17"/>
      <c r="C61" s="131"/>
      <c r="D61" s="302"/>
      <c r="E61" s="310">
        <f>E56-E58</f>
        <v>620.31091454151829</v>
      </c>
    </row>
    <row r="62" spans="1:5" ht="13.5" thickTop="1">
      <c r="A62" s="295"/>
      <c r="B62" s="17"/>
      <c r="C62" s="131"/>
      <c r="D62" s="302"/>
      <c r="E62" s="303"/>
    </row>
    <row r="63" spans="1:5">
      <c r="A63" s="295"/>
      <c r="B63" s="17"/>
      <c r="C63" s="131"/>
      <c r="D63" s="302"/>
      <c r="E63" s="303"/>
    </row>
    <row r="64" spans="1:5" ht="13.5" thickBot="1">
      <c r="A64" s="295" t="s">
        <v>311</v>
      </c>
      <c r="B64" s="720">
        <f>+'Input Tax Rate'!$B$36</f>
        <v>0.25345000000000001</v>
      </c>
      <c r="C64" s="131"/>
      <c r="D64" s="302"/>
      <c r="E64" s="310">
        <f>(E61*B64)</f>
        <v>157.21780129054781</v>
      </c>
    </row>
    <row r="65" spans="1:5" ht="13.5" thickTop="1">
      <c r="A65" s="295"/>
      <c r="B65" s="17"/>
      <c r="C65" s="17"/>
      <c r="D65" s="17"/>
      <c r="E65" s="311"/>
    </row>
    <row r="66" spans="1:5">
      <c r="A66" s="295"/>
      <c r="B66" s="17"/>
      <c r="C66" s="17"/>
      <c r="D66" s="17"/>
      <c r="E66" s="296"/>
    </row>
    <row r="67" spans="1:5" ht="13.5" thickBot="1">
      <c r="A67" s="312"/>
      <c r="B67" s="313"/>
      <c r="C67" s="313"/>
      <c r="D67" s="313"/>
      <c r="E67" s="314"/>
    </row>
  </sheetData>
  <mergeCells count="4">
    <mergeCell ref="A4:E4"/>
    <mergeCell ref="A5:E5"/>
    <mergeCell ref="A37:E37"/>
    <mergeCell ref="A38:E38"/>
  </mergeCells>
  <phoneticPr fontId="0" type="noConversion"/>
  <printOptions horizontalCentered="1"/>
  <pageMargins left="0.25" right="0.25" top="0.5" bottom="0.5" header="0.5" footer="0.5"/>
  <pageSetup scale="84" orientation="portrait" blackAndWhite="1" r:id="rId1"/>
  <headerFooter alignWithMargins="0">
    <oddFooter>&amp;R&amp;F</oddFooter>
  </headerFooter>
  <customProperties>
    <customPr name="_pios_id" r:id="rId2"/>
    <customPr name="EpmWorksheetKeyString_GUID" r:id="rId3"/>
  </customProperties>
  <ignoredErrors>
    <ignoredError sqref="C18:D18 E25 C21 C17 C20:D20 C19" unlockedFormula="1"/>
  </ignoredErrors>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0"/>
  </sheetPr>
  <dimension ref="A1"/>
  <sheetViews>
    <sheetView workbookViewId="0"/>
  </sheetViews>
  <sheetFormatPr defaultRowHeight="12.75"/>
  <sheetData/>
  <pageMargins left="0.7" right="0.7" top="0.75" bottom="0.75" header="0.3" footer="0.3"/>
  <pageSetup orientation="portrait" r:id="rId1"/>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pageSetUpPr fitToPage="1"/>
  </sheetPr>
  <dimension ref="A1:J125"/>
  <sheetViews>
    <sheetView topLeftCell="A32" zoomScaleNormal="100" workbookViewId="0">
      <selection activeCell="I53" sqref="I53"/>
    </sheetView>
  </sheetViews>
  <sheetFormatPr defaultRowHeight="12.75"/>
  <cols>
    <col min="1" max="1" width="5.85546875" style="17" customWidth="1"/>
    <col min="2" max="2" width="42.85546875" style="17" customWidth="1"/>
    <col min="3" max="3" width="16.42578125" customWidth="1"/>
    <col min="4" max="4" width="17.5703125" bestFit="1" customWidth="1"/>
    <col min="5" max="5" width="4.85546875" customWidth="1"/>
    <col min="6" max="6" width="23.42578125" customWidth="1"/>
    <col min="7" max="7" width="11.42578125" bestFit="1" customWidth="1"/>
  </cols>
  <sheetData>
    <row r="1" spans="1:10">
      <c r="A1" s="31" t="s">
        <v>2713</v>
      </c>
      <c r="B1"/>
    </row>
    <row r="2" spans="1:10">
      <c r="A2" s="31" t="s">
        <v>2714</v>
      </c>
      <c r="B2"/>
    </row>
    <row r="3" spans="1:10" ht="15">
      <c r="A3" s="31" t="s">
        <v>2879</v>
      </c>
      <c r="B3" s="1104"/>
    </row>
    <row r="4" spans="1:10" ht="15.75">
      <c r="A4" s="32"/>
      <c r="B4" s="1104"/>
    </row>
    <row r="5" spans="1:10" ht="15.75">
      <c r="A5" s="105"/>
      <c r="B5" s="31" t="s">
        <v>2715</v>
      </c>
      <c r="C5" s="1105">
        <f>+Report!T55</f>
        <v>1881233.4284299996</v>
      </c>
      <c r="D5" s="1106"/>
      <c r="E5" s="17"/>
      <c r="F5" s="17"/>
      <c r="G5" s="17"/>
      <c r="H5" s="17"/>
    </row>
    <row r="6" spans="1:10" ht="15.75">
      <c r="A6" s="1107"/>
      <c r="B6" s="1108" t="s">
        <v>2716</v>
      </c>
      <c r="C6" s="1109">
        <f>+Report!H189/100</f>
        <v>5.7571999999999998E-2</v>
      </c>
      <c r="E6" s="105"/>
      <c r="F6" s="17"/>
      <c r="G6" s="17"/>
      <c r="H6" s="17"/>
      <c r="I6" s="17"/>
      <c r="J6" s="17"/>
    </row>
    <row r="7" spans="1:10">
      <c r="B7" s="1108" t="s">
        <v>2717</v>
      </c>
      <c r="C7" s="1110">
        <f>-Report!H197/100</f>
        <v>1.4199999999999999E-2</v>
      </c>
      <c r="H7" s="17"/>
      <c r="I7" s="17"/>
      <c r="J7" s="17"/>
    </row>
    <row r="8" spans="1:10" ht="14.25">
      <c r="B8" s="31" t="s">
        <v>2718</v>
      </c>
      <c r="C8" s="1110">
        <f>+Report!H201/100</f>
        <v>0.46889999999999998</v>
      </c>
      <c r="D8" s="1111"/>
      <c r="H8" s="17"/>
      <c r="I8" s="17"/>
      <c r="J8" s="17"/>
    </row>
    <row r="9" spans="1:10" ht="15">
      <c r="C9" s="1112"/>
      <c r="D9" s="1111"/>
      <c r="E9" s="1108"/>
      <c r="H9" s="17"/>
      <c r="I9" s="17"/>
      <c r="J9" s="17"/>
    </row>
    <row r="10" spans="1:10" ht="14.25">
      <c r="C10" s="1113" t="s">
        <v>2719</v>
      </c>
      <c r="D10" s="1113" t="s">
        <v>2720</v>
      </c>
      <c r="E10" s="1108"/>
      <c r="H10" s="17"/>
      <c r="I10" s="17"/>
      <c r="J10" s="17"/>
    </row>
    <row r="11" spans="1:10" ht="14.25">
      <c r="A11" s="1111" t="s">
        <v>2721</v>
      </c>
      <c r="C11" s="1114" t="s">
        <v>2722</v>
      </c>
      <c r="D11" s="1114" t="s">
        <v>2722</v>
      </c>
      <c r="E11" s="1108"/>
      <c r="H11" s="17"/>
      <c r="I11" s="17"/>
      <c r="J11" s="17"/>
    </row>
    <row r="12" spans="1:10">
      <c r="B12" s="17" t="s">
        <v>2723</v>
      </c>
      <c r="C12" s="131">
        <f>+IncomeStmt!B45</f>
        <v>82237.617950000102</v>
      </c>
      <c r="D12" s="131">
        <f>+C12</f>
        <v>82237.617950000102</v>
      </c>
      <c r="H12" s="17"/>
      <c r="I12" s="17"/>
      <c r="J12" s="17"/>
    </row>
    <row r="13" spans="1:10">
      <c r="B13" s="17" t="s">
        <v>2724</v>
      </c>
      <c r="C13" s="1115">
        <f>+('Bal Sheet'!ES64+'Bal Sheet'!FE64)/2</f>
        <v>888784.40915000008</v>
      </c>
      <c r="D13" s="1115">
        <f>+'Bal Sheet'!FF64</f>
        <v>889661.61620384629</v>
      </c>
      <c r="F13" s="22"/>
      <c r="G13" s="17"/>
      <c r="H13" s="17"/>
      <c r="I13" s="17"/>
      <c r="J13" s="17"/>
    </row>
    <row r="14" spans="1:10" ht="14.25">
      <c r="A14" s="1111"/>
      <c r="B14" s="1111"/>
      <c r="C14" s="1116">
        <f>+C12/C13</f>
        <v>9.2528195930719648E-2</v>
      </c>
      <c r="D14" s="1116">
        <f>+D12/D13</f>
        <v>9.2436963056701293E-2</v>
      </c>
      <c r="F14" s="1117"/>
      <c r="G14" s="17"/>
      <c r="H14" s="17"/>
      <c r="I14" s="17"/>
      <c r="J14" s="17"/>
    </row>
    <row r="15" spans="1:10" ht="14.25">
      <c r="A15" s="1111"/>
      <c r="B15" s="1111"/>
      <c r="C15" s="1111"/>
      <c r="D15" s="1111"/>
      <c r="F15" s="1117"/>
      <c r="G15" s="17"/>
      <c r="H15" s="17"/>
      <c r="I15" s="17"/>
      <c r="J15" s="17"/>
    </row>
    <row r="16" spans="1:10" ht="15">
      <c r="A16" s="1111"/>
      <c r="B16" s="1111"/>
      <c r="C16" s="1111"/>
      <c r="D16" s="1106" t="s">
        <v>2725</v>
      </c>
      <c r="F16" s="1117"/>
      <c r="G16" s="17"/>
      <c r="H16" s="17"/>
      <c r="I16" s="17"/>
      <c r="J16" s="17"/>
    </row>
    <row r="17" spans="2:10" ht="15">
      <c r="B17" s="1111"/>
      <c r="C17" s="1118"/>
      <c r="D17" s="1119" t="s">
        <v>490</v>
      </c>
      <c r="E17" s="1111"/>
      <c r="F17" s="17"/>
      <c r="G17" s="17"/>
      <c r="H17" s="17"/>
      <c r="I17" s="17"/>
      <c r="J17" s="17"/>
    </row>
    <row r="18" spans="2:10" ht="14.25">
      <c r="B18" s="1120" t="s">
        <v>2726</v>
      </c>
      <c r="C18" s="1183"/>
      <c r="D18" s="1122">
        <f>ROUND(+((((C19/C20)-C6+C7)/C8)*(C20/C5))*(0-100),2)</f>
        <v>0</v>
      </c>
      <c r="E18" s="1111"/>
      <c r="F18" s="1123">
        <f>+C19/C20</f>
        <v>4.2965147913465181E-2</v>
      </c>
      <c r="G18" s="17"/>
      <c r="H18" s="17"/>
      <c r="I18" s="17"/>
      <c r="J18" s="17"/>
    </row>
    <row r="19" spans="2:10" ht="14.25">
      <c r="B19" s="1124" t="s">
        <v>2727</v>
      </c>
      <c r="C19" s="1118">
        <f>+IncomeStmt!B32</f>
        <v>3104.35572</v>
      </c>
      <c r="D19" s="1125"/>
      <c r="E19" s="1111"/>
      <c r="F19" s="1126">
        <f>+C6</f>
        <v>5.7571999999999998E-2</v>
      </c>
      <c r="G19" s="17"/>
      <c r="H19" s="17"/>
      <c r="I19" s="17"/>
      <c r="J19" s="17"/>
    </row>
    <row r="20" spans="2:10" ht="14.25">
      <c r="B20" s="1124" t="s">
        <v>2728</v>
      </c>
      <c r="C20" s="1118">
        <f>+-Report!T75</f>
        <v>72252.881015384613</v>
      </c>
      <c r="D20" s="1125"/>
      <c r="E20" s="1111"/>
      <c r="F20" s="302">
        <f>+F18-F19</f>
        <v>-1.4606852086534818E-2</v>
      </c>
      <c r="G20" s="17"/>
      <c r="H20" s="17"/>
      <c r="I20" s="17"/>
      <c r="J20" s="17"/>
    </row>
    <row r="21" spans="2:10" ht="14.25">
      <c r="B21" s="1111"/>
      <c r="C21" s="1118"/>
      <c r="D21" s="1125"/>
      <c r="E21" s="1111"/>
      <c r="F21" s="1126">
        <f>+C7</f>
        <v>1.4199999999999999E-2</v>
      </c>
      <c r="G21" s="17"/>
      <c r="H21" s="17"/>
      <c r="I21" s="17"/>
      <c r="J21" s="17"/>
    </row>
    <row r="22" spans="2:10" ht="14.25">
      <c r="B22" s="1127" t="s">
        <v>2729</v>
      </c>
      <c r="C22" s="1128"/>
      <c r="D22" s="1129">
        <f>ROUND(+((((C23/C24)-C6)/C8)*(C24/C5))*(0-100),2)</f>
        <v>0</v>
      </c>
      <c r="E22" s="1111"/>
      <c r="F22" s="302">
        <f>+F21+F20</f>
        <v>-4.0685208653481846E-4</v>
      </c>
      <c r="G22" s="1130">
        <f>+C8</f>
        <v>0.46889999999999998</v>
      </c>
      <c r="H22" s="1130">
        <f>+F22/G22</f>
        <v>-8.6767346243296747E-4</v>
      </c>
      <c r="I22" s="1130">
        <f>+C20/C5</f>
        <v>3.8407185372887995E-2</v>
      </c>
      <c r="J22" s="302">
        <f>-(+H22*I22)</f>
        <v>3.3324895514798548E-5</v>
      </c>
    </row>
    <row r="23" spans="2:10" ht="14.25">
      <c r="B23" s="1124" t="s">
        <v>2730</v>
      </c>
      <c r="C23" s="1118">
        <f>+-Report!V124</f>
        <v>3164.0028272999998</v>
      </c>
      <c r="D23" s="1125"/>
      <c r="E23" s="1111"/>
      <c r="F23" s="17"/>
      <c r="G23" s="1131"/>
      <c r="H23" s="1131"/>
      <c r="I23" s="1131"/>
      <c r="J23" s="1131"/>
    </row>
    <row r="24" spans="2:10" ht="14.25">
      <c r="B24" s="1124" t="s">
        <v>2728</v>
      </c>
      <c r="C24" s="1132">
        <f>+-Report!T74</f>
        <v>54726.699290000004</v>
      </c>
      <c r="D24" s="17"/>
      <c r="E24" s="1133"/>
      <c r="F24" s="1123">
        <f>+C23/C24</f>
        <v>5.7814610936679417E-2</v>
      </c>
      <c r="G24" s="1131"/>
      <c r="H24" s="1131"/>
      <c r="I24" s="1131"/>
      <c r="J24" s="1131"/>
    </row>
    <row r="25" spans="2:10" ht="14.25">
      <c r="B25" s="1111"/>
      <c r="C25" s="1134">
        <f>(((C23/C24)-C7)/C8)</f>
        <v>9.3014738615225898E-2</v>
      </c>
      <c r="D25" s="17"/>
      <c r="E25" s="1133"/>
      <c r="F25" s="1126">
        <f>+C6</f>
        <v>5.7571999999999998E-2</v>
      </c>
      <c r="G25" s="1131"/>
      <c r="H25" s="1131"/>
      <c r="I25" s="1131"/>
      <c r="J25" s="1131"/>
    </row>
    <row r="26" spans="2:10" ht="14.25">
      <c r="B26" s="1111"/>
      <c r="C26" s="1118"/>
      <c r="D26" s="1133"/>
      <c r="E26" s="1111"/>
      <c r="F26" s="302">
        <f>+F24-F25</f>
        <v>2.426109366794188E-4</v>
      </c>
      <c r="G26" s="1130">
        <f>+C8</f>
        <v>0.46889999999999998</v>
      </c>
      <c r="H26" s="1130">
        <f>+F26/G26</f>
        <v>5.174044288322005E-4</v>
      </c>
      <c r="I26" s="1130">
        <f>+C24/C5</f>
        <v>2.9090860529558348E-2</v>
      </c>
      <c r="J26" s="302">
        <f>-(+H26*I26)</f>
        <v>-1.5051740076533343E-5</v>
      </c>
    </row>
    <row r="27" spans="2:10" ht="14.25">
      <c r="B27" s="1135" t="s">
        <v>2731</v>
      </c>
      <c r="C27" s="1136">
        <f>+IncomeStmt!B30</f>
        <v>3255.1836600000001</v>
      </c>
      <c r="D27" s="1137">
        <f>ROUND((-C27)/82/100,2)</f>
        <v>-0.4</v>
      </c>
      <c r="E27" s="1111"/>
      <c r="F27" s="17"/>
      <c r="G27" s="17"/>
      <c r="H27" s="17"/>
      <c r="I27" s="17"/>
      <c r="J27" s="17"/>
    </row>
    <row r="28" spans="2:10" ht="14.25" hidden="1">
      <c r="B28" s="1111"/>
      <c r="C28" s="1118"/>
      <c r="D28" s="1125"/>
      <c r="E28" s="1111"/>
      <c r="F28" s="302">
        <f>+F24</f>
        <v>5.7814610936679417E-2</v>
      </c>
      <c r="G28" s="17"/>
      <c r="H28" s="17"/>
      <c r="I28" s="17"/>
      <c r="J28" s="17"/>
    </row>
    <row r="29" spans="2:10" ht="14.25" hidden="1">
      <c r="B29" s="1138" t="s">
        <v>2732</v>
      </c>
      <c r="C29" s="1121">
        <f>+-(IncomeStmt!B42*'Input Tax Rate'!B37)+IncomeStmt!B32</f>
        <v>3843.3869237955</v>
      </c>
      <c r="D29" s="1122">
        <f>ROUND((-C29)/70/100,2)*0</f>
        <v>0</v>
      </c>
      <c r="E29" s="1111"/>
      <c r="F29" s="1139">
        <v>-1.4041E-2</v>
      </c>
      <c r="G29" s="17"/>
      <c r="H29" s="17"/>
      <c r="I29" s="17"/>
      <c r="J29" s="17"/>
    </row>
    <row r="30" spans="2:10" ht="14.25" hidden="1">
      <c r="B30" s="1111"/>
      <c r="C30" s="1118"/>
      <c r="D30" s="1125"/>
      <c r="E30" s="1111"/>
      <c r="F30" s="302">
        <f>+F28+F29</f>
        <v>4.3773610936679419E-2</v>
      </c>
      <c r="G30" s="1140">
        <f>+F30/C8</f>
        <v>9.335383010594886E-2</v>
      </c>
      <c r="H30" s="17"/>
      <c r="I30" s="17"/>
      <c r="J30" s="17"/>
    </row>
    <row r="31" spans="2:10" ht="14.25">
      <c r="B31" s="1111"/>
      <c r="C31" s="1118"/>
      <c r="D31" s="1125"/>
      <c r="E31" s="1111"/>
      <c r="F31" s="302"/>
      <c r="G31" s="1140"/>
      <c r="H31" s="17"/>
      <c r="I31" s="17"/>
      <c r="J31" s="17"/>
    </row>
    <row r="32" spans="2:10" ht="14.25">
      <c r="B32" s="1141" t="s">
        <v>2733</v>
      </c>
      <c r="C32" s="1142"/>
      <c r="D32" s="1143">
        <f>(+D14-C14)*100</f>
        <v>-9.1232874018354337E-3</v>
      </c>
      <c r="E32" s="1111"/>
      <c r="F32" s="17"/>
      <c r="G32" s="17"/>
      <c r="H32" s="17"/>
      <c r="I32" s="17"/>
      <c r="J32" s="17"/>
    </row>
    <row r="33" spans="1:10" ht="14.25">
      <c r="B33" s="1111"/>
      <c r="C33" s="1118"/>
      <c r="D33" s="1125"/>
      <c r="E33" s="1111"/>
      <c r="F33" s="17"/>
      <c r="G33" s="17"/>
      <c r="H33" s="17"/>
      <c r="I33" s="17"/>
      <c r="J33" s="17"/>
    </row>
    <row r="34" spans="1:10" ht="14.25">
      <c r="A34" s="1111"/>
      <c r="B34" s="1111"/>
      <c r="C34" s="1118"/>
      <c r="D34" s="1125"/>
      <c r="E34" s="1111"/>
      <c r="F34" s="17"/>
      <c r="G34" s="17"/>
      <c r="H34" s="17"/>
      <c r="I34" s="17"/>
      <c r="J34" s="17"/>
    </row>
    <row r="35" spans="1:10" ht="15">
      <c r="A35" s="1111"/>
      <c r="B35" s="1144" t="s">
        <v>2734</v>
      </c>
      <c r="C35" s="1118"/>
      <c r="D35" s="1125"/>
      <c r="E35" s="1111"/>
      <c r="F35" s="17"/>
      <c r="G35" s="17"/>
      <c r="H35" s="17"/>
      <c r="I35" s="17"/>
      <c r="J35" s="17"/>
    </row>
    <row r="36" spans="1:10" ht="14.25">
      <c r="B36" s="1111" t="s">
        <v>130</v>
      </c>
      <c r="C36" s="1118">
        <f>+-Report!T58</f>
        <v>1939.5515500000001</v>
      </c>
      <c r="D36" s="1125">
        <f>ROUND((C36)/1400/100,2)</f>
        <v>0.01</v>
      </c>
      <c r="E36" s="1118"/>
      <c r="F36" s="1125"/>
      <c r="G36" s="17"/>
      <c r="H36" s="17"/>
      <c r="I36" s="17"/>
      <c r="J36" s="17"/>
    </row>
    <row r="37" spans="1:10" ht="14.25">
      <c r="B37" s="1111" t="s">
        <v>131</v>
      </c>
      <c r="C37" s="1118">
        <f>+-Report!T59</f>
        <v>2.95</v>
      </c>
      <c r="D37" s="1125">
        <f t="shared" ref="D37:D51" si="0">ROUND((C37)/1400/100,2)</f>
        <v>0</v>
      </c>
      <c r="E37" s="1118"/>
      <c r="F37" s="1125"/>
      <c r="G37" s="17"/>
      <c r="H37" s="17"/>
      <c r="I37" s="17"/>
      <c r="J37" s="17"/>
    </row>
    <row r="38" spans="1:10" ht="14.25">
      <c r="B38" s="1111" t="s">
        <v>403</v>
      </c>
      <c r="C38" s="1118">
        <f>+-Report!T61</f>
        <v>9807.1821069230773</v>
      </c>
      <c r="D38" s="1125">
        <f t="shared" si="0"/>
        <v>7.0000000000000007E-2</v>
      </c>
      <c r="E38" s="1118"/>
      <c r="F38" s="1125"/>
      <c r="G38" s="1118"/>
      <c r="H38" s="17"/>
      <c r="I38" s="17"/>
      <c r="J38" s="17"/>
    </row>
    <row r="39" spans="1:10" ht="14.25">
      <c r="B39" s="1111" t="s">
        <v>404</v>
      </c>
      <c r="C39" s="1118">
        <f>+-Report!T62</f>
        <v>1591.8972207692309</v>
      </c>
      <c r="D39" s="1125">
        <f t="shared" si="0"/>
        <v>0.01</v>
      </c>
      <c r="E39" s="1118"/>
      <c r="F39" s="1145"/>
      <c r="G39" s="17"/>
      <c r="H39" s="1118"/>
      <c r="I39" s="17"/>
      <c r="J39" s="17"/>
    </row>
    <row r="40" spans="1:10" ht="14.25">
      <c r="B40" s="1111" t="s">
        <v>133</v>
      </c>
      <c r="C40" s="1118">
        <f>+-Report!T63</f>
        <v>690.58890017692352</v>
      </c>
      <c r="D40" s="1125">
        <f t="shared" si="0"/>
        <v>0</v>
      </c>
      <c r="E40" s="1118"/>
      <c r="F40" s="1145"/>
      <c r="G40" s="17"/>
      <c r="H40" s="1118"/>
      <c r="I40" s="17"/>
      <c r="J40" s="17"/>
    </row>
    <row r="41" spans="1:10" ht="14.25">
      <c r="B41" s="1111" t="s">
        <v>405</v>
      </c>
      <c r="C41" s="1118">
        <f>+-Report!T64</f>
        <v>4359.2748699999993</v>
      </c>
      <c r="D41" s="1125">
        <f t="shared" si="0"/>
        <v>0.03</v>
      </c>
      <c r="E41" s="1118"/>
      <c r="F41" s="1145"/>
      <c r="G41" s="17"/>
      <c r="H41" s="1118"/>
      <c r="I41" s="17"/>
      <c r="J41" s="17"/>
    </row>
    <row r="42" spans="1:10" ht="14.25">
      <c r="B42" s="1111" t="s">
        <v>2735</v>
      </c>
      <c r="C42" s="1118">
        <f>+-Report!T65</f>
        <v>0</v>
      </c>
      <c r="D42" s="1125">
        <f t="shared" si="0"/>
        <v>0</v>
      </c>
      <c r="E42" s="1118"/>
      <c r="F42" s="1145"/>
      <c r="G42" s="17"/>
      <c r="H42" s="1118"/>
      <c r="I42" s="17"/>
      <c r="J42" s="17"/>
    </row>
    <row r="43" spans="1:10" ht="14.25">
      <c r="B43" s="1111" t="s">
        <v>135</v>
      </c>
      <c r="C43" s="1118">
        <f>+-Report!T66</f>
        <v>-3520.7976153846153</v>
      </c>
      <c r="D43" s="1125">
        <f t="shared" si="0"/>
        <v>-0.03</v>
      </c>
      <c r="E43" s="1118"/>
      <c r="F43" s="1145"/>
      <c r="G43" s="17"/>
      <c r="H43" s="1118"/>
      <c r="I43" s="17"/>
      <c r="J43" s="17"/>
    </row>
    <row r="44" spans="1:10" ht="14.25">
      <c r="B44" s="1111" t="s">
        <v>136</v>
      </c>
      <c r="C44" s="1118">
        <f>+-Report!T67</f>
        <v>0</v>
      </c>
      <c r="D44" s="1125">
        <f t="shared" si="0"/>
        <v>0</v>
      </c>
      <c r="E44" s="1118"/>
      <c r="F44" s="1145"/>
      <c r="G44" s="17"/>
      <c r="H44" s="1118"/>
      <c r="I44" s="17"/>
      <c r="J44" s="17"/>
    </row>
    <row r="45" spans="1:10" ht="14.25">
      <c r="B45" s="1111" t="s">
        <v>1821</v>
      </c>
      <c r="C45" s="1118">
        <f>+-Report!T68</f>
        <v>189.99840538461538</v>
      </c>
      <c r="D45" s="1125">
        <f t="shared" si="0"/>
        <v>0</v>
      </c>
      <c r="E45" s="1118"/>
      <c r="F45" s="1145"/>
      <c r="G45" s="17"/>
      <c r="H45" s="1118"/>
      <c r="I45" s="17"/>
      <c r="J45" s="17"/>
    </row>
    <row r="46" spans="1:10" ht="14.25">
      <c r="B46" s="1111" t="s">
        <v>137</v>
      </c>
      <c r="C46" s="1118">
        <f>+-Report!T69</f>
        <v>3640.0323053846155</v>
      </c>
      <c r="D46" s="1125">
        <f t="shared" si="0"/>
        <v>0.03</v>
      </c>
      <c r="E46" s="1118"/>
      <c r="F46" s="1145"/>
      <c r="G46" s="17"/>
      <c r="H46" s="1118"/>
      <c r="I46" s="17"/>
      <c r="J46" s="17"/>
    </row>
    <row r="47" spans="1:10" ht="14.25">
      <c r="B47" s="1111" t="s">
        <v>406</v>
      </c>
      <c r="C47" s="1118">
        <f>+-Report!T70</f>
        <v>635.21463846153847</v>
      </c>
      <c r="D47" s="1125">
        <f t="shared" si="0"/>
        <v>0</v>
      </c>
      <c r="E47" s="1118"/>
      <c r="F47" s="1145"/>
      <c r="G47" s="17"/>
      <c r="H47" s="1118"/>
      <c r="I47" s="17"/>
      <c r="J47" s="17"/>
    </row>
    <row r="48" spans="1:10" ht="14.25">
      <c r="B48" s="1111" t="s">
        <v>138</v>
      </c>
      <c r="C48" s="1118">
        <f>+-Report!T72</f>
        <v>0</v>
      </c>
      <c r="D48" s="1125">
        <f t="shared" si="0"/>
        <v>0</v>
      </c>
      <c r="E48" s="1118"/>
      <c r="F48" s="1145"/>
      <c r="G48" s="17"/>
      <c r="H48" s="1118"/>
      <c r="I48" s="17"/>
      <c r="J48" s="17"/>
    </row>
    <row r="49" spans="1:10" ht="14.25" hidden="1">
      <c r="B49" s="1146" t="s">
        <v>534</v>
      </c>
      <c r="C49" s="1128">
        <f>+-Report!T74</f>
        <v>54726.699290000004</v>
      </c>
      <c r="D49" s="1125"/>
      <c r="E49" s="1118"/>
      <c r="F49" s="1145"/>
      <c r="G49" s="17"/>
      <c r="H49" s="1118"/>
      <c r="I49" s="17"/>
      <c r="J49" s="17"/>
    </row>
    <row r="50" spans="1:10" ht="14.25" hidden="1">
      <c r="B50" s="1147" t="s">
        <v>2335</v>
      </c>
      <c r="C50" s="1148">
        <f>+-Report!T75</f>
        <v>72252.881015384613</v>
      </c>
      <c r="D50" s="1125"/>
      <c r="E50" s="1118"/>
      <c r="F50" s="1145"/>
      <c r="G50" s="17"/>
      <c r="H50" s="1118"/>
      <c r="I50" s="17"/>
      <c r="J50" s="17"/>
    </row>
    <row r="51" spans="1:10" ht="14.25">
      <c r="B51" s="1111" t="s">
        <v>470</v>
      </c>
      <c r="C51" s="1132">
        <f>+-Report!T76</f>
        <v>958.58977461538461</v>
      </c>
      <c r="D51" s="1125">
        <f t="shared" si="0"/>
        <v>0.01</v>
      </c>
      <c r="E51" s="1118"/>
      <c r="F51" s="1145"/>
      <c r="G51" s="17"/>
      <c r="H51" s="1118"/>
      <c r="I51" s="17"/>
      <c r="J51" s="17"/>
    </row>
    <row r="52" spans="1:10">
      <c r="B52" s="1"/>
      <c r="C52" s="1118">
        <f>SUM(C36:C51)</f>
        <v>147274.0624617154</v>
      </c>
      <c r="D52" s="1125"/>
      <c r="E52" s="1118"/>
      <c r="F52" s="1145"/>
      <c r="G52" s="17"/>
      <c r="H52" s="1118"/>
      <c r="I52" s="17"/>
      <c r="J52" s="17"/>
    </row>
    <row r="53" spans="1:10" ht="14.25">
      <c r="B53" s="1111"/>
      <c r="C53" s="1118"/>
      <c r="D53" s="1125"/>
      <c r="E53" s="1118"/>
      <c r="F53" s="1145"/>
      <c r="G53" s="17"/>
      <c r="H53" s="1118"/>
      <c r="I53" s="17"/>
      <c r="J53" s="17"/>
    </row>
    <row r="54" spans="1:10" ht="14.25">
      <c r="A54" s="1111"/>
      <c r="B54" s="1149"/>
      <c r="C54" s="1118"/>
      <c r="D54" s="1125"/>
      <c r="E54" s="1118"/>
      <c r="F54" s="1145"/>
      <c r="G54" s="17"/>
      <c r="H54" s="1118"/>
      <c r="I54" s="17"/>
      <c r="J54" s="17"/>
    </row>
    <row r="55" spans="1:10" ht="15">
      <c r="A55" s="1111"/>
      <c r="B55" s="1144" t="s">
        <v>2736</v>
      </c>
      <c r="C55" s="1118"/>
      <c r="D55" s="1125"/>
      <c r="E55" s="1118"/>
      <c r="F55" s="1125"/>
      <c r="G55" s="1118"/>
      <c r="H55" s="17"/>
      <c r="I55" s="17"/>
      <c r="J55" s="17"/>
    </row>
    <row r="56" spans="1:10" ht="14.25">
      <c r="A56" s="1111"/>
      <c r="B56" s="1111" t="s">
        <v>538</v>
      </c>
      <c r="C56" s="1118">
        <f>+-Report!V110</f>
        <v>-29.265119278181093</v>
      </c>
      <c r="D56" s="1125">
        <f>ROUND((-C56)/82/100,2)</f>
        <v>0</v>
      </c>
      <c r="E56" s="1118"/>
      <c r="F56" s="1125"/>
      <c r="G56" s="1118"/>
      <c r="H56" s="17"/>
      <c r="I56" s="17"/>
      <c r="J56" s="17"/>
    </row>
    <row r="57" spans="1:10" ht="14.25">
      <c r="A57" s="1"/>
      <c r="B57" s="1111" t="s">
        <v>486</v>
      </c>
      <c r="C57" s="1118">
        <f>+-Report!V111</f>
        <v>117.20289195672966</v>
      </c>
      <c r="D57" s="1125">
        <f t="shared" ref="D57:D65" si="1">ROUND((-C57)/82/100,2)</f>
        <v>-0.01</v>
      </c>
      <c r="E57" s="1"/>
      <c r="F57" s="1"/>
      <c r="G57" s="1"/>
      <c r="H57" s="1"/>
      <c r="I57" s="1"/>
      <c r="J57" s="1"/>
    </row>
    <row r="58" spans="1:10" ht="14.25">
      <c r="A58" s="1111"/>
      <c r="B58" s="1150" t="s">
        <v>485</v>
      </c>
      <c r="C58" s="1151">
        <f>+-Report!V112</f>
        <v>-2099</v>
      </c>
      <c r="D58" s="1152">
        <f t="shared" si="1"/>
        <v>0.26</v>
      </c>
      <c r="E58" s="1118"/>
      <c r="F58" s="1125"/>
      <c r="G58" s="17"/>
      <c r="H58" s="17"/>
      <c r="I58" s="17"/>
      <c r="J58" s="17"/>
    </row>
    <row r="59" spans="1:10" ht="14.25">
      <c r="A59" s="1111"/>
      <c r="B59" s="1111" t="s">
        <v>540</v>
      </c>
      <c r="C59" s="1118">
        <f>+-Report!V114</f>
        <v>-12.004970063624999</v>
      </c>
      <c r="D59" s="1125">
        <f t="shared" si="1"/>
        <v>0</v>
      </c>
      <c r="E59" s="1118"/>
      <c r="F59" s="1125"/>
      <c r="G59" s="17"/>
      <c r="H59" s="17"/>
      <c r="I59" s="17"/>
      <c r="J59" s="17"/>
    </row>
    <row r="60" spans="1:10" ht="14.25">
      <c r="A60" s="1111"/>
      <c r="B60" s="1111" t="s">
        <v>541</v>
      </c>
      <c r="C60" s="1118">
        <f>+-Report!V115</f>
        <v>-59.108476990499994</v>
      </c>
      <c r="D60" s="1125">
        <f t="shared" si="1"/>
        <v>0.01</v>
      </c>
      <c r="E60" s="1118"/>
      <c r="F60" s="1125"/>
      <c r="G60" s="17"/>
      <c r="H60" s="17"/>
      <c r="I60" s="17"/>
      <c r="J60" s="17"/>
    </row>
    <row r="61" spans="1:10" ht="14.25">
      <c r="A61" s="1111"/>
      <c r="B61" s="1111" t="s">
        <v>2433</v>
      </c>
      <c r="C61" s="1118">
        <f>+-Report!V116</f>
        <v>219.16715458049293</v>
      </c>
      <c r="D61" s="1125">
        <f t="shared" si="1"/>
        <v>-0.03</v>
      </c>
      <c r="E61" s="1118"/>
      <c r="F61" s="1125"/>
      <c r="G61" s="17"/>
      <c r="H61" s="17"/>
      <c r="I61" s="17"/>
      <c r="J61" s="17"/>
    </row>
    <row r="62" spans="1:10" ht="14.25">
      <c r="A62" s="1111"/>
      <c r="B62" s="1111" t="s">
        <v>542</v>
      </c>
      <c r="C62" s="1118">
        <f>+-Report!V117</f>
        <v>-43.829762775523193</v>
      </c>
      <c r="D62" s="1125">
        <f t="shared" si="1"/>
        <v>0.01</v>
      </c>
      <c r="E62" s="1118"/>
      <c r="F62" s="1125"/>
      <c r="G62" s="17"/>
      <c r="H62" s="17"/>
      <c r="I62" s="17"/>
      <c r="J62" s="17"/>
    </row>
    <row r="63" spans="1:10" ht="14.25">
      <c r="A63" s="1111"/>
      <c r="B63" s="1111" t="s">
        <v>543</v>
      </c>
      <c r="C63" s="1118">
        <f>+-Report!V118</f>
        <v>-5.7199476001184992</v>
      </c>
      <c r="D63" s="1125">
        <f t="shared" si="1"/>
        <v>0</v>
      </c>
      <c r="E63" s="1118"/>
      <c r="F63" s="1125"/>
      <c r="G63" s="17"/>
      <c r="H63" s="17"/>
      <c r="I63" s="17"/>
      <c r="J63" s="17"/>
    </row>
    <row r="64" spans="1:10" ht="14.25">
      <c r="A64" s="1111"/>
      <c r="B64" s="1111" t="s">
        <v>2737</v>
      </c>
      <c r="C64" s="1118">
        <f>+-Report!V119</f>
        <v>0</v>
      </c>
      <c r="D64" s="1125">
        <f t="shared" si="1"/>
        <v>0</v>
      </c>
      <c r="E64" s="1118"/>
      <c r="F64" s="1125"/>
      <c r="G64" s="17"/>
      <c r="H64" s="17"/>
      <c r="I64" s="17"/>
      <c r="J64" s="17"/>
    </row>
    <row r="65" spans="1:10" ht="14.25">
      <c r="A65" s="1111"/>
      <c r="B65" s="1111" t="s">
        <v>536</v>
      </c>
      <c r="C65" s="1132">
        <f>+-Report!V121</f>
        <v>87.940603800000005</v>
      </c>
      <c r="D65" s="1125">
        <f t="shared" si="1"/>
        <v>-0.01</v>
      </c>
      <c r="E65" s="1118"/>
      <c r="F65" s="1125"/>
      <c r="G65" s="17"/>
      <c r="H65" s="17"/>
      <c r="I65" s="17"/>
      <c r="J65" s="17"/>
    </row>
    <row r="66" spans="1:10" ht="14.25" hidden="1">
      <c r="A66" s="1111"/>
      <c r="B66" s="1146" t="s">
        <v>533</v>
      </c>
      <c r="C66" s="1153">
        <f>+-Report!V124</f>
        <v>3164.0028272999998</v>
      </c>
      <c r="D66" s="1129"/>
      <c r="E66" s="1118"/>
      <c r="F66" s="1125"/>
      <c r="G66" s="17"/>
      <c r="H66" s="17"/>
      <c r="I66" s="17"/>
      <c r="J66" s="17"/>
    </row>
    <row r="67" spans="1:10" ht="14.25">
      <c r="A67" s="1111"/>
      <c r="B67" s="1111"/>
      <c r="C67" s="1118">
        <f>SUM(C56:C66)</f>
        <v>1339.3852009292746</v>
      </c>
      <c r="D67" s="1125"/>
      <c r="E67" s="1118"/>
      <c r="F67" s="1125"/>
      <c r="G67" s="17"/>
      <c r="H67" s="17"/>
      <c r="I67" s="17"/>
      <c r="J67" s="17"/>
    </row>
    <row r="68" spans="1:10" ht="14.25">
      <c r="A68" s="1111"/>
      <c r="B68" s="1111"/>
      <c r="C68" s="1118"/>
      <c r="D68" s="1125"/>
      <c r="E68" s="17"/>
      <c r="F68" s="17"/>
      <c r="G68" s="17"/>
      <c r="H68" s="17"/>
      <c r="I68" s="17"/>
      <c r="J68" s="17"/>
    </row>
    <row r="69" spans="1:10" ht="14.25">
      <c r="A69" s="1111"/>
      <c r="B69" s="1111"/>
      <c r="C69" s="1118"/>
      <c r="D69" s="1125"/>
      <c r="E69" s="1111"/>
      <c r="F69" s="17"/>
      <c r="G69" s="17"/>
      <c r="H69" s="17"/>
      <c r="I69" s="17"/>
      <c r="J69" s="17"/>
    </row>
    <row r="70" spans="1:10" ht="15">
      <c r="A70" s="1111"/>
      <c r="B70" s="1154" t="s">
        <v>2738</v>
      </c>
      <c r="C70" s="1118"/>
      <c r="D70" s="1125">
        <f>D72*100-SUM(D18:D66)</f>
        <v>4.6303694329870561E-2</v>
      </c>
      <c r="E70" s="1155"/>
      <c r="F70" s="1117"/>
      <c r="G70" s="17"/>
      <c r="H70" s="17"/>
      <c r="I70" s="17"/>
      <c r="J70" s="17"/>
    </row>
    <row r="71" spans="1:10" ht="14.25">
      <c r="A71" s="1111"/>
      <c r="B71" s="1111"/>
      <c r="C71" s="17"/>
      <c r="D71" s="17"/>
      <c r="E71" s="1111"/>
      <c r="F71" s="17"/>
      <c r="G71" s="17"/>
      <c r="H71" s="17"/>
      <c r="I71" s="17"/>
      <c r="J71" s="17"/>
    </row>
    <row r="72" spans="1:10" ht="14.25">
      <c r="A72" s="1111" t="s">
        <v>2739</v>
      </c>
      <c r="B72" s="1111"/>
      <c r="C72" s="17"/>
      <c r="D72" s="1156">
        <f>+D76-C14</f>
        <v>-2.8195930719648876E-5</v>
      </c>
      <c r="E72" s="1155"/>
      <c r="F72" s="17"/>
      <c r="G72" s="17"/>
      <c r="H72" s="17"/>
      <c r="I72" s="17"/>
      <c r="J72" s="17"/>
    </row>
    <row r="73" spans="1:10" ht="14.25">
      <c r="A73" s="1111"/>
      <c r="B73" s="1111"/>
      <c r="C73" s="17"/>
      <c r="D73" s="1125"/>
      <c r="E73" s="1111"/>
      <c r="F73" s="17"/>
      <c r="G73" s="17"/>
      <c r="H73" s="17"/>
      <c r="I73" s="17"/>
      <c r="J73" s="17"/>
    </row>
    <row r="74" spans="1:10" ht="14.25">
      <c r="A74" s="1111"/>
      <c r="B74" s="1111"/>
      <c r="C74" s="1118"/>
      <c r="D74" s="17"/>
      <c r="E74" s="1111"/>
      <c r="F74" s="17"/>
      <c r="G74" s="17"/>
      <c r="H74" s="17"/>
      <c r="I74" s="17"/>
      <c r="J74" s="17"/>
    </row>
    <row r="75" spans="1:10" ht="14.25">
      <c r="A75" s="1111"/>
      <c r="B75" s="1111"/>
      <c r="C75" s="1118"/>
      <c r="D75" s="17"/>
      <c r="E75" s="1111"/>
      <c r="F75" s="17"/>
      <c r="G75" s="17"/>
      <c r="H75" s="17"/>
      <c r="I75" s="17"/>
      <c r="J75" s="17"/>
    </row>
    <row r="76" spans="1:10" ht="15">
      <c r="A76" s="1154" t="s">
        <v>2740</v>
      </c>
      <c r="B76" s="1154"/>
      <c r="C76" s="31"/>
      <c r="D76" s="1157">
        <f>+'COMP Prior Yr'!D25</f>
        <v>9.2499999999999999E-2</v>
      </c>
      <c r="E76" s="1158"/>
      <c r="F76" s="1159"/>
      <c r="G76" s="17"/>
      <c r="H76" s="17"/>
      <c r="I76" s="17"/>
      <c r="J76" s="17"/>
    </row>
    <row r="77" spans="1:10" ht="14.25">
      <c r="A77" s="1111"/>
      <c r="B77" s="1111"/>
      <c r="C77" s="17"/>
      <c r="D77" s="1160" t="s">
        <v>148</v>
      </c>
      <c r="E77" s="1111"/>
      <c r="F77" s="1111"/>
      <c r="G77" s="1111"/>
      <c r="H77" s="1111"/>
      <c r="I77" s="1111"/>
      <c r="J77" s="1111"/>
    </row>
    <row r="78" spans="1:10" ht="14.25">
      <c r="A78" s="1161"/>
      <c r="B78" s="1111"/>
      <c r="C78" s="1118"/>
      <c r="D78" s="1162"/>
      <c r="E78" s="1163"/>
      <c r="F78" s="1111"/>
      <c r="G78" s="1111"/>
      <c r="H78" s="1111"/>
      <c r="I78" s="1111"/>
      <c r="J78" s="1111"/>
    </row>
    <row r="79" spans="1:10" ht="14.25">
      <c r="A79" s="1161"/>
      <c r="B79" s="1111"/>
      <c r="C79" s="1118"/>
      <c r="D79" s="1125"/>
      <c r="E79" s="1163"/>
      <c r="F79" s="1111"/>
      <c r="G79" s="1111"/>
      <c r="H79" s="1111"/>
      <c r="I79" s="1111"/>
      <c r="J79" s="1111"/>
    </row>
    <row r="80" spans="1:10" ht="14.25">
      <c r="A80" s="1161"/>
      <c r="B80" s="1111"/>
      <c r="C80" s="1118"/>
      <c r="D80" s="1125"/>
      <c r="E80" s="1163"/>
      <c r="F80" s="1111"/>
      <c r="G80" s="1111"/>
      <c r="H80" s="1111"/>
      <c r="I80" s="1111"/>
      <c r="J80" s="1111"/>
    </row>
    <row r="81" spans="1:10">
      <c r="C81" s="1164"/>
      <c r="D81" s="20"/>
      <c r="E81" s="17"/>
      <c r="F81" s="17"/>
      <c r="G81" s="17"/>
      <c r="H81" s="17"/>
      <c r="I81" s="17"/>
      <c r="J81" s="17"/>
    </row>
    <row r="82" spans="1:10" ht="14.25" hidden="1">
      <c r="A82" s="1111" t="s">
        <v>2741</v>
      </c>
      <c r="C82" s="1165">
        <f>[5]Report!$B$177/([5]Report!$B$167+[5]Report!$B$169+[5]Report!$B$177)*100</f>
        <v>56.112032993167858</v>
      </c>
      <c r="D82" s="1165"/>
      <c r="E82" s="1125"/>
      <c r="F82" s="17"/>
      <c r="G82" s="17"/>
      <c r="H82" s="17"/>
      <c r="I82" s="17"/>
      <c r="J82" s="17"/>
    </row>
    <row r="83" spans="1:10" ht="14.25" hidden="1">
      <c r="A83" s="1111" t="s">
        <v>2742</v>
      </c>
      <c r="B83" s="1111"/>
      <c r="C83" s="1165">
        <f>([5]Report!$H$177/([5]Report!$H$167+[5]Report!$H$169+[5]Report!$H$177))*100</f>
        <v>56.156388080097344</v>
      </c>
      <c r="D83" s="1165"/>
      <c r="E83" s="1125"/>
      <c r="F83" s="17"/>
      <c r="G83" s="17"/>
      <c r="H83" s="17"/>
      <c r="I83" s="17"/>
      <c r="J83" s="17"/>
    </row>
    <row r="84" spans="1:10" ht="15" hidden="1">
      <c r="A84" s="1111" t="s">
        <v>2743</v>
      </c>
      <c r="B84" s="1144"/>
      <c r="C84" s="1165">
        <f>[5]Report!$J$177*100</f>
        <v>42.059999999999995</v>
      </c>
      <c r="D84" s="1165"/>
      <c r="E84" s="1125"/>
      <c r="F84" s="17"/>
      <c r="G84" s="17"/>
      <c r="H84" s="17"/>
      <c r="I84" s="17"/>
      <c r="J84" s="17"/>
    </row>
    <row r="85" spans="1:10" ht="14.25">
      <c r="B85" s="1111"/>
    </row>
    <row r="87" spans="1:10" ht="14.25">
      <c r="B87" s="1111"/>
    </row>
    <row r="92" spans="1:10" ht="14.25">
      <c r="A92" s="1111"/>
      <c r="B92" s="1111"/>
    </row>
    <row r="93" spans="1:10" ht="15">
      <c r="A93" s="1111"/>
      <c r="B93" s="1144"/>
    </row>
    <row r="120" spans="1:1">
      <c r="A120" s="130"/>
    </row>
    <row r="121" spans="1:1">
      <c r="A121" s="130"/>
    </row>
    <row r="123" spans="1:1">
      <c r="A123" s="130"/>
    </row>
    <row r="125" spans="1:1">
      <c r="A125" s="130"/>
    </row>
  </sheetData>
  <hyperlinks>
    <hyperlink ref="B65517" location="WC!c333" display="WC!c333"/>
    <hyperlink ref="B65516" location="'SURV REPORT'!GV33" display="'SURV REPORT'!GV33"/>
    <hyperlink ref="B65515" location="WC!c333" display="WC!c333"/>
    <hyperlink ref="B65518" location="'SURV REPORT'!GV33" display="'SURV REPORT'!GV33"/>
  </hyperlinks>
  <pageMargins left="0.7" right="0.7" top="0.75" bottom="0.75" header="0.3" footer="0.3"/>
  <pageSetup scale="70" orientation="portrait" r:id="rId1"/>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92D050"/>
    <pageSetUpPr fitToPage="1"/>
  </sheetPr>
  <dimension ref="A1:BD371"/>
  <sheetViews>
    <sheetView tabSelected="1" topLeftCell="A93" zoomScaleNormal="100" workbookViewId="0">
      <selection activeCell="H110" sqref="H110"/>
    </sheetView>
  </sheetViews>
  <sheetFormatPr defaultColWidth="13.5703125" defaultRowHeight="12.75"/>
  <cols>
    <col min="1" max="1" width="31.140625" style="584" customWidth="1"/>
    <col min="2" max="2" width="14.140625" style="584" customWidth="1"/>
    <col min="3" max="3" width="2.42578125" style="584" customWidth="1"/>
    <col min="4" max="4" width="9.5703125" style="584" customWidth="1"/>
    <col min="5" max="5" width="2.42578125" style="584" customWidth="1"/>
    <col min="6" max="6" width="10.5703125" style="584" customWidth="1"/>
    <col min="7" max="7" width="2.42578125" style="584" customWidth="1"/>
    <col min="8" max="8" width="9.5703125" style="584" customWidth="1"/>
    <col min="9" max="9" width="2.42578125" style="584" customWidth="1"/>
    <col min="10" max="10" width="11" style="584" customWidth="1"/>
    <col min="11" max="11" width="2.42578125" style="584" customWidth="1"/>
    <col min="12" max="12" width="9.5703125" style="584" customWidth="1"/>
    <col min="13" max="13" width="4.42578125" style="584" customWidth="1"/>
    <col min="14" max="14" width="12.42578125" style="584" customWidth="1"/>
    <col min="15" max="15" width="2.42578125" style="584" customWidth="1"/>
    <col min="16" max="16" width="9.5703125" style="584" customWidth="1"/>
    <col min="17" max="17" width="2.42578125" style="584" customWidth="1"/>
    <col min="18" max="18" width="9.5703125" style="584" customWidth="1"/>
    <col min="19" max="19" width="2.42578125" style="584" customWidth="1"/>
    <col min="20" max="20" width="9.5703125" style="584" customWidth="1"/>
    <col min="21" max="21" width="2.42578125" style="584" customWidth="1"/>
    <col min="22" max="22" width="12.5703125" style="584" bestFit="1" customWidth="1"/>
    <col min="23" max="23" width="13.42578125" style="584" bestFit="1" customWidth="1"/>
    <col min="24" max="24" width="14" style="584" customWidth="1"/>
    <col min="25" max="26" width="13.5703125" style="584" customWidth="1"/>
    <col min="27" max="27" width="3" style="584" bestFit="1" customWidth="1"/>
    <col min="28" max="28" width="14" style="584" customWidth="1"/>
    <col min="29" max="30" width="13.5703125" style="584" customWidth="1"/>
    <col min="31" max="31" width="2.85546875" style="584" customWidth="1"/>
    <col min="32" max="32" width="19.42578125" style="584" bestFit="1" customWidth="1"/>
    <col min="33" max="33" width="8.85546875" style="584" bestFit="1" customWidth="1"/>
    <col min="34" max="34" width="13.5703125" style="584"/>
    <col min="35" max="35" width="31.140625" style="584" customWidth="1"/>
    <col min="36" max="36" width="14.140625" style="584" customWidth="1"/>
    <col min="37" max="37" width="2.42578125" style="584" customWidth="1"/>
    <col min="38" max="38" width="9.5703125" style="584" customWidth="1"/>
    <col min="39" max="39" width="2.42578125" style="584" customWidth="1"/>
    <col min="40" max="40" width="9.5703125" style="584" customWidth="1"/>
    <col min="41" max="41" width="2.42578125" style="584" customWidth="1"/>
    <col min="42" max="42" width="9.5703125" style="584" customWidth="1"/>
    <col min="43" max="43" width="2.42578125" style="584" customWidth="1"/>
    <col min="44" max="44" width="11" style="584" customWidth="1"/>
    <col min="45" max="45" width="2.42578125" style="584" customWidth="1"/>
    <col min="46" max="46" width="9.5703125" style="584" customWidth="1"/>
    <col min="47" max="47" width="4.42578125" style="584" customWidth="1"/>
    <col min="48" max="48" width="12.42578125" style="584" customWidth="1"/>
    <col min="49" max="49" width="2.42578125" style="584" customWidth="1"/>
    <col min="50" max="50" width="9.5703125" style="584" customWidth="1"/>
    <col min="51" max="51" width="2.42578125" style="584" customWidth="1"/>
    <col min="52" max="52" width="9.5703125" style="584" customWidth="1"/>
    <col min="53" max="53" width="2.42578125" style="584" customWidth="1"/>
    <col min="54" max="54" width="9.5703125" style="584" customWidth="1"/>
    <col min="55" max="55" width="2.42578125" style="584" customWidth="1"/>
    <col min="56" max="56" width="9.5703125" style="584" customWidth="1"/>
    <col min="57" max="16384" width="13.5703125" style="584"/>
  </cols>
  <sheetData>
    <row r="1" spans="1:56">
      <c r="A1" s="580" t="s">
        <v>208</v>
      </c>
      <c r="B1" s="581"/>
      <c r="C1" s="581"/>
      <c r="D1" s="581"/>
      <c r="E1" s="581"/>
      <c r="F1" s="581"/>
      <c r="G1" s="581"/>
      <c r="H1" s="581"/>
      <c r="I1" s="581"/>
      <c r="J1" s="581"/>
      <c r="K1" s="582"/>
      <c r="L1" s="582"/>
      <c r="M1" s="581"/>
      <c r="N1" s="581" t="s">
        <v>92</v>
      </c>
      <c r="O1" s="582"/>
      <c r="P1" s="583"/>
      <c r="Q1" s="583"/>
      <c r="R1" s="583"/>
      <c r="S1" s="583"/>
      <c r="T1" s="583"/>
      <c r="U1" s="583"/>
      <c r="V1" s="583"/>
      <c r="W1" s="583"/>
      <c r="X1" s="583"/>
      <c r="Y1" s="583"/>
      <c r="Z1" s="583"/>
      <c r="AA1" s="583"/>
      <c r="AB1" s="583"/>
      <c r="AC1" s="583"/>
      <c r="AD1" s="583"/>
      <c r="AE1" s="583"/>
      <c r="AF1" s="583"/>
      <c r="AG1" s="583"/>
      <c r="AI1" s="580"/>
      <c r="AJ1" s="581"/>
      <c r="AK1" s="581"/>
      <c r="AL1" s="581"/>
      <c r="AM1" s="581"/>
      <c r="AN1" s="581"/>
      <c r="AO1" s="581"/>
      <c r="AP1" s="581"/>
      <c r="AQ1" s="581"/>
      <c r="AR1" s="581"/>
      <c r="AS1" s="582"/>
      <c r="AT1" s="582"/>
      <c r="AU1" s="581"/>
      <c r="AV1" s="581" t="s">
        <v>92</v>
      </c>
      <c r="AW1" s="582"/>
      <c r="AX1" s="583"/>
      <c r="AY1" s="583"/>
      <c r="AZ1" s="583"/>
      <c r="BA1" s="583"/>
      <c r="BB1" s="583"/>
      <c r="BC1" s="583"/>
      <c r="BD1" s="583"/>
    </row>
    <row r="2" spans="1:56" ht="12.95" customHeight="1">
      <c r="A2" s="580" t="s">
        <v>93</v>
      </c>
      <c r="B2" s="581"/>
      <c r="C2" s="581"/>
      <c r="D2" s="581"/>
      <c r="E2" s="581"/>
      <c r="F2" s="581"/>
      <c r="G2" s="581"/>
      <c r="H2" s="581"/>
      <c r="I2" s="581"/>
      <c r="J2" s="581"/>
      <c r="K2" s="581"/>
      <c r="L2" s="581"/>
      <c r="M2" s="581"/>
      <c r="N2" s="582"/>
      <c r="O2" s="582"/>
      <c r="P2" s="583"/>
      <c r="Q2" s="583"/>
      <c r="R2" s="583"/>
      <c r="S2" s="583"/>
      <c r="T2" s="583"/>
      <c r="U2" s="583"/>
      <c r="V2" s="583"/>
      <c r="W2" s="583"/>
      <c r="X2" s="583"/>
      <c r="Y2" s="583"/>
      <c r="Z2" s="583"/>
      <c r="AA2" s="583"/>
      <c r="AB2" s="583"/>
      <c r="AC2" s="583"/>
      <c r="AD2" s="583"/>
      <c r="AE2" s="583"/>
      <c r="AF2" s="583"/>
      <c r="AG2" s="583"/>
      <c r="AI2" s="583"/>
      <c r="AJ2" s="621"/>
      <c r="AK2" s="621"/>
      <c r="AL2" s="621"/>
      <c r="AM2" s="621"/>
      <c r="AN2" s="621"/>
      <c r="AO2" s="621"/>
      <c r="AP2" s="621"/>
      <c r="AQ2" s="621"/>
      <c r="AR2" s="621"/>
      <c r="AS2" s="621"/>
      <c r="AT2" s="621"/>
      <c r="AU2" s="621"/>
      <c r="AV2" s="621"/>
      <c r="AW2" s="621"/>
      <c r="AX2" s="621"/>
      <c r="AY2" s="621"/>
      <c r="AZ2" s="621"/>
      <c r="BA2" s="621"/>
      <c r="BB2" s="621"/>
      <c r="BC2" s="621"/>
      <c r="BD2" s="621"/>
    </row>
    <row r="3" spans="1:56">
      <c r="A3" s="943" t="str">
        <f>+Input!A2</f>
        <v>December 2022</v>
      </c>
      <c r="B3" s="581"/>
      <c r="C3" s="581"/>
      <c r="D3" s="581"/>
      <c r="E3" s="581"/>
      <c r="F3" s="581"/>
      <c r="G3" s="581"/>
      <c r="H3" s="581"/>
      <c r="I3" s="581"/>
      <c r="J3" s="581"/>
      <c r="K3" s="581"/>
      <c r="L3" s="581"/>
      <c r="M3" s="581"/>
      <c r="N3" s="582"/>
      <c r="O3" s="582"/>
      <c r="P3" s="583"/>
      <c r="Q3" s="583"/>
      <c r="R3" s="583"/>
      <c r="S3" s="583"/>
      <c r="T3" s="583"/>
      <c r="U3" s="583"/>
      <c r="V3" s="583"/>
      <c r="W3" s="583"/>
      <c r="X3" s="583"/>
      <c r="Y3" s="583"/>
      <c r="Z3" s="583"/>
      <c r="AA3" s="583"/>
      <c r="AB3" s="583"/>
      <c r="AC3" s="583"/>
      <c r="AD3" s="583"/>
      <c r="AE3" s="583"/>
      <c r="AF3" s="583"/>
      <c r="AG3" s="583"/>
      <c r="AI3" s="583"/>
      <c r="AJ3" s="621"/>
      <c r="AK3" s="621"/>
      <c r="AL3" s="621"/>
      <c r="AM3" s="621"/>
      <c r="AN3" s="621"/>
      <c r="AO3" s="621"/>
      <c r="AP3" s="621"/>
      <c r="AQ3" s="621"/>
      <c r="AR3" s="621"/>
      <c r="AS3" s="621"/>
      <c r="AT3" s="621"/>
      <c r="AU3" s="621"/>
      <c r="AV3" s="621"/>
      <c r="AW3" s="621"/>
      <c r="AX3" s="621"/>
      <c r="AY3" s="621"/>
      <c r="AZ3" s="621"/>
      <c r="BA3" s="621"/>
      <c r="BB3" s="621"/>
      <c r="BC3" s="621"/>
      <c r="BD3" s="621"/>
    </row>
    <row r="4" spans="1:56">
      <c r="A4" s="228" t="s">
        <v>1857</v>
      </c>
      <c r="B4" s="581"/>
      <c r="C4" s="581"/>
      <c r="D4" s="581"/>
      <c r="E4" s="581"/>
      <c r="F4" s="581"/>
      <c r="G4" s="581"/>
      <c r="H4" s="581"/>
      <c r="I4" s="581"/>
      <c r="J4" s="581"/>
      <c r="K4" s="581"/>
      <c r="L4" s="581"/>
      <c r="M4" s="581"/>
      <c r="N4" s="582"/>
      <c r="O4" s="582"/>
      <c r="P4" s="583"/>
      <c r="Q4" s="583"/>
      <c r="R4" s="583"/>
      <c r="S4" s="583"/>
      <c r="T4" s="583"/>
      <c r="U4" s="583"/>
      <c r="V4" s="583"/>
      <c r="W4" s="583"/>
      <c r="X4" s="583"/>
      <c r="Y4" s="583"/>
      <c r="Z4" s="583"/>
      <c r="AA4" s="583"/>
      <c r="AB4" s="583"/>
      <c r="AC4" s="583"/>
      <c r="AD4" s="583"/>
      <c r="AE4" s="583"/>
      <c r="AF4" s="583"/>
      <c r="AG4" s="583"/>
      <c r="AI4" s="583"/>
      <c r="AJ4" s="621"/>
      <c r="AK4" s="621"/>
      <c r="AL4" s="621"/>
      <c r="AM4" s="621"/>
      <c r="AN4" s="621"/>
      <c r="AO4" s="621"/>
      <c r="AP4" s="621"/>
      <c r="AQ4" s="621"/>
      <c r="AR4" s="621"/>
      <c r="AS4" s="621"/>
      <c r="AT4" s="621"/>
      <c r="AU4" s="621"/>
      <c r="AV4" s="621"/>
      <c r="AW4" s="621"/>
      <c r="AX4" s="621"/>
      <c r="AY4" s="621"/>
      <c r="AZ4" s="621"/>
      <c r="BA4" s="621"/>
      <c r="BB4" s="621"/>
      <c r="BC4" s="621"/>
      <c r="BD4" s="621"/>
    </row>
    <row r="5" spans="1:56">
      <c r="P5" s="585"/>
      <c r="AI5" s="583"/>
      <c r="AJ5" s="621"/>
      <c r="AK5" s="621"/>
      <c r="AL5" s="621"/>
      <c r="AM5" s="621"/>
      <c r="AN5" s="621"/>
      <c r="AO5" s="621"/>
      <c r="AP5" s="621"/>
      <c r="AQ5" s="621"/>
      <c r="AR5" s="621"/>
      <c r="AS5" s="621"/>
      <c r="AT5" s="621"/>
      <c r="AU5" s="621"/>
      <c r="AV5" s="621"/>
      <c r="AW5" s="621"/>
      <c r="AX5" s="621"/>
      <c r="AY5" s="621"/>
      <c r="AZ5" s="621"/>
      <c r="BA5" s="621"/>
      <c r="BB5" s="621"/>
      <c r="BC5" s="621"/>
      <c r="BD5" s="621"/>
    </row>
    <row r="6" spans="1:56">
      <c r="A6" s="586"/>
      <c r="P6" s="585"/>
      <c r="AI6" s="583"/>
      <c r="AJ6" s="621"/>
      <c r="AK6" s="621"/>
      <c r="AL6" s="621"/>
      <c r="AM6" s="621"/>
      <c r="AN6" s="621"/>
      <c r="AO6" s="621"/>
      <c r="AP6" s="621"/>
      <c r="AQ6" s="621"/>
      <c r="AR6" s="621"/>
      <c r="AS6" s="621"/>
      <c r="AT6" s="621"/>
      <c r="AU6" s="621"/>
      <c r="AV6" s="621"/>
      <c r="AW6" s="621"/>
      <c r="AX6" s="621"/>
      <c r="AY6" s="621"/>
      <c r="AZ6" s="621"/>
      <c r="BA6" s="621"/>
      <c r="BB6" s="621"/>
      <c r="BC6" s="621"/>
      <c r="BD6" s="621"/>
    </row>
    <row r="7" spans="1:56">
      <c r="A7" s="587"/>
      <c r="B7" s="587"/>
      <c r="C7" s="587"/>
      <c r="D7" s="583"/>
      <c r="E7" s="587"/>
      <c r="F7" s="588" t="s">
        <v>94</v>
      </c>
      <c r="G7" s="587"/>
      <c r="H7" s="588" t="s">
        <v>95</v>
      </c>
      <c r="I7" s="587"/>
      <c r="J7" s="588" t="s">
        <v>96</v>
      </c>
      <c r="K7" s="587"/>
      <c r="L7" s="588" t="s">
        <v>97</v>
      </c>
      <c r="M7" s="587"/>
      <c r="N7" s="588" t="s">
        <v>98</v>
      </c>
      <c r="O7" s="583"/>
      <c r="P7" s="583"/>
      <c r="Q7" s="583"/>
      <c r="R7" s="583"/>
      <c r="S7" s="583"/>
      <c r="T7" s="583"/>
      <c r="U7" s="583"/>
      <c r="V7" s="583"/>
      <c r="W7" s="583"/>
      <c r="X7" s="583"/>
      <c r="Y7" s="583"/>
      <c r="Z7" s="583"/>
      <c r="AA7" s="583"/>
      <c r="AB7" s="583"/>
      <c r="AC7" s="583"/>
      <c r="AD7" s="583"/>
      <c r="AE7" s="583"/>
      <c r="AF7" s="583"/>
      <c r="AG7" s="583"/>
      <c r="AI7" s="583"/>
      <c r="AJ7" s="621"/>
      <c r="AK7" s="621"/>
      <c r="AL7" s="621"/>
      <c r="AM7" s="621"/>
      <c r="AN7" s="621"/>
      <c r="AO7" s="621"/>
      <c r="AP7" s="621"/>
      <c r="AQ7" s="621"/>
      <c r="AR7" s="621"/>
      <c r="AS7" s="621"/>
      <c r="AT7" s="621"/>
      <c r="AU7" s="621"/>
      <c r="AV7" s="621"/>
      <c r="AW7" s="621"/>
      <c r="AX7" s="621"/>
      <c r="AY7" s="621"/>
      <c r="AZ7" s="621"/>
      <c r="BA7" s="621"/>
      <c r="BB7" s="621"/>
      <c r="BC7" s="621"/>
      <c r="BD7" s="621"/>
    </row>
    <row r="8" spans="1:56">
      <c r="A8" s="587"/>
      <c r="B8" s="587"/>
      <c r="C8" s="587"/>
      <c r="D8" s="583"/>
      <c r="E8" s="587"/>
      <c r="F8" s="588" t="s">
        <v>214</v>
      </c>
      <c r="G8" s="587"/>
      <c r="H8" s="588" t="s">
        <v>99</v>
      </c>
      <c r="I8" s="587"/>
      <c r="J8" s="588" t="s">
        <v>99</v>
      </c>
      <c r="K8" s="587"/>
      <c r="L8" s="588" t="s">
        <v>327</v>
      </c>
      <c r="M8" s="587"/>
      <c r="N8" s="588" t="s">
        <v>327</v>
      </c>
      <c r="O8" s="583"/>
      <c r="P8" s="583"/>
      <c r="Q8" s="583"/>
      <c r="R8" s="583"/>
      <c r="S8" s="583"/>
      <c r="T8" s="583"/>
      <c r="U8" s="583"/>
      <c r="V8" s="583"/>
      <c r="W8" s="583"/>
      <c r="X8" s="583"/>
      <c r="Y8" s="583"/>
      <c r="Z8" s="583"/>
      <c r="AA8" s="583"/>
      <c r="AB8" s="583"/>
      <c r="AC8" s="583"/>
      <c r="AD8" s="583"/>
      <c r="AE8" s="583"/>
      <c r="AF8" s="583"/>
      <c r="AG8" s="583"/>
      <c r="AI8" s="583"/>
      <c r="AJ8" s="621"/>
      <c r="AK8" s="621"/>
      <c r="AL8" s="621"/>
      <c r="AM8" s="621"/>
      <c r="AN8" s="621"/>
      <c r="AO8" s="621"/>
      <c r="AP8" s="621"/>
      <c r="AQ8" s="621"/>
      <c r="AR8" s="621"/>
      <c r="AS8" s="621"/>
      <c r="AT8" s="621"/>
      <c r="AU8" s="621"/>
      <c r="AV8" s="621"/>
      <c r="AW8" s="621"/>
      <c r="AX8" s="621"/>
      <c r="AY8" s="621"/>
      <c r="AZ8" s="621"/>
      <c r="BA8" s="621"/>
      <c r="BB8" s="621"/>
      <c r="BC8" s="621"/>
      <c r="BD8" s="621"/>
    </row>
    <row r="9" spans="1:56">
      <c r="A9" s="587"/>
      <c r="B9" s="587"/>
      <c r="C9" s="587"/>
      <c r="D9" s="583"/>
      <c r="E9" s="587"/>
      <c r="F9" s="589" t="s">
        <v>326</v>
      </c>
      <c r="G9" s="587"/>
      <c r="H9" s="589" t="s">
        <v>206</v>
      </c>
      <c r="I9" s="587"/>
      <c r="J9" s="589" t="s">
        <v>203</v>
      </c>
      <c r="K9" s="587"/>
      <c r="L9" s="589" t="s">
        <v>206</v>
      </c>
      <c r="M9" s="587"/>
      <c r="N9" s="589" t="s">
        <v>203</v>
      </c>
      <c r="O9" s="583"/>
      <c r="P9" s="583"/>
      <c r="Q9" s="583"/>
      <c r="R9" s="583"/>
      <c r="S9" s="583"/>
      <c r="T9" s="583"/>
      <c r="U9" s="583"/>
      <c r="V9" s="1"/>
      <c r="W9" s="640"/>
      <c r="X9" s="583"/>
      <c r="Y9" s="583"/>
      <c r="Z9" s="583"/>
      <c r="AA9" s="583"/>
      <c r="AB9" s="583"/>
      <c r="AC9" s="583"/>
      <c r="AD9" s="583"/>
      <c r="AE9" s="583"/>
      <c r="AF9" s="583"/>
      <c r="AG9" s="583"/>
      <c r="AI9" s="583"/>
      <c r="AJ9" s="621"/>
      <c r="AK9" s="621"/>
      <c r="AL9" s="621"/>
      <c r="AM9" s="621"/>
      <c r="AN9" s="621"/>
      <c r="AO9" s="621"/>
      <c r="AP9" s="621"/>
      <c r="AQ9" s="621"/>
      <c r="AR9" s="621"/>
      <c r="AS9" s="621"/>
      <c r="AT9" s="621"/>
      <c r="AU9" s="621"/>
      <c r="AV9" s="621"/>
      <c r="AW9" s="621"/>
      <c r="AX9" s="621"/>
      <c r="AY9" s="621"/>
      <c r="AZ9" s="621"/>
      <c r="BA9" s="621"/>
      <c r="BB9" s="621"/>
      <c r="BC9" s="621"/>
      <c r="BD9" s="621"/>
    </row>
    <row r="10" spans="1:56">
      <c r="A10" s="587" t="s">
        <v>103</v>
      </c>
      <c r="B10" s="587"/>
      <c r="C10" s="587"/>
      <c r="D10" s="583"/>
      <c r="E10" s="587"/>
      <c r="F10" s="587"/>
      <c r="G10" s="587"/>
      <c r="H10" s="587"/>
      <c r="I10" s="587"/>
      <c r="J10" s="587"/>
      <c r="K10" s="587"/>
      <c r="L10" s="587"/>
      <c r="M10" s="587"/>
      <c r="N10" s="587"/>
      <c r="O10" s="583"/>
      <c r="P10" s="583"/>
      <c r="Q10" s="583"/>
      <c r="R10" s="583"/>
      <c r="S10" s="583"/>
      <c r="T10" s="583"/>
      <c r="U10" s="583"/>
      <c r="V10" s="1"/>
      <c r="W10" s="640"/>
      <c r="X10" s="583"/>
      <c r="Y10" s="583"/>
      <c r="Z10" s="583"/>
      <c r="AA10" s="583"/>
      <c r="AB10" s="583"/>
      <c r="AC10" s="583"/>
      <c r="AD10" s="583"/>
      <c r="AE10" s="583"/>
      <c r="AF10" s="583"/>
      <c r="AG10" s="583"/>
      <c r="AI10" s="583"/>
      <c r="AJ10" s="621"/>
      <c r="AK10" s="621"/>
      <c r="AL10" s="621"/>
      <c r="AM10" s="621"/>
      <c r="AN10" s="621"/>
      <c r="AO10" s="621"/>
      <c r="AP10" s="621"/>
      <c r="AQ10" s="621"/>
      <c r="AR10" s="621"/>
      <c r="AS10" s="621"/>
      <c r="AT10" s="621"/>
      <c r="AU10" s="621"/>
      <c r="AV10" s="621"/>
      <c r="AW10" s="621"/>
      <c r="AX10" s="621"/>
      <c r="AY10" s="621"/>
      <c r="AZ10" s="621"/>
      <c r="BA10" s="621"/>
      <c r="BB10" s="621"/>
      <c r="BC10" s="621"/>
      <c r="BD10" s="621"/>
    </row>
    <row r="11" spans="1:56">
      <c r="A11" s="590" t="s">
        <v>104</v>
      </c>
      <c r="B11" s="590"/>
      <c r="C11" s="587"/>
      <c r="D11" s="583"/>
      <c r="E11" s="587"/>
      <c r="F11" s="587"/>
      <c r="G11" s="587"/>
      <c r="H11" s="587"/>
      <c r="I11" s="587"/>
      <c r="J11" s="587"/>
      <c r="K11" s="587"/>
      <c r="L11" s="587"/>
      <c r="M11" s="587"/>
      <c r="N11" s="587"/>
      <c r="O11" s="583"/>
      <c r="P11" s="583"/>
      <c r="Q11" s="583"/>
      <c r="R11" s="583"/>
      <c r="S11" s="583"/>
      <c r="T11" s="583"/>
      <c r="U11" s="583"/>
      <c r="V11" s="1"/>
      <c r="W11" s="640"/>
      <c r="X11" s="583"/>
      <c r="Y11" s="1257"/>
      <c r="Z11" s="583"/>
      <c r="AA11" s="583"/>
      <c r="AB11" s="583"/>
      <c r="AC11" s="583"/>
      <c r="AD11" s="583"/>
      <c r="AE11" s="583"/>
      <c r="AF11" s="583"/>
      <c r="AG11" s="583"/>
      <c r="AI11" s="583"/>
      <c r="AJ11" s="621"/>
      <c r="AK11" s="621"/>
      <c r="AL11" s="621"/>
      <c r="AM11" s="621"/>
      <c r="AN11" s="621"/>
      <c r="AO11" s="621"/>
      <c r="AP11" s="621"/>
      <c r="AQ11" s="621"/>
      <c r="AR11" s="621"/>
      <c r="AS11" s="621"/>
      <c r="AT11" s="621"/>
      <c r="AU11" s="621"/>
      <c r="AV11" s="621"/>
      <c r="AW11" s="621"/>
      <c r="AX11" s="621"/>
      <c r="AY11" s="621"/>
      <c r="AZ11" s="621"/>
      <c r="BA11" s="621"/>
      <c r="BB11" s="621"/>
      <c r="BC11" s="621"/>
      <c r="BD11" s="621"/>
    </row>
    <row r="12" spans="1:56">
      <c r="A12" s="587" t="s">
        <v>0</v>
      </c>
      <c r="B12" s="587"/>
      <c r="C12" s="587"/>
      <c r="D12" s="583"/>
      <c r="E12" s="587" t="s">
        <v>105</v>
      </c>
      <c r="F12" s="591">
        <f>V106</f>
        <v>101167.13074000017</v>
      </c>
      <c r="G12" s="592" t="s">
        <v>105</v>
      </c>
      <c r="H12" s="591">
        <f>V126</f>
        <v>-1339.3859250827747</v>
      </c>
      <c r="I12" s="592" t="s">
        <v>105</v>
      </c>
      <c r="J12" s="591">
        <f>F12+H12</f>
        <v>99827.744814917387</v>
      </c>
      <c r="K12" s="592" t="s">
        <v>105</v>
      </c>
      <c r="L12" s="591">
        <f>V139</f>
        <v>0</v>
      </c>
      <c r="M12" s="592" t="s">
        <v>105</v>
      </c>
      <c r="N12" s="591">
        <f>J12+L12</f>
        <v>99827.744814917387</v>
      </c>
      <c r="O12" s="583"/>
      <c r="P12" s="621"/>
      <c r="Q12" s="583"/>
      <c r="R12" s="583"/>
      <c r="S12" s="583"/>
      <c r="T12" s="583"/>
      <c r="U12" s="583"/>
      <c r="V12" s="583"/>
      <c r="W12" s="640"/>
      <c r="X12" s="583"/>
      <c r="Y12" s="583"/>
      <c r="Z12" s="583"/>
      <c r="AA12" s="583"/>
      <c r="AB12" s="583"/>
      <c r="AC12" s="583"/>
      <c r="AD12" s="583"/>
      <c r="AE12" s="583"/>
      <c r="AF12" s="583"/>
      <c r="AG12" s="583"/>
      <c r="AI12" s="583"/>
      <c r="AJ12" s="621"/>
      <c r="AK12" s="621"/>
      <c r="AL12" s="621"/>
      <c r="AM12" s="621"/>
      <c r="AN12" s="621"/>
      <c r="AO12" s="621"/>
      <c r="AP12" s="621"/>
      <c r="AQ12" s="621"/>
      <c r="AR12" s="621"/>
      <c r="AS12" s="621"/>
      <c r="AT12" s="621"/>
      <c r="AU12" s="621"/>
      <c r="AV12" s="621"/>
      <c r="AW12" s="621"/>
      <c r="AX12" s="621"/>
      <c r="AY12" s="621"/>
      <c r="AZ12" s="621"/>
      <c r="BA12" s="621"/>
      <c r="BB12" s="621"/>
      <c r="BC12" s="621"/>
      <c r="BD12" s="621"/>
    </row>
    <row r="13" spans="1:56">
      <c r="A13" s="587"/>
      <c r="B13" s="587"/>
      <c r="C13" s="587"/>
      <c r="D13" s="583"/>
      <c r="E13" s="587"/>
      <c r="F13" s="592"/>
      <c r="G13" s="592"/>
      <c r="H13" s="592"/>
      <c r="I13" s="592"/>
      <c r="J13" s="592"/>
      <c r="K13" s="592"/>
      <c r="L13" s="592"/>
      <c r="M13" s="592"/>
      <c r="N13" s="592"/>
      <c r="O13" s="583"/>
      <c r="P13" s="583"/>
      <c r="Q13" s="583"/>
      <c r="R13" s="583"/>
      <c r="S13" s="583"/>
      <c r="T13" s="583"/>
      <c r="U13" s="583"/>
      <c r="V13" s="583"/>
      <c r="W13" s="640"/>
      <c r="X13" s="583"/>
      <c r="Y13" s="1257"/>
      <c r="Z13" s="583"/>
      <c r="AA13" s="583"/>
      <c r="AB13" s="583"/>
      <c r="AC13" s="583"/>
      <c r="AD13" s="583"/>
      <c r="AE13" s="583"/>
      <c r="AF13" s="583"/>
      <c r="AG13" s="583"/>
      <c r="AI13" s="583"/>
      <c r="AJ13" s="621"/>
      <c r="AK13" s="621"/>
      <c r="AL13" s="621"/>
      <c r="AM13" s="621"/>
      <c r="AN13" s="621"/>
      <c r="AO13" s="621"/>
      <c r="AP13" s="621"/>
      <c r="AQ13" s="621"/>
      <c r="AR13" s="621"/>
      <c r="AS13" s="621"/>
      <c r="AT13" s="621"/>
      <c r="AU13" s="621"/>
      <c r="AV13" s="621"/>
      <c r="AW13" s="621"/>
      <c r="AX13" s="621"/>
      <c r="AY13" s="621"/>
      <c r="AZ13" s="621"/>
      <c r="BA13" s="621"/>
      <c r="BB13" s="621"/>
      <c r="BC13" s="621"/>
      <c r="BD13" s="621"/>
    </row>
    <row r="14" spans="1:56">
      <c r="A14" s="587" t="s">
        <v>106</v>
      </c>
      <c r="B14" s="587"/>
      <c r="C14" s="587"/>
      <c r="D14" s="583"/>
      <c r="E14" s="587" t="s">
        <v>105</v>
      </c>
      <c r="F14" s="591">
        <f>T55</f>
        <v>1881233.4284299996</v>
      </c>
      <c r="G14" s="592" t="s">
        <v>105</v>
      </c>
      <c r="H14" s="591">
        <f>T77</f>
        <v>-147274.0624617154</v>
      </c>
      <c r="I14" s="592" t="s">
        <v>105</v>
      </c>
      <c r="J14" s="591">
        <f>F14+H14</f>
        <v>1733959.3659682842</v>
      </c>
      <c r="K14" s="592" t="s">
        <v>105</v>
      </c>
      <c r="L14" s="591">
        <f>T90</f>
        <v>0</v>
      </c>
      <c r="M14" s="592" t="s">
        <v>105</v>
      </c>
      <c r="N14" s="591">
        <f>J14+L14</f>
        <v>1733959.3659682842</v>
      </c>
      <c r="O14" s="583"/>
      <c r="P14" s="621"/>
      <c r="Q14" s="583"/>
      <c r="R14" s="583"/>
      <c r="S14" s="583"/>
      <c r="T14" s="583"/>
      <c r="U14" s="583"/>
      <c r="V14" s="583"/>
      <c r="W14" s="583"/>
      <c r="X14" s="583"/>
      <c r="Y14" s="583"/>
      <c r="Z14" s="583"/>
      <c r="AA14" s="583"/>
      <c r="AB14" s="583"/>
      <c r="AC14" s="583"/>
      <c r="AD14" s="583"/>
      <c r="AE14" s="583"/>
      <c r="AF14" s="583"/>
      <c r="AG14" s="583"/>
      <c r="AI14" s="583"/>
      <c r="AJ14" s="621"/>
      <c r="AK14" s="621"/>
      <c r="AL14" s="621"/>
      <c r="AM14" s="621"/>
      <c r="AN14" s="621"/>
      <c r="AO14" s="621"/>
      <c r="AP14" s="621"/>
      <c r="AQ14" s="621"/>
      <c r="AR14" s="621"/>
      <c r="AS14" s="621"/>
      <c r="AT14" s="621"/>
      <c r="AU14" s="621"/>
      <c r="AV14" s="621"/>
      <c r="AW14" s="621"/>
      <c r="AX14" s="621"/>
      <c r="AY14" s="621"/>
      <c r="AZ14" s="621"/>
      <c r="BA14" s="621"/>
      <c r="BB14" s="621"/>
      <c r="BC14" s="621"/>
      <c r="BD14" s="621"/>
    </row>
    <row r="15" spans="1:56">
      <c r="A15" s="587" t="s">
        <v>7</v>
      </c>
      <c r="B15" s="587"/>
      <c r="C15" s="587"/>
      <c r="D15" s="583"/>
      <c r="E15" s="587"/>
      <c r="F15" s="587"/>
      <c r="G15" s="587"/>
      <c r="H15" s="587"/>
      <c r="I15" s="587"/>
      <c r="J15" s="587"/>
      <c r="K15" s="587"/>
      <c r="L15" s="583"/>
      <c r="M15" s="587"/>
      <c r="N15" s="587"/>
      <c r="O15" s="583"/>
      <c r="P15" s="583"/>
      <c r="Q15" s="583"/>
      <c r="R15" s="583"/>
      <c r="S15" s="583"/>
      <c r="T15" s="583"/>
      <c r="U15" s="583"/>
      <c r="V15" s="583"/>
      <c r="W15" s="583"/>
      <c r="X15" s="583"/>
      <c r="Y15" s="583"/>
      <c r="Z15" s="583"/>
      <c r="AA15" s="583"/>
      <c r="AB15" s="583"/>
      <c r="AC15" s="583"/>
      <c r="AD15" s="583"/>
      <c r="AE15" s="583"/>
      <c r="AF15" s="583"/>
      <c r="AG15" s="583"/>
      <c r="AI15" s="583"/>
      <c r="AJ15" s="621"/>
      <c r="AK15" s="621"/>
      <c r="AL15" s="621"/>
      <c r="AM15" s="621"/>
      <c r="AN15" s="621"/>
      <c r="AO15" s="621"/>
      <c r="AP15" s="621"/>
      <c r="AQ15" s="621"/>
      <c r="AR15" s="621"/>
      <c r="AS15" s="621"/>
      <c r="AT15" s="621"/>
      <c r="AU15" s="621"/>
      <c r="AV15" s="621"/>
      <c r="AW15" s="621"/>
      <c r="AX15" s="621"/>
      <c r="AY15" s="621"/>
      <c r="AZ15" s="621"/>
      <c r="BA15" s="621"/>
      <c r="BB15" s="621"/>
      <c r="BC15" s="621"/>
      <c r="BD15" s="621"/>
    </row>
    <row r="16" spans="1:56">
      <c r="A16" s="587" t="s">
        <v>107</v>
      </c>
      <c r="B16" s="587"/>
      <c r="C16" s="587"/>
      <c r="D16" s="583"/>
      <c r="E16" s="587"/>
      <c r="F16" s="593">
        <f>ROUND(F12/F14*100,4)</f>
        <v>5.3776999999999999</v>
      </c>
      <c r="G16" s="594" t="s">
        <v>108</v>
      </c>
      <c r="H16" s="594"/>
      <c r="I16" s="594" t="s">
        <v>7</v>
      </c>
      <c r="J16" s="593">
        <f>ROUND(J12/J14*100,4)</f>
        <v>5.7572000000000001</v>
      </c>
      <c r="K16" s="594" t="s">
        <v>108</v>
      </c>
      <c r="L16" s="595"/>
      <c r="M16" s="594"/>
      <c r="N16" s="593">
        <f>ROUND(N12/N14*100,4)</f>
        <v>5.7572000000000001</v>
      </c>
      <c r="O16" s="587" t="s">
        <v>108</v>
      </c>
      <c r="P16" s="583"/>
      <c r="Q16" s="583"/>
      <c r="R16" s="583"/>
      <c r="S16" s="583"/>
      <c r="T16" s="583"/>
      <c r="U16" s="583"/>
      <c r="V16" s="583"/>
      <c r="W16" s="583"/>
      <c r="X16" s="583"/>
      <c r="Y16" s="583"/>
      <c r="Z16" s="583"/>
      <c r="AA16" s="583"/>
      <c r="AB16" s="583"/>
      <c r="AC16" s="583"/>
      <c r="AD16" s="583"/>
      <c r="AE16" s="583"/>
      <c r="AF16" s="583"/>
      <c r="AG16" s="583"/>
      <c r="AI16" s="583"/>
      <c r="AJ16" s="621"/>
      <c r="AK16" s="621"/>
      <c r="AL16" s="621"/>
      <c r="AM16" s="621"/>
      <c r="AN16" s="621"/>
      <c r="AO16" s="621"/>
      <c r="AP16" s="621"/>
      <c r="AQ16" s="621"/>
      <c r="AR16" s="621"/>
      <c r="AS16" s="621"/>
      <c r="AT16" s="621"/>
      <c r="AU16" s="621"/>
      <c r="AV16" s="621"/>
      <c r="AW16" s="621"/>
      <c r="AX16" s="621"/>
      <c r="AY16" s="621"/>
      <c r="AZ16" s="621"/>
      <c r="BA16" s="621"/>
      <c r="BB16" s="621"/>
      <c r="BC16" s="621"/>
      <c r="BD16" s="621"/>
    </row>
    <row r="17" spans="1:56">
      <c r="A17" s="587"/>
      <c r="B17" s="587"/>
      <c r="C17" s="587"/>
      <c r="D17" s="583"/>
      <c r="E17" s="587"/>
      <c r="F17" s="587"/>
      <c r="G17" s="587"/>
      <c r="H17" s="587"/>
      <c r="I17" s="587"/>
      <c r="J17" s="587"/>
      <c r="K17" s="587"/>
      <c r="L17" s="587"/>
      <c r="M17" s="587"/>
      <c r="N17" s="583"/>
      <c r="O17" s="587"/>
      <c r="P17" s="583"/>
      <c r="Q17" s="583"/>
      <c r="R17" s="583"/>
      <c r="S17" s="583"/>
      <c r="T17" s="583"/>
      <c r="U17" s="583"/>
      <c r="V17" s="583"/>
      <c r="W17" s="583"/>
      <c r="X17" s="583"/>
      <c r="Y17" s="583"/>
      <c r="Z17" s="583"/>
      <c r="AA17" s="583"/>
      <c r="AB17" s="583"/>
      <c r="AC17" s="583"/>
      <c r="AD17" s="583"/>
      <c r="AE17" s="583"/>
      <c r="AF17" s="583"/>
      <c r="AG17" s="583"/>
      <c r="AI17" s="583"/>
      <c r="AJ17" s="621"/>
      <c r="AK17" s="621"/>
      <c r="AL17" s="621"/>
      <c r="AM17" s="621"/>
      <c r="AN17" s="621"/>
      <c r="AO17" s="621"/>
      <c r="AP17" s="621"/>
      <c r="AQ17" s="621"/>
      <c r="AR17" s="621"/>
      <c r="AS17" s="621"/>
      <c r="AT17" s="621"/>
      <c r="AU17" s="621"/>
      <c r="AV17" s="621"/>
      <c r="AW17" s="621"/>
      <c r="AX17" s="621"/>
      <c r="AY17" s="621"/>
      <c r="AZ17" s="621"/>
      <c r="BA17" s="621"/>
      <c r="BB17" s="621"/>
      <c r="BC17" s="621"/>
      <c r="BD17" s="621"/>
    </row>
    <row r="18" spans="1:56">
      <c r="A18" s="587"/>
      <c r="B18" s="587"/>
      <c r="C18" s="587"/>
      <c r="D18" s="583"/>
      <c r="E18" s="587"/>
      <c r="F18" s="587"/>
      <c r="G18" s="587"/>
      <c r="H18" s="587"/>
      <c r="I18" s="587"/>
      <c r="J18" s="587"/>
      <c r="K18" s="587"/>
      <c r="L18" s="587"/>
      <c r="M18" s="587"/>
      <c r="N18" s="583"/>
      <c r="O18" s="587"/>
      <c r="P18" s="583"/>
      <c r="Q18" s="583"/>
      <c r="R18" s="583"/>
      <c r="S18" s="583"/>
      <c r="T18" s="583"/>
      <c r="U18" s="583"/>
      <c r="V18" s="583"/>
      <c r="W18" s="583"/>
      <c r="X18" s="583"/>
      <c r="Y18" s="583"/>
      <c r="Z18" s="583"/>
      <c r="AA18" s="583"/>
      <c r="AB18" s="583"/>
      <c r="AC18" s="583"/>
      <c r="AD18" s="583"/>
      <c r="AE18" s="583"/>
      <c r="AF18" s="583"/>
      <c r="AG18" s="583"/>
      <c r="AI18" s="583"/>
      <c r="AJ18" s="621"/>
      <c r="AK18" s="621"/>
      <c r="AL18" s="621"/>
      <c r="AM18" s="621"/>
      <c r="AN18" s="621"/>
      <c r="AO18" s="621"/>
      <c r="AP18" s="621"/>
      <c r="AQ18" s="621"/>
      <c r="AR18" s="621"/>
      <c r="AS18" s="621"/>
      <c r="AT18" s="621"/>
      <c r="AU18" s="621"/>
      <c r="AV18" s="621"/>
      <c r="AW18" s="621"/>
      <c r="AX18" s="621"/>
      <c r="AY18" s="621"/>
      <c r="AZ18" s="621"/>
      <c r="BA18" s="621"/>
      <c r="BB18" s="621"/>
      <c r="BC18" s="621"/>
      <c r="BD18" s="621"/>
    </row>
    <row r="19" spans="1:56" ht="13.5" thickBot="1">
      <c r="A19" s="596"/>
      <c r="B19" s="596"/>
      <c r="C19" s="596"/>
      <c r="D19" s="597"/>
      <c r="E19" s="596"/>
      <c r="F19" s="596"/>
      <c r="G19" s="596"/>
      <c r="H19" s="596"/>
      <c r="I19" s="596"/>
      <c r="J19" s="596"/>
      <c r="K19" s="596"/>
      <c r="L19" s="596"/>
      <c r="M19" s="596"/>
      <c r="N19" s="597"/>
      <c r="O19" s="587"/>
      <c r="P19" s="598"/>
      <c r="Q19" s="583"/>
      <c r="R19" s="583"/>
      <c r="S19" s="583"/>
      <c r="T19" s="583"/>
      <c r="U19" s="583"/>
      <c r="V19" s="583"/>
      <c r="W19" s="583"/>
      <c r="X19" s="583"/>
      <c r="Y19" s="583"/>
      <c r="Z19" s="583"/>
      <c r="AA19" s="583"/>
      <c r="AB19" s="583"/>
      <c r="AC19" s="583"/>
      <c r="AD19" s="583"/>
      <c r="AE19" s="583"/>
      <c r="AF19" s="583"/>
      <c r="AG19" s="583"/>
      <c r="AI19" s="583"/>
      <c r="AJ19" s="621"/>
      <c r="AK19" s="621"/>
      <c r="AL19" s="621"/>
      <c r="AM19" s="621"/>
      <c r="AN19" s="621"/>
      <c r="AO19" s="621"/>
      <c r="AP19" s="621"/>
      <c r="AQ19" s="621"/>
      <c r="AR19" s="621"/>
      <c r="AS19" s="621"/>
      <c r="AT19" s="621"/>
      <c r="AU19" s="621"/>
      <c r="AV19" s="621"/>
      <c r="AW19" s="621"/>
      <c r="AX19" s="621"/>
      <c r="AY19" s="621"/>
      <c r="AZ19" s="621"/>
      <c r="BA19" s="621"/>
      <c r="BB19" s="621"/>
      <c r="BC19" s="621"/>
      <c r="BD19" s="621"/>
    </row>
    <row r="20" spans="1:56" ht="13.5" thickTop="1">
      <c r="A20" s="587"/>
      <c r="B20" s="587"/>
      <c r="C20" s="587"/>
      <c r="D20" s="583"/>
      <c r="E20" s="587"/>
      <c r="F20" s="587"/>
      <c r="G20" s="587"/>
      <c r="H20" s="587"/>
      <c r="I20" s="587"/>
      <c r="J20" s="587"/>
      <c r="K20" s="587"/>
      <c r="L20" s="587"/>
      <c r="M20" s="587"/>
      <c r="N20" s="583"/>
      <c r="O20" s="587"/>
      <c r="P20" s="583"/>
      <c r="Q20" s="583"/>
      <c r="R20" s="583"/>
      <c r="S20" s="583"/>
      <c r="T20" s="583"/>
      <c r="U20" s="583"/>
      <c r="V20" s="583"/>
      <c r="W20" s="583"/>
      <c r="X20" s="583"/>
      <c r="Y20" s="583"/>
      <c r="Z20" s="583"/>
      <c r="AA20" s="583"/>
      <c r="AB20" s="583"/>
      <c r="AC20" s="583"/>
      <c r="AD20" s="583"/>
      <c r="AE20" s="583"/>
      <c r="AF20" s="583"/>
      <c r="AG20" s="583"/>
      <c r="AI20" s="583"/>
      <c r="AJ20" s="621"/>
      <c r="AK20" s="621"/>
      <c r="AL20" s="621"/>
      <c r="AM20" s="621"/>
      <c r="AN20" s="621"/>
      <c r="AO20" s="621"/>
      <c r="AP20" s="621"/>
      <c r="AQ20" s="621"/>
      <c r="AR20" s="621"/>
      <c r="AS20" s="621"/>
      <c r="AT20" s="621"/>
      <c r="AU20" s="621"/>
      <c r="AV20" s="621"/>
      <c r="AW20" s="621"/>
      <c r="AX20" s="621"/>
      <c r="AY20" s="621"/>
      <c r="AZ20" s="621"/>
      <c r="BA20" s="621"/>
      <c r="BB20" s="621"/>
      <c r="BC20" s="621"/>
      <c r="BD20" s="621"/>
    </row>
    <row r="21" spans="1:56">
      <c r="A21" s="587" t="s">
        <v>425</v>
      </c>
      <c r="B21" s="587"/>
      <c r="C21" s="587"/>
      <c r="D21" s="583"/>
      <c r="E21" s="587"/>
      <c r="F21" s="587"/>
      <c r="G21" s="583"/>
      <c r="H21" s="583"/>
      <c r="I21" s="599" t="s">
        <v>426</v>
      </c>
      <c r="J21" s="583"/>
      <c r="K21" s="587"/>
      <c r="L21" s="587"/>
      <c r="M21" s="587"/>
      <c r="N21" s="583"/>
      <c r="O21" s="583"/>
      <c r="P21" s="583"/>
      <c r="Q21" s="583"/>
      <c r="R21" s="583"/>
      <c r="S21" s="583"/>
      <c r="T21" s="583"/>
      <c r="U21" s="583"/>
      <c r="V21" s="583"/>
      <c r="W21" s="583"/>
      <c r="X21" s="583"/>
      <c r="Y21" s="583"/>
      <c r="Z21" s="583"/>
      <c r="AA21" s="583"/>
      <c r="AB21" s="583"/>
      <c r="AC21" s="583"/>
      <c r="AD21" s="583"/>
      <c r="AE21" s="583"/>
      <c r="AF21" s="583"/>
      <c r="AG21" s="583"/>
      <c r="AI21" s="583"/>
      <c r="AJ21" s="621"/>
      <c r="AK21" s="621"/>
      <c r="AL21" s="621"/>
      <c r="AM21" s="621"/>
      <c r="AN21" s="621"/>
      <c r="AO21" s="621"/>
      <c r="AP21" s="621"/>
      <c r="AQ21" s="621"/>
      <c r="AR21" s="621"/>
      <c r="AS21" s="621"/>
      <c r="AT21" s="621"/>
      <c r="AU21" s="621"/>
      <c r="AV21" s="621"/>
      <c r="AW21" s="621"/>
      <c r="AX21" s="621"/>
      <c r="AY21" s="621"/>
      <c r="AZ21" s="621"/>
      <c r="BA21" s="621"/>
      <c r="BB21" s="621"/>
      <c r="BC21" s="621"/>
      <c r="BD21" s="621"/>
    </row>
    <row r="22" spans="1:56">
      <c r="A22" s="587" t="s">
        <v>109</v>
      </c>
      <c r="B22" s="587"/>
      <c r="C22" s="587"/>
      <c r="D22" s="583"/>
      <c r="E22" s="587"/>
      <c r="F22" s="587"/>
      <c r="G22" s="583"/>
      <c r="H22" s="583"/>
      <c r="I22" s="583"/>
      <c r="J22" s="583"/>
      <c r="K22" s="583"/>
      <c r="L22" s="583"/>
      <c r="M22" s="587"/>
      <c r="N22" s="583"/>
      <c r="O22" s="583"/>
      <c r="P22" s="583"/>
      <c r="Q22" s="583"/>
      <c r="R22" s="583"/>
      <c r="S22" s="583"/>
      <c r="T22" s="583"/>
      <c r="U22" s="583"/>
      <c r="V22" s="583"/>
      <c r="W22" s="583"/>
      <c r="X22" s="583"/>
      <c r="Y22" s="583"/>
      <c r="Z22" s="583"/>
      <c r="AA22" s="583"/>
      <c r="AB22" s="583"/>
      <c r="AC22" s="583"/>
      <c r="AD22" s="583"/>
      <c r="AE22" s="583"/>
      <c r="AF22" s="583"/>
      <c r="AG22" s="583"/>
      <c r="AI22" s="583"/>
      <c r="AJ22" s="621"/>
      <c r="AK22" s="621"/>
      <c r="AL22" s="621"/>
      <c r="AM22" s="621"/>
      <c r="AN22" s="621"/>
      <c r="AO22" s="621"/>
      <c r="AP22" s="621"/>
      <c r="AQ22" s="621"/>
      <c r="AR22" s="621"/>
      <c r="AS22" s="621"/>
      <c r="AT22" s="621"/>
      <c r="AU22" s="621"/>
      <c r="AV22" s="621"/>
      <c r="AW22" s="621"/>
      <c r="AX22" s="621"/>
      <c r="AY22" s="621"/>
      <c r="AZ22" s="621"/>
      <c r="BA22" s="621"/>
      <c r="BB22" s="621"/>
      <c r="BC22" s="621"/>
      <c r="BD22" s="621"/>
    </row>
    <row r="23" spans="1:56">
      <c r="A23" s="590" t="s">
        <v>110</v>
      </c>
      <c r="B23" s="590"/>
      <c r="C23" s="587"/>
      <c r="D23" s="583"/>
      <c r="E23" s="587"/>
      <c r="F23" s="587"/>
      <c r="G23" s="583"/>
      <c r="H23" s="583"/>
      <c r="I23" s="583"/>
      <c r="J23" s="583"/>
      <c r="K23" s="583"/>
      <c r="L23" s="588" t="s">
        <v>99</v>
      </c>
      <c r="M23" s="600"/>
      <c r="N23" s="588" t="s">
        <v>100</v>
      </c>
      <c r="O23" s="583"/>
      <c r="P23" s="583"/>
      <c r="Q23" s="583"/>
      <c r="R23" s="583"/>
      <c r="S23" s="583"/>
      <c r="T23" s="583"/>
      <c r="U23" s="583"/>
      <c r="V23" s="583"/>
      <c r="W23" s="583"/>
      <c r="X23" s="583"/>
      <c r="Y23" s="583"/>
      <c r="Z23" s="583"/>
      <c r="AA23" s="583"/>
      <c r="AB23" s="583"/>
      <c r="AC23" s="583"/>
      <c r="AD23" s="583"/>
      <c r="AE23" s="583"/>
      <c r="AF23" s="583"/>
      <c r="AG23" s="583"/>
      <c r="AI23" s="583"/>
      <c r="AJ23" s="621"/>
      <c r="AK23" s="621"/>
      <c r="AL23" s="621"/>
      <c r="AM23" s="621"/>
      <c r="AN23" s="621"/>
      <c r="AO23" s="621"/>
      <c r="AP23" s="621"/>
      <c r="AQ23" s="621"/>
      <c r="AR23" s="621"/>
      <c r="AS23" s="621"/>
      <c r="AT23" s="621"/>
      <c r="AU23" s="621"/>
      <c r="AV23" s="621"/>
      <c r="AW23" s="621"/>
      <c r="AX23" s="621"/>
      <c r="AY23" s="621"/>
      <c r="AZ23" s="621"/>
      <c r="BA23" s="621"/>
      <c r="BB23" s="621"/>
      <c r="BC23" s="621"/>
      <c r="BD23" s="621"/>
    </row>
    <row r="24" spans="1:56">
      <c r="A24" s="583"/>
      <c r="B24" s="587" t="s">
        <v>111</v>
      </c>
      <c r="C24" s="587"/>
      <c r="D24" s="593">
        <f>N171</f>
        <v>5.59</v>
      </c>
      <c r="E24" s="587" t="s">
        <v>108</v>
      </c>
      <c r="F24" s="583"/>
      <c r="G24" s="583"/>
      <c r="H24" s="583"/>
      <c r="I24" s="583"/>
      <c r="J24" s="583"/>
      <c r="K24" s="583"/>
      <c r="L24" s="601" t="s">
        <v>102</v>
      </c>
      <c r="M24" s="600"/>
      <c r="N24" s="601" t="s">
        <v>102</v>
      </c>
      <c r="O24" s="583"/>
      <c r="P24" s="583"/>
      <c r="Q24" s="583"/>
      <c r="R24" s="583"/>
      <c r="S24" s="583"/>
      <c r="T24" s="583"/>
      <c r="U24" s="583"/>
      <c r="V24" s="583"/>
      <c r="W24" s="583"/>
      <c r="X24" s="583"/>
      <c r="Y24" s="583"/>
      <c r="Z24" s="583"/>
      <c r="AA24" s="583"/>
      <c r="AB24" s="583"/>
      <c r="AC24" s="583"/>
      <c r="AD24" s="583"/>
      <c r="AE24" s="583"/>
      <c r="AF24" s="583"/>
      <c r="AG24" s="583"/>
      <c r="AI24" s="583"/>
      <c r="AJ24" s="621"/>
      <c r="AK24" s="621"/>
      <c r="AL24" s="621"/>
      <c r="AM24" s="621"/>
      <c r="AN24" s="621"/>
      <c r="AO24" s="621"/>
      <c r="AP24" s="621"/>
      <c r="AQ24" s="621"/>
      <c r="AR24" s="621"/>
      <c r="AS24" s="621"/>
      <c r="AT24" s="621"/>
      <c r="AU24" s="621"/>
      <c r="AV24" s="621"/>
      <c r="AW24" s="621"/>
      <c r="AX24" s="621"/>
      <c r="AY24" s="621"/>
      <c r="AZ24" s="621"/>
      <c r="BA24" s="621"/>
      <c r="BB24" s="621"/>
      <c r="BC24" s="621"/>
      <c r="BD24" s="621"/>
    </row>
    <row r="25" spans="1:56">
      <c r="A25" s="583"/>
      <c r="B25" s="587"/>
      <c r="C25" s="587"/>
      <c r="D25" s="594"/>
      <c r="E25" s="587"/>
      <c r="F25" s="583"/>
      <c r="G25" s="587" t="s">
        <v>112</v>
      </c>
      <c r="H25" s="583"/>
      <c r="I25" s="587"/>
      <c r="J25" s="587"/>
      <c r="K25" s="587"/>
      <c r="L25" s="583"/>
      <c r="M25" s="587"/>
      <c r="N25" s="583"/>
      <c r="O25" s="583"/>
      <c r="P25" s="583"/>
      <c r="Q25" s="583"/>
      <c r="R25" s="583"/>
      <c r="S25" s="583"/>
      <c r="T25" s="583"/>
      <c r="U25" s="583"/>
      <c r="V25" s="583"/>
      <c r="W25" s="583"/>
      <c r="X25" s="583"/>
      <c r="Y25" s="583"/>
      <c r="Z25" s="583"/>
      <c r="AA25" s="583"/>
      <c r="AB25" s="583"/>
      <c r="AC25" s="583"/>
      <c r="AD25" s="583"/>
      <c r="AE25" s="583"/>
      <c r="AF25" s="583"/>
      <c r="AG25" s="583"/>
      <c r="AI25" s="583"/>
      <c r="AJ25" s="621"/>
      <c r="AK25" s="621"/>
      <c r="AL25" s="621"/>
      <c r="AM25" s="621"/>
      <c r="AN25" s="621"/>
      <c r="AO25" s="621"/>
      <c r="AP25" s="621"/>
      <c r="AQ25" s="621"/>
      <c r="AR25" s="621"/>
      <c r="AS25" s="621"/>
      <c r="AT25" s="621"/>
      <c r="AU25" s="621"/>
      <c r="AV25" s="621"/>
      <c r="AW25" s="621"/>
      <c r="AX25" s="621"/>
      <c r="AY25" s="621"/>
      <c r="AZ25" s="621"/>
      <c r="BA25" s="621"/>
      <c r="BB25" s="621"/>
      <c r="BC25" s="621"/>
      <c r="BD25" s="621"/>
    </row>
    <row r="26" spans="1:56">
      <c r="A26" s="583"/>
      <c r="B26" s="587" t="s">
        <v>113</v>
      </c>
      <c r="C26" s="587"/>
      <c r="D26" s="593">
        <f>R171</f>
        <v>6.06</v>
      </c>
      <c r="E26" s="587" t="s">
        <v>108</v>
      </c>
      <c r="F26" s="583"/>
      <c r="G26" s="587" t="s">
        <v>114</v>
      </c>
      <c r="H26" s="583"/>
      <c r="I26" s="587"/>
      <c r="J26" s="587"/>
      <c r="K26" s="587"/>
      <c r="L26" s="593">
        <f>H203</f>
        <v>9.2497000000000007</v>
      </c>
      <c r="M26" s="587" t="s">
        <v>108</v>
      </c>
      <c r="N26" s="593">
        <f>H264</f>
        <v>9.2497000000000007</v>
      </c>
      <c r="O26" s="587" t="s">
        <v>108</v>
      </c>
      <c r="P26" s="602"/>
      <c r="Q26" s="583"/>
      <c r="R26" s="595"/>
      <c r="S26" s="583"/>
      <c r="T26" s="583"/>
      <c r="U26" s="583"/>
      <c r="V26" s="583"/>
      <c r="W26" s="583"/>
      <c r="X26" s="583"/>
      <c r="Y26" s="583"/>
      <c r="Z26" s="583"/>
      <c r="AA26" s="583"/>
      <c r="AB26" s="583"/>
      <c r="AC26" s="583"/>
      <c r="AD26" s="583"/>
      <c r="AE26" s="583"/>
      <c r="AF26" s="583"/>
      <c r="AG26" s="583"/>
      <c r="AI26" s="583"/>
      <c r="AJ26" s="621"/>
      <c r="AK26" s="621"/>
      <c r="AL26" s="621"/>
      <c r="AM26" s="621"/>
      <c r="AN26" s="621"/>
      <c r="AO26" s="621"/>
      <c r="AP26" s="621"/>
      <c r="AQ26" s="621"/>
      <c r="AR26" s="621"/>
      <c r="AS26" s="621"/>
      <c r="AT26" s="621"/>
      <c r="AU26" s="621"/>
      <c r="AV26" s="621"/>
      <c r="AW26" s="621"/>
      <c r="AX26" s="621"/>
      <c r="AY26" s="621"/>
      <c r="AZ26" s="621"/>
      <c r="BA26" s="621"/>
      <c r="BB26" s="621"/>
      <c r="BC26" s="621"/>
      <c r="BD26" s="621"/>
    </row>
    <row r="27" spans="1:56">
      <c r="A27" s="583"/>
      <c r="B27" s="587"/>
      <c r="C27" s="587"/>
      <c r="D27" s="594"/>
      <c r="E27" s="587"/>
      <c r="F27" s="583"/>
      <c r="G27" s="583"/>
      <c r="H27" s="583"/>
      <c r="I27" s="583"/>
      <c r="J27" s="583"/>
      <c r="K27" s="583"/>
      <c r="L27" s="583"/>
      <c r="M27" s="587"/>
      <c r="N27" s="583"/>
      <c r="O27" s="583"/>
      <c r="P27" s="583"/>
      <c r="Q27" s="583"/>
      <c r="R27" s="583"/>
      <c r="S27" s="583"/>
      <c r="T27" s="583"/>
      <c r="U27" s="583"/>
      <c r="V27" s="583"/>
      <c r="W27" s="583"/>
      <c r="X27" s="583"/>
      <c r="Y27" s="583"/>
      <c r="Z27" s="583"/>
      <c r="AA27" s="583"/>
      <c r="AB27" s="583"/>
      <c r="AC27" s="583"/>
      <c r="AD27" s="583"/>
      <c r="AE27" s="583"/>
      <c r="AF27" s="583"/>
      <c r="AG27" s="583"/>
      <c r="AI27" s="583"/>
      <c r="AJ27" s="621"/>
      <c r="AK27" s="621"/>
      <c r="AL27" s="621"/>
      <c r="AM27" s="621"/>
      <c r="AN27" s="621"/>
      <c r="AO27" s="621"/>
      <c r="AP27" s="621"/>
      <c r="AQ27" s="621"/>
      <c r="AR27" s="621"/>
      <c r="AS27" s="621"/>
      <c r="AT27" s="621"/>
      <c r="AU27" s="621"/>
      <c r="AV27" s="621"/>
      <c r="AW27" s="621"/>
      <c r="AX27" s="621"/>
      <c r="AY27" s="621"/>
      <c r="AZ27" s="621"/>
      <c r="BA27" s="621"/>
      <c r="BB27" s="621"/>
      <c r="BC27" s="621"/>
      <c r="BD27" s="621"/>
    </row>
    <row r="28" spans="1:56">
      <c r="A28" s="583"/>
      <c r="B28" s="587" t="s">
        <v>115</v>
      </c>
      <c r="C28" s="587"/>
      <c r="D28" s="593">
        <f>V171</f>
        <v>6.58</v>
      </c>
      <c r="E28" s="587" t="s">
        <v>108</v>
      </c>
      <c r="F28" s="583"/>
      <c r="G28" s="587" t="s">
        <v>116</v>
      </c>
      <c r="H28" s="583"/>
      <c r="I28" s="587"/>
      <c r="J28" s="587"/>
      <c r="K28" s="587"/>
      <c r="L28" s="583"/>
      <c r="M28" s="587"/>
      <c r="N28" s="583"/>
      <c r="O28" s="583"/>
      <c r="P28" s="583"/>
      <c r="Q28" s="583"/>
      <c r="R28" s="583"/>
      <c r="S28" s="583"/>
      <c r="T28" s="583"/>
      <c r="U28" s="583"/>
      <c r="V28" s="583"/>
      <c r="W28" s="583"/>
      <c r="X28" s="583"/>
      <c r="Y28" s="583"/>
      <c r="Z28" s="583"/>
      <c r="AA28" s="583"/>
      <c r="AB28" s="583"/>
      <c r="AC28" s="583"/>
      <c r="AD28" s="583"/>
      <c r="AE28" s="583"/>
      <c r="AF28" s="583"/>
      <c r="AG28" s="583"/>
      <c r="AI28" s="583"/>
      <c r="AJ28" s="621"/>
      <c r="AK28" s="621"/>
      <c r="AL28" s="621"/>
      <c r="AM28" s="621"/>
      <c r="AN28" s="621"/>
      <c r="AO28" s="621"/>
      <c r="AP28" s="621"/>
      <c r="AQ28" s="621"/>
      <c r="AR28" s="621"/>
      <c r="AS28" s="621"/>
      <c r="AT28" s="621"/>
      <c r="AU28" s="621"/>
      <c r="AV28" s="621"/>
      <c r="AW28" s="621"/>
      <c r="AX28" s="621"/>
      <c r="AY28" s="621"/>
      <c r="AZ28" s="621"/>
      <c r="BA28" s="621"/>
      <c r="BB28" s="621"/>
      <c r="BC28" s="621"/>
      <c r="BD28" s="621"/>
    </row>
    <row r="29" spans="1:56">
      <c r="A29" s="587"/>
      <c r="B29" s="587"/>
      <c r="C29" s="587"/>
      <c r="D29" s="587"/>
      <c r="E29" s="587"/>
      <c r="F29" s="587"/>
      <c r="G29" s="587" t="s">
        <v>114</v>
      </c>
      <c r="H29" s="587"/>
      <c r="I29" s="587"/>
      <c r="J29" s="587"/>
      <c r="K29" s="587"/>
      <c r="L29" s="593">
        <f>H230</f>
        <v>8.9091270753817131</v>
      </c>
      <c r="M29" s="587" t="s">
        <v>108</v>
      </c>
      <c r="N29" s="593">
        <f>H291</f>
        <v>8.9091270753817131</v>
      </c>
      <c r="O29" s="587" t="s">
        <v>108</v>
      </c>
      <c r="P29" s="583"/>
      <c r="Q29" s="583"/>
      <c r="R29" s="583"/>
      <c r="S29" s="583"/>
      <c r="T29" s="583"/>
      <c r="U29" s="583"/>
      <c r="V29" s="583"/>
      <c r="W29" s="583"/>
      <c r="X29" s="583"/>
      <c r="Y29" s="583"/>
      <c r="Z29" s="583"/>
      <c r="AA29" s="583"/>
      <c r="AB29" s="583"/>
      <c r="AC29" s="583"/>
      <c r="AD29" s="583"/>
      <c r="AE29" s="583"/>
      <c r="AF29" s="583"/>
      <c r="AG29" s="583"/>
      <c r="AI29" s="583"/>
      <c r="AJ29" s="621"/>
      <c r="AK29" s="621"/>
      <c r="AL29" s="621"/>
      <c r="AM29" s="621"/>
      <c r="AN29" s="621"/>
      <c r="AO29" s="621"/>
      <c r="AP29" s="621"/>
      <c r="AQ29" s="621"/>
      <c r="AR29" s="621"/>
      <c r="AS29" s="621"/>
      <c r="AT29" s="621"/>
      <c r="AU29" s="621"/>
      <c r="AV29" s="621"/>
      <c r="AW29" s="621"/>
      <c r="AX29" s="621"/>
      <c r="AY29" s="621"/>
      <c r="AZ29" s="621"/>
      <c r="BA29" s="621"/>
      <c r="BB29" s="621"/>
      <c r="BC29" s="621"/>
      <c r="BD29" s="621"/>
    </row>
    <row r="30" spans="1:56">
      <c r="A30" s="587"/>
      <c r="B30" s="587"/>
      <c r="C30" s="587"/>
      <c r="D30" s="587"/>
      <c r="E30" s="587"/>
      <c r="F30" s="587"/>
      <c r="G30" s="587"/>
      <c r="H30" s="587"/>
      <c r="I30" s="587"/>
      <c r="J30" s="587"/>
      <c r="K30" s="587"/>
      <c r="L30" s="587"/>
      <c r="M30" s="587"/>
      <c r="N30" s="583"/>
      <c r="O30" s="587"/>
      <c r="P30" s="583"/>
      <c r="Q30" s="583"/>
      <c r="R30" s="583"/>
      <c r="S30" s="583"/>
      <c r="T30" s="583"/>
      <c r="U30" s="583"/>
      <c r="V30" s="583"/>
      <c r="W30" s="583"/>
      <c r="X30" s="583"/>
      <c r="Y30" s="583"/>
      <c r="Z30" s="583"/>
      <c r="AA30" s="583"/>
      <c r="AB30" s="583"/>
      <c r="AC30" s="583"/>
      <c r="AD30" s="583"/>
      <c r="AE30" s="583"/>
      <c r="AF30" s="583"/>
      <c r="AG30" s="583"/>
      <c r="AI30" s="583"/>
      <c r="AJ30" s="621"/>
      <c r="AK30" s="621"/>
      <c r="AL30" s="621"/>
      <c r="AM30" s="621"/>
      <c r="AN30" s="621"/>
      <c r="AO30" s="621"/>
      <c r="AP30" s="621"/>
      <c r="AQ30" s="621"/>
      <c r="AR30" s="621"/>
      <c r="AS30" s="621"/>
      <c r="AT30" s="621"/>
      <c r="AU30" s="621"/>
      <c r="AV30" s="621"/>
      <c r="AW30" s="621"/>
      <c r="AX30" s="621"/>
      <c r="AY30" s="621"/>
      <c r="AZ30" s="621"/>
      <c r="BA30" s="621"/>
      <c r="BB30" s="621"/>
      <c r="BC30" s="621"/>
      <c r="BD30" s="621"/>
    </row>
    <row r="31" spans="1:56">
      <c r="A31" s="587"/>
      <c r="B31" s="587"/>
      <c r="C31" s="587" t="s">
        <v>7</v>
      </c>
      <c r="D31" s="587"/>
      <c r="E31" s="587"/>
      <c r="F31" s="587"/>
      <c r="G31" s="587"/>
      <c r="H31" s="587"/>
      <c r="I31" s="587"/>
      <c r="J31" s="587"/>
      <c r="K31" s="587"/>
      <c r="L31" s="587"/>
      <c r="M31" s="587"/>
      <c r="N31" s="583"/>
      <c r="O31" s="587"/>
      <c r="P31" s="583"/>
      <c r="Q31" s="583"/>
      <c r="R31" s="583"/>
      <c r="S31" s="583"/>
      <c r="T31" s="583"/>
      <c r="U31" s="583"/>
      <c r="V31" s="583"/>
      <c r="W31" s="583"/>
      <c r="X31" s="583"/>
      <c r="Y31" s="583"/>
      <c r="Z31" s="583"/>
      <c r="AA31" s="583"/>
      <c r="AB31" s="583"/>
      <c r="AC31" s="583"/>
      <c r="AD31" s="583"/>
      <c r="AE31" s="583"/>
      <c r="AF31" s="583"/>
      <c r="AG31" s="583"/>
      <c r="AI31" s="583"/>
      <c r="AJ31" s="621"/>
      <c r="AK31" s="621"/>
      <c r="AL31" s="621"/>
      <c r="AM31" s="621"/>
      <c r="AN31" s="621"/>
      <c r="AO31" s="621"/>
      <c r="AP31" s="621"/>
      <c r="AQ31" s="621"/>
      <c r="AR31" s="621"/>
      <c r="AS31" s="621"/>
      <c r="AT31" s="621"/>
      <c r="AU31" s="621"/>
      <c r="AV31" s="621"/>
      <c r="AW31" s="621"/>
      <c r="AX31" s="621"/>
      <c r="AY31" s="621"/>
      <c r="AZ31" s="621"/>
      <c r="BA31" s="621"/>
      <c r="BB31" s="621"/>
      <c r="BC31" s="621"/>
      <c r="BD31" s="621"/>
    </row>
    <row r="32" spans="1:56">
      <c r="A32" s="603" t="s">
        <v>117</v>
      </c>
      <c r="B32" s="604"/>
      <c r="C32" s="604"/>
      <c r="D32" s="604"/>
      <c r="E32" s="604"/>
      <c r="F32" s="604"/>
      <c r="G32" s="604"/>
      <c r="H32" s="604"/>
      <c r="I32" s="604"/>
      <c r="J32" s="604"/>
      <c r="K32" s="604"/>
      <c r="L32" s="605"/>
      <c r="M32" s="587"/>
      <c r="N32" s="583"/>
      <c r="O32" s="587"/>
      <c r="P32" s="583"/>
      <c r="Q32" s="583"/>
      <c r="R32" s="583"/>
      <c r="S32" s="583"/>
      <c r="T32" s="583"/>
      <c r="U32" s="583"/>
      <c r="V32" s="583"/>
      <c r="W32" s="583"/>
      <c r="X32" s="583"/>
      <c r="Y32" s="583"/>
      <c r="Z32" s="583"/>
      <c r="AA32" s="583"/>
      <c r="AB32" s="583"/>
      <c r="AC32" s="583"/>
      <c r="AD32" s="583"/>
      <c r="AE32" s="583"/>
      <c r="AF32" s="583"/>
      <c r="AG32" s="583"/>
      <c r="AI32" s="583"/>
      <c r="AJ32" s="621"/>
      <c r="AK32" s="621"/>
      <c r="AL32" s="621"/>
      <c r="AM32" s="621"/>
      <c r="AN32" s="621"/>
      <c r="AO32" s="621"/>
      <c r="AP32" s="621"/>
      <c r="AQ32" s="621"/>
      <c r="AR32" s="621"/>
      <c r="AS32" s="621"/>
      <c r="AT32" s="621"/>
      <c r="AU32" s="621"/>
      <c r="AV32" s="621"/>
      <c r="AW32" s="621"/>
      <c r="AX32" s="621"/>
      <c r="AY32" s="621"/>
      <c r="AZ32" s="621"/>
      <c r="BA32" s="621"/>
      <c r="BB32" s="621"/>
      <c r="BC32" s="621"/>
      <c r="BD32" s="621"/>
    </row>
    <row r="33" spans="1:56">
      <c r="A33" s="606"/>
      <c r="B33" s="587"/>
      <c r="C33" s="587"/>
      <c r="D33" s="587"/>
      <c r="E33" s="587"/>
      <c r="F33" s="587"/>
      <c r="G33" s="587"/>
      <c r="H33" s="587"/>
      <c r="I33" s="587"/>
      <c r="J33" s="587"/>
      <c r="K33" s="587"/>
      <c r="L33" s="607"/>
      <c r="M33" s="587"/>
      <c r="N33" s="583"/>
      <c r="O33" s="587"/>
      <c r="P33" s="583"/>
      <c r="Q33" s="583"/>
      <c r="R33" s="583"/>
      <c r="S33" s="583"/>
      <c r="T33" s="583"/>
      <c r="U33" s="583"/>
      <c r="V33" s="583"/>
      <c r="W33" s="583"/>
      <c r="X33" s="583"/>
      <c r="Y33" s="583"/>
      <c r="Z33" s="583"/>
      <c r="AA33" s="583"/>
      <c r="AB33" s="583"/>
      <c r="AC33" s="583"/>
      <c r="AD33" s="583"/>
      <c r="AE33" s="583"/>
      <c r="AF33" s="583"/>
      <c r="AG33" s="583"/>
      <c r="AI33" s="583"/>
      <c r="AJ33" s="621"/>
      <c r="AK33" s="621"/>
      <c r="AL33" s="621"/>
      <c r="AM33" s="621"/>
      <c r="AN33" s="621"/>
      <c r="AO33" s="621"/>
      <c r="AP33" s="621"/>
      <c r="AQ33" s="621"/>
      <c r="AR33" s="621"/>
      <c r="AS33" s="621"/>
      <c r="AT33" s="621"/>
      <c r="AU33" s="621"/>
      <c r="AV33" s="621"/>
      <c r="AW33" s="621"/>
      <c r="AX33" s="621"/>
      <c r="AY33" s="621"/>
      <c r="AZ33" s="621"/>
      <c r="BA33" s="621"/>
      <c r="BB33" s="621"/>
      <c r="BC33" s="621"/>
      <c r="BD33" s="621"/>
    </row>
    <row r="34" spans="1:56">
      <c r="A34" s="606"/>
      <c r="B34" s="587" t="s">
        <v>118</v>
      </c>
      <c r="C34" s="587"/>
      <c r="D34" s="587"/>
      <c r="E34" s="587"/>
      <c r="F34" s="587"/>
      <c r="G34" s="587"/>
      <c r="H34" s="587"/>
      <c r="I34" s="587"/>
      <c r="J34" s="587"/>
      <c r="K34" s="587"/>
      <c r="L34" s="607"/>
      <c r="M34" s="587"/>
      <c r="N34" s="583"/>
      <c r="O34" s="587"/>
      <c r="P34" s="583"/>
      <c r="Q34" s="583"/>
      <c r="R34" s="583"/>
      <c r="S34" s="583"/>
      <c r="T34" s="583"/>
      <c r="U34" s="583"/>
      <c r="V34" s="583"/>
      <c r="W34" s="583"/>
      <c r="X34" s="583"/>
      <c r="Y34" s="583"/>
      <c r="Z34" s="583"/>
      <c r="AA34" s="583"/>
      <c r="AB34" s="583"/>
      <c r="AC34" s="583"/>
      <c r="AD34" s="583"/>
      <c r="AE34" s="583"/>
      <c r="AF34" s="583"/>
      <c r="AG34" s="583"/>
      <c r="AI34" s="583"/>
      <c r="AJ34" s="621"/>
      <c r="AK34" s="621"/>
      <c r="AL34" s="621"/>
      <c r="AM34" s="621"/>
      <c r="AN34" s="621"/>
      <c r="AO34" s="621"/>
      <c r="AP34" s="621"/>
      <c r="AQ34" s="621"/>
      <c r="AR34" s="621"/>
      <c r="AS34" s="621"/>
      <c r="AT34" s="621"/>
      <c r="AU34" s="621"/>
      <c r="AV34" s="621"/>
      <c r="AW34" s="621"/>
      <c r="AX34" s="621"/>
      <c r="AY34" s="621"/>
      <c r="AZ34" s="621"/>
      <c r="BA34" s="621"/>
      <c r="BB34" s="621"/>
      <c r="BC34" s="621"/>
      <c r="BD34" s="621"/>
    </row>
    <row r="35" spans="1:56">
      <c r="A35" s="606"/>
      <c r="B35" s="587" t="s">
        <v>427</v>
      </c>
      <c r="C35" s="587"/>
      <c r="D35" s="587"/>
      <c r="E35" s="587"/>
      <c r="F35" s="587"/>
      <c r="G35" s="587"/>
      <c r="H35" s="587"/>
      <c r="I35" s="587"/>
      <c r="J35" s="587"/>
      <c r="K35" s="587"/>
      <c r="L35" s="607"/>
      <c r="M35" s="587"/>
      <c r="N35" s="583"/>
      <c r="O35" s="587"/>
      <c r="P35" s="583"/>
      <c r="Q35" s="583"/>
      <c r="R35" s="583"/>
      <c r="S35" s="583"/>
      <c r="T35" s="583"/>
      <c r="U35" s="583"/>
      <c r="V35" s="583"/>
      <c r="W35" s="583"/>
      <c r="X35" s="583"/>
      <c r="Y35" s="583"/>
      <c r="Z35" s="583"/>
      <c r="AA35" s="583"/>
      <c r="AB35" s="583"/>
      <c r="AC35" s="583"/>
      <c r="AD35" s="583"/>
      <c r="AE35" s="583"/>
      <c r="AF35" s="583"/>
      <c r="AG35" s="583"/>
      <c r="AI35" s="583"/>
      <c r="AJ35" s="621"/>
      <c r="AK35" s="621"/>
      <c r="AL35" s="621"/>
      <c r="AM35" s="621"/>
      <c r="AN35" s="621"/>
      <c r="AO35" s="621"/>
      <c r="AP35" s="621"/>
      <c r="AQ35" s="621"/>
      <c r="AR35" s="621"/>
      <c r="AS35" s="621"/>
      <c r="AT35" s="621"/>
      <c r="AU35" s="621"/>
      <c r="AV35" s="621"/>
      <c r="AW35" s="621"/>
      <c r="AX35" s="621"/>
      <c r="AY35" s="621"/>
      <c r="AZ35" s="621"/>
      <c r="BA35" s="621"/>
      <c r="BB35" s="621"/>
      <c r="BC35" s="621"/>
      <c r="BD35" s="621"/>
    </row>
    <row r="36" spans="1:56">
      <c r="A36" s="606"/>
      <c r="B36" s="587" t="s">
        <v>119</v>
      </c>
      <c r="C36" s="587"/>
      <c r="D36" s="587"/>
      <c r="E36" s="587"/>
      <c r="F36" s="587"/>
      <c r="G36" s="587"/>
      <c r="H36" s="587"/>
      <c r="I36" s="587"/>
      <c r="J36" s="587"/>
      <c r="K36" s="587"/>
      <c r="L36" s="607"/>
      <c r="M36" s="587"/>
      <c r="N36" s="583"/>
      <c r="O36" s="587"/>
      <c r="P36" s="583"/>
      <c r="Q36" s="583"/>
      <c r="R36" s="583"/>
      <c r="S36" s="583"/>
      <c r="T36" s="583"/>
      <c r="U36" s="583"/>
      <c r="V36" s="583"/>
      <c r="W36" s="583"/>
      <c r="X36" s="583"/>
      <c r="Y36" s="583"/>
      <c r="Z36" s="583"/>
      <c r="AA36" s="583"/>
      <c r="AB36" s="583"/>
      <c r="AC36" s="583"/>
      <c r="AD36" s="583"/>
      <c r="AE36" s="583"/>
      <c r="AF36" s="583"/>
      <c r="AG36" s="583"/>
      <c r="AI36" s="583"/>
      <c r="AJ36" s="621"/>
      <c r="AK36" s="621"/>
      <c r="AL36" s="621"/>
      <c r="AM36" s="621"/>
      <c r="AN36" s="621"/>
      <c r="AO36" s="621"/>
      <c r="AP36" s="621"/>
      <c r="AQ36" s="621"/>
      <c r="AR36" s="621"/>
      <c r="AS36" s="621"/>
      <c r="AT36" s="621"/>
      <c r="AU36" s="621"/>
      <c r="AV36" s="621"/>
      <c r="AW36" s="621"/>
      <c r="AX36" s="621"/>
      <c r="AY36" s="621"/>
      <c r="AZ36" s="621"/>
      <c r="BA36" s="621"/>
      <c r="BB36" s="621"/>
      <c r="BC36" s="621"/>
      <c r="BD36" s="621"/>
    </row>
    <row r="37" spans="1:56">
      <c r="A37" s="606"/>
      <c r="B37" s="587" t="s">
        <v>428</v>
      </c>
      <c r="C37" s="587"/>
      <c r="D37" s="587"/>
      <c r="E37" s="587"/>
      <c r="F37" s="587"/>
      <c r="G37" s="587"/>
      <c r="H37" s="587"/>
      <c r="I37" s="587"/>
      <c r="J37" s="587"/>
      <c r="K37" s="587"/>
      <c r="L37" s="607"/>
      <c r="M37" s="587"/>
      <c r="N37" s="583"/>
      <c r="O37" s="587"/>
      <c r="P37" s="583"/>
      <c r="Q37" s="583"/>
      <c r="R37" s="583"/>
      <c r="S37" s="583"/>
      <c r="T37" s="583"/>
      <c r="U37" s="583"/>
      <c r="V37" s="583"/>
      <c r="W37" s="583"/>
      <c r="X37" s="583"/>
      <c r="Y37" s="583"/>
      <c r="Z37" s="583"/>
      <c r="AA37" s="583"/>
      <c r="AB37" s="583"/>
      <c r="AC37" s="583"/>
      <c r="AD37" s="583"/>
      <c r="AE37" s="583"/>
      <c r="AF37" s="583"/>
      <c r="AG37" s="583"/>
      <c r="AI37" s="583"/>
      <c r="AJ37" s="621"/>
      <c r="AK37" s="621"/>
      <c r="AL37" s="621"/>
      <c r="AM37" s="621"/>
      <c r="AN37" s="621"/>
      <c r="AO37" s="621"/>
      <c r="AP37" s="621"/>
      <c r="AQ37" s="621"/>
      <c r="AR37" s="621"/>
      <c r="AS37" s="621"/>
      <c r="AT37" s="621"/>
      <c r="AU37" s="621"/>
      <c r="AV37" s="621"/>
      <c r="AW37" s="621"/>
      <c r="AX37" s="621"/>
      <c r="AY37" s="621"/>
      <c r="AZ37" s="621"/>
      <c r="BA37" s="621"/>
      <c r="BB37" s="621"/>
      <c r="BC37" s="621"/>
      <c r="BD37" s="621"/>
    </row>
    <row r="38" spans="1:56">
      <c r="A38" s="606"/>
      <c r="B38" s="587"/>
      <c r="C38" s="587"/>
      <c r="D38" s="587"/>
      <c r="E38" s="587"/>
      <c r="F38" s="587"/>
      <c r="G38" s="587"/>
      <c r="H38" s="587"/>
      <c r="I38" s="587"/>
      <c r="J38" s="587"/>
      <c r="K38" s="587"/>
      <c r="L38" s="607"/>
      <c r="M38" s="587"/>
      <c r="N38" s="583"/>
      <c r="O38" s="587"/>
      <c r="P38" s="583"/>
      <c r="Q38" s="583"/>
      <c r="R38" s="583"/>
      <c r="S38" s="583"/>
      <c r="T38" s="583"/>
      <c r="U38" s="583"/>
      <c r="V38" s="583"/>
      <c r="W38" s="583"/>
      <c r="X38" s="583"/>
      <c r="Y38" s="583"/>
      <c r="Z38" s="583"/>
      <c r="AA38" s="583"/>
      <c r="AB38" s="583"/>
      <c r="AC38" s="583"/>
      <c r="AD38" s="583"/>
      <c r="AE38" s="583"/>
      <c r="AF38" s="583"/>
      <c r="AG38" s="583"/>
      <c r="AI38" s="583"/>
      <c r="AJ38" s="621"/>
      <c r="AK38" s="621"/>
      <c r="AL38" s="621"/>
      <c r="AM38" s="621"/>
      <c r="AN38" s="621"/>
      <c r="AO38" s="621"/>
      <c r="AP38" s="621"/>
      <c r="AQ38" s="621"/>
      <c r="AR38" s="621"/>
      <c r="AS38" s="621"/>
      <c r="AT38" s="621"/>
      <c r="AU38" s="621"/>
      <c r="AV38" s="621"/>
      <c r="AW38" s="621"/>
      <c r="AX38" s="621"/>
      <c r="AY38" s="621"/>
      <c r="AZ38" s="621"/>
      <c r="BA38" s="621"/>
      <c r="BB38" s="621"/>
      <c r="BC38" s="621"/>
      <c r="BD38" s="621"/>
    </row>
    <row r="39" spans="1:56">
      <c r="A39" s="136" t="s">
        <v>2675</v>
      </c>
      <c r="B39" s="587"/>
      <c r="C39" s="587"/>
      <c r="D39" s="587"/>
      <c r="E39" s="587"/>
      <c r="F39" s="587"/>
      <c r="G39" s="587"/>
      <c r="H39" s="587"/>
      <c r="I39" s="587"/>
      <c r="J39" s="587"/>
      <c r="K39" s="587"/>
      <c r="L39" s="607"/>
      <c r="M39" s="587"/>
      <c r="N39" s="583"/>
      <c r="O39" s="587"/>
      <c r="P39" s="583"/>
      <c r="Q39" s="583"/>
      <c r="R39" s="583"/>
      <c r="S39" s="583"/>
      <c r="T39" s="583"/>
      <c r="U39" s="583"/>
      <c r="V39" s="583"/>
      <c r="W39" s="583"/>
      <c r="X39" s="583"/>
      <c r="Y39" s="583"/>
      <c r="Z39" s="583"/>
      <c r="AA39" s="583"/>
      <c r="AB39" s="583"/>
      <c r="AC39" s="583"/>
      <c r="AD39" s="583"/>
      <c r="AE39" s="583"/>
      <c r="AF39" s="583"/>
      <c r="AG39" s="583"/>
      <c r="AI39" s="583"/>
      <c r="AJ39" s="621"/>
      <c r="AK39" s="621"/>
      <c r="AL39" s="621"/>
      <c r="AM39" s="621"/>
      <c r="AN39" s="621"/>
      <c r="AO39" s="621"/>
      <c r="AP39" s="621"/>
      <c r="AQ39" s="621"/>
      <c r="AR39" s="621"/>
      <c r="AS39" s="621"/>
      <c r="AT39" s="621"/>
      <c r="AU39" s="621"/>
      <c r="AV39" s="621"/>
      <c r="AW39" s="621"/>
      <c r="AX39" s="621"/>
      <c r="AY39" s="621"/>
      <c r="AZ39" s="621"/>
      <c r="BA39" s="621"/>
      <c r="BB39" s="621"/>
      <c r="BC39" s="621"/>
      <c r="BD39" s="621"/>
    </row>
    <row r="40" spans="1:56">
      <c r="A40" s="603" t="s">
        <v>424</v>
      </c>
      <c r="B40" s="604"/>
      <c r="C40" s="587"/>
      <c r="D40" s="587"/>
      <c r="E40" s="604" t="s">
        <v>120</v>
      </c>
      <c r="F40" s="604"/>
      <c r="G40" s="604"/>
      <c r="H40" s="604"/>
      <c r="I40" s="608"/>
      <c r="J40" s="583"/>
      <c r="K40" s="608"/>
      <c r="L40" s="609" t="s">
        <v>121</v>
      </c>
      <c r="M40" s="587"/>
      <c r="N40" s="583"/>
      <c r="O40" s="587"/>
      <c r="P40" s="583"/>
      <c r="Q40" s="583"/>
      <c r="R40" s="583"/>
      <c r="S40" s="583"/>
      <c r="T40" s="583"/>
      <c r="U40" s="583"/>
      <c r="V40" s="583"/>
      <c r="W40" s="583"/>
      <c r="X40" s="583"/>
      <c r="Y40" s="583"/>
      <c r="Z40" s="583"/>
      <c r="AA40" s="583"/>
      <c r="AB40" s="583"/>
      <c r="AC40" s="583"/>
      <c r="AD40" s="583"/>
      <c r="AE40" s="583"/>
      <c r="AF40" s="583"/>
      <c r="AG40" s="583"/>
      <c r="AI40" s="583"/>
      <c r="AJ40" s="621"/>
      <c r="AK40" s="621"/>
      <c r="AL40" s="621"/>
      <c r="AM40" s="621"/>
      <c r="AN40" s="621"/>
      <c r="AO40" s="621"/>
      <c r="AP40" s="621"/>
      <c r="AQ40" s="621"/>
      <c r="AR40" s="621"/>
      <c r="AS40" s="621"/>
      <c r="AT40" s="621"/>
      <c r="AU40" s="621"/>
      <c r="AV40" s="621"/>
      <c r="AW40" s="621"/>
      <c r="AX40" s="621"/>
      <c r="AY40" s="621"/>
      <c r="AZ40" s="621"/>
      <c r="BA40" s="621"/>
      <c r="BB40" s="621"/>
      <c r="BC40" s="621"/>
      <c r="BD40" s="621"/>
    </row>
    <row r="41" spans="1:56">
      <c r="A41" s="610"/>
      <c r="B41" s="590"/>
      <c r="C41" s="590"/>
      <c r="D41" s="590"/>
      <c r="E41" s="590"/>
      <c r="F41" s="590"/>
      <c r="G41" s="590"/>
      <c r="H41" s="590"/>
      <c r="I41" s="590"/>
      <c r="J41" s="590"/>
      <c r="K41" s="590"/>
      <c r="L41" s="611"/>
      <c r="M41" s="587"/>
      <c r="N41" s="612" t="s">
        <v>122</v>
      </c>
      <c r="O41" s="587"/>
      <c r="P41" s="583"/>
      <c r="Q41" s="583"/>
      <c r="R41" s="583"/>
      <c r="S41" s="583"/>
      <c r="T41" s="583"/>
      <c r="U41" s="583"/>
      <c r="V41" s="583"/>
      <c r="W41" s="583"/>
      <c r="X41" s="583"/>
      <c r="Y41" s="583"/>
      <c r="Z41" s="583"/>
      <c r="AA41" s="583"/>
      <c r="AB41" s="583"/>
      <c r="AC41" s="583"/>
      <c r="AD41" s="583"/>
      <c r="AE41" s="583"/>
      <c r="AF41" s="583"/>
      <c r="AG41" s="583"/>
      <c r="AI41" s="583"/>
      <c r="AJ41" s="621"/>
      <c r="AK41" s="621"/>
      <c r="AL41" s="621"/>
      <c r="AM41" s="621"/>
      <c r="AN41" s="621"/>
      <c r="AO41" s="621"/>
      <c r="AP41" s="621"/>
      <c r="AQ41" s="621"/>
      <c r="AR41" s="621"/>
      <c r="AS41" s="621"/>
      <c r="AT41" s="621"/>
      <c r="AU41" s="621"/>
      <c r="AV41" s="621"/>
      <c r="AW41" s="621"/>
      <c r="AX41" s="621"/>
      <c r="AY41" s="621"/>
      <c r="AZ41" s="621"/>
      <c r="BA41" s="621"/>
      <c r="BB41" s="621"/>
      <c r="BC41" s="621"/>
      <c r="BD41" s="621"/>
    </row>
    <row r="42" spans="1:56">
      <c r="AI42" s="583"/>
      <c r="AJ42" s="621"/>
      <c r="AK42" s="621"/>
      <c r="AL42" s="621"/>
      <c r="AM42" s="621"/>
      <c r="AN42" s="621"/>
      <c r="AO42" s="621"/>
      <c r="AP42" s="621"/>
      <c r="AQ42" s="621"/>
      <c r="AR42" s="621"/>
      <c r="AS42" s="621"/>
      <c r="AT42" s="621"/>
      <c r="AU42" s="621"/>
      <c r="AV42" s="621"/>
      <c r="AW42" s="621"/>
      <c r="AX42" s="621"/>
      <c r="AY42" s="621"/>
      <c r="AZ42" s="621"/>
      <c r="BA42" s="621"/>
      <c r="BB42" s="621"/>
      <c r="BC42" s="621"/>
      <c r="BD42" s="621"/>
    </row>
    <row r="43" spans="1:56">
      <c r="AI43" s="583"/>
      <c r="AJ43" s="621"/>
      <c r="AK43" s="621"/>
      <c r="AL43" s="621"/>
      <c r="AM43" s="621"/>
      <c r="AN43" s="621"/>
      <c r="AO43" s="621"/>
      <c r="AP43" s="621"/>
      <c r="AQ43" s="621"/>
      <c r="AR43" s="621"/>
      <c r="AS43" s="621"/>
      <c r="AT43" s="621"/>
      <c r="AU43" s="621"/>
      <c r="AV43" s="621"/>
      <c r="AW43" s="621"/>
      <c r="AX43" s="621"/>
      <c r="AY43" s="621"/>
      <c r="AZ43" s="621"/>
      <c r="BA43" s="621"/>
      <c r="BB43" s="621"/>
      <c r="BC43" s="621"/>
      <c r="BD43" s="621"/>
    </row>
    <row r="44" spans="1:56">
      <c r="AI44" s="583"/>
      <c r="AJ44" s="621"/>
      <c r="AK44" s="621"/>
      <c r="AL44" s="621"/>
      <c r="AM44" s="621"/>
      <c r="AN44" s="621"/>
      <c r="AO44" s="621"/>
      <c r="AP44" s="621"/>
      <c r="AQ44" s="621"/>
      <c r="AR44" s="621"/>
      <c r="AS44" s="621"/>
      <c r="AT44" s="621"/>
      <c r="AU44" s="621"/>
      <c r="AV44" s="621"/>
      <c r="AW44" s="621"/>
      <c r="AX44" s="621"/>
      <c r="AY44" s="621"/>
      <c r="AZ44" s="621"/>
      <c r="BA44" s="621"/>
      <c r="BB44" s="621"/>
      <c r="BC44" s="621"/>
      <c r="BD44" s="621"/>
    </row>
    <row r="45" spans="1:56">
      <c r="A45" s="580" t="s">
        <v>204</v>
      </c>
      <c r="B45" s="581"/>
      <c r="C45" s="581"/>
      <c r="D45" s="581"/>
      <c r="E45" s="581"/>
      <c r="F45" s="581"/>
      <c r="G45" s="582"/>
      <c r="H45" s="613"/>
      <c r="I45" s="581"/>
      <c r="J45" s="581"/>
      <c r="K45" s="581"/>
      <c r="L45" s="581"/>
      <c r="M45" s="581"/>
      <c r="N45" s="581"/>
      <c r="O45" s="581"/>
      <c r="P45" s="581"/>
      <c r="Q45" s="582"/>
      <c r="R45" s="582"/>
      <c r="S45" s="583"/>
      <c r="T45" s="612" t="s">
        <v>123</v>
      </c>
      <c r="U45" s="583"/>
      <c r="V45" s="583"/>
      <c r="W45" s="583"/>
      <c r="X45" s="583"/>
      <c r="Y45" s="583"/>
      <c r="Z45" s="583"/>
      <c r="AA45" s="583"/>
      <c r="AB45" s="583"/>
      <c r="AC45" s="583"/>
      <c r="AD45" s="583"/>
      <c r="AE45" s="583"/>
      <c r="AF45" s="583"/>
      <c r="AG45" s="583"/>
      <c r="AI45" s="583"/>
      <c r="AJ45" s="621"/>
      <c r="AK45" s="621"/>
      <c r="AL45" s="621"/>
      <c r="AM45" s="621"/>
      <c r="AN45" s="621"/>
      <c r="AO45" s="621"/>
      <c r="AP45" s="621"/>
      <c r="AQ45" s="621"/>
      <c r="AR45" s="621"/>
      <c r="AS45" s="621"/>
      <c r="AT45" s="621"/>
      <c r="AU45" s="621"/>
      <c r="AV45" s="621"/>
      <c r="AW45" s="621"/>
      <c r="AX45" s="621"/>
      <c r="AY45" s="621"/>
      <c r="AZ45" s="621"/>
      <c r="BA45" s="621"/>
      <c r="BB45" s="621"/>
      <c r="BC45" s="621"/>
      <c r="BD45" s="621"/>
    </row>
    <row r="46" spans="1:56">
      <c r="A46" s="580" t="s">
        <v>429</v>
      </c>
      <c r="B46" s="581"/>
      <c r="C46" s="581"/>
      <c r="D46" s="581"/>
      <c r="E46" s="581"/>
      <c r="F46" s="581"/>
      <c r="G46" s="581"/>
      <c r="H46" s="613"/>
      <c r="I46" s="581"/>
      <c r="J46" s="581"/>
      <c r="K46" s="581"/>
      <c r="L46" s="581"/>
      <c r="M46" s="581"/>
      <c r="N46" s="581"/>
      <c r="O46" s="581"/>
      <c r="P46" s="582"/>
      <c r="Q46" s="582"/>
      <c r="R46" s="582"/>
      <c r="S46" s="583"/>
      <c r="T46" s="581"/>
      <c r="U46" s="583"/>
      <c r="V46" s="583"/>
      <c r="W46" s="583"/>
      <c r="X46" s="583"/>
      <c r="Y46" s="583"/>
      <c r="Z46" s="583"/>
      <c r="AA46" s="583"/>
      <c r="AB46" s="583"/>
      <c r="AC46" s="583"/>
      <c r="AD46" s="583"/>
      <c r="AE46" s="583"/>
      <c r="AF46" s="583"/>
      <c r="AG46" s="583"/>
      <c r="AI46" s="583"/>
      <c r="AJ46" s="621"/>
      <c r="AK46" s="621"/>
      <c r="AL46" s="621"/>
      <c r="AM46" s="621"/>
      <c r="AN46" s="621"/>
      <c r="AO46" s="621"/>
      <c r="AP46" s="621"/>
      <c r="AQ46" s="621"/>
      <c r="AR46" s="621"/>
      <c r="AS46" s="621"/>
      <c r="AT46" s="621"/>
      <c r="AU46" s="621"/>
      <c r="AV46" s="621"/>
      <c r="AW46" s="621"/>
      <c r="AX46" s="621"/>
      <c r="AY46" s="621"/>
      <c r="AZ46" s="621"/>
      <c r="BA46" s="621"/>
      <c r="BB46" s="621"/>
      <c r="BC46" s="621"/>
      <c r="BD46" s="621"/>
    </row>
    <row r="47" spans="1:56">
      <c r="A47" s="614" t="str">
        <f>A3</f>
        <v>December 2022</v>
      </c>
      <c r="B47" s="581"/>
      <c r="C47" s="581"/>
      <c r="D47" s="581"/>
      <c r="E47" s="581"/>
      <c r="F47" s="581"/>
      <c r="G47" s="581"/>
      <c r="H47" s="580"/>
      <c r="I47" s="582"/>
      <c r="J47" s="581"/>
      <c r="K47" s="581"/>
      <c r="L47" s="581"/>
      <c r="M47" s="581"/>
      <c r="N47" s="581"/>
      <c r="O47" s="581"/>
      <c r="P47" s="581"/>
      <c r="Q47" s="582"/>
      <c r="R47" s="582"/>
      <c r="S47" s="615"/>
      <c r="T47" s="615"/>
      <c r="U47" s="615"/>
      <c r="V47" s="583"/>
      <c r="W47" s="583"/>
      <c r="X47" s="583"/>
      <c r="Y47" s="583"/>
      <c r="Z47" s="583"/>
      <c r="AA47" s="583"/>
      <c r="AB47" s="583"/>
      <c r="AC47" s="583"/>
      <c r="AD47" s="583"/>
      <c r="AE47" s="583"/>
      <c r="AF47" s="583"/>
      <c r="AG47" s="583"/>
      <c r="AI47" s="583"/>
      <c r="AJ47" s="621"/>
      <c r="AK47" s="621"/>
      <c r="AL47" s="621"/>
      <c r="AM47" s="621"/>
      <c r="AN47" s="621"/>
      <c r="AO47" s="621"/>
      <c r="AP47" s="621"/>
      <c r="AQ47" s="621"/>
      <c r="AR47" s="621"/>
      <c r="AS47" s="621"/>
      <c r="AT47" s="621"/>
      <c r="AU47" s="621"/>
      <c r="AV47" s="621"/>
      <c r="AW47" s="621"/>
      <c r="AX47" s="621"/>
      <c r="AY47" s="621"/>
      <c r="AZ47" s="621"/>
      <c r="BA47" s="621"/>
      <c r="BB47" s="621"/>
      <c r="BC47" s="621"/>
      <c r="BD47" s="621"/>
    </row>
    <row r="48" spans="1:56">
      <c r="A48" s="614" t="str">
        <f>A4</f>
        <v>(In $ Thousands)</v>
      </c>
      <c r="B48" s="581"/>
      <c r="C48" s="581"/>
      <c r="D48" s="581"/>
      <c r="E48" s="581"/>
      <c r="F48" s="581"/>
      <c r="G48" s="581"/>
      <c r="H48" s="580"/>
      <c r="I48" s="582"/>
      <c r="J48" s="581"/>
      <c r="K48" s="581"/>
      <c r="L48" s="581"/>
      <c r="M48" s="581"/>
      <c r="N48" s="581"/>
      <c r="O48" s="581"/>
      <c r="P48" s="581"/>
      <c r="Q48" s="582"/>
      <c r="R48" s="582"/>
      <c r="S48" s="615"/>
      <c r="T48" s="615"/>
      <c r="U48" s="615"/>
      <c r="V48" s="583"/>
      <c r="W48" s="583"/>
      <c r="X48" s="583"/>
      <c r="Y48" s="583"/>
      <c r="Z48" s="583"/>
      <c r="AA48" s="583"/>
      <c r="AB48" s="583"/>
      <c r="AC48" s="583"/>
      <c r="AD48" s="583"/>
      <c r="AE48" s="583"/>
      <c r="AF48" s="583"/>
      <c r="AG48" s="583"/>
      <c r="AI48" s="583"/>
      <c r="AJ48" s="621"/>
      <c r="AK48" s="621"/>
      <c r="AL48" s="621"/>
      <c r="AM48" s="621"/>
      <c r="AN48" s="621"/>
      <c r="AO48" s="621"/>
      <c r="AP48" s="621"/>
      <c r="AQ48" s="621"/>
      <c r="AR48" s="621"/>
      <c r="AS48" s="621"/>
      <c r="AT48" s="621"/>
      <c r="AU48" s="621"/>
      <c r="AV48" s="621"/>
      <c r="AW48" s="621"/>
      <c r="AX48" s="621"/>
      <c r="AY48" s="621"/>
      <c r="AZ48" s="621"/>
      <c r="BA48" s="621"/>
      <c r="BB48" s="621"/>
      <c r="BC48" s="621"/>
      <c r="BD48" s="621"/>
    </row>
    <row r="49" spans="1:56">
      <c r="A49" s="587"/>
      <c r="B49" s="587"/>
      <c r="C49" s="587"/>
      <c r="D49" s="587"/>
      <c r="E49" s="587"/>
      <c r="F49" s="587"/>
      <c r="G49" s="587"/>
      <c r="H49" s="587"/>
      <c r="I49" s="587"/>
      <c r="J49" s="587"/>
      <c r="K49" s="587"/>
      <c r="L49" s="587"/>
      <c r="M49" s="587"/>
      <c r="N49" s="587"/>
      <c r="O49" s="587"/>
      <c r="P49" s="583"/>
      <c r="Q49" s="583"/>
      <c r="R49" s="583"/>
      <c r="S49" s="583"/>
      <c r="T49" s="583"/>
      <c r="U49" s="583"/>
      <c r="V49" s="583"/>
      <c r="W49" s="583"/>
      <c r="X49" s="583"/>
      <c r="Y49" s="583"/>
      <c r="Z49" s="583"/>
      <c r="AA49" s="583"/>
      <c r="AB49" s="583"/>
      <c r="AC49" s="583"/>
      <c r="AD49" s="583"/>
      <c r="AE49" s="583"/>
      <c r="AF49" s="583"/>
      <c r="AG49" s="583"/>
      <c r="AI49" s="583"/>
      <c r="AJ49" s="621"/>
      <c r="AK49" s="621"/>
      <c r="AL49" s="621"/>
      <c r="AM49" s="621"/>
      <c r="AN49" s="621"/>
      <c r="AO49" s="621"/>
      <c r="AP49" s="621"/>
      <c r="AQ49" s="621"/>
      <c r="AR49" s="621"/>
      <c r="AS49" s="621"/>
      <c r="AT49" s="621"/>
      <c r="AU49" s="621"/>
      <c r="AV49" s="621"/>
      <c r="AW49" s="621"/>
      <c r="AX49" s="621"/>
      <c r="AY49" s="621"/>
      <c r="AZ49" s="621"/>
      <c r="BA49" s="621"/>
      <c r="BB49" s="621"/>
      <c r="BC49" s="621"/>
      <c r="BD49" s="621"/>
    </row>
    <row r="50" spans="1:56">
      <c r="B50" s="616"/>
      <c r="C50" s="616"/>
      <c r="D50" s="616"/>
      <c r="E50" s="616"/>
      <c r="F50" s="616"/>
      <c r="G50" s="616"/>
      <c r="H50" s="616"/>
      <c r="I50" s="616"/>
      <c r="J50" s="616"/>
      <c r="K50" s="616"/>
      <c r="L50" s="616"/>
      <c r="M50" s="616"/>
      <c r="N50" s="616"/>
      <c r="O50" s="616"/>
      <c r="P50" s="616"/>
      <c r="Q50" s="616"/>
      <c r="R50" s="616"/>
      <c r="S50" s="616"/>
      <c r="T50" s="616"/>
      <c r="AI50" s="583"/>
      <c r="AJ50" s="621"/>
      <c r="AK50" s="621"/>
      <c r="AL50" s="621"/>
      <c r="AM50" s="621"/>
      <c r="AN50" s="621"/>
      <c r="AO50" s="621"/>
      <c r="AP50" s="621"/>
      <c r="AQ50" s="621"/>
      <c r="AR50" s="621"/>
      <c r="AS50" s="621"/>
      <c r="AT50" s="621"/>
      <c r="AU50" s="621"/>
      <c r="AV50" s="621"/>
      <c r="AW50" s="621"/>
      <c r="AX50" s="621"/>
      <c r="AY50" s="621"/>
      <c r="AZ50" s="621"/>
      <c r="BA50" s="621"/>
      <c r="BB50" s="621"/>
      <c r="BC50" s="621"/>
      <c r="BD50" s="621"/>
    </row>
    <row r="51" spans="1:56">
      <c r="A51" s="583"/>
      <c r="B51" s="600" t="s">
        <v>94</v>
      </c>
      <c r="C51" s="583"/>
      <c r="D51" s="600" t="s">
        <v>95</v>
      </c>
      <c r="E51" s="583"/>
      <c r="F51" s="600" t="s">
        <v>96</v>
      </c>
      <c r="G51" s="583"/>
      <c r="H51" s="600" t="s">
        <v>97</v>
      </c>
      <c r="I51" s="583"/>
      <c r="J51" s="600" t="s">
        <v>98</v>
      </c>
      <c r="K51" s="583"/>
      <c r="L51" s="600" t="s">
        <v>124</v>
      </c>
      <c r="M51" s="583"/>
      <c r="N51" s="600" t="s">
        <v>125</v>
      </c>
      <c r="O51" s="583"/>
      <c r="P51" s="600" t="s">
        <v>126</v>
      </c>
      <c r="Q51" s="583"/>
      <c r="R51" s="600" t="s">
        <v>127</v>
      </c>
      <c r="S51" s="583"/>
      <c r="T51" s="600" t="s">
        <v>128</v>
      </c>
      <c r="U51" s="583"/>
      <c r="V51" s="583"/>
      <c r="W51" s="583"/>
      <c r="X51" s="583"/>
      <c r="Y51" s="583"/>
      <c r="Z51" s="583"/>
      <c r="AA51" s="583"/>
      <c r="AB51" s="583"/>
      <c r="AC51" s="583"/>
      <c r="AD51" s="583"/>
      <c r="AE51" s="583"/>
      <c r="AF51" s="583"/>
      <c r="AG51" s="583"/>
      <c r="AI51" s="583"/>
      <c r="AJ51" s="621"/>
      <c r="AK51" s="621"/>
      <c r="AL51" s="621"/>
      <c r="AM51" s="621"/>
      <c r="AN51" s="621"/>
      <c r="AO51" s="621"/>
      <c r="AP51" s="621"/>
      <c r="AQ51" s="621"/>
      <c r="AR51" s="621"/>
      <c r="AS51" s="621"/>
      <c r="AT51" s="621"/>
      <c r="AU51" s="621"/>
      <c r="AV51" s="621"/>
      <c r="AW51" s="621"/>
      <c r="AX51" s="621"/>
      <c r="AY51" s="621"/>
      <c r="AZ51" s="621"/>
      <c r="BA51" s="621"/>
      <c r="BB51" s="621"/>
      <c r="BC51" s="621"/>
      <c r="BD51" s="621"/>
    </row>
    <row r="52" spans="1:56">
      <c r="A52" s="583"/>
      <c r="B52" s="583"/>
      <c r="C52" s="583"/>
      <c r="D52" s="600" t="s">
        <v>333</v>
      </c>
      <c r="E52" s="583"/>
      <c r="F52" s="600" t="s">
        <v>328</v>
      </c>
      <c r="G52" s="583"/>
      <c r="H52" s="600" t="s">
        <v>338</v>
      </c>
      <c r="I52" s="583"/>
      <c r="J52" s="600" t="s">
        <v>339</v>
      </c>
      <c r="K52" s="583"/>
      <c r="L52" s="583"/>
      <c r="M52" s="583"/>
      <c r="N52" s="600" t="s">
        <v>337</v>
      </c>
      <c r="O52" s="583"/>
      <c r="P52" s="583"/>
      <c r="Q52" s="583"/>
      <c r="R52" s="583"/>
      <c r="S52" s="583"/>
      <c r="T52" s="583"/>
      <c r="U52" s="583"/>
      <c r="V52" s="583"/>
      <c r="W52" s="1269"/>
      <c r="X52" s="1269"/>
      <c r="Y52" s="583"/>
      <c r="Z52" s="583"/>
      <c r="AA52" s="583"/>
      <c r="AB52" s="583"/>
      <c r="AC52" s="583"/>
      <c r="AD52" s="583"/>
      <c r="AE52" s="583"/>
      <c r="AF52" s="583"/>
      <c r="AG52" s="583"/>
      <c r="AI52" s="583"/>
      <c r="AJ52" s="621"/>
      <c r="AK52" s="621"/>
      <c r="AL52" s="621"/>
      <c r="AM52" s="621"/>
      <c r="AN52" s="621"/>
      <c r="AO52" s="621"/>
      <c r="AP52" s="621"/>
      <c r="AQ52" s="621"/>
      <c r="AR52" s="621"/>
      <c r="AS52" s="621"/>
      <c r="AT52" s="621"/>
      <c r="AU52" s="621"/>
      <c r="AV52" s="621"/>
      <c r="AW52" s="621"/>
      <c r="AX52" s="621"/>
      <c r="AY52" s="621"/>
      <c r="AZ52" s="621"/>
      <c r="BA52" s="621"/>
      <c r="BB52" s="621"/>
      <c r="BC52" s="621"/>
      <c r="BD52" s="621"/>
    </row>
    <row r="53" spans="1:56">
      <c r="A53" s="583"/>
      <c r="B53" s="600" t="s">
        <v>331</v>
      </c>
      <c r="C53" s="583"/>
      <c r="D53" s="600" t="s">
        <v>334</v>
      </c>
      <c r="E53" s="583"/>
      <c r="F53" s="600" t="s">
        <v>329</v>
      </c>
      <c r="G53" s="583"/>
      <c r="H53" s="600" t="s">
        <v>336</v>
      </c>
      <c r="I53" s="583"/>
      <c r="J53" s="600" t="s">
        <v>331</v>
      </c>
      <c r="K53" s="583"/>
      <c r="L53" s="600" t="s">
        <v>341</v>
      </c>
      <c r="M53" s="583"/>
      <c r="N53" s="600" t="s">
        <v>343</v>
      </c>
      <c r="O53" s="583"/>
      <c r="P53" s="600" t="s">
        <v>339</v>
      </c>
      <c r="Q53" s="583"/>
      <c r="R53" s="600" t="s">
        <v>345</v>
      </c>
      <c r="S53" s="583"/>
      <c r="T53" s="600" t="s">
        <v>347</v>
      </c>
      <c r="U53" s="583"/>
      <c r="V53" s="600"/>
      <c r="W53" s="1269"/>
      <c r="X53" s="1269"/>
      <c r="Y53" s="583"/>
      <c r="Z53" s="583"/>
      <c r="AA53" s="583"/>
      <c r="AB53" s="583"/>
      <c r="AC53" s="583"/>
      <c r="AD53" s="583"/>
      <c r="AE53" s="583"/>
      <c r="AF53" s="583"/>
      <c r="AG53" s="583"/>
      <c r="AI53" s="583"/>
      <c r="AJ53" s="621"/>
      <c r="AK53" s="621"/>
      <c r="AL53" s="621"/>
      <c r="AM53" s="621"/>
      <c r="AN53" s="621"/>
      <c r="AO53" s="621"/>
      <c r="AP53" s="621"/>
      <c r="AQ53" s="621"/>
      <c r="AR53" s="621"/>
      <c r="AS53" s="621"/>
      <c r="AT53" s="621"/>
      <c r="AU53" s="621"/>
      <c r="AV53" s="621"/>
      <c r="AW53" s="621"/>
      <c r="AX53" s="621"/>
      <c r="AY53" s="621"/>
      <c r="AZ53" s="621"/>
      <c r="BA53" s="621"/>
      <c r="BB53" s="621"/>
      <c r="BC53" s="621"/>
      <c r="BD53" s="621"/>
    </row>
    <row r="54" spans="1:56">
      <c r="A54" s="583"/>
      <c r="B54" s="617" t="s">
        <v>332</v>
      </c>
      <c r="C54" s="583"/>
      <c r="D54" s="617" t="s">
        <v>335</v>
      </c>
      <c r="E54" s="583"/>
      <c r="F54" s="617" t="s">
        <v>330</v>
      </c>
      <c r="G54" s="583"/>
      <c r="H54" s="617" t="s">
        <v>337</v>
      </c>
      <c r="I54" s="583"/>
      <c r="J54" s="617" t="s">
        <v>340</v>
      </c>
      <c r="K54" s="583"/>
      <c r="L54" s="617" t="s">
        <v>342</v>
      </c>
      <c r="M54" s="583"/>
      <c r="N54" s="617" t="s">
        <v>344</v>
      </c>
      <c r="O54" s="583"/>
      <c r="P54" s="617" t="s">
        <v>217</v>
      </c>
      <c r="Q54" s="583"/>
      <c r="R54" s="617" t="s">
        <v>346</v>
      </c>
      <c r="S54" s="583"/>
      <c r="T54" s="617" t="s">
        <v>348</v>
      </c>
      <c r="U54" s="583"/>
      <c r="V54" s="600"/>
      <c r="W54" s="1269"/>
      <c r="X54" s="1269"/>
      <c r="Y54" s="583"/>
      <c r="Z54" s="583"/>
      <c r="AA54" s="583"/>
      <c r="AB54" s="583"/>
      <c r="AC54" s="583"/>
      <c r="AD54" s="583"/>
      <c r="AE54" s="583"/>
      <c r="AF54" s="583"/>
      <c r="AG54" s="583"/>
      <c r="AI54" s="583"/>
      <c r="AJ54" s="621"/>
      <c r="AK54" s="621"/>
      <c r="AL54" s="621"/>
      <c r="AM54" s="621"/>
      <c r="AN54" s="621"/>
      <c r="AO54" s="621"/>
      <c r="AP54" s="621"/>
      <c r="AQ54" s="621"/>
      <c r="AR54" s="621"/>
      <c r="AS54" s="621"/>
      <c r="AT54" s="621"/>
      <c r="AU54" s="621"/>
      <c r="AV54" s="621"/>
      <c r="AW54" s="621"/>
      <c r="AX54" s="621"/>
      <c r="AY54" s="621"/>
      <c r="AZ54" s="621"/>
      <c r="BA54" s="621"/>
      <c r="BB54" s="621"/>
      <c r="BC54" s="621"/>
      <c r="BD54" s="621"/>
    </row>
    <row r="55" spans="1:56" ht="14.1" customHeight="1">
      <c r="A55" s="583" t="s">
        <v>101</v>
      </c>
      <c r="B55" s="821">
        <f>Reconcil!C57</f>
        <v>2573845.285017692</v>
      </c>
      <c r="C55" s="822"/>
      <c r="D55" s="821">
        <f>Reconcil!C60</f>
        <v>5031.8972399999993</v>
      </c>
      <c r="E55" s="822"/>
      <c r="F55" s="821">
        <f>-Reconcil!C63</f>
        <v>867174.09407384624</v>
      </c>
      <c r="G55" s="822"/>
      <c r="H55" s="821">
        <f>Reconcil!C149</f>
        <v>20227.79474615385</v>
      </c>
      <c r="I55" s="822"/>
      <c r="J55" s="821">
        <f>B55+D55-F55-H55</f>
        <v>1691475.2934376919</v>
      </c>
      <c r="K55" s="822"/>
      <c r="L55" s="821">
        <f>Reconcil!C58</f>
        <v>1939.5515500000001</v>
      </c>
      <c r="M55" s="822"/>
      <c r="N55" s="821">
        <f>Reconcil!C59</f>
        <v>195971.74185307694</v>
      </c>
      <c r="O55" s="822"/>
      <c r="P55" s="821">
        <f>J55+L55+N55</f>
        <v>1889386.5868407688</v>
      </c>
      <c r="Q55" s="822"/>
      <c r="R55" s="821">
        <f>Reconcil!I209</f>
        <v>-8153.1584107692761</v>
      </c>
      <c r="S55" s="822"/>
      <c r="T55" s="821">
        <f>P55+R55</f>
        <v>1881233.4284299996</v>
      </c>
      <c r="U55" s="620"/>
      <c r="V55" s="619"/>
      <c r="W55" s="1269"/>
      <c r="X55" s="1269"/>
      <c r="Y55" s="621"/>
      <c r="Z55" s="621"/>
      <c r="AA55" s="621"/>
      <c r="AB55" s="621"/>
      <c r="AC55" s="621"/>
      <c r="AD55" s="621"/>
      <c r="AE55" s="621"/>
      <c r="AF55" s="621"/>
      <c r="AG55" s="621"/>
      <c r="AI55" s="583"/>
      <c r="AJ55" s="621"/>
      <c r="AK55" s="621"/>
      <c r="AL55" s="621"/>
      <c r="AM55" s="621"/>
      <c r="AN55" s="621"/>
      <c r="AO55" s="621"/>
      <c r="AP55" s="621"/>
      <c r="AQ55" s="621"/>
      <c r="AR55" s="621"/>
      <c r="AS55" s="621"/>
      <c r="AT55" s="621"/>
      <c r="AU55" s="621"/>
      <c r="AV55" s="621"/>
      <c r="AW55" s="621"/>
      <c r="AX55" s="621"/>
      <c r="AY55" s="621"/>
      <c r="AZ55" s="621"/>
      <c r="BA55" s="621"/>
      <c r="BB55" s="621"/>
      <c r="BC55" s="621"/>
      <c r="BD55" s="621"/>
    </row>
    <row r="56" spans="1:56">
      <c r="A56" s="583"/>
      <c r="B56" s="823"/>
      <c r="C56" s="823"/>
      <c r="D56" s="823"/>
      <c r="E56" s="823"/>
      <c r="F56" s="823"/>
      <c r="G56" s="823"/>
      <c r="H56" s="823"/>
      <c r="I56" s="823"/>
      <c r="J56" s="823"/>
      <c r="K56" s="823"/>
      <c r="L56" s="823"/>
      <c r="M56" s="823"/>
      <c r="N56" s="823"/>
      <c r="O56" s="823"/>
      <c r="P56" s="823"/>
      <c r="Q56" s="823"/>
      <c r="R56" s="823"/>
      <c r="S56" s="823"/>
      <c r="T56" s="823"/>
      <c r="U56" s="620"/>
      <c r="V56" s="619"/>
      <c r="W56" s="1269"/>
      <c r="X56" s="1269"/>
      <c r="Y56" s="621"/>
      <c r="Z56" s="621"/>
      <c r="AA56" s="621"/>
      <c r="AB56" s="621"/>
      <c r="AC56" s="621"/>
      <c r="AD56" s="621"/>
      <c r="AE56" s="621"/>
      <c r="AF56" s="621"/>
      <c r="AG56" s="621"/>
      <c r="AI56" s="583"/>
      <c r="AJ56" s="621"/>
      <c r="AK56" s="621"/>
      <c r="AL56" s="621"/>
      <c r="AM56" s="621"/>
      <c r="AN56" s="621"/>
      <c r="AO56" s="621"/>
      <c r="AP56" s="621"/>
      <c r="AQ56" s="621"/>
      <c r="AR56" s="621"/>
      <c r="AS56" s="621"/>
      <c r="AT56" s="621"/>
      <c r="AU56" s="621"/>
      <c r="AV56" s="621"/>
      <c r="AW56" s="621"/>
      <c r="AX56" s="621"/>
      <c r="AY56" s="621"/>
      <c r="AZ56" s="621"/>
      <c r="BA56" s="621"/>
      <c r="BB56" s="621"/>
      <c r="BC56" s="621"/>
      <c r="BD56" s="621"/>
    </row>
    <row r="57" spans="1:56">
      <c r="A57" s="622" t="s">
        <v>129</v>
      </c>
      <c r="B57" s="823"/>
      <c r="C57" s="823"/>
      <c r="D57" s="823"/>
      <c r="E57" s="823"/>
      <c r="F57" s="823"/>
      <c r="G57" s="823"/>
      <c r="H57" s="823"/>
      <c r="I57" s="823"/>
      <c r="J57" s="823"/>
      <c r="K57" s="823"/>
      <c r="L57" s="823"/>
      <c r="M57" s="823"/>
      <c r="N57" s="823"/>
      <c r="O57" s="823"/>
      <c r="P57" s="823"/>
      <c r="Q57" s="823"/>
      <c r="R57" s="823"/>
      <c r="S57" s="823"/>
      <c r="T57" s="823"/>
      <c r="U57" s="620"/>
      <c r="V57" s="619"/>
      <c r="W57" s="1269"/>
      <c r="X57" s="1269"/>
      <c r="Y57" s="621"/>
      <c r="Z57" s="621"/>
      <c r="AA57" s="621"/>
      <c r="AB57" s="621"/>
      <c r="AC57" s="621"/>
      <c r="AD57" s="621"/>
      <c r="AE57" s="621"/>
      <c r="AF57" s="621"/>
      <c r="AG57" s="621"/>
      <c r="AI57" s="583"/>
      <c r="AJ57" s="621"/>
      <c r="AK57" s="621"/>
      <c r="AL57" s="621"/>
      <c r="AM57" s="621"/>
      <c r="AN57" s="621"/>
      <c r="AO57" s="621"/>
      <c r="AP57" s="621"/>
      <c r="AQ57" s="621"/>
      <c r="AR57" s="621"/>
      <c r="AS57" s="621"/>
      <c r="AT57" s="621"/>
      <c r="AU57" s="621"/>
      <c r="AV57" s="621"/>
      <c r="AW57" s="621"/>
      <c r="AX57" s="621"/>
      <c r="AY57" s="621"/>
      <c r="AZ57" s="621"/>
      <c r="BA57" s="621"/>
      <c r="BB57" s="621"/>
      <c r="BC57" s="621"/>
      <c r="BD57" s="621"/>
    </row>
    <row r="58" spans="1:56">
      <c r="A58" s="583" t="s">
        <v>130</v>
      </c>
      <c r="B58" s="822"/>
      <c r="C58" s="822"/>
      <c r="D58" s="822"/>
      <c r="E58" s="822"/>
      <c r="F58" s="822"/>
      <c r="G58" s="822"/>
      <c r="H58" s="822"/>
      <c r="I58" s="822"/>
      <c r="J58" s="822"/>
      <c r="K58" s="822"/>
      <c r="L58" s="822">
        <f>-L55</f>
        <v>-1939.5515500000001</v>
      </c>
      <c r="M58" s="822"/>
      <c r="N58" s="822"/>
      <c r="O58" s="822"/>
      <c r="P58" s="822">
        <f>J58+L58+N58</f>
        <v>-1939.5515500000001</v>
      </c>
      <c r="Q58" s="822"/>
      <c r="R58" s="822"/>
      <c r="S58" s="822"/>
      <c r="T58" s="822">
        <f t="shared" ref="T58:T74" si="0">P58+R58</f>
        <v>-1939.5515500000001</v>
      </c>
      <c r="U58" s="620"/>
      <c r="V58" s="619"/>
      <c r="W58" s="640"/>
      <c r="X58" s="640"/>
      <c r="Y58" s="621"/>
      <c r="Z58" s="621"/>
      <c r="AA58" s="621"/>
      <c r="AB58" s="621"/>
      <c r="AC58" s="621"/>
      <c r="AD58" s="621"/>
      <c r="AE58" s="621"/>
      <c r="AF58" s="621"/>
      <c r="AG58" s="621"/>
      <c r="AI58" s="583"/>
      <c r="AJ58" s="621"/>
      <c r="AK58" s="621"/>
      <c r="AL58" s="621"/>
      <c r="AM58" s="621"/>
      <c r="AN58" s="621"/>
      <c r="AO58" s="621"/>
      <c r="AP58" s="621"/>
      <c r="AQ58" s="621"/>
      <c r="AR58" s="621"/>
      <c r="AS58" s="621"/>
      <c r="AT58" s="621"/>
      <c r="AU58" s="621"/>
      <c r="AV58" s="621"/>
      <c r="AW58" s="621"/>
      <c r="AX58" s="621"/>
      <c r="AY58" s="621"/>
      <c r="AZ58" s="621"/>
      <c r="BA58" s="621"/>
      <c r="BB58" s="621"/>
      <c r="BC58" s="621"/>
      <c r="BD58" s="621"/>
    </row>
    <row r="59" spans="1:56">
      <c r="A59" s="583" t="s">
        <v>131</v>
      </c>
      <c r="B59" s="822"/>
      <c r="C59" s="822"/>
      <c r="D59" s="822"/>
      <c r="E59" s="822"/>
      <c r="F59" s="822"/>
      <c r="G59" s="822"/>
      <c r="H59" s="822"/>
      <c r="I59" s="822"/>
      <c r="J59" s="822"/>
      <c r="K59" s="822"/>
      <c r="L59" s="822"/>
      <c r="M59" s="822"/>
      <c r="N59" s="822"/>
      <c r="O59" s="822"/>
      <c r="P59" s="822"/>
      <c r="Q59" s="822"/>
      <c r="R59" s="822">
        <f>-Reconcil!C76</f>
        <v>-2.95</v>
      </c>
      <c r="S59" s="822"/>
      <c r="T59" s="822">
        <f t="shared" si="0"/>
        <v>-2.95</v>
      </c>
      <c r="U59" s="620"/>
      <c r="V59" s="619"/>
      <c r="W59" s="640"/>
      <c r="X59" s="1269"/>
      <c r="Y59" s="621"/>
      <c r="Z59" s="621"/>
      <c r="AA59" s="621"/>
      <c r="AB59" s="621"/>
      <c r="AC59" s="621"/>
      <c r="AD59" s="621"/>
      <c r="AE59" s="621"/>
      <c r="AF59" s="621"/>
      <c r="AG59" s="621"/>
      <c r="AI59" s="583"/>
      <c r="AJ59" s="621"/>
      <c r="AK59" s="621"/>
      <c r="AL59" s="621"/>
      <c r="AM59" s="621"/>
      <c r="AN59" s="621"/>
      <c r="AO59" s="621"/>
      <c r="AP59" s="621"/>
      <c r="AQ59" s="621"/>
      <c r="AR59" s="621"/>
      <c r="AS59" s="621"/>
      <c r="AT59" s="621"/>
      <c r="AU59" s="621"/>
      <c r="AV59" s="621"/>
      <c r="AW59" s="621"/>
      <c r="AX59" s="621"/>
      <c r="AY59" s="621"/>
      <c r="AZ59" s="621"/>
      <c r="BA59" s="621"/>
      <c r="BB59" s="621"/>
      <c r="BC59" s="621"/>
      <c r="BD59" s="621"/>
    </row>
    <row r="60" spans="1:56">
      <c r="A60" s="583" t="s">
        <v>132</v>
      </c>
      <c r="B60" s="822"/>
      <c r="C60" s="822"/>
      <c r="D60" s="822"/>
      <c r="E60" s="822"/>
      <c r="F60" s="822"/>
      <c r="G60" s="822"/>
      <c r="H60" s="822"/>
      <c r="I60" s="822"/>
      <c r="J60" s="822"/>
      <c r="K60" s="822"/>
      <c r="L60" s="822"/>
      <c r="M60" s="822"/>
      <c r="N60" s="822"/>
      <c r="O60" s="822"/>
      <c r="P60" s="822"/>
      <c r="Q60" s="822"/>
      <c r="R60" s="822">
        <f>-Reconcil!C77</f>
        <v>0</v>
      </c>
      <c r="S60" s="822"/>
      <c r="T60" s="822">
        <f t="shared" si="0"/>
        <v>0</v>
      </c>
      <c r="U60" s="620"/>
      <c r="V60" s="619"/>
      <c r="W60" s="1269"/>
      <c r="X60" s="1269"/>
      <c r="Y60" s="621"/>
      <c r="Z60" s="621"/>
      <c r="AA60" s="621"/>
      <c r="AB60" s="621"/>
      <c r="AC60" s="621"/>
      <c r="AD60" s="621"/>
      <c r="AE60" s="621"/>
      <c r="AF60" s="621"/>
      <c r="AG60" s="621"/>
      <c r="AI60" s="583"/>
      <c r="AJ60" s="621"/>
      <c r="AK60" s="621"/>
      <c r="AL60" s="621"/>
      <c r="AM60" s="621"/>
      <c r="AN60" s="621"/>
      <c r="AO60" s="621"/>
      <c r="AP60" s="621"/>
      <c r="AQ60" s="621"/>
      <c r="AR60" s="621"/>
      <c r="AS60" s="621"/>
      <c r="AT60" s="621"/>
      <c r="AU60" s="621"/>
      <c r="AV60" s="621"/>
      <c r="AW60" s="621"/>
      <c r="AX60" s="621"/>
      <c r="AY60" s="621"/>
      <c r="AZ60" s="621"/>
      <c r="BA60" s="621"/>
      <c r="BB60" s="621"/>
      <c r="BC60" s="621"/>
      <c r="BD60" s="621"/>
    </row>
    <row r="61" spans="1:56">
      <c r="A61" s="583" t="s">
        <v>403</v>
      </c>
      <c r="B61" s="822"/>
      <c r="C61" s="822"/>
      <c r="D61" s="822"/>
      <c r="E61" s="822"/>
      <c r="F61" s="822"/>
      <c r="G61" s="822"/>
      <c r="H61" s="822"/>
      <c r="I61" s="822"/>
      <c r="J61" s="822"/>
      <c r="K61" s="822"/>
      <c r="L61" s="822"/>
      <c r="M61" s="822"/>
      <c r="N61" s="822"/>
      <c r="O61" s="822"/>
      <c r="P61" s="822"/>
      <c r="Q61" s="822"/>
      <c r="R61" s="822">
        <f>-Reconcil!$C$81+Reconcil!$C$129</f>
        <v>-9807.1821069230773</v>
      </c>
      <c r="S61" s="822"/>
      <c r="T61" s="822">
        <f t="shared" si="0"/>
        <v>-9807.1821069230773</v>
      </c>
      <c r="U61" s="620"/>
      <c r="V61" s="619"/>
      <c r="W61" s="583"/>
      <c r="X61" s="621"/>
      <c r="Y61" s="621"/>
      <c r="Z61" s="621"/>
      <c r="AA61" s="621"/>
      <c r="AB61" s="621"/>
      <c r="AC61" s="621"/>
      <c r="AD61" s="621"/>
      <c r="AE61" s="621"/>
      <c r="AF61" s="621"/>
      <c r="AG61" s="621"/>
      <c r="AI61" s="583"/>
      <c r="AJ61" s="621"/>
      <c r="AK61" s="621"/>
      <c r="AL61" s="621"/>
      <c r="AM61" s="621"/>
      <c r="AN61" s="621"/>
      <c r="AO61" s="621"/>
      <c r="AP61" s="621"/>
      <c r="AQ61" s="621"/>
      <c r="AR61" s="621"/>
      <c r="AS61" s="621"/>
      <c r="AT61" s="621"/>
      <c r="AU61" s="621"/>
      <c r="AV61" s="621"/>
      <c r="AW61" s="621"/>
      <c r="AX61" s="621"/>
      <c r="AY61" s="621"/>
      <c r="AZ61" s="621"/>
      <c r="BA61" s="621"/>
      <c r="BB61" s="621"/>
      <c r="BC61" s="621"/>
      <c r="BD61" s="621"/>
    </row>
    <row r="62" spans="1:56">
      <c r="A62" s="1" t="s">
        <v>404</v>
      </c>
      <c r="B62" s="822"/>
      <c r="C62" s="822"/>
      <c r="D62" s="822"/>
      <c r="E62" s="822"/>
      <c r="F62" s="822"/>
      <c r="G62" s="822"/>
      <c r="H62" s="822"/>
      <c r="I62" s="822"/>
      <c r="J62" s="822"/>
      <c r="K62" s="822"/>
      <c r="L62" s="822"/>
      <c r="M62" s="822"/>
      <c r="N62" s="822"/>
      <c r="O62" s="822"/>
      <c r="P62" s="822"/>
      <c r="Q62" s="822"/>
      <c r="R62" s="822">
        <f>-Reconcil!$C$79</f>
        <v>-1591.8972207692309</v>
      </c>
      <c r="S62" s="822"/>
      <c r="T62" s="822">
        <f t="shared" si="0"/>
        <v>-1591.8972207692309</v>
      </c>
      <c r="U62" s="620"/>
      <c r="V62" s="619"/>
      <c r="W62" s="583"/>
      <c r="X62" s="621"/>
      <c r="Y62" s="621"/>
      <c r="Z62" s="621"/>
      <c r="AA62" s="621"/>
      <c r="AB62" s="621"/>
      <c r="AC62" s="621"/>
      <c r="AD62" s="621"/>
      <c r="AE62" s="621"/>
      <c r="AF62" s="621"/>
      <c r="AG62" s="621"/>
      <c r="AI62" s="583"/>
      <c r="AJ62" s="621"/>
      <c r="AK62" s="621"/>
      <c r="AL62" s="621"/>
      <c r="AM62" s="621"/>
      <c r="AN62" s="621"/>
      <c r="AO62" s="621"/>
      <c r="AP62" s="621"/>
      <c r="AQ62" s="621"/>
      <c r="AR62" s="621"/>
      <c r="AS62" s="621"/>
      <c r="AT62" s="621"/>
      <c r="AU62" s="621"/>
      <c r="AV62" s="621"/>
      <c r="AW62" s="621"/>
      <c r="AX62" s="621"/>
      <c r="AY62" s="621"/>
      <c r="AZ62" s="621"/>
      <c r="BA62" s="621"/>
      <c r="BB62" s="621"/>
      <c r="BC62" s="621"/>
      <c r="BD62" s="621"/>
    </row>
    <row r="63" spans="1:56">
      <c r="A63" s="583" t="s">
        <v>133</v>
      </c>
      <c r="B63" s="1057">
        <f>+-'Input Plant'!CW11/1000</f>
        <v>-1109.9952713307698</v>
      </c>
      <c r="C63" s="823"/>
      <c r="D63" s="823"/>
      <c r="E63" s="823"/>
      <c r="F63" s="1057">
        <f>+'Input Plant'!CW23/1000</f>
        <v>-419.40637115384629</v>
      </c>
      <c r="G63" s="822"/>
      <c r="H63" s="822"/>
      <c r="I63" s="822"/>
      <c r="J63" s="822">
        <f>B63+D63-F63-H63</f>
        <v>-690.58890017692352</v>
      </c>
      <c r="K63" s="822"/>
      <c r="L63" s="822"/>
      <c r="M63" s="822"/>
      <c r="N63" s="822"/>
      <c r="O63" s="822"/>
      <c r="P63" s="822">
        <f>J63+L63+N63</f>
        <v>-690.58890017692352</v>
      </c>
      <c r="Q63" s="822"/>
      <c r="R63" s="822"/>
      <c r="S63" s="822"/>
      <c r="T63" s="822">
        <f t="shared" si="0"/>
        <v>-690.58890017692352</v>
      </c>
      <c r="U63" s="620"/>
      <c r="V63" s="619"/>
      <c r="W63" s="583"/>
      <c r="X63" s="621"/>
      <c r="Y63" s="621"/>
      <c r="Z63" s="621"/>
      <c r="AA63" s="621"/>
      <c r="AB63" s="621"/>
      <c r="AC63" s="621"/>
      <c r="AD63" s="621"/>
      <c r="AE63" s="621"/>
      <c r="AF63" s="621"/>
      <c r="AG63" s="621"/>
      <c r="AI63" s="583"/>
      <c r="AJ63" s="621"/>
      <c r="AK63" s="621"/>
      <c r="AL63" s="621"/>
      <c r="AM63" s="621"/>
      <c r="AN63" s="621"/>
      <c r="AO63" s="621"/>
      <c r="AP63" s="621"/>
      <c r="AQ63" s="621"/>
      <c r="AR63" s="621"/>
      <c r="AS63" s="621"/>
      <c r="AT63" s="621"/>
      <c r="AU63" s="621"/>
      <c r="AV63" s="621"/>
      <c r="AW63" s="621"/>
      <c r="AX63" s="621"/>
      <c r="AY63" s="621"/>
      <c r="AZ63" s="621"/>
      <c r="BA63" s="621"/>
      <c r="BB63" s="621"/>
      <c r="BC63" s="621"/>
      <c r="BD63" s="621"/>
    </row>
    <row r="64" spans="1:56" ht="12" customHeight="1">
      <c r="A64" s="583" t="s">
        <v>405</v>
      </c>
      <c r="B64" s="822"/>
      <c r="C64" s="822"/>
      <c r="D64" s="822"/>
      <c r="E64" s="822"/>
      <c r="F64" s="822"/>
      <c r="G64" s="822"/>
      <c r="H64" s="822"/>
      <c r="I64" s="822"/>
      <c r="J64" s="822"/>
      <c r="K64" s="822"/>
      <c r="L64" s="822"/>
      <c r="M64" s="822"/>
      <c r="N64" s="822"/>
      <c r="O64" s="822"/>
      <c r="P64" s="822"/>
      <c r="Q64" s="822"/>
      <c r="R64" s="822">
        <f>-Reconcil!$C$92</f>
        <v>-4359.2748699999993</v>
      </c>
      <c r="S64" s="822"/>
      <c r="T64" s="822">
        <f t="shared" si="0"/>
        <v>-4359.2748699999993</v>
      </c>
      <c r="U64" s="620"/>
      <c r="V64" s="619"/>
      <c r="W64" s="583"/>
      <c r="X64" s="621"/>
      <c r="Y64" s="621"/>
      <c r="Z64" s="621"/>
      <c r="AA64" s="621"/>
      <c r="AB64" s="621"/>
      <c r="AC64" s="621"/>
      <c r="AD64" s="621"/>
      <c r="AE64" s="621"/>
      <c r="AF64" s="621"/>
      <c r="AG64" s="621"/>
      <c r="AI64" s="583"/>
      <c r="AJ64" s="621"/>
      <c r="AK64" s="621"/>
      <c r="AL64" s="621"/>
      <c r="AM64" s="621"/>
      <c r="AN64" s="621"/>
      <c r="AO64" s="621"/>
      <c r="AP64" s="621"/>
      <c r="AQ64" s="621"/>
      <c r="AR64" s="621"/>
      <c r="AS64" s="621"/>
      <c r="AT64" s="621"/>
      <c r="AU64" s="621"/>
      <c r="AV64" s="621"/>
      <c r="AW64" s="621"/>
      <c r="AX64" s="621"/>
      <c r="AY64" s="621"/>
      <c r="AZ64" s="621"/>
      <c r="BA64" s="621"/>
      <c r="BB64" s="621"/>
      <c r="BC64" s="621"/>
      <c r="BD64" s="621"/>
    </row>
    <row r="65" spans="1:56">
      <c r="A65" s="583" t="s">
        <v>134</v>
      </c>
      <c r="B65" s="822"/>
      <c r="C65" s="822"/>
      <c r="D65" s="822"/>
      <c r="E65" s="822"/>
      <c r="F65" s="822"/>
      <c r="G65" s="822"/>
      <c r="H65" s="822"/>
      <c r="I65" s="822"/>
      <c r="J65" s="822"/>
      <c r="K65" s="822"/>
      <c r="L65" s="822"/>
      <c r="M65" s="822"/>
      <c r="N65" s="822"/>
      <c r="O65" s="822"/>
      <c r="P65" s="822"/>
      <c r="Q65" s="822"/>
      <c r="R65" s="822">
        <f>IF(Reconcil!$C$100&gt;0,Reconcil!$C$100*-1,0)</f>
        <v>0</v>
      </c>
      <c r="S65" s="822"/>
      <c r="T65" s="822">
        <f t="shared" si="0"/>
        <v>0</v>
      </c>
      <c r="U65" s="620"/>
      <c r="V65" s="619"/>
      <c r="W65" s="583"/>
      <c r="X65" s="621"/>
      <c r="Y65" s="621"/>
      <c r="Z65" s="621"/>
      <c r="AA65" s="621"/>
      <c r="AB65" s="621"/>
      <c r="AC65" s="621"/>
      <c r="AD65" s="621"/>
      <c r="AE65" s="621"/>
      <c r="AF65" s="621"/>
      <c r="AG65" s="621"/>
      <c r="AI65" s="583"/>
      <c r="AJ65" s="621"/>
      <c r="AK65" s="621"/>
      <c r="AL65" s="621"/>
      <c r="AM65" s="621"/>
      <c r="AN65" s="621"/>
      <c r="AO65" s="621"/>
      <c r="AP65" s="621"/>
      <c r="AQ65" s="621"/>
      <c r="AR65" s="621"/>
      <c r="AS65" s="621"/>
      <c r="AT65" s="621"/>
      <c r="AU65" s="621"/>
      <c r="AV65" s="621"/>
      <c r="AW65" s="621"/>
      <c r="AX65" s="621"/>
      <c r="AY65" s="621"/>
      <c r="AZ65" s="621"/>
      <c r="BA65" s="621"/>
      <c r="BB65" s="621"/>
      <c r="BC65" s="621"/>
      <c r="BD65" s="621"/>
    </row>
    <row r="66" spans="1:56">
      <c r="A66" s="583" t="s">
        <v>135</v>
      </c>
      <c r="B66" s="822"/>
      <c r="C66" s="822"/>
      <c r="D66" s="822"/>
      <c r="E66" s="822"/>
      <c r="F66" s="822"/>
      <c r="G66" s="822"/>
      <c r="H66" s="822"/>
      <c r="I66" s="822"/>
      <c r="J66" s="822"/>
      <c r="K66" s="822"/>
      <c r="L66" s="822"/>
      <c r="M66" s="822"/>
      <c r="N66" s="822"/>
      <c r="O66" s="822"/>
      <c r="P66" s="822"/>
      <c r="Q66" s="822"/>
      <c r="R66" s="822">
        <f>Reconcil!$C$135</f>
        <v>3520.7976153846153</v>
      </c>
      <c r="S66" s="822"/>
      <c r="T66" s="822">
        <f t="shared" si="0"/>
        <v>3520.7976153846153</v>
      </c>
      <c r="U66" s="620"/>
      <c r="V66" s="619"/>
      <c r="W66" s="583"/>
      <c r="X66" s="621"/>
      <c r="Y66" s="621"/>
      <c r="Z66" s="621"/>
      <c r="AA66" s="621"/>
      <c r="AB66" s="621"/>
      <c r="AC66" s="621"/>
      <c r="AD66" s="621"/>
      <c r="AE66" s="621"/>
      <c r="AF66" s="621"/>
      <c r="AG66" s="621"/>
      <c r="AI66" s="583"/>
      <c r="AJ66" s="621"/>
      <c r="AK66" s="621"/>
      <c r="AL66" s="621"/>
      <c r="AM66" s="621"/>
      <c r="AN66" s="621"/>
      <c r="AO66" s="621"/>
      <c r="AP66" s="621"/>
      <c r="AQ66" s="621"/>
      <c r="AR66" s="621"/>
      <c r="AS66" s="621"/>
      <c r="AT66" s="621"/>
      <c r="AU66" s="621"/>
      <c r="AV66" s="621"/>
      <c r="AW66" s="621"/>
      <c r="AX66" s="621"/>
      <c r="AY66" s="621"/>
      <c r="AZ66" s="621"/>
      <c r="BA66" s="621"/>
      <c r="BB66" s="621"/>
      <c r="BC66" s="621"/>
      <c r="BD66" s="621"/>
    </row>
    <row r="67" spans="1:56">
      <c r="A67" s="583" t="s">
        <v>136</v>
      </c>
      <c r="B67" s="822"/>
      <c r="C67" s="822"/>
      <c r="D67" s="822"/>
      <c r="E67" s="822"/>
      <c r="F67" s="822"/>
      <c r="G67" s="822"/>
      <c r="H67" s="822"/>
      <c r="I67" s="822"/>
      <c r="J67" s="822"/>
      <c r="K67" s="822"/>
      <c r="L67" s="822"/>
      <c r="M67" s="822"/>
      <c r="N67" s="822"/>
      <c r="O67" s="822"/>
      <c r="P67" s="822"/>
      <c r="Q67" s="822"/>
      <c r="R67" s="822">
        <f>IF((Reconcil!$C$138-Reconcil!$C$96)&lt;0,(Reconcil!$C$138-Reconcil!$C$96),0)</f>
        <v>0</v>
      </c>
      <c r="S67" s="822"/>
      <c r="T67" s="822">
        <f t="shared" si="0"/>
        <v>0</v>
      </c>
      <c r="U67" s="620"/>
      <c r="V67" s="619"/>
      <c r="W67" s="583"/>
      <c r="X67" s="621"/>
      <c r="Y67" s="621"/>
      <c r="Z67" s="621"/>
      <c r="AA67" s="621"/>
      <c r="AB67" s="621"/>
      <c r="AC67" s="621"/>
      <c r="AD67" s="621"/>
      <c r="AE67" s="621"/>
      <c r="AF67" s="621"/>
      <c r="AG67" s="621"/>
      <c r="AI67" s="583"/>
      <c r="AJ67" s="621"/>
      <c r="AK67" s="621"/>
      <c r="AL67" s="621"/>
      <c r="AM67" s="621"/>
      <c r="AN67" s="621"/>
      <c r="AO67" s="621"/>
      <c r="AP67" s="621"/>
      <c r="AQ67" s="621"/>
      <c r="AR67" s="621"/>
      <c r="AS67" s="621"/>
      <c r="AT67" s="621"/>
      <c r="AU67" s="621"/>
      <c r="AV67" s="621"/>
      <c r="AW67" s="621"/>
      <c r="AX67" s="621"/>
      <c r="AY67" s="621"/>
      <c r="AZ67" s="621"/>
      <c r="BA67" s="621"/>
      <c r="BB67" s="621"/>
      <c r="BC67" s="621"/>
      <c r="BD67" s="621"/>
    </row>
    <row r="68" spans="1:56">
      <c r="A68" s="583" t="s">
        <v>1821</v>
      </c>
      <c r="B68" s="740"/>
      <c r="C68" s="740"/>
      <c r="D68" s="740"/>
      <c r="E68" s="740"/>
      <c r="F68" s="740"/>
      <c r="G68" s="740"/>
      <c r="H68" s="740"/>
      <c r="I68" s="740"/>
      <c r="J68" s="740"/>
      <c r="K68" s="740"/>
      <c r="L68" s="740"/>
      <c r="M68" s="740"/>
      <c r="N68" s="740"/>
      <c r="O68" s="740"/>
      <c r="P68" s="740"/>
      <c r="Q68" s="740"/>
      <c r="R68" s="740">
        <f>IF((Reconcil!$C$139-Reconcil!$C$97)&lt;0,(Reconcil!$C$139-Reconcil!$C$97),0)</f>
        <v>-189.99840538461538</v>
      </c>
      <c r="S68" s="740"/>
      <c r="T68" s="740">
        <f>P68+R68</f>
        <v>-189.99840538461538</v>
      </c>
      <c r="U68" s="621"/>
      <c r="V68" s="624"/>
      <c r="W68" s="583"/>
      <c r="X68" s="621"/>
      <c r="Y68" s="621"/>
      <c r="Z68" s="621"/>
      <c r="AA68" s="621"/>
      <c r="AB68" s="621"/>
      <c r="AC68" s="621"/>
      <c r="AD68" s="621"/>
      <c r="AE68" s="621"/>
      <c r="AF68" s="621"/>
      <c r="AG68" s="621"/>
      <c r="AI68" s="583"/>
      <c r="AJ68" s="621"/>
      <c r="AK68" s="621"/>
      <c r="AL68" s="621"/>
      <c r="AM68" s="621"/>
      <c r="AN68" s="621"/>
      <c r="AO68" s="621"/>
      <c r="AP68" s="621"/>
      <c r="AQ68" s="621"/>
      <c r="AR68" s="621"/>
      <c r="AS68" s="621"/>
      <c r="AT68" s="621"/>
      <c r="AU68" s="621"/>
      <c r="AV68" s="621"/>
      <c r="AW68" s="621"/>
      <c r="AX68" s="621"/>
      <c r="AY68" s="621"/>
      <c r="AZ68" s="621"/>
      <c r="BA68" s="621"/>
      <c r="BB68" s="621"/>
      <c r="BC68" s="621"/>
      <c r="BD68" s="621"/>
    </row>
    <row r="69" spans="1:56">
      <c r="A69" s="583" t="s">
        <v>137</v>
      </c>
      <c r="B69" s="822"/>
      <c r="C69" s="822"/>
      <c r="D69" s="822"/>
      <c r="E69" s="822"/>
      <c r="F69" s="822"/>
      <c r="G69" s="822"/>
      <c r="H69" s="822"/>
      <c r="I69" s="822"/>
      <c r="J69" s="822"/>
      <c r="K69" s="822"/>
      <c r="L69" s="822"/>
      <c r="M69" s="822"/>
      <c r="N69" s="822"/>
      <c r="O69" s="822"/>
      <c r="P69" s="822"/>
      <c r="Q69" s="822"/>
      <c r="R69" s="1058">
        <f>-Input!FB11/1000</f>
        <v>-3640.0323053846155</v>
      </c>
      <c r="S69" s="822"/>
      <c r="T69" s="822">
        <f t="shared" si="0"/>
        <v>-3640.0323053846155</v>
      </c>
      <c r="U69" s="620"/>
      <c r="V69" s="619"/>
      <c r="W69" s="623"/>
      <c r="X69" s="621"/>
      <c r="Y69" s="621"/>
      <c r="Z69" s="621"/>
      <c r="AA69" s="621"/>
      <c r="AB69" s="621"/>
      <c r="AC69" s="621"/>
      <c r="AD69" s="621"/>
      <c r="AE69" s="621"/>
      <c r="AF69" s="621"/>
      <c r="AG69" s="621"/>
      <c r="AI69" s="583"/>
      <c r="AJ69" s="621"/>
      <c r="AK69" s="621"/>
      <c r="AL69" s="621"/>
      <c r="AM69" s="621"/>
      <c r="AN69" s="621"/>
      <c r="AO69" s="621"/>
      <c r="AP69" s="621"/>
      <c r="AQ69" s="621"/>
      <c r="AR69" s="621"/>
      <c r="AS69" s="621"/>
      <c r="AT69" s="621"/>
      <c r="AU69" s="621"/>
      <c r="AV69" s="621"/>
      <c r="AW69" s="621"/>
      <c r="AX69" s="621"/>
      <c r="AY69" s="621"/>
      <c r="AZ69" s="621"/>
      <c r="BA69" s="621"/>
      <c r="BB69" s="621"/>
      <c r="BC69" s="621"/>
      <c r="BD69" s="621"/>
    </row>
    <row r="70" spans="1:56">
      <c r="A70" s="583" t="s">
        <v>406</v>
      </c>
      <c r="B70" s="822"/>
      <c r="C70" s="822"/>
      <c r="D70" s="822"/>
      <c r="E70" s="822"/>
      <c r="F70" s="822"/>
      <c r="G70" s="822"/>
      <c r="H70" s="822"/>
      <c r="I70" s="822"/>
      <c r="J70" s="822"/>
      <c r="K70" s="822"/>
      <c r="L70" s="822"/>
      <c r="M70" s="822"/>
      <c r="N70" s="822"/>
      <c r="O70" s="822"/>
      <c r="P70" s="822"/>
      <c r="Q70" s="822"/>
      <c r="R70" s="822">
        <f>-Reconcil!$C$99</f>
        <v>-635.21463846153847</v>
      </c>
      <c r="S70" s="822"/>
      <c r="T70" s="822">
        <f t="shared" si="0"/>
        <v>-635.21463846153847</v>
      </c>
      <c r="U70" s="620"/>
      <c r="V70" s="619"/>
      <c r="W70" s="583"/>
      <c r="X70" s="621"/>
      <c r="Y70" s="621"/>
      <c r="Z70" s="621"/>
      <c r="AA70" s="621"/>
      <c r="AB70" s="621"/>
      <c r="AC70" s="621"/>
      <c r="AD70" s="621"/>
      <c r="AE70" s="621"/>
      <c r="AF70" s="621"/>
      <c r="AG70" s="621"/>
      <c r="AI70" s="583"/>
      <c r="AJ70" s="621"/>
      <c r="AK70" s="621"/>
      <c r="AL70" s="621"/>
      <c r="AM70" s="621"/>
      <c r="AN70" s="621"/>
      <c r="AO70" s="621"/>
      <c r="AP70" s="621"/>
      <c r="AQ70" s="621"/>
      <c r="AR70" s="621"/>
      <c r="AS70" s="621"/>
      <c r="AT70" s="621"/>
      <c r="AU70" s="621"/>
      <c r="AV70" s="621"/>
      <c r="AW70" s="621"/>
      <c r="AX70" s="621"/>
      <c r="AY70" s="621"/>
      <c r="AZ70" s="621"/>
      <c r="BA70" s="621"/>
      <c r="BB70" s="621"/>
      <c r="BC70" s="621"/>
      <c r="BD70" s="621"/>
    </row>
    <row r="71" spans="1:56">
      <c r="A71" s="583" t="s">
        <v>407</v>
      </c>
      <c r="B71" s="822"/>
      <c r="C71" s="822"/>
      <c r="D71" s="822"/>
      <c r="E71" s="822"/>
      <c r="F71" s="822"/>
      <c r="G71" s="822"/>
      <c r="H71" s="822"/>
      <c r="I71" s="822"/>
      <c r="J71" s="822"/>
      <c r="K71" s="822"/>
      <c r="L71" s="822"/>
      <c r="M71" s="822"/>
      <c r="N71" s="822"/>
      <c r="O71" s="822"/>
      <c r="P71" s="822"/>
      <c r="Q71" s="822"/>
      <c r="R71" s="824"/>
      <c r="S71" s="822"/>
      <c r="T71" s="822">
        <f t="shared" si="0"/>
        <v>0</v>
      </c>
      <c r="U71" s="620"/>
      <c r="V71" s="619"/>
      <c r="W71" s="583"/>
      <c r="X71" s="621"/>
      <c r="Y71" s="621"/>
      <c r="Z71" s="621"/>
      <c r="AA71" s="621"/>
      <c r="AB71" s="621"/>
      <c r="AC71" s="621"/>
      <c r="AD71" s="621"/>
      <c r="AE71" s="621"/>
      <c r="AF71" s="621"/>
      <c r="AG71" s="621"/>
      <c r="AI71" s="583"/>
      <c r="AJ71" s="621"/>
      <c r="AK71" s="621"/>
      <c r="AL71" s="621"/>
      <c r="AM71" s="621"/>
      <c r="AN71" s="621"/>
      <c r="AO71" s="621"/>
      <c r="AP71" s="621"/>
      <c r="AQ71" s="621"/>
      <c r="AR71" s="621"/>
      <c r="AS71" s="621"/>
      <c r="AT71" s="621"/>
      <c r="AU71" s="621"/>
      <c r="AV71" s="621"/>
      <c r="AW71" s="621"/>
      <c r="AX71" s="621"/>
      <c r="AY71" s="621"/>
      <c r="AZ71" s="621"/>
      <c r="BA71" s="621"/>
      <c r="BB71" s="621"/>
      <c r="BC71" s="621"/>
      <c r="BD71" s="621"/>
    </row>
    <row r="72" spans="1:56">
      <c r="A72" s="583" t="s">
        <v>138</v>
      </c>
      <c r="B72" s="822"/>
      <c r="C72" s="822"/>
      <c r="D72" s="936">
        <f>-'Input WFNG'!C266</f>
        <v>-2947</v>
      </c>
      <c r="E72" s="822"/>
      <c r="F72" s="936">
        <f>-'Input WFNG'!E266</f>
        <v>-2947</v>
      </c>
      <c r="G72" s="822"/>
      <c r="H72" s="822"/>
      <c r="I72" s="822"/>
      <c r="J72" s="822">
        <f>B72+D72-F72-H72</f>
        <v>0</v>
      </c>
      <c r="K72" s="822"/>
      <c r="L72" s="822"/>
      <c r="M72" s="822"/>
      <c r="N72" s="822"/>
      <c r="O72" s="822"/>
      <c r="P72" s="822">
        <f>J72+L72+N72</f>
        <v>0</v>
      </c>
      <c r="Q72" s="822"/>
      <c r="R72" s="1052"/>
      <c r="S72" s="822"/>
      <c r="T72" s="822">
        <f t="shared" si="0"/>
        <v>0</v>
      </c>
      <c r="U72" s="620"/>
      <c r="V72" s="619"/>
      <c r="W72" s="583"/>
      <c r="X72" s="621"/>
      <c r="Y72" s="621"/>
      <c r="Z72" s="621"/>
      <c r="AA72" s="621"/>
      <c r="AB72" s="621"/>
      <c r="AC72" s="621"/>
      <c r="AD72" s="621"/>
      <c r="AE72" s="621"/>
      <c r="AF72" s="621"/>
      <c r="AG72" s="621"/>
      <c r="AI72" s="583"/>
      <c r="AJ72" s="621"/>
      <c r="AK72" s="621"/>
      <c r="AL72" s="621"/>
      <c r="AM72" s="621"/>
      <c r="AN72" s="621"/>
      <c r="AO72" s="621"/>
      <c r="AP72" s="621"/>
      <c r="AQ72" s="621"/>
      <c r="AR72" s="621"/>
      <c r="AS72" s="621"/>
      <c r="AT72" s="621"/>
      <c r="AU72" s="621"/>
      <c r="AV72" s="621"/>
      <c r="AW72" s="621"/>
      <c r="AX72" s="621"/>
      <c r="AY72" s="621"/>
      <c r="AZ72" s="621"/>
      <c r="BA72" s="621"/>
      <c r="BB72" s="621"/>
      <c r="BC72" s="621"/>
      <c r="BD72" s="621"/>
    </row>
    <row r="73" spans="1:56">
      <c r="A73" s="583" t="s">
        <v>139</v>
      </c>
      <c r="B73" s="822"/>
      <c r="C73" s="822"/>
      <c r="D73" s="822"/>
      <c r="E73" s="822"/>
      <c r="F73" s="822"/>
      <c r="G73" s="822"/>
      <c r="H73" s="822"/>
      <c r="I73" s="822"/>
      <c r="J73" s="822"/>
      <c r="K73" s="822"/>
      <c r="L73" s="822"/>
      <c r="M73" s="822"/>
      <c r="N73" s="822"/>
      <c r="O73" s="822"/>
      <c r="P73" s="822"/>
      <c r="Q73" s="822"/>
      <c r="R73" s="822">
        <f>(-Reconcil!C88+Reconcil!C141)*0</f>
        <v>0</v>
      </c>
      <c r="S73" s="822"/>
      <c r="T73" s="822">
        <f t="shared" si="0"/>
        <v>0</v>
      </c>
      <c r="U73" s="620"/>
      <c r="V73" s="619"/>
      <c r="W73" s="583"/>
      <c r="X73" s="621"/>
      <c r="Y73" s="621"/>
      <c r="Z73" s="621"/>
      <c r="AA73" s="621"/>
      <c r="AB73" s="621"/>
      <c r="AC73" s="621"/>
      <c r="AD73" s="621"/>
      <c r="AE73" s="621"/>
      <c r="AF73" s="621"/>
      <c r="AG73" s="621"/>
      <c r="AI73" s="583"/>
      <c r="AJ73" s="621"/>
      <c r="AK73" s="621"/>
      <c r="AL73" s="621"/>
      <c r="AM73" s="621"/>
      <c r="AN73" s="621"/>
      <c r="AO73" s="621"/>
      <c r="AP73" s="621"/>
      <c r="AQ73" s="621"/>
      <c r="AR73" s="621"/>
      <c r="AS73" s="621"/>
      <c r="AT73" s="621"/>
      <c r="AU73" s="621"/>
      <c r="AV73" s="621"/>
      <c r="AW73" s="621"/>
      <c r="AX73" s="621"/>
      <c r="AY73" s="621"/>
      <c r="AZ73" s="621"/>
      <c r="BA73" s="621"/>
      <c r="BB73" s="621"/>
      <c r="BC73" s="621"/>
      <c r="BD73" s="621"/>
    </row>
    <row r="74" spans="1:56">
      <c r="A74" s="583" t="s">
        <v>534</v>
      </c>
      <c r="B74" s="1248">
        <f>-'[6]Surv report tab'!$DS$10/1000</f>
        <v>-29839.959420000003</v>
      </c>
      <c r="C74" s="825"/>
      <c r="D74" s="825"/>
      <c r="E74" s="825"/>
      <c r="F74" s="1248">
        <f>-'[6]Surv report tab'!$DS$14/1000</f>
        <v>-112.06761999999999</v>
      </c>
      <c r="G74" s="822"/>
      <c r="H74" s="822"/>
      <c r="I74" s="822"/>
      <c r="J74" s="822">
        <f>B74+D74-F74-H74</f>
        <v>-29727.891800000001</v>
      </c>
      <c r="K74" s="822"/>
      <c r="L74" s="822"/>
      <c r="M74" s="822"/>
      <c r="N74" s="1248">
        <f>-'[6]Surv report tab'!$DS$18/1000</f>
        <v>-24998.807489999999</v>
      </c>
      <c r="O74" s="822"/>
      <c r="P74" s="822">
        <f>J74+L74+N74</f>
        <v>-54726.699290000004</v>
      </c>
      <c r="Q74" s="822"/>
      <c r="R74" s="1052"/>
      <c r="S74" s="822"/>
      <c r="T74" s="822">
        <f t="shared" si="0"/>
        <v>-54726.699290000004</v>
      </c>
      <c r="U74" s="620"/>
      <c r="V74" s="619"/>
      <c r="W74" s="583"/>
      <c r="X74" s="621"/>
      <c r="Y74" s="621"/>
      <c r="Z74" s="621"/>
      <c r="AA74" s="621"/>
      <c r="AB74" s="621"/>
      <c r="AC74" s="621"/>
      <c r="AD74" s="621"/>
      <c r="AE74" s="621"/>
      <c r="AF74" s="621"/>
      <c r="AG74" s="621"/>
      <c r="AI74" s="583"/>
      <c r="AJ74" s="621"/>
      <c r="AK74" s="621"/>
      <c r="AL74" s="621"/>
      <c r="AM74" s="621"/>
      <c r="AN74" s="621"/>
      <c r="AO74" s="621"/>
      <c r="AP74" s="621"/>
      <c r="AQ74" s="621"/>
      <c r="AR74" s="621"/>
      <c r="AS74" s="621"/>
      <c r="AT74" s="621"/>
      <c r="AU74" s="621"/>
      <c r="AV74" s="621"/>
      <c r="AW74" s="621"/>
      <c r="AX74" s="621"/>
      <c r="AY74" s="621"/>
      <c r="AZ74" s="621"/>
      <c r="BA74" s="621"/>
      <c r="BB74" s="621"/>
      <c r="BC74" s="621"/>
      <c r="BD74" s="621"/>
    </row>
    <row r="75" spans="1:56">
      <c r="A75" s="1" t="s">
        <v>2335</v>
      </c>
      <c r="B75" s="822"/>
      <c r="C75" s="825"/>
      <c r="D75" s="825"/>
      <c r="E75" s="825"/>
      <c r="F75" s="822"/>
      <c r="G75" s="822"/>
      <c r="H75" s="822"/>
      <c r="I75" s="822"/>
      <c r="J75" s="822"/>
      <c r="K75" s="822"/>
      <c r="L75" s="822"/>
      <c r="M75" s="822"/>
      <c r="N75" s="1249">
        <f>-'Input Plant'!CU40/1000</f>
        <v>-72252.881015384613</v>
      </c>
      <c r="O75" s="822"/>
      <c r="P75" s="822">
        <f>J75+L75+N75</f>
        <v>-72252.881015384613</v>
      </c>
      <c r="Q75" s="822"/>
      <c r="R75" s="1052"/>
      <c r="S75" s="822"/>
      <c r="T75" s="822">
        <f>P75+R75</f>
        <v>-72252.881015384613</v>
      </c>
      <c r="U75" s="620"/>
      <c r="V75" s="619"/>
      <c r="W75" s="583"/>
      <c r="X75" s="621"/>
      <c r="Y75" s="621"/>
      <c r="Z75" s="621"/>
      <c r="AA75" s="621"/>
      <c r="AB75" s="621"/>
      <c r="AC75" s="621"/>
      <c r="AD75" s="621"/>
      <c r="AE75" s="621"/>
      <c r="AF75" s="621"/>
      <c r="AG75" s="621"/>
      <c r="AI75" s="583"/>
      <c r="AJ75" s="621"/>
      <c r="AK75" s="621"/>
      <c r="AL75" s="621"/>
      <c r="AM75" s="621"/>
      <c r="AN75" s="621"/>
      <c r="AO75" s="621"/>
      <c r="AP75" s="621"/>
      <c r="AQ75" s="621"/>
      <c r="AR75" s="621"/>
      <c r="AS75" s="621"/>
      <c r="AT75" s="621"/>
      <c r="AU75" s="621"/>
      <c r="AV75" s="621"/>
      <c r="AW75" s="621"/>
      <c r="AX75" s="621"/>
      <c r="AY75" s="621"/>
      <c r="AZ75" s="621"/>
      <c r="BA75" s="621"/>
      <c r="BB75" s="621"/>
      <c r="BC75" s="621"/>
      <c r="BD75" s="621"/>
    </row>
    <row r="76" spans="1:56">
      <c r="A76" s="583" t="s">
        <v>470</v>
      </c>
      <c r="B76" s="821"/>
      <c r="C76" s="822"/>
      <c r="D76" s="821"/>
      <c r="E76" s="822"/>
      <c r="F76" s="821"/>
      <c r="G76" s="822"/>
      <c r="H76" s="821"/>
      <c r="I76" s="822"/>
      <c r="J76" s="821"/>
      <c r="K76" s="822"/>
      <c r="L76" s="821"/>
      <c r="M76" s="822"/>
      <c r="N76" s="821"/>
      <c r="O76" s="822"/>
      <c r="P76" s="821"/>
      <c r="Q76" s="822"/>
      <c r="R76" s="826">
        <f>-Reconcil!C67</f>
        <v>-958.58977461538461</v>
      </c>
      <c r="S76" s="822"/>
      <c r="T76" s="826">
        <f>P76+R76</f>
        <v>-958.58977461538461</v>
      </c>
      <c r="U76" s="620"/>
      <c r="V76" s="619"/>
      <c r="W76" s="583"/>
      <c r="X76" s="621"/>
      <c r="Y76" s="621"/>
      <c r="Z76" s="621"/>
      <c r="AA76" s="621"/>
      <c r="AB76" s="621"/>
      <c r="AC76" s="621"/>
      <c r="AD76" s="621"/>
      <c r="AE76" s="621"/>
      <c r="AF76" s="621"/>
      <c r="AG76" s="621"/>
      <c r="AI76" s="583"/>
      <c r="AJ76" s="621"/>
      <c r="AK76" s="621"/>
      <c r="AL76" s="621"/>
      <c r="AM76" s="621"/>
      <c r="AN76" s="621"/>
      <c r="AO76" s="621"/>
      <c r="AP76" s="621"/>
      <c r="AQ76" s="621"/>
      <c r="AR76" s="621"/>
      <c r="AS76" s="621"/>
      <c r="AT76" s="621"/>
      <c r="AU76" s="621"/>
      <c r="AV76" s="621"/>
      <c r="AW76" s="621"/>
      <c r="AX76" s="621"/>
      <c r="AY76" s="621"/>
      <c r="AZ76" s="621"/>
      <c r="BA76" s="621"/>
      <c r="BB76" s="621"/>
      <c r="BC76" s="621"/>
      <c r="BD76" s="621"/>
    </row>
    <row r="77" spans="1:56" ht="12.95" customHeight="1">
      <c r="A77" s="583" t="s">
        <v>140</v>
      </c>
      <c r="B77" s="821">
        <f>SUM(B58:B76)</f>
        <v>-30949.954691330771</v>
      </c>
      <c r="C77" s="822"/>
      <c r="D77" s="821">
        <f>SUM(D58:D76)</f>
        <v>-2947</v>
      </c>
      <c r="E77" s="822"/>
      <c r="F77" s="821">
        <f>SUM(F58:F76)</f>
        <v>-3478.4739911538463</v>
      </c>
      <c r="G77" s="822"/>
      <c r="H77" s="821">
        <f>SUM(H58:H76)</f>
        <v>0</v>
      </c>
      <c r="I77" s="822"/>
      <c r="J77" s="821">
        <f>SUM(J58:J76)</f>
        <v>-30418.480700176926</v>
      </c>
      <c r="K77" s="822"/>
      <c r="L77" s="821">
        <f>SUM(L58:L76)</f>
        <v>-1939.5515500000001</v>
      </c>
      <c r="M77" s="822"/>
      <c r="N77" s="821">
        <f>SUM(N58:N76)</f>
        <v>-97251.688505384605</v>
      </c>
      <c r="O77" s="822"/>
      <c r="P77" s="821">
        <f>SUM(P58:P76)</f>
        <v>-129609.72075556155</v>
      </c>
      <c r="Q77" s="822"/>
      <c r="R77" s="821">
        <f>SUM(R58:R76)</f>
        <v>-17664.341706153846</v>
      </c>
      <c r="S77" s="822"/>
      <c r="T77" s="821">
        <f>SUM(T58:T76)</f>
        <v>-147274.0624617154</v>
      </c>
      <c r="U77" s="620"/>
      <c r="V77" s="619"/>
      <c r="W77" s="583"/>
      <c r="X77" s="621"/>
      <c r="Y77" s="621"/>
      <c r="Z77" s="621"/>
      <c r="AA77" s="621"/>
      <c r="AB77" s="621"/>
      <c r="AC77" s="621"/>
      <c r="AD77" s="621"/>
      <c r="AE77" s="621"/>
      <c r="AF77" s="621"/>
      <c r="AG77" s="621"/>
      <c r="AI77" s="583"/>
      <c r="AJ77" s="621"/>
      <c r="AK77" s="621"/>
      <c r="AL77" s="621"/>
      <c r="AM77" s="621"/>
      <c r="AN77" s="621"/>
      <c r="AO77" s="621"/>
      <c r="AP77" s="621"/>
      <c r="AQ77" s="621"/>
      <c r="AR77" s="621"/>
      <c r="AS77" s="621"/>
      <c r="AT77" s="621"/>
      <c r="AU77" s="621"/>
      <c r="AV77" s="621"/>
      <c r="AW77" s="621"/>
      <c r="AX77" s="621"/>
      <c r="AY77" s="621"/>
      <c r="AZ77" s="621"/>
      <c r="BA77" s="621"/>
      <c r="BB77" s="621"/>
      <c r="BC77" s="621"/>
      <c r="BD77" s="621"/>
    </row>
    <row r="78" spans="1:56">
      <c r="A78" s="583"/>
      <c r="B78" s="619" t="s">
        <v>7</v>
      </c>
      <c r="C78" s="619"/>
      <c r="D78" s="619" t="s">
        <v>7</v>
      </c>
      <c r="E78" s="619"/>
      <c r="F78" s="619" t="s">
        <v>7</v>
      </c>
      <c r="G78" s="619"/>
      <c r="H78" s="619" t="s">
        <v>7</v>
      </c>
      <c r="I78" s="619"/>
      <c r="J78" s="619" t="s">
        <v>7</v>
      </c>
      <c r="K78" s="619"/>
      <c r="L78" s="619" t="s">
        <v>7</v>
      </c>
      <c r="M78" s="619"/>
      <c r="N78" s="619" t="s">
        <v>7</v>
      </c>
      <c r="O78" s="619"/>
      <c r="P78" s="619" t="s">
        <v>7</v>
      </c>
      <c r="Q78" s="619"/>
      <c r="R78" s="619" t="s">
        <v>7</v>
      </c>
      <c r="S78" s="619"/>
      <c r="T78" s="619" t="s">
        <v>7</v>
      </c>
      <c r="U78" s="620"/>
      <c r="V78" s="620"/>
      <c r="W78" s="583"/>
      <c r="X78" s="621"/>
      <c r="Y78" s="621"/>
      <c r="Z78" s="621"/>
      <c r="AA78" s="621"/>
      <c r="AB78" s="621"/>
      <c r="AC78" s="621"/>
      <c r="AD78" s="621"/>
      <c r="AE78" s="621"/>
      <c r="AF78" s="621"/>
      <c r="AG78" s="621"/>
      <c r="AI78" s="583"/>
      <c r="AJ78" s="621"/>
      <c r="AK78" s="621"/>
      <c r="AL78" s="621"/>
      <c r="AM78" s="621"/>
      <c r="AN78" s="621"/>
      <c r="AO78" s="621"/>
      <c r="AP78" s="621"/>
      <c r="AQ78" s="621"/>
      <c r="AR78" s="621"/>
      <c r="AS78" s="621"/>
      <c r="AT78" s="621"/>
      <c r="AU78" s="621"/>
      <c r="AV78" s="621"/>
      <c r="AW78" s="621"/>
      <c r="AX78" s="621"/>
      <c r="AY78" s="621"/>
      <c r="AZ78" s="621"/>
      <c r="BA78" s="621"/>
      <c r="BB78" s="621"/>
      <c r="BC78" s="621"/>
      <c r="BD78" s="621"/>
    </row>
    <row r="79" spans="1:56" ht="13.5" thickBot="1">
      <c r="A79" s="583" t="s">
        <v>141</v>
      </c>
      <c r="B79" s="626">
        <f>B55+B77</f>
        <v>2542895.3303263611</v>
      </c>
      <c r="C79" s="619"/>
      <c r="D79" s="626">
        <f>D55+D77</f>
        <v>2084.8972399999993</v>
      </c>
      <c r="E79" s="619"/>
      <c r="F79" s="626">
        <f>F55+F77</f>
        <v>863695.62008269236</v>
      </c>
      <c r="G79" s="619"/>
      <c r="H79" s="626">
        <f>H55+H77</f>
        <v>20227.79474615385</v>
      </c>
      <c r="I79" s="619"/>
      <c r="J79" s="626">
        <f>J55+J77</f>
        <v>1661056.812737515</v>
      </c>
      <c r="K79" s="619"/>
      <c r="L79" s="626">
        <f>L55+L77</f>
        <v>0</v>
      </c>
      <c r="M79" s="619"/>
      <c r="N79" s="626">
        <f>N55+N77</f>
        <v>98720.05334769233</v>
      </c>
      <c r="O79" s="619"/>
      <c r="P79" s="626">
        <f>P55+P77</f>
        <v>1759776.8660852073</v>
      </c>
      <c r="Q79" s="619"/>
      <c r="R79" s="626">
        <f>R55+R77</f>
        <v>-25817.500116923122</v>
      </c>
      <c r="S79" s="619"/>
      <c r="T79" s="626">
        <f>T55+T77</f>
        <v>1733959.3659682842</v>
      </c>
      <c r="U79" s="619"/>
      <c r="V79" s="619"/>
      <c r="W79" s="583"/>
      <c r="X79" s="621"/>
      <c r="Y79" s="621"/>
      <c r="Z79" s="621"/>
      <c r="AA79" s="621"/>
      <c r="AB79" s="621"/>
      <c r="AC79" s="621"/>
      <c r="AD79" s="621"/>
      <c r="AE79" s="621"/>
      <c r="AF79" s="621"/>
      <c r="AG79" s="621"/>
      <c r="AI79" s="583"/>
      <c r="AJ79" s="621"/>
      <c r="AK79" s="621"/>
      <c r="AL79" s="621"/>
      <c r="AM79" s="621"/>
      <c r="AN79" s="621"/>
      <c r="AO79" s="621"/>
      <c r="AP79" s="621"/>
      <c r="AQ79" s="621"/>
      <c r="AR79" s="621"/>
      <c r="AS79" s="621"/>
      <c r="AT79" s="621"/>
      <c r="AU79" s="621"/>
      <c r="AV79" s="621"/>
      <c r="AW79" s="621"/>
      <c r="AX79" s="621"/>
      <c r="AY79" s="621"/>
      <c r="AZ79" s="621"/>
      <c r="BA79" s="621"/>
      <c r="BB79" s="621"/>
      <c r="BC79" s="621"/>
      <c r="BD79" s="621"/>
    </row>
    <row r="80" spans="1:56" ht="13.5" thickTop="1">
      <c r="A80" s="583"/>
      <c r="B80" s="619"/>
      <c r="C80" s="619"/>
      <c r="D80" s="619"/>
      <c r="E80" s="619"/>
      <c r="F80" s="619"/>
      <c r="G80" s="619"/>
      <c r="H80" s="619"/>
      <c r="I80" s="619"/>
      <c r="J80" s="619"/>
      <c r="K80" s="619"/>
      <c r="L80" s="619"/>
      <c r="M80" s="619"/>
      <c r="N80" s="619"/>
      <c r="O80" s="619"/>
      <c r="P80" s="619"/>
      <c r="Q80" s="619"/>
      <c r="R80" s="619"/>
      <c r="S80" s="619"/>
      <c r="T80" s="619"/>
      <c r="U80" s="620"/>
      <c r="V80" s="620"/>
      <c r="W80" s="583"/>
      <c r="X80" s="621"/>
      <c r="Y80" s="621"/>
      <c r="Z80" s="621"/>
      <c r="AA80" s="621"/>
      <c r="AB80" s="621"/>
      <c r="AC80" s="621"/>
      <c r="AD80" s="621"/>
      <c r="AE80" s="621"/>
      <c r="AF80" s="621"/>
      <c r="AG80" s="621"/>
      <c r="AI80" s="583"/>
      <c r="AJ80" s="621"/>
      <c r="AK80" s="621"/>
      <c r="AL80" s="621"/>
      <c r="AM80" s="621"/>
      <c r="AN80" s="621"/>
      <c r="AO80" s="621"/>
      <c r="AP80" s="621"/>
      <c r="AQ80" s="621"/>
      <c r="AR80" s="621"/>
      <c r="AS80" s="621"/>
      <c r="AT80" s="621"/>
      <c r="AU80" s="621"/>
      <c r="AV80" s="621"/>
      <c r="AW80" s="621"/>
      <c r="AX80" s="621"/>
      <c r="AY80" s="621"/>
      <c r="AZ80" s="621"/>
      <c r="BA80" s="621"/>
      <c r="BB80" s="621"/>
      <c r="BC80" s="621"/>
      <c r="BD80" s="621"/>
    </row>
    <row r="81" spans="1:56">
      <c r="A81" s="622" t="s">
        <v>2</v>
      </c>
      <c r="B81" s="618"/>
      <c r="C81" s="619"/>
      <c r="D81" s="618"/>
      <c r="E81" s="619"/>
      <c r="F81" s="618"/>
      <c r="G81" s="619"/>
      <c r="H81" s="618"/>
      <c r="I81" s="619"/>
      <c r="J81" s="618"/>
      <c r="K81" s="619"/>
      <c r="L81" s="618"/>
      <c r="M81" s="619"/>
      <c r="N81" s="618"/>
      <c r="O81" s="619"/>
      <c r="P81" s="618"/>
      <c r="Q81" s="619"/>
      <c r="R81" s="618"/>
      <c r="S81" s="619"/>
      <c r="T81" s="618"/>
      <c r="U81" s="620"/>
      <c r="V81" s="620"/>
      <c r="W81" s="583"/>
      <c r="X81" s="621"/>
      <c r="Y81" s="621"/>
      <c r="Z81" s="621"/>
      <c r="AA81" s="621"/>
      <c r="AB81" s="621"/>
      <c r="AC81" s="621"/>
      <c r="AD81" s="621"/>
      <c r="AE81" s="621"/>
      <c r="AF81" s="621"/>
      <c r="AG81" s="621"/>
      <c r="AI81" s="583"/>
      <c r="AJ81" s="621"/>
      <c r="AK81" s="621"/>
      <c r="AL81" s="621"/>
      <c r="AM81" s="621"/>
      <c r="AN81" s="621"/>
      <c r="AO81" s="621"/>
      <c r="AP81" s="621"/>
      <c r="AQ81" s="621"/>
      <c r="AR81" s="621"/>
      <c r="AS81" s="621"/>
      <c r="AT81" s="621"/>
      <c r="AU81" s="621"/>
      <c r="AV81" s="621"/>
      <c r="AW81" s="621"/>
      <c r="AX81" s="621"/>
      <c r="AY81" s="621"/>
      <c r="AZ81" s="621"/>
      <c r="BA81" s="621"/>
      <c r="BB81" s="621"/>
      <c r="BC81" s="621"/>
      <c r="BD81" s="621"/>
    </row>
    <row r="82" spans="1:56">
      <c r="A82" s="583" t="s">
        <v>142</v>
      </c>
      <c r="B82" s="619"/>
      <c r="C82" s="619"/>
      <c r="D82" s="619"/>
      <c r="E82" s="619"/>
      <c r="F82" s="619"/>
      <c r="G82" s="619"/>
      <c r="H82" s="619"/>
      <c r="I82" s="619"/>
      <c r="J82" s="619"/>
      <c r="K82" s="619"/>
      <c r="L82" s="619"/>
      <c r="M82" s="619"/>
      <c r="N82" s="619"/>
      <c r="O82" s="619"/>
      <c r="P82" s="619"/>
      <c r="Q82" s="619"/>
      <c r="R82" s="619"/>
      <c r="S82" s="619"/>
      <c r="T82" s="619"/>
      <c r="U82" s="620"/>
      <c r="V82" s="620"/>
      <c r="W82" s="583"/>
      <c r="X82" s="621"/>
      <c r="Y82" s="621"/>
      <c r="Z82" s="621"/>
      <c r="AA82" s="621"/>
      <c r="AB82" s="621"/>
      <c r="AC82" s="621"/>
      <c r="AD82" s="621"/>
      <c r="AE82" s="621"/>
      <c r="AF82" s="621"/>
      <c r="AG82" s="621"/>
      <c r="AI82" s="583"/>
      <c r="AJ82" s="621"/>
      <c r="AK82" s="621"/>
      <c r="AL82" s="621"/>
      <c r="AM82" s="621"/>
      <c r="AN82" s="621"/>
      <c r="AO82" s="621"/>
      <c r="AP82" s="621"/>
      <c r="AQ82" s="621"/>
      <c r="AR82" s="621"/>
      <c r="AS82" s="621"/>
      <c r="AT82" s="621"/>
      <c r="AU82" s="621"/>
      <c r="AV82" s="621"/>
      <c r="AW82" s="621"/>
      <c r="AX82" s="621"/>
      <c r="AY82" s="621"/>
      <c r="AZ82" s="621"/>
      <c r="BA82" s="621"/>
      <c r="BB82" s="621"/>
      <c r="BC82" s="621"/>
      <c r="BD82" s="621"/>
    </row>
    <row r="83" spans="1:56" ht="13.5" thickBot="1">
      <c r="A83" s="583" t="s">
        <v>2</v>
      </c>
      <c r="B83" s="626">
        <f>B79+B81</f>
        <v>2542895.3303263611</v>
      </c>
      <c r="C83" s="619"/>
      <c r="D83" s="626">
        <f>D79+D81</f>
        <v>2084.8972399999993</v>
      </c>
      <c r="E83" s="619"/>
      <c r="F83" s="626">
        <f>F79+F81</f>
        <v>863695.62008269236</v>
      </c>
      <c r="G83" s="619"/>
      <c r="H83" s="626">
        <f>H79+H81</f>
        <v>20227.79474615385</v>
      </c>
      <c r="I83" s="619"/>
      <c r="J83" s="626">
        <f>J79+J81</f>
        <v>1661056.812737515</v>
      </c>
      <c r="K83" s="619"/>
      <c r="L83" s="626">
        <f>L79+L81</f>
        <v>0</v>
      </c>
      <c r="M83" s="619"/>
      <c r="N83" s="626">
        <f>N79+N81</f>
        <v>98720.05334769233</v>
      </c>
      <c r="O83" s="619"/>
      <c r="P83" s="626">
        <f>P79+P81</f>
        <v>1759776.8660852073</v>
      </c>
      <c r="Q83" s="619"/>
      <c r="R83" s="626">
        <f>R79+R81</f>
        <v>-25817.500116923122</v>
      </c>
      <c r="S83" s="619"/>
      <c r="T83" s="626">
        <f>T79+T81</f>
        <v>1733959.3659682842</v>
      </c>
      <c r="U83" s="620"/>
      <c r="V83" s="619"/>
      <c r="W83" s="583"/>
      <c r="X83" s="621"/>
      <c r="Y83" s="621"/>
      <c r="Z83" s="621"/>
      <c r="AA83" s="621"/>
      <c r="AB83" s="621"/>
      <c r="AC83" s="621"/>
      <c r="AD83" s="621"/>
      <c r="AE83" s="621"/>
      <c r="AF83" s="621"/>
      <c r="AG83" s="621"/>
      <c r="AI83" s="583"/>
      <c r="AJ83" s="621"/>
      <c r="AK83" s="621"/>
      <c r="AL83" s="621"/>
      <c r="AM83" s="621"/>
      <c r="AN83" s="621"/>
      <c r="AO83" s="621"/>
      <c r="AP83" s="621"/>
      <c r="AQ83" s="621"/>
      <c r="AR83" s="621"/>
      <c r="AS83" s="621"/>
      <c r="AT83" s="621"/>
      <c r="AU83" s="621"/>
      <c r="AV83" s="621"/>
      <c r="AW83" s="621"/>
      <c r="AX83" s="621"/>
      <c r="AY83" s="621"/>
      <c r="AZ83" s="621"/>
      <c r="BA83" s="621"/>
      <c r="BB83" s="621"/>
      <c r="BC83" s="621"/>
      <c r="BD83" s="621"/>
    </row>
    <row r="84" spans="1:56" ht="13.5" thickTop="1">
      <c r="A84" s="583"/>
      <c r="B84" s="619"/>
      <c r="C84" s="619"/>
      <c r="D84" s="619"/>
      <c r="E84" s="619"/>
      <c r="F84" s="619"/>
      <c r="G84" s="619"/>
      <c r="H84" s="619"/>
      <c r="I84" s="619"/>
      <c r="J84" s="619"/>
      <c r="K84" s="619"/>
      <c r="L84" s="619"/>
      <c r="M84" s="619"/>
      <c r="N84" s="619"/>
      <c r="O84" s="619"/>
      <c r="P84" s="619"/>
      <c r="Q84" s="619"/>
      <c r="R84" s="619"/>
      <c r="S84" s="619"/>
      <c r="T84" s="619"/>
      <c r="U84" s="620"/>
      <c r="V84" s="620"/>
      <c r="W84" s="583"/>
      <c r="X84" s="621"/>
      <c r="Y84" s="621"/>
      <c r="Z84" s="621"/>
      <c r="AA84" s="621"/>
      <c r="AB84" s="621"/>
      <c r="AC84" s="621"/>
      <c r="AD84" s="621"/>
      <c r="AE84" s="621"/>
      <c r="AF84" s="621"/>
      <c r="AG84" s="621"/>
      <c r="AI84" s="583"/>
      <c r="AJ84" s="621"/>
      <c r="AK84" s="621"/>
      <c r="AL84" s="621"/>
      <c r="AM84" s="621"/>
      <c r="AN84" s="621"/>
      <c r="AO84" s="621"/>
      <c r="AP84" s="621"/>
      <c r="AQ84" s="621"/>
      <c r="AR84" s="621"/>
      <c r="AS84" s="621"/>
      <c r="AT84" s="621"/>
      <c r="AU84" s="621"/>
      <c r="AV84" s="621"/>
      <c r="AW84" s="621"/>
      <c r="AX84" s="621"/>
      <c r="AY84" s="621"/>
      <c r="AZ84" s="621"/>
      <c r="BA84" s="621"/>
      <c r="BB84" s="621"/>
      <c r="BC84" s="621"/>
      <c r="BD84" s="621"/>
    </row>
    <row r="85" spans="1:56">
      <c r="A85" s="583" t="s">
        <v>143</v>
      </c>
      <c r="B85" s="619"/>
      <c r="C85" s="619"/>
      <c r="D85" s="619"/>
      <c r="E85" s="619"/>
      <c r="F85" s="619"/>
      <c r="G85" s="619"/>
      <c r="H85" s="619"/>
      <c r="I85" s="619"/>
      <c r="J85" s="619"/>
      <c r="K85" s="619"/>
      <c r="L85" s="619"/>
      <c r="M85" s="619"/>
      <c r="N85" s="619"/>
      <c r="O85" s="619"/>
      <c r="P85" s="619"/>
      <c r="Q85" s="619"/>
      <c r="R85" s="619"/>
      <c r="S85" s="619"/>
      <c r="T85" s="619"/>
      <c r="U85" s="620"/>
      <c r="V85" s="620"/>
      <c r="W85" s="583"/>
      <c r="X85" s="621"/>
      <c r="Y85" s="621"/>
      <c r="Z85" s="621"/>
      <c r="AA85" s="621"/>
      <c r="AB85" s="621"/>
      <c r="AC85" s="621"/>
      <c r="AD85" s="621"/>
      <c r="AE85" s="621"/>
      <c r="AF85" s="621"/>
      <c r="AG85" s="621"/>
      <c r="AI85" s="583"/>
      <c r="AJ85" s="621"/>
      <c r="AK85" s="621"/>
      <c r="AL85" s="621"/>
      <c r="AM85" s="621"/>
      <c r="AN85" s="621"/>
      <c r="AO85" s="621"/>
      <c r="AP85" s="621"/>
      <c r="AQ85" s="621"/>
      <c r="AR85" s="621"/>
      <c r="AS85" s="621"/>
      <c r="AT85" s="621"/>
      <c r="AU85" s="621"/>
      <c r="AV85" s="621"/>
      <c r="AW85" s="621"/>
      <c r="AX85" s="621"/>
      <c r="AY85" s="621"/>
      <c r="AZ85" s="621"/>
      <c r="BA85" s="621"/>
      <c r="BB85" s="621"/>
      <c r="BC85" s="621"/>
      <c r="BD85" s="621"/>
    </row>
    <row r="86" spans="1:56">
      <c r="A86" s="622" t="s">
        <v>144</v>
      </c>
      <c r="B86" s="619"/>
      <c r="C86" s="619"/>
      <c r="D86" s="619"/>
      <c r="E86" s="619"/>
      <c r="F86" s="619"/>
      <c r="G86" s="619"/>
      <c r="H86" s="619"/>
      <c r="I86" s="619"/>
      <c r="J86" s="619"/>
      <c r="K86" s="619"/>
      <c r="L86" s="619"/>
      <c r="M86" s="619"/>
      <c r="N86" s="619"/>
      <c r="O86" s="619"/>
      <c r="P86" s="619"/>
      <c r="Q86" s="619"/>
      <c r="R86" s="619"/>
      <c r="S86" s="619"/>
      <c r="T86" s="619"/>
      <c r="U86" s="620"/>
      <c r="V86" s="620"/>
      <c r="W86" s="583"/>
      <c r="X86" s="621"/>
      <c r="Y86" s="621"/>
      <c r="Z86" s="621"/>
      <c r="AA86" s="621"/>
      <c r="AB86" s="621"/>
      <c r="AC86" s="621"/>
      <c r="AD86" s="621"/>
      <c r="AE86" s="621"/>
      <c r="AF86" s="621"/>
      <c r="AG86" s="621"/>
      <c r="AI86" s="583"/>
      <c r="AJ86" s="621"/>
      <c r="AK86" s="621"/>
      <c r="AL86" s="621"/>
      <c r="AM86" s="621"/>
      <c r="AN86" s="621"/>
      <c r="AO86" s="621"/>
      <c r="AP86" s="621"/>
      <c r="AQ86" s="621"/>
      <c r="AR86" s="621"/>
      <c r="AS86" s="621"/>
      <c r="AT86" s="621"/>
      <c r="AU86" s="621"/>
      <c r="AV86" s="621"/>
      <c r="AW86" s="621"/>
      <c r="AX86" s="621"/>
      <c r="AY86" s="621"/>
      <c r="AZ86" s="621"/>
      <c r="BA86" s="621"/>
      <c r="BB86" s="621"/>
      <c r="BC86" s="621"/>
      <c r="BD86" s="621"/>
    </row>
    <row r="87" spans="1:56">
      <c r="A87" s="583"/>
      <c r="B87" s="619"/>
      <c r="C87" s="619"/>
      <c r="D87" s="619"/>
      <c r="E87" s="619"/>
      <c r="F87" s="619"/>
      <c r="G87" s="619"/>
      <c r="H87" s="619"/>
      <c r="I87" s="619"/>
      <c r="J87" s="619"/>
      <c r="K87" s="619"/>
      <c r="L87" s="619"/>
      <c r="M87" s="619"/>
      <c r="N87" s="619"/>
      <c r="O87" s="619"/>
      <c r="P87" s="619"/>
      <c r="Q87" s="619"/>
      <c r="R87" s="619"/>
      <c r="S87" s="619"/>
      <c r="T87" s="619"/>
      <c r="U87" s="620"/>
      <c r="V87" s="620"/>
      <c r="W87" s="583"/>
      <c r="X87" s="621"/>
      <c r="Y87" s="621"/>
      <c r="Z87" s="621"/>
      <c r="AA87" s="621"/>
      <c r="AB87" s="621"/>
      <c r="AC87" s="621"/>
      <c r="AD87" s="621"/>
      <c r="AE87" s="621"/>
      <c r="AF87" s="621"/>
      <c r="AG87" s="621"/>
      <c r="AI87" s="583"/>
      <c r="AJ87" s="621"/>
      <c r="AK87" s="621"/>
      <c r="AL87" s="621"/>
      <c r="AM87" s="621"/>
      <c r="AN87" s="621"/>
      <c r="AO87" s="621"/>
      <c r="AP87" s="621"/>
      <c r="AQ87" s="621"/>
      <c r="AR87" s="621"/>
      <c r="AS87" s="621"/>
      <c r="AT87" s="621"/>
      <c r="AU87" s="621"/>
      <c r="AV87" s="621"/>
      <c r="AW87" s="621"/>
      <c r="AX87" s="621"/>
      <c r="AY87" s="621"/>
      <c r="AZ87" s="621"/>
      <c r="BA87" s="621"/>
      <c r="BB87" s="621"/>
      <c r="BC87" s="621"/>
      <c r="BD87" s="621"/>
    </row>
    <row r="88" spans="1:56">
      <c r="A88" s="583"/>
      <c r="B88" s="619"/>
      <c r="C88" s="619"/>
      <c r="D88" s="619"/>
      <c r="E88" s="619"/>
      <c r="F88" s="619"/>
      <c r="G88" s="619"/>
      <c r="H88" s="619"/>
      <c r="I88" s="619"/>
      <c r="J88" s="619"/>
      <c r="K88" s="619"/>
      <c r="L88" s="619"/>
      <c r="M88" s="619"/>
      <c r="N88" s="619"/>
      <c r="O88" s="619"/>
      <c r="P88" s="619"/>
      <c r="Q88" s="619"/>
      <c r="R88" s="619"/>
      <c r="S88" s="619"/>
      <c r="T88" s="619">
        <f>P88+R88</f>
        <v>0</v>
      </c>
      <c r="U88" s="620"/>
      <c r="V88" s="619"/>
      <c r="W88" s="583"/>
      <c r="X88" s="621"/>
      <c r="Y88" s="621"/>
      <c r="Z88" s="621"/>
      <c r="AA88" s="621"/>
      <c r="AB88" s="621"/>
      <c r="AC88" s="621"/>
      <c r="AD88" s="621"/>
      <c r="AE88" s="621"/>
      <c r="AF88" s="621"/>
      <c r="AG88" s="621"/>
      <c r="AI88" s="583"/>
      <c r="AJ88" s="621"/>
      <c r="AK88" s="621"/>
      <c r="AL88" s="621"/>
      <c r="AM88" s="621"/>
      <c r="AN88" s="621"/>
      <c r="AO88" s="621"/>
      <c r="AP88" s="621"/>
      <c r="AQ88" s="621"/>
      <c r="AR88" s="621"/>
      <c r="AS88" s="621"/>
      <c r="AT88" s="621"/>
      <c r="AU88" s="621"/>
      <c r="AV88" s="621"/>
      <c r="AW88" s="621"/>
      <c r="AX88" s="621"/>
      <c r="AY88" s="621"/>
      <c r="AZ88" s="621"/>
      <c r="BA88" s="621"/>
      <c r="BB88" s="621"/>
      <c r="BC88" s="621"/>
      <c r="BD88" s="621"/>
    </row>
    <row r="89" spans="1:56">
      <c r="A89" s="583"/>
      <c r="B89" s="618"/>
      <c r="C89" s="619"/>
      <c r="D89" s="618"/>
      <c r="E89" s="619"/>
      <c r="F89" s="618"/>
      <c r="G89" s="619"/>
      <c r="H89" s="618"/>
      <c r="I89" s="619"/>
      <c r="J89" s="618"/>
      <c r="K89" s="619"/>
      <c r="L89" s="618"/>
      <c r="M89" s="619"/>
      <c r="N89" s="618"/>
      <c r="O89" s="619"/>
      <c r="P89" s="618"/>
      <c r="Q89" s="619"/>
      <c r="R89" s="618"/>
      <c r="S89" s="619"/>
      <c r="T89" s="618"/>
      <c r="U89" s="620"/>
      <c r="V89" s="620"/>
      <c r="W89" s="583"/>
      <c r="X89" s="621"/>
      <c r="Y89" s="621"/>
      <c r="Z89" s="621"/>
      <c r="AA89" s="621"/>
      <c r="AB89" s="621"/>
      <c r="AC89" s="621"/>
      <c r="AD89" s="621"/>
      <c r="AE89" s="621"/>
      <c r="AF89" s="621"/>
      <c r="AG89" s="621"/>
      <c r="AI89" s="583"/>
      <c r="AJ89" s="621"/>
      <c r="AK89" s="621"/>
      <c r="AL89" s="621"/>
      <c r="AM89" s="621"/>
      <c r="AN89" s="621"/>
      <c r="AO89" s="621"/>
      <c r="AP89" s="621"/>
      <c r="AQ89" s="621"/>
      <c r="AR89" s="621"/>
      <c r="AS89" s="621"/>
      <c r="AT89" s="621"/>
      <c r="AU89" s="621"/>
      <c r="AV89" s="621"/>
      <c r="AW89" s="621"/>
      <c r="AX89" s="621"/>
      <c r="AY89" s="621"/>
      <c r="AZ89" s="621"/>
      <c r="BA89" s="621"/>
      <c r="BB89" s="621"/>
      <c r="BC89" s="621"/>
      <c r="BD89" s="621"/>
    </row>
    <row r="90" spans="1:56" ht="12.95" customHeight="1">
      <c r="A90" s="583" t="s">
        <v>145</v>
      </c>
      <c r="B90" s="618">
        <f>SUM(B88:B88)</f>
        <v>0</v>
      </c>
      <c r="C90" s="619"/>
      <c r="D90" s="618">
        <f>SUM(D88:D88)</f>
        <v>0</v>
      </c>
      <c r="E90" s="619"/>
      <c r="F90" s="618">
        <f>SUM(F88:F88)</f>
        <v>0</v>
      </c>
      <c r="G90" s="619"/>
      <c r="H90" s="618">
        <f>SUM(H88:H88)</f>
        <v>0</v>
      </c>
      <c r="I90" s="619"/>
      <c r="J90" s="618">
        <f>SUM(J88:J88)</f>
        <v>0</v>
      </c>
      <c r="K90" s="619"/>
      <c r="L90" s="618">
        <f>SUM(L88:L88)</f>
        <v>0</v>
      </c>
      <c r="M90" s="619"/>
      <c r="N90" s="618">
        <f>SUM(N88:N88)</f>
        <v>0</v>
      </c>
      <c r="O90" s="619"/>
      <c r="P90" s="618">
        <f>SUM(P88:P88)</f>
        <v>0</v>
      </c>
      <c r="Q90" s="619"/>
      <c r="R90" s="618">
        <f>SUM(R88:R88)</f>
        <v>0</v>
      </c>
      <c r="S90" s="619"/>
      <c r="T90" s="618">
        <f>SUM(T88:T88)</f>
        <v>0</v>
      </c>
      <c r="U90" s="620"/>
      <c r="V90" s="619"/>
      <c r="W90" s="583"/>
      <c r="X90" s="621"/>
      <c r="Y90" s="621"/>
      <c r="Z90" s="621"/>
      <c r="AA90" s="621"/>
      <c r="AB90" s="621"/>
      <c r="AC90" s="621"/>
      <c r="AD90" s="621"/>
      <c r="AE90" s="621"/>
      <c r="AF90" s="621"/>
      <c r="AG90" s="621"/>
      <c r="AI90" s="583"/>
      <c r="AJ90" s="621"/>
      <c r="AK90" s="621"/>
      <c r="AL90" s="621"/>
      <c r="AM90" s="621"/>
      <c r="AN90" s="621"/>
      <c r="AO90" s="621"/>
      <c r="AP90" s="621"/>
      <c r="AQ90" s="621"/>
      <c r="AR90" s="621"/>
      <c r="AS90" s="621"/>
      <c r="AT90" s="621"/>
      <c r="AU90" s="621"/>
      <c r="AV90" s="621"/>
      <c r="AW90" s="621"/>
      <c r="AX90" s="621"/>
      <c r="AY90" s="621"/>
      <c r="AZ90" s="621"/>
      <c r="BA90" s="621"/>
      <c r="BB90" s="621"/>
      <c r="BC90" s="621"/>
      <c r="BD90" s="621"/>
    </row>
    <row r="91" spans="1:56">
      <c r="A91" s="583"/>
      <c r="B91" s="619"/>
      <c r="C91" s="619"/>
      <c r="D91" s="619"/>
      <c r="E91" s="619"/>
      <c r="F91" s="619"/>
      <c r="G91" s="619"/>
      <c r="H91" s="619"/>
      <c r="I91" s="619"/>
      <c r="J91" s="619"/>
      <c r="K91" s="619"/>
      <c r="L91" s="619"/>
      <c r="M91" s="619"/>
      <c r="N91" s="619"/>
      <c r="O91" s="619"/>
      <c r="P91" s="619"/>
      <c r="Q91" s="619"/>
      <c r="R91" s="619"/>
      <c r="S91" s="619"/>
      <c r="T91" s="619"/>
      <c r="U91" s="620"/>
      <c r="V91" s="620"/>
      <c r="W91" s="583"/>
      <c r="X91" s="621"/>
      <c r="Y91" s="621"/>
      <c r="Z91" s="621"/>
      <c r="AA91" s="621"/>
      <c r="AB91" s="621"/>
      <c r="AC91" s="621"/>
      <c r="AD91" s="621"/>
      <c r="AE91" s="621"/>
      <c r="AF91" s="621"/>
      <c r="AG91" s="621"/>
      <c r="AI91" s="583"/>
      <c r="AJ91" s="621"/>
      <c r="AK91" s="621"/>
      <c r="AL91" s="621"/>
      <c r="AM91" s="621"/>
      <c r="AN91" s="621"/>
      <c r="AO91" s="621"/>
      <c r="AP91" s="621"/>
      <c r="AQ91" s="621"/>
      <c r="AR91" s="621"/>
      <c r="AS91" s="621"/>
      <c r="AT91" s="621"/>
      <c r="AU91" s="621"/>
      <c r="AV91" s="621"/>
      <c r="AW91" s="621"/>
      <c r="AX91" s="621"/>
      <c r="AY91" s="621"/>
      <c r="AZ91" s="621"/>
      <c r="BA91" s="621"/>
      <c r="BB91" s="621"/>
      <c r="BC91" s="621"/>
      <c r="BD91" s="621"/>
    </row>
    <row r="92" spans="1:56" ht="13.5" thickBot="1">
      <c r="A92" s="583" t="s">
        <v>146</v>
      </c>
      <c r="B92" s="626">
        <f>B83+B90</f>
        <v>2542895.3303263611</v>
      </c>
      <c r="C92" s="619"/>
      <c r="D92" s="626">
        <f>D83+D90</f>
        <v>2084.8972399999993</v>
      </c>
      <c r="E92" s="619"/>
      <c r="F92" s="626">
        <f>F83+F90</f>
        <v>863695.62008269236</v>
      </c>
      <c r="G92" s="619"/>
      <c r="H92" s="626">
        <f>H83+H90</f>
        <v>20227.79474615385</v>
      </c>
      <c r="I92" s="619"/>
      <c r="J92" s="626">
        <f>J83+J90</f>
        <v>1661056.812737515</v>
      </c>
      <c r="K92" s="619"/>
      <c r="L92" s="626">
        <f>L83+L90</f>
        <v>0</v>
      </c>
      <c r="M92" s="619"/>
      <c r="N92" s="626">
        <f>N83+N90</f>
        <v>98720.05334769233</v>
      </c>
      <c r="O92" s="619"/>
      <c r="P92" s="626">
        <f>P83+P90</f>
        <v>1759776.8660852073</v>
      </c>
      <c r="Q92" s="619"/>
      <c r="R92" s="626">
        <f>R83+R90</f>
        <v>-25817.500116923122</v>
      </c>
      <c r="S92" s="619"/>
      <c r="T92" s="626">
        <f>T83+T90</f>
        <v>1733959.3659682842</v>
      </c>
      <c r="U92" s="620"/>
      <c r="V92" s="619"/>
      <c r="W92" s="583"/>
      <c r="X92" s="621"/>
      <c r="Y92" s="621"/>
      <c r="Z92" s="621"/>
      <c r="AA92" s="621"/>
      <c r="AB92" s="621"/>
      <c r="AC92" s="621"/>
      <c r="AD92" s="621"/>
      <c r="AE92" s="621"/>
      <c r="AF92" s="621"/>
      <c r="AG92" s="621"/>
      <c r="AI92" s="583"/>
      <c r="AJ92" s="621"/>
      <c r="AK92" s="621"/>
      <c r="AL92" s="621"/>
      <c r="AM92" s="621"/>
      <c r="AN92" s="621"/>
      <c r="AO92" s="621"/>
      <c r="AP92" s="621"/>
      <c r="AQ92" s="621"/>
      <c r="AR92" s="621"/>
      <c r="AS92" s="621"/>
      <c r="AT92" s="621"/>
      <c r="AU92" s="621"/>
      <c r="AV92" s="621"/>
      <c r="AW92" s="621"/>
      <c r="AX92" s="621"/>
      <c r="AY92" s="621"/>
      <c r="AZ92" s="621"/>
      <c r="BA92" s="621"/>
      <c r="BB92" s="621"/>
      <c r="BC92" s="621"/>
      <c r="BD92" s="621"/>
    </row>
    <row r="93" spans="1:56" ht="13.5" thickTop="1">
      <c r="A93" s="583"/>
      <c r="B93" s="620"/>
      <c r="C93" s="620"/>
      <c r="D93" s="620"/>
      <c r="E93" s="620"/>
      <c r="F93" s="620"/>
      <c r="G93" s="620"/>
      <c r="H93" s="620"/>
      <c r="I93" s="620"/>
      <c r="J93" s="620"/>
      <c r="K93" s="620"/>
      <c r="L93" s="620"/>
      <c r="M93" s="620"/>
      <c r="N93" s="620"/>
      <c r="O93" s="620"/>
      <c r="P93" s="620"/>
      <c r="Q93" s="620"/>
      <c r="R93" s="620"/>
      <c r="S93" s="620"/>
      <c r="T93" s="620"/>
      <c r="U93" s="620"/>
      <c r="V93" s="620"/>
      <c r="W93" s="621"/>
      <c r="X93" s="621"/>
      <c r="Y93" s="621"/>
      <c r="Z93" s="621"/>
      <c r="AA93" s="621"/>
      <c r="AB93" s="621"/>
      <c r="AC93" s="621"/>
      <c r="AD93" s="621"/>
      <c r="AE93" s="621"/>
      <c r="AF93" s="621"/>
      <c r="AG93" s="621"/>
      <c r="AI93" s="583"/>
      <c r="AJ93" s="621"/>
      <c r="AK93" s="621"/>
      <c r="AL93" s="621"/>
      <c r="AM93" s="621"/>
      <c r="AN93" s="621"/>
      <c r="AO93" s="621"/>
      <c r="AP93" s="621"/>
      <c r="AQ93" s="621"/>
      <c r="AR93" s="621"/>
      <c r="AS93" s="621"/>
      <c r="AT93" s="621"/>
      <c r="AU93" s="621"/>
      <c r="AV93" s="621"/>
      <c r="AW93" s="621"/>
      <c r="AX93" s="621"/>
      <c r="AY93" s="621"/>
      <c r="AZ93" s="621"/>
      <c r="BA93" s="621"/>
      <c r="BB93" s="621"/>
      <c r="BC93" s="621"/>
      <c r="BD93" s="621"/>
    </row>
    <row r="94" spans="1:56">
      <c r="A94" s="583"/>
      <c r="B94" s="627"/>
      <c r="C94" s="620"/>
      <c r="D94" s="627"/>
      <c r="E94" s="620"/>
      <c r="F94" s="627"/>
      <c r="G94" s="620"/>
      <c r="H94" s="627"/>
      <c r="I94" s="620"/>
      <c r="J94" s="627"/>
      <c r="K94" s="627"/>
      <c r="L94" s="627"/>
      <c r="M94" s="627"/>
      <c r="N94" s="627"/>
      <c r="O94" s="627"/>
      <c r="P94" s="627"/>
      <c r="Q94" s="627"/>
      <c r="R94" s="627"/>
      <c r="S94" s="627"/>
      <c r="T94" s="627"/>
      <c r="U94" s="620"/>
      <c r="V94" s="620"/>
      <c r="W94" s="621"/>
      <c r="X94" s="621"/>
      <c r="Y94" s="621"/>
      <c r="Z94" s="621"/>
      <c r="AA94" s="621"/>
      <c r="AB94" s="621"/>
      <c r="AC94" s="621"/>
      <c r="AD94" s="621"/>
      <c r="AE94" s="621"/>
      <c r="AF94" s="621"/>
      <c r="AG94" s="621"/>
      <c r="AI94" s="583"/>
      <c r="AJ94" s="621"/>
      <c r="AK94" s="621"/>
      <c r="AL94" s="621"/>
      <c r="AM94" s="621"/>
      <c r="AN94" s="621"/>
      <c r="AO94" s="621"/>
      <c r="AP94" s="621"/>
      <c r="AQ94" s="621"/>
      <c r="AR94" s="621"/>
      <c r="AS94" s="621"/>
      <c r="AT94" s="621"/>
      <c r="AU94" s="621"/>
      <c r="AV94" s="621"/>
      <c r="AW94" s="621"/>
      <c r="AX94" s="621"/>
      <c r="AY94" s="621"/>
      <c r="AZ94" s="621"/>
      <c r="BA94" s="621"/>
      <c r="BB94" s="621"/>
      <c r="BC94" s="621"/>
      <c r="BD94" s="621"/>
    </row>
    <row r="95" spans="1:56" ht="15.75">
      <c r="A95" s="628" t="s">
        <v>204</v>
      </c>
      <c r="B95" s="629"/>
      <c r="C95" s="629"/>
      <c r="D95" s="629"/>
      <c r="E95" s="629"/>
      <c r="F95" s="630"/>
      <c r="G95" s="629"/>
      <c r="H95" s="631"/>
      <c r="I95" s="630"/>
      <c r="J95" s="630"/>
      <c r="K95" s="629"/>
      <c r="L95" s="629"/>
      <c r="M95" s="629"/>
      <c r="N95" s="629"/>
      <c r="O95" s="629"/>
      <c r="P95" s="629"/>
      <c r="Q95" s="629"/>
      <c r="R95" s="629"/>
      <c r="S95" s="629"/>
      <c r="T95" s="815" t="s">
        <v>159</v>
      </c>
      <c r="U95" s="630"/>
      <c r="V95" s="629"/>
      <c r="W95" s="621"/>
      <c r="X95" s="621"/>
      <c r="Y95" s="621"/>
      <c r="Z95" s="621"/>
      <c r="AA95" s="621"/>
      <c r="AB95" s="621"/>
      <c r="AC95" s="621"/>
      <c r="AD95" s="621"/>
      <c r="AE95" s="621"/>
      <c r="AF95" s="621"/>
      <c r="AG95" s="621"/>
      <c r="AI95" s="583"/>
      <c r="AJ95" s="621"/>
      <c r="AK95" s="621"/>
      <c r="AL95" s="621"/>
      <c r="AM95" s="621"/>
      <c r="AN95" s="621"/>
      <c r="AO95" s="621"/>
      <c r="AP95" s="621"/>
      <c r="AQ95" s="621"/>
      <c r="AR95" s="621"/>
      <c r="AS95" s="621"/>
      <c r="AT95" s="621"/>
      <c r="AU95" s="621"/>
      <c r="AV95" s="621"/>
      <c r="AW95" s="621"/>
      <c r="AX95" s="621"/>
      <c r="AY95" s="621"/>
      <c r="AZ95" s="621"/>
      <c r="BA95" s="621"/>
      <c r="BB95" s="621"/>
      <c r="BC95" s="621"/>
      <c r="BD95" s="621"/>
    </row>
    <row r="96" spans="1:56" ht="15.75">
      <c r="A96" s="632" t="s">
        <v>0</v>
      </c>
      <c r="B96" s="629"/>
      <c r="C96" s="629"/>
      <c r="D96" s="629"/>
      <c r="E96" s="629"/>
      <c r="F96" s="630"/>
      <c r="G96" s="629"/>
      <c r="H96" s="631"/>
      <c r="I96" s="630"/>
      <c r="J96" s="630"/>
      <c r="K96" s="629"/>
      <c r="L96" s="629"/>
      <c r="M96" s="629"/>
      <c r="N96" s="629"/>
      <c r="O96" s="629"/>
      <c r="P96" s="629"/>
      <c r="Q96" s="629"/>
      <c r="R96" s="629"/>
      <c r="S96" s="629"/>
      <c r="T96" s="633"/>
      <c r="U96" s="633"/>
      <c r="V96" s="633"/>
      <c r="W96" s="621"/>
      <c r="X96" s="621"/>
      <c r="Y96" s="621"/>
      <c r="Z96" s="621"/>
      <c r="AA96" s="621"/>
      <c r="AB96" s="621"/>
      <c r="AC96" s="621"/>
      <c r="AD96" s="621"/>
      <c r="AE96" s="621"/>
      <c r="AF96" s="621"/>
      <c r="AG96" s="621"/>
      <c r="AI96" s="583"/>
      <c r="AJ96" s="621"/>
      <c r="AK96" s="621"/>
      <c r="AL96" s="621"/>
      <c r="AM96" s="621"/>
      <c r="AN96" s="621"/>
      <c r="AO96" s="621"/>
      <c r="AP96" s="621"/>
      <c r="AQ96" s="621"/>
      <c r="AR96" s="621"/>
      <c r="AS96" s="621"/>
      <c r="AT96" s="621"/>
      <c r="AU96" s="621"/>
      <c r="AV96" s="621"/>
      <c r="AW96" s="621"/>
      <c r="AX96" s="621"/>
      <c r="AY96" s="621"/>
      <c r="AZ96" s="621"/>
      <c r="BA96" s="621"/>
      <c r="BB96" s="621"/>
      <c r="BC96" s="621"/>
      <c r="BD96" s="621"/>
    </row>
    <row r="97" spans="1:56" ht="15.75">
      <c r="A97" s="634" t="str">
        <f>A3</f>
        <v>December 2022</v>
      </c>
      <c r="B97" s="629"/>
      <c r="C97" s="629"/>
      <c r="D97" s="629"/>
      <c r="E97" s="629"/>
      <c r="F97" s="629"/>
      <c r="G97" s="631"/>
      <c r="H97" s="629"/>
      <c r="I97" s="630"/>
      <c r="J97" s="630"/>
      <c r="K97" s="629"/>
      <c r="L97" s="629"/>
      <c r="M97" s="629"/>
      <c r="N97" s="629"/>
      <c r="O97" s="629"/>
      <c r="P97" s="629"/>
      <c r="Q97" s="629"/>
      <c r="R97" s="629"/>
      <c r="S97" s="629"/>
      <c r="T97" s="633"/>
      <c r="U97" s="633"/>
      <c r="V97" s="633"/>
      <c r="W97" s="621"/>
      <c r="X97" s="621"/>
      <c r="Y97" s="621"/>
      <c r="Z97" s="621"/>
      <c r="AA97" s="621"/>
      <c r="AB97" s="621"/>
      <c r="AC97" s="621"/>
      <c r="AD97" s="621"/>
      <c r="AE97" s="621"/>
      <c r="AF97" s="621"/>
      <c r="AG97" s="621"/>
      <c r="AI97" s="583"/>
      <c r="AJ97" s="621"/>
      <c r="AK97" s="621"/>
      <c r="AL97" s="621"/>
      <c r="AM97" s="621"/>
      <c r="AN97" s="621"/>
      <c r="AO97" s="621"/>
      <c r="AP97" s="621"/>
      <c r="AQ97" s="621"/>
      <c r="AR97" s="621"/>
      <c r="AS97" s="621"/>
      <c r="AT97" s="621"/>
      <c r="AU97" s="621"/>
      <c r="AV97" s="621"/>
      <c r="AW97" s="621"/>
      <c r="AX97" s="621"/>
      <c r="AY97" s="621"/>
      <c r="AZ97" s="621"/>
      <c r="BA97" s="621"/>
      <c r="BB97" s="621"/>
      <c r="BC97" s="621"/>
      <c r="BD97" s="621"/>
    </row>
    <row r="98" spans="1:56" ht="15.75">
      <c r="A98" s="634" t="str">
        <f>A4</f>
        <v>(In $ Thousands)</v>
      </c>
      <c r="B98" s="629"/>
      <c r="C98" s="629"/>
      <c r="D98" s="629"/>
      <c r="E98" s="629"/>
      <c r="F98" s="629"/>
      <c r="G98" s="631"/>
      <c r="H98" s="629"/>
      <c r="I98" s="630"/>
      <c r="J98" s="630"/>
      <c r="K98" s="629"/>
      <c r="L98" s="629"/>
      <c r="M98" s="629"/>
      <c r="N98" s="629"/>
      <c r="O98" s="629"/>
      <c r="P98" s="629"/>
      <c r="Q98" s="629"/>
      <c r="R98" s="629"/>
      <c r="S98" s="629"/>
      <c r="T98" s="633"/>
      <c r="U98" s="633"/>
      <c r="V98" s="633"/>
      <c r="W98" s="621"/>
      <c r="X98" s="621"/>
      <c r="Y98" s="621"/>
      <c r="Z98" s="621"/>
      <c r="AA98" s="621"/>
      <c r="AB98" s="621"/>
      <c r="AC98" s="621"/>
      <c r="AD98" s="621"/>
      <c r="AE98" s="621"/>
      <c r="AF98" s="621"/>
      <c r="AG98" s="621"/>
      <c r="AI98" s="583"/>
      <c r="AJ98" s="621"/>
      <c r="AK98" s="621"/>
      <c r="AL98" s="621"/>
      <c r="AM98" s="621"/>
      <c r="AN98" s="621"/>
      <c r="AO98" s="621"/>
      <c r="AP98" s="621"/>
      <c r="AQ98" s="621"/>
      <c r="AR98" s="621"/>
      <c r="AS98" s="621"/>
      <c r="AT98" s="621"/>
      <c r="AU98" s="621"/>
      <c r="AV98" s="621"/>
      <c r="AW98" s="621"/>
      <c r="AX98" s="621"/>
      <c r="AY98" s="621"/>
      <c r="AZ98" s="621"/>
      <c r="BA98" s="621"/>
      <c r="BB98" s="621"/>
      <c r="BC98" s="621"/>
      <c r="BD98" s="621"/>
    </row>
    <row r="99" spans="1:56">
      <c r="A99" s="583"/>
      <c r="B99" s="620"/>
      <c r="C99" s="620"/>
      <c r="D99" s="620"/>
      <c r="E99" s="620"/>
      <c r="F99" s="620"/>
      <c r="G99" s="620"/>
      <c r="H99" s="620"/>
      <c r="I99" s="620"/>
      <c r="J99" s="620"/>
      <c r="K99" s="620"/>
      <c r="L99" s="620"/>
      <c r="M99" s="620"/>
      <c r="N99" s="620"/>
      <c r="O99" s="620"/>
      <c r="P99" s="620"/>
      <c r="Q99" s="620"/>
      <c r="R99" s="620"/>
      <c r="S99" s="620"/>
      <c r="T99" s="620"/>
      <c r="U99" s="620"/>
      <c r="V99" s="620"/>
      <c r="W99" s="621"/>
      <c r="X99" s="621"/>
      <c r="Y99" s="621"/>
      <c r="Z99" s="621"/>
      <c r="AA99" s="621"/>
      <c r="AB99" s="621"/>
      <c r="AC99" s="621"/>
      <c r="AD99" s="621"/>
      <c r="AE99" s="621"/>
      <c r="AF99" s="621"/>
      <c r="AG99" s="621"/>
      <c r="AI99" s="583"/>
      <c r="AJ99" s="621"/>
      <c r="AK99" s="621"/>
      <c r="AL99" s="621"/>
      <c r="AM99" s="621"/>
      <c r="AN99" s="621"/>
      <c r="AO99" s="621"/>
      <c r="AP99" s="621"/>
      <c r="AQ99" s="621"/>
      <c r="AR99" s="621"/>
      <c r="AS99" s="621"/>
      <c r="AT99" s="621"/>
      <c r="AU99" s="621"/>
      <c r="AV99" s="621"/>
      <c r="AW99" s="621"/>
      <c r="AX99" s="621"/>
      <c r="AY99" s="621"/>
      <c r="AZ99" s="621"/>
      <c r="BA99" s="621"/>
      <c r="BB99" s="621"/>
      <c r="BC99" s="621"/>
      <c r="BD99" s="621"/>
    </row>
    <row r="100" spans="1:56">
      <c r="A100" s="583"/>
      <c r="B100" s="620"/>
      <c r="C100" s="620"/>
      <c r="D100" s="620"/>
      <c r="E100" s="620"/>
      <c r="F100" s="620"/>
      <c r="G100" s="620"/>
      <c r="H100" s="620"/>
      <c r="I100" s="620"/>
      <c r="J100" s="620"/>
      <c r="K100" s="620"/>
      <c r="L100" s="620"/>
      <c r="M100" s="620"/>
      <c r="N100" s="620"/>
      <c r="O100" s="620"/>
      <c r="P100" s="620"/>
      <c r="Q100" s="620"/>
      <c r="R100" s="620"/>
      <c r="S100" s="620"/>
      <c r="T100" s="620"/>
      <c r="U100" s="620"/>
      <c r="V100" s="620"/>
      <c r="W100" s="621"/>
      <c r="X100" s="621"/>
      <c r="Y100" s="621"/>
      <c r="Z100" s="621"/>
      <c r="AA100" s="621"/>
      <c r="AB100" s="621"/>
      <c r="AC100" s="621"/>
      <c r="AD100" s="621"/>
      <c r="AE100" s="621"/>
      <c r="AF100" s="621"/>
      <c r="AG100" s="621"/>
      <c r="AI100" s="583"/>
      <c r="AJ100" s="621"/>
      <c r="AK100" s="621"/>
      <c r="AL100" s="621"/>
      <c r="AM100" s="621"/>
      <c r="AN100" s="621"/>
      <c r="AO100" s="621"/>
      <c r="AP100" s="621"/>
      <c r="AQ100" s="621"/>
      <c r="AR100" s="621"/>
      <c r="AS100" s="621"/>
      <c r="AT100" s="621"/>
      <c r="AU100" s="621"/>
      <c r="AV100" s="621"/>
      <c r="AW100" s="621"/>
      <c r="AX100" s="621"/>
      <c r="AY100" s="621"/>
      <c r="AZ100" s="621"/>
      <c r="BA100" s="621"/>
      <c r="BB100" s="621"/>
      <c r="BC100" s="621"/>
      <c r="BD100" s="621"/>
    </row>
    <row r="101" spans="1:56">
      <c r="A101" s="583"/>
      <c r="B101" s="620"/>
      <c r="C101" s="620"/>
      <c r="D101" s="620"/>
      <c r="E101" s="620"/>
      <c r="F101" s="620"/>
      <c r="G101" s="620"/>
      <c r="H101" s="620"/>
      <c r="I101" s="620"/>
      <c r="J101" s="620"/>
      <c r="K101" s="620"/>
      <c r="L101" s="620"/>
      <c r="M101" s="620"/>
      <c r="N101" s="620"/>
      <c r="O101" s="620"/>
      <c r="P101" s="620"/>
      <c r="Q101" s="620"/>
      <c r="R101" s="620"/>
      <c r="S101" s="620"/>
      <c r="T101" s="620"/>
      <c r="U101" s="620"/>
      <c r="V101" s="620"/>
      <c r="W101" s="621"/>
      <c r="X101" s="621"/>
      <c r="Y101" s="621"/>
      <c r="Z101" s="621"/>
      <c r="AA101" s="621"/>
      <c r="AB101" s="621"/>
      <c r="AC101" s="621"/>
      <c r="AD101" s="621"/>
      <c r="AE101" s="621"/>
      <c r="AF101" s="621"/>
      <c r="AG101" s="621"/>
      <c r="AI101" s="583"/>
      <c r="AJ101" s="621"/>
      <c r="AK101" s="621"/>
      <c r="AL101" s="621"/>
      <c r="AM101" s="621"/>
      <c r="AN101" s="621"/>
      <c r="AO101" s="621"/>
      <c r="AP101" s="621"/>
      <c r="AQ101" s="621"/>
      <c r="AR101" s="621"/>
      <c r="AS101" s="621"/>
      <c r="AT101" s="621"/>
      <c r="AU101" s="621"/>
      <c r="AV101" s="621"/>
      <c r="AW101" s="621"/>
      <c r="AX101" s="621"/>
      <c r="AY101" s="621"/>
      <c r="AZ101" s="621"/>
      <c r="BA101" s="621"/>
      <c r="BB101" s="621"/>
      <c r="BC101" s="621"/>
      <c r="BD101" s="621"/>
    </row>
    <row r="102" spans="1:56">
      <c r="A102" s="583"/>
      <c r="B102" s="635" t="s">
        <v>94</v>
      </c>
      <c r="C102" s="620"/>
      <c r="D102" s="635" t="s">
        <v>95</v>
      </c>
      <c r="E102" s="620"/>
      <c r="F102" s="635" t="s">
        <v>96</v>
      </c>
      <c r="G102" s="620"/>
      <c r="H102" s="635" t="s">
        <v>97</v>
      </c>
      <c r="I102" s="620"/>
      <c r="J102" s="635" t="s">
        <v>98</v>
      </c>
      <c r="K102" s="620"/>
      <c r="L102" s="635" t="s">
        <v>147</v>
      </c>
      <c r="M102" s="620"/>
      <c r="N102" s="635" t="s">
        <v>124</v>
      </c>
      <c r="O102" s="620"/>
      <c r="P102" s="635" t="s">
        <v>125</v>
      </c>
      <c r="Q102" s="620"/>
      <c r="R102" s="635" t="s">
        <v>126</v>
      </c>
      <c r="S102" s="620"/>
      <c r="T102" s="635" t="s">
        <v>127</v>
      </c>
      <c r="U102" s="620"/>
      <c r="V102" s="635" t="s">
        <v>128</v>
      </c>
      <c r="W102" s="621"/>
      <c r="X102" s="621"/>
      <c r="Y102" s="621"/>
      <c r="Z102" s="621"/>
      <c r="AA102" s="621"/>
      <c r="AB102" s="621"/>
      <c r="AC102" s="621"/>
      <c r="AD102" s="621"/>
      <c r="AE102" s="621"/>
      <c r="AF102" s="621"/>
      <c r="AG102" s="621"/>
      <c r="AI102" s="583"/>
      <c r="AJ102" s="621"/>
      <c r="AK102" s="621"/>
      <c r="AL102" s="621"/>
      <c r="AM102" s="621"/>
      <c r="AN102" s="621"/>
      <c r="AO102" s="621"/>
      <c r="AP102" s="621"/>
      <c r="AQ102" s="621"/>
      <c r="AR102" s="621"/>
      <c r="AS102" s="621"/>
      <c r="AT102" s="621"/>
      <c r="AU102" s="621"/>
      <c r="AV102" s="621"/>
      <c r="AW102" s="621"/>
      <c r="AX102" s="621"/>
      <c r="AY102" s="621"/>
      <c r="AZ102" s="621"/>
      <c r="BA102" s="621"/>
      <c r="BB102" s="621"/>
      <c r="BC102" s="621"/>
      <c r="BD102" s="621"/>
    </row>
    <row r="103" spans="1:56">
      <c r="A103" s="583"/>
      <c r="B103" s="620"/>
      <c r="C103" s="620"/>
      <c r="D103" s="620"/>
      <c r="E103" s="620"/>
      <c r="F103" s="620"/>
      <c r="G103" s="620"/>
      <c r="H103" s="635" t="s">
        <v>148</v>
      </c>
      <c r="I103" s="620"/>
      <c r="J103" s="620"/>
      <c r="K103" s="620"/>
      <c r="L103" s="620"/>
      <c r="M103" s="620"/>
      <c r="N103" s="635" t="s">
        <v>356</v>
      </c>
      <c r="O103" s="620"/>
      <c r="P103" s="635" t="s">
        <v>359</v>
      </c>
      <c r="Q103" s="620"/>
      <c r="R103" s="620"/>
      <c r="S103" s="620"/>
      <c r="T103" s="635" t="s">
        <v>347</v>
      </c>
      <c r="U103" s="620"/>
      <c r="V103" s="635" t="s">
        <v>339</v>
      </c>
      <c r="W103" s="621"/>
      <c r="X103" s="621"/>
      <c r="Y103" s="621"/>
      <c r="Z103" s="621"/>
      <c r="AA103" s="621"/>
      <c r="AB103" s="621"/>
      <c r="AC103" s="621"/>
      <c r="AD103" s="621"/>
      <c r="AE103" s="621"/>
      <c r="AF103" s="621"/>
      <c r="AG103" s="621"/>
      <c r="AI103" s="583"/>
      <c r="AJ103" s="621"/>
      <c r="AK103" s="621"/>
      <c r="AL103" s="621"/>
      <c r="AM103" s="621"/>
      <c r="AN103" s="621"/>
      <c r="AO103" s="621"/>
      <c r="AP103" s="621"/>
      <c r="AQ103" s="621"/>
      <c r="AR103" s="621"/>
      <c r="AS103" s="621"/>
      <c r="AT103" s="621"/>
      <c r="AU103" s="621"/>
      <c r="AV103" s="621"/>
      <c r="AW103" s="621"/>
      <c r="AX103" s="621"/>
      <c r="AY103" s="621"/>
      <c r="AZ103" s="621"/>
      <c r="BA103" s="621"/>
      <c r="BB103" s="621"/>
      <c r="BC103" s="621"/>
      <c r="BD103" s="621"/>
    </row>
    <row r="104" spans="1:56">
      <c r="A104" s="583"/>
      <c r="B104" s="1054" t="s">
        <v>349</v>
      </c>
      <c r="C104" s="823"/>
      <c r="D104" s="1054" t="s">
        <v>149</v>
      </c>
      <c r="E104" s="823"/>
      <c r="F104" s="1054" t="s">
        <v>149</v>
      </c>
      <c r="G104" s="823"/>
      <c r="H104" s="1054" t="s">
        <v>329</v>
      </c>
      <c r="I104" s="823"/>
      <c r="J104" s="1054" t="s">
        <v>352</v>
      </c>
      <c r="K104" s="823"/>
      <c r="L104" s="1054" t="s">
        <v>354</v>
      </c>
      <c r="M104" s="823"/>
      <c r="N104" s="1054" t="s">
        <v>354</v>
      </c>
      <c r="O104" s="823"/>
      <c r="P104" s="1054" t="s">
        <v>358</v>
      </c>
      <c r="Q104" s="823"/>
      <c r="R104" s="1054" t="s">
        <v>360</v>
      </c>
      <c r="S104" s="620"/>
      <c r="T104" s="635" t="s">
        <v>349</v>
      </c>
      <c r="U104" s="620"/>
      <c r="V104" s="635" t="s">
        <v>349</v>
      </c>
      <c r="W104" s="636"/>
      <c r="X104" s="621"/>
      <c r="Y104" s="621"/>
      <c r="Z104" s="621"/>
      <c r="AA104" s="621"/>
      <c r="AB104" s="621"/>
      <c r="AC104" s="621"/>
      <c r="AD104" s="621"/>
      <c r="AE104" s="621"/>
      <c r="AF104" s="621"/>
      <c r="AG104" s="621"/>
      <c r="AI104" s="583"/>
      <c r="AJ104" s="621"/>
      <c r="AK104" s="621"/>
      <c r="AL104" s="621"/>
      <c r="AM104" s="621"/>
      <c r="AN104" s="621"/>
      <c r="AO104" s="621"/>
      <c r="AP104" s="621"/>
      <c r="AQ104" s="621"/>
      <c r="AR104" s="621"/>
      <c r="AS104" s="621"/>
      <c r="AT104" s="621"/>
      <c r="AU104" s="621"/>
      <c r="AV104" s="621"/>
      <c r="AW104" s="621"/>
      <c r="AX104" s="621"/>
      <c r="AY104" s="621"/>
      <c r="AZ104" s="621"/>
      <c r="BA104" s="621"/>
      <c r="BB104" s="621"/>
      <c r="BC104" s="621"/>
      <c r="BD104" s="621"/>
    </row>
    <row r="105" spans="1:56">
      <c r="A105" s="583"/>
      <c r="B105" s="1055" t="s">
        <v>350</v>
      </c>
      <c r="C105" s="823"/>
      <c r="D105" s="1055" t="s">
        <v>351</v>
      </c>
      <c r="E105" s="823"/>
      <c r="F105" s="1055" t="s">
        <v>261</v>
      </c>
      <c r="G105" s="823"/>
      <c r="H105" s="1055" t="s">
        <v>330</v>
      </c>
      <c r="I105" s="823"/>
      <c r="J105" s="1055" t="s">
        <v>353</v>
      </c>
      <c r="K105" s="823"/>
      <c r="L105" s="1055" t="s">
        <v>355</v>
      </c>
      <c r="M105" s="823"/>
      <c r="N105" s="1055" t="s">
        <v>357</v>
      </c>
      <c r="O105" s="823"/>
      <c r="P105" s="1055" t="s">
        <v>357</v>
      </c>
      <c r="Q105" s="823"/>
      <c r="R105" s="1055" t="s">
        <v>361</v>
      </c>
      <c r="S105" s="620"/>
      <c r="T105" s="637" t="s">
        <v>362</v>
      </c>
      <c r="U105" s="620"/>
      <c r="V105" s="637" t="s">
        <v>363</v>
      </c>
      <c r="W105" s="600"/>
      <c r="X105" s="876"/>
      <c r="Y105" s="876"/>
      <c r="Z105" s="876"/>
      <c r="AA105" s="876"/>
      <c r="AB105" s="636"/>
      <c r="AC105" s="621"/>
      <c r="AD105" s="621"/>
      <c r="AE105" s="621"/>
      <c r="AF105" s="621"/>
      <c r="AG105" s="621"/>
      <c r="AI105" s="583"/>
      <c r="AJ105" s="621"/>
      <c r="AK105" s="621"/>
      <c r="AL105" s="621"/>
      <c r="AM105" s="621"/>
      <c r="AN105" s="621"/>
      <c r="AO105" s="621"/>
      <c r="AP105" s="621"/>
      <c r="AQ105" s="621"/>
      <c r="AR105" s="621"/>
      <c r="AS105" s="621"/>
      <c r="AT105" s="621"/>
      <c r="AU105" s="621"/>
      <c r="AV105" s="621"/>
      <c r="AW105" s="621"/>
      <c r="AX105" s="621"/>
      <c r="AY105" s="621"/>
      <c r="AZ105" s="621"/>
      <c r="BA105" s="621"/>
      <c r="BB105" s="621"/>
      <c r="BC105" s="621"/>
      <c r="BD105" s="621"/>
    </row>
    <row r="106" spans="1:56" ht="14.1" customHeight="1">
      <c r="A106" s="583" t="s">
        <v>101</v>
      </c>
      <c r="B106" s="821">
        <f>+IncomeStmt!$B$9</f>
        <v>644223.42538000015</v>
      </c>
      <c r="C106" s="822"/>
      <c r="D106" s="821">
        <f>+IncomeStmt!$B$10</f>
        <v>263438.31910000002</v>
      </c>
      <c r="E106" s="822"/>
      <c r="F106" s="821">
        <f>+IncomeStmt!$B$13</f>
        <v>153041.29167999999</v>
      </c>
      <c r="G106" s="822"/>
      <c r="H106" s="821">
        <f>SUM(IncomeStmt!$B$14:$B$17)</f>
        <v>47035.836779999998</v>
      </c>
      <c r="I106" s="822"/>
      <c r="J106" s="821">
        <f>+IncomeStmt!$B$18</f>
        <v>53866.712039999999</v>
      </c>
      <c r="K106" s="822"/>
      <c r="L106" s="821">
        <f>SUM(IncomeStmt!$B$19:$B$19)</f>
        <v>4362.9270399999987</v>
      </c>
      <c r="M106" s="822"/>
      <c r="N106" s="821">
        <f>SUM(IncomeStmt!$B$20:$B$20)</f>
        <v>21535.034200000002</v>
      </c>
      <c r="O106" s="822"/>
      <c r="P106" s="821">
        <f>+IncomeStmt!$B$21</f>
        <v>0</v>
      </c>
      <c r="Q106" s="822"/>
      <c r="R106" s="1250">
        <f>('Input IS ACCTS'!DH367+'Input IS ACCTS'!DH374)/1000</f>
        <v>-223.82619999999997</v>
      </c>
      <c r="S106" s="619"/>
      <c r="T106" s="618">
        <f>SUM(D106:R106)</f>
        <v>543056.29463999998</v>
      </c>
      <c r="U106" s="619"/>
      <c r="V106" s="618">
        <f>B106-T106</f>
        <v>101167.13074000017</v>
      </c>
      <c r="W106" s="623"/>
      <c r="X106" s="2"/>
      <c r="Y106" s="2"/>
      <c r="Z106" s="2"/>
      <c r="AA106" s="2"/>
      <c r="AB106" s="623"/>
      <c r="AC106" s="621"/>
      <c r="AD106" s="621"/>
      <c r="AE106" s="621"/>
      <c r="AF106" s="621"/>
      <c r="AG106" s="621"/>
      <c r="AI106" s="583"/>
      <c r="AJ106" s="621"/>
      <c r="AK106" s="621"/>
      <c r="AL106" s="621"/>
      <c r="AM106" s="621"/>
      <c r="AN106" s="621"/>
      <c r="AO106" s="621"/>
      <c r="AP106" s="621"/>
      <c r="AQ106" s="621"/>
      <c r="AR106" s="621"/>
      <c r="AS106" s="621"/>
      <c r="AT106" s="621"/>
      <c r="AU106" s="621"/>
      <c r="AV106" s="621"/>
      <c r="AW106" s="621"/>
      <c r="AX106" s="621"/>
      <c r="AY106" s="621"/>
      <c r="AZ106" s="621"/>
      <c r="BA106" s="621"/>
      <c r="BB106" s="621"/>
      <c r="BC106" s="621"/>
      <c r="BD106" s="621"/>
    </row>
    <row r="107" spans="1:56">
      <c r="A107" s="583"/>
      <c r="B107" s="822"/>
      <c r="C107" s="822"/>
      <c r="D107" s="822"/>
      <c r="E107" s="822"/>
      <c r="F107" s="822"/>
      <c r="G107" s="822"/>
      <c r="H107" s="822"/>
      <c r="I107" s="822"/>
      <c r="J107" s="822"/>
      <c r="K107" s="822"/>
      <c r="L107" s="822"/>
      <c r="M107" s="822"/>
      <c r="N107" s="822"/>
      <c r="O107" s="822"/>
      <c r="P107" s="822"/>
      <c r="Q107" s="822"/>
      <c r="R107" s="822"/>
      <c r="S107" s="822"/>
      <c r="T107" s="822"/>
      <c r="U107" s="822"/>
      <c r="V107" s="822"/>
      <c r="W107" s="623"/>
      <c r="X107" s="621"/>
      <c r="Y107" s="621"/>
      <c r="Z107" s="621"/>
      <c r="AA107" s="621"/>
      <c r="AB107" s="621"/>
      <c r="AC107" s="621"/>
      <c r="AD107" s="621"/>
      <c r="AE107" s="621"/>
      <c r="AF107" s="621"/>
      <c r="AG107" s="621"/>
      <c r="AI107" s="583"/>
      <c r="AJ107" s="621"/>
      <c r="AK107" s="621"/>
      <c r="AL107" s="621"/>
      <c r="AM107" s="621"/>
      <c r="AN107" s="621"/>
      <c r="AO107" s="621"/>
      <c r="AP107" s="621"/>
      <c r="AQ107" s="621"/>
      <c r="AR107" s="621"/>
      <c r="AS107" s="621"/>
      <c r="AT107" s="621"/>
      <c r="AU107" s="621"/>
      <c r="AV107" s="621"/>
      <c r="AW107" s="621"/>
      <c r="AX107" s="621"/>
      <c r="AY107" s="621"/>
      <c r="AZ107" s="621"/>
      <c r="BA107" s="621"/>
      <c r="BB107" s="621"/>
      <c r="BC107" s="621"/>
      <c r="BD107" s="621"/>
    </row>
    <row r="108" spans="1:56">
      <c r="A108" s="622" t="s">
        <v>129</v>
      </c>
      <c r="B108" s="822"/>
      <c r="C108" s="822"/>
      <c r="D108" s="822"/>
      <c r="E108" s="822"/>
      <c r="F108" s="822"/>
      <c r="G108" s="822"/>
      <c r="H108" s="822"/>
      <c r="I108" s="822"/>
      <c r="J108" s="822"/>
      <c r="K108" s="822"/>
      <c r="L108" s="822"/>
      <c r="M108" s="822"/>
      <c r="N108" s="822"/>
      <c r="O108" s="822"/>
      <c r="P108" s="822"/>
      <c r="Q108" s="822"/>
      <c r="R108" s="822"/>
      <c r="S108" s="822"/>
      <c r="T108" s="822"/>
      <c r="U108" s="822"/>
      <c r="V108" s="822"/>
      <c r="W108" s="623"/>
      <c r="X108" s="621"/>
      <c r="Y108" s="621"/>
      <c r="Z108" s="621"/>
      <c r="AA108" s="621"/>
      <c r="AB108" s="621"/>
      <c r="AC108" s="621"/>
      <c r="AD108" s="621"/>
      <c r="AE108" s="621"/>
      <c r="AF108" s="621"/>
      <c r="AG108" s="621"/>
      <c r="AI108" s="583"/>
      <c r="AJ108" s="621"/>
      <c r="AK108" s="621"/>
      <c r="AL108" s="621"/>
      <c r="AM108" s="621"/>
      <c r="AN108" s="621"/>
      <c r="AO108" s="621"/>
      <c r="AP108" s="621"/>
      <c r="AQ108" s="621"/>
      <c r="AR108" s="621"/>
      <c r="AS108" s="621"/>
      <c r="AT108" s="621"/>
      <c r="AU108" s="621"/>
      <c r="AV108" s="621"/>
      <c r="AW108" s="621"/>
      <c r="AX108" s="621"/>
      <c r="AY108" s="621"/>
      <c r="AZ108" s="621"/>
      <c r="BA108" s="621"/>
      <c r="BB108" s="621"/>
      <c r="BC108" s="621"/>
      <c r="BD108" s="621"/>
    </row>
    <row r="109" spans="1:56">
      <c r="A109" s="638" t="s">
        <v>537</v>
      </c>
      <c r="B109" s="1058">
        <f>-Input!FB19/1000</f>
        <v>-29649.198960000002</v>
      </c>
      <c r="C109" s="822"/>
      <c r="D109" s="822"/>
      <c r="E109" s="822"/>
      <c r="F109" s="1058">
        <f>-Input!FB15/1000</f>
        <v>-29649.198280000001</v>
      </c>
      <c r="G109" s="822"/>
      <c r="H109" s="822"/>
      <c r="I109" s="822"/>
      <c r="J109" s="822"/>
      <c r="K109" s="822"/>
      <c r="L109" s="827">
        <f>((+B109-D109-F109-H109-J109)*'Input Tax Rate'!$B$36)</f>
        <v>-1.7234600025640249E-4</v>
      </c>
      <c r="M109" s="822"/>
      <c r="N109" s="822"/>
      <c r="O109" s="822"/>
      <c r="P109" s="822"/>
      <c r="Q109" s="822"/>
      <c r="R109" s="822"/>
      <c r="S109" s="822"/>
      <c r="T109" s="822">
        <f t="shared" ref="T109:T125" si="1">SUM(D109:R109)</f>
        <v>-29649.198452346001</v>
      </c>
      <c r="U109" s="822"/>
      <c r="V109" s="1047">
        <f>B109-T109</f>
        <v>-5.0765400010277517E-4</v>
      </c>
      <c r="W109" s="1046" t="s">
        <v>535</v>
      </c>
      <c r="X109" s="623"/>
      <c r="Y109" s="621"/>
      <c r="Z109" s="621"/>
      <c r="AA109" s="621"/>
      <c r="AB109" s="623"/>
      <c r="AC109" s="621"/>
      <c r="AD109" s="621"/>
      <c r="AE109" s="621"/>
      <c r="AF109" s="621"/>
      <c r="AG109" s="621"/>
      <c r="AI109" s="583"/>
      <c r="AJ109" s="621"/>
      <c r="AK109" s="621"/>
      <c r="AL109" s="621"/>
      <c r="AM109" s="621"/>
      <c r="AN109" s="621"/>
      <c r="AO109" s="621"/>
      <c r="AP109" s="621"/>
      <c r="AQ109" s="621"/>
      <c r="AR109" s="621"/>
      <c r="AS109" s="621"/>
      <c r="AT109" s="621"/>
      <c r="AU109" s="621"/>
      <c r="AV109" s="621"/>
      <c r="AW109" s="621"/>
      <c r="AX109" s="621"/>
      <c r="AY109" s="621"/>
      <c r="AZ109" s="621"/>
      <c r="BA109" s="621"/>
      <c r="BB109" s="621"/>
      <c r="BC109" s="621"/>
      <c r="BD109" s="621"/>
    </row>
    <row r="110" spans="1:56">
      <c r="A110" s="638" t="s">
        <v>538</v>
      </c>
      <c r="B110" s="822"/>
      <c r="C110" s="822"/>
      <c r="D110" s="822"/>
      <c r="E110" s="822"/>
      <c r="F110" s="822"/>
      <c r="G110" s="822"/>
      <c r="H110" s="1057">
        <f>+-'Input Plant'!CW34/1000</f>
        <v>-39.200481251330913</v>
      </c>
      <c r="I110" s="822"/>
      <c r="J110" s="829">
        <v>0</v>
      </c>
      <c r="K110" s="822"/>
      <c r="L110" s="827">
        <f>((+B110-D110-F110-H110-J110)*'Input Tax Rate'!$B$36)</f>
        <v>9.9353619731498206</v>
      </c>
      <c r="M110" s="1276"/>
      <c r="N110" s="822"/>
      <c r="O110" s="822"/>
      <c r="P110" s="822"/>
      <c r="Q110" s="822"/>
      <c r="R110" s="822"/>
      <c r="S110" s="822"/>
      <c r="T110" s="822">
        <f t="shared" si="1"/>
        <v>-29.265119278181093</v>
      </c>
      <c r="U110" s="822"/>
      <c r="V110" s="822">
        <f t="shared" ref="V110:V125" si="2">B110-T110</f>
        <v>29.265119278181093</v>
      </c>
      <c r="W110" s="623"/>
      <c r="X110" s="623"/>
      <c r="Y110" s="621"/>
      <c r="Z110" s="621"/>
      <c r="AA110" s="621"/>
      <c r="AB110" s="623"/>
      <c r="AC110" s="621"/>
      <c r="AD110" s="621"/>
      <c r="AE110" s="621"/>
      <c r="AF110" s="621"/>
      <c r="AG110" s="621"/>
      <c r="AI110" s="583"/>
      <c r="AJ110" s="621"/>
      <c r="AK110" s="621"/>
      <c r="AL110" s="621"/>
      <c r="AM110" s="621"/>
      <c r="AN110" s="621"/>
      <c r="AO110" s="621"/>
      <c r="AP110" s="621"/>
      <c r="AQ110" s="621"/>
      <c r="AR110" s="621"/>
      <c r="AS110" s="621"/>
      <c r="AT110" s="621"/>
      <c r="AU110" s="621"/>
      <c r="AV110" s="621"/>
      <c r="AW110" s="621"/>
      <c r="AX110" s="621"/>
      <c r="AY110" s="621"/>
      <c r="AZ110" s="621"/>
      <c r="BA110" s="621"/>
      <c r="BB110" s="621"/>
      <c r="BC110" s="621"/>
      <c r="BD110" s="621"/>
    </row>
    <row r="111" spans="1:56">
      <c r="A111" s="638" t="s">
        <v>486</v>
      </c>
      <c r="B111" s="822"/>
      <c r="C111" s="822"/>
      <c r="D111" s="822"/>
      <c r="E111" s="822"/>
      <c r="F111" s="822"/>
      <c r="G111" s="822"/>
      <c r="H111" s="822"/>
      <c r="I111" s="822"/>
      <c r="J111" s="822"/>
      <c r="K111" s="822"/>
      <c r="L111" s="1058">
        <f>-'Int Synch'!E31</f>
        <v>117.20289195672966</v>
      </c>
      <c r="M111" s="822"/>
      <c r="N111" s="822"/>
      <c r="O111" s="822"/>
      <c r="P111" s="822"/>
      <c r="Q111" s="822"/>
      <c r="R111" s="822"/>
      <c r="S111" s="822"/>
      <c r="T111" s="822">
        <f>SUM(D111:R111)</f>
        <v>117.20289195672966</v>
      </c>
      <c r="U111" s="822"/>
      <c r="V111" s="822">
        <f t="shared" si="2"/>
        <v>-117.20289195672966</v>
      </c>
      <c r="W111" s="623"/>
      <c r="X111" s="623"/>
      <c r="Y111" s="621"/>
      <c r="Z111" s="621"/>
      <c r="AA111" s="621"/>
      <c r="AB111" s="623"/>
      <c r="AC111" s="621"/>
      <c r="AD111" s="621"/>
      <c r="AE111" s="621"/>
      <c r="AF111" s="621"/>
      <c r="AG111" s="621"/>
      <c r="AI111" s="583"/>
      <c r="AJ111" s="621"/>
      <c r="AK111" s="621"/>
      <c r="AL111" s="621"/>
      <c r="AM111" s="621"/>
      <c r="AN111" s="621"/>
      <c r="AO111" s="621"/>
      <c r="AP111" s="621"/>
      <c r="AQ111" s="621"/>
      <c r="AR111" s="621"/>
      <c r="AS111" s="621"/>
      <c r="AT111" s="621"/>
      <c r="AU111" s="621"/>
      <c r="AV111" s="621"/>
      <c r="AW111" s="621"/>
      <c r="AX111" s="621"/>
      <c r="AY111" s="621"/>
      <c r="AZ111" s="621"/>
      <c r="BA111" s="621"/>
      <c r="BB111" s="621"/>
      <c r="BC111" s="621"/>
      <c r="BD111" s="621"/>
    </row>
    <row r="112" spans="1:56">
      <c r="A112" s="638" t="s">
        <v>485</v>
      </c>
      <c r="B112" s="822"/>
      <c r="C112" s="822"/>
      <c r="D112" s="822"/>
      <c r="E112" s="822"/>
      <c r="F112" s="822"/>
      <c r="G112" s="822"/>
      <c r="H112" s="822"/>
      <c r="I112" s="822"/>
      <c r="J112" s="822"/>
      <c r="K112" s="822"/>
      <c r="L112" s="822">
        <f>-(2099000/1000)</f>
        <v>-2099</v>
      </c>
      <c r="M112" s="1276"/>
      <c r="N112" s="822"/>
      <c r="O112" s="822"/>
      <c r="P112" s="822"/>
      <c r="Q112" s="822"/>
      <c r="R112" s="822"/>
      <c r="S112" s="822"/>
      <c r="T112" s="822">
        <f t="shared" si="1"/>
        <v>-2099</v>
      </c>
      <c r="U112" s="822"/>
      <c r="V112" s="822">
        <f t="shared" si="2"/>
        <v>2099</v>
      </c>
      <c r="W112" s="623"/>
      <c r="X112" s="623"/>
      <c r="Y112" s="621"/>
      <c r="Z112" s="621"/>
      <c r="AA112" s="621"/>
      <c r="AB112" s="623"/>
      <c r="AC112" s="621"/>
      <c r="AD112" s="621"/>
      <c r="AE112" s="621"/>
      <c r="AF112" s="621"/>
      <c r="AG112" s="621"/>
      <c r="AI112" s="583"/>
      <c r="AJ112" s="621"/>
      <c r="AK112" s="621"/>
      <c r="AL112" s="621"/>
      <c r="AM112" s="621"/>
      <c r="AN112" s="621"/>
      <c r="AO112" s="621"/>
      <c r="AP112" s="621"/>
      <c r="AQ112" s="621"/>
      <c r="AR112" s="621"/>
      <c r="AS112" s="621"/>
      <c r="AT112" s="621"/>
      <c r="AU112" s="621"/>
      <c r="AV112" s="621"/>
      <c r="AW112" s="621"/>
      <c r="AX112" s="621"/>
      <c r="AY112" s="621"/>
      <c r="AZ112" s="621"/>
      <c r="BA112" s="621"/>
      <c r="BB112" s="621"/>
      <c r="BC112" s="621"/>
      <c r="BD112" s="621"/>
    </row>
    <row r="113" spans="1:56">
      <c r="A113" s="638" t="s">
        <v>539</v>
      </c>
      <c r="B113" s="1058">
        <f>+-D106+J113</f>
        <v>-264245.31910000002</v>
      </c>
      <c r="C113" s="822"/>
      <c r="D113" s="822">
        <f>-D106</f>
        <v>-263438.31910000002</v>
      </c>
      <c r="E113" s="822"/>
      <c r="F113" s="822"/>
      <c r="G113" s="822"/>
      <c r="H113" s="822"/>
      <c r="I113" s="822"/>
      <c r="J113" s="1058">
        <f>+-Input!FB46/1000</f>
        <v>-807</v>
      </c>
      <c r="K113" s="822"/>
      <c r="L113" s="827">
        <f>((+B113-D113-F113-H113-J113)*'Input Tax Rate'!$B$36)</f>
        <v>0</v>
      </c>
      <c r="M113" s="822"/>
      <c r="N113" s="822"/>
      <c r="O113" s="822"/>
      <c r="P113" s="822"/>
      <c r="Q113" s="822"/>
      <c r="R113" s="822"/>
      <c r="S113" s="822"/>
      <c r="T113" s="822">
        <f t="shared" si="1"/>
        <v>-264245.31910000002</v>
      </c>
      <c r="U113" s="822"/>
      <c r="V113" s="1047">
        <f>B113-T113</f>
        <v>0</v>
      </c>
      <c r="W113" s="1046" t="s">
        <v>535</v>
      </c>
      <c r="X113" s="623"/>
      <c r="Y113" s="2"/>
      <c r="Z113" s="621"/>
      <c r="AA113" s="621"/>
      <c r="AB113" s="623"/>
      <c r="AC113" s="2"/>
      <c r="AD113" s="621"/>
      <c r="AE113" s="621"/>
      <c r="AF113" s="621"/>
      <c r="AG113" s="621"/>
      <c r="AI113" s="583"/>
      <c r="AJ113" s="621"/>
      <c r="AK113" s="621"/>
      <c r="AL113" s="621"/>
      <c r="AM113" s="621"/>
      <c r="AN113" s="621"/>
      <c r="AO113" s="621"/>
      <c r="AP113" s="621"/>
      <c r="AQ113" s="621"/>
      <c r="AR113" s="621"/>
      <c r="AS113" s="621"/>
      <c r="AT113" s="621"/>
      <c r="AU113" s="621"/>
      <c r="AV113" s="621"/>
      <c r="AW113" s="621"/>
      <c r="AX113" s="621"/>
      <c r="AY113" s="621"/>
      <c r="AZ113" s="621"/>
      <c r="BA113" s="621"/>
      <c r="BB113" s="621"/>
      <c r="BC113" s="621"/>
      <c r="BD113" s="621"/>
    </row>
    <row r="114" spans="1:56">
      <c r="A114" s="638" t="s">
        <v>540</v>
      </c>
      <c r="B114" s="822"/>
      <c r="C114" s="822"/>
      <c r="D114" s="822"/>
      <c r="E114" s="822"/>
      <c r="F114" s="1057">
        <f>-Input!FB24/1000</f>
        <v>-16.0805975</v>
      </c>
      <c r="G114" s="822"/>
      <c r="H114" s="822"/>
      <c r="I114" s="822"/>
      <c r="J114" s="822"/>
      <c r="K114" s="822"/>
      <c r="L114" s="827">
        <f>((+B114-D114-F114-H114-J114)*'Input Tax Rate'!$B$36)</f>
        <v>4.075627436375</v>
      </c>
      <c r="M114" s="1276"/>
      <c r="N114" s="822"/>
      <c r="O114" s="822"/>
      <c r="P114" s="822"/>
      <c r="Q114" s="822"/>
      <c r="R114" s="822"/>
      <c r="S114" s="822"/>
      <c r="T114" s="822">
        <f t="shared" si="1"/>
        <v>-12.004970063624999</v>
      </c>
      <c r="U114" s="822"/>
      <c r="V114" s="822">
        <f t="shared" si="2"/>
        <v>12.004970063624999</v>
      </c>
      <c r="W114" s="623"/>
      <c r="X114" s="640"/>
      <c r="Y114" s="623"/>
      <c r="Z114" s="621"/>
      <c r="AA114" s="621"/>
      <c r="AB114" s="640"/>
      <c r="AC114" s="623"/>
      <c r="AD114" s="621"/>
      <c r="AE114" s="621"/>
      <c r="AF114" s="621"/>
      <c r="AG114" s="621"/>
      <c r="AI114" s="583"/>
      <c r="AJ114" s="621"/>
      <c r="AK114" s="621"/>
      <c r="AL114" s="621"/>
      <c r="AM114" s="621"/>
      <c r="AN114" s="621"/>
      <c r="AO114" s="621"/>
      <c r="AP114" s="621"/>
      <c r="AQ114" s="621"/>
      <c r="AR114" s="621"/>
      <c r="AS114" s="621"/>
      <c r="AT114" s="621"/>
      <c r="AU114" s="621"/>
      <c r="AV114" s="621"/>
      <c r="AW114" s="621"/>
      <c r="AX114" s="621"/>
      <c r="AY114" s="621"/>
      <c r="AZ114" s="621"/>
      <c r="BA114" s="621"/>
      <c r="BB114" s="621"/>
      <c r="BC114" s="621"/>
      <c r="BD114" s="621"/>
    </row>
    <row r="115" spans="1:56">
      <c r="A115" s="638" t="s">
        <v>541</v>
      </c>
      <c r="B115" s="822"/>
      <c r="C115" s="822"/>
      <c r="D115" s="822"/>
      <c r="E115" s="822"/>
      <c r="F115" s="1057">
        <f>-Input!FB57/1000</f>
        <v>-79.175509999999989</v>
      </c>
      <c r="G115" s="822"/>
      <c r="H115" s="822"/>
      <c r="I115" s="822"/>
      <c r="J115" s="822"/>
      <c r="K115" s="822"/>
      <c r="L115" s="827">
        <f>((+B115-D115-F115-H115-J115)*'Input Tax Rate'!$B$36)</f>
        <v>20.067033009499998</v>
      </c>
      <c r="M115" s="1276"/>
      <c r="N115" s="822"/>
      <c r="O115" s="822"/>
      <c r="P115" s="822"/>
      <c r="Q115" s="822"/>
      <c r="R115" s="822"/>
      <c r="S115" s="822"/>
      <c r="T115" s="822">
        <f t="shared" si="1"/>
        <v>-59.108476990499994</v>
      </c>
      <c r="U115" s="822"/>
      <c r="V115" s="822">
        <f t="shared" si="2"/>
        <v>59.108476990499994</v>
      </c>
      <c r="X115" s="623"/>
      <c r="Y115" s="621"/>
      <c r="Z115" s="621"/>
      <c r="AA115" s="621"/>
      <c r="AB115" s="623"/>
      <c r="AC115" s="621"/>
      <c r="AD115" s="621"/>
      <c r="AE115" s="621"/>
      <c r="AF115" s="621"/>
      <c r="AG115" s="621"/>
      <c r="AI115" s="583"/>
      <c r="AJ115" s="621"/>
      <c r="AK115" s="621"/>
      <c r="AL115" s="621"/>
      <c r="AM115" s="621"/>
      <c r="AN115" s="621"/>
      <c r="AO115" s="621"/>
      <c r="AP115" s="621"/>
      <c r="AQ115" s="621"/>
      <c r="AR115" s="621"/>
      <c r="AS115" s="621"/>
      <c r="AT115" s="621"/>
      <c r="AU115" s="621"/>
      <c r="AV115" s="621"/>
      <c r="AW115" s="621"/>
      <c r="AX115" s="621"/>
      <c r="AY115" s="621"/>
      <c r="AZ115" s="621"/>
      <c r="BA115" s="621"/>
      <c r="BB115" s="621"/>
      <c r="BC115" s="621"/>
      <c r="BD115" s="621"/>
    </row>
    <row r="116" spans="1:56">
      <c r="A116" s="269" t="s">
        <v>2433</v>
      </c>
      <c r="B116" s="1057">
        <f>Input!FB34/1000</f>
        <v>-31246.949270000001</v>
      </c>
      <c r="C116" s="822"/>
      <c r="D116" s="822"/>
      <c r="E116" s="822"/>
      <c r="F116" s="822"/>
      <c r="G116" s="822"/>
      <c r="H116" s="822"/>
      <c r="I116" s="822"/>
      <c r="J116" s="1057">
        <f>-Input!FB29/1000</f>
        <v>-30953.375960000008</v>
      </c>
      <c r="K116" s="822"/>
      <c r="L116" s="827">
        <f>((+B116-D116-F116-H116-J116)*'Input Tax Rate'!$B$36)</f>
        <v>-74.406155419498106</v>
      </c>
      <c r="M116" s="1276"/>
      <c r="N116" s="822"/>
      <c r="O116" s="822"/>
      <c r="P116" s="822"/>
      <c r="Q116" s="822"/>
      <c r="R116" s="822"/>
      <c r="S116" s="822"/>
      <c r="T116" s="822">
        <f>SUM(D116:R116)</f>
        <v>-31027.782115419508</v>
      </c>
      <c r="U116" s="822"/>
      <c r="V116" s="822">
        <f t="shared" si="2"/>
        <v>-219.16715458049293</v>
      </c>
      <c r="W116" s="623"/>
      <c r="Z116" s="621"/>
      <c r="AA116" s="621"/>
      <c r="AD116" s="621"/>
      <c r="AE116" s="621"/>
      <c r="AF116" s="621"/>
      <c r="AG116" s="621"/>
      <c r="AI116" s="583"/>
      <c r="AJ116" s="621"/>
      <c r="AK116" s="621"/>
      <c r="AL116" s="621"/>
      <c r="AM116" s="621"/>
      <c r="AN116" s="621"/>
      <c r="AO116" s="621"/>
      <c r="AP116" s="621"/>
      <c r="AQ116" s="621"/>
      <c r="AR116" s="621"/>
      <c r="AS116" s="621"/>
      <c r="AT116" s="621"/>
      <c r="AU116" s="621"/>
      <c r="AV116" s="621"/>
      <c r="AW116" s="621"/>
      <c r="AX116" s="621"/>
      <c r="AY116" s="621"/>
      <c r="AZ116" s="621"/>
      <c r="BA116" s="621"/>
      <c r="BB116" s="621"/>
      <c r="BC116" s="621"/>
      <c r="BD116" s="621"/>
    </row>
    <row r="117" spans="1:56">
      <c r="A117" s="638" t="s">
        <v>542</v>
      </c>
      <c r="B117" s="822"/>
      <c r="C117" s="822"/>
      <c r="D117" s="822"/>
      <c r="E117" s="822"/>
      <c r="F117" s="1057">
        <f>-('Input IS ACCTS'!DH513)*0.1328/1000</f>
        <v>-58.709748543999993</v>
      </c>
      <c r="G117" s="822"/>
      <c r="H117" s="822"/>
      <c r="I117" s="822"/>
      <c r="J117" s="822"/>
      <c r="K117" s="822"/>
      <c r="L117" s="827">
        <f>((+B117-D117-F117-H117-J117)*'Input Tax Rate'!$B$36)</f>
        <v>14.879985768476798</v>
      </c>
      <c r="M117" s="1276"/>
      <c r="N117" s="822"/>
      <c r="O117" s="822"/>
      <c r="P117" s="822"/>
      <c r="Q117" s="822"/>
      <c r="R117" s="822"/>
      <c r="S117" s="822"/>
      <c r="T117" s="822">
        <f t="shared" si="1"/>
        <v>-43.829762775523193</v>
      </c>
      <c r="U117" s="822"/>
      <c r="V117" s="822">
        <f>B117-T117</f>
        <v>43.829762775523193</v>
      </c>
      <c r="W117" s="623"/>
      <c r="X117" s="623"/>
      <c r="Y117" s="621"/>
      <c r="Z117" s="621"/>
      <c r="AA117" s="621"/>
      <c r="AB117" s="623"/>
      <c r="AC117" s="621"/>
      <c r="AD117" s="621"/>
      <c r="AE117" s="621"/>
      <c r="AF117" s="621"/>
      <c r="AG117" s="621"/>
      <c r="AI117" s="583"/>
      <c r="AJ117" s="621"/>
      <c r="AK117" s="621"/>
      <c r="AL117" s="621"/>
      <c r="AM117" s="621"/>
      <c r="AN117" s="621"/>
      <c r="AO117" s="621"/>
      <c r="AP117" s="621"/>
      <c r="AQ117" s="621"/>
      <c r="AR117" s="621"/>
      <c r="AS117" s="621"/>
      <c r="AT117" s="621"/>
      <c r="AU117" s="621"/>
      <c r="AV117" s="621"/>
      <c r="AW117" s="621"/>
      <c r="AX117" s="621"/>
      <c r="AY117" s="621"/>
      <c r="AZ117" s="621"/>
      <c r="BA117" s="621"/>
      <c r="BB117" s="621"/>
      <c r="BC117" s="621"/>
      <c r="BD117" s="621"/>
    </row>
    <row r="118" spans="1:56">
      <c r="A118" s="638" t="s">
        <v>543</v>
      </c>
      <c r="B118" s="822"/>
      <c r="C118" s="822"/>
      <c r="D118" s="822"/>
      <c r="E118" s="822"/>
      <c r="F118" s="1057">
        <f>-('Input IS ACCTS'!DH485)*0.031/1000</f>
        <v>-7.6618412699999991</v>
      </c>
      <c r="G118" s="822"/>
      <c r="H118" s="822"/>
      <c r="I118" s="822"/>
      <c r="J118" s="822"/>
      <c r="K118" s="822"/>
      <c r="L118" s="827">
        <f>((+B118-D118-F118-H118-J118)*'Input Tax Rate'!$B$36)</f>
        <v>1.9418936698814999</v>
      </c>
      <c r="M118" s="1276"/>
      <c r="N118" s="822"/>
      <c r="O118" s="822"/>
      <c r="P118" s="822"/>
      <c r="Q118" s="822"/>
      <c r="R118" s="822"/>
      <c r="S118" s="822"/>
      <c r="T118" s="822">
        <f t="shared" si="1"/>
        <v>-5.7199476001184992</v>
      </c>
      <c r="U118" s="822"/>
      <c r="V118" s="822">
        <f>B118-T118</f>
        <v>5.7199476001184992</v>
      </c>
      <c r="W118" s="623"/>
      <c r="X118" s="623"/>
      <c r="Y118" s="621"/>
      <c r="Z118" s="621"/>
      <c r="AA118" s="621"/>
      <c r="AB118" s="623"/>
      <c r="AC118" s="621"/>
      <c r="AD118" s="621"/>
      <c r="AE118" s="621"/>
      <c r="AF118" s="621"/>
      <c r="AG118" s="621"/>
      <c r="AI118" s="583"/>
      <c r="AJ118" s="621"/>
      <c r="AK118" s="621"/>
      <c r="AL118" s="621"/>
      <c r="AM118" s="621"/>
      <c r="AN118" s="621"/>
      <c r="AO118" s="621"/>
      <c r="AP118" s="621"/>
      <c r="AQ118" s="621"/>
      <c r="AR118" s="621"/>
      <c r="AS118" s="621"/>
      <c r="AT118" s="621"/>
      <c r="AU118" s="621"/>
      <c r="AV118" s="621"/>
      <c r="AW118" s="621"/>
      <c r="AX118" s="621"/>
      <c r="AY118" s="621"/>
      <c r="AZ118" s="621"/>
      <c r="BA118" s="621"/>
      <c r="BB118" s="621"/>
      <c r="BC118" s="621"/>
      <c r="BD118" s="621"/>
    </row>
    <row r="119" spans="1:56">
      <c r="A119" s="638" t="s">
        <v>544</v>
      </c>
      <c r="B119" s="822"/>
      <c r="C119" s="822"/>
      <c r="D119" s="822"/>
      <c r="E119" s="822"/>
      <c r="F119" s="822"/>
      <c r="G119" s="822"/>
      <c r="H119" s="1057">
        <f>+-'Input WFNG'!T278/1000</f>
        <v>0</v>
      </c>
      <c r="I119" s="822"/>
      <c r="J119" s="822"/>
      <c r="K119" s="822"/>
      <c r="L119" s="827">
        <f>((+B119-D119-F119-H119-J119)*'Input Tax Rate'!$B$36)</f>
        <v>0</v>
      </c>
      <c r="M119" s="822"/>
      <c r="N119" s="822"/>
      <c r="O119" s="822"/>
      <c r="P119" s="822"/>
      <c r="Q119" s="822"/>
      <c r="R119" s="822"/>
      <c r="S119" s="822"/>
      <c r="T119" s="822">
        <f t="shared" si="1"/>
        <v>0</v>
      </c>
      <c r="U119" s="822"/>
      <c r="V119" s="822">
        <f t="shared" si="2"/>
        <v>0</v>
      </c>
      <c r="W119" s="623"/>
      <c r="X119" s="623"/>
      <c r="Y119" s="621"/>
      <c r="Z119" s="621"/>
      <c r="AA119" s="621"/>
      <c r="AB119" s="623"/>
      <c r="AC119" s="621"/>
      <c r="AD119" s="621"/>
      <c r="AE119" s="621"/>
      <c r="AF119" s="621"/>
      <c r="AG119" s="621"/>
      <c r="AI119" s="583"/>
      <c r="AJ119" s="621"/>
      <c r="AK119" s="621"/>
      <c r="AL119" s="621"/>
      <c r="AM119" s="621"/>
      <c r="AN119" s="621"/>
      <c r="AO119" s="621"/>
      <c r="AP119" s="621"/>
      <c r="AQ119" s="621"/>
      <c r="AR119" s="621"/>
      <c r="AS119" s="621"/>
      <c r="AT119" s="621"/>
      <c r="AU119" s="621"/>
      <c r="AV119" s="621"/>
      <c r="AW119" s="621"/>
      <c r="AX119" s="621"/>
      <c r="AY119" s="621"/>
      <c r="AZ119" s="621"/>
      <c r="BA119" s="621"/>
      <c r="BB119" s="621"/>
      <c r="BC119" s="621"/>
      <c r="BD119" s="621"/>
    </row>
    <row r="120" spans="1:56">
      <c r="A120" s="638" t="s">
        <v>484</v>
      </c>
      <c r="B120" s="822"/>
      <c r="C120" s="822"/>
      <c r="D120" s="822"/>
      <c r="E120" s="822"/>
      <c r="F120" s="824"/>
      <c r="G120" s="822"/>
      <c r="H120" s="822"/>
      <c r="I120" s="822"/>
      <c r="J120" s="822"/>
      <c r="K120" s="822"/>
      <c r="L120" s="827">
        <f>((+B120-D120-F120-H120-J120)*'Input Tax Rate'!$B$36)</f>
        <v>0</v>
      </c>
      <c r="M120" s="822"/>
      <c r="N120" s="822"/>
      <c r="O120" s="822"/>
      <c r="P120" s="822"/>
      <c r="Q120" s="822"/>
      <c r="R120" s="822"/>
      <c r="S120" s="822"/>
      <c r="T120" s="822">
        <f>SUM(D120:R120)</f>
        <v>0</v>
      </c>
      <c r="U120" s="822"/>
      <c r="V120" s="822">
        <f>B120-T120</f>
        <v>0</v>
      </c>
      <c r="W120" s="623"/>
      <c r="X120" s="623"/>
      <c r="Y120" s="621"/>
      <c r="Z120" s="621"/>
      <c r="AA120" s="621"/>
      <c r="AB120" s="623"/>
      <c r="AC120" s="621"/>
      <c r="AD120" s="621"/>
      <c r="AE120" s="621"/>
      <c r="AF120" s="621"/>
      <c r="AG120" s="621"/>
      <c r="AI120" s="583"/>
      <c r="AJ120" s="621"/>
      <c r="AK120" s="621"/>
      <c r="AL120" s="621"/>
      <c r="AM120" s="621"/>
      <c r="AN120" s="621"/>
      <c r="AO120" s="621"/>
      <c r="AP120" s="621"/>
      <c r="AQ120" s="621"/>
      <c r="AR120" s="621"/>
      <c r="AS120" s="621"/>
      <c r="AT120" s="621"/>
      <c r="AU120" s="621"/>
      <c r="AV120" s="621"/>
      <c r="AW120" s="621"/>
      <c r="AX120" s="621"/>
      <c r="AY120" s="621"/>
      <c r="AZ120" s="621"/>
      <c r="BA120" s="621"/>
      <c r="BB120" s="621"/>
      <c r="BC120" s="621"/>
      <c r="BD120" s="621"/>
    </row>
    <row r="121" spans="1:56">
      <c r="A121" s="638" t="s">
        <v>536</v>
      </c>
      <c r="B121" s="1058">
        <f>-Input!FB51/1000</f>
        <v>-117.79600000000001</v>
      </c>
      <c r="C121" s="822"/>
      <c r="D121" s="822"/>
      <c r="E121" s="822"/>
      <c r="F121" s="824"/>
      <c r="G121" s="822"/>
      <c r="H121" s="822"/>
      <c r="I121" s="822"/>
      <c r="J121" s="822"/>
      <c r="K121" s="822"/>
      <c r="L121" s="827">
        <f>((+B121-D121-F121-H121-J121)*'Input Tax Rate'!$B$36)</f>
        <v>-29.855396200000001</v>
      </c>
      <c r="M121" s="1276"/>
      <c r="N121" s="822"/>
      <c r="O121" s="822"/>
      <c r="P121" s="822"/>
      <c r="Q121" s="822"/>
      <c r="R121" s="822"/>
      <c r="S121" s="822"/>
      <c r="T121" s="822">
        <f>SUM(D121:R121)</f>
        <v>-29.855396200000001</v>
      </c>
      <c r="U121" s="822"/>
      <c r="V121" s="822">
        <f>B121-T121</f>
        <v>-87.940603800000005</v>
      </c>
      <c r="W121" s="623"/>
      <c r="X121" s="623"/>
      <c r="Y121" s="621"/>
      <c r="Z121" s="621"/>
      <c r="AA121" s="621"/>
      <c r="AB121" s="623"/>
      <c r="AC121" s="621"/>
      <c r="AD121" s="621"/>
      <c r="AE121" s="621"/>
      <c r="AF121" s="621"/>
      <c r="AG121" s="621"/>
      <c r="AI121" s="583"/>
      <c r="AJ121" s="621"/>
      <c r="AK121" s="621"/>
      <c r="AL121" s="621"/>
      <c r="AM121" s="621"/>
      <c r="AN121" s="621"/>
      <c r="AO121" s="621"/>
      <c r="AP121" s="621"/>
      <c r="AQ121" s="621"/>
      <c r="AR121" s="621"/>
      <c r="AS121" s="621"/>
      <c r="AT121" s="621"/>
      <c r="AU121" s="621"/>
      <c r="AV121" s="621"/>
      <c r="AW121" s="621"/>
      <c r="AX121" s="621"/>
      <c r="AY121" s="621"/>
      <c r="AZ121" s="621"/>
      <c r="BA121" s="621"/>
      <c r="BB121" s="621"/>
      <c r="BC121" s="621"/>
      <c r="BD121" s="621"/>
    </row>
    <row r="122" spans="1:56">
      <c r="A122" s="638" t="s">
        <v>545</v>
      </c>
      <c r="B122" s="822"/>
      <c r="C122" s="822"/>
      <c r="D122" s="822"/>
      <c r="E122" s="822"/>
      <c r="F122" s="822"/>
      <c r="G122" s="822"/>
      <c r="H122" s="822"/>
      <c r="I122" s="822"/>
      <c r="J122" s="822"/>
      <c r="K122" s="822"/>
      <c r="L122" s="827">
        <f>((+B122-D122-F122-H122-J122)*'Input Tax Rate'!$B$36)</f>
        <v>0</v>
      </c>
      <c r="M122" s="822"/>
      <c r="N122" s="822"/>
      <c r="O122" s="822"/>
      <c r="P122" s="822">
        <f>-P106</f>
        <v>0</v>
      </c>
      <c r="Q122" s="822"/>
      <c r="R122" s="822"/>
      <c r="S122" s="822"/>
      <c r="T122" s="822">
        <f t="shared" si="1"/>
        <v>0</v>
      </c>
      <c r="U122" s="822"/>
      <c r="V122" s="822">
        <f t="shared" si="2"/>
        <v>0</v>
      </c>
      <c r="W122" s="623"/>
      <c r="X122" s="623"/>
      <c r="Y122" s="621"/>
      <c r="Z122" s="621"/>
      <c r="AA122" s="621"/>
      <c r="AB122" s="623"/>
      <c r="AC122" s="621"/>
      <c r="AD122" s="621"/>
      <c r="AE122" s="621"/>
      <c r="AF122" s="621"/>
      <c r="AG122" s="621"/>
      <c r="AI122" s="583"/>
      <c r="AJ122" s="621"/>
      <c r="AK122" s="621"/>
      <c r="AL122" s="621"/>
      <c r="AM122" s="621"/>
      <c r="AN122" s="621"/>
      <c r="AO122" s="621"/>
      <c r="AP122" s="621"/>
      <c r="AQ122" s="621"/>
      <c r="AR122" s="621"/>
      <c r="AS122" s="621"/>
      <c r="AT122" s="621"/>
      <c r="AU122" s="621"/>
      <c r="AV122" s="621"/>
      <c r="AW122" s="621"/>
      <c r="AX122" s="621"/>
      <c r="AY122" s="621"/>
      <c r="AZ122" s="621"/>
      <c r="BA122" s="621"/>
      <c r="BB122" s="621"/>
      <c r="BC122" s="621"/>
      <c r="BD122" s="621"/>
    </row>
    <row r="123" spans="1:56">
      <c r="A123" s="638" t="s">
        <v>532</v>
      </c>
      <c r="B123" s="1253">
        <f>-(('[6]Surv report tab'!$DS$27-'[6]Surv report tab'!$DS$33)/1000)-B124</f>
        <v>-1712.4629999999997</v>
      </c>
      <c r="C123" s="825"/>
      <c r="D123" s="825"/>
      <c r="E123" s="825"/>
      <c r="F123" s="1253">
        <f>-'[6]Surv report tab'!$DS$36/1000</f>
        <v>-848.702</v>
      </c>
      <c r="G123" s="822"/>
      <c r="H123" s="1248">
        <f>-'[6]Surv report tab'!$DS$43/1000</f>
        <v>-415.3586699999999</v>
      </c>
      <c r="I123" s="822"/>
      <c r="J123" s="1248">
        <f>-('[6]Surv report tab'!$DS$30+'[6]Surv report tab'!$DS$46)/1000</f>
        <v>-448.40204</v>
      </c>
      <c r="K123" s="822"/>
      <c r="L123" s="827">
        <f>((+B123-D123-F123-H123-J123)*'Input Tax Rate'!$B$36)</f>
        <v>-7.3500499958498725E-5</v>
      </c>
      <c r="M123" s="822"/>
      <c r="N123" s="822"/>
      <c r="O123" s="822"/>
      <c r="P123" s="822"/>
      <c r="Q123" s="822"/>
      <c r="R123" s="822"/>
      <c r="S123" s="822"/>
      <c r="T123" s="822">
        <f>SUM(D123:R123)</f>
        <v>-1712.4627835004997</v>
      </c>
      <c r="U123" s="822"/>
      <c r="V123" s="1047">
        <f>B123-T123</f>
        <v>-2.1649950008395535E-4</v>
      </c>
      <c r="W123" s="1046" t="s">
        <v>535</v>
      </c>
      <c r="X123" s="623"/>
      <c r="Y123" s="621"/>
      <c r="Z123" s="621"/>
      <c r="AA123" s="621"/>
      <c r="AB123" s="623"/>
      <c r="AC123" s="621"/>
      <c r="AD123" s="621"/>
      <c r="AE123" s="621"/>
      <c r="AF123" s="621"/>
      <c r="AG123" s="621"/>
      <c r="AI123" s="583"/>
      <c r="AJ123" s="621"/>
      <c r="AK123" s="621"/>
      <c r="AL123" s="621"/>
      <c r="AM123" s="621"/>
      <c r="AN123" s="621"/>
      <c r="AO123" s="621"/>
      <c r="AP123" s="621"/>
      <c r="AQ123" s="621"/>
      <c r="AR123" s="621"/>
      <c r="AS123" s="621"/>
      <c r="AT123" s="621"/>
      <c r="AU123" s="621"/>
      <c r="AV123" s="621"/>
      <c r="AW123" s="621"/>
      <c r="AX123" s="621"/>
      <c r="AY123" s="621"/>
      <c r="AZ123" s="621"/>
      <c r="BA123" s="621"/>
      <c r="BB123" s="621"/>
      <c r="BC123" s="621"/>
      <c r="BD123" s="621"/>
    </row>
    <row r="124" spans="1:56">
      <c r="A124" s="638" t="s">
        <v>533</v>
      </c>
      <c r="B124" s="1248">
        <f>-'[6]Surv report tab'!$DS$39/1000</f>
        <v>-4238.1660000000002</v>
      </c>
      <c r="C124" s="825"/>
      <c r="D124" s="825"/>
      <c r="E124" s="825"/>
      <c r="F124" s="825"/>
      <c r="G124" s="822"/>
      <c r="H124" s="825"/>
      <c r="I124" s="822"/>
      <c r="J124" s="825"/>
      <c r="K124" s="822"/>
      <c r="L124" s="827">
        <f>((+B124-D124-F124-H124-J124)*'Input Tax Rate'!$B$36)</f>
        <v>-1074.1631727000001</v>
      </c>
      <c r="M124" s="1276"/>
      <c r="N124" s="822"/>
      <c r="O124" s="822"/>
      <c r="P124" s="822"/>
      <c r="Q124" s="822"/>
      <c r="R124" s="822"/>
      <c r="S124" s="822"/>
      <c r="T124" s="822">
        <f>SUM(D124:R124)</f>
        <v>-1074.1631727000001</v>
      </c>
      <c r="U124" s="822"/>
      <c r="V124" s="822">
        <f>B124-T124</f>
        <v>-3164.0028272999998</v>
      </c>
      <c r="W124" s="623"/>
      <c r="X124" s="623"/>
      <c r="Y124" s="621"/>
      <c r="Z124" s="621"/>
      <c r="AA124" s="621"/>
      <c r="AB124" s="623"/>
      <c r="AC124" s="621"/>
      <c r="AD124" s="621"/>
      <c r="AE124" s="621"/>
      <c r="AF124" s="621"/>
      <c r="AG124" s="621"/>
      <c r="AI124" s="583"/>
      <c r="AJ124" s="621"/>
      <c r="AK124" s="621"/>
      <c r="AL124" s="621"/>
      <c r="AM124" s="621"/>
      <c r="AN124" s="621"/>
      <c r="AO124" s="621"/>
      <c r="AP124" s="621"/>
      <c r="AQ124" s="621"/>
      <c r="AR124" s="621"/>
      <c r="AS124" s="621"/>
      <c r="AT124" s="621"/>
      <c r="AU124" s="621"/>
      <c r="AV124" s="621"/>
      <c r="AW124" s="621"/>
      <c r="AX124" s="621"/>
      <c r="AY124" s="621"/>
      <c r="AZ124" s="621"/>
      <c r="BA124" s="621"/>
      <c r="BB124" s="621"/>
      <c r="BC124" s="621"/>
      <c r="BD124" s="621"/>
    </row>
    <row r="125" spans="1:56">
      <c r="A125" s="639" t="s">
        <v>546</v>
      </c>
      <c r="B125" s="821">
        <v>0</v>
      </c>
      <c r="C125" s="822"/>
      <c r="D125" s="821"/>
      <c r="E125" s="822"/>
      <c r="F125" s="821"/>
      <c r="G125" s="822"/>
      <c r="H125" s="821"/>
      <c r="I125" s="822"/>
      <c r="J125" s="821"/>
      <c r="K125" s="822"/>
      <c r="L125" s="830">
        <f>((+B125-D125-F125-H125-J125)*'Input Tax Rate'!$B$36)</f>
        <v>0</v>
      </c>
      <c r="M125" s="822"/>
      <c r="N125" s="821"/>
      <c r="O125" s="822"/>
      <c r="P125" s="821"/>
      <c r="Q125" s="822"/>
      <c r="R125" s="821"/>
      <c r="S125" s="822"/>
      <c r="T125" s="826">
        <f t="shared" si="1"/>
        <v>0</v>
      </c>
      <c r="U125" s="822"/>
      <c r="V125" s="826">
        <f t="shared" si="2"/>
        <v>0</v>
      </c>
      <c r="W125" s="623"/>
      <c r="X125" s="623"/>
      <c r="Y125" s="621"/>
      <c r="Z125" s="621"/>
      <c r="AA125" s="621"/>
      <c r="AB125" s="623"/>
      <c r="AC125" s="621"/>
      <c r="AD125" s="621"/>
      <c r="AE125" s="621"/>
      <c r="AF125" s="621"/>
      <c r="AG125" s="621"/>
      <c r="AI125" s="583"/>
      <c r="AJ125" s="621"/>
      <c r="AK125" s="621"/>
      <c r="AL125" s="621"/>
      <c r="AM125" s="621"/>
      <c r="AN125" s="621"/>
      <c r="AO125" s="621"/>
      <c r="AP125" s="621"/>
      <c r="AQ125" s="621"/>
      <c r="AR125" s="621"/>
      <c r="AS125" s="621"/>
      <c r="AT125" s="621"/>
      <c r="AU125" s="621"/>
      <c r="AV125" s="621"/>
      <c r="AW125" s="621"/>
      <c r="AX125" s="621"/>
      <c r="AY125" s="621"/>
      <c r="AZ125" s="621"/>
      <c r="BA125" s="621"/>
      <c r="BB125" s="621"/>
      <c r="BC125" s="621"/>
      <c r="BD125" s="621"/>
    </row>
    <row r="126" spans="1:56" ht="12.95" customHeight="1">
      <c r="A126" s="583" t="s">
        <v>140</v>
      </c>
      <c r="B126" s="821">
        <f>SUM(B109:B125)</f>
        <v>-331209.89233</v>
      </c>
      <c r="C126" s="822"/>
      <c r="D126" s="821">
        <f>SUM(D109:D125)</f>
        <v>-263438.31910000002</v>
      </c>
      <c r="E126" s="822"/>
      <c r="F126" s="821">
        <f>SUM(F109:F125)</f>
        <v>-30659.527977314003</v>
      </c>
      <c r="G126" s="822"/>
      <c r="H126" s="821">
        <f>SUM(H109:H125)</f>
        <v>-454.55915125133083</v>
      </c>
      <c r="I126" s="822"/>
      <c r="J126" s="821">
        <f>SUM(J109:J125)</f>
        <v>-32208.778000000009</v>
      </c>
      <c r="K126" s="822"/>
      <c r="L126" s="821">
        <f>SUM(L109:L125)</f>
        <v>-3109.3221763518859</v>
      </c>
      <c r="M126" s="822"/>
      <c r="N126" s="821">
        <f>SUM(N109:N125)</f>
        <v>0</v>
      </c>
      <c r="O126" s="822"/>
      <c r="P126" s="821">
        <f>SUM(P109:P125)</f>
        <v>0</v>
      </c>
      <c r="Q126" s="822"/>
      <c r="R126" s="821">
        <f>SUM(R109:R125)</f>
        <v>0</v>
      </c>
      <c r="S126" s="822"/>
      <c r="T126" s="821">
        <f>SUM(T109:T125)</f>
        <v>-329870.50640491716</v>
      </c>
      <c r="U126" s="822"/>
      <c r="V126" s="821">
        <f>SUM(V109:V125)</f>
        <v>-1339.3859250827747</v>
      </c>
      <c r="W126" s="623"/>
      <c r="X126" s="623"/>
      <c r="Y126" s="621"/>
      <c r="Z126" s="621"/>
      <c r="AA126" s="621"/>
      <c r="AB126" s="623"/>
      <c r="AC126" s="621"/>
      <c r="AD126" s="621"/>
      <c r="AE126" s="621"/>
      <c r="AF126" s="621"/>
      <c r="AG126" s="621"/>
      <c r="AI126" s="583"/>
      <c r="AJ126" s="621"/>
      <c r="AK126" s="621"/>
      <c r="AL126" s="621"/>
      <c r="AM126" s="621"/>
      <c r="AN126" s="621"/>
      <c r="AO126" s="621"/>
      <c r="AP126" s="621"/>
      <c r="AQ126" s="621"/>
      <c r="AR126" s="621"/>
      <c r="AS126" s="621"/>
      <c r="AT126" s="621"/>
      <c r="AU126" s="621"/>
      <c r="AV126" s="621"/>
      <c r="AW126" s="621"/>
      <c r="AX126" s="621"/>
      <c r="AY126" s="621"/>
      <c r="AZ126" s="621"/>
      <c r="BA126" s="621"/>
      <c r="BB126" s="621"/>
      <c r="BC126" s="621"/>
      <c r="BD126" s="621"/>
    </row>
    <row r="127" spans="1:56">
      <c r="A127" s="583"/>
      <c r="B127" s="822"/>
      <c r="C127" s="822"/>
      <c r="D127" s="822"/>
      <c r="E127" s="822"/>
      <c r="F127" s="822"/>
      <c r="G127" s="822"/>
      <c r="H127" s="822"/>
      <c r="I127" s="822"/>
      <c r="J127" s="822"/>
      <c r="K127" s="822"/>
      <c r="L127" s="822"/>
      <c r="M127" s="822"/>
      <c r="N127" s="822"/>
      <c r="O127" s="822"/>
      <c r="P127" s="822"/>
      <c r="Q127" s="822"/>
      <c r="R127" s="822"/>
      <c r="S127" s="822"/>
      <c r="T127" s="822"/>
      <c r="U127" s="822"/>
      <c r="V127" s="822"/>
      <c r="W127" s="623"/>
      <c r="X127" s="623"/>
      <c r="Y127" s="621"/>
      <c r="Z127" s="621"/>
      <c r="AA127" s="621"/>
      <c r="AB127" s="623"/>
      <c r="AC127" s="621"/>
      <c r="AD127" s="621"/>
      <c r="AE127" s="621"/>
      <c r="AF127" s="621"/>
      <c r="AG127" s="621"/>
      <c r="AI127" s="583"/>
      <c r="AJ127" s="621"/>
      <c r="AK127" s="621"/>
      <c r="AL127" s="621"/>
      <c r="AM127" s="621"/>
      <c r="AN127" s="621"/>
      <c r="AO127" s="621"/>
      <c r="AP127" s="621"/>
      <c r="AQ127" s="621"/>
      <c r="AR127" s="621"/>
      <c r="AS127" s="621"/>
      <c r="AT127" s="621"/>
      <c r="AU127" s="621"/>
      <c r="AV127" s="621"/>
      <c r="AW127" s="621"/>
      <c r="AX127" s="621"/>
      <c r="AY127" s="621"/>
      <c r="AZ127" s="621"/>
      <c r="BA127" s="621"/>
      <c r="BB127" s="621"/>
      <c r="BC127" s="621"/>
      <c r="BD127" s="621"/>
    </row>
    <row r="128" spans="1:56" ht="13.5" thickBot="1">
      <c r="A128" s="583" t="s">
        <v>141</v>
      </c>
      <c r="B128" s="831">
        <f>B106+B126</f>
        <v>313013.53305000014</v>
      </c>
      <c r="C128" s="822"/>
      <c r="D128" s="831">
        <f>D106+D126</f>
        <v>0</v>
      </c>
      <c r="E128" s="822"/>
      <c r="F128" s="831">
        <f>F106+F126</f>
        <v>122381.76370268599</v>
      </c>
      <c r="G128" s="822"/>
      <c r="H128" s="831">
        <f>H106+H126</f>
        <v>46581.27762874867</v>
      </c>
      <c r="I128" s="822"/>
      <c r="J128" s="831">
        <f>J106+J126</f>
        <v>21657.934039999989</v>
      </c>
      <c r="K128" s="822"/>
      <c r="L128" s="831">
        <f>L106+L126</f>
        <v>1253.6048636481128</v>
      </c>
      <c r="M128" s="822"/>
      <c r="N128" s="831">
        <f>N106+N126</f>
        <v>21535.034200000002</v>
      </c>
      <c r="O128" s="822"/>
      <c r="P128" s="831">
        <f>P106+P126</f>
        <v>0</v>
      </c>
      <c r="Q128" s="822"/>
      <c r="R128" s="831">
        <f>R106+R126</f>
        <v>-223.82619999999997</v>
      </c>
      <c r="S128" s="822"/>
      <c r="T128" s="831">
        <f>T106+T126</f>
        <v>213185.78823508281</v>
      </c>
      <c r="U128" s="822"/>
      <c r="V128" s="831">
        <f>V106+V126</f>
        <v>99827.744814917387</v>
      </c>
      <c r="W128" s="623"/>
      <c r="X128" s="623"/>
      <c r="Y128" s="621"/>
      <c r="Z128" s="621"/>
      <c r="AA128" s="621"/>
      <c r="AB128" s="623"/>
      <c r="AC128" s="621"/>
      <c r="AD128" s="621"/>
      <c r="AE128" s="621"/>
      <c r="AF128" s="621"/>
      <c r="AG128" s="621"/>
      <c r="AI128" s="583"/>
      <c r="AJ128" s="621"/>
      <c r="AK128" s="621"/>
      <c r="AL128" s="621"/>
      <c r="AM128" s="621"/>
      <c r="AN128" s="621"/>
      <c r="AO128" s="621"/>
      <c r="AP128" s="621"/>
      <c r="AQ128" s="621"/>
      <c r="AR128" s="621"/>
      <c r="AS128" s="621"/>
      <c r="AT128" s="621"/>
      <c r="AU128" s="621"/>
      <c r="AV128" s="621"/>
      <c r="AW128" s="621"/>
      <c r="AX128" s="621"/>
      <c r="AY128" s="621"/>
      <c r="AZ128" s="621"/>
      <c r="BA128" s="621"/>
      <c r="BB128" s="621"/>
      <c r="BC128" s="621"/>
      <c r="BD128" s="621"/>
    </row>
    <row r="129" spans="1:56" ht="13.5" thickTop="1">
      <c r="A129" s="583"/>
      <c r="B129" s="619"/>
      <c r="C129" s="619"/>
      <c r="D129" s="619"/>
      <c r="E129" s="619"/>
      <c r="F129" s="619"/>
      <c r="G129" s="619"/>
      <c r="H129" s="619"/>
      <c r="I129" s="619"/>
      <c r="J129" s="619"/>
      <c r="K129" s="619"/>
      <c r="L129" s="619"/>
      <c r="M129" s="619"/>
      <c r="N129" s="619"/>
      <c r="O129" s="619"/>
      <c r="P129" s="619"/>
      <c r="Q129" s="619"/>
      <c r="R129" s="619"/>
      <c r="S129" s="619"/>
      <c r="T129" s="619"/>
      <c r="U129" s="619"/>
      <c r="V129" s="619"/>
      <c r="W129" s="623"/>
      <c r="X129" s="623"/>
      <c r="Y129" s="621"/>
      <c r="Z129" s="621"/>
      <c r="AA129" s="621"/>
      <c r="AB129" s="623"/>
      <c r="AC129" s="640"/>
      <c r="AD129" s="621"/>
      <c r="AE129" s="621"/>
      <c r="AF129" s="621"/>
      <c r="AG129" s="621"/>
      <c r="AI129" s="583"/>
      <c r="AJ129" s="621"/>
      <c r="AK129" s="621"/>
      <c r="AL129" s="621"/>
      <c r="AM129" s="621"/>
      <c r="AN129" s="621"/>
      <c r="AO129" s="621"/>
      <c r="AP129" s="621"/>
      <c r="AQ129" s="621"/>
      <c r="AR129" s="621"/>
      <c r="AS129" s="621"/>
      <c r="AT129" s="621"/>
      <c r="AU129" s="621"/>
      <c r="AV129" s="621"/>
      <c r="AW129" s="621"/>
      <c r="AX129" s="621"/>
      <c r="AY129" s="621"/>
      <c r="AZ129" s="621"/>
      <c r="BA129" s="621"/>
      <c r="BB129" s="621"/>
      <c r="BC129" s="621"/>
      <c r="BD129" s="621"/>
    </row>
    <row r="130" spans="1:56">
      <c r="A130" s="622" t="s">
        <v>2</v>
      </c>
      <c r="B130" s="1100">
        <f>-Input!FB61/1000</f>
        <v>-3709.7959300000002</v>
      </c>
      <c r="C130" s="619"/>
      <c r="D130" s="618"/>
      <c r="E130" s="619"/>
      <c r="F130" s="618"/>
      <c r="G130" s="619"/>
      <c r="H130" s="618"/>
      <c r="I130" s="619"/>
      <c r="J130" s="618"/>
      <c r="K130" s="619"/>
      <c r="L130" s="718">
        <f>((+B130-D130-F130-H130-J130)*'Input Tax Rate'!$B$36)</f>
        <v>-940.24777845850008</v>
      </c>
      <c r="M130" s="619"/>
      <c r="N130" s="618"/>
      <c r="O130" s="619"/>
      <c r="P130" s="618"/>
      <c r="Q130" s="619"/>
      <c r="R130" s="618"/>
      <c r="S130" s="619"/>
      <c r="T130" s="618">
        <f>SUM(D130:R130)</f>
        <v>-940.24777845850008</v>
      </c>
      <c r="U130" s="619"/>
      <c r="V130" s="618">
        <f>B130-T130</f>
        <v>-2769.5481515415004</v>
      </c>
      <c r="W130" s="623"/>
      <c r="X130" s="623"/>
      <c r="Y130" s="621"/>
      <c r="Z130" s="621"/>
      <c r="AA130" s="621"/>
      <c r="AB130" s="623"/>
      <c r="AC130" s="621"/>
      <c r="AD130" s="621"/>
      <c r="AE130" s="621"/>
      <c r="AF130" s="621"/>
      <c r="AG130" s="621"/>
      <c r="AI130" s="583"/>
      <c r="AJ130" s="621"/>
      <c r="AK130" s="621"/>
      <c r="AL130" s="621"/>
      <c r="AM130" s="621"/>
      <c r="AN130" s="621"/>
      <c r="AO130" s="621"/>
      <c r="AP130" s="621"/>
      <c r="AQ130" s="621"/>
      <c r="AR130" s="621"/>
      <c r="AS130" s="621"/>
      <c r="AT130" s="621"/>
      <c r="AU130" s="621"/>
      <c r="AV130" s="621"/>
      <c r="AW130" s="621"/>
      <c r="AX130" s="621"/>
      <c r="AY130" s="621"/>
      <c r="AZ130" s="621"/>
      <c r="BA130" s="621"/>
      <c r="BB130" s="621"/>
      <c r="BC130" s="621"/>
      <c r="BD130" s="621"/>
    </row>
    <row r="131" spans="1:56">
      <c r="A131" s="583" t="s">
        <v>142</v>
      </c>
      <c r="B131" s="619"/>
      <c r="C131" s="619"/>
      <c r="D131" s="619"/>
      <c r="E131" s="619"/>
      <c r="F131" s="619"/>
      <c r="G131" s="619"/>
      <c r="H131" s="619"/>
      <c r="I131" s="619"/>
      <c r="J131" s="619"/>
      <c r="K131" s="619"/>
      <c r="L131" s="619"/>
      <c r="M131" s="619"/>
      <c r="N131" s="619"/>
      <c r="O131" s="619"/>
      <c r="P131" s="619"/>
      <c r="Q131" s="619"/>
      <c r="R131" s="619"/>
      <c r="S131" s="619"/>
      <c r="T131" s="619"/>
      <c r="U131" s="619"/>
      <c r="V131" s="619"/>
      <c r="W131" s="623"/>
      <c r="X131" s="623"/>
      <c r="Y131" s="621"/>
      <c r="Z131" s="621"/>
      <c r="AA131" s="621"/>
      <c r="AB131" s="623"/>
      <c r="AC131" s="621"/>
      <c r="AD131" s="621"/>
      <c r="AE131" s="621"/>
      <c r="AF131" s="621"/>
      <c r="AG131" s="621"/>
      <c r="AI131" s="583"/>
      <c r="AJ131" s="621"/>
      <c r="AK131" s="621"/>
      <c r="AL131" s="621"/>
      <c r="AM131" s="621"/>
      <c r="AN131" s="621"/>
      <c r="AO131" s="621"/>
      <c r="AP131" s="621"/>
      <c r="AQ131" s="621"/>
      <c r="AR131" s="621"/>
      <c r="AS131" s="621"/>
      <c r="AT131" s="621"/>
      <c r="AU131" s="621"/>
      <c r="AV131" s="621"/>
      <c r="AW131" s="621"/>
      <c r="AX131" s="621"/>
      <c r="AY131" s="621"/>
      <c r="AZ131" s="621"/>
      <c r="BA131" s="621"/>
      <c r="BB131" s="621"/>
      <c r="BC131" s="621"/>
      <c r="BD131" s="621"/>
    </row>
    <row r="132" spans="1:56" ht="13.5" thickBot="1">
      <c r="A132" s="583" t="s">
        <v>2</v>
      </c>
      <c r="B132" s="626">
        <f>B128+B130</f>
        <v>309303.73712000012</v>
      </c>
      <c r="C132" s="619"/>
      <c r="D132" s="626">
        <f>D128+D130</f>
        <v>0</v>
      </c>
      <c r="E132" s="619"/>
      <c r="F132" s="626">
        <f>F128+F130</f>
        <v>122381.76370268599</v>
      </c>
      <c r="G132" s="619"/>
      <c r="H132" s="626">
        <f>H128+H130</f>
        <v>46581.27762874867</v>
      </c>
      <c r="I132" s="619"/>
      <c r="J132" s="626">
        <f>J128+J130</f>
        <v>21657.934039999989</v>
      </c>
      <c r="K132" s="619"/>
      <c r="L132" s="626">
        <f>L128+L130</f>
        <v>313.35708518961269</v>
      </c>
      <c r="M132" s="619"/>
      <c r="N132" s="626">
        <f>N128+N130</f>
        <v>21535.034200000002</v>
      </c>
      <c r="O132" s="619"/>
      <c r="P132" s="626">
        <f>P128+P130</f>
        <v>0</v>
      </c>
      <c r="Q132" s="619"/>
      <c r="R132" s="626">
        <f>R128+R130</f>
        <v>-223.82619999999997</v>
      </c>
      <c r="S132" s="619"/>
      <c r="T132" s="626">
        <f>T128+T130</f>
        <v>212245.54045662432</v>
      </c>
      <c r="U132" s="619"/>
      <c r="V132" s="626">
        <f>V128+V130</f>
        <v>97058.196663375886</v>
      </c>
      <c r="W132" s="623"/>
      <c r="X132" s="623"/>
      <c r="Y132" s="621"/>
      <c r="Z132" s="621"/>
      <c r="AA132" s="621"/>
      <c r="AB132" s="623"/>
      <c r="AC132" s="621"/>
      <c r="AD132" s="621"/>
      <c r="AE132" s="621"/>
      <c r="AF132" s="621"/>
      <c r="AG132" s="621"/>
      <c r="AI132" s="583"/>
      <c r="AJ132" s="621"/>
      <c r="AK132" s="621"/>
      <c r="AL132" s="621"/>
      <c r="AM132" s="621"/>
      <c r="AN132" s="621"/>
      <c r="AO132" s="621"/>
      <c r="AP132" s="621"/>
      <c r="AQ132" s="621"/>
      <c r="AR132" s="621"/>
      <c r="AS132" s="621"/>
      <c r="AT132" s="621"/>
      <c r="AU132" s="621"/>
      <c r="AV132" s="621"/>
      <c r="AW132" s="621"/>
      <c r="AX132" s="621"/>
      <c r="AY132" s="621"/>
      <c r="AZ132" s="621"/>
      <c r="BA132" s="621"/>
      <c r="BB132" s="621"/>
      <c r="BC132" s="621"/>
      <c r="BD132" s="621"/>
    </row>
    <row r="133" spans="1:56" ht="13.5" thickTop="1">
      <c r="A133" s="583"/>
      <c r="B133" s="620"/>
      <c r="C133" s="620"/>
      <c r="D133" s="620"/>
      <c r="E133" s="620"/>
      <c r="F133" s="620"/>
      <c r="G133" s="620"/>
      <c r="H133" s="620"/>
      <c r="I133" s="620"/>
      <c r="J133" s="620"/>
      <c r="K133" s="620"/>
      <c r="L133" s="620"/>
      <c r="M133" s="620"/>
      <c r="N133" s="620"/>
      <c r="O133" s="620"/>
      <c r="P133" s="620"/>
      <c r="Q133" s="620"/>
      <c r="R133" s="620"/>
      <c r="S133" s="620"/>
      <c r="T133" s="620"/>
      <c r="U133" s="620"/>
      <c r="V133" s="620"/>
      <c r="W133" s="623"/>
      <c r="X133" s="621"/>
      <c r="Y133" s="621"/>
      <c r="Z133" s="621"/>
      <c r="AA133" s="621"/>
      <c r="AB133" s="621"/>
      <c r="AC133" s="621"/>
      <c r="AD133" s="621"/>
      <c r="AE133" s="621"/>
      <c r="AF133" s="621"/>
      <c r="AG133" s="621"/>
      <c r="AI133" s="583"/>
      <c r="AJ133" s="621"/>
      <c r="AK133" s="621"/>
      <c r="AL133" s="621"/>
      <c r="AM133" s="621"/>
      <c r="AN133" s="621"/>
      <c r="AO133" s="621"/>
      <c r="AP133" s="621"/>
      <c r="AQ133" s="621"/>
      <c r="AR133" s="621"/>
      <c r="AS133" s="621"/>
      <c r="AT133" s="621"/>
      <c r="AU133" s="621"/>
      <c r="AV133" s="621"/>
      <c r="AW133" s="621"/>
      <c r="AX133" s="621"/>
      <c r="AY133" s="621"/>
      <c r="AZ133" s="621"/>
      <c r="BA133" s="621"/>
      <c r="BB133" s="621"/>
      <c r="BC133" s="621"/>
      <c r="BD133" s="621"/>
    </row>
    <row r="134" spans="1:56">
      <c r="A134" s="583" t="s">
        <v>143</v>
      </c>
      <c r="B134" s="619"/>
      <c r="C134" s="620"/>
      <c r="D134" s="620"/>
      <c r="E134" s="620"/>
      <c r="F134" s="620"/>
      <c r="G134" s="620"/>
      <c r="H134" s="620"/>
      <c r="I134" s="641"/>
      <c r="J134" s="620"/>
      <c r="K134" s="620"/>
      <c r="L134" s="620"/>
      <c r="M134" s="620"/>
      <c r="N134" s="620"/>
      <c r="O134" s="620"/>
      <c r="P134" s="620"/>
      <c r="Q134" s="620"/>
      <c r="R134" s="620"/>
      <c r="S134" s="620"/>
      <c r="T134" s="620"/>
      <c r="U134" s="620"/>
      <c r="V134" s="620"/>
      <c r="W134" s="623"/>
      <c r="X134" s="621"/>
      <c r="Y134" s="621"/>
      <c r="Z134" s="621"/>
      <c r="AA134" s="621"/>
      <c r="AB134" s="621"/>
      <c r="AC134" s="621"/>
      <c r="AD134" s="621"/>
      <c r="AE134" s="621"/>
      <c r="AF134" s="621"/>
      <c r="AG134" s="621"/>
      <c r="AI134" s="583"/>
      <c r="AJ134" s="621"/>
      <c r="AK134" s="621"/>
      <c r="AL134" s="621"/>
      <c r="AM134" s="621"/>
      <c r="AN134" s="621"/>
      <c r="AO134" s="621"/>
      <c r="AP134" s="621"/>
      <c r="AQ134" s="621"/>
      <c r="AR134" s="621"/>
      <c r="AS134" s="621"/>
      <c r="AT134" s="621"/>
      <c r="AU134" s="621"/>
      <c r="AV134" s="621"/>
      <c r="AW134" s="621"/>
      <c r="AX134" s="621"/>
      <c r="AY134" s="621"/>
      <c r="AZ134" s="621"/>
      <c r="BA134" s="621"/>
      <c r="BB134" s="621"/>
      <c r="BC134" s="621"/>
      <c r="BD134" s="621"/>
    </row>
    <row r="135" spans="1:56">
      <c r="A135" s="622" t="s">
        <v>144</v>
      </c>
      <c r="B135" s="620"/>
      <c r="C135" s="620"/>
      <c r="D135" s="620"/>
      <c r="E135" s="620"/>
      <c r="F135" s="620"/>
      <c r="G135" s="620"/>
      <c r="H135" s="620"/>
      <c r="I135" s="630"/>
      <c r="J135" s="620"/>
      <c r="K135" s="620"/>
      <c r="L135" s="620"/>
      <c r="M135" s="620"/>
      <c r="N135" s="620"/>
      <c r="O135" s="620"/>
      <c r="P135" s="620"/>
      <c r="Q135" s="620"/>
      <c r="R135" s="620"/>
      <c r="S135" s="620"/>
      <c r="T135" s="620"/>
      <c r="U135" s="620"/>
      <c r="V135" s="620"/>
      <c r="W135" s="623"/>
      <c r="X135" s="621"/>
      <c r="Y135" s="621"/>
      <c r="Z135" s="621"/>
      <c r="AA135" s="621"/>
      <c r="AB135" s="621"/>
      <c r="AC135" s="621"/>
      <c r="AD135" s="621"/>
      <c r="AE135" s="621"/>
      <c r="AF135" s="621"/>
      <c r="AG135" s="621"/>
      <c r="AI135" s="583"/>
      <c r="AJ135" s="621"/>
      <c r="AK135" s="621"/>
      <c r="AL135" s="621"/>
      <c r="AM135" s="621"/>
      <c r="AN135" s="621"/>
      <c r="AO135" s="621"/>
      <c r="AP135" s="621"/>
      <c r="AQ135" s="621"/>
      <c r="AR135" s="621"/>
      <c r="AS135" s="621"/>
      <c r="AT135" s="621"/>
      <c r="AU135" s="621"/>
      <c r="AV135" s="621"/>
      <c r="AW135" s="621"/>
      <c r="AX135" s="621"/>
      <c r="AY135" s="621"/>
      <c r="AZ135" s="621"/>
      <c r="BA135" s="621"/>
      <c r="BB135" s="621"/>
      <c r="BC135" s="621"/>
      <c r="BD135" s="621"/>
    </row>
    <row r="136" spans="1:56">
      <c r="A136" s="583"/>
      <c r="B136" s="620"/>
      <c r="C136" s="620"/>
      <c r="D136" s="620"/>
      <c r="E136" s="620"/>
      <c r="F136" s="620"/>
      <c r="G136" s="620"/>
      <c r="H136" s="620"/>
      <c r="I136" s="630"/>
      <c r="J136" s="620"/>
      <c r="K136" s="620"/>
      <c r="L136" s="620"/>
      <c r="M136" s="620"/>
      <c r="N136" s="620"/>
      <c r="O136" s="620"/>
      <c r="P136" s="620"/>
      <c r="Q136" s="620"/>
      <c r="R136" s="620"/>
      <c r="S136" s="620"/>
      <c r="T136" s="619"/>
      <c r="U136" s="619"/>
      <c r="V136" s="619"/>
      <c r="W136" s="623"/>
      <c r="X136" s="623"/>
      <c r="Y136" s="621"/>
      <c r="Z136" s="621"/>
      <c r="AA136" s="621"/>
      <c r="AB136" s="623"/>
      <c r="AC136" s="621"/>
      <c r="AD136" s="621"/>
      <c r="AE136" s="621"/>
      <c r="AF136" s="621"/>
      <c r="AG136" s="621"/>
      <c r="AI136" s="583"/>
      <c r="AJ136" s="621"/>
      <c r="AK136" s="621"/>
      <c r="AL136" s="621"/>
      <c r="AM136" s="621"/>
      <c r="AN136" s="621"/>
      <c r="AO136" s="621"/>
      <c r="AP136" s="621"/>
      <c r="AQ136" s="621"/>
      <c r="AR136" s="621"/>
      <c r="AS136" s="621"/>
      <c r="AT136" s="621"/>
      <c r="AU136" s="621"/>
      <c r="AV136" s="621"/>
      <c r="AW136" s="621"/>
      <c r="AX136" s="621"/>
      <c r="AY136" s="621"/>
      <c r="AZ136" s="621"/>
      <c r="BA136" s="621"/>
      <c r="BB136" s="621"/>
      <c r="BC136" s="621"/>
      <c r="BD136" s="621"/>
    </row>
    <row r="137" spans="1:56">
      <c r="A137" s="642" t="s">
        <v>482</v>
      </c>
      <c r="B137" s="620"/>
      <c r="C137" s="620"/>
      <c r="D137" s="620"/>
      <c r="E137" s="620"/>
      <c r="F137" s="620"/>
      <c r="G137" s="620"/>
      <c r="H137" s="620"/>
      <c r="I137" s="643"/>
      <c r="J137" s="620"/>
      <c r="K137" s="620"/>
      <c r="L137" s="644">
        <v>0</v>
      </c>
      <c r="M137" s="620"/>
      <c r="N137" s="620"/>
      <c r="O137" s="620"/>
      <c r="P137" s="620"/>
      <c r="Q137" s="620"/>
      <c r="R137" s="645"/>
      <c r="S137" s="620"/>
      <c r="T137" s="619">
        <f>SUM(D137:R137)</f>
        <v>0</v>
      </c>
      <c r="U137" s="619"/>
      <c r="V137" s="619">
        <f>B137-T137</f>
        <v>0</v>
      </c>
      <c r="W137" s="623"/>
      <c r="X137" s="623"/>
      <c r="Y137" s="621"/>
      <c r="Z137" s="621"/>
      <c r="AA137" s="621"/>
      <c r="AB137" s="623"/>
      <c r="AC137" s="621"/>
      <c r="AD137" s="621"/>
      <c r="AE137" s="621"/>
      <c r="AF137" s="621"/>
      <c r="AG137" s="621"/>
      <c r="AI137" s="583"/>
      <c r="AJ137" s="621"/>
      <c r="AK137" s="621"/>
      <c r="AL137" s="621"/>
      <c r="AM137" s="621"/>
      <c r="AN137" s="621"/>
      <c r="AO137" s="621"/>
      <c r="AP137" s="621"/>
      <c r="AQ137" s="621"/>
      <c r="AR137" s="621"/>
      <c r="AS137" s="621"/>
      <c r="AT137" s="621"/>
      <c r="AU137" s="621"/>
      <c r="AV137" s="621"/>
      <c r="AW137" s="621"/>
      <c r="AX137" s="621"/>
      <c r="AY137" s="621"/>
      <c r="AZ137" s="621"/>
      <c r="BA137" s="621"/>
      <c r="BB137" s="621"/>
      <c r="BC137" s="621"/>
      <c r="BD137" s="621"/>
    </row>
    <row r="138" spans="1:56">
      <c r="A138" s="642"/>
      <c r="B138" s="646"/>
      <c r="C138" s="620"/>
      <c r="D138" s="646"/>
      <c r="E138" s="620"/>
      <c r="F138" s="647"/>
      <c r="G138" s="620"/>
      <c r="H138" s="646"/>
      <c r="I138" s="620"/>
      <c r="J138" s="646"/>
      <c r="K138" s="620"/>
      <c r="L138" s="625"/>
      <c r="M138" s="620"/>
      <c r="N138" s="646"/>
      <c r="O138" s="620"/>
      <c r="P138" s="646"/>
      <c r="Q138" s="620"/>
      <c r="R138" s="648"/>
      <c r="S138" s="620"/>
      <c r="T138" s="625"/>
      <c r="U138" s="619"/>
      <c r="V138" s="625"/>
      <c r="W138" s="623"/>
      <c r="X138" s="621"/>
      <c r="Y138" s="621"/>
      <c r="Z138" s="621"/>
      <c r="AA138" s="621"/>
      <c r="AB138" s="621"/>
      <c r="AC138" s="621"/>
      <c r="AD138" s="621"/>
      <c r="AE138" s="621"/>
      <c r="AF138" s="621"/>
      <c r="AG138" s="621"/>
      <c r="AI138" s="583"/>
      <c r="AJ138" s="621"/>
      <c r="AK138" s="621"/>
      <c r="AL138" s="621"/>
      <c r="AM138" s="621"/>
      <c r="AN138" s="621"/>
      <c r="AO138" s="621"/>
      <c r="AP138" s="621"/>
      <c r="AQ138" s="621"/>
      <c r="AR138" s="621"/>
      <c r="AS138" s="621"/>
      <c r="AT138" s="621"/>
      <c r="AU138" s="621"/>
      <c r="AV138" s="621"/>
      <c r="AW138" s="621"/>
      <c r="AX138" s="621"/>
      <c r="AY138" s="621"/>
      <c r="AZ138" s="621"/>
      <c r="BA138" s="621"/>
      <c r="BB138" s="621"/>
      <c r="BC138" s="621"/>
      <c r="BD138" s="621"/>
    </row>
    <row r="139" spans="1:56" ht="12.95" customHeight="1">
      <c r="A139" s="583" t="s">
        <v>145</v>
      </c>
      <c r="B139" s="618">
        <f>SUM(B137:B138)</f>
        <v>0</v>
      </c>
      <c r="C139" s="619"/>
      <c r="D139" s="618"/>
      <c r="E139" s="619"/>
      <c r="F139" s="618">
        <f>SUM(F137:F138)</f>
        <v>0</v>
      </c>
      <c r="G139" s="619"/>
      <c r="H139" s="618"/>
      <c r="I139" s="619"/>
      <c r="J139" s="618"/>
      <c r="K139" s="619"/>
      <c r="L139" s="618">
        <f>SUM(L137:L138)</f>
        <v>0</v>
      </c>
      <c r="M139" s="619"/>
      <c r="N139" s="618"/>
      <c r="O139" s="619"/>
      <c r="P139" s="618"/>
      <c r="Q139" s="619"/>
      <c r="R139" s="618">
        <f>SUM(R137:R138)</f>
        <v>0</v>
      </c>
      <c r="S139" s="619"/>
      <c r="T139" s="618">
        <f>SUM(T137:T138)</f>
        <v>0</v>
      </c>
      <c r="U139" s="619"/>
      <c r="V139" s="618">
        <f>SUM(V137:V138)</f>
        <v>0</v>
      </c>
      <c r="W139" s="623"/>
      <c r="X139" s="623"/>
      <c r="Y139" s="621"/>
      <c r="Z139" s="621"/>
      <c r="AA139" s="621"/>
      <c r="AB139" s="623"/>
      <c r="AC139" s="621"/>
      <c r="AD139" s="621"/>
      <c r="AE139" s="621"/>
      <c r="AF139" s="621"/>
      <c r="AG139" s="621"/>
      <c r="AI139" s="583"/>
      <c r="AJ139" s="621"/>
      <c r="AK139" s="621"/>
      <c r="AL139" s="621"/>
      <c r="AM139" s="621"/>
      <c r="AN139" s="621"/>
      <c r="AO139" s="621"/>
      <c r="AP139" s="621"/>
      <c r="AQ139" s="621"/>
      <c r="AR139" s="621"/>
      <c r="AS139" s="621"/>
      <c r="AT139" s="621"/>
      <c r="AU139" s="621"/>
      <c r="AV139" s="621"/>
      <c r="AW139" s="621"/>
      <c r="AX139" s="621"/>
      <c r="AY139" s="621"/>
      <c r="AZ139" s="621"/>
      <c r="BA139" s="621"/>
      <c r="BB139" s="621"/>
      <c r="BC139" s="621"/>
      <c r="BD139" s="621"/>
    </row>
    <row r="140" spans="1:56">
      <c r="A140" s="583"/>
      <c r="B140" s="619"/>
      <c r="C140" s="619"/>
      <c r="D140" s="619"/>
      <c r="E140" s="619"/>
      <c r="F140" s="619"/>
      <c r="G140" s="619"/>
      <c r="H140" s="619"/>
      <c r="I140" s="619"/>
      <c r="J140" s="619"/>
      <c r="K140" s="619"/>
      <c r="L140" s="619"/>
      <c r="M140" s="619"/>
      <c r="N140" s="619"/>
      <c r="O140" s="619"/>
      <c r="P140" s="619"/>
      <c r="Q140" s="619"/>
      <c r="R140" s="619"/>
      <c r="S140" s="619"/>
      <c r="T140" s="619"/>
      <c r="U140" s="619"/>
      <c r="V140" s="619"/>
      <c r="W140" s="623"/>
      <c r="X140" s="621"/>
      <c r="Y140" s="621"/>
      <c r="Z140" s="621"/>
      <c r="AA140" s="621"/>
      <c r="AB140" s="621"/>
      <c r="AC140" s="621"/>
      <c r="AD140" s="621"/>
      <c r="AE140" s="621"/>
      <c r="AF140" s="621"/>
      <c r="AG140" s="621"/>
      <c r="AI140" s="583"/>
      <c r="AJ140" s="621"/>
      <c r="AK140" s="621"/>
      <c r="AL140" s="621"/>
      <c r="AM140" s="621"/>
      <c r="AN140" s="621"/>
      <c r="AO140" s="621"/>
      <c r="AP140" s="621"/>
      <c r="AQ140" s="621"/>
      <c r="AR140" s="621"/>
      <c r="AS140" s="621"/>
      <c r="AT140" s="621"/>
      <c r="AU140" s="621"/>
      <c r="AV140" s="621"/>
      <c r="AW140" s="621"/>
      <c r="AX140" s="621"/>
      <c r="AY140" s="621"/>
      <c r="AZ140" s="621"/>
      <c r="BA140" s="621"/>
      <c r="BB140" s="621"/>
      <c r="BC140" s="621"/>
      <c r="BD140" s="621"/>
    </row>
    <row r="141" spans="1:56" ht="13.5" thickBot="1">
      <c r="A141" s="583" t="s">
        <v>146</v>
      </c>
      <c r="B141" s="626">
        <f>B128+B139</f>
        <v>313013.53305000014</v>
      </c>
      <c r="C141" s="619"/>
      <c r="D141" s="626">
        <f>D128+D139</f>
        <v>0</v>
      </c>
      <c r="E141" s="619"/>
      <c r="F141" s="626">
        <f>F128+F139</f>
        <v>122381.76370268599</v>
      </c>
      <c r="G141" s="619"/>
      <c r="H141" s="626">
        <f>H128+H139</f>
        <v>46581.27762874867</v>
      </c>
      <c r="I141" s="619"/>
      <c r="J141" s="626">
        <f>J128+J139</f>
        <v>21657.934039999989</v>
      </c>
      <c r="K141" s="619"/>
      <c r="L141" s="626">
        <f>L128+L139</f>
        <v>1253.6048636481128</v>
      </c>
      <c r="M141" s="619"/>
      <c r="N141" s="626">
        <f>N128+N139</f>
        <v>21535.034200000002</v>
      </c>
      <c r="O141" s="619"/>
      <c r="P141" s="626">
        <f>P128+P139</f>
        <v>0</v>
      </c>
      <c r="Q141" s="619"/>
      <c r="R141" s="626">
        <f>R128+R139</f>
        <v>-223.82619999999997</v>
      </c>
      <c r="S141" s="619"/>
      <c r="T141" s="626">
        <f>T128+T139</f>
        <v>213185.78823508281</v>
      </c>
      <c r="U141" s="619"/>
      <c r="V141" s="626">
        <f>V128+V139</f>
        <v>99827.744814917387</v>
      </c>
      <c r="W141" s="623"/>
      <c r="X141" s="623"/>
      <c r="Y141" s="621"/>
      <c r="Z141" s="621"/>
      <c r="AA141" s="621"/>
      <c r="AB141" s="623"/>
      <c r="AC141" s="621"/>
      <c r="AD141" s="621"/>
      <c r="AE141" s="621"/>
      <c r="AF141" s="621"/>
      <c r="AG141" s="621"/>
      <c r="AI141" s="583"/>
      <c r="AJ141" s="621"/>
      <c r="AK141" s="621"/>
      <c r="AL141" s="621"/>
      <c r="AM141" s="621"/>
      <c r="AN141" s="621"/>
      <c r="AO141" s="621"/>
      <c r="AP141" s="621"/>
      <c r="AQ141" s="621"/>
      <c r="AR141" s="621"/>
      <c r="AS141" s="621"/>
      <c r="AT141" s="621"/>
      <c r="AU141" s="621"/>
      <c r="AV141" s="621"/>
      <c r="AW141" s="621"/>
      <c r="AX141" s="621"/>
      <c r="AY141" s="621"/>
      <c r="AZ141" s="621"/>
      <c r="BA141" s="621"/>
      <c r="BB141" s="621"/>
      <c r="BC141" s="621"/>
      <c r="BD141" s="621"/>
    </row>
    <row r="142" spans="1:56" ht="13.5" thickTop="1">
      <c r="A142" s="583"/>
      <c r="B142" s="619"/>
      <c r="C142" s="619"/>
      <c r="D142" s="619"/>
      <c r="E142" s="619"/>
      <c r="F142" s="619"/>
      <c r="G142" s="619"/>
      <c r="H142" s="619"/>
      <c r="I142" s="619"/>
      <c r="J142" s="619"/>
      <c r="K142" s="619"/>
      <c r="L142" s="619"/>
      <c r="M142" s="619"/>
      <c r="N142" s="619"/>
      <c r="O142" s="619"/>
      <c r="P142" s="619"/>
      <c r="Q142" s="619"/>
      <c r="R142" s="619"/>
      <c r="S142" s="619"/>
      <c r="T142" s="619"/>
      <c r="U142" s="619"/>
      <c r="V142" s="619"/>
      <c r="W142" s="623"/>
      <c r="X142" s="621"/>
      <c r="Y142" s="621"/>
      <c r="Z142" s="621"/>
      <c r="AA142" s="621"/>
      <c r="AB142" s="621"/>
      <c r="AC142" s="621"/>
      <c r="AD142" s="621"/>
      <c r="AE142" s="621"/>
      <c r="AF142" s="621"/>
      <c r="AG142" s="621"/>
      <c r="AI142" s="583"/>
      <c r="AJ142" s="621"/>
      <c r="AK142" s="621"/>
      <c r="AL142" s="621"/>
      <c r="AM142" s="621"/>
      <c r="AN142" s="621"/>
      <c r="AO142" s="621"/>
      <c r="AP142" s="621"/>
      <c r="AQ142" s="621"/>
      <c r="AR142" s="621"/>
      <c r="AS142" s="621"/>
      <c r="AT142" s="621"/>
      <c r="AU142" s="621"/>
      <c r="AV142" s="621"/>
      <c r="AW142" s="621"/>
      <c r="AX142" s="621"/>
      <c r="AY142" s="621"/>
      <c r="AZ142" s="621"/>
      <c r="BA142" s="621"/>
      <c r="BB142" s="621"/>
      <c r="BC142" s="621"/>
      <c r="BD142" s="621"/>
    </row>
    <row r="143" spans="1:56">
      <c r="A143" s="583" t="s">
        <v>101</v>
      </c>
      <c r="B143" s="619"/>
      <c r="C143" s="619"/>
      <c r="D143" s="619"/>
      <c r="E143" s="619"/>
      <c r="F143" s="619"/>
      <c r="G143" s="619"/>
      <c r="H143" s="619"/>
      <c r="I143" s="619"/>
      <c r="J143" s="619"/>
      <c r="K143" s="619"/>
      <c r="L143" s="619"/>
      <c r="M143" s="619"/>
      <c r="N143" s="619"/>
      <c r="O143" s="619"/>
      <c r="P143" s="619"/>
      <c r="Q143" s="619"/>
      <c r="R143" s="619"/>
      <c r="S143" s="619"/>
      <c r="T143" s="619"/>
      <c r="U143" s="619"/>
      <c r="V143" s="619"/>
      <c r="W143" s="623"/>
      <c r="X143" s="621"/>
      <c r="Y143" s="621"/>
      <c r="Z143" s="621"/>
      <c r="AA143" s="621"/>
      <c r="AB143" s="621"/>
      <c r="AC143" s="621"/>
      <c r="AD143" s="621"/>
      <c r="AE143" s="621"/>
      <c r="AF143" s="621"/>
      <c r="AG143" s="621"/>
      <c r="AI143" s="583"/>
      <c r="AJ143" s="621"/>
      <c r="AK143" s="621"/>
      <c r="AL143" s="621"/>
      <c r="AM143" s="621"/>
      <c r="AN143" s="621"/>
      <c r="AO143" s="621"/>
      <c r="AP143" s="621"/>
      <c r="AQ143" s="621"/>
      <c r="AR143" s="621"/>
      <c r="AS143" s="621"/>
      <c r="AT143" s="621"/>
      <c r="AU143" s="621"/>
      <c r="AV143" s="621"/>
      <c r="AW143" s="621"/>
      <c r="AX143" s="621"/>
      <c r="AY143" s="621"/>
      <c r="AZ143" s="621"/>
      <c r="BA143" s="621"/>
      <c r="BB143" s="621"/>
      <c r="BC143" s="621"/>
      <c r="BD143" s="621"/>
    </row>
    <row r="144" spans="1:56" ht="13.5" thickBot="1">
      <c r="A144" s="583" t="s">
        <v>158</v>
      </c>
      <c r="B144" s="649">
        <f>+IncomeStmt!$D$9</f>
        <v>54187.865009999994</v>
      </c>
      <c r="C144" s="619"/>
      <c r="D144" s="649">
        <f>+IncomeStmt!$D$10</f>
        <v>20091.264589999999</v>
      </c>
      <c r="E144" s="619"/>
      <c r="F144" s="649">
        <f>+IncomeStmt!$D$13</f>
        <v>13472.778250000001</v>
      </c>
      <c r="G144" s="619"/>
      <c r="H144" s="649">
        <f>SUM(IncomeStmt!$D$14:$D$17)</f>
        <v>5314.1527100000012</v>
      </c>
      <c r="I144" s="619"/>
      <c r="J144" s="649">
        <f>+IncomeStmt!$D$18</f>
        <v>5357.7177899999997</v>
      </c>
      <c r="K144" s="619"/>
      <c r="L144" s="649">
        <f>SUM(IncomeStmt!$D$19:$D$19)</f>
        <v>-71.585030000000003</v>
      </c>
      <c r="M144" s="619"/>
      <c r="N144" s="649">
        <f>SUM(IncomeStmt!$D$20:$D$20)</f>
        <v>2410.9741899999999</v>
      </c>
      <c r="O144" s="619"/>
      <c r="P144" s="649">
        <f>+IncomeStmt!$D$21</f>
        <v>0</v>
      </c>
      <c r="Q144" s="619"/>
      <c r="R144" s="650">
        <v>0</v>
      </c>
      <c r="S144" s="619"/>
      <c r="T144" s="626">
        <f>SUM(D144:R144)</f>
        <v>46575.302500000005</v>
      </c>
      <c r="U144" s="619"/>
      <c r="V144" s="1245">
        <f>B144-T144</f>
        <v>7612.5625099999888</v>
      </c>
      <c r="W144" s="100" t="s">
        <v>2256</v>
      </c>
      <c r="X144" s="623"/>
      <c r="Y144" s="621"/>
      <c r="Z144" s="621"/>
      <c r="AA144" s="621"/>
      <c r="AB144" s="623"/>
      <c r="AC144" s="621"/>
      <c r="AD144" s="621"/>
      <c r="AE144" s="621"/>
      <c r="AF144" s="621"/>
      <c r="AG144" s="621"/>
      <c r="AI144" s="583"/>
      <c r="AJ144" s="621"/>
      <c r="AK144" s="621"/>
      <c r="AL144" s="621"/>
      <c r="AM144" s="621"/>
      <c r="AN144" s="621"/>
      <c r="AO144" s="621"/>
      <c r="AP144" s="621"/>
      <c r="AQ144" s="621"/>
      <c r="AR144" s="621"/>
      <c r="AS144" s="621"/>
      <c r="AT144" s="621"/>
      <c r="AU144" s="621"/>
      <c r="AV144" s="621"/>
      <c r="AW144" s="621"/>
      <c r="AX144" s="621"/>
      <c r="AY144" s="621"/>
      <c r="AZ144" s="621"/>
      <c r="BA144" s="621"/>
      <c r="BB144" s="621"/>
      <c r="BC144" s="621"/>
      <c r="BD144" s="621"/>
    </row>
    <row r="145" spans="1:56" ht="13.5" thickTop="1">
      <c r="B145" s="616"/>
      <c r="C145" s="616"/>
      <c r="D145" s="616"/>
      <c r="E145" s="616"/>
      <c r="F145" s="616"/>
      <c r="G145" s="616"/>
      <c r="H145" s="616"/>
      <c r="I145" s="616"/>
      <c r="J145" s="616"/>
      <c r="K145" s="616"/>
      <c r="L145" s="616"/>
      <c r="M145" s="616"/>
      <c r="N145" s="616"/>
      <c r="O145" s="616"/>
      <c r="P145" s="616"/>
      <c r="Q145" s="616"/>
      <c r="R145" s="616"/>
      <c r="S145" s="616"/>
      <c r="T145" s="616"/>
      <c r="U145" s="616"/>
      <c r="V145" s="616"/>
      <c r="W145" s="621"/>
      <c r="X145" s="621"/>
      <c r="Y145" s="621"/>
      <c r="Z145" s="621"/>
      <c r="AA145" s="621"/>
      <c r="AB145" s="621"/>
      <c r="AC145" s="621"/>
      <c r="AD145" s="621"/>
      <c r="AE145" s="621"/>
      <c r="AF145" s="621"/>
      <c r="AG145" s="621"/>
      <c r="AI145" s="583"/>
      <c r="AJ145" s="621"/>
      <c r="AK145" s="621"/>
      <c r="AL145" s="621"/>
      <c r="AM145" s="621"/>
      <c r="AN145" s="621"/>
      <c r="AO145" s="621"/>
      <c r="AP145" s="621"/>
      <c r="AQ145" s="621"/>
      <c r="AR145" s="621"/>
      <c r="AS145" s="621"/>
      <c r="AT145" s="621"/>
      <c r="AU145" s="621"/>
      <c r="AV145" s="621"/>
      <c r="AW145" s="621"/>
      <c r="AX145" s="621"/>
      <c r="AY145" s="621"/>
      <c r="AZ145" s="621"/>
      <c r="BA145" s="621"/>
      <c r="BB145" s="621"/>
      <c r="BC145" s="621"/>
      <c r="BD145" s="621"/>
    </row>
    <row r="146" spans="1:56">
      <c r="A146" s="1"/>
      <c r="B146" s="651"/>
      <c r="C146" s="651"/>
      <c r="D146" s="651"/>
      <c r="E146" s="651"/>
      <c r="F146" s="651"/>
      <c r="G146" s="651"/>
      <c r="H146" s="651"/>
      <c r="I146" s="651"/>
      <c r="J146" s="651"/>
      <c r="K146" s="651"/>
      <c r="L146" s="651"/>
      <c r="M146" s="651"/>
      <c r="N146" s="651"/>
      <c r="O146" s="651"/>
      <c r="P146" s="651"/>
      <c r="Q146" s="651"/>
      <c r="R146" s="651"/>
      <c r="S146" s="651"/>
      <c r="T146" s="651"/>
      <c r="U146" s="651"/>
      <c r="V146" s="651"/>
      <c r="W146" s="621"/>
      <c r="X146" s="621"/>
      <c r="Y146" s="621"/>
      <c r="Z146" s="621"/>
      <c r="AA146" s="621"/>
      <c r="AB146" s="621"/>
      <c r="AC146" s="621"/>
      <c r="AD146" s="621"/>
      <c r="AE146" s="621"/>
      <c r="AF146" s="621"/>
      <c r="AG146" s="621"/>
      <c r="AI146" s="583"/>
      <c r="AJ146" s="621"/>
      <c r="AK146" s="621"/>
      <c r="AL146" s="621"/>
      <c r="AM146" s="621"/>
      <c r="AN146" s="621"/>
      <c r="AO146" s="621"/>
      <c r="AP146" s="621"/>
      <c r="AQ146" s="621"/>
      <c r="AR146" s="621"/>
      <c r="AS146" s="621"/>
      <c r="AT146" s="621"/>
      <c r="AU146" s="621"/>
      <c r="AV146" s="621"/>
      <c r="AW146" s="621"/>
      <c r="AX146" s="621"/>
      <c r="AY146" s="621"/>
      <c r="AZ146" s="621"/>
      <c r="BA146" s="621"/>
      <c r="BB146" s="621"/>
      <c r="BC146" s="621"/>
      <c r="BD146" s="621"/>
    </row>
    <row r="147" spans="1:56">
      <c r="A147" s="583"/>
      <c r="B147" s="621"/>
      <c r="C147" s="621"/>
      <c r="D147" s="621"/>
      <c r="E147" s="621"/>
      <c r="F147" s="621"/>
      <c r="G147" s="621"/>
      <c r="H147" s="621"/>
      <c r="I147" s="621"/>
      <c r="J147" s="621"/>
      <c r="K147" s="621"/>
      <c r="L147" s="621"/>
      <c r="M147" s="621"/>
      <c r="N147" s="621"/>
      <c r="O147" s="621"/>
      <c r="P147" s="621"/>
      <c r="Q147" s="621"/>
      <c r="R147" s="621"/>
      <c r="S147" s="621"/>
      <c r="T147" s="621"/>
      <c r="U147" s="621"/>
      <c r="V147" s="621"/>
      <c r="W147" s="621"/>
      <c r="X147" s="621"/>
      <c r="Y147" s="621"/>
      <c r="Z147" s="621"/>
      <c r="AA147" s="621"/>
      <c r="AB147" s="621"/>
      <c r="AC147" s="621"/>
      <c r="AD147" s="621"/>
      <c r="AE147" s="621"/>
      <c r="AF147" s="621"/>
      <c r="AG147" s="621"/>
      <c r="AI147" s="583"/>
      <c r="AJ147" s="621"/>
      <c r="AK147" s="621"/>
      <c r="AL147" s="621"/>
      <c r="AM147" s="621"/>
      <c r="AN147" s="621"/>
      <c r="AO147" s="621"/>
      <c r="AP147" s="621"/>
      <c r="AQ147" s="621"/>
      <c r="AR147" s="621"/>
      <c r="AS147" s="621"/>
      <c r="AT147" s="621"/>
      <c r="AU147" s="621"/>
      <c r="AV147" s="621"/>
      <c r="AW147" s="621"/>
      <c r="AX147" s="621"/>
      <c r="AY147" s="621"/>
      <c r="AZ147" s="621"/>
      <c r="BA147" s="621"/>
      <c r="BB147" s="621"/>
      <c r="BC147" s="621"/>
      <c r="BD147" s="621"/>
    </row>
    <row r="148" spans="1:56" ht="15.75">
      <c r="A148" s="632" t="s">
        <v>204</v>
      </c>
      <c r="B148" s="652"/>
      <c r="C148" s="652"/>
      <c r="D148" s="652"/>
      <c r="E148" s="652"/>
      <c r="F148" s="628"/>
      <c r="G148" s="628"/>
      <c r="H148" s="652"/>
      <c r="I148" s="652"/>
      <c r="J148" s="652"/>
      <c r="K148" s="652"/>
      <c r="L148" s="652"/>
      <c r="M148" s="652"/>
      <c r="N148" s="652"/>
      <c r="O148" s="652"/>
      <c r="P148" s="652"/>
      <c r="Q148" s="652"/>
      <c r="R148" s="652"/>
      <c r="S148" s="652"/>
      <c r="T148" s="653" t="s">
        <v>160</v>
      </c>
      <c r="U148" s="654"/>
      <c r="V148" s="654"/>
      <c r="W148" s="592"/>
      <c r="X148" s="621"/>
      <c r="Y148" s="621"/>
      <c r="Z148" s="621"/>
      <c r="AA148" s="621"/>
      <c r="AB148" s="621"/>
      <c r="AC148" s="621"/>
      <c r="AD148" s="621"/>
      <c r="AE148" s="621"/>
      <c r="AF148" s="621"/>
      <c r="AG148" s="621"/>
      <c r="AI148" s="583"/>
      <c r="AJ148" s="621"/>
      <c r="AK148" s="621"/>
      <c r="AL148" s="621"/>
      <c r="AM148" s="621"/>
      <c r="AN148" s="621"/>
      <c r="AO148" s="621"/>
      <c r="AP148" s="621"/>
      <c r="AQ148" s="621"/>
      <c r="AR148" s="621"/>
      <c r="AS148" s="621"/>
      <c r="AT148" s="621"/>
      <c r="AU148" s="621"/>
      <c r="AV148" s="621"/>
      <c r="AW148" s="621"/>
      <c r="AX148" s="621"/>
      <c r="AY148" s="621"/>
      <c r="AZ148" s="621"/>
      <c r="BA148" s="621"/>
      <c r="BB148" s="621"/>
      <c r="BC148" s="621"/>
      <c r="BD148" s="621"/>
    </row>
    <row r="149" spans="1:56" ht="15.75">
      <c r="A149" s="632" t="s">
        <v>161</v>
      </c>
      <c r="B149" s="652"/>
      <c r="C149" s="652"/>
      <c r="D149" s="652"/>
      <c r="E149" s="652"/>
      <c r="F149" s="628"/>
      <c r="G149" s="628"/>
      <c r="H149" s="652"/>
      <c r="I149" s="628"/>
      <c r="J149" s="652"/>
      <c r="K149" s="652"/>
      <c r="L149" s="652"/>
      <c r="M149" s="652"/>
      <c r="N149" s="652"/>
      <c r="O149" s="652"/>
      <c r="P149" s="652"/>
      <c r="Q149" s="652"/>
      <c r="R149" s="652"/>
      <c r="S149" s="652"/>
      <c r="T149" s="653"/>
      <c r="U149" s="653"/>
      <c r="V149" s="653"/>
      <c r="W149" s="592"/>
      <c r="X149" s="621"/>
      <c r="Y149" s="621"/>
      <c r="Z149" s="621"/>
      <c r="AA149" s="621"/>
      <c r="AB149" s="621"/>
      <c r="AC149" s="621"/>
      <c r="AD149" s="621"/>
      <c r="AE149" s="621"/>
      <c r="AF149" s="621"/>
      <c r="AG149" s="621"/>
      <c r="AI149" s="583"/>
      <c r="AJ149" s="621"/>
      <c r="AK149" s="621"/>
      <c r="AL149" s="621"/>
      <c r="AM149" s="621"/>
      <c r="AN149" s="621"/>
      <c r="AO149" s="621"/>
      <c r="AP149" s="621"/>
      <c r="AQ149" s="621"/>
      <c r="AR149" s="621"/>
      <c r="AS149" s="621"/>
      <c r="AT149" s="621"/>
      <c r="AU149" s="621"/>
      <c r="AV149" s="621"/>
      <c r="AW149" s="621"/>
      <c r="AX149" s="621"/>
      <c r="AY149" s="621"/>
      <c r="AZ149" s="621"/>
      <c r="BA149" s="621"/>
      <c r="BB149" s="621"/>
      <c r="BC149" s="621"/>
      <c r="BD149" s="621"/>
    </row>
    <row r="150" spans="1:56" ht="15.75">
      <c r="A150" s="632" t="s">
        <v>162</v>
      </c>
      <c r="B150" s="652"/>
      <c r="C150" s="652"/>
      <c r="D150" s="652"/>
      <c r="E150" s="652"/>
      <c r="F150" s="652"/>
      <c r="G150" s="628"/>
      <c r="H150" s="628"/>
      <c r="I150" s="628"/>
      <c r="J150" s="652"/>
      <c r="K150" s="652"/>
      <c r="L150" s="652"/>
      <c r="M150" s="652"/>
      <c r="N150" s="652"/>
      <c r="O150" s="652"/>
      <c r="P150" s="652"/>
      <c r="Q150" s="652"/>
      <c r="R150" s="652"/>
      <c r="S150" s="652"/>
      <c r="T150" s="653"/>
      <c r="U150" s="653"/>
      <c r="V150" s="653"/>
      <c r="W150" s="592"/>
      <c r="X150" s="621"/>
      <c r="Y150" s="621"/>
      <c r="Z150" s="621"/>
      <c r="AA150" s="621"/>
      <c r="AB150" s="621"/>
      <c r="AC150" s="621"/>
      <c r="AD150" s="621"/>
      <c r="AE150" s="621"/>
      <c r="AF150" s="621"/>
      <c r="AG150" s="621"/>
      <c r="AI150" s="583"/>
      <c r="AJ150" s="621"/>
      <c r="AK150" s="621"/>
      <c r="AL150" s="621"/>
      <c r="AM150" s="621"/>
      <c r="AN150" s="621"/>
      <c r="AO150" s="621"/>
      <c r="AP150" s="621"/>
      <c r="AQ150" s="621"/>
      <c r="AR150" s="621"/>
      <c r="AS150" s="621"/>
      <c r="AT150" s="621"/>
      <c r="AU150" s="621"/>
      <c r="AV150" s="621"/>
      <c r="AW150" s="621"/>
      <c r="AX150" s="621"/>
      <c r="AY150" s="621"/>
      <c r="AZ150" s="621"/>
      <c r="BA150" s="621"/>
      <c r="BB150" s="621"/>
      <c r="BC150" s="621"/>
      <c r="BD150" s="621"/>
    </row>
    <row r="151" spans="1:56" ht="15.75">
      <c r="A151" s="634" t="str">
        <f>A3</f>
        <v>December 2022</v>
      </c>
      <c r="B151" s="652"/>
      <c r="C151" s="652"/>
      <c r="D151" s="652"/>
      <c r="E151" s="652"/>
      <c r="F151" s="628"/>
      <c r="G151" s="628"/>
      <c r="H151" s="652"/>
      <c r="I151" s="628"/>
      <c r="J151" s="652"/>
      <c r="K151" s="652"/>
      <c r="L151" s="652"/>
      <c r="M151" s="652"/>
      <c r="N151" s="652"/>
      <c r="O151" s="652"/>
      <c r="P151" s="652"/>
      <c r="Q151" s="652"/>
      <c r="R151" s="652"/>
      <c r="S151" s="652"/>
      <c r="T151" s="653"/>
      <c r="U151" s="653"/>
      <c r="V151" s="653"/>
      <c r="W151" s="592"/>
      <c r="X151" s="621"/>
      <c r="Y151" s="621"/>
      <c r="Z151" s="621"/>
      <c r="AA151" s="621"/>
      <c r="AB151" s="621"/>
      <c r="AC151" s="621"/>
      <c r="AD151" s="621"/>
      <c r="AE151" s="621"/>
      <c r="AF151" s="621"/>
      <c r="AG151" s="621"/>
      <c r="AI151" s="583"/>
      <c r="AJ151" s="621"/>
      <c r="AK151" s="621"/>
      <c r="AL151" s="621"/>
      <c r="AM151" s="621"/>
      <c r="AN151" s="621"/>
      <c r="AO151" s="621"/>
      <c r="AP151" s="621"/>
      <c r="AQ151" s="621"/>
      <c r="AR151" s="621"/>
      <c r="AS151" s="621"/>
      <c r="AT151" s="621"/>
      <c r="AU151" s="621"/>
      <c r="AV151" s="621"/>
      <c r="AW151" s="621"/>
      <c r="AX151" s="621"/>
      <c r="AY151" s="621"/>
      <c r="AZ151" s="621"/>
      <c r="BA151" s="621"/>
      <c r="BB151" s="621"/>
      <c r="BC151" s="621"/>
      <c r="BD151" s="621"/>
    </row>
    <row r="152" spans="1:56" ht="15.75">
      <c r="A152" s="634" t="str">
        <f>A4</f>
        <v>(In $ Thousands)</v>
      </c>
      <c r="B152" s="652"/>
      <c r="C152" s="652"/>
      <c r="D152" s="652"/>
      <c r="E152" s="652"/>
      <c r="F152" s="628"/>
      <c r="G152" s="628"/>
      <c r="H152" s="652"/>
      <c r="I152" s="628"/>
      <c r="J152" s="652"/>
      <c r="K152" s="652"/>
      <c r="L152" s="652"/>
      <c r="M152" s="652"/>
      <c r="N152" s="652"/>
      <c r="O152" s="652"/>
      <c r="P152" s="652"/>
      <c r="Q152" s="652"/>
      <c r="R152" s="652"/>
      <c r="S152" s="652"/>
      <c r="T152" s="653"/>
      <c r="U152" s="653"/>
      <c r="V152" s="653"/>
      <c r="W152" s="592"/>
      <c r="X152" s="621"/>
      <c r="Y152" s="621"/>
      <c r="Z152" s="621"/>
      <c r="AA152" s="621"/>
      <c r="AB152" s="621"/>
      <c r="AC152" s="621"/>
      <c r="AD152" s="621"/>
      <c r="AE152" s="621"/>
      <c r="AF152" s="621"/>
      <c r="AG152" s="621"/>
      <c r="AI152" s="583"/>
      <c r="AJ152" s="621"/>
      <c r="AK152" s="621"/>
      <c r="AL152" s="621"/>
      <c r="AM152" s="621"/>
      <c r="AN152" s="621"/>
      <c r="AO152" s="621"/>
      <c r="AP152" s="621"/>
      <c r="AQ152" s="621"/>
      <c r="AR152" s="621"/>
      <c r="AS152" s="621"/>
      <c r="AT152" s="621"/>
      <c r="AU152" s="621"/>
      <c r="AV152" s="621"/>
      <c r="AW152" s="621"/>
      <c r="AX152" s="621"/>
      <c r="AY152" s="621"/>
      <c r="AZ152" s="621"/>
      <c r="BA152" s="621"/>
      <c r="BB152" s="621"/>
      <c r="BC152" s="621"/>
      <c r="BD152" s="621"/>
    </row>
    <row r="153" spans="1:56">
      <c r="A153" s="583"/>
      <c r="B153" s="621"/>
      <c r="C153" s="621"/>
      <c r="D153" s="621"/>
      <c r="E153" s="621"/>
      <c r="F153" s="621"/>
      <c r="G153" s="621"/>
      <c r="H153" s="621"/>
      <c r="I153" s="621"/>
      <c r="J153" s="621"/>
      <c r="K153" s="621"/>
      <c r="L153" s="621"/>
      <c r="M153" s="621"/>
      <c r="N153" s="621"/>
      <c r="O153" s="621"/>
      <c r="P153" s="621"/>
      <c r="Q153" s="621"/>
      <c r="R153" s="621"/>
      <c r="S153" s="621"/>
      <c r="T153" s="621"/>
      <c r="U153" s="621"/>
      <c r="V153" s="621"/>
      <c r="W153" s="592"/>
      <c r="X153" s="621"/>
      <c r="Y153" s="621"/>
      <c r="Z153" s="621"/>
      <c r="AA153" s="621"/>
      <c r="AB153" s="621"/>
      <c r="AC153" s="621"/>
      <c r="AD153" s="621"/>
      <c r="AE153" s="621"/>
      <c r="AF153" s="621"/>
      <c r="AG153" s="621"/>
      <c r="AI153" s="583"/>
      <c r="AJ153" s="621"/>
      <c r="AK153" s="621"/>
      <c r="AL153" s="621"/>
      <c r="AM153" s="621"/>
      <c r="AN153" s="621"/>
      <c r="AO153" s="621"/>
      <c r="AP153" s="621"/>
      <c r="AQ153" s="621"/>
      <c r="AR153" s="621"/>
      <c r="AS153" s="621"/>
      <c r="AT153" s="621"/>
      <c r="AU153" s="621"/>
      <c r="AV153" s="621"/>
      <c r="AW153" s="621"/>
      <c r="AX153" s="621"/>
      <c r="AY153" s="621"/>
      <c r="AZ153" s="621"/>
      <c r="BA153" s="621"/>
      <c r="BB153" s="621"/>
      <c r="BC153" s="621"/>
      <c r="BD153" s="621"/>
    </row>
    <row r="154" spans="1:56">
      <c r="A154" s="583"/>
      <c r="B154" s="621"/>
      <c r="C154" s="621"/>
      <c r="D154" s="621"/>
      <c r="E154" s="621"/>
      <c r="F154" s="621"/>
      <c r="G154" s="621"/>
      <c r="H154" s="621"/>
      <c r="I154" s="621"/>
      <c r="J154" s="621"/>
      <c r="K154" s="621"/>
      <c r="L154" s="621"/>
      <c r="M154" s="621"/>
      <c r="N154" s="621"/>
      <c r="O154" s="621"/>
      <c r="P154" s="621"/>
      <c r="Q154" s="621"/>
      <c r="R154" s="621"/>
      <c r="S154" s="621"/>
      <c r="T154" s="621"/>
      <c r="U154" s="621"/>
      <c r="V154" s="621"/>
      <c r="W154" s="592"/>
      <c r="X154" s="621"/>
      <c r="Y154" s="621"/>
      <c r="Z154" s="621"/>
      <c r="AA154" s="621"/>
      <c r="AB154" s="621"/>
      <c r="AC154" s="621"/>
      <c r="AD154" s="621"/>
      <c r="AE154" s="621"/>
      <c r="AF154" s="621"/>
      <c r="AG154" s="621"/>
      <c r="AI154" s="583"/>
      <c r="AJ154" s="621"/>
      <c r="AK154" s="621"/>
      <c r="AL154" s="621"/>
      <c r="AM154" s="621"/>
      <c r="AN154" s="621"/>
      <c r="AO154" s="621"/>
      <c r="AP154" s="621"/>
      <c r="AQ154" s="621"/>
      <c r="AR154" s="621"/>
      <c r="AS154" s="621"/>
      <c r="AT154" s="621"/>
      <c r="AU154" s="621"/>
      <c r="AV154" s="621"/>
      <c r="AW154" s="621"/>
      <c r="AX154" s="621"/>
      <c r="AY154" s="621"/>
      <c r="AZ154" s="621"/>
      <c r="BA154" s="621"/>
      <c r="BB154" s="621"/>
      <c r="BC154" s="621"/>
      <c r="BD154" s="621"/>
    </row>
    <row r="155" spans="1:56">
      <c r="A155" s="583"/>
      <c r="B155" s="621"/>
      <c r="C155" s="621"/>
      <c r="D155" s="621"/>
      <c r="E155" s="621"/>
      <c r="F155" s="621"/>
      <c r="G155" s="621"/>
      <c r="H155" s="621"/>
      <c r="I155" s="621"/>
      <c r="J155" s="621"/>
      <c r="K155" s="621"/>
      <c r="L155" s="621"/>
      <c r="M155" s="621"/>
      <c r="N155" s="621"/>
      <c r="O155" s="621"/>
      <c r="P155" s="621"/>
      <c r="Q155" s="621"/>
      <c r="R155" s="621"/>
      <c r="S155" s="621"/>
      <c r="T155" s="621"/>
      <c r="U155" s="621"/>
      <c r="V155" s="621"/>
      <c r="W155" s="592"/>
      <c r="X155" s="621"/>
      <c r="Y155" s="621"/>
      <c r="Z155" s="621">
        <v>25390</v>
      </c>
      <c r="AA155" s="621"/>
      <c r="AB155" s="621"/>
      <c r="AC155" s="621"/>
      <c r="AD155" s="621"/>
      <c r="AE155" s="621"/>
      <c r="AF155" s="621"/>
      <c r="AG155" s="621"/>
      <c r="AI155" s="583"/>
      <c r="AJ155" s="621"/>
      <c r="AK155" s="621"/>
      <c r="AL155" s="621"/>
      <c r="AM155" s="621"/>
      <c r="AN155" s="621"/>
      <c r="AO155" s="621"/>
      <c r="AP155" s="621"/>
      <c r="AQ155" s="621"/>
      <c r="AR155" s="621"/>
      <c r="AS155" s="621"/>
      <c r="AT155" s="621"/>
      <c r="AU155" s="621"/>
      <c r="AV155" s="621"/>
      <c r="AW155" s="621"/>
      <c r="AX155" s="621"/>
      <c r="AY155" s="621"/>
      <c r="AZ155" s="621"/>
      <c r="BA155" s="621"/>
      <c r="BB155" s="621"/>
      <c r="BC155" s="621"/>
      <c r="BD155" s="621"/>
    </row>
    <row r="156" spans="1:56">
      <c r="A156" s="655"/>
      <c r="B156" s="656"/>
      <c r="C156" s="656"/>
      <c r="D156" s="656"/>
      <c r="E156" s="656"/>
      <c r="F156" s="656"/>
      <c r="G156" s="656"/>
      <c r="H156" s="656"/>
      <c r="I156" s="656"/>
      <c r="J156" s="656"/>
      <c r="K156" s="656"/>
      <c r="L156" s="657" t="s">
        <v>163</v>
      </c>
      <c r="M156" s="657"/>
      <c r="N156" s="657"/>
      <c r="O156" s="656"/>
      <c r="P156" s="657" t="s">
        <v>164</v>
      </c>
      <c r="Q156" s="657"/>
      <c r="R156" s="657"/>
      <c r="S156" s="656"/>
      <c r="T156" s="657" t="s">
        <v>165</v>
      </c>
      <c r="U156" s="657"/>
      <c r="V156" s="657"/>
      <c r="W156" s="592"/>
      <c r="X156" s="621"/>
      <c r="Y156" s="621"/>
      <c r="Z156" s="621">
        <v>423012</v>
      </c>
      <c r="AA156" s="621"/>
      <c r="AB156" s="621"/>
      <c r="AC156" s="621"/>
      <c r="AD156" s="621"/>
      <c r="AE156" s="621"/>
      <c r="AF156" s="621"/>
      <c r="AG156" s="621"/>
      <c r="AI156" s="583"/>
      <c r="AJ156" s="621"/>
      <c r="AK156" s="621"/>
      <c r="AL156" s="621"/>
      <c r="AM156" s="621"/>
      <c r="AN156" s="621"/>
      <c r="AO156" s="621"/>
      <c r="AP156" s="621"/>
      <c r="AQ156" s="621"/>
      <c r="AR156" s="621"/>
      <c r="AS156" s="621"/>
      <c r="AT156" s="621"/>
      <c r="AU156" s="621"/>
      <c r="AV156" s="621"/>
      <c r="AW156" s="621"/>
      <c r="AX156" s="621"/>
      <c r="AY156" s="621"/>
      <c r="AZ156" s="621"/>
      <c r="BA156" s="621"/>
      <c r="BB156" s="621"/>
      <c r="BC156" s="621"/>
      <c r="BD156" s="621"/>
    </row>
    <row r="157" spans="1:56" ht="14.1" customHeight="1">
      <c r="A157" s="655"/>
      <c r="B157" s="656"/>
      <c r="C157" s="656"/>
      <c r="D157" s="656"/>
      <c r="E157" s="656"/>
      <c r="F157" s="656"/>
      <c r="G157" s="656"/>
      <c r="H157" s="656"/>
      <c r="I157" s="656"/>
      <c r="J157" s="656"/>
      <c r="K157" s="656"/>
      <c r="L157" s="658" t="s">
        <v>166</v>
      </c>
      <c r="M157" s="656"/>
      <c r="N157" s="658" t="s">
        <v>167</v>
      </c>
      <c r="O157" s="656"/>
      <c r="P157" s="658" t="s">
        <v>166</v>
      </c>
      <c r="Q157" s="656"/>
      <c r="R157" s="658" t="s">
        <v>167</v>
      </c>
      <c r="S157" s="656"/>
      <c r="T157" s="658" t="s">
        <v>166</v>
      </c>
      <c r="U157" s="656"/>
      <c r="V157" s="658" t="s">
        <v>167</v>
      </c>
      <c r="W157" s="592"/>
      <c r="X157" s="621"/>
      <c r="Y157" s="621"/>
      <c r="Z157" s="621">
        <f>SUM(Z155:Z156)</f>
        <v>448402</v>
      </c>
      <c r="AA157" s="621"/>
      <c r="AB157" s="621"/>
      <c r="AC157" s="621"/>
      <c r="AD157" s="621"/>
      <c r="AE157" s="621"/>
      <c r="AF157" s="621"/>
      <c r="AG157" s="621"/>
      <c r="AI157" s="583"/>
      <c r="AJ157" s="621"/>
      <c r="AK157" s="621"/>
      <c r="AL157" s="621"/>
      <c r="AM157" s="621"/>
      <c r="AN157" s="621"/>
      <c r="AO157" s="621"/>
      <c r="AP157" s="621"/>
      <c r="AQ157" s="621"/>
      <c r="AR157" s="621"/>
      <c r="AS157" s="621"/>
      <c r="AT157" s="621"/>
      <c r="AU157" s="621"/>
      <c r="AV157" s="621"/>
      <c r="AW157" s="621"/>
      <c r="AX157" s="621"/>
      <c r="AY157" s="621"/>
      <c r="AZ157" s="621"/>
      <c r="BA157" s="621"/>
      <c r="BB157" s="621"/>
      <c r="BC157" s="621"/>
      <c r="BD157" s="621"/>
    </row>
    <row r="158" spans="1:56" ht="14.1" customHeight="1">
      <c r="A158" s="655"/>
      <c r="B158" s="656"/>
      <c r="C158" s="656"/>
      <c r="D158" s="657" t="s">
        <v>61</v>
      </c>
      <c r="E158" s="657"/>
      <c r="F158" s="657"/>
      <c r="G158" s="656"/>
      <c r="H158" s="656"/>
      <c r="I158" s="656"/>
      <c r="J158" s="658" t="s">
        <v>168</v>
      </c>
      <c r="K158" s="656"/>
      <c r="L158" s="658" t="s">
        <v>169</v>
      </c>
      <c r="M158" s="656"/>
      <c r="N158" s="658" t="s">
        <v>166</v>
      </c>
      <c r="O158" s="656"/>
      <c r="P158" s="658" t="s">
        <v>169</v>
      </c>
      <c r="Q158" s="656"/>
      <c r="R158" s="658" t="s">
        <v>166</v>
      </c>
      <c r="S158" s="656"/>
      <c r="T158" s="658" t="s">
        <v>169</v>
      </c>
      <c r="U158" s="656"/>
      <c r="V158" s="658" t="s">
        <v>166</v>
      </c>
      <c r="W158" s="592"/>
      <c r="X158" s="621"/>
      <c r="Y158" s="621"/>
      <c r="Z158" s="621"/>
      <c r="AA158" s="621"/>
      <c r="AB158" s="621"/>
      <c r="AC158" s="621"/>
      <c r="AD158" s="621"/>
      <c r="AE158" s="621"/>
      <c r="AF158" s="621"/>
      <c r="AG158" s="621"/>
      <c r="AI158" s="583"/>
      <c r="AJ158" s="621"/>
      <c r="AK158" s="621"/>
      <c r="AL158" s="621"/>
      <c r="AM158" s="621"/>
      <c r="AN158" s="621"/>
      <c r="AO158" s="621"/>
      <c r="AP158" s="621"/>
      <c r="AQ158" s="621"/>
      <c r="AR158" s="621"/>
      <c r="AS158" s="621"/>
      <c r="AT158" s="621"/>
      <c r="AU158" s="621"/>
      <c r="AV158" s="621"/>
      <c r="AW158" s="621"/>
      <c r="AX158" s="621"/>
      <c r="AY158" s="621"/>
      <c r="AZ158" s="621"/>
      <c r="BA158" s="621"/>
      <c r="BB158" s="621"/>
      <c r="BC158" s="621"/>
      <c r="BD158" s="621"/>
    </row>
    <row r="159" spans="1:56" ht="14.1" customHeight="1">
      <c r="A159" s="659" t="s">
        <v>3</v>
      </c>
      <c r="B159" s="660" t="s">
        <v>101</v>
      </c>
      <c r="C159" s="656"/>
      <c r="D159" s="660" t="s">
        <v>170</v>
      </c>
      <c r="E159" s="656"/>
      <c r="F159" s="660" t="s">
        <v>171</v>
      </c>
      <c r="G159" s="656"/>
      <c r="H159" s="660" t="s">
        <v>172</v>
      </c>
      <c r="I159" s="656"/>
      <c r="J159" s="660" t="s">
        <v>173</v>
      </c>
      <c r="K159" s="656"/>
      <c r="L159" s="660" t="s">
        <v>173</v>
      </c>
      <c r="M159" s="656"/>
      <c r="N159" s="660" t="s">
        <v>173</v>
      </c>
      <c r="O159" s="656"/>
      <c r="P159" s="660" t="s">
        <v>173</v>
      </c>
      <c r="Q159" s="656"/>
      <c r="R159" s="660" t="s">
        <v>173</v>
      </c>
      <c r="S159" s="656"/>
      <c r="T159" s="660" t="s">
        <v>173</v>
      </c>
      <c r="U159" s="656"/>
      <c r="V159" s="660" t="s">
        <v>173</v>
      </c>
      <c r="W159" s="592"/>
      <c r="X159" s="621"/>
      <c r="Y159" s="621"/>
      <c r="Z159" s="621"/>
      <c r="AA159" s="621"/>
      <c r="AB159" s="621"/>
      <c r="AC159" s="621"/>
      <c r="AD159" s="621"/>
      <c r="AE159" s="621"/>
      <c r="AF159" s="621"/>
      <c r="AG159" s="621"/>
      <c r="AI159" s="583"/>
      <c r="AJ159" s="621"/>
      <c r="AK159" s="621"/>
      <c r="AL159" s="621"/>
      <c r="AM159" s="621"/>
      <c r="AN159" s="621"/>
      <c r="AO159" s="621"/>
      <c r="AP159" s="621"/>
      <c r="AQ159" s="621"/>
      <c r="AR159" s="621"/>
      <c r="AS159" s="621"/>
      <c r="AT159" s="621"/>
      <c r="AU159" s="621"/>
      <c r="AV159" s="621"/>
      <c r="AW159" s="621"/>
      <c r="AX159" s="621"/>
      <c r="AY159" s="621"/>
      <c r="AZ159" s="621"/>
      <c r="BA159" s="621"/>
      <c r="BB159" s="621"/>
      <c r="BC159" s="621"/>
      <c r="BD159" s="621"/>
    </row>
    <row r="160" spans="1:56" ht="14.1" customHeight="1">
      <c r="A160" s="655" t="s">
        <v>174</v>
      </c>
      <c r="B160" s="1056">
        <f>Reconcil!C120+Reconcil!C121</f>
        <v>545294.27248153847</v>
      </c>
      <c r="C160" s="1056"/>
      <c r="D160" s="1056">
        <f>+Reconcil!D43</f>
        <v>-4743.7700606977214</v>
      </c>
      <c r="E160" s="1056"/>
      <c r="F160" s="1056">
        <f>ROUND(Reconcil!$K$43*'Cap Str 54.7%'!C24,9)+ROUND(Reconcil!$J$43*'Cap Str 54.7%'!C35,9)</f>
        <v>-37778.517770951999</v>
      </c>
      <c r="G160" s="661"/>
      <c r="H160" s="953">
        <f>B160+D160+F160+('Cap Str 54.7%'!B17*'Cap Str 54.7%'!B8)</f>
        <v>514059.25215609063</v>
      </c>
      <c r="I160" s="656"/>
      <c r="J160" s="1050">
        <f>ROUND(H160/$H$171,4)</f>
        <v>0.29649999999999999</v>
      </c>
      <c r="K160" s="656"/>
      <c r="L160" s="663">
        <f>'Int Synch'!D17*100</f>
        <v>3.9699999999999998</v>
      </c>
      <c r="M160" s="656"/>
      <c r="N160" s="663">
        <f>ROUND(L160*J160,2)</f>
        <v>1.18</v>
      </c>
      <c r="O160" s="656"/>
      <c r="P160" s="663">
        <f>L160</f>
        <v>3.9699999999999998</v>
      </c>
      <c r="Q160" s="656"/>
      <c r="R160" s="663">
        <f>ROUND(P160*J160,2)</f>
        <v>1.18</v>
      </c>
      <c r="S160" s="656"/>
      <c r="T160" s="663">
        <f>L160</f>
        <v>3.9699999999999998</v>
      </c>
      <c r="U160" s="656"/>
      <c r="V160" s="663">
        <f>ROUND(T160*J160,2)</f>
        <v>1.18</v>
      </c>
      <c r="W160" s="592"/>
      <c r="X160" s="621"/>
      <c r="Y160" s="621"/>
      <c r="Z160" s="621"/>
      <c r="AA160" s="621"/>
      <c r="AB160" s="621"/>
      <c r="AC160" s="621"/>
      <c r="AD160" s="621"/>
      <c r="AE160" s="621"/>
      <c r="AF160" s="621"/>
      <c r="AG160" s="621"/>
      <c r="AI160" s="583"/>
      <c r="AJ160" s="621"/>
      <c r="AK160" s="621"/>
      <c r="AL160" s="621"/>
      <c r="AM160" s="621"/>
      <c r="AN160" s="621"/>
      <c r="AO160" s="621"/>
      <c r="AP160" s="621"/>
      <c r="AQ160" s="621"/>
      <c r="AR160" s="621"/>
      <c r="AS160" s="621"/>
      <c r="AT160" s="621"/>
      <c r="AU160" s="621"/>
      <c r="AV160" s="621"/>
      <c r="AW160" s="621"/>
      <c r="AX160" s="621"/>
      <c r="AY160" s="621"/>
      <c r="AZ160" s="621"/>
      <c r="BA160" s="621"/>
      <c r="BB160" s="621"/>
      <c r="BC160" s="621"/>
      <c r="BD160" s="621"/>
    </row>
    <row r="161" spans="1:56" ht="6" customHeight="1">
      <c r="A161" s="655"/>
      <c r="B161" s="1056"/>
      <c r="C161" s="1056"/>
      <c r="D161" s="1056"/>
      <c r="E161" s="1056"/>
      <c r="F161" s="1056"/>
      <c r="G161" s="661"/>
      <c r="H161" s="661"/>
      <c r="I161" s="656"/>
      <c r="J161" s="883"/>
      <c r="K161" s="656"/>
      <c r="L161" s="656"/>
      <c r="M161" s="656"/>
      <c r="N161" s="656"/>
      <c r="O161" s="656"/>
      <c r="P161" s="663"/>
      <c r="Q161" s="656"/>
      <c r="R161" s="663"/>
      <c r="S161" s="656"/>
      <c r="T161" s="663"/>
      <c r="U161" s="656"/>
      <c r="V161" s="663"/>
      <c r="W161" s="592"/>
      <c r="X161" s="621"/>
      <c r="Y161" s="621"/>
      <c r="Z161" s="621"/>
      <c r="AA161" s="621"/>
      <c r="AB161" s="621"/>
      <c r="AC161" s="621"/>
      <c r="AD161" s="621"/>
      <c r="AE161" s="621"/>
      <c r="AF161" s="621"/>
      <c r="AG161" s="621"/>
      <c r="AI161" s="583"/>
      <c r="AJ161" s="621"/>
      <c r="AK161" s="621"/>
      <c r="AL161" s="621"/>
      <c r="AM161" s="621"/>
      <c r="AN161" s="621"/>
      <c r="AO161" s="621"/>
      <c r="AP161" s="621"/>
      <c r="AQ161" s="621"/>
      <c r="AR161" s="621"/>
      <c r="AS161" s="621"/>
      <c r="AT161" s="621"/>
      <c r="AU161" s="621"/>
      <c r="AV161" s="621"/>
      <c r="AW161" s="621"/>
      <c r="AX161" s="621"/>
      <c r="AY161" s="621"/>
      <c r="AZ161" s="621"/>
      <c r="BA161" s="621"/>
      <c r="BB161" s="621"/>
      <c r="BC161" s="621"/>
      <c r="BD161" s="621"/>
    </row>
    <row r="162" spans="1:56" ht="14.1" customHeight="1">
      <c r="A162" s="655" t="s">
        <v>175</v>
      </c>
      <c r="B162" s="1056">
        <f>Reconcil!C127</f>
        <v>167682.70811538462</v>
      </c>
      <c r="C162" s="1056"/>
      <c r="D162" s="1056">
        <f>Reconcil!E43</f>
        <v>-189.99840538461538</v>
      </c>
      <c r="E162" s="1056"/>
      <c r="F162" s="1056">
        <f>ROUND(Reconcil!$K$43*'Cap Str 54.7%'!C25,9)+ROUND(Reconcil!$J$43*'Cap Str 54.7%'!C36,9)</f>
        <v>-11705.892940522999</v>
      </c>
      <c r="G162" s="661"/>
      <c r="H162" s="953">
        <f>B162+D162+F162+('Cap Str 54.7%'!B17*'Cap Str 54.7%'!B9)</f>
        <v>159284.24210044733</v>
      </c>
      <c r="I162" s="656"/>
      <c r="J162" s="816">
        <f>ROUND(H162/$H$171,4)-0.0001</f>
        <v>9.1799999999999993E-2</v>
      </c>
      <c r="K162" s="656"/>
      <c r="L162" s="663">
        <f>'Int Synch'!D19*100</f>
        <v>2.2032118366889129</v>
      </c>
      <c r="M162" s="656"/>
      <c r="N162" s="663">
        <f>ROUND(L162*J162,2)</f>
        <v>0.2</v>
      </c>
      <c r="O162" s="656"/>
      <c r="P162" s="663">
        <f>L162</f>
        <v>2.2032118366889129</v>
      </c>
      <c r="Q162" s="656"/>
      <c r="R162" s="663">
        <f>ROUND(P162*J162,2)</f>
        <v>0.2</v>
      </c>
      <c r="S162" s="656"/>
      <c r="T162" s="663">
        <f>L162</f>
        <v>2.2032118366889129</v>
      </c>
      <c r="U162" s="656"/>
      <c r="V162" s="663">
        <f>ROUND(T162*J162,2)</f>
        <v>0.2</v>
      </c>
      <c r="W162" s="592"/>
      <c r="X162" s="621"/>
      <c r="Y162" s="621"/>
      <c r="Z162" s="621"/>
      <c r="AA162" s="621"/>
      <c r="AB162" s="621"/>
      <c r="AC162" s="621"/>
      <c r="AD162" s="621"/>
      <c r="AE162" s="621"/>
      <c r="AF162" s="621"/>
      <c r="AG162" s="621"/>
      <c r="AI162" s="583"/>
      <c r="AJ162" s="621"/>
      <c r="AK162" s="621"/>
      <c r="AL162" s="621"/>
      <c r="AM162" s="621"/>
      <c r="AN162" s="621"/>
      <c r="AO162" s="621"/>
      <c r="AP162" s="621"/>
      <c r="AQ162" s="621"/>
      <c r="AR162" s="621"/>
      <c r="AS162" s="621"/>
      <c r="AT162" s="621"/>
      <c r="AU162" s="621"/>
      <c r="AV162" s="621"/>
      <c r="AW162" s="621"/>
      <c r="AX162" s="621"/>
      <c r="AY162" s="621"/>
      <c r="AZ162" s="621"/>
      <c r="BA162" s="621"/>
      <c r="BB162" s="621"/>
      <c r="BC162" s="621"/>
      <c r="BD162" s="621"/>
    </row>
    <row r="163" spans="1:56" ht="6" customHeight="1">
      <c r="A163" s="655"/>
      <c r="B163" s="1056"/>
      <c r="C163" s="1056"/>
      <c r="D163" s="1056"/>
      <c r="E163" s="1056"/>
      <c r="F163" s="1056"/>
      <c r="G163" s="661"/>
      <c r="H163" s="661"/>
      <c r="I163" s="656"/>
      <c r="J163" s="883"/>
      <c r="K163" s="656"/>
      <c r="L163" s="663"/>
      <c r="M163" s="656"/>
      <c r="N163" s="663"/>
      <c r="O163" s="656"/>
      <c r="P163" s="663"/>
      <c r="Q163" s="656"/>
      <c r="R163" s="663"/>
      <c r="S163" s="656"/>
      <c r="T163" s="663"/>
      <c r="U163" s="656"/>
      <c r="V163" s="663"/>
      <c r="W163" s="592"/>
      <c r="X163" s="621"/>
      <c r="Y163" s="621"/>
      <c r="Z163" s="621"/>
      <c r="AA163" s="621"/>
      <c r="AB163" s="621"/>
      <c r="AC163" s="621"/>
      <c r="AD163" s="621"/>
      <c r="AE163" s="621"/>
      <c r="AF163" s="621"/>
      <c r="AG163" s="621"/>
      <c r="AI163" s="583"/>
      <c r="AJ163" s="621"/>
      <c r="AK163" s="621"/>
      <c r="AL163" s="621"/>
      <c r="AM163" s="621"/>
      <c r="AN163" s="621"/>
      <c r="AO163" s="621"/>
      <c r="AP163" s="621"/>
      <c r="AQ163" s="621"/>
      <c r="AR163" s="621"/>
      <c r="AS163" s="621"/>
      <c r="AT163" s="621"/>
      <c r="AU163" s="621"/>
      <c r="AV163" s="621"/>
      <c r="AW163" s="621"/>
      <c r="AX163" s="621"/>
      <c r="AY163" s="621"/>
      <c r="AZ163" s="621"/>
      <c r="BA163" s="621"/>
      <c r="BB163" s="621"/>
      <c r="BC163" s="621"/>
      <c r="BD163" s="621"/>
    </row>
    <row r="164" spans="1:56" ht="14.1" customHeight="1">
      <c r="A164" s="137" t="s">
        <v>17</v>
      </c>
      <c r="B164" s="1056">
        <f>Reconcil!C131+Reconcil!C150+Reconcil!C137</f>
        <v>28428.894845384613</v>
      </c>
      <c r="C164" s="1056"/>
      <c r="D164" s="1056"/>
      <c r="E164" s="1056"/>
      <c r="F164" s="1056">
        <f>ROUND(Reconcil!$J$43*'Cap Str 54.7%'!C37,9)</f>
        <v>-1727.2557284710001</v>
      </c>
      <c r="G164" s="661"/>
      <c r="H164" s="661">
        <f>B164+D164+F164</f>
        <v>26701.639116913611</v>
      </c>
      <c r="I164" s="656"/>
      <c r="J164" s="1050">
        <f>ROUND(H164/$H$171,4)</f>
        <v>1.54E-2</v>
      </c>
      <c r="K164" s="656"/>
      <c r="L164" s="663">
        <f>'Int Synch'!D21*100</f>
        <v>2.48</v>
      </c>
      <c r="M164" s="656"/>
      <c r="N164" s="663">
        <f>ROUND(L164*J164,2)</f>
        <v>0.04</v>
      </c>
      <c r="O164" s="656"/>
      <c r="P164" s="663">
        <f>L164</f>
        <v>2.48</v>
      </c>
      <c r="Q164" s="656"/>
      <c r="R164" s="663">
        <f>ROUND(P164*J164,2)</f>
        <v>0.04</v>
      </c>
      <c r="S164" s="656"/>
      <c r="T164" s="663">
        <f>L164</f>
        <v>2.48</v>
      </c>
      <c r="U164" s="656"/>
      <c r="V164" s="663">
        <f>ROUND(T164*J164,2)</f>
        <v>0.04</v>
      </c>
      <c r="W164" s="592"/>
      <c r="X164" s="621"/>
      <c r="Y164" s="621"/>
      <c r="Z164" s="621"/>
      <c r="AA164" s="621"/>
      <c r="AB164" s="621"/>
      <c r="AC164" s="621"/>
      <c r="AD164" s="621"/>
      <c r="AE164" s="621"/>
      <c r="AF164" s="621"/>
      <c r="AG164" s="621"/>
      <c r="AI164" s="583"/>
      <c r="AJ164" s="621"/>
      <c r="AK164" s="621"/>
      <c r="AL164" s="621"/>
      <c r="AM164" s="621"/>
      <c r="AN164" s="621"/>
      <c r="AO164" s="621"/>
      <c r="AP164" s="621"/>
      <c r="AQ164" s="621"/>
      <c r="AR164" s="621"/>
      <c r="AS164" s="621"/>
      <c r="AT164" s="621"/>
      <c r="AU164" s="621"/>
      <c r="AV164" s="621"/>
      <c r="AW164" s="621"/>
      <c r="AX164" s="621"/>
      <c r="AY164" s="621"/>
      <c r="AZ164" s="621"/>
      <c r="BA164" s="621"/>
      <c r="BB164" s="621"/>
      <c r="BC164" s="621"/>
      <c r="BD164" s="621"/>
    </row>
    <row r="165" spans="1:56" ht="6" customHeight="1">
      <c r="A165" s="655"/>
      <c r="B165" s="1056"/>
      <c r="C165" s="1056"/>
      <c r="D165" s="1056"/>
      <c r="E165" s="1056"/>
      <c r="F165" s="1056"/>
      <c r="G165" s="661"/>
      <c r="H165" s="661"/>
      <c r="I165" s="656"/>
      <c r="J165" s="883"/>
      <c r="K165" s="656"/>
      <c r="L165" s="663"/>
      <c r="M165" s="656"/>
      <c r="N165" s="663"/>
      <c r="O165" s="656"/>
      <c r="P165" s="663"/>
      <c r="Q165" s="656"/>
      <c r="R165" s="663"/>
      <c r="S165" s="656"/>
      <c r="T165" s="663"/>
      <c r="U165" s="656"/>
      <c r="V165" s="663"/>
      <c r="W165" s="592"/>
      <c r="X165" s="621"/>
      <c r="Y165" s="621"/>
      <c r="Z165" s="621"/>
      <c r="AA165" s="621"/>
      <c r="AB165" s="621"/>
      <c r="AC165" s="621"/>
      <c r="AD165" s="621"/>
      <c r="AE165" s="621"/>
      <c r="AF165" s="621"/>
      <c r="AG165" s="621"/>
      <c r="AI165" s="583"/>
      <c r="AJ165" s="621"/>
      <c r="AK165" s="621"/>
      <c r="AL165" s="621"/>
      <c r="AM165" s="621"/>
      <c r="AN165" s="621"/>
      <c r="AO165" s="621"/>
      <c r="AP165" s="621"/>
      <c r="AQ165" s="621"/>
      <c r="AR165" s="621"/>
      <c r="AS165" s="621"/>
      <c r="AT165" s="621"/>
      <c r="AU165" s="621"/>
      <c r="AV165" s="621"/>
      <c r="AW165" s="621"/>
      <c r="AX165" s="621"/>
      <c r="AY165" s="621"/>
      <c r="AZ165" s="621"/>
      <c r="BA165" s="621"/>
      <c r="BB165" s="621"/>
      <c r="BC165" s="621"/>
      <c r="BD165" s="621"/>
    </row>
    <row r="166" spans="1:56" ht="14.1" customHeight="1">
      <c r="A166" s="655" t="s">
        <v>176</v>
      </c>
      <c r="B166" s="1056">
        <f>Reconcil!C117</f>
        <v>889661.61620384629</v>
      </c>
      <c r="C166" s="1056"/>
      <c r="D166" s="1056">
        <f>Reconcil!G43</f>
        <v>394.14203195753282</v>
      </c>
      <c r="E166" s="1056"/>
      <c r="F166" s="1056">
        <f>ROUND(Reconcil!$K$43*'Cap Str 54.7%'!C27,9)+ROUND(Reconcil!$J$43*'Cap Str 54.7%'!C38,9)</f>
        <v>-62205.080060163004</v>
      </c>
      <c r="G166" s="661"/>
      <c r="H166" s="953">
        <f>B166+D166+F166-'Cap Str 54.7%'!B17</f>
        <v>813065.98533846857</v>
      </c>
      <c r="I166" s="656"/>
      <c r="J166" s="1050">
        <f>ROUND(H166/$H$171,4)</f>
        <v>0.46889999999999998</v>
      </c>
      <c r="K166" s="656"/>
      <c r="L166" s="1048">
        <f>+P166-1</f>
        <v>8.9</v>
      </c>
      <c r="M166" s="656"/>
      <c r="N166" s="663">
        <f>ROUND(L166*J166,2)</f>
        <v>4.17</v>
      </c>
      <c r="O166" s="656"/>
      <c r="P166" s="666">
        <v>9.9</v>
      </c>
      <c r="Q166" s="656"/>
      <c r="R166" s="663">
        <f>ROUND(P166*J166,2)</f>
        <v>4.6399999999999997</v>
      </c>
      <c r="S166" s="656"/>
      <c r="T166" s="1048">
        <f>+P166+1.1</f>
        <v>11</v>
      </c>
      <c r="U166" s="656"/>
      <c r="V166" s="663">
        <f>ROUND(T166*J166,2)</f>
        <v>5.16</v>
      </c>
      <c r="W166" s="592"/>
      <c r="X166" s="621"/>
      <c r="Y166" s="621"/>
      <c r="Z166" s="621"/>
      <c r="AA166" s="621"/>
      <c r="AB166" s="621"/>
      <c r="AC166" s="621"/>
      <c r="AD166" s="621"/>
      <c r="AE166" s="621"/>
      <c r="AF166" s="621"/>
      <c r="AG166" s="621"/>
      <c r="AI166" s="583"/>
      <c r="AJ166" s="621"/>
      <c r="AK166" s="621"/>
      <c r="AL166" s="621"/>
      <c r="AM166" s="621"/>
      <c r="AN166" s="621"/>
      <c r="AO166" s="621"/>
      <c r="AP166" s="621"/>
      <c r="AQ166" s="621"/>
      <c r="AR166" s="621"/>
      <c r="AS166" s="621"/>
      <c r="AT166" s="621"/>
      <c r="AU166" s="621"/>
      <c r="AV166" s="621"/>
      <c r="AW166" s="621"/>
      <c r="AX166" s="621"/>
      <c r="AY166" s="621"/>
      <c r="AZ166" s="621"/>
      <c r="BA166" s="621"/>
      <c r="BB166" s="621"/>
      <c r="BC166" s="621"/>
      <c r="BD166" s="621"/>
    </row>
    <row r="167" spans="1:56" ht="6" customHeight="1">
      <c r="A167" s="655"/>
      <c r="B167" s="1056"/>
      <c r="C167" s="1056"/>
      <c r="D167" s="1056"/>
      <c r="E167" s="1056"/>
      <c r="F167" s="1056"/>
      <c r="G167" s="661"/>
      <c r="H167" s="661"/>
      <c r="I167" s="656"/>
      <c r="J167" s="883"/>
      <c r="K167" s="656"/>
      <c r="L167" s="663"/>
      <c r="M167" s="656"/>
      <c r="N167" s="663"/>
      <c r="O167" s="656"/>
      <c r="P167" s="663"/>
      <c r="Q167" s="656"/>
      <c r="R167" s="663"/>
      <c r="S167" s="656"/>
      <c r="T167" s="663"/>
      <c r="U167" s="656"/>
      <c r="V167" s="663"/>
      <c r="W167" s="592"/>
      <c r="X167" s="621"/>
      <c r="Y167" s="621"/>
      <c r="Z167" s="621"/>
      <c r="AA167" s="621"/>
      <c r="AB167" s="621"/>
      <c r="AC167" s="621"/>
      <c r="AD167" s="621"/>
      <c r="AE167" s="621"/>
      <c r="AF167" s="621"/>
      <c r="AG167" s="621"/>
      <c r="AI167" s="583"/>
      <c r="AJ167" s="621"/>
      <c r="AK167" s="621"/>
      <c r="AL167" s="621"/>
      <c r="AM167" s="621"/>
      <c r="AN167" s="621"/>
      <c r="AO167" s="621"/>
      <c r="AP167" s="621"/>
      <c r="AQ167" s="621"/>
      <c r="AR167" s="621"/>
      <c r="AS167" s="621"/>
      <c r="AT167" s="621"/>
      <c r="AU167" s="621"/>
      <c r="AV167" s="621"/>
      <c r="AW167" s="621"/>
      <c r="AX167" s="621"/>
      <c r="AY167" s="621"/>
      <c r="AZ167" s="621"/>
      <c r="BA167" s="621"/>
      <c r="BB167" s="621"/>
      <c r="BC167" s="621"/>
      <c r="BD167" s="621"/>
    </row>
    <row r="168" spans="1:56" ht="14.1" customHeight="1">
      <c r="A168" s="655" t="s">
        <v>177</v>
      </c>
      <c r="B168" s="1056">
        <f>Reconcil!C146++Reconcil!C147+Reconcil!C148-Reconcil!C93</f>
        <v>250165.93678384618</v>
      </c>
      <c r="C168" s="1056"/>
      <c r="D168" s="1056">
        <f>Reconcil!H43</f>
        <v>-15031.622723635814</v>
      </c>
      <c r="E168" s="1056"/>
      <c r="F168" s="1056">
        <f>ROUND(Reconcil!$J$43*'Cap Str 54.7%'!C39,9)</f>
        <v>-14286.066803846001</v>
      </c>
      <c r="G168" s="661"/>
      <c r="H168" s="661">
        <f>B168+D168+F168</f>
        <v>220848.24725636435</v>
      </c>
      <c r="I168" s="656"/>
      <c r="J168" s="1050">
        <f>ROUND(H168/$H$171,4)</f>
        <v>0.12740000000000001</v>
      </c>
      <c r="K168" s="656"/>
      <c r="L168" s="663"/>
      <c r="M168" s="656"/>
      <c r="N168" s="663"/>
      <c r="O168" s="656"/>
      <c r="P168" s="663"/>
      <c r="Q168" s="656"/>
      <c r="R168" s="663"/>
      <c r="S168" s="656"/>
      <c r="T168" s="663"/>
      <c r="U168" s="656"/>
      <c r="V168" s="663"/>
      <c r="W168" s="592"/>
      <c r="X168" s="621"/>
      <c r="Y168" s="621"/>
      <c r="Z168" s="621"/>
      <c r="AA168" s="621"/>
      <c r="AB168" s="621"/>
      <c r="AC168" s="621"/>
      <c r="AD168" s="621"/>
      <c r="AE168" s="621"/>
      <c r="AF168" s="621"/>
      <c r="AG168" s="621"/>
      <c r="AI168" s="583"/>
      <c r="AJ168" s="621"/>
      <c r="AK168" s="621"/>
      <c r="AL168" s="621"/>
      <c r="AM168" s="621"/>
      <c r="AN168" s="621"/>
      <c r="AO168" s="621"/>
      <c r="AP168" s="621"/>
      <c r="AQ168" s="621"/>
      <c r="AR168" s="621"/>
      <c r="AS168" s="621"/>
      <c r="AT168" s="621"/>
      <c r="AU168" s="621"/>
      <c r="AV168" s="621"/>
      <c r="AW168" s="621"/>
      <c r="AX168" s="621"/>
      <c r="AY168" s="621"/>
      <c r="AZ168" s="621"/>
      <c r="BA168" s="621"/>
      <c r="BB168" s="621"/>
      <c r="BC168" s="621"/>
      <c r="BD168" s="621"/>
    </row>
    <row r="169" spans="1:56" ht="6" customHeight="1">
      <c r="A169" s="655"/>
      <c r="B169" s="1056"/>
      <c r="C169" s="1056"/>
      <c r="D169" s="1056"/>
      <c r="E169" s="1056"/>
      <c r="F169" s="1056"/>
      <c r="G169" s="661"/>
      <c r="H169" s="661"/>
      <c r="I169" s="656"/>
      <c r="J169" s="883"/>
      <c r="K169" s="656"/>
      <c r="L169" s="663"/>
      <c r="M169" s="656"/>
      <c r="N169" s="663"/>
      <c r="O169" s="656"/>
      <c r="P169" s="663"/>
      <c r="Q169" s="656"/>
      <c r="R169" s="663"/>
      <c r="S169" s="656"/>
      <c r="T169" s="663"/>
      <c r="U169" s="656"/>
      <c r="V169" s="663"/>
      <c r="W169" s="592"/>
      <c r="X169" s="621"/>
      <c r="Y169" s="621"/>
      <c r="Z169" s="621"/>
      <c r="AA169" s="621"/>
      <c r="AB169" s="621"/>
      <c r="AC169" s="621"/>
      <c r="AD169" s="621"/>
      <c r="AE169" s="621"/>
      <c r="AF169" s="621"/>
      <c r="AG169" s="621"/>
      <c r="AI169" s="583"/>
      <c r="AJ169" s="621"/>
      <c r="AK169" s="621"/>
      <c r="AL169" s="621"/>
      <c r="AM169" s="621"/>
      <c r="AN169" s="621"/>
      <c r="AO169" s="621"/>
      <c r="AP169" s="621"/>
      <c r="AQ169" s="621"/>
      <c r="AR169" s="621"/>
      <c r="AS169" s="621"/>
      <c r="AT169" s="621"/>
      <c r="AU169" s="621"/>
      <c r="AV169" s="621"/>
      <c r="AW169" s="621"/>
      <c r="AX169" s="621"/>
      <c r="AY169" s="621"/>
      <c r="AZ169" s="621"/>
      <c r="BA169" s="621"/>
      <c r="BB169" s="621"/>
      <c r="BC169" s="621"/>
      <c r="BD169" s="621"/>
    </row>
    <row r="170" spans="1:56" ht="14.1" customHeight="1">
      <c r="A170" s="655" t="s">
        <v>178</v>
      </c>
      <c r="B170" s="668">
        <v>0</v>
      </c>
      <c r="C170" s="661"/>
      <c r="D170" s="668">
        <v>0</v>
      </c>
      <c r="E170" s="661"/>
      <c r="F170" s="1074">
        <f>ROUND(Reconcil!$K$43*'Cap Str 54.7%'!C29,9)+ROUND(Reconcil!$J$43*'Cap Str 54.7%'!C40,9)</f>
        <v>0</v>
      </c>
      <c r="G170" s="661"/>
      <c r="H170" s="668">
        <f>B170+D170+F170</f>
        <v>0</v>
      </c>
      <c r="I170" s="656"/>
      <c r="J170" s="1051">
        <f>ROUND(H170/$H$171,4)</f>
        <v>0</v>
      </c>
      <c r="K170" s="656"/>
      <c r="L170" s="663"/>
      <c r="M170" s="656"/>
      <c r="N170" s="670"/>
      <c r="O170" s="656"/>
      <c r="P170" s="663"/>
      <c r="Q170" s="656"/>
      <c r="R170" s="670"/>
      <c r="S170" s="656"/>
      <c r="T170" s="663"/>
      <c r="U170" s="656"/>
      <c r="V170" s="670"/>
      <c r="W170" s="592"/>
      <c r="X170" s="621"/>
      <c r="Y170" s="621"/>
      <c r="Z170" s="621"/>
      <c r="AA170" s="621"/>
      <c r="AB170" s="621"/>
      <c r="AC170" s="621"/>
      <c r="AD170" s="621"/>
      <c r="AE170" s="621"/>
      <c r="AF170" s="621"/>
      <c r="AG170" s="621"/>
      <c r="AI170" s="583"/>
      <c r="AJ170" s="621"/>
      <c r="AK170" s="621"/>
      <c r="AL170" s="621"/>
      <c r="AM170" s="621"/>
      <c r="AN170" s="621"/>
      <c r="AO170" s="621"/>
      <c r="AP170" s="621"/>
      <c r="AQ170" s="621"/>
      <c r="AR170" s="621"/>
      <c r="AS170" s="621"/>
      <c r="AT170" s="621"/>
      <c r="AU170" s="621"/>
      <c r="AV170" s="621"/>
      <c r="AW170" s="621"/>
      <c r="AX170" s="621"/>
      <c r="AY170" s="621"/>
      <c r="AZ170" s="621"/>
      <c r="BA170" s="621"/>
      <c r="BB170" s="621"/>
      <c r="BC170" s="621"/>
      <c r="BD170" s="621"/>
    </row>
    <row r="171" spans="1:56" ht="15.95" customHeight="1" thickBot="1">
      <c r="A171" s="655" t="s">
        <v>1</v>
      </c>
      <c r="B171" s="671">
        <f>SUM(B160:B170)</f>
        <v>1881233.4284300001</v>
      </c>
      <c r="C171" s="656"/>
      <c r="D171" s="671">
        <f>SUM(D160:D170)</f>
        <v>-19571.24915776062</v>
      </c>
      <c r="E171" s="656"/>
      <c r="F171" s="671">
        <f>ROUND((Reconcil!K43+Reconcil!J43),9)</f>
        <v>-127702.813303955</v>
      </c>
      <c r="G171" s="656"/>
      <c r="H171" s="671">
        <f>T92</f>
        <v>1733959.3659682842</v>
      </c>
      <c r="I171" s="656"/>
      <c r="J171" s="1049">
        <f>SUM(J160:J170)</f>
        <v>1</v>
      </c>
      <c r="K171" s="656"/>
      <c r="L171" s="663"/>
      <c r="M171" s="663"/>
      <c r="N171" s="672">
        <f>SUM(N160:N166)</f>
        <v>5.59</v>
      </c>
      <c r="O171" s="663"/>
      <c r="P171" s="663"/>
      <c r="Q171" s="663"/>
      <c r="R171" s="672">
        <f>SUM(R160:R166)</f>
        <v>6.06</v>
      </c>
      <c r="S171" s="663"/>
      <c r="T171" s="663"/>
      <c r="U171" s="663"/>
      <c r="V171" s="672">
        <f>SUM(V160:V166)</f>
        <v>6.58</v>
      </c>
      <c r="W171" s="592"/>
      <c r="X171" s="621"/>
      <c r="Y171" s="621"/>
      <c r="Z171" s="621"/>
      <c r="AA171" s="621"/>
      <c r="AB171" s="621"/>
      <c r="AC171" s="621"/>
      <c r="AD171" s="621"/>
      <c r="AE171" s="621"/>
      <c r="AF171" s="621"/>
      <c r="AG171" s="621"/>
      <c r="AI171" s="583"/>
      <c r="AJ171" s="621"/>
      <c r="AK171" s="621"/>
      <c r="AL171" s="621"/>
      <c r="AM171" s="621"/>
      <c r="AN171" s="621"/>
      <c r="AO171" s="621"/>
      <c r="AP171" s="621"/>
      <c r="AQ171" s="621"/>
      <c r="AR171" s="621"/>
      <c r="AS171" s="621"/>
      <c r="AT171" s="621"/>
      <c r="AU171" s="621"/>
      <c r="AV171" s="621"/>
      <c r="AW171" s="621"/>
      <c r="AX171" s="621"/>
      <c r="AY171" s="621"/>
      <c r="AZ171" s="621"/>
      <c r="BA171" s="621"/>
      <c r="BB171" s="621"/>
      <c r="BC171" s="621"/>
      <c r="BD171" s="621"/>
    </row>
    <row r="172" spans="1:56" ht="9" customHeight="1" thickTop="1">
      <c r="A172" s="655"/>
      <c r="B172" s="656"/>
      <c r="C172" s="656"/>
      <c r="D172" s="656"/>
      <c r="E172" s="656"/>
      <c r="F172" s="656"/>
      <c r="G172" s="656"/>
      <c r="H172" s="656"/>
      <c r="I172" s="656"/>
      <c r="J172" s="656"/>
      <c r="K172" s="656"/>
      <c r="L172" s="656"/>
      <c r="M172" s="656"/>
      <c r="N172" s="656"/>
      <c r="O172" s="656"/>
      <c r="P172" s="656"/>
      <c r="Q172" s="656"/>
      <c r="R172" s="656"/>
      <c r="S172" s="656"/>
      <c r="T172" s="656"/>
      <c r="U172" s="656"/>
      <c r="V172" s="656"/>
      <c r="W172" s="592"/>
      <c r="X172" s="621"/>
      <c r="Y172" s="621"/>
      <c r="Z172" s="621"/>
      <c r="AA172" s="621"/>
      <c r="AB172" s="621"/>
      <c r="AC172" s="621"/>
      <c r="AD172" s="621"/>
      <c r="AE172" s="621"/>
      <c r="AF172" s="621"/>
      <c r="AG172" s="621"/>
      <c r="AI172" s="583"/>
      <c r="AJ172" s="621"/>
      <c r="AK172" s="621"/>
      <c r="AL172" s="621"/>
      <c r="AM172" s="621"/>
      <c r="AN172" s="621"/>
      <c r="AO172" s="621"/>
      <c r="AP172" s="621"/>
      <c r="AQ172" s="621"/>
      <c r="AR172" s="621"/>
      <c r="AS172" s="621"/>
      <c r="AT172" s="621"/>
      <c r="AU172" s="621"/>
      <c r="AV172" s="621"/>
      <c r="AW172" s="621"/>
      <c r="AX172" s="621"/>
      <c r="AY172" s="621"/>
      <c r="AZ172" s="621"/>
      <c r="BA172" s="621"/>
      <c r="BB172" s="621"/>
      <c r="BC172" s="621"/>
      <c r="BD172" s="621"/>
    </row>
    <row r="173" spans="1:56">
      <c r="A173" s="655"/>
      <c r="B173" s="1101">
        <f>+B171-T55</f>
        <v>0</v>
      </c>
      <c r="C173" s="1102"/>
      <c r="D173" s="1101">
        <f>+D171-SUM(Reconcil!D43:I43)</f>
        <v>0</v>
      </c>
      <c r="E173" s="1102"/>
      <c r="F173" s="1101">
        <f>+F171-Reconcil!J43-Reconcil!K43</f>
        <v>-2.2737367544323206E-10</v>
      </c>
      <c r="G173" s="1102"/>
      <c r="H173" s="1101">
        <f>H171-T92</f>
        <v>0</v>
      </c>
      <c r="I173" s="1102"/>
      <c r="J173" s="1101">
        <f>100%-SUM(J160:J170)</f>
        <v>0</v>
      </c>
      <c r="K173" s="656"/>
      <c r="L173" s="656"/>
      <c r="M173" s="656"/>
      <c r="N173" s="656"/>
      <c r="O173" s="656"/>
      <c r="P173" s="656"/>
      <c r="Q173" s="656"/>
      <c r="R173" s="656"/>
      <c r="S173" s="656"/>
      <c r="T173" s="656"/>
      <c r="U173" s="656"/>
      <c r="V173" s="656"/>
      <c r="W173" s="621"/>
      <c r="X173" s="621"/>
      <c r="Y173" s="621"/>
      <c r="Z173" s="621"/>
      <c r="AA173" s="621"/>
      <c r="AB173" s="621"/>
      <c r="AC173" s="621"/>
      <c r="AD173" s="621"/>
      <c r="AE173" s="621"/>
      <c r="AF173" s="621"/>
      <c r="AG173" s="621"/>
      <c r="AI173" s="583"/>
      <c r="AJ173" s="621"/>
      <c r="AK173" s="621"/>
      <c r="AL173" s="621"/>
      <c r="AM173" s="621"/>
      <c r="AN173" s="621"/>
      <c r="AO173" s="621"/>
      <c r="AP173" s="621"/>
      <c r="AQ173" s="621"/>
      <c r="AR173" s="621"/>
      <c r="AS173" s="621"/>
      <c r="AT173" s="621"/>
      <c r="AU173" s="621"/>
      <c r="AV173" s="621"/>
      <c r="AW173" s="621"/>
      <c r="AX173" s="621"/>
      <c r="AY173" s="621"/>
      <c r="AZ173" s="621"/>
      <c r="BA173" s="621"/>
      <c r="BB173" s="621"/>
      <c r="BC173" s="621"/>
      <c r="BD173" s="621"/>
    </row>
    <row r="174" spans="1:56">
      <c r="A174" s="655"/>
      <c r="B174" s="1102"/>
      <c r="C174" s="1102"/>
      <c r="D174" s="1102"/>
      <c r="E174" s="1102"/>
      <c r="F174" s="1101"/>
      <c r="G174" s="1102"/>
      <c r="H174" s="1102"/>
      <c r="I174" s="1102"/>
      <c r="J174" s="1102"/>
      <c r="K174" s="656"/>
      <c r="L174" s="656"/>
      <c r="M174" s="656"/>
      <c r="N174" s="656"/>
      <c r="O174" s="656"/>
      <c r="P174" s="656"/>
      <c r="Q174" s="656"/>
      <c r="R174" s="656"/>
      <c r="S174" s="656"/>
      <c r="T174" s="656"/>
      <c r="U174" s="656"/>
      <c r="V174" s="656"/>
      <c r="W174" s="621"/>
      <c r="X174" s="621"/>
      <c r="Y174" s="621"/>
      <c r="Z174" s="621"/>
      <c r="AA174" s="621"/>
      <c r="AB174" s="621"/>
      <c r="AC174" s="621"/>
      <c r="AD174" s="621"/>
      <c r="AE174" s="621"/>
      <c r="AF174" s="621"/>
      <c r="AG174" s="621"/>
      <c r="AI174" s="583"/>
      <c r="AJ174" s="621"/>
      <c r="AK174" s="621"/>
      <c r="AL174" s="621"/>
      <c r="AM174" s="621"/>
      <c r="AN174" s="621"/>
      <c r="AO174" s="621"/>
      <c r="AP174" s="621"/>
      <c r="AQ174" s="621"/>
      <c r="AR174" s="621"/>
      <c r="AS174" s="621"/>
      <c r="AT174" s="621"/>
      <c r="AU174" s="621"/>
      <c r="AV174" s="621"/>
      <c r="AW174" s="621"/>
      <c r="AX174" s="621"/>
      <c r="AY174" s="621"/>
      <c r="AZ174" s="621"/>
      <c r="BA174" s="621"/>
      <c r="BB174" s="621"/>
      <c r="BC174" s="621"/>
      <c r="BD174" s="621"/>
    </row>
    <row r="175" spans="1:56">
      <c r="A175" s="655"/>
      <c r="B175" s="656"/>
      <c r="C175" s="656"/>
      <c r="D175" s="656"/>
      <c r="E175" s="656"/>
      <c r="F175" s="656"/>
      <c r="G175" s="656"/>
      <c r="H175" s="656"/>
      <c r="I175" s="656"/>
      <c r="J175" s="656"/>
      <c r="K175" s="656"/>
      <c r="L175" s="656"/>
      <c r="M175" s="656"/>
      <c r="N175" s="656"/>
      <c r="O175" s="656"/>
      <c r="P175" s="656"/>
      <c r="Q175" s="656"/>
      <c r="R175" s="656"/>
      <c r="S175" s="656"/>
      <c r="T175" s="656"/>
      <c r="U175" s="656"/>
      <c r="V175" s="656"/>
      <c r="W175" s="621"/>
      <c r="X175" s="621"/>
      <c r="Y175" s="621"/>
      <c r="Z175" s="621"/>
      <c r="AA175" s="621"/>
      <c r="AB175" s="621"/>
      <c r="AC175" s="621"/>
      <c r="AD175" s="621"/>
      <c r="AE175" s="621"/>
      <c r="AF175" s="621"/>
      <c r="AG175" s="621"/>
      <c r="AI175" s="655"/>
      <c r="AJ175" s="656"/>
      <c r="AK175" s="656"/>
      <c r="AL175" s="656"/>
      <c r="AM175" s="656"/>
      <c r="AN175" s="656"/>
      <c r="AO175" s="656"/>
      <c r="AP175" s="656"/>
      <c r="AQ175" s="656"/>
      <c r="AR175" s="656"/>
      <c r="AS175" s="656"/>
      <c r="AT175" s="656"/>
      <c r="AU175" s="656"/>
      <c r="AV175" s="656"/>
      <c r="AW175" s="656"/>
      <c r="AX175" s="656"/>
      <c r="AY175" s="656"/>
      <c r="AZ175" s="656"/>
      <c r="BA175" s="656"/>
      <c r="BB175" s="656"/>
      <c r="BC175" s="656"/>
      <c r="BD175" s="656"/>
    </row>
    <row r="176" spans="1:56" ht="15">
      <c r="A176" s="673" t="s">
        <v>204</v>
      </c>
      <c r="B176" s="674"/>
      <c r="C176" s="582"/>
      <c r="D176" s="613"/>
      <c r="E176" s="674"/>
      <c r="F176" s="674"/>
      <c r="G176" s="674"/>
      <c r="H176" s="674"/>
      <c r="I176" s="675"/>
      <c r="J176" s="613"/>
      <c r="K176" s="674"/>
      <c r="L176" s="676" t="s">
        <v>179</v>
      </c>
      <c r="M176" s="654"/>
      <c r="N176" s="677"/>
      <c r="O176" s="677"/>
      <c r="P176" s="640"/>
      <c r="Q176" s="621"/>
      <c r="R176" s="621"/>
      <c r="S176" s="621"/>
      <c r="T176" s="621"/>
      <c r="U176" s="621"/>
      <c r="V176" s="621"/>
      <c r="W176" s="621"/>
      <c r="X176" s="621"/>
      <c r="Y176" s="621"/>
      <c r="Z176" s="621"/>
      <c r="AA176" s="621"/>
      <c r="AB176" s="621"/>
      <c r="AC176" s="621"/>
      <c r="AD176" s="621"/>
      <c r="AE176" s="621"/>
      <c r="AF176" s="621"/>
      <c r="AG176" s="621"/>
      <c r="AI176" s="655"/>
      <c r="AJ176" s="656"/>
      <c r="AK176" s="656"/>
      <c r="AL176" s="656"/>
      <c r="AM176" s="656"/>
      <c r="AN176" s="656"/>
      <c r="AO176" s="656"/>
      <c r="AP176" s="656"/>
      <c r="AQ176" s="656"/>
      <c r="AR176" s="656"/>
      <c r="AS176" s="656"/>
      <c r="AT176" s="656"/>
      <c r="AU176" s="656"/>
      <c r="AV176" s="656"/>
      <c r="AW176" s="656"/>
      <c r="AX176" s="656"/>
      <c r="AY176" s="656"/>
      <c r="AZ176" s="656"/>
      <c r="BA176" s="656"/>
      <c r="BB176" s="656"/>
      <c r="BC176" s="656"/>
      <c r="BD176" s="656"/>
    </row>
    <row r="177" spans="1:56" ht="15">
      <c r="A177" s="580" t="s">
        <v>180</v>
      </c>
      <c r="B177" s="674"/>
      <c r="C177" s="674"/>
      <c r="D177" s="674"/>
      <c r="E177" s="674"/>
      <c r="F177" s="674"/>
      <c r="G177" s="674"/>
      <c r="H177" s="674"/>
      <c r="I177" s="674"/>
      <c r="J177" s="674"/>
      <c r="K177" s="674"/>
      <c r="L177" s="676"/>
      <c r="M177" s="653"/>
      <c r="N177" s="677"/>
      <c r="O177" s="677"/>
      <c r="P177" s="621"/>
      <c r="Q177" s="621"/>
      <c r="R177" s="640"/>
      <c r="S177" s="621"/>
      <c r="T177" s="621"/>
      <c r="U177" s="621"/>
      <c r="V177" s="621"/>
      <c r="W177" s="621"/>
      <c r="X177" s="621"/>
      <c r="Y177" s="621"/>
      <c r="Z177" s="621"/>
      <c r="AA177" s="621"/>
      <c r="AB177" s="621"/>
      <c r="AC177" s="621"/>
      <c r="AD177" s="621"/>
      <c r="AE177" s="621"/>
      <c r="AF177" s="621"/>
      <c r="AG177" s="621"/>
      <c r="AI177" s="655"/>
      <c r="AJ177" s="656"/>
      <c r="AK177" s="656"/>
      <c r="AL177" s="656"/>
      <c r="AM177" s="656"/>
      <c r="AN177" s="656"/>
      <c r="AO177" s="656"/>
      <c r="AP177" s="656"/>
      <c r="AQ177" s="656"/>
      <c r="AR177" s="656"/>
      <c r="AS177" s="656"/>
      <c r="AT177" s="656"/>
      <c r="AU177" s="656"/>
      <c r="AV177" s="656"/>
      <c r="AW177" s="656"/>
      <c r="AX177" s="656"/>
      <c r="AY177" s="656"/>
      <c r="AZ177" s="656"/>
      <c r="BA177" s="656"/>
      <c r="BB177" s="656"/>
      <c r="BC177" s="656"/>
      <c r="BD177" s="656"/>
    </row>
    <row r="178" spans="1:56" ht="15">
      <c r="A178" s="580" t="s">
        <v>162</v>
      </c>
      <c r="B178" s="674"/>
      <c r="C178" s="674"/>
      <c r="D178" s="674"/>
      <c r="E178" s="674"/>
      <c r="F178" s="674"/>
      <c r="G178" s="674"/>
      <c r="H178" s="674"/>
      <c r="I178" s="674"/>
      <c r="J178" s="674"/>
      <c r="K178" s="674"/>
      <c r="L178" s="676"/>
      <c r="M178" s="653"/>
      <c r="N178" s="677"/>
      <c r="O178" s="677"/>
      <c r="P178" s="640"/>
      <c r="Q178" s="621"/>
      <c r="R178" s="621"/>
      <c r="S178" s="621"/>
      <c r="T178" s="621"/>
      <c r="U178" s="621"/>
      <c r="V178" s="621"/>
      <c r="W178" s="621"/>
      <c r="X178" s="621"/>
      <c r="Y178" s="621"/>
      <c r="Z178" s="621"/>
      <c r="AA178" s="621"/>
      <c r="AB178" s="621"/>
      <c r="AC178" s="621"/>
      <c r="AD178" s="621"/>
      <c r="AE178" s="621"/>
      <c r="AF178" s="621"/>
      <c r="AG178" s="621"/>
      <c r="AI178" s="655"/>
      <c r="AJ178" s="656"/>
      <c r="AK178" s="656"/>
      <c r="AL178" s="656"/>
      <c r="AM178" s="656"/>
      <c r="AN178" s="656"/>
      <c r="AO178" s="656"/>
      <c r="AP178" s="656"/>
      <c r="AQ178" s="656"/>
      <c r="AR178" s="656"/>
      <c r="AS178" s="656"/>
      <c r="AT178" s="656"/>
      <c r="AU178" s="656"/>
      <c r="AV178" s="656"/>
      <c r="AW178" s="656"/>
      <c r="AX178" s="656"/>
      <c r="AY178" s="656"/>
      <c r="AZ178" s="656"/>
      <c r="BA178" s="656"/>
      <c r="BB178" s="656"/>
      <c r="BC178" s="656"/>
      <c r="BD178" s="656"/>
    </row>
    <row r="179" spans="1:56" ht="15">
      <c r="A179" s="614" t="str">
        <f>A3</f>
        <v>December 2022</v>
      </c>
      <c r="B179" s="674"/>
      <c r="C179" s="674"/>
      <c r="D179" s="674"/>
      <c r="E179" s="674"/>
      <c r="F179" s="674"/>
      <c r="G179" s="674"/>
      <c r="H179" s="674"/>
      <c r="I179" s="674"/>
      <c r="J179" s="674"/>
      <c r="K179" s="674"/>
      <c r="L179" s="676"/>
      <c r="M179" s="653"/>
      <c r="N179" s="621"/>
      <c r="O179" s="621"/>
      <c r="P179" s="678"/>
      <c r="Q179" s="621"/>
      <c r="R179" s="678"/>
      <c r="S179" s="621"/>
      <c r="T179" s="678"/>
      <c r="U179" s="621"/>
      <c r="V179" s="678"/>
      <c r="W179" s="621"/>
      <c r="X179" s="621"/>
      <c r="Y179" s="621"/>
      <c r="Z179" s="621"/>
      <c r="AA179" s="621"/>
      <c r="AB179" s="621"/>
      <c r="AC179" s="621"/>
      <c r="AD179" s="621"/>
      <c r="AE179" s="621"/>
      <c r="AF179" s="621"/>
      <c r="AG179" s="621"/>
      <c r="AI179" s="655"/>
      <c r="AJ179" s="656"/>
      <c r="AK179" s="656"/>
      <c r="AL179" s="656"/>
      <c r="AM179" s="656"/>
      <c r="AN179" s="656"/>
      <c r="AO179" s="656"/>
      <c r="AP179" s="656"/>
      <c r="AQ179" s="656"/>
      <c r="AR179" s="656"/>
      <c r="AS179" s="656"/>
      <c r="AT179" s="656"/>
      <c r="AU179" s="656"/>
      <c r="AV179" s="656"/>
      <c r="AW179" s="656"/>
      <c r="AX179" s="656"/>
      <c r="AY179" s="656"/>
      <c r="AZ179" s="656"/>
      <c r="BA179" s="656"/>
      <c r="BB179" s="656"/>
      <c r="BC179" s="656"/>
      <c r="BD179" s="656"/>
    </row>
    <row r="180" spans="1:56" ht="15">
      <c r="A180" s="614" t="str">
        <f>A4</f>
        <v>(In $ Thousands)</v>
      </c>
      <c r="B180" s="674"/>
      <c r="C180" s="674"/>
      <c r="D180" s="674"/>
      <c r="E180" s="674"/>
      <c r="F180" s="674"/>
      <c r="G180" s="674"/>
      <c r="H180" s="674"/>
      <c r="I180" s="674"/>
      <c r="J180" s="674"/>
      <c r="K180" s="674"/>
      <c r="L180" s="676"/>
      <c r="M180" s="653"/>
      <c r="N180" s="621"/>
      <c r="O180" s="621"/>
      <c r="P180" s="678"/>
      <c r="Q180" s="621"/>
      <c r="R180" s="678"/>
      <c r="S180" s="621"/>
      <c r="T180" s="678"/>
      <c r="U180" s="621"/>
      <c r="V180" s="678"/>
      <c r="W180" s="621"/>
      <c r="X180" s="621"/>
      <c r="Y180" s="621"/>
      <c r="Z180" s="621"/>
      <c r="AA180" s="621"/>
      <c r="AB180" s="621"/>
      <c r="AC180" s="621"/>
      <c r="AD180" s="621"/>
      <c r="AE180" s="621"/>
      <c r="AF180" s="621"/>
      <c r="AG180" s="621"/>
      <c r="AI180" s="655"/>
      <c r="AJ180" s="656"/>
      <c r="AK180" s="656"/>
      <c r="AL180" s="656"/>
      <c r="AM180" s="656"/>
      <c r="AN180" s="656"/>
      <c r="AO180" s="656"/>
      <c r="AP180" s="656"/>
      <c r="AQ180" s="656"/>
      <c r="AR180" s="656"/>
      <c r="AS180" s="656"/>
      <c r="AT180" s="656"/>
      <c r="AU180" s="656"/>
      <c r="AV180" s="656"/>
      <c r="AW180" s="656"/>
      <c r="AX180" s="656"/>
      <c r="AY180" s="656"/>
      <c r="AZ180" s="656"/>
      <c r="BA180" s="656"/>
      <c r="BB180" s="656"/>
      <c r="BC180" s="656"/>
      <c r="BD180" s="656"/>
    </row>
    <row r="181" spans="1:56">
      <c r="A181" s="583"/>
      <c r="B181" s="621"/>
      <c r="C181" s="621"/>
      <c r="D181" s="621"/>
      <c r="E181" s="621"/>
      <c r="F181" s="621"/>
      <c r="G181" s="621"/>
      <c r="H181" s="621"/>
      <c r="I181" s="621"/>
      <c r="J181" s="621"/>
      <c r="K181" s="621"/>
      <c r="L181" s="621"/>
      <c r="M181" s="621"/>
      <c r="N181" s="679"/>
      <c r="O181" s="621"/>
      <c r="P181" s="678"/>
      <c r="Q181" s="621"/>
      <c r="R181" s="678"/>
      <c r="S181" s="621"/>
      <c r="T181" s="678"/>
      <c r="U181" s="621"/>
      <c r="V181" s="678"/>
      <c r="W181" s="621"/>
      <c r="X181" s="621"/>
      <c r="Y181" s="621"/>
      <c r="Z181" s="621"/>
      <c r="AA181" s="621"/>
      <c r="AB181" s="621"/>
      <c r="AC181" s="621"/>
      <c r="AD181" s="621"/>
      <c r="AE181" s="621"/>
      <c r="AF181" s="621"/>
      <c r="AG181" s="621"/>
      <c r="AI181" s="655"/>
      <c r="AJ181" s="656"/>
      <c r="AK181" s="656"/>
      <c r="AL181" s="656"/>
      <c r="AM181" s="656"/>
      <c r="AN181" s="656"/>
      <c r="AO181" s="656"/>
      <c r="AP181" s="656"/>
      <c r="AQ181" s="656"/>
      <c r="AR181" s="656"/>
      <c r="AS181" s="656"/>
      <c r="AT181" s="656"/>
      <c r="AU181" s="656"/>
      <c r="AV181" s="656"/>
      <c r="AW181" s="656"/>
      <c r="AX181" s="656"/>
      <c r="AY181" s="656"/>
      <c r="AZ181" s="656"/>
      <c r="BA181" s="656"/>
      <c r="BB181" s="656"/>
      <c r="BC181" s="656"/>
      <c r="BD181" s="656"/>
    </row>
    <row r="182" spans="1:56">
      <c r="A182" s="583"/>
      <c r="B182" s="621"/>
      <c r="C182" s="621"/>
      <c r="D182" s="621"/>
      <c r="E182" s="621"/>
      <c r="F182" s="621"/>
      <c r="G182" s="621"/>
      <c r="H182" s="621"/>
      <c r="I182" s="621"/>
      <c r="J182" s="621"/>
      <c r="K182" s="621"/>
      <c r="L182" s="621"/>
      <c r="M182" s="621"/>
      <c r="N182" s="621"/>
      <c r="O182" s="621"/>
      <c r="P182" s="678"/>
      <c r="Q182" s="621"/>
      <c r="R182" s="678"/>
      <c r="S182" s="621"/>
      <c r="T182" s="678"/>
      <c r="U182" s="621"/>
      <c r="V182" s="678"/>
      <c r="W182" s="621"/>
      <c r="X182" s="621"/>
      <c r="Y182" s="621"/>
      <c r="Z182" s="621"/>
      <c r="AA182" s="621"/>
      <c r="AB182" s="621"/>
      <c r="AC182" s="621"/>
      <c r="AD182" s="621"/>
      <c r="AE182" s="621"/>
      <c r="AF182" s="621"/>
      <c r="AG182" s="621"/>
      <c r="AI182" s="655"/>
      <c r="AJ182" s="656"/>
      <c r="AK182" s="656"/>
      <c r="AL182" s="656"/>
      <c r="AM182" s="656"/>
      <c r="AN182" s="656"/>
      <c r="AO182" s="656"/>
      <c r="AP182" s="656"/>
      <c r="AQ182" s="656"/>
      <c r="AR182" s="656"/>
      <c r="AS182" s="656"/>
      <c r="AT182" s="656"/>
      <c r="AU182" s="656"/>
      <c r="AV182" s="656"/>
      <c r="AW182" s="656"/>
      <c r="AX182" s="656"/>
      <c r="AY182" s="656"/>
      <c r="AZ182" s="656"/>
      <c r="BA182" s="656"/>
      <c r="BB182" s="656"/>
      <c r="BC182" s="656"/>
      <c r="BD182" s="656"/>
    </row>
    <row r="183" spans="1:56">
      <c r="A183" s="583"/>
      <c r="B183" s="621"/>
      <c r="C183" s="621"/>
      <c r="D183" s="621"/>
      <c r="E183" s="621"/>
      <c r="F183" s="621"/>
      <c r="G183" s="621"/>
      <c r="H183" s="621"/>
      <c r="I183" s="621"/>
      <c r="J183" s="621"/>
      <c r="K183" s="621"/>
      <c r="L183" s="621"/>
      <c r="M183" s="621"/>
      <c r="N183" s="621"/>
      <c r="O183" s="621"/>
      <c r="P183" s="678"/>
      <c r="Q183" s="621"/>
      <c r="R183" s="678"/>
      <c r="S183" s="621"/>
      <c r="T183" s="678"/>
      <c r="U183" s="621"/>
      <c r="V183" s="678"/>
      <c r="W183" s="621"/>
      <c r="X183" s="621"/>
      <c r="Y183" s="621"/>
      <c r="Z183" s="621"/>
      <c r="AA183" s="621"/>
      <c r="AB183" s="621"/>
      <c r="AC183" s="621"/>
      <c r="AD183" s="621"/>
      <c r="AE183" s="621"/>
      <c r="AF183" s="621"/>
      <c r="AG183" s="621"/>
      <c r="AI183" s="655"/>
      <c r="AJ183" s="656"/>
      <c r="AK183" s="656"/>
      <c r="AL183" s="656"/>
      <c r="AM183" s="656"/>
      <c r="AN183" s="656"/>
      <c r="AO183" s="656"/>
      <c r="AP183" s="656"/>
      <c r="AQ183" s="656"/>
      <c r="AR183" s="656"/>
      <c r="AS183" s="656"/>
      <c r="AT183" s="656"/>
      <c r="AU183" s="656"/>
      <c r="AV183" s="656"/>
      <c r="AW183" s="656"/>
      <c r="AX183" s="656"/>
      <c r="AY183" s="656"/>
      <c r="AZ183" s="656"/>
      <c r="BA183" s="656"/>
      <c r="BB183" s="656"/>
      <c r="BC183" s="656"/>
      <c r="BD183" s="656"/>
    </row>
    <row r="184" spans="1:56" ht="12.95" customHeight="1">
      <c r="A184" s="583"/>
      <c r="B184" s="621"/>
      <c r="C184" s="621"/>
      <c r="D184" s="621"/>
      <c r="E184" s="621"/>
      <c r="F184" s="621"/>
      <c r="G184" s="621"/>
      <c r="H184" s="621"/>
      <c r="I184" s="621"/>
      <c r="J184" s="621"/>
      <c r="K184" s="621"/>
      <c r="L184" s="621"/>
      <c r="M184" s="621"/>
      <c r="N184" s="592"/>
      <c r="O184" s="592"/>
      <c r="P184" s="678"/>
      <c r="Q184" s="621"/>
      <c r="R184" s="678"/>
      <c r="S184" s="621"/>
      <c r="T184" s="678"/>
      <c r="U184" s="621"/>
      <c r="V184" s="678"/>
      <c r="W184" s="621"/>
      <c r="X184" s="621"/>
      <c r="Y184" s="621"/>
      <c r="Z184" s="621"/>
      <c r="AA184" s="621"/>
      <c r="AB184" s="621"/>
      <c r="AC184" s="621"/>
      <c r="AD184" s="621"/>
      <c r="AE184" s="621"/>
      <c r="AF184" s="621"/>
      <c r="AG184" s="621"/>
      <c r="AI184" s="655"/>
      <c r="AJ184" s="656"/>
      <c r="AK184" s="656"/>
      <c r="AL184" s="656"/>
      <c r="AM184" s="656"/>
      <c r="AN184" s="656"/>
      <c r="AO184" s="656"/>
      <c r="AP184" s="656"/>
      <c r="AQ184" s="656"/>
      <c r="AR184" s="656"/>
      <c r="AS184" s="656"/>
      <c r="AT184" s="656"/>
      <c r="AU184" s="656"/>
      <c r="AV184" s="656"/>
      <c r="AW184" s="656"/>
      <c r="AX184" s="656"/>
      <c r="AY184" s="656"/>
      <c r="AZ184" s="656"/>
      <c r="BA184" s="656"/>
      <c r="BB184" s="656"/>
      <c r="BC184" s="656"/>
      <c r="BD184" s="656"/>
    </row>
    <row r="185" spans="1:56" ht="12.95" customHeight="1">
      <c r="A185" s="599" t="s">
        <v>181</v>
      </c>
      <c r="B185" s="592"/>
      <c r="C185" s="592"/>
      <c r="D185" s="592"/>
      <c r="E185" s="592"/>
      <c r="F185" s="592"/>
      <c r="G185" s="592"/>
      <c r="H185" s="592"/>
      <c r="I185" s="592"/>
      <c r="J185" s="592"/>
      <c r="K185" s="592"/>
      <c r="L185" s="592"/>
      <c r="M185" s="592"/>
      <c r="N185" s="592"/>
      <c r="O185" s="592"/>
      <c r="P185" s="678"/>
      <c r="Q185" s="621"/>
      <c r="R185" s="678"/>
      <c r="S185" s="621"/>
      <c r="T185" s="678"/>
      <c r="U185" s="621"/>
      <c r="V185" s="678"/>
      <c r="W185" s="621"/>
      <c r="X185" s="621"/>
      <c r="Y185" s="621"/>
      <c r="Z185" s="621"/>
      <c r="AA185" s="621"/>
      <c r="AB185" s="621"/>
      <c r="AC185" s="621"/>
      <c r="AD185" s="621"/>
      <c r="AE185" s="621"/>
      <c r="AF185" s="621"/>
      <c r="AG185" s="621"/>
      <c r="AI185" s="655"/>
      <c r="AJ185" s="656"/>
      <c r="AK185" s="656"/>
      <c r="AL185" s="656"/>
      <c r="AM185" s="656"/>
      <c r="AN185" s="656"/>
      <c r="AO185" s="656"/>
      <c r="AP185" s="656"/>
      <c r="AQ185" s="656"/>
      <c r="AR185" s="656"/>
      <c r="AS185" s="656"/>
      <c r="AT185" s="656"/>
      <c r="AU185" s="656"/>
      <c r="AV185" s="656"/>
      <c r="AW185" s="656"/>
      <c r="AX185" s="656"/>
      <c r="AY185" s="656"/>
      <c r="AZ185" s="656"/>
      <c r="BA185" s="656"/>
      <c r="BB185" s="656"/>
      <c r="BC185" s="656"/>
      <c r="BD185" s="656"/>
    </row>
    <row r="186" spans="1:56" ht="12.95" customHeight="1">
      <c r="A186" s="599" t="s">
        <v>182</v>
      </c>
      <c r="B186" s="592"/>
      <c r="C186" s="592"/>
      <c r="D186" s="592"/>
      <c r="E186" s="592"/>
      <c r="F186" s="592"/>
      <c r="G186" s="592"/>
      <c r="H186" s="592"/>
      <c r="I186" s="592"/>
      <c r="J186" s="592"/>
      <c r="K186" s="592"/>
      <c r="L186" s="592"/>
      <c r="M186" s="592"/>
      <c r="N186" s="592"/>
      <c r="O186" s="592"/>
      <c r="P186" s="678"/>
      <c r="Q186" s="621"/>
      <c r="R186" s="678"/>
      <c r="S186" s="621"/>
      <c r="T186" s="678"/>
      <c r="U186" s="621"/>
      <c r="V186" s="678"/>
      <c r="W186" s="621"/>
      <c r="X186" s="621"/>
      <c r="Y186" s="621"/>
      <c r="Z186" s="621"/>
      <c r="AA186" s="621"/>
      <c r="AB186" s="621"/>
      <c r="AC186" s="621"/>
      <c r="AD186" s="621"/>
      <c r="AE186" s="621"/>
      <c r="AF186" s="621"/>
      <c r="AG186" s="621"/>
      <c r="AI186" s="655"/>
      <c r="AJ186" s="656"/>
      <c r="AK186" s="656"/>
      <c r="AL186" s="656"/>
      <c r="AM186" s="656"/>
      <c r="AN186" s="656"/>
      <c r="AO186" s="656"/>
      <c r="AP186" s="656"/>
      <c r="AQ186" s="656"/>
      <c r="AR186" s="656"/>
      <c r="AS186" s="656"/>
      <c r="AT186" s="656"/>
      <c r="AU186" s="656"/>
      <c r="AV186" s="656"/>
      <c r="AW186" s="656"/>
      <c r="AX186" s="656"/>
      <c r="AY186" s="656"/>
      <c r="AZ186" s="656"/>
      <c r="BA186" s="656"/>
      <c r="BB186" s="656"/>
      <c r="BC186" s="656"/>
      <c r="BD186" s="656"/>
    </row>
    <row r="187" spans="1:56" ht="12.95" customHeight="1">
      <c r="A187" s="587"/>
      <c r="B187" s="592"/>
      <c r="C187" s="592"/>
      <c r="D187" s="592"/>
      <c r="E187" s="592"/>
      <c r="F187" s="592"/>
      <c r="G187" s="592"/>
      <c r="H187" s="592"/>
      <c r="I187" s="592"/>
      <c r="J187" s="592"/>
      <c r="K187" s="592"/>
      <c r="L187" s="592"/>
      <c r="M187" s="592"/>
      <c r="N187" s="592"/>
      <c r="O187" s="592"/>
      <c r="P187" s="678"/>
      <c r="Q187" s="621"/>
      <c r="R187" s="678"/>
      <c r="S187" s="621"/>
      <c r="T187" s="678"/>
      <c r="U187" s="621"/>
      <c r="V187" s="678"/>
      <c r="W187" s="621"/>
      <c r="X187" s="621"/>
      <c r="Y187" s="621"/>
      <c r="Z187" s="621"/>
      <c r="AA187" s="621"/>
      <c r="AB187" s="621"/>
      <c r="AC187" s="621"/>
      <c r="AD187" s="621"/>
      <c r="AE187" s="621"/>
      <c r="AF187" s="621"/>
      <c r="AG187" s="621"/>
      <c r="AI187" s="655"/>
      <c r="AJ187" s="656"/>
      <c r="AK187" s="656"/>
      <c r="AL187" s="656"/>
      <c r="AM187" s="656"/>
      <c r="AN187" s="656"/>
      <c r="AO187" s="656"/>
      <c r="AP187" s="656"/>
      <c r="AQ187" s="656"/>
      <c r="AR187" s="656"/>
      <c r="AS187" s="656"/>
      <c r="AT187" s="656"/>
      <c r="AU187" s="656"/>
      <c r="AV187" s="656"/>
      <c r="AW187" s="656"/>
      <c r="AX187" s="656"/>
      <c r="AY187" s="656"/>
      <c r="AZ187" s="656"/>
      <c r="BA187" s="656"/>
      <c r="BB187" s="656"/>
      <c r="BC187" s="656"/>
      <c r="BD187" s="656"/>
    </row>
    <row r="188" spans="1:56" ht="12.95" customHeight="1">
      <c r="A188" s="587"/>
      <c r="B188" s="592"/>
      <c r="C188" s="592"/>
      <c r="D188" s="592"/>
      <c r="E188" s="592"/>
      <c r="F188" s="592"/>
      <c r="G188" s="592"/>
      <c r="H188" s="592"/>
      <c r="I188" s="592"/>
      <c r="J188" s="592"/>
      <c r="K188" s="592"/>
      <c r="L188" s="592"/>
      <c r="M188" s="592"/>
      <c r="N188" s="592"/>
      <c r="O188" s="592"/>
      <c r="P188" s="678"/>
      <c r="Q188" s="621"/>
      <c r="R188" s="678"/>
      <c r="S188" s="621"/>
      <c r="T188" s="678"/>
      <c r="U188" s="621"/>
      <c r="V188" s="678"/>
      <c r="W188" s="621"/>
      <c r="X188" s="621"/>
      <c r="Y188" s="621"/>
      <c r="Z188" s="621"/>
      <c r="AA188" s="621"/>
      <c r="AB188" s="621"/>
      <c r="AC188" s="621"/>
      <c r="AD188" s="621"/>
      <c r="AE188" s="621"/>
      <c r="AF188" s="621"/>
      <c r="AG188" s="621"/>
      <c r="AI188" s="655"/>
      <c r="AJ188" s="656"/>
      <c r="AK188" s="656"/>
      <c r="AL188" s="656"/>
      <c r="AM188" s="656"/>
      <c r="AN188" s="656"/>
      <c r="AO188" s="656"/>
      <c r="AP188" s="656"/>
      <c r="AQ188" s="656"/>
      <c r="AR188" s="656"/>
      <c r="AS188" s="656"/>
      <c r="AT188" s="656"/>
      <c r="AU188" s="656"/>
      <c r="AV188" s="656"/>
      <c r="AW188" s="656"/>
      <c r="AX188" s="656"/>
      <c r="AY188" s="656"/>
      <c r="AZ188" s="656"/>
      <c r="BA188" s="656"/>
      <c r="BB188" s="656"/>
      <c r="BC188" s="656"/>
      <c r="BD188" s="656"/>
    </row>
    <row r="189" spans="1:56" ht="12.95" customHeight="1">
      <c r="A189" s="587" t="s">
        <v>183</v>
      </c>
      <c r="B189" s="592"/>
      <c r="C189" s="592"/>
      <c r="D189" s="592"/>
      <c r="E189" s="592"/>
      <c r="F189" s="592"/>
      <c r="G189" s="592"/>
      <c r="H189" s="593">
        <f>J16</f>
        <v>5.7572000000000001</v>
      </c>
      <c r="I189" s="592" t="s">
        <v>108</v>
      </c>
      <c r="J189" s="592" t="s">
        <v>184</v>
      </c>
      <c r="K189" s="592"/>
      <c r="L189" s="592"/>
      <c r="M189" s="592"/>
      <c r="N189" s="592"/>
      <c r="O189" s="592"/>
      <c r="P189" s="678"/>
      <c r="Q189" s="621"/>
      <c r="R189" s="678"/>
      <c r="S189" s="621"/>
      <c r="T189" s="678"/>
      <c r="U189" s="621"/>
      <c r="V189" s="678"/>
      <c r="W189" s="621"/>
      <c r="X189" s="621"/>
      <c r="Y189" s="621"/>
      <c r="Z189" s="621"/>
      <c r="AA189" s="621"/>
      <c r="AB189" s="621"/>
      <c r="AC189" s="621"/>
      <c r="AD189" s="621"/>
      <c r="AE189" s="621"/>
      <c r="AF189" s="621"/>
      <c r="AG189" s="621"/>
      <c r="AI189" s="655"/>
      <c r="AJ189" s="656"/>
      <c r="AK189" s="656"/>
      <c r="AL189" s="656"/>
      <c r="AM189" s="656"/>
      <c r="AN189" s="656"/>
      <c r="AO189" s="656"/>
      <c r="AP189" s="656"/>
      <c r="AQ189" s="656"/>
      <c r="AR189" s="656"/>
      <c r="AS189" s="656"/>
      <c r="AT189" s="656"/>
      <c r="AU189" s="656"/>
      <c r="AV189" s="656"/>
      <c r="AW189" s="656"/>
      <c r="AX189" s="656"/>
      <c r="AY189" s="656"/>
      <c r="AZ189" s="656"/>
      <c r="BA189" s="656"/>
      <c r="BB189" s="656"/>
      <c r="BC189" s="656"/>
      <c r="BD189" s="656"/>
    </row>
    <row r="190" spans="1:56" ht="12.95" customHeight="1">
      <c r="A190" s="587" t="s">
        <v>185</v>
      </c>
      <c r="B190" s="592"/>
      <c r="C190" s="592"/>
      <c r="D190" s="592"/>
      <c r="E190" s="592"/>
      <c r="F190" s="592"/>
      <c r="G190" s="592"/>
      <c r="H190" s="592"/>
      <c r="I190" s="592"/>
      <c r="J190" s="592"/>
      <c r="K190" s="592"/>
      <c r="L190" s="592"/>
      <c r="M190" s="592"/>
      <c r="N190" s="592"/>
      <c r="O190" s="592"/>
      <c r="P190" s="678"/>
      <c r="Q190" s="621"/>
      <c r="R190" s="678"/>
      <c r="S190" s="621"/>
      <c r="T190" s="678"/>
      <c r="U190" s="621"/>
      <c r="V190" s="678"/>
      <c r="W190" s="621"/>
      <c r="X190" s="621"/>
      <c r="Y190" s="621"/>
      <c r="Z190" s="621"/>
      <c r="AA190" s="621"/>
      <c r="AB190" s="621"/>
      <c r="AC190" s="621"/>
      <c r="AD190" s="621"/>
      <c r="AE190" s="621"/>
      <c r="AF190" s="621"/>
      <c r="AG190" s="621"/>
      <c r="AI190" s="655"/>
      <c r="AJ190" s="656"/>
      <c r="AK190" s="656"/>
      <c r="AL190" s="656"/>
      <c r="AM190" s="656"/>
      <c r="AN190" s="656"/>
      <c r="AO190" s="656"/>
      <c r="AP190" s="656"/>
      <c r="AQ190" s="656"/>
      <c r="AR190" s="656"/>
      <c r="AS190" s="656"/>
      <c r="AT190" s="656"/>
      <c r="AU190" s="656"/>
      <c r="AV190" s="656"/>
      <c r="AW190" s="656"/>
      <c r="AX190" s="656"/>
      <c r="AY190" s="656"/>
      <c r="AZ190" s="656"/>
      <c r="BA190" s="656"/>
      <c r="BB190" s="656"/>
      <c r="BC190" s="656"/>
      <c r="BD190" s="656"/>
    </row>
    <row r="191" spans="1:56" ht="12.95" customHeight="1">
      <c r="A191" s="587" t="s">
        <v>186</v>
      </c>
      <c r="B191" s="592"/>
      <c r="C191" s="592"/>
      <c r="D191" s="592"/>
      <c r="E191" s="592"/>
      <c r="F191" s="592"/>
      <c r="G191" s="592"/>
      <c r="H191" s="592"/>
      <c r="I191" s="592"/>
      <c r="J191" s="592"/>
      <c r="K191" s="592"/>
      <c r="L191" s="592"/>
      <c r="M191" s="592"/>
      <c r="N191" s="592"/>
      <c r="O191" s="592"/>
      <c r="P191" s="621"/>
      <c r="Q191" s="621"/>
      <c r="R191" s="621"/>
      <c r="S191" s="621"/>
      <c r="T191" s="621"/>
      <c r="U191" s="621"/>
      <c r="V191" s="621"/>
      <c r="W191" s="621"/>
      <c r="X191" s="621"/>
      <c r="Y191" s="621"/>
      <c r="Z191" s="621"/>
      <c r="AA191" s="621"/>
      <c r="AB191" s="621"/>
      <c r="AC191" s="621"/>
      <c r="AD191" s="621"/>
      <c r="AE191" s="621"/>
      <c r="AF191" s="621"/>
      <c r="AG191" s="621"/>
      <c r="AI191" s="655"/>
      <c r="AJ191" s="656"/>
      <c r="AK191" s="656"/>
      <c r="AL191" s="656"/>
      <c r="AM191" s="656"/>
      <c r="AN191" s="656"/>
      <c r="AO191" s="656"/>
      <c r="AP191" s="656"/>
      <c r="AQ191" s="656"/>
      <c r="AR191" s="656"/>
      <c r="AS191" s="656"/>
      <c r="AT191" s="656"/>
      <c r="AU191" s="656"/>
      <c r="AV191" s="656"/>
      <c r="AW191" s="656"/>
      <c r="AX191" s="656"/>
      <c r="AY191" s="656"/>
      <c r="AZ191" s="656"/>
      <c r="BA191" s="656"/>
      <c r="BB191" s="656"/>
      <c r="BC191" s="656"/>
      <c r="BD191" s="656"/>
    </row>
    <row r="192" spans="1:56" ht="12.95" customHeight="1">
      <c r="A192" s="587" t="s">
        <v>174</v>
      </c>
      <c r="B192" s="592"/>
      <c r="C192" s="592"/>
      <c r="D192" s="592"/>
      <c r="E192" s="592"/>
      <c r="F192" s="592"/>
      <c r="G192" s="592"/>
      <c r="H192" s="680">
        <f>-R160</f>
        <v>-1.18</v>
      </c>
      <c r="I192" s="592" t="s">
        <v>108</v>
      </c>
      <c r="J192" s="592"/>
      <c r="K192" s="592"/>
      <c r="L192" s="592"/>
      <c r="M192" s="592"/>
      <c r="N192" s="592"/>
      <c r="O192" s="592"/>
      <c r="P192" s="621"/>
      <c r="Q192" s="621"/>
      <c r="R192" s="621"/>
      <c r="S192" s="621"/>
      <c r="T192" s="621"/>
      <c r="U192" s="621"/>
      <c r="V192" s="621"/>
      <c r="W192" s="621"/>
      <c r="X192" s="621"/>
      <c r="Y192" s="621"/>
      <c r="Z192" s="621"/>
      <c r="AA192" s="621"/>
      <c r="AB192" s="621"/>
      <c r="AC192" s="621"/>
      <c r="AD192" s="621"/>
      <c r="AE192" s="621"/>
      <c r="AF192" s="621"/>
      <c r="AG192" s="621"/>
      <c r="AI192" s="655"/>
      <c r="AJ192" s="656"/>
      <c r="AK192" s="656"/>
      <c r="AL192" s="656"/>
      <c r="AM192" s="656"/>
      <c r="AN192" s="656"/>
      <c r="AO192" s="656"/>
      <c r="AP192" s="656"/>
      <c r="AQ192" s="656"/>
      <c r="AR192" s="656"/>
      <c r="AS192" s="656"/>
      <c r="AT192" s="656"/>
      <c r="AU192" s="656"/>
      <c r="AV192" s="656"/>
      <c r="AW192" s="656"/>
      <c r="AX192" s="656"/>
      <c r="AY192" s="656"/>
      <c r="AZ192" s="656"/>
      <c r="BA192" s="656"/>
      <c r="BB192" s="656"/>
      <c r="BC192" s="656"/>
      <c r="BD192" s="656"/>
    </row>
    <row r="193" spans="1:56" ht="12.95" customHeight="1">
      <c r="A193" s="587" t="s">
        <v>175</v>
      </c>
      <c r="B193" s="592"/>
      <c r="C193" s="592"/>
      <c r="D193" s="592"/>
      <c r="E193" s="592"/>
      <c r="F193" s="592"/>
      <c r="G193" s="592"/>
      <c r="H193" s="680">
        <f>-R162</f>
        <v>-0.2</v>
      </c>
      <c r="I193" s="592" t="s">
        <v>108</v>
      </c>
      <c r="J193" s="592"/>
      <c r="K193" s="592"/>
      <c r="L193" s="592"/>
      <c r="M193" s="592"/>
      <c r="N193" s="592"/>
      <c r="O193" s="592"/>
      <c r="P193" s="621"/>
      <c r="Q193" s="621"/>
      <c r="R193" s="621"/>
      <c r="S193" s="621"/>
      <c r="T193" s="621"/>
      <c r="U193" s="621"/>
      <c r="V193" s="621"/>
      <c r="W193" s="621"/>
      <c r="X193" s="621"/>
      <c r="Y193" s="621"/>
      <c r="Z193" s="621"/>
      <c r="AA193" s="621"/>
      <c r="AB193" s="621"/>
      <c r="AC193" s="621"/>
      <c r="AD193" s="621"/>
      <c r="AE193" s="621"/>
      <c r="AF193" s="621"/>
      <c r="AG193" s="621"/>
      <c r="AI193" s="655"/>
      <c r="AJ193" s="656"/>
      <c r="AK193" s="656"/>
      <c r="AL193" s="656"/>
      <c r="AM193" s="656"/>
      <c r="AN193" s="656"/>
      <c r="AO193" s="656"/>
      <c r="AP193" s="656"/>
      <c r="AQ193" s="656"/>
      <c r="AR193" s="656"/>
      <c r="AS193" s="656"/>
      <c r="AT193" s="656"/>
      <c r="AU193" s="656"/>
      <c r="AV193" s="656"/>
      <c r="AW193" s="656"/>
      <c r="AX193" s="656"/>
      <c r="AY193" s="656"/>
      <c r="AZ193" s="656"/>
      <c r="BA193" s="656"/>
      <c r="BB193" s="656"/>
      <c r="BC193" s="656"/>
      <c r="BD193" s="656"/>
    </row>
    <row r="194" spans="1:56" ht="12.95" customHeight="1">
      <c r="A194" s="587" t="s">
        <v>187</v>
      </c>
      <c r="B194" s="592"/>
      <c r="C194" s="592"/>
      <c r="D194" s="592"/>
      <c r="E194" s="592"/>
      <c r="F194" s="592"/>
      <c r="G194" s="592"/>
      <c r="H194" s="681">
        <v>0</v>
      </c>
      <c r="I194" s="592" t="s">
        <v>108</v>
      </c>
      <c r="J194" s="592"/>
      <c r="K194" s="592"/>
      <c r="L194" s="592"/>
      <c r="M194" s="592"/>
      <c r="N194" s="592"/>
      <c r="O194" s="592"/>
      <c r="P194" s="621"/>
      <c r="Q194" s="621"/>
      <c r="R194" s="621"/>
      <c r="S194" s="621"/>
      <c r="T194" s="621"/>
      <c r="U194" s="621"/>
      <c r="V194" s="621"/>
      <c r="W194" s="621"/>
      <c r="X194" s="621"/>
      <c r="Y194" s="621"/>
      <c r="Z194" s="621"/>
      <c r="AA194" s="621"/>
      <c r="AB194" s="621"/>
      <c r="AC194" s="621"/>
      <c r="AD194" s="621"/>
      <c r="AE194" s="621"/>
      <c r="AF194" s="621"/>
      <c r="AG194" s="621"/>
      <c r="AI194" s="655"/>
      <c r="AJ194" s="656"/>
      <c r="AK194" s="656"/>
      <c r="AL194" s="656"/>
      <c r="AM194" s="656"/>
      <c r="AN194" s="656"/>
      <c r="AO194" s="656"/>
      <c r="AP194" s="656"/>
      <c r="AQ194" s="656"/>
      <c r="AR194" s="656"/>
      <c r="AS194" s="656"/>
      <c r="AT194" s="656"/>
      <c r="AU194" s="656"/>
      <c r="AV194" s="656"/>
      <c r="AW194" s="656"/>
      <c r="AX194" s="656"/>
      <c r="AY194" s="656"/>
      <c r="AZ194" s="656"/>
      <c r="BA194" s="656"/>
      <c r="BB194" s="656"/>
      <c r="BC194" s="656"/>
      <c r="BD194" s="656"/>
    </row>
    <row r="195" spans="1:56" ht="12.95" customHeight="1">
      <c r="A195" s="587" t="s">
        <v>17</v>
      </c>
      <c r="B195" s="592"/>
      <c r="C195" s="592"/>
      <c r="D195" s="592"/>
      <c r="E195" s="592"/>
      <c r="F195" s="592"/>
      <c r="G195" s="592"/>
      <c r="H195" s="680">
        <f>-R164</f>
        <v>-0.04</v>
      </c>
      <c r="I195" s="592" t="s">
        <v>108</v>
      </c>
      <c r="J195" s="592"/>
      <c r="K195" s="592"/>
      <c r="L195" s="592"/>
      <c r="M195" s="592"/>
      <c r="N195" s="592"/>
      <c r="O195" s="592"/>
      <c r="P195" s="621"/>
      <c r="Q195" s="621"/>
      <c r="R195" s="621"/>
      <c r="S195" s="621"/>
      <c r="T195" s="621"/>
      <c r="U195" s="621"/>
      <c r="V195" s="621"/>
      <c r="W195" s="621"/>
      <c r="X195" s="621"/>
      <c r="Y195" s="621"/>
      <c r="Z195" s="621"/>
      <c r="AA195" s="621"/>
      <c r="AB195" s="621"/>
      <c r="AC195" s="621"/>
      <c r="AD195" s="621"/>
      <c r="AE195" s="621"/>
      <c r="AF195" s="621"/>
      <c r="AG195" s="621"/>
      <c r="AI195" s="655"/>
      <c r="AJ195" s="656"/>
      <c r="AK195" s="656"/>
      <c r="AL195" s="656"/>
      <c r="AM195" s="656"/>
      <c r="AN195" s="656"/>
      <c r="AO195" s="656"/>
      <c r="AP195" s="656"/>
      <c r="AQ195" s="656"/>
      <c r="AR195" s="656"/>
      <c r="AS195" s="656"/>
      <c r="AT195" s="656"/>
      <c r="AU195" s="656"/>
      <c r="AV195" s="656"/>
      <c r="AW195" s="656"/>
      <c r="AX195" s="656"/>
      <c r="AY195" s="656"/>
      <c r="AZ195" s="656"/>
      <c r="BA195" s="656"/>
      <c r="BB195" s="656"/>
      <c r="BC195" s="656"/>
      <c r="BD195" s="656"/>
    </row>
    <row r="196" spans="1:56" ht="12.95" customHeight="1">
      <c r="A196" s="587" t="s">
        <v>188</v>
      </c>
      <c r="B196" s="592"/>
      <c r="C196" s="592"/>
      <c r="D196" s="592"/>
      <c r="E196" s="592"/>
      <c r="F196" s="592"/>
      <c r="G196" s="592"/>
      <c r="H196" s="681">
        <v>0</v>
      </c>
      <c r="I196" s="592" t="s">
        <v>108</v>
      </c>
      <c r="J196" s="592"/>
      <c r="K196" s="592"/>
      <c r="L196" s="592"/>
      <c r="M196" s="592"/>
      <c r="N196" s="592"/>
      <c r="O196" s="592"/>
      <c r="P196" s="621"/>
      <c r="Q196" s="621"/>
      <c r="R196" s="621"/>
      <c r="S196" s="621"/>
      <c r="T196" s="621"/>
      <c r="U196" s="621"/>
      <c r="V196" s="621"/>
      <c r="W196" s="621"/>
      <c r="X196" s="621"/>
      <c r="Y196" s="621"/>
      <c r="Z196" s="621"/>
      <c r="AA196" s="621"/>
      <c r="AB196" s="621"/>
      <c r="AC196" s="621"/>
      <c r="AD196" s="621"/>
      <c r="AE196" s="621"/>
      <c r="AF196" s="621"/>
      <c r="AG196" s="621"/>
      <c r="AI196" s="655"/>
      <c r="AJ196" s="656"/>
      <c r="AK196" s="656"/>
      <c r="AL196" s="656"/>
      <c r="AM196" s="656"/>
      <c r="AN196" s="656"/>
      <c r="AO196" s="656"/>
      <c r="AP196" s="656"/>
      <c r="AQ196" s="656"/>
      <c r="AR196" s="656"/>
      <c r="AS196" s="656"/>
      <c r="AT196" s="656"/>
      <c r="AU196" s="656"/>
      <c r="AV196" s="656"/>
      <c r="AW196" s="656"/>
      <c r="AX196" s="656"/>
      <c r="AY196" s="656"/>
      <c r="AZ196" s="656"/>
      <c r="BA196" s="656"/>
      <c r="BB196" s="656"/>
      <c r="BC196" s="656"/>
      <c r="BD196" s="656"/>
    </row>
    <row r="197" spans="1:56" ht="12.95" customHeight="1">
      <c r="A197" s="587" t="s">
        <v>189</v>
      </c>
      <c r="B197" s="592"/>
      <c r="C197" s="592"/>
      <c r="D197" s="592"/>
      <c r="E197" s="592"/>
      <c r="F197" s="592"/>
      <c r="G197" s="592"/>
      <c r="H197" s="682">
        <f>SUM(H192:H196)</f>
        <v>-1.42</v>
      </c>
      <c r="I197" s="592" t="s">
        <v>108</v>
      </c>
      <c r="J197" s="592"/>
      <c r="K197" s="592"/>
      <c r="L197" s="592"/>
      <c r="M197" s="592"/>
      <c r="N197" s="592"/>
      <c r="O197" s="592"/>
      <c r="P197" s="621"/>
      <c r="Q197" s="621"/>
      <c r="R197" s="621"/>
      <c r="S197" s="621"/>
      <c r="T197" s="621"/>
      <c r="U197" s="621"/>
      <c r="V197" s="621"/>
      <c r="W197" s="621"/>
      <c r="X197" s="621"/>
      <c r="Y197" s="621"/>
      <c r="Z197" s="621"/>
      <c r="AA197" s="621"/>
      <c r="AB197" s="621"/>
      <c r="AC197" s="621"/>
      <c r="AD197" s="621"/>
      <c r="AE197" s="621"/>
      <c r="AF197" s="621"/>
      <c r="AG197" s="621"/>
      <c r="AI197" s="655"/>
      <c r="AJ197" s="656"/>
      <c r="AK197" s="656"/>
      <c r="AL197" s="656"/>
      <c r="AM197" s="656"/>
      <c r="AN197" s="656"/>
      <c r="AO197" s="656"/>
      <c r="AP197" s="656"/>
      <c r="AQ197" s="656"/>
      <c r="AR197" s="656"/>
      <c r="AS197" s="656"/>
      <c r="AT197" s="656"/>
      <c r="AU197" s="656"/>
      <c r="AV197" s="656"/>
      <c r="AW197" s="656"/>
      <c r="AX197" s="656"/>
      <c r="AY197" s="656"/>
      <c r="AZ197" s="656"/>
      <c r="BA197" s="656"/>
      <c r="BB197" s="656"/>
      <c r="BC197" s="656"/>
      <c r="BD197" s="656"/>
    </row>
    <row r="198" spans="1:56" ht="12.95" customHeight="1">
      <c r="A198" s="587"/>
      <c r="B198" s="592"/>
      <c r="C198" s="592"/>
      <c r="D198" s="592"/>
      <c r="E198" s="592"/>
      <c r="F198" s="592"/>
      <c r="G198" s="592"/>
      <c r="H198" s="592"/>
      <c r="I198" s="592"/>
      <c r="J198" s="592"/>
      <c r="K198" s="592"/>
      <c r="L198" s="592"/>
      <c r="M198" s="592"/>
      <c r="N198" s="592"/>
      <c r="O198" s="592"/>
      <c r="P198" s="621"/>
      <c r="Q198" s="621"/>
      <c r="R198" s="621"/>
      <c r="S198" s="621"/>
      <c r="T198" s="621"/>
      <c r="U198" s="621"/>
      <c r="V198" s="621"/>
      <c r="W198" s="621"/>
      <c r="X198" s="621"/>
      <c r="Y198" s="621"/>
      <c r="Z198" s="621"/>
      <c r="AA198" s="621"/>
      <c r="AB198" s="621"/>
      <c r="AC198" s="621"/>
      <c r="AD198" s="621"/>
      <c r="AE198" s="621"/>
      <c r="AF198" s="621"/>
      <c r="AG198" s="621"/>
      <c r="AI198" s="655"/>
      <c r="AJ198" s="656"/>
      <c r="AK198" s="656"/>
      <c r="AL198" s="656"/>
      <c r="AM198" s="656"/>
      <c r="AN198" s="656"/>
      <c r="AO198" s="656"/>
      <c r="AP198" s="656"/>
      <c r="AQ198" s="656"/>
      <c r="AR198" s="656"/>
      <c r="AS198" s="656"/>
      <c r="AT198" s="656"/>
      <c r="AU198" s="656"/>
      <c r="AV198" s="656"/>
      <c r="AW198" s="656"/>
      <c r="AX198" s="656"/>
      <c r="AY198" s="656"/>
      <c r="AZ198" s="656"/>
      <c r="BA198" s="656"/>
      <c r="BB198" s="656"/>
      <c r="BC198" s="656"/>
      <c r="BD198" s="656"/>
    </row>
    <row r="199" spans="1:56" ht="12.95" customHeight="1">
      <c r="A199" s="587" t="s">
        <v>1</v>
      </c>
      <c r="B199" s="592"/>
      <c r="C199" s="592"/>
      <c r="D199" s="592"/>
      <c r="E199" s="592"/>
      <c r="F199" s="592"/>
      <c r="G199" s="592"/>
      <c r="H199" s="680">
        <f>ROUND(H189+H197,4)</f>
        <v>4.3372000000000002</v>
      </c>
      <c r="I199" s="592" t="s">
        <v>108</v>
      </c>
      <c r="J199" s="592"/>
      <c r="K199" s="592"/>
      <c r="L199" s="592"/>
      <c r="M199" s="592"/>
      <c r="N199" s="592"/>
      <c r="O199" s="592"/>
      <c r="P199" s="621"/>
      <c r="Q199" s="621"/>
      <c r="R199" s="621"/>
      <c r="S199" s="621"/>
      <c r="T199" s="621"/>
      <c r="U199" s="621"/>
      <c r="V199" s="621"/>
      <c r="W199" s="621"/>
      <c r="X199" s="621"/>
      <c r="Y199" s="621"/>
      <c r="Z199" s="621"/>
      <c r="AA199" s="621"/>
      <c r="AB199" s="621"/>
      <c r="AC199" s="621"/>
      <c r="AD199" s="621"/>
      <c r="AE199" s="621"/>
      <c r="AF199" s="621"/>
      <c r="AG199" s="621"/>
      <c r="AI199" s="655"/>
      <c r="AJ199" s="656"/>
      <c r="AK199" s="656"/>
      <c r="AL199" s="656"/>
      <c r="AM199" s="656"/>
      <c r="AN199" s="656"/>
      <c r="AO199" s="656"/>
      <c r="AP199" s="656"/>
      <c r="AQ199" s="656"/>
      <c r="AR199" s="656"/>
      <c r="AS199" s="656"/>
      <c r="AT199" s="656"/>
      <c r="AU199" s="656"/>
      <c r="AV199" s="656"/>
      <c r="AW199" s="656"/>
      <c r="AX199" s="656"/>
      <c r="AY199" s="656"/>
      <c r="AZ199" s="656"/>
      <c r="BA199" s="656"/>
      <c r="BB199" s="656"/>
      <c r="BC199" s="656"/>
      <c r="BD199" s="656"/>
    </row>
    <row r="200" spans="1:56" ht="12.95" customHeight="1">
      <c r="A200" s="587"/>
      <c r="B200" s="592"/>
      <c r="C200" s="592"/>
      <c r="D200" s="592"/>
      <c r="E200" s="592"/>
      <c r="F200" s="592"/>
      <c r="G200" s="592"/>
      <c r="H200" s="592"/>
      <c r="I200" s="592"/>
      <c r="J200" s="592"/>
      <c r="K200" s="592"/>
      <c r="L200" s="592"/>
      <c r="M200" s="592"/>
      <c r="N200" s="592"/>
      <c r="O200" s="592"/>
      <c r="P200" s="621"/>
      <c r="Q200" s="621"/>
      <c r="R200" s="621"/>
      <c r="S200" s="621"/>
      <c r="T200" s="621"/>
      <c r="U200" s="621"/>
      <c r="V200" s="621"/>
      <c r="W200" s="621"/>
      <c r="X200" s="621"/>
      <c r="Y200" s="621"/>
      <c r="Z200" s="621"/>
      <c r="AA200" s="621"/>
      <c r="AB200" s="621"/>
      <c r="AC200" s="621"/>
      <c r="AD200" s="621"/>
      <c r="AE200" s="621"/>
      <c r="AF200" s="621"/>
      <c r="AG200" s="621"/>
      <c r="AI200" s="655"/>
      <c r="AJ200" s="656"/>
      <c r="AK200" s="656"/>
      <c r="AL200" s="656"/>
      <c r="AM200" s="656"/>
      <c r="AN200" s="656"/>
      <c r="AO200" s="656"/>
      <c r="AP200" s="656"/>
      <c r="AQ200" s="656"/>
      <c r="AR200" s="656"/>
      <c r="AS200" s="656"/>
      <c r="AT200" s="656"/>
      <c r="AU200" s="656"/>
      <c r="AV200" s="656"/>
      <c r="AW200" s="656"/>
      <c r="AX200" s="656"/>
      <c r="AY200" s="656"/>
      <c r="AZ200" s="656"/>
      <c r="BA200" s="656"/>
      <c r="BB200" s="656"/>
      <c r="BC200" s="656"/>
      <c r="BD200" s="656"/>
    </row>
    <row r="201" spans="1:56" ht="12.95" customHeight="1">
      <c r="A201" s="587" t="s">
        <v>190</v>
      </c>
      <c r="B201" s="592"/>
      <c r="C201" s="592"/>
      <c r="D201" s="592"/>
      <c r="E201" s="592"/>
      <c r="F201" s="592"/>
      <c r="G201" s="592"/>
      <c r="H201" s="683">
        <f>ROUND(J166*100,4)</f>
        <v>46.89</v>
      </c>
      <c r="I201" s="592" t="s">
        <v>108</v>
      </c>
      <c r="J201" s="592"/>
      <c r="K201" s="592"/>
      <c r="L201" s="592"/>
      <c r="M201" s="592"/>
      <c r="N201" s="592"/>
      <c r="O201" s="592"/>
      <c r="P201" s="621"/>
      <c r="Q201" s="621"/>
      <c r="R201" s="621"/>
      <c r="S201" s="621"/>
      <c r="T201" s="621"/>
      <c r="U201" s="621"/>
      <c r="V201" s="621"/>
      <c r="W201" s="621"/>
      <c r="X201" s="621"/>
      <c r="Y201" s="621"/>
      <c r="Z201" s="621"/>
      <c r="AA201" s="621"/>
      <c r="AB201" s="621"/>
      <c r="AC201" s="621"/>
      <c r="AD201" s="621"/>
      <c r="AE201" s="621"/>
      <c r="AF201" s="621"/>
      <c r="AG201" s="621"/>
      <c r="AI201" s="655"/>
      <c r="AJ201" s="656"/>
      <c r="AK201" s="656"/>
      <c r="AL201" s="656"/>
      <c r="AM201" s="656"/>
      <c r="AN201" s="656"/>
      <c r="AO201" s="656"/>
      <c r="AP201" s="656"/>
      <c r="AQ201" s="656"/>
      <c r="AR201" s="656"/>
      <c r="AS201" s="656"/>
      <c r="AT201" s="656"/>
      <c r="AU201" s="656"/>
      <c r="AV201" s="656"/>
      <c r="AW201" s="656"/>
      <c r="AX201" s="656"/>
      <c r="AY201" s="656"/>
      <c r="AZ201" s="656"/>
      <c r="BA201" s="656"/>
      <c r="BB201" s="656"/>
      <c r="BC201" s="656"/>
      <c r="BD201" s="656"/>
    </row>
    <row r="202" spans="1:56" ht="12.95" customHeight="1">
      <c r="A202" s="587"/>
      <c r="B202" s="592"/>
      <c r="C202" s="592"/>
      <c r="D202" s="592"/>
      <c r="E202" s="592"/>
      <c r="F202" s="592"/>
      <c r="G202" s="592"/>
      <c r="H202" s="592"/>
      <c r="I202" s="592"/>
      <c r="J202" s="592"/>
      <c r="K202" s="592"/>
      <c r="L202" s="592"/>
      <c r="M202" s="592"/>
      <c r="N202" s="592"/>
      <c r="O202" s="592"/>
      <c r="P202" s="621"/>
      <c r="Q202" s="621"/>
      <c r="R202" s="621"/>
      <c r="S202" s="621"/>
      <c r="T202" s="621"/>
      <c r="U202" s="621"/>
      <c r="V202" s="621"/>
      <c r="W202" s="621"/>
      <c r="X202" s="621"/>
      <c r="Y202" s="621"/>
      <c r="Z202" s="621"/>
      <c r="AA202" s="621"/>
      <c r="AB202" s="621"/>
      <c r="AC202" s="621"/>
      <c r="AD202" s="621"/>
      <c r="AE202" s="621"/>
      <c r="AF202" s="621"/>
      <c r="AG202" s="621"/>
      <c r="AI202" s="655"/>
      <c r="AJ202" s="656"/>
      <c r="AK202" s="656"/>
      <c r="AL202" s="656"/>
      <c r="AM202" s="656"/>
      <c r="AN202" s="656"/>
      <c r="AO202" s="656"/>
      <c r="AP202" s="656"/>
      <c r="AQ202" s="656"/>
      <c r="AR202" s="656"/>
      <c r="AS202" s="656"/>
      <c r="AT202" s="656"/>
      <c r="AU202" s="656"/>
      <c r="AV202" s="656"/>
      <c r="AW202" s="656"/>
      <c r="AX202" s="656"/>
      <c r="AY202" s="656"/>
      <c r="AZ202" s="656"/>
      <c r="BA202" s="656"/>
      <c r="BB202" s="656"/>
      <c r="BC202" s="656"/>
      <c r="BD202" s="656"/>
    </row>
    <row r="203" spans="1:56" ht="12.95" customHeight="1" thickBot="1">
      <c r="A203" s="587" t="s">
        <v>191</v>
      </c>
      <c r="B203" s="592"/>
      <c r="C203" s="592"/>
      <c r="D203" s="592"/>
      <c r="E203" s="592"/>
      <c r="F203" s="592"/>
      <c r="G203" s="592"/>
      <c r="H203" s="684">
        <f>ROUND((H199)/(H201/100),4)</f>
        <v>9.2497000000000007</v>
      </c>
      <c r="I203" s="592" t="s">
        <v>108</v>
      </c>
      <c r="J203" s="592"/>
      <c r="K203" s="592"/>
      <c r="L203" s="592"/>
      <c r="M203" s="592"/>
      <c r="N203" s="592"/>
      <c r="O203" s="592"/>
      <c r="P203" s="621"/>
      <c r="Q203" s="621"/>
      <c r="R203" s="621"/>
      <c r="S203" s="621"/>
      <c r="T203" s="621"/>
      <c r="U203" s="621"/>
      <c r="V203" s="621"/>
      <c r="W203" s="621"/>
      <c r="X203" s="621"/>
      <c r="Y203" s="621"/>
      <c r="Z203" s="621"/>
      <c r="AA203" s="621"/>
      <c r="AB203" s="621"/>
      <c r="AC203" s="621"/>
      <c r="AD203" s="621"/>
      <c r="AE203" s="621"/>
      <c r="AF203" s="621"/>
      <c r="AG203" s="621"/>
      <c r="AI203" s="655"/>
      <c r="AJ203" s="656"/>
      <c r="AK203" s="656"/>
      <c r="AL203" s="656"/>
      <c r="AM203" s="656"/>
      <c r="AN203" s="656"/>
      <c r="AO203" s="656"/>
      <c r="AP203" s="656"/>
      <c r="AQ203" s="656"/>
      <c r="AR203" s="656"/>
      <c r="AS203" s="656"/>
      <c r="AT203" s="656"/>
      <c r="AU203" s="656"/>
      <c r="AV203" s="656"/>
      <c r="AW203" s="656"/>
      <c r="AX203" s="656"/>
      <c r="AY203" s="656"/>
      <c r="AZ203" s="656"/>
      <c r="BA203" s="656"/>
      <c r="BB203" s="656"/>
      <c r="BC203" s="656"/>
      <c r="BD203" s="656"/>
    </row>
    <row r="204" spans="1:56" ht="12.95" customHeight="1" thickTop="1">
      <c r="A204" s="587"/>
      <c r="B204" s="592"/>
      <c r="C204" s="592"/>
      <c r="D204" s="592"/>
      <c r="E204" s="592"/>
      <c r="F204" s="592"/>
      <c r="G204" s="592"/>
      <c r="H204" s="592"/>
      <c r="I204" s="592"/>
      <c r="J204" s="592"/>
      <c r="K204" s="592"/>
      <c r="L204" s="592"/>
      <c r="M204" s="592"/>
      <c r="N204" s="592"/>
      <c r="O204" s="592"/>
      <c r="P204" s="621"/>
      <c r="Q204" s="621"/>
      <c r="R204" s="621"/>
      <c r="S204" s="621"/>
      <c r="T204" s="621"/>
      <c r="U204" s="621"/>
      <c r="V204" s="621"/>
      <c r="W204" s="621"/>
      <c r="X204" s="621"/>
      <c r="Y204" s="621"/>
      <c r="Z204" s="621"/>
      <c r="AA204" s="621"/>
      <c r="AB204" s="621"/>
      <c r="AC204" s="621"/>
      <c r="AD204" s="621"/>
      <c r="AE204" s="621"/>
      <c r="AF204" s="621"/>
      <c r="AG204" s="621"/>
      <c r="AI204" s="655"/>
      <c r="AJ204" s="656"/>
      <c r="AK204" s="656"/>
      <c r="AL204" s="656"/>
      <c r="AM204" s="656"/>
      <c r="AN204" s="656"/>
      <c r="AO204" s="656"/>
      <c r="AP204" s="656"/>
      <c r="AQ204" s="656"/>
      <c r="AR204" s="656"/>
      <c r="AS204" s="656"/>
      <c r="AT204" s="656"/>
      <c r="AU204" s="656"/>
      <c r="AV204" s="656"/>
      <c r="AW204" s="656"/>
      <c r="AX204" s="656"/>
      <c r="AY204" s="656"/>
      <c r="AZ204" s="656"/>
      <c r="BA204" s="656"/>
      <c r="BB204" s="656"/>
      <c r="BC204" s="656"/>
      <c r="BD204" s="656"/>
    </row>
    <row r="205" spans="1:56">
      <c r="A205" s="587"/>
      <c r="B205" s="592"/>
      <c r="C205" s="592"/>
      <c r="D205" s="592"/>
      <c r="E205" s="592"/>
      <c r="F205" s="592"/>
      <c r="G205" s="592"/>
      <c r="H205" s="592"/>
      <c r="I205" s="592"/>
      <c r="J205" s="592"/>
      <c r="K205" s="592"/>
      <c r="L205" s="592"/>
      <c r="M205" s="592"/>
      <c r="N205" s="592"/>
      <c r="O205" s="592"/>
      <c r="P205" s="621"/>
      <c r="Q205" s="621"/>
      <c r="R205" s="621"/>
      <c r="S205" s="621"/>
      <c r="T205" s="621"/>
      <c r="U205" s="621"/>
      <c r="V205" s="621"/>
      <c r="W205" s="621"/>
      <c r="X205" s="621"/>
      <c r="Y205" s="621"/>
      <c r="Z205" s="621"/>
      <c r="AA205" s="621"/>
      <c r="AB205" s="621"/>
      <c r="AC205" s="621"/>
      <c r="AD205" s="621"/>
      <c r="AE205" s="621"/>
      <c r="AF205" s="621"/>
      <c r="AG205" s="621"/>
      <c r="AI205" s="655"/>
      <c r="AJ205" s="656"/>
      <c r="AK205" s="656"/>
      <c r="AL205" s="656"/>
      <c r="AM205" s="656"/>
      <c r="AN205" s="656"/>
      <c r="AO205" s="656"/>
      <c r="AP205" s="656"/>
      <c r="AQ205" s="656"/>
      <c r="AR205" s="656"/>
      <c r="AS205" s="656"/>
      <c r="AT205" s="656"/>
      <c r="AU205" s="656"/>
      <c r="AV205" s="656"/>
      <c r="AW205" s="656"/>
      <c r="AX205" s="656"/>
      <c r="AY205" s="656"/>
      <c r="AZ205" s="656"/>
      <c r="BA205" s="656"/>
      <c r="BB205" s="656"/>
      <c r="BC205" s="656"/>
      <c r="BD205" s="656"/>
    </row>
    <row r="206" spans="1:56" ht="12.95" customHeight="1">
      <c r="A206" s="587"/>
      <c r="B206" s="592"/>
      <c r="C206" s="592"/>
      <c r="D206" s="592"/>
      <c r="E206" s="592"/>
      <c r="F206" s="592"/>
      <c r="G206" s="592"/>
      <c r="H206" s="592"/>
      <c r="I206" s="592"/>
      <c r="J206" s="592"/>
      <c r="K206" s="592"/>
      <c r="L206" s="592"/>
      <c r="M206" s="592"/>
      <c r="N206" s="592"/>
      <c r="O206" s="592"/>
      <c r="P206" s="621"/>
      <c r="Q206" s="621"/>
      <c r="R206" s="621"/>
      <c r="S206" s="621"/>
      <c r="T206" s="621"/>
      <c r="U206" s="621"/>
      <c r="V206" s="621"/>
      <c r="W206" s="621"/>
      <c r="X206" s="621"/>
      <c r="Y206" s="621"/>
      <c r="Z206" s="621"/>
      <c r="AA206" s="621"/>
      <c r="AB206" s="621"/>
      <c r="AC206" s="621"/>
      <c r="AD206" s="621"/>
      <c r="AE206" s="621"/>
      <c r="AF206" s="621"/>
      <c r="AG206" s="621"/>
      <c r="AI206" s="655"/>
      <c r="AJ206" s="656"/>
      <c r="AK206" s="656"/>
      <c r="AL206" s="656"/>
      <c r="AM206" s="656"/>
      <c r="AN206" s="656"/>
      <c r="AO206" s="656"/>
      <c r="AP206" s="656"/>
      <c r="AQ206" s="656"/>
      <c r="AR206" s="656"/>
      <c r="AS206" s="656"/>
      <c r="AT206" s="656"/>
      <c r="AU206" s="656"/>
      <c r="AV206" s="656"/>
      <c r="AW206" s="656"/>
      <c r="AX206" s="656"/>
      <c r="AY206" s="656"/>
      <c r="AZ206" s="656"/>
      <c r="BA206" s="656"/>
      <c r="BB206" s="656"/>
      <c r="BC206" s="656"/>
      <c r="BD206" s="656"/>
    </row>
    <row r="207" spans="1:56" ht="12.95" customHeight="1">
      <c r="A207" s="587"/>
      <c r="B207" s="592"/>
      <c r="C207" s="592"/>
      <c r="D207" s="592"/>
      <c r="E207" s="592"/>
      <c r="F207" s="592"/>
      <c r="G207" s="592"/>
      <c r="H207" s="592"/>
      <c r="I207" s="592"/>
      <c r="J207" s="592"/>
      <c r="K207" s="592"/>
      <c r="L207" s="592"/>
      <c r="M207" s="592"/>
      <c r="N207" s="592"/>
      <c r="O207" s="592"/>
      <c r="P207" s="621"/>
      <c r="Q207" s="621"/>
      <c r="R207" s="621"/>
      <c r="S207" s="621"/>
      <c r="T207" s="621"/>
      <c r="U207" s="621"/>
      <c r="V207" s="621"/>
      <c r="W207" s="621"/>
      <c r="X207" s="621"/>
      <c r="Y207" s="621"/>
      <c r="Z207" s="621"/>
      <c r="AA207" s="621"/>
      <c r="AB207" s="621"/>
      <c r="AC207" s="621"/>
      <c r="AD207" s="621"/>
      <c r="AE207" s="621"/>
      <c r="AF207" s="621"/>
      <c r="AG207" s="621"/>
      <c r="AI207" s="655"/>
      <c r="AJ207" s="656"/>
      <c r="AK207" s="656"/>
      <c r="AL207" s="656"/>
      <c r="AM207" s="656"/>
      <c r="AN207" s="656"/>
      <c r="AO207" s="656"/>
      <c r="AP207" s="656"/>
      <c r="AQ207" s="656"/>
      <c r="AR207" s="656"/>
      <c r="AS207" s="656"/>
      <c r="AT207" s="656"/>
      <c r="AU207" s="656"/>
      <c r="AV207" s="656"/>
      <c r="AW207" s="656"/>
      <c r="AX207" s="656"/>
      <c r="AY207" s="656"/>
      <c r="AZ207" s="656"/>
      <c r="BA207" s="656"/>
      <c r="BB207" s="656"/>
      <c r="BC207" s="656"/>
      <c r="BD207" s="656"/>
    </row>
    <row r="208" spans="1:56" ht="12.95" customHeight="1">
      <c r="A208" s="599" t="s">
        <v>192</v>
      </c>
      <c r="B208" s="592"/>
      <c r="C208" s="592"/>
      <c r="D208" s="592"/>
      <c r="E208" s="592"/>
      <c r="F208" s="592"/>
      <c r="G208" s="592"/>
      <c r="H208" s="592"/>
      <c r="I208" s="592"/>
      <c r="J208" s="592"/>
      <c r="K208" s="592"/>
      <c r="L208" s="592"/>
      <c r="M208" s="592"/>
      <c r="N208" s="592"/>
      <c r="O208" s="592"/>
      <c r="P208" s="621"/>
      <c r="Q208" s="621"/>
      <c r="R208" s="621"/>
      <c r="S208" s="621"/>
      <c r="T208" s="621"/>
      <c r="U208" s="621"/>
      <c r="V208" s="621"/>
      <c r="W208" s="621"/>
      <c r="X208" s="621"/>
      <c r="Y208" s="621"/>
      <c r="Z208" s="621"/>
      <c r="AA208" s="621"/>
      <c r="AB208" s="621"/>
      <c r="AC208" s="621"/>
      <c r="AD208" s="621"/>
      <c r="AE208" s="621"/>
      <c r="AF208" s="621"/>
      <c r="AG208" s="621"/>
      <c r="AI208" s="655"/>
      <c r="AJ208" s="656"/>
      <c r="AK208" s="656"/>
      <c r="AL208" s="656"/>
      <c r="AM208" s="656"/>
      <c r="AN208" s="656"/>
      <c r="AO208" s="656"/>
      <c r="AP208" s="656"/>
      <c r="AQ208" s="656"/>
      <c r="AR208" s="656"/>
      <c r="AS208" s="656"/>
      <c r="AT208" s="656"/>
      <c r="AU208" s="656"/>
      <c r="AV208" s="656"/>
      <c r="AW208" s="656"/>
      <c r="AX208" s="656"/>
      <c r="AY208" s="656"/>
      <c r="AZ208" s="656"/>
      <c r="BA208" s="656"/>
      <c r="BB208" s="656"/>
      <c r="BC208" s="656"/>
      <c r="BD208" s="656"/>
    </row>
    <row r="209" spans="1:56" ht="12.95" customHeight="1">
      <c r="A209" s="599" t="s">
        <v>193</v>
      </c>
      <c r="B209" s="592"/>
      <c r="C209" s="592"/>
      <c r="D209" s="592"/>
      <c r="E209" s="592"/>
      <c r="F209" s="592"/>
      <c r="G209" s="592"/>
      <c r="H209" s="592"/>
      <c r="I209" s="592"/>
      <c r="J209" s="592"/>
      <c r="K209" s="592"/>
      <c r="L209" s="592"/>
      <c r="M209" s="592"/>
      <c r="N209" s="592"/>
      <c r="O209" s="592"/>
      <c r="P209" s="621"/>
      <c r="Q209" s="621"/>
      <c r="R209" s="621"/>
      <c r="S209" s="621"/>
      <c r="T209" s="621"/>
      <c r="U209" s="621"/>
      <c r="V209" s="621"/>
      <c r="W209" s="621"/>
      <c r="X209" s="621"/>
      <c r="Y209" s="621"/>
      <c r="Z209" s="621"/>
      <c r="AA209" s="621"/>
      <c r="AB209" s="621"/>
      <c r="AC209" s="621"/>
      <c r="AD209" s="621"/>
      <c r="AE209" s="621"/>
      <c r="AF209" s="621"/>
      <c r="AG209" s="621"/>
      <c r="AI209" s="655"/>
      <c r="AJ209" s="656"/>
      <c r="AK209" s="656"/>
      <c r="AL209" s="656"/>
      <c r="AM209" s="656"/>
      <c r="AN209" s="656"/>
      <c r="AO209" s="656"/>
      <c r="AP209" s="656"/>
      <c r="AQ209" s="656"/>
      <c r="AR209" s="656"/>
      <c r="AS209" s="656"/>
      <c r="AT209" s="656"/>
      <c r="AU209" s="656"/>
      <c r="AV209" s="656"/>
      <c r="AW209" s="656"/>
      <c r="AX209" s="656"/>
      <c r="AY209" s="656"/>
      <c r="AZ209" s="656"/>
      <c r="BA209" s="656"/>
      <c r="BB209" s="656"/>
      <c r="BC209" s="656"/>
      <c r="BD209" s="656"/>
    </row>
    <row r="210" spans="1:56" ht="12.95" customHeight="1">
      <c r="A210" s="587"/>
      <c r="B210" s="592"/>
      <c r="C210" s="592"/>
      <c r="D210" s="592"/>
      <c r="E210" s="592"/>
      <c r="F210" s="592"/>
      <c r="G210" s="592"/>
      <c r="H210" s="592"/>
      <c r="I210" s="592"/>
      <c r="J210" s="592"/>
      <c r="K210" s="592"/>
      <c r="L210" s="592"/>
      <c r="M210" s="592"/>
      <c r="N210" s="592"/>
      <c r="O210" s="592"/>
      <c r="P210" s="621"/>
      <c r="Q210" s="621"/>
      <c r="R210" s="621"/>
      <c r="S210" s="621"/>
      <c r="T210" s="621"/>
      <c r="U210" s="621"/>
      <c r="V210" s="621"/>
      <c r="W210" s="621"/>
      <c r="X210" s="621"/>
      <c r="Y210" s="621"/>
      <c r="Z210" s="621"/>
      <c r="AA210" s="621"/>
      <c r="AB210" s="621"/>
      <c r="AC210" s="621"/>
      <c r="AD210" s="621"/>
      <c r="AE210" s="621"/>
      <c r="AF210" s="621"/>
      <c r="AG210" s="621"/>
      <c r="AI210" s="655"/>
      <c r="AJ210" s="656"/>
      <c r="AK210" s="656"/>
      <c r="AL210" s="656"/>
      <c r="AM210" s="656"/>
      <c r="AN210" s="656"/>
      <c r="AO210" s="656"/>
      <c r="AP210" s="656"/>
      <c r="AQ210" s="656"/>
      <c r="AR210" s="656"/>
      <c r="AS210" s="656"/>
      <c r="AT210" s="656"/>
      <c r="AU210" s="656"/>
      <c r="AV210" s="656"/>
      <c r="AW210" s="656"/>
      <c r="AX210" s="656"/>
      <c r="AY210" s="656"/>
      <c r="AZ210" s="656"/>
      <c r="BA210" s="656"/>
      <c r="BB210" s="656"/>
      <c r="BC210" s="656"/>
      <c r="BD210" s="656"/>
    </row>
    <row r="211" spans="1:56" ht="12.95" customHeight="1">
      <c r="A211" s="587"/>
      <c r="B211" s="592"/>
      <c r="C211" s="592"/>
      <c r="D211" s="592"/>
      <c r="E211" s="592"/>
      <c r="F211" s="592"/>
      <c r="G211" s="592"/>
      <c r="H211" s="592"/>
      <c r="I211" s="592"/>
      <c r="J211" s="592"/>
      <c r="K211" s="592"/>
      <c r="L211" s="592"/>
      <c r="M211" s="592"/>
      <c r="N211" s="592"/>
      <c r="O211" s="592"/>
      <c r="P211" s="621"/>
      <c r="Q211" s="621"/>
      <c r="R211" s="621"/>
      <c r="S211" s="621"/>
      <c r="T211" s="621"/>
      <c r="U211" s="621"/>
      <c r="V211" s="621"/>
      <c r="W211" s="621"/>
      <c r="X211" s="621"/>
      <c r="Y211" s="621"/>
      <c r="Z211" s="621"/>
      <c r="AA211" s="621"/>
      <c r="AB211" s="621"/>
      <c r="AC211" s="621"/>
      <c r="AD211" s="621"/>
      <c r="AE211" s="621"/>
      <c r="AF211" s="621"/>
      <c r="AG211" s="621"/>
      <c r="AI211" s="655"/>
      <c r="AJ211" s="656"/>
      <c r="AK211" s="656"/>
      <c r="AL211" s="656"/>
      <c r="AM211" s="656"/>
      <c r="AN211" s="656"/>
      <c r="AO211" s="656"/>
      <c r="AP211" s="656"/>
      <c r="AQ211" s="656"/>
      <c r="AR211" s="656"/>
      <c r="AS211" s="656"/>
      <c r="AT211" s="656"/>
      <c r="AU211" s="656"/>
      <c r="AV211" s="656"/>
      <c r="AW211" s="656"/>
      <c r="AX211" s="656"/>
      <c r="AY211" s="656"/>
      <c r="AZ211" s="656"/>
      <c r="BA211" s="656"/>
      <c r="BB211" s="656"/>
      <c r="BC211" s="656"/>
      <c r="BD211" s="656"/>
    </row>
    <row r="212" spans="1:56" ht="12.95" customHeight="1">
      <c r="A212" s="587" t="s">
        <v>194</v>
      </c>
      <c r="B212" s="592"/>
      <c r="C212" s="592"/>
      <c r="D212" s="592"/>
      <c r="E212" s="592"/>
      <c r="F212" s="592"/>
      <c r="G212" s="592" t="s">
        <v>105</v>
      </c>
      <c r="H212" s="592">
        <f>V132</f>
        <v>97058.196663375886</v>
      </c>
      <c r="I212" s="592"/>
      <c r="J212" s="592" t="s">
        <v>430</v>
      </c>
      <c r="K212" s="592"/>
      <c r="L212" s="592"/>
      <c r="M212" s="592"/>
      <c r="N212" s="592"/>
      <c r="O212" s="592"/>
      <c r="P212" s="621"/>
      <c r="Q212" s="621"/>
      <c r="R212" s="621"/>
      <c r="S212" s="621"/>
      <c r="T212" s="621"/>
      <c r="U212" s="621"/>
      <c r="V212" s="621"/>
      <c r="W212" s="621"/>
      <c r="X212" s="621"/>
      <c r="Y212" s="621"/>
      <c r="Z212" s="621"/>
      <c r="AA212" s="621"/>
      <c r="AB212" s="621"/>
      <c r="AC212" s="621"/>
      <c r="AD212" s="621"/>
      <c r="AE212" s="621"/>
      <c r="AF212" s="621"/>
      <c r="AG212" s="621"/>
      <c r="AI212" s="655"/>
      <c r="AJ212" s="656"/>
      <c r="AK212" s="656"/>
      <c r="AL212" s="656"/>
      <c r="AM212" s="656"/>
      <c r="AN212" s="656"/>
      <c r="AO212" s="656"/>
      <c r="AP212" s="656"/>
      <c r="AQ212" s="656"/>
      <c r="AR212" s="656"/>
      <c r="AS212" s="656"/>
      <c r="AT212" s="656"/>
      <c r="AU212" s="656"/>
      <c r="AV212" s="656"/>
      <c r="AW212" s="656"/>
      <c r="AX212" s="656"/>
      <c r="AY212" s="656"/>
      <c r="AZ212" s="656"/>
      <c r="BA212" s="656"/>
      <c r="BB212" s="656"/>
      <c r="BC212" s="656"/>
      <c r="BD212" s="656"/>
    </row>
    <row r="213" spans="1:56" ht="12.95" customHeight="1">
      <c r="A213" s="587"/>
      <c r="B213" s="592"/>
      <c r="C213" s="592"/>
      <c r="D213" s="592"/>
      <c r="E213" s="592"/>
      <c r="F213" s="592"/>
      <c r="G213" s="592"/>
      <c r="H213" s="592"/>
      <c r="I213" s="592"/>
      <c r="J213" s="685"/>
      <c r="K213" s="592"/>
      <c r="L213" s="592"/>
      <c r="M213" s="592"/>
      <c r="N213" s="592"/>
      <c r="O213" s="592"/>
      <c r="P213" s="621"/>
      <c r="Q213" s="621"/>
      <c r="R213" s="621"/>
      <c r="S213" s="621"/>
      <c r="T213" s="621"/>
      <c r="U213" s="621"/>
      <c r="V213" s="621"/>
      <c r="W213" s="621"/>
      <c r="X213" s="621"/>
      <c r="Y213" s="621"/>
      <c r="Z213" s="621"/>
      <c r="AA213" s="621"/>
      <c r="AB213" s="621"/>
      <c r="AC213" s="621"/>
      <c r="AD213" s="621"/>
      <c r="AE213" s="621"/>
      <c r="AF213" s="621"/>
      <c r="AG213" s="621"/>
      <c r="AI213" s="655"/>
      <c r="AJ213" s="656"/>
      <c r="AK213" s="656"/>
      <c r="AL213" s="656"/>
      <c r="AM213" s="656"/>
      <c r="AN213" s="656"/>
      <c r="AO213" s="656"/>
      <c r="AP213" s="656"/>
      <c r="AQ213" s="656"/>
      <c r="AR213" s="656"/>
      <c r="AS213" s="656"/>
      <c r="AT213" s="656"/>
      <c r="AU213" s="656"/>
      <c r="AV213" s="656"/>
      <c r="AW213" s="656"/>
      <c r="AX213" s="656"/>
      <c r="AY213" s="656"/>
      <c r="AZ213" s="656"/>
      <c r="BA213" s="656"/>
      <c r="BB213" s="656"/>
      <c r="BC213" s="656"/>
      <c r="BD213" s="656"/>
    </row>
    <row r="214" spans="1:56" ht="12.95" customHeight="1">
      <c r="A214" s="587" t="s">
        <v>196</v>
      </c>
      <c r="B214" s="592"/>
      <c r="C214" s="592"/>
      <c r="D214" s="592"/>
      <c r="E214" s="592"/>
      <c r="F214" s="592"/>
      <c r="G214" s="592" t="s">
        <v>105</v>
      </c>
      <c r="H214" s="591">
        <f>T83</f>
        <v>1733959.3659682842</v>
      </c>
      <c r="I214" s="592"/>
      <c r="J214" s="592" t="s">
        <v>431</v>
      </c>
      <c r="K214" s="592"/>
      <c r="L214" s="592"/>
      <c r="M214" s="592"/>
      <c r="N214" s="592"/>
      <c r="O214" s="592"/>
      <c r="P214" s="621"/>
      <c r="Q214" s="621"/>
      <c r="R214" s="621"/>
      <c r="S214" s="621"/>
      <c r="T214" s="621"/>
      <c r="U214" s="621"/>
      <c r="V214" s="621"/>
      <c r="W214" s="621"/>
      <c r="X214" s="621"/>
      <c r="Y214" s="621"/>
      <c r="Z214" s="621"/>
      <c r="AA214" s="621"/>
      <c r="AB214" s="621"/>
      <c r="AC214" s="621"/>
      <c r="AD214" s="621"/>
      <c r="AE214" s="621"/>
      <c r="AF214" s="621"/>
      <c r="AG214" s="621"/>
      <c r="AI214" s="655"/>
      <c r="AJ214" s="656"/>
      <c r="AK214" s="656"/>
      <c r="AL214" s="656"/>
      <c r="AM214" s="656"/>
      <c r="AN214" s="656"/>
      <c r="AO214" s="656"/>
      <c r="AP214" s="656"/>
      <c r="AQ214" s="656"/>
      <c r="AR214" s="656"/>
      <c r="AS214" s="656"/>
      <c r="AT214" s="656"/>
      <c r="AU214" s="656"/>
      <c r="AV214" s="656"/>
      <c r="AW214" s="656"/>
      <c r="AX214" s="656"/>
      <c r="AY214" s="656"/>
      <c r="AZ214" s="656"/>
      <c r="BA214" s="656"/>
      <c r="BB214" s="656"/>
      <c r="BC214" s="656"/>
      <c r="BD214" s="656"/>
    </row>
    <row r="215" spans="1:56" ht="12.95" customHeight="1">
      <c r="A215" s="587"/>
      <c r="B215" s="592"/>
      <c r="C215" s="592"/>
      <c r="D215" s="592"/>
      <c r="E215" s="592"/>
      <c r="F215" s="592"/>
      <c r="G215" s="592"/>
      <c r="H215" s="592"/>
      <c r="I215" s="592"/>
      <c r="J215" s="592"/>
      <c r="K215" s="592"/>
      <c r="L215" s="592"/>
      <c r="M215" s="592"/>
      <c r="N215" s="592"/>
      <c r="O215" s="592"/>
      <c r="P215" s="621"/>
      <c r="Q215" s="621"/>
      <c r="R215" s="621"/>
      <c r="S215" s="621"/>
      <c r="T215" s="621"/>
      <c r="U215" s="621"/>
      <c r="V215" s="621"/>
      <c r="W215" s="621"/>
      <c r="X215" s="621"/>
      <c r="Y215" s="621"/>
      <c r="Z215" s="621"/>
      <c r="AA215" s="621"/>
      <c r="AB215" s="621"/>
      <c r="AC215" s="621"/>
      <c r="AD215" s="621"/>
      <c r="AE215" s="621"/>
      <c r="AF215" s="621"/>
      <c r="AG215" s="621"/>
      <c r="AI215" s="655"/>
      <c r="AJ215" s="656"/>
      <c r="AK215" s="656"/>
      <c r="AL215" s="656"/>
      <c r="AM215" s="656"/>
      <c r="AN215" s="656"/>
      <c r="AO215" s="656"/>
      <c r="AP215" s="656"/>
      <c r="AQ215" s="656"/>
      <c r="AR215" s="656"/>
      <c r="AS215" s="656"/>
      <c r="AT215" s="656"/>
      <c r="AU215" s="656"/>
      <c r="AV215" s="656"/>
      <c r="AW215" s="656"/>
      <c r="AX215" s="656"/>
      <c r="AY215" s="656"/>
      <c r="AZ215" s="656"/>
      <c r="BA215" s="656"/>
      <c r="BB215" s="656"/>
      <c r="BC215" s="656"/>
      <c r="BD215" s="656"/>
    </row>
    <row r="216" spans="1:56" ht="12.95" customHeight="1">
      <c r="A216" s="587" t="s">
        <v>183</v>
      </c>
      <c r="B216" s="592"/>
      <c r="C216" s="592"/>
      <c r="D216" s="592"/>
      <c r="E216" s="592"/>
      <c r="F216" s="592"/>
      <c r="G216" s="592"/>
      <c r="H216" s="683">
        <f>(H212/H214)*100</f>
        <v>5.5974896856464849</v>
      </c>
      <c r="I216" s="592" t="s">
        <v>108</v>
      </c>
      <c r="J216" s="592"/>
      <c r="K216" s="592"/>
      <c r="L216" s="592"/>
      <c r="M216" s="592"/>
      <c r="N216" s="592"/>
      <c r="O216" s="592"/>
      <c r="P216" s="621"/>
      <c r="Q216" s="621"/>
      <c r="R216" s="621"/>
      <c r="S216" s="621"/>
      <c r="T216" s="621"/>
      <c r="U216" s="621"/>
      <c r="V216" s="621"/>
      <c r="W216" s="621"/>
      <c r="X216" s="621"/>
      <c r="Y216" s="621"/>
      <c r="Z216" s="621"/>
      <c r="AA216" s="621"/>
      <c r="AB216" s="621"/>
      <c r="AC216" s="621"/>
      <c r="AD216" s="621"/>
      <c r="AE216" s="621"/>
      <c r="AF216" s="621"/>
      <c r="AG216" s="621"/>
      <c r="AI216" s="655"/>
      <c r="AJ216" s="656"/>
      <c r="AK216" s="656"/>
      <c r="AL216" s="656"/>
      <c r="AM216" s="656"/>
      <c r="AN216" s="656"/>
      <c r="AO216" s="656"/>
      <c r="AP216" s="656"/>
      <c r="AQ216" s="656"/>
      <c r="AR216" s="656"/>
      <c r="AS216" s="656"/>
      <c r="AT216" s="656"/>
      <c r="AU216" s="656"/>
      <c r="AV216" s="656"/>
      <c r="AW216" s="656"/>
      <c r="AX216" s="656"/>
      <c r="AY216" s="656"/>
      <c r="AZ216" s="656"/>
      <c r="BA216" s="656"/>
      <c r="BB216" s="656"/>
      <c r="BC216" s="656"/>
      <c r="BD216" s="656"/>
    </row>
    <row r="217" spans="1:56" ht="12.95" customHeight="1">
      <c r="A217" s="587" t="s">
        <v>185</v>
      </c>
      <c r="B217" s="592"/>
      <c r="C217" s="592"/>
      <c r="D217" s="592"/>
      <c r="E217" s="592"/>
      <c r="F217" s="592"/>
      <c r="G217" s="592"/>
      <c r="H217" s="592"/>
      <c r="I217" s="592"/>
      <c r="J217" s="592"/>
      <c r="K217" s="592"/>
      <c r="L217" s="592"/>
      <c r="M217" s="592"/>
      <c r="N217" s="592"/>
      <c r="O217" s="592"/>
      <c r="P217" s="621"/>
      <c r="Q217" s="621"/>
      <c r="R217" s="621"/>
      <c r="S217" s="621"/>
      <c r="T217" s="621"/>
      <c r="U217" s="621"/>
      <c r="V217" s="621"/>
      <c r="W217" s="621"/>
      <c r="X217" s="621"/>
      <c r="Y217" s="621"/>
      <c r="Z217" s="621"/>
      <c r="AA217" s="621"/>
      <c r="AB217" s="621"/>
      <c r="AC217" s="621"/>
      <c r="AD217" s="621"/>
      <c r="AE217" s="621"/>
      <c r="AF217" s="621"/>
      <c r="AG217" s="621"/>
      <c r="AI217" s="655"/>
      <c r="AJ217" s="656"/>
      <c r="AK217" s="656"/>
      <c r="AL217" s="656"/>
      <c r="AM217" s="656"/>
      <c r="AN217" s="656"/>
      <c r="AO217" s="656"/>
      <c r="AP217" s="656"/>
      <c r="AQ217" s="656"/>
      <c r="AR217" s="656"/>
      <c r="AS217" s="656"/>
      <c r="AT217" s="656"/>
      <c r="AU217" s="656"/>
      <c r="AV217" s="656"/>
      <c r="AW217" s="656"/>
      <c r="AX217" s="656"/>
      <c r="AY217" s="656"/>
      <c r="AZ217" s="656"/>
      <c r="BA217" s="656"/>
      <c r="BB217" s="656"/>
      <c r="BC217" s="656"/>
      <c r="BD217" s="656"/>
    </row>
    <row r="218" spans="1:56" ht="12.95" customHeight="1">
      <c r="A218" s="587" t="s">
        <v>186</v>
      </c>
      <c r="B218" s="592"/>
      <c r="C218" s="592"/>
      <c r="D218" s="592"/>
      <c r="E218" s="592"/>
      <c r="F218" s="592"/>
      <c r="G218" s="592"/>
      <c r="H218" s="592"/>
      <c r="I218" s="592"/>
      <c r="J218" s="592"/>
      <c r="K218" s="592"/>
      <c r="L218" s="592"/>
      <c r="M218" s="592"/>
      <c r="N218" s="592"/>
      <c r="O218" s="592"/>
      <c r="P218" s="621"/>
      <c r="Q218" s="621"/>
      <c r="R218" s="621"/>
      <c r="S218" s="621"/>
      <c r="T218" s="621"/>
      <c r="U218" s="621"/>
      <c r="V218" s="621"/>
      <c r="W218" s="621"/>
      <c r="X218" s="621"/>
      <c r="Y218" s="621"/>
      <c r="Z218" s="621"/>
      <c r="AA218" s="621"/>
      <c r="AB218" s="621"/>
      <c r="AC218" s="621"/>
      <c r="AD218" s="621"/>
      <c r="AE218" s="621"/>
      <c r="AF218" s="621"/>
      <c r="AG218" s="621"/>
      <c r="AI218" s="655"/>
      <c r="AJ218" s="656"/>
      <c r="AK218" s="656"/>
      <c r="AL218" s="656"/>
      <c r="AM218" s="656"/>
      <c r="AN218" s="656"/>
      <c r="AO218" s="656"/>
      <c r="AP218" s="656"/>
      <c r="AQ218" s="656"/>
      <c r="AR218" s="656"/>
      <c r="AS218" s="656"/>
      <c r="AT218" s="656"/>
      <c r="AU218" s="656"/>
      <c r="AV218" s="656"/>
      <c r="AW218" s="656"/>
      <c r="AX218" s="656"/>
      <c r="AY218" s="656"/>
      <c r="AZ218" s="656"/>
      <c r="BA218" s="656"/>
      <c r="BB218" s="656"/>
      <c r="BC218" s="656"/>
      <c r="BD218" s="656"/>
    </row>
    <row r="219" spans="1:56" ht="12.95" customHeight="1">
      <c r="A219" s="587" t="s">
        <v>174</v>
      </c>
      <c r="B219" s="592"/>
      <c r="C219" s="592"/>
      <c r="D219" s="592"/>
      <c r="E219" s="592"/>
      <c r="F219" s="592"/>
      <c r="G219" s="592"/>
      <c r="H219" s="680">
        <f>H192</f>
        <v>-1.18</v>
      </c>
      <c r="I219" s="592" t="s">
        <v>108</v>
      </c>
      <c r="J219" s="592"/>
      <c r="K219" s="592"/>
      <c r="L219" s="592"/>
      <c r="M219" s="592"/>
      <c r="N219" s="592"/>
      <c r="O219" s="592"/>
      <c r="P219" s="621"/>
      <c r="Q219" s="621"/>
      <c r="R219" s="621"/>
      <c r="S219" s="621"/>
      <c r="T219" s="621"/>
      <c r="U219" s="621"/>
      <c r="V219" s="621"/>
      <c r="W219" s="621"/>
      <c r="X219" s="621"/>
      <c r="Y219" s="621"/>
      <c r="Z219" s="621"/>
      <c r="AA219" s="621"/>
      <c r="AB219" s="621"/>
      <c r="AC219" s="621"/>
      <c r="AD219" s="621"/>
      <c r="AE219" s="621"/>
      <c r="AF219" s="621"/>
      <c r="AG219" s="621"/>
      <c r="AI219" s="655"/>
      <c r="AJ219" s="656"/>
      <c r="AK219" s="656"/>
      <c r="AL219" s="656"/>
      <c r="AM219" s="656"/>
      <c r="AN219" s="656"/>
      <c r="AO219" s="656"/>
      <c r="AP219" s="656"/>
      <c r="AQ219" s="656"/>
      <c r="AR219" s="656"/>
      <c r="AS219" s="656"/>
      <c r="AT219" s="656"/>
      <c r="AU219" s="656"/>
      <c r="AV219" s="656"/>
      <c r="AW219" s="656"/>
      <c r="AX219" s="656"/>
      <c r="AY219" s="656"/>
      <c r="AZ219" s="656"/>
      <c r="BA219" s="656"/>
      <c r="BB219" s="656"/>
      <c r="BC219" s="656"/>
      <c r="BD219" s="656"/>
    </row>
    <row r="220" spans="1:56" ht="12.95" customHeight="1">
      <c r="A220" s="587" t="s">
        <v>175</v>
      </c>
      <c r="B220" s="592"/>
      <c r="C220" s="592"/>
      <c r="D220" s="592"/>
      <c r="E220" s="592"/>
      <c r="F220" s="592"/>
      <c r="G220" s="592"/>
      <c r="H220" s="680">
        <f>H193</f>
        <v>-0.2</v>
      </c>
      <c r="I220" s="592" t="s">
        <v>108</v>
      </c>
      <c r="J220" s="592"/>
      <c r="K220" s="592"/>
      <c r="L220" s="592"/>
      <c r="M220" s="592"/>
      <c r="N220" s="592"/>
      <c r="O220" s="592"/>
      <c r="P220" s="621"/>
      <c r="Q220" s="621"/>
      <c r="R220" s="621"/>
      <c r="S220" s="621"/>
      <c r="T220" s="621"/>
      <c r="U220" s="621"/>
      <c r="V220" s="621"/>
      <c r="W220" s="621"/>
      <c r="X220" s="621"/>
      <c r="Y220" s="621"/>
      <c r="Z220" s="621"/>
      <c r="AA220" s="621"/>
      <c r="AB220" s="621"/>
      <c r="AC220" s="621"/>
      <c r="AD220" s="621"/>
      <c r="AE220" s="621"/>
      <c r="AF220" s="621"/>
      <c r="AG220" s="621"/>
      <c r="AI220" s="655"/>
      <c r="AJ220" s="656"/>
      <c r="AK220" s="656"/>
      <c r="AL220" s="656"/>
      <c r="AM220" s="656"/>
      <c r="AN220" s="656"/>
      <c r="AO220" s="656"/>
      <c r="AP220" s="656"/>
      <c r="AQ220" s="656"/>
      <c r="AR220" s="656"/>
      <c r="AS220" s="656"/>
      <c r="AT220" s="656"/>
      <c r="AU220" s="656"/>
      <c r="AV220" s="656"/>
      <c r="AW220" s="656"/>
      <c r="AX220" s="656"/>
      <c r="AY220" s="656"/>
      <c r="AZ220" s="656"/>
      <c r="BA220" s="656"/>
      <c r="BB220" s="656"/>
      <c r="BC220" s="656"/>
      <c r="BD220" s="656"/>
    </row>
    <row r="221" spans="1:56" ht="12.95" customHeight="1">
      <c r="A221" s="587" t="s">
        <v>187</v>
      </c>
      <c r="B221" s="592"/>
      <c r="C221" s="592"/>
      <c r="D221" s="592"/>
      <c r="E221" s="592"/>
      <c r="F221" s="592"/>
      <c r="G221" s="592"/>
      <c r="H221" s="680">
        <f>H194</f>
        <v>0</v>
      </c>
      <c r="I221" s="592" t="s">
        <v>108</v>
      </c>
      <c r="J221" s="592"/>
      <c r="K221" s="592"/>
      <c r="L221" s="592"/>
      <c r="M221" s="592"/>
      <c r="N221" s="592"/>
      <c r="O221" s="592"/>
      <c r="P221" s="621"/>
      <c r="Q221" s="621"/>
      <c r="R221" s="621"/>
      <c r="S221" s="621"/>
      <c r="T221" s="621"/>
      <c r="U221" s="621"/>
      <c r="V221" s="621"/>
      <c r="W221" s="621"/>
      <c r="X221" s="621"/>
      <c r="Y221" s="621"/>
      <c r="Z221" s="621"/>
      <c r="AA221" s="621"/>
      <c r="AB221" s="621"/>
      <c r="AC221" s="621"/>
      <c r="AD221" s="621"/>
      <c r="AE221" s="621"/>
      <c r="AF221" s="621"/>
      <c r="AG221" s="621"/>
      <c r="AI221" s="655"/>
      <c r="AJ221" s="656"/>
      <c r="AK221" s="656"/>
      <c r="AL221" s="656"/>
      <c r="AM221" s="656"/>
      <c r="AN221" s="656"/>
      <c r="AO221" s="656"/>
      <c r="AP221" s="656"/>
      <c r="AQ221" s="656"/>
      <c r="AR221" s="656"/>
      <c r="AS221" s="656"/>
      <c r="AT221" s="656"/>
      <c r="AU221" s="656"/>
      <c r="AV221" s="656"/>
      <c r="AW221" s="656"/>
      <c r="AX221" s="656"/>
      <c r="AY221" s="656"/>
      <c r="AZ221" s="656"/>
      <c r="BA221" s="656"/>
      <c r="BB221" s="656"/>
      <c r="BC221" s="656"/>
      <c r="BD221" s="656"/>
    </row>
    <row r="222" spans="1:56" ht="12.95" customHeight="1">
      <c r="A222" s="587" t="s">
        <v>17</v>
      </c>
      <c r="B222" s="592"/>
      <c r="C222" s="592"/>
      <c r="D222" s="592"/>
      <c r="E222" s="592"/>
      <c r="F222" s="592"/>
      <c r="G222" s="592"/>
      <c r="H222" s="680">
        <f>H195</f>
        <v>-0.04</v>
      </c>
      <c r="I222" s="592" t="s">
        <v>108</v>
      </c>
      <c r="J222" s="592"/>
      <c r="K222" s="592"/>
      <c r="L222" s="592"/>
      <c r="M222" s="592"/>
      <c r="N222" s="592"/>
      <c r="O222" s="592"/>
      <c r="P222" s="621"/>
      <c r="Q222" s="621"/>
      <c r="R222" s="621"/>
      <c r="S222" s="621"/>
      <c r="T222" s="621"/>
      <c r="U222" s="621"/>
      <c r="V222" s="621"/>
      <c r="W222" s="621"/>
      <c r="X222" s="621"/>
      <c r="Y222" s="621"/>
      <c r="Z222" s="621"/>
      <c r="AA222" s="621"/>
      <c r="AB222" s="621"/>
      <c r="AC222" s="621"/>
      <c r="AD222" s="621"/>
      <c r="AE222" s="621"/>
      <c r="AF222" s="621"/>
      <c r="AG222" s="621"/>
      <c r="AI222" s="655"/>
      <c r="AJ222" s="656"/>
      <c r="AK222" s="656"/>
      <c r="AL222" s="656"/>
      <c r="AM222" s="656"/>
      <c r="AN222" s="656"/>
      <c r="AO222" s="656"/>
      <c r="AP222" s="656"/>
      <c r="AQ222" s="656"/>
      <c r="AR222" s="656"/>
      <c r="AS222" s="656"/>
      <c r="AT222" s="656"/>
      <c r="AU222" s="656"/>
      <c r="AV222" s="656"/>
      <c r="AW222" s="656"/>
      <c r="AX222" s="656"/>
      <c r="AY222" s="656"/>
      <c r="AZ222" s="656"/>
      <c r="BA222" s="656"/>
      <c r="BB222" s="656"/>
      <c r="BC222" s="656"/>
      <c r="BD222" s="656"/>
    </row>
    <row r="223" spans="1:56" ht="12.95" customHeight="1">
      <c r="A223" s="587" t="s">
        <v>188</v>
      </c>
      <c r="B223" s="592"/>
      <c r="C223" s="592"/>
      <c r="D223" s="592"/>
      <c r="E223" s="592"/>
      <c r="F223" s="592"/>
      <c r="G223" s="592"/>
      <c r="H223" s="680">
        <f>H196</f>
        <v>0</v>
      </c>
      <c r="I223" s="592" t="s">
        <v>108</v>
      </c>
      <c r="J223" s="592"/>
      <c r="K223" s="592"/>
      <c r="L223" s="592"/>
      <c r="M223" s="592"/>
      <c r="N223" s="592"/>
      <c r="O223" s="592"/>
      <c r="P223" s="621"/>
      <c r="Q223" s="621"/>
      <c r="R223" s="621"/>
      <c r="S223" s="621"/>
      <c r="T223" s="621"/>
      <c r="U223" s="621"/>
      <c r="V223" s="621"/>
      <c r="W223" s="621"/>
      <c r="X223" s="621"/>
      <c r="Y223" s="621"/>
      <c r="Z223" s="621"/>
      <c r="AA223" s="621"/>
      <c r="AB223" s="621"/>
      <c r="AC223" s="621"/>
      <c r="AD223" s="621"/>
      <c r="AE223" s="621"/>
      <c r="AF223" s="621"/>
      <c r="AG223" s="621"/>
      <c r="AI223" s="655"/>
      <c r="AJ223" s="656"/>
      <c r="AK223" s="656"/>
      <c r="AL223" s="656"/>
      <c r="AM223" s="656"/>
      <c r="AN223" s="656"/>
      <c r="AO223" s="656"/>
      <c r="AP223" s="656"/>
      <c r="AQ223" s="656"/>
      <c r="AR223" s="656"/>
      <c r="AS223" s="656"/>
      <c r="AT223" s="656"/>
      <c r="AU223" s="656"/>
      <c r="AV223" s="656"/>
      <c r="AW223" s="656"/>
      <c r="AX223" s="656"/>
      <c r="AY223" s="656"/>
      <c r="AZ223" s="656"/>
      <c r="BA223" s="656"/>
      <c r="BB223" s="656"/>
      <c r="BC223" s="656"/>
      <c r="BD223" s="656"/>
    </row>
    <row r="224" spans="1:56" ht="12.95" customHeight="1">
      <c r="A224" s="587" t="s">
        <v>189</v>
      </c>
      <c r="B224" s="592"/>
      <c r="C224" s="592"/>
      <c r="D224" s="592"/>
      <c r="E224" s="592"/>
      <c r="F224" s="592"/>
      <c r="G224" s="592"/>
      <c r="H224" s="682">
        <f>SUM(H219:H223)</f>
        <v>-1.42</v>
      </c>
      <c r="I224" s="592" t="s">
        <v>108</v>
      </c>
      <c r="J224" s="592"/>
      <c r="K224" s="592"/>
      <c r="L224" s="592"/>
      <c r="M224" s="592"/>
      <c r="N224" s="592"/>
      <c r="O224" s="592"/>
      <c r="P224" s="621"/>
      <c r="Q224" s="621"/>
      <c r="R224" s="621"/>
      <c r="S224" s="621"/>
      <c r="T224" s="621"/>
      <c r="U224" s="621"/>
      <c r="V224" s="621"/>
      <c r="W224" s="621"/>
      <c r="X224" s="621"/>
      <c r="Y224" s="621"/>
      <c r="Z224" s="621"/>
      <c r="AA224" s="621"/>
      <c r="AB224" s="621"/>
      <c r="AC224" s="621"/>
      <c r="AD224" s="621"/>
      <c r="AE224" s="621"/>
      <c r="AF224" s="621"/>
      <c r="AG224" s="621"/>
      <c r="AI224" s="655"/>
      <c r="AJ224" s="656"/>
      <c r="AK224" s="656"/>
      <c r="AL224" s="656"/>
      <c r="AM224" s="656"/>
      <c r="AN224" s="656"/>
      <c r="AO224" s="656"/>
      <c r="AP224" s="656"/>
      <c r="AQ224" s="656"/>
      <c r="AR224" s="656"/>
      <c r="AS224" s="656"/>
      <c r="AT224" s="656"/>
      <c r="AU224" s="656"/>
      <c r="AV224" s="656"/>
      <c r="AW224" s="656"/>
      <c r="AX224" s="656"/>
      <c r="AY224" s="656"/>
      <c r="AZ224" s="656"/>
      <c r="BA224" s="656"/>
      <c r="BB224" s="656"/>
      <c r="BC224" s="656"/>
      <c r="BD224" s="656"/>
    </row>
    <row r="225" spans="1:56" ht="12.95" customHeight="1">
      <c r="A225" s="587"/>
      <c r="B225" s="592"/>
      <c r="C225" s="592"/>
      <c r="D225" s="592"/>
      <c r="E225" s="592"/>
      <c r="F225" s="592"/>
      <c r="G225" s="592"/>
      <c r="H225" s="592"/>
      <c r="I225" s="592"/>
      <c r="J225" s="592"/>
      <c r="K225" s="592"/>
      <c r="L225" s="592"/>
      <c r="M225" s="592"/>
      <c r="N225" s="592"/>
      <c r="O225" s="592"/>
      <c r="P225" s="621"/>
      <c r="Q225" s="621"/>
      <c r="R225" s="621"/>
      <c r="S225" s="621"/>
      <c r="T225" s="621"/>
      <c r="U225" s="621"/>
      <c r="V225" s="621"/>
      <c r="W225" s="621"/>
      <c r="X225" s="621"/>
      <c r="Y225" s="621"/>
      <c r="Z225" s="621"/>
      <c r="AA225" s="621"/>
      <c r="AB225" s="621"/>
      <c r="AC225" s="621"/>
      <c r="AD225" s="621"/>
      <c r="AE225" s="621"/>
      <c r="AF225" s="621"/>
      <c r="AG225" s="621"/>
      <c r="AI225" s="655"/>
      <c r="AJ225" s="656"/>
      <c r="AK225" s="656"/>
      <c r="AL225" s="656"/>
      <c r="AM225" s="656"/>
      <c r="AN225" s="656"/>
      <c r="AO225" s="656"/>
      <c r="AP225" s="656"/>
      <c r="AQ225" s="656"/>
      <c r="AR225" s="656"/>
      <c r="AS225" s="656"/>
      <c r="AT225" s="656"/>
      <c r="AU225" s="656"/>
      <c r="AV225" s="656"/>
      <c r="AW225" s="656"/>
      <c r="AX225" s="656"/>
      <c r="AY225" s="656"/>
      <c r="AZ225" s="656"/>
      <c r="BA225" s="656"/>
      <c r="BB225" s="656"/>
      <c r="BC225" s="656"/>
      <c r="BD225" s="656"/>
    </row>
    <row r="226" spans="1:56" ht="12.95" customHeight="1">
      <c r="A226" s="587" t="s">
        <v>1</v>
      </c>
      <c r="B226" s="592"/>
      <c r="C226" s="592"/>
      <c r="D226" s="592"/>
      <c r="E226" s="592"/>
      <c r="F226" s="592"/>
      <c r="G226" s="592"/>
      <c r="H226" s="680">
        <f>H216+H224</f>
        <v>4.1774896856464849</v>
      </c>
      <c r="I226" s="592" t="s">
        <v>108</v>
      </c>
      <c r="J226" s="592"/>
      <c r="K226" s="592"/>
      <c r="L226" s="592"/>
      <c r="M226" s="592"/>
      <c r="N226" s="592"/>
      <c r="O226" s="592"/>
      <c r="P226" s="621"/>
      <c r="Q226" s="621"/>
      <c r="R226" s="621"/>
      <c r="S226" s="621"/>
      <c r="T226" s="621"/>
      <c r="U226" s="621"/>
      <c r="V226" s="621"/>
      <c r="W226" s="621"/>
      <c r="X226" s="621"/>
      <c r="Y226" s="621"/>
      <c r="Z226" s="621"/>
      <c r="AA226" s="621"/>
      <c r="AB226" s="621"/>
      <c r="AC226" s="621"/>
      <c r="AD226" s="621"/>
      <c r="AE226" s="621"/>
      <c r="AF226" s="621"/>
      <c r="AG226" s="621"/>
      <c r="AI226" s="655"/>
      <c r="AJ226" s="656"/>
      <c r="AK226" s="656"/>
      <c r="AL226" s="656"/>
      <c r="AM226" s="656"/>
      <c r="AN226" s="656"/>
      <c r="AO226" s="656"/>
      <c r="AP226" s="656"/>
      <c r="AQ226" s="656"/>
      <c r="AR226" s="656"/>
      <c r="AS226" s="656"/>
      <c r="AT226" s="656"/>
      <c r="AU226" s="656"/>
      <c r="AV226" s="656"/>
      <c r="AW226" s="656"/>
      <c r="AX226" s="656"/>
      <c r="AY226" s="656"/>
      <c r="AZ226" s="656"/>
      <c r="BA226" s="656"/>
      <c r="BB226" s="656"/>
      <c r="BC226" s="656"/>
      <c r="BD226" s="656"/>
    </row>
    <row r="227" spans="1:56" ht="12.95" customHeight="1">
      <c r="A227" s="587"/>
      <c r="B227" s="592"/>
      <c r="C227" s="592"/>
      <c r="D227" s="592"/>
      <c r="E227" s="592"/>
      <c r="F227" s="592"/>
      <c r="G227" s="592"/>
      <c r="H227" s="592"/>
      <c r="I227" s="592"/>
      <c r="J227" s="592"/>
      <c r="K227" s="592"/>
      <c r="L227" s="592"/>
      <c r="M227" s="592"/>
      <c r="N227" s="592"/>
      <c r="O227" s="592"/>
      <c r="P227" s="621"/>
      <c r="Q227" s="621"/>
      <c r="R227" s="621"/>
      <c r="S227" s="621"/>
      <c r="T227" s="621"/>
      <c r="U227" s="621"/>
      <c r="V227" s="621"/>
      <c r="W227" s="621"/>
      <c r="X227" s="621"/>
      <c r="Y227" s="621"/>
      <c r="Z227" s="621"/>
      <c r="AA227" s="621"/>
      <c r="AB227" s="621"/>
      <c r="AC227" s="621"/>
      <c r="AD227" s="621"/>
      <c r="AE227" s="621"/>
      <c r="AF227" s="621"/>
      <c r="AG227" s="621"/>
      <c r="AI227" s="655"/>
      <c r="AJ227" s="656"/>
      <c r="AK227" s="656"/>
      <c r="AL227" s="656"/>
      <c r="AM227" s="656"/>
      <c r="AN227" s="656"/>
      <c r="AO227" s="656"/>
      <c r="AP227" s="656"/>
      <c r="AQ227" s="656"/>
      <c r="AR227" s="656"/>
      <c r="AS227" s="656"/>
      <c r="AT227" s="656"/>
      <c r="AU227" s="656"/>
      <c r="AV227" s="656"/>
      <c r="AW227" s="656"/>
      <c r="AX227" s="656"/>
      <c r="AY227" s="656"/>
      <c r="AZ227" s="656"/>
      <c r="BA227" s="656"/>
      <c r="BB227" s="656"/>
      <c r="BC227" s="656"/>
      <c r="BD227" s="656"/>
    </row>
    <row r="228" spans="1:56" ht="12.95" customHeight="1">
      <c r="A228" s="587" t="s">
        <v>190</v>
      </c>
      <c r="B228" s="592"/>
      <c r="C228" s="592"/>
      <c r="D228" s="592"/>
      <c r="E228" s="592"/>
      <c r="F228" s="592"/>
      <c r="G228" s="592"/>
      <c r="H228" s="683">
        <f>H201</f>
        <v>46.89</v>
      </c>
      <c r="I228" s="592" t="s">
        <v>108</v>
      </c>
      <c r="J228" s="592"/>
      <c r="K228" s="592"/>
      <c r="L228" s="592"/>
      <c r="M228" s="592"/>
      <c r="N228" s="592"/>
      <c r="O228" s="592"/>
      <c r="P228" s="621"/>
      <c r="Q228" s="621"/>
      <c r="R228" s="621"/>
      <c r="S228" s="621"/>
      <c r="T228" s="621"/>
      <c r="U228" s="621"/>
      <c r="V228" s="621"/>
      <c r="W228" s="621"/>
      <c r="X228" s="621"/>
      <c r="Y228" s="621"/>
      <c r="Z228" s="621"/>
      <c r="AA228" s="621"/>
      <c r="AB228" s="621"/>
      <c r="AC228" s="621"/>
      <c r="AD228" s="621"/>
      <c r="AE228" s="621"/>
      <c r="AF228" s="621"/>
      <c r="AG228" s="621"/>
      <c r="AI228" s="655"/>
      <c r="AJ228" s="656"/>
      <c r="AK228" s="656"/>
      <c r="AL228" s="656"/>
      <c r="AM228" s="656"/>
      <c r="AN228" s="656"/>
      <c r="AO228" s="656"/>
      <c r="AP228" s="656"/>
      <c r="AQ228" s="656"/>
      <c r="AR228" s="656"/>
      <c r="AS228" s="656"/>
      <c r="AT228" s="656"/>
      <c r="AU228" s="656"/>
      <c r="AV228" s="656"/>
      <c r="AW228" s="656"/>
      <c r="AX228" s="656"/>
      <c r="AY228" s="656"/>
      <c r="AZ228" s="656"/>
      <c r="BA228" s="656"/>
      <c r="BB228" s="656"/>
      <c r="BC228" s="656"/>
      <c r="BD228" s="656"/>
    </row>
    <row r="229" spans="1:56" ht="12.95" customHeight="1">
      <c r="A229" s="587"/>
      <c r="B229" s="592"/>
      <c r="C229" s="592"/>
      <c r="D229" s="592"/>
      <c r="E229" s="592"/>
      <c r="F229" s="592"/>
      <c r="G229" s="592"/>
      <c r="H229" s="592"/>
      <c r="I229" s="592"/>
      <c r="J229" s="592"/>
      <c r="K229" s="592"/>
      <c r="L229" s="592"/>
      <c r="M229" s="592"/>
      <c r="N229" s="592"/>
      <c r="O229" s="592"/>
      <c r="P229" s="621"/>
      <c r="Q229" s="621"/>
      <c r="R229" s="621"/>
      <c r="S229" s="621"/>
      <c r="T229" s="621"/>
      <c r="U229" s="621"/>
      <c r="V229" s="621"/>
      <c r="W229" s="621"/>
      <c r="X229" s="621"/>
      <c r="Y229" s="621"/>
      <c r="Z229" s="621"/>
      <c r="AA229" s="621"/>
      <c r="AB229" s="621"/>
      <c r="AC229" s="621"/>
      <c r="AD229" s="621"/>
      <c r="AE229" s="621"/>
      <c r="AF229" s="621"/>
      <c r="AG229" s="621"/>
      <c r="AI229" s="655"/>
      <c r="AJ229" s="656"/>
      <c r="AK229" s="656"/>
      <c r="AL229" s="656"/>
      <c r="AM229" s="656"/>
      <c r="AN229" s="656"/>
      <c r="AO229" s="656"/>
      <c r="AP229" s="656"/>
      <c r="AQ229" s="656"/>
      <c r="AR229" s="656"/>
      <c r="AS229" s="656"/>
      <c r="AT229" s="656"/>
      <c r="AU229" s="656"/>
      <c r="AV229" s="656"/>
      <c r="AW229" s="656"/>
      <c r="AX229" s="656"/>
      <c r="AY229" s="656"/>
      <c r="AZ229" s="656"/>
      <c r="BA229" s="656"/>
      <c r="BB229" s="656"/>
      <c r="BC229" s="656"/>
      <c r="BD229" s="656"/>
    </row>
    <row r="230" spans="1:56" ht="12.95" customHeight="1" thickBot="1">
      <c r="A230" s="587" t="s">
        <v>191</v>
      </c>
      <c r="B230" s="592"/>
      <c r="C230" s="592"/>
      <c r="D230" s="592"/>
      <c r="E230" s="592"/>
      <c r="F230" s="592"/>
      <c r="G230" s="592"/>
      <c r="H230" s="684">
        <f>(H226)/(H228/100)</f>
        <v>8.9091270753817131</v>
      </c>
      <c r="I230" s="592" t="s">
        <v>108</v>
      </c>
      <c r="J230" s="592"/>
      <c r="K230" s="592"/>
      <c r="L230" s="592"/>
      <c r="M230" s="592"/>
      <c r="N230" s="592"/>
      <c r="O230" s="592"/>
      <c r="P230" s="621"/>
      <c r="Q230" s="621"/>
      <c r="R230" s="621"/>
      <c r="S230" s="621"/>
      <c r="T230" s="621"/>
      <c r="U230" s="621"/>
      <c r="V230" s="621"/>
      <c r="W230" s="621"/>
      <c r="X230" s="621"/>
      <c r="Y230" s="621"/>
      <c r="Z230" s="621"/>
      <c r="AA230" s="621"/>
      <c r="AB230" s="621"/>
      <c r="AC230" s="621"/>
      <c r="AD230" s="621"/>
      <c r="AE230" s="621"/>
      <c r="AF230" s="621"/>
      <c r="AG230" s="621"/>
      <c r="AI230" s="655"/>
      <c r="AJ230" s="656"/>
      <c r="AK230" s="656"/>
      <c r="AL230" s="656"/>
      <c r="AM230" s="656"/>
      <c r="AN230" s="656"/>
      <c r="AO230" s="656"/>
      <c r="AP230" s="656"/>
      <c r="AQ230" s="656"/>
      <c r="AR230" s="656"/>
      <c r="AS230" s="656"/>
      <c r="AT230" s="656"/>
      <c r="AU230" s="656"/>
      <c r="AV230" s="656"/>
      <c r="AW230" s="656"/>
      <c r="AX230" s="656"/>
      <c r="AY230" s="656"/>
      <c r="AZ230" s="656"/>
      <c r="BA230" s="656"/>
      <c r="BB230" s="656"/>
      <c r="BC230" s="656"/>
      <c r="BD230" s="656"/>
    </row>
    <row r="231" spans="1:56" ht="13.5" thickTop="1">
      <c r="A231" s="587"/>
      <c r="B231" s="592"/>
      <c r="C231" s="592"/>
      <c r="D231" s="592"/>
      <c r="E231" s="592"/>
      <c r="F231" s="592"/>
      <c r="G231" s="592"/>
      <c r="H231" s="592"/>
      <c r="I231" s="592"/>
      <c r="J231" s="592"/>
      <c r="K231" s="592"/>
      <c r="L231" s="592"/>
      <c r="M231" s="592"/>
      <c r="N231" s="621"/>
      <c r="O231" s="621"/>
      <c r="P231" s="621"/>
      <c r="Q231" s="621"/>
      <c r="R231" s="621"/>
      <c r="S231" s="621"/>
      <c r="T231" s="621"/>
      <c r="U231" s="621"/>
      <c r="V231" s="621"/>
      <c r="W231" s="621"/>
      <c r="X231" s="621"/>
      <c r="Y231" s="621"/>
      <c r="Z231" s="621"/>
      <c r="AA231" s="621"/>
      <c r="AB231" s="621"/>
      <c r="AC231" s="621"/>
      <c r="AD231" s="621"/>
      <c r="AE231" s="621"/>
      <c r="AF231" s="621"/>
      <c r="AG231" s="621"/>
      <c r="AI231" s="655"/>
      <c r="AJ231" s="656"/>
      <c r="AK231" s="656"/>
      <c r="AL231" s="656"/>
      <c r="AM231" s="656"/>
      <c r="AN231" s="656"/>
      <c r="AO231" s="656"/>
      <c r="AP231" s="656"/>
      <c r="AQ231" s="656"/>
      <c r="AR231" s="656"/>
      <c r="AS231" s="656"/>
      <c r="AT231" s="656"/>
      <c r="AU231" s="656"/>
      <c r="AV231" s="656"/>
      <c r="AW231" s="656"/>
      <c r="AX231" s="656"/>
      <c r="AY231" s="656"/>
      <c r="AZ231" s="656"/>
      <c r="BA231" s="656"/>
      <c r="BB231" s="656"/>
      <c r="BC231" s="656"/>
      <c r="BD231" s="656"/>
    </row>
    <row r="232" spans="1:56">
      <c r="A232" s="622"/>
      <c r="B232" s="621"/>
      <c r="C232" s="621"/>
      <c r="D232" s="621"/>
      <c r="E232" s="621"/>
      <c r="F232" s="621"/>
      <c r="G232" s="621"/>
      <c r="H232" s="621"/>
      <c r="I232" s="621"/>
      <c r="J232" s="621"/>
      <c r="K232" s="621"/>
      <c r="L232" s="621"/>
      <c r="M232" s="621"/>
      <c r="N232" s="621"/>
      <c r="O232" s="621"/>
      <c r="P232" s="621"/>
      <c r="Q232" s="621"/>
      <c r="R232" s="621"/>
      <c r="S232" s="621"/>
      <c r="T232" s="621"/>
      <c r="U232" s="621"/>
      <c r="V232" s="621"/>
      <c r="W232" s="621"/>
      <c r="X232" s="621"/>
      <c r="Y232" s="621"/>
      <c r="Z232" s="621"/>
      <c r="AA232" s="621"/>
      <c r="AB232" s="621"/>
      <c r="AC232" s="621"/>
      <c r="AD232" s="621"/>
      <c r="AE232" s="621"/>
      <c r="AF232" s="621"/>
      <c r="AG232" s="621"/>
      <c r="AI232" s="655"/>
      <c r="AJ232" s="656"/>
      <c r="AK232" s="656"/>
      <c r="AL232" s="656"/>
      <c r="AM232" s="656"/>
      <c r="AN232" s="656"/>
      <c r="AO232" s="656"/>
      <c r="AP232" s="656"/>
      <c r="AQ232" s="656"/>
      <c r="AR232" s="656"/>
      <c r="AS232" s="656"/>
      <c r="AT232" s="656"/>
      <c r="AU232" s="656"/>
      <c r="AV232" s="656"/>
      <c r="AW232" s="656"/>
      <c r="AX232" s="656"/>
      <c r="AY232" s="656"/>
      <c r="AZ232" s="656"/>
      <c r="BA232" s="656"/>
      <c r="BB232" s="656"/>
      <c r="BC232" s="656"/>
      <c r="BD232" s="656"/>
    </row>
    <row r="233" spans="1:56">
      <c r="A233" s="622"/>
      <c r="B233" s="621"/>
      <c r="C233" s="621"/>
      <c r="D233" s="621"/>
      <c r="E233" s="621"/>
      <c r="F233" s="621"/>
      <c r="G233" s="621"/>
      <c r="H233" s="621"/>
      <c r="I233" s="621"/>
      <c r="J233" s="621"/>
      <c r="K233" s="621"/>
      <c r="L233" s="621"/>
      <c r="M233" s="621"/>
      <c r="N233" s="621"/>
      <c r="O233" s="621"/>
      <c r="P233" s="621"/>
      <c r="Q233" s="621"/>
      <c r="R233" s="621"/>
      <c r="S233" s="621"/>
      <c r="T233" s="621"/>
      <c r="U233" s="621"/>
      <c r="V233" s="621"/>
      <c r="W233" s="621"/>
      <c r="X233" s="621"/>
      <c r="Y233" s="621"/>
      <c r="Z233" s="621"/>
      <c r="AA233" s="621"/>
      <c r="AB233" s="621"/>
      <c r="AC233" s="621"/>
      <c r="AD233" s="621"/>
      <c r="AE233" s="621"/>
      <c r="AF233" s="621"/>
      <c r="AG233" s="621"/>
      <c r="AI233" s="655"/>
      <c r="AJ233" s="656"/>
      <c r="AK233" s="656"/>
      <c r="AL233" s="656"/>
      <c r="AM233" s="656"/>
      <c r="AN233" s="656"/>
      <c r="AO233" s="656"/>
      <c r="AP233" s="656"/>
      <c r="AQ233" s="656"/>
      <c r="AR233" s="656"/>
      <c r="AS233" s="656"/>
      <c r="AT233" s="656"/>
      <c r="AU233" s="656"/>
      <c r="AV233" s="656"/>
      <c r="AW233" s="656"/>
      <c r="AX233" s="656"/>
      <c r="AY233" s="656"/>
      <c r="AZ233" s="656"/>
      <c r="BA233" s="656"/>
      <c r="BB233" s="656"/>
      <c r="BC233" s="656"/>
      <c r="BD233" s="656"/>
    </row>
    <row r="234" spans="1:56">
      <c r="A234" s="583"/>
      <c r="B234" s="621"/>
      <c r="C234" s="621"/>
      <c r="D234" s="621"/>
      <c r="E234" s="621"/>
      <c r="F234" s="621"/>
      <c r="G234" s="621"/>
      <c r="H234" s="621"/>
      <c r="I234" s="621"/>
      <c r="J234" s="621"/>
      <c r="K234" s="621"/>
      <c r="L234" s="621"/>
      <c r="M234" s="621"/>
      <c r="N234" s="621"/>
      <c r="O234" s="621"/>
      <c r="P234" s="621"/>
      <c r="Q234" s="621"/>
      <c r="R234" s="621"/>
      <c r="S234" s="621"/>
      <c r="T234" s="621"/>
      <c r="U234" s="621"/>
      <c r="V234" s="621"/>
      <c r="W234" s="621"/>
      <c r="X234" s="621"/>
      <c r="Y234" s="621"/>
      <c r="Z234" s="621"/>
      <c r="AA234" s="621"/>
      <c r="AB234" s="621"/>
      <c r="AC234" s="621"/>
      <c r="AD234" s="621"/>
      <c r="AE234" s="621"/>
      <c r="AF234" s="621"/>
      <c r="AG234" s="621"/>
      <c r="AI234" s="655"/>
      <c r="AJ234" s="656"/>
      <c r="AK234" s="656"/>
      <c r="AL234" s="656"/>
      <c r="AM234" s="656"/>
      <c r="AN234" s="656"/>
      <c r="AO234" s="656"/>
      <c r="AP234" s="656"/>
      <c r="AQ234" s="656"/>
      <c r="AR234" s="656"/>
      <c r="AS234" s="656"/>
      <c r="AT234" s="656"/>
      <c r="AU234" s="656"/>
      <c r="AV234" s="656"/>
      <c r="AW234" s="656"/>
      <c r="AX234" s="656"/>
      <c r="AY234" s="656"/>
      <c r="AZ234" s="656"/>
      <c r="BA234" s="656"/>
      <c r="BB234" s="656"/>
      <c r="BC234" s="656"/>
      <c r="BD234" s="656"/>
    </row>
    <row r="235" spans="1:56">
      <c r="AI235" s="655"/>
      <c r="AJ235" s="656"/>
      <c r="AK235" s="656"/>
      <c r="AL235" s="656"/>
      <c r="AM235" s="656"/>
      <c r="AN235" s="656"/>
      <c r="AO235" s="656"/>
      <c r="AP235" s="656"/>
      <c r="AQ235" s="656"/>
      <c r="AR235" s="656"/>
      <c r="AS235" s="656"/>
      <c r="AT235" s="656"/>
      <c r="AU235" s="656"/>
      <c r="AV235" s="656"/>
      <c r="AW235" s="656"/>
      <c r="AX235" s="656"/>
      <c r="AY235" s="656"/>
      <c r="AZ235" s="656"/>
      <c r="BA235" s="656"/>
      <c r="BB235" s="656"/>
      <c r="BC235" s="656"/>
      <c r="BD235" s="656"/>
    </row>
    <row r="236" spans="1:56">
      <c r="AI236" s="655"/>
      <c r="AJ236" s="656"/>
      <c r="AK236" s="656"/>
      <c r="AL236" s="656"/>
      <c r="AM236" s="656"/>
      <c r="AN236" s="656"/>
      <c r="AO236" s="656"/>
      <c r="AP236" s="656"/>
      <c r="AQ236" s="656"/>
      <c r="AR236" s="656"/>
      <c r="AS236" s="656"/>
      <c r="AT236" s="656"/>
      <c r="AU236" s="656"/>
      <c r="AV236" s="656"/>
      <c r="AW236" s="656"/>
      <c r="AX236" s="656"/>
      <c r="AY236" s="656"/>
      <c r="AZ236" s="656"/>
      <c r="BA236" s="656"/>
      <c r="BB236" s="656"/>
      <c r="BC236" s="656"/>
      <c r="BD236" s="656"/>
    </row>
    <row r="237" spans="1:56">
      <c r="AI237" s="655"/>
      <c r="AJ237" s="656"/>
      <c r="AK237" s="656"/>
      <c r="AL237" s="656"/>
      <c r="AM237" s="656"/>
      <c r="AN237" s="656"/>
      <c r="AO237" s="656"/>
      <c r="AP237" s="656"/>
      <c r="AQ237" s="656"/>
      <c r="AR237" s="656"/>
      <c r="AS237" s="656"/>
      <c r="AT237" s="656"/>
      <c r="AU237" s="656"/>
      <c r="AV237" s="656"/>
      <c r="AW237" s="656"/>
      <c r="AX237" s="656"/>
      <c r="AY237" s="656"/>
      <c r="AZ237" s="656"/>
      <c r="BA237" s="656"/>
      <c r="BB237" s="656"/>
      <c r="BC237" s="656"/>
      <c r="BD237" s="656"/>
    </row>
    <row r="238" spans="1:56">
      <c r="A238" s="580" t="s">
        <v>204</v>
      </c>
      <c r="B238" s="674"/>
      <c r="C238" s="674"/>
      <c r="D238" s="674"/>
      <c r="E238" s="674"/>
      <c r="F238" s="674"/>
      <c r="G238" s="674"/>
      <c r="H238" s="674"/>
      <c r="I238" s="613"/>
      <c r="J238" s="582"/>
      <c r="K238" s="674"/>
      <c r="L238" s="676" t="s">
        <v>198</v>
      </c>
      <c r="M238" s="583"/>
      <c r="N238" s="583"/>
      <c r="O238" s="583"/>
      <c r="P238" s="583"/>
      <c r="Q238" s="583"/>
      <c r="R238" s="583"/>
      <c r="S238" s="583"/>
      <c r="T238" s="583"/>
      <c r="U238" s="583"/>
      <c r="V238" s="583"/>
      <c r="W238" s="583"/>
      <c r="X238" s="583"/>
      <c r="Y238" s="583"/>
      <c r="Z238" s="583"/>
      <c r="AA238" s="583"/>
      <c r="AB238" s="583"/>
      <c r="AC238" s="583"/>
      <c r="AD238" s="583"/>
      <c r="AE238" s="583"/>
      <c r="AF238" s="583"/>
      <c r="AG238" s="583"/>
      <c r="AI238" s="655"/>
      <c r="AJ238" s="656"/>
      <c r="AK238" s="656"/>
      <c r="AL238" s="656"/>
      <c r="AM238" s="656"/>
      <c r="AN238" s="656"/>
      <c r="AO238" s="656"/>
      <c r="AP238" s="656"/>
      <c r="AQ238" s="656"/>
      <c r="AR238" s="656"/>
      <c r="AS238" s="656"/>
      <c r="AT238" s="656"/>
      <c r="AU238" s="656"/>
      <c r="AV238" s="656"/>
      <c r="AW238" s="656"/>
      <c r="AX238" s="656"/>
      <c r="AY238" s="656"/>
      <c r="AZ238" s="656"/>
      <c r="BA238" s="656"/>
      <c r="BB238" s="656"/>
      <c r="BC238" s="656"/>
      <c r="BD238" s="656"/>
    </row>
    <row r="239" spans="1:56">
      <c r="A239" s="580" t="s">
        <v>180</v>
      </c>
      <c r="B239" s="674"/>
      <c r="C239" s="674"/>
      <c r="D239" s="674"/>
      <c r="E239" s="674"/>
      <c r="F239" s="674"/>
      <c r="G239" s="674"/>
      <c r="H239" s="674"/>
      <c r="I239" s="674"/>
      <c r="J239" s="674"/>
      <c r="K239" s="674"/>
      <c r="L239" s="615"/>
      <c r="M239" s="615"/>
      <c r="N239" s="583"/>
      <c r="O239" s="583"/>
      <c r="P239" s="583"/>
      <c r="Q239" s="583"/>
      <c r="R239" s="583"/>
      <c r="S239" s="583"/>
      <c r="T239" s="583"/>
      <c r="U239" s="583"/>
      <c r="V239" s="583"/>
      <c r="W239" s="583"/>
      <c r="X239" s="583"/>
      <c r="Y239" s="583"/>
      <c r="Z239" s="583"/>
      <c r="AA239" s="583"/>
      <c r="AB239" s="583"/>
      <c r="AC239" s="583"/>
      <c r="AD239" s="583"/>
      <c r="AE239" s="583"/>
      <c r="AF239" s="583"/>
      <c r="AG239" s="583"/>
      <c r="AI239" s="655"/>
      <c r="AJ239" s="656"/>
      <c r="AK239" s="656"/>
      <c r="AL239" s="656"/>
      <c r="AM239" s="656"/>
      <c r="AN239" s="656"/>
      <c r="AO239" s="656"/>
      <c r="AP239" s="656"/>
      <c r="AQ239" s="656"/>
      <c r="AR239" s="656"/>
      <c r="AS239" s="656"/>
      <c r="AT239" s="656"/>
      <c r="AU239" s="656"/>
      <c r="AV239" s="656"/>
      <c r="AW239" s="656"/>
      <c r="AX239" s="656"/>
      <c r="AY239" s="656"/>
      <c r="AZ239" s="656"/>
      <c r="BA239" s="656"/>
      <c r="BB239" s="656"/>
      <c r="BC239" s="656"/>
      <c r="BD239" s="656"/>
    </row>
    <row r="240" spans="1:56">
      <c r="A240" s="580" t="s">
        <v>199</v>
      </c>
      <c r="B240" s="674"/>
      <c r="C240" s="674"/>
      <c r="D240" s="674"/>
      <c r="E240" s="674"/>
      <c r="F240" s="674"/>
      <c r="G240" s="674"/>
      <c r="H240" s="674"/>
      <c r="I240" s="674"/>
      <c r="J240" s="674"/>
      <c r="K240" s="674"/>
      <c r="L240" s="615"/>
      <c r="M240" s="615"/>
      <c r="N240" s="583"/>
      <c r="O240" s="583"/>
      <c r="P240" s="583"/>
      <c r="Q240" s="583"/>
      <c r="R240" s="583"/>
      <c r="S240" s="583"/>
      <c r="T240" s="583"/>
      <c r="U240" s="583"/>
      <c r="V240" s="583"/>
      <c r="W240" s="583"/>
      <c r="X240" s="583"/>
      <c r="Y240" s="583"/>
      <c r="Z240" s="583"/>
      <c r="AA240" s="583"/>
      <c r="AB240" s="583"/>
      <c r="AC240" s="583"/>
      <c r="AD240" s="583"/>
      <c r="AE240" s="583"/>
      <c r="AF240" s="583"/>
      <c r="AG240" s="583"/>
      <c r="AI240" s="655"/>
      <c r="AJ240" s="656"/>
      <c r="AK240" s="656"/>
      <c r="AL240" s="656"/>
      <c r="AM240" s="656"/>
      <c r="AN240" s="656"/>
      <c r="AO240" s="656"/>
      <c r="AP240" s="656"/>
      <c r="AQ240" s="656"/>
      <c r="AR240" s="656"/>
      <c r="AS240" s="656"/>
      <c r="AT240" s="656"/>
      <c r="AU240" s="656"/>
      <c r="AV240" s="656"/>
      <c r="AW240" s="656"/>
      <c r="AX240" s="656"/>
      <c r="AY240" s="656"/>
      <c r="AZ240" s="656"/>
      <c r="BA240" s="656"/>
      <c r="BB240" s="656"/>
      <c r="BC240" s="656"/>
      <c r="BD240" s="656"/>
    </row>
    <row r="241" spans="1:56">
      <c r="A241" s="614" t="str">
        <f>A3</f>
        <v>December 2022</v>
      </c>
      <c r="B241" s="674"/>
      <c r="C241" s="674"/>
      <c r="D241" s="674"/>
      <c r="E241" s="674"/>
      <c r="F241" s="674"/>
      <c r="G241" s="674"/>
      <c r="H241" s="674"/>
      <c r="I241" s="674"/>
      <c r="J241" s="674"/>
      <c r="K241" s="674"/>
      <c r="L241" s="615"/>
      <c r="M241" s="615"/>
      <c r="N241" s="583"/>
      <c r="O241" s="583"/>
      <c r="P241" s="583"/>
      <c r="Q241" s="583"/>
      <c r="R241" s="583"/>
      <c r="S241" s="583"/>
      <c r="T241" s="583"/>
      <c r="U241" s="583"/>
      <c r="V241" s="583"/>
      <c r="W241" s="583"/>
      <c r="X241" s="583"/>
      <c r="Y241" s="583"/>
      <c r="Z241" s="583"/>
      <c r="AA241" s="583"/>
      <c r="AB241" s="583"/>
      <c r="AC241" s="583"/>
      <c r="AD241" s="583"/>
      <c r="AE241" s="583"/>
      <c r="AF241" s="583"/>
      <c r="AG241" s="583"/>
      <c r="AI241" s="655"/>
      <c r="AJ241" s="656"/>
      <c r="AK241" s="656"/>
      <c r="AL241" s="656"/>
      <c r="AM241" s="656"/>
      <c r="AN241" s="656"/>
      <c r="AO241" s="656"/>
      <c r="AP241" s="656"/>
      <c r="AQ241" s="656"/>
      <c r="AR241" s="656"/>
      <c r="AS241" s="656"/>
      <c r="AT241" s="656"/>
      <c r="AU241" s="656"/>
      <c r="AV241" s="656"/>
      <c r="AW241" s="656"/>
      <c r="AX241" s="656"/>
      <c r="AY241" s="656"/>
      <c r="AZ241" s="656"/>
      <c r="BA241" s="656"/>
      <c r="BB241" s="656"/>
      <c r="BC241" s="656"/>
      <c r="BD241" s="656"/>
    </row>
    <row r="242" spans="1:56">
      <c r="A242" s="583"/>
      <c r="B242" s="621"/>
      <c r="C242" s="621"/>
      <c r="D242" s="621"/>
      <c r="E242" s="621"/>
      <c r="F242" s="621"/>
      <c r="G242" s="621"/>
      <c r="H242" s="621"/>
      <c r="I242" s="621"/>
      <c r="J242" s="621"/>
      <c r="K242" s="621"/>
      <c r="L242" s="583"/>
      <c r="M242" s="583"/>
      <c r="N242" s="583"/>
      <c r="O242" s="583"/>
      <c r="P242" s="583"/>
      <c r="Q242" s="583"/>
      <c r="R242" s="583"/>
      <c r="S242" s="583"/>
      <c r="T242" s="583"/>
      <c r="U242" s="583"/>
      <c r="V242" s="583"/>
      <c r="W242" s="583"/>
      <c r="X242" s="583"/>
      <c r="Y242" s="583"/>
      <c r="Z242" s="583"/>
      <c r="AA242" s="583"/>
      <c r="AB242" s="583"/>
      <c r="AC242" s="583"/>
      <c r="AD242" s="583"/>
      <c r="AE242" s="583"/>
      <c r="AF242" s="583"/>
      <c r="AG242" s="583"/>
      <c r="AI242" s="655"/>
      <c r="AJ242" s="656"/>
      <c r="AK242" s="656"/>
      <c r="AL242" s="656"/>
      <c r="AM242" s="656"/>
      <c r="AN242" s="656"/>
      <c r="AO242" s="656"/>
      <c r="AP242" s="656"/>
      <c r="AQ242" s="656"/>
      <c r="AR242" s="656"/>
      <c r="AS242" s="656"/>
      <c r="AT242" s="656"/>
      <c r="AU242" s="656"/>
      <c r="AV242" s="656"/>
      <c r="AW242" s="656"/>
      <c r="AX242" s="656"/>
      <c r="AY242" s="656"/>
      <c r="AZ242" s="656"/>
      <c r="BA242" s="656"/>
      <c r="BB242" s="656"/>
      <c r="BC242" s="656"/>
      <c r="BD242" s="656"/>
    </row>
    <row r="243" spans="1:56">
      <c r="A243" s="583"/>
      <c r="B243" s="621"/>
      <c r="C243" s="621"/>
      <c r="D243" s="621"/>
      <c r="E243" s="621"/>
      <c r="F243" s="621"/>
      <c r="G243" s="621"/>
      <c r="H243" s="621"/>
      <c r="I243" s="621"/>
      <c r="J243" s="621"/>
      <c r="K243" s="621"/>
      <c r="L243" s="583"/>
      <c r="M243" s="583"/>
      <c r="N243" s="583"/>
      <c r="O243" s="583"/>
      <c r="P243" s="583"/>
      <c r="Q243" s="583"/>
      <c r="R243" s="583"/>
      <c r="S243" s="583"/>
      <c r="T243" s="583"/>
      <c r="U243" s="583"/>
      <c r="V243" s="583"/>
      <c r="W243" s="583"/>
      <c r="X243" s="583"/>
      <c r="Y243" s="583"/>
      <c r="Z243" s="583"/>
      <c r="AA243" s="583"/>
      <c r="AB243" s="583"/>
      <c r="AC243" s="583"/>
      <c r="AD243" s="583"/>
      <c r="AE243" s="583"/>
      <c r="AF243" s="583"/>
      <c r="AG243" s="583"/>
      <c r="AI243" s="655"/>
      <c r="AJ243" s="656"/>
      <c r="AK243" s="656"/>
      <c r="AL243" s="656"/>
      <c r="AM243" s="656"/>
      <c r="AN243" s="656"/>
      <c r="AO243" s="656"/>
      <c r="AP243" s="656"/>
      <c r="AQ243" s="656"/>
      <c r="AR243" s="656"/>
      <c r="AS243" s="656"/>
      <c r="AT243" s="656"/>
      <c r="AU243" s="656"/>
      <c r="AV243" s="656"/>
      <c r="AW243" s="656"/>
      <c r="AX243" s="656"/>
      <c r="AY243" s="656"/>
      <c r="AZ243" s="656"/>
      <c r="BA243" s="656"/>
      <c r="BB243" s="656"/>
      <c r="BC243" s="656"/>
      <c r="BD243" s="656"/>
    </row>
    <row r="244" spans="1:56">
      <c r="A244" s="583"/>
      <c r="B244" s="621"/>
      <c r="C244" s="621"/>
      <c r="D244" s="621"/>
      <c r="E244" s="621"/>
      <c r="F244" s="621"/>
      <c r="G244" s="621"/>
      <c r="H244" s="621"/>
      <c r="I244" s="621"/>
      <c r="J244" s="621"/>
      <c r="K244" s="621"/>
      <c r="L244" s="583"/>
      <c r="M244" s="583"/>
      <c r="N244" s="583"/>
      <c r="O244" s="583"/>
      <c r="P244" s="583"/>
      <c r="Q244" s="583"/>
      <c r="R244" s="583"/>
      <c r="S244" s="583"/>
      <c r="T244" s="583"/>
      <c r="U244" s="583"/>
      <c r="V244" s="583"/>
      <c r="W244" s="583"/>
      <c r="X244" s="583"/>
      <c r="Y244" s="583"/>
      <c r="Z244" s="583"/>
      <c r="AA244" s="583"/>
      <c r="AB244" s="583"/>
      <c r="AC244" s="583"/>
      <c r="AD244" s="583"/>
      <c r="AE244" s="583"/>
      <c r="AF244" s="583"/>
      <c r="AG244" s="583"/>
      <c r="AI244" s="655"/>
      <c r="AJ244" s="656"/>
      <c r="AK244" s="656"/>
      <c r="AL244" s="656"/>
      <c r="AM244" s="656"/>
      <c r="AN244" s="656"/>
      <c r="AO244" s="656"/>
      <c r="AP244" s="656"/>
      <c r="AQ244" s="656"/>
      <c r="AR244" s="656"/>
      <c r="AS244" s="656"/>
      <c r="AT244" s="656"/>
      <c r="AU244" s="656"/>
      <c r="AV244" s="656"/>
      <c r="AW244" s="656"/>
      <c r="AX244" s="656"/>
      <c r="AY244" s="656"/>
      <c r="AZ244" s="656"/>
      <c r="BA244" s="656"/>
      <c r="BB244" s="656"/>
      <c r="BC244" s="656"/>
      <c r="BD244" s="656"/>
    </row>
    <row r="245" spans="1:56">
      <c r="A245" s="583"/>
      <c r="B245" s="621"/>
      <c r="C245" s="621"/>
      <c r="D245" s="621"/>
      <c r="E245" s="621"/>
      <c r="F245" s="621"/>
      <c r="G245" s="621"/>
      <c r="H245" s="621"/>
      <c r="I245" s="621"/>
      <c r="J245" s="621"/>
      <c r="K245" s="621"/>
      <c r="L245" s="583"/>
      <c r="M245" s="583"/>
      <c r="N245" s="583"/>
      <c r="O245" s="583"/>
      <c r="P245" s="583"/>
      <c r="Q245" s="583"/>
      <c r="R245" s="583"/>
      <c r="S245" s="583"/>
      <c r="T245" s="583"/>
      <c r="U245" s="583"/>
      <c r="V245" s="583"/>
      <c r="W245" s="583"/>
      <c r="X245" s="583"/>
      <c r="Y245" s="583"/>
      <c r="Z245" s="583"/>
      <c r="AA245" s="583"/>
      <c r="AB245" s="583"/>
      <c r="AC245" s="583"/>
      <c r="AD245" s="583"/>
      <c r="AE245" s="583"/>
      <c r="AF245" s="583"/>
      <c r="AG245" s="583"/>
      <c r="AI245" s="655"/>
      <c r="AJ245" s="656"/>
      <c r="AK245" s="656"/>
      <c r="AL245" s="656"/>
      <c r="AM245" s="656"/>
      <c r="AN245" s="656"/>
      <c r="AO245" s="656"/>
      <c r="AP245" s="656"/>
      <c r="AQ245" s="656"/>
      <c r="AR245" s="656"/>
      <c r="AS245" s="656"/>
      <c r="AT245" s="656"/>
      <c r="AU245" s="656"/>
      <c r="AV245" s="656"/>
      <c r="AW245" s="656"/>
      <c r="AX245" s="656"/>
      <c r="AY245" s="656"/>
      <c r="AZ245" s="656"/>
      <c r="BA245" s="656"/>
      <c r="BB245" s="656"/>
      <c r="BC245" s="656"/>
      <c r="BD245" s="656"/>
    </row>
    <row r="246" spans="1:56">
      <c r="A246" s="599" t="s">
        <v>200</v>
      </c>
      <c r="B246" s="592"/>
      <c r="C246" s="592"/>
      <c r="D246" s="592"/>
      <c r="E246" s="592"/>
      <c r="F246" s="592"/>
      <c r="G246" s="592"/>
      <c r="H246" s="592"/>
      <c r="I246" s="592"/>
      <c r="J246" s="592"/>
      <c r="K246" s="592"/>
      <c r="L246" s="583"/>
      <c r="M246" s="583"/>
      <c r="N246" s="583"/>
      <c r="O246" s="583"/>
      <c r="P246" s="583"/>
      <c r="Q246" s="583"/>
      <c r="R246" s="583"/>
      <c r="S246" s="583"/>
      <c r="T246" s="583"/>
      <c r="U246" s="583"/>
      <c r="V246" s="583"/>
      <c r="W246" s="583"/>
      <c r="X246" s="583"/>
      <c r="Y246" s="583"/>
      <c r="Z246" s="583"/>
      <c r="AA246" s="583"/>
      <c r="AB246" s="583"/>
      <c r="AC246" s="583"/>
      <c r="AD246" s="583"/>
      <c r="AE246" s="583"/>
      <c r="AF246" s="583"/>
      <c r="AG246" s="583"/>
      <c r="AI246" s="655"/>
      <c r="AJ246" s="656"/>
      <c r="AK246" s="656"/>
      <c r="AL246" s="656"/>
      <c r="AM246" s="656"/>
      <c r="AN246" s="656"/>
      <c r="AO246" s="656"/>
      <c r="AP246" s="656"/>
      <c r="AQ246" s="656"/>
      <c r="AR246" s="656"/>
      <c r="AS246" s="656"/>
      <c r="AT246" s="656"/>
      <c r="AU246" s="656"/>
      <c r="AV246" s="656"/>
      <c r="AW246" s="656"/>
      <c r="AX246" s="656"/>
      <c r="AY246" s="656"/>
      <c r="AZ246" s="656"/>
      <c r="BA246" s="656"/>
      <c r="BB246" s="656"/>
      <c r="BC246" s="656"/>
      <c r="BD246" s="656"/>
    </row>
    <row r="247" spans="1:56">
      <c r="A247" s="599" t="s">
        <v>182</v>
      </c>
      <c r="B247" s="592"/>
      <c r="C247" s="592"/>
      <c r="D247" s="592"/>
      <c r="E247" s="592"/>
      <c r="F247" s="592"/>
      <c r="G247" s="592"/>
      <c r="H247" s="592"/>
      <c r="I247" s="592"/>
      <c r="J247" s="592"/>
      <c r="K247" s="592"/>
      <c r="L247" s="583"/>
      <c r="M247" s="583"/>
      <c r="N247" s="583"/>
      <c r="O247" s="583"/>
      <c r="P247" s="583"/>
      <c r="Q247" s="583"/>
      <c r="R247" s="583"/>
      <c r="S247" s="583"/>
      <c r="T247" s="583"/>
      <c r="U247" s="583"/>
      <c r="V247" s="583"/>
      <c r="W247" s="583"/>
      <c r="X247" s="583"/>
      <c r="Y247" s="583"/>
      <c r="Z247" s="583"/>
      <c r="AA247" s="583"/>
      <c r="AB247" s="583"/>
      <c r="AC247" s="583"/>
      <c r="AD247" s="583"/>
      <c r="AE247" s="583"/>
      <c r="AF247" s="583"/>
      <c r="AG247" s="583"/>
      <c r="AI247" s="655"/>
      <c r="AJ247" s="656"/>
      <c r="AK247" s="656"/>
      <c r="AL247" s="656"/>
      <c r="AM247" s="656"/>
      <c r="AN247" s="656"/>
      <c r="AO247" s="656"/>
      <c r="AP247" s="656"/>
      <c r="AQ247" s="656"/>
      <c r="AR247" s="656"/>
      <c r="AS247" s="656"/>
      <c r="AT247" s="656"/>
      <c r="AU247" s="656"/>
      <c r="AV247" s="656"/>
      <c r="AW247" s="656"/>
      <c r="AX247" s="656"/>
      <c r="AY247" s="656"/>
      <c r="AZ247" s="656"/>
      <c r="BA247" s="656"/>
      <c r="BB247" s="656"/>
      <c r="BC247" s="656"/>
      <c r="BD247" s="656"/>
    </row>
    <row r="248" spans="1:56">
      <c r="A248" s="587"/>
      <c r="B248" s="592"/>
      <c r="C248" s="592"/>
      <c r="D248" s="592"/>
      <c r="E248" s="592"/>
      <c r="F248" s="592"/>
      <c r="G248" s="592"/>
      <c r="H248" s="592"/>
      <c r="I248" s="592"/>
      <c r="J248" s="592"/>
      <c r="K248" s="592"/>
      <c r="L248" s="583"/>
      <c r="M248" s="583"/>
      <c r="N248" s="583"/>
      <c r="O248" s="583"/>
      <c r="P248" s="583"/>
      <c r="Q248" s="583"/>
      <c r="R248" s="583"/>
      <c r="S248" s="583"/>
      <c r="T248" s="583"/>
      <c r="U248" s="583"/>
      <c r="V248" s="583"/>
      <c r="W248" s="583"/>
      <c r="X248" s="583"/>
      <c r="Y248" s="583"/>
      <c r="Z248" s="583"/>
      <c r="AA248" s="583"/>
      <c r="AB248" s="583"/>
      <c r="AC248" s="583"/>
      <c r="AD248" s="583"/>
      <c r="AE248" s="583"/>
      <c r="AF248" s="583"/>
      <c r="AG248" s="583"/>
      <c r="AI248" s="655"/>
      <c r="AJ248" s="656"/>
      <c r="AK248" s="656"/>
      <c r="AL248" s="656"/>
      <c r="AM248" s="656"/>
      <c r="AN248" s="656"/>
      <c r="AO248" s="656"/>
      <c r="AP248" s="656"/>
      <c r="AQ248" s="656"/>
      <c r="AR248" s="656"/>
      <c r="AS248" s="656"/>
      <c r="AT248" s="656"/>
      <c r="AU248" s="656"/>
      <c r="AV248" s="656"/>
      <c r="AW248" s="656"/>
      <c r="AX248" s="656"/>
      <c r="AY248" s="656"/>
      <c r="AZ248" s="656"/>
      <c r="BA248" s="656"/>
      <c r="BB248" s="656"/>
      <c r="BC248" s="656"/>
      <c r="BD248" s="656"/>
    </row>
    <row r="249" spans="1:56">
      <c r="A249" s="587"/>
      <c r="B249" s="592"/>
      <c r="C249" s="592"/>
      <c r="D249" s="592"/>
      <c r="E249" s="592"/>
      <c r="F249" s="592"/>
      <c r="G249" s="592"/>
      <c r="H249" s="592"/>
      <c r="I249" s="592"/>
      <c r="J249" s="592"/>
      <c r="K249" s="592"/>
      <c r="L249" s="583"/>
      <c r="M249" s="583"/>
      <c r="N249" s="583"/>
      <c r="O249" s="583"/>
      <c r="P249" s="583"/>
      <c r="Q249" s="583"/>
      <c r="R249" s="583"/>
      <c r="S249" s="583"/>
      <c r="T249" s="583"/>
      <c r="U249" s="583"/>
      <c r="V249" s="583"/>
      <c r="W249" s="583"/>
      <c r="X249" s="583"/>
      <c r="Y249" s="583"/>
      <c r="Z249" s="583"/>
      <c r="AA249" s="583"/>
      <c r="AB249" s="583"/>
      <c r="AC249" s="583"/>
      <c r="AD249" s="583"/>
      <c r="AE249" s="583"/>
      <c r="AF249" s="583"/>
      <c r="AG249" s="583"/>
      <c r="AI249" s="655"/>
      <c r="AJ249" s="656"/>
      <c r="AK249" s="656"/>
      <c r="AL249" s="656"/>
      <c r="AM249" s="656"/>
      <c r="AN249" s="656"/>
      <c r="AO249" s="656"/>
      <c r="AP249" s="656"/>
      <c r="AQ249" s="656"/>
      <c r="AR249" s="656"/>
      <c r="AS249" s="656"/>
      <c r="AT249" s="656"/>
      <c r="AU249" s="656"/>
      <c r="AV249" s="656"/>
      <c r="AW249" s="656"/>
      <c r="AX249" s="656"/>
      <c r="AY249" s="656"/>
      <c r="AZ249" s="656"/>
      <c r="BA249" s="656"/>
      <c r="BB249" s="656"/>
      <c r="BC249" s="656"/>
      <c r="BD249" s="656"/>
    </row>
    <row r="250" spans="1:56">
      <c r="A250" s="587" t="s">
        <v>201</v>
      </c>
      <c r="B250" s="592"/>
      <c r="C250" s="592"/>
      <c r="D250" s="592"/>
      <c r="E250" s="592"/>
      <c r="F250" s="592"/>
      <c r="G250" s="592"/>
      <c r="H250" s="593">
        <f>ROUND(N16,4)</f>
        <v>5.7572000000000001</v>
      </c>
      <c r="I250" s="592" t="s">
        <v>108</v>
      </c>
      <c r="J250" s="592" t="s">
        <v>184</v>
      </c>
      <c r="K250" s="592"/>
      <c r="L250" s="583"/>
      <c r="M250" s="583"/>
      <c r="N250" s="583"/>
      <c r="O250" s="583"/>
      <c r="P250" s="583"/>
      <c r="Q250" s="583"/>
      <c r="R250" s="583"/>
      <c r="S250" s="583"/>
      <c r="T250" s="583"/>
      <c r="U250" s="583"/>
      <c r="V250" s="583"/>
      <c r="W250" s="583"/>
      <c r="X250" s="583"/>
      <c r="Y250" s="583"/>
      <c r="Z250" s="583"/>
      <c r="AA250" s="583"/>
      <c r="AB250" s="583"/>
      <c r="AC250" s="583"/>
      <c r="AD250" s="583"/>
      <c r="AE250" s="583"/>
      <c r="AF250" s="583"/>
      <c r="AG250" s="583"/>
      <c r="AI250" s="655"/>
      <c r="AJ250" s="656"/>
      <c r="AK250" s="656"/>
      <c r="AL250" s="656"/>
      <c r="AM250" s="656"/>
      <c r="AN250" s="656"/>
      <c r="AO250" s="656"/>
      <c r="AP250" s="656"/>
      <c r="AQ250" s="656"/>
      <c r="AR250" s="656"/>
      <c r="AS250" s="656"/>
      <c r="AT250" s="656"/>
      <c r="AU250" s="656"/>
      <c r="AV250" s="656"/>
      <c r="AW250" s="656"/>
      <c r="AX250" s="656"/>
      <c r="AY250" s="656"/>
      <c r="AZ250" s="656"/>
      <c r="BA250" s="656"/>
      <c r="BB250" s="656"/>
      <c r="BC250" s="656"/>
      <c r="BD250" s="656"/>
    </row>
    <row r="251" spans="1:56">
      <c r="A251" s="587" t="s">
        <v>185</v>
      </c>
      <c r="B251" s="592"/>
      <c r="C251" s="592"/>
      <c r="D251" s="592"/>
      <c r="E251" s="592"/>
      <c r="F251" s="592"/>
      <c r="G251" s="592"/>
      <c r="H251" s="592"/>
      <c r="I251" s="592"/>
      <c r="J251" s="592"/>
      <c r="K251" s="592"/>
      <c r="L251" s="583"/>
      <c r="M251" s="583"/>
      <c r="N251" s="583"/>
      <c r="O251" s="583"/>
      <c r="P251" s="583"/>
      <c r="Q251" s="583"/>
      <c r="R251" s="583"/>
      <c r="S251" s="583"/>
      <c r="T251" s="583"/>
      <c r="U251" s="583"/>
      <c r="V251" s="583"/>
      <c r="W251" s="583"/>
      <c r="X251" s="583"/>
      <c r="Y251" s="583"/>
      <c r="Z251" s="583"/>
      <c r="AA251" s="583"/>
      <c r="AB251" s="583"/>
      <c r="AC251" s="583"/>
      <c r="AD251" s="583"/>
      <c r="AE251" s="583"/>
      <c r="AF251" s="583"/>
      <c r="AG251" s="583"/>
      <c r="AI251" s="655"/>
      <c r="AJ251" s="656"/>
      <c r="AK251" s="656"/>
      <c r="AL251" s="656"/>
      <c r="AM251" s="656"/>
      <c r="AN251" s="656"/>
      <c r="AO251" s="656"/>
      <c r="AP251" s="656"/>
      <c r="AQ251" s="656"/>
      <c r="AR251" s="656"/>
      <c r="AS251" s="656"/>
      <c r="AT251" s="656"/>
      <c r="AU251" s="656"/>
      <c r="AV251" s="656"/>
      <c r="AW251" s="656"/>
      <c r="AX251" s="656"/>
      <c r="AY251" s="656"/>
      <c r="AZ251" s="656"/>
      <c r="BA251" s="656"/>
      <c r="BB251" s="656"/>
      <c r="BC251" s="656"/>
      <c r="BD251" s="656"/>
    </row>
    <row r="252" spans="1:56">
      <c r="A252" s="587" t="s">
        <v>186</v>
      </c>
      <c r="B252" s="592"/>
      <c r="C252" s="592"/>
      <c r="D252" s="592"/>
      <c r="E252" s="592"/>
      <c r="F252" s="592"/>
      <c r="G252" s="592"/>
      <c r="H252" s="592"/>
      <c r="I252" s="592"/>
      <c r="J252" s="592"/>
      <c r="K252" s="592"/>
      <c r="L252" s="583"/>
      <c r="M252" s="583"/>
      <c r="N252" s="583"/>
      <c r="O252" s="583"/>
      <c r="P252" s="583"/>
      <c r="Q252" s="583"/>
      <c r="R252" s="583"/>
      <c r="S252" s="583"/>
      <c r="T252" s="583"/>
      <c r="U252" s="583"/>
      <c r="V252" s="583"/>
      <c r="W252" s="583"/>
      <c r="X252" s="583"/>
      <c r="Y252" s="583"/>
      <c r="Z252" s="583"/>
      <c r="AA252" s="583"/>
      <c r="AB252" s="583"/>
      <c r="AC252" s="583"/>
      <c r="AD252" s="583"/>
      <c r="AE252" s="583"/>
      <c r="AF252" s="583"/>
      <c r="AG252" s="583"/>
      <c r="AI252" s="655"/>
      <c r="AJ252" s="656"/>
      <c r="AK252" s="656"/>
      <c r="AL252" s="656"/>
      <c r="AM252" s="656"/>
      <c r="AN252" s="656"/>
      <c r="AO252" s="656"/>
      <c r="AP252" s="656"/>
      <c r="AQ252" s="656"/>
      <c r="AR252" s="656"/>
      <c r="AS252" s="656"/>
      <c r="AT252" s="656"/>
      <c r="AU252" s="656"/>
      <c r="AV252" s="656"/>
      <c r="AW252" s="656"/>
      <c r="AX252" s="656"/>
      <c r="AY252" s="656"/>
      <c r="AZ252" s="656"/>
      <c r="BA252" s="656"/>
      <c r="BB252" s="656"/>
      <c r="BC252" s="656"/>
      <c r="BD252" s="656"/>
    </row>
    <row r="253" spans="1:56">
      <c r="A253" s="587" t="s">
        <v>174</v>
      </c>
      <c r="B253" s="592"/>
      <c r="C253" s="592"/>
      <c r="D253" s="592"/>
      <c r="E253" s="592"/>
      <c r="F253" s="592"/>
      <c r="G253" s="592"/>
      <c r="H253" s="680">
        <f>-R160</f>
        <v>-1.18</v>
      </c>
      <c r="I253" s="592" t="s">
        <v>108</v>
      </c>
      <c r="J253" s="592"/>
      <c r="K253" s="592"/>
      <c r="L253" s="583"/>
      <c r="M253" s="583"/>
      <c r="N253" s="583"/>
      <c r="O253" s="583"/>
      <c r="P253" s="583"/>
      <c r="Q253" s="583"/>
      <c r="R253" s="583"/>
      <c r="S253" s="583"/>
      <c r="T253" s="583"/>
      <c r="U253" s="583"/>
      <c r="V253" s="583"/>
      <c r="W253" s="583"/>
      <c r="X253" s="583"/>
      <c r="Y253" s="583"/>
      <c r="Z253" s="583"/>
      <c r="AA253" s="583"/>
      <c r="AB253" s="583"/>
      <c r="AC253" s="583"/>
      <c r="AD253" s="583"/>
      <c r="AE253" s="583"/>
      <c r="AF253" s="583"/>
      <c r="AG253" s="583"/>
      <c r="AI253" s="655"/>
      <c r="AJ253" s="656"/>
      <c r="AK253" s="656"/>
      <c r="AL253" s="656"/>
      <c r="AM253" s="656"/>
      <c r="AN253" s="656"/>
      <c r="AO253" s="656"/>
      <c r="AP253" s="656"/>
      <c r="AQ253" s="656"/>
      <c r="AR253" s="656"/>
      <c r="AS253" s="656"/>
      <c r="AT253" s="656"/>
      <c r="AU253" s="656"/>
      <c r="AV253" s="656"/>
      <c r="AW253" s="656"/>
      <c r="AX253" s="656"/>
      <c r="AY253" s="656"/>
      <c r="AZ253" s="656"/>
      <c r="BA253" s="656"/>
      <c r="BB253" s="656"/>
      <c r="BC253" s="656"/>
      <c r="BD253" s="656"/>
    </row>
    <row r="254" spans="1:56">
      <c r="A254" s="587" t="s">
        <v>175</v>
      </c>
      <c r="B254" s="592"/>
      <c r="C254" s="592"/>
      <c r="D254" s="592"/>
      <c r="E254" s="592"/>
      <c r="F254" s="592"/>
      <c r="G254" s="592"/>
      <c r="H254" s="680">
        <f>-R162</f>
        <v>-0.2</v>
      </c>
      <c r="I254" s="592" t="s">
        <v>108</v>
      </c>
      <c r="J254" s="592"/>
      <c r="K254" s="592"/>
      <c r="L254" s="583"/>
      <c r="M254" s="583"/>
      <c r="N254" s="583"/>
      <c r="O254" s="583"/>
      <c r="P254" s="583"/>
      <c r="Q254" s="583"/>
      <c r="R254" s="583"/>
      <c r="S254" s="583"/>
      <c r="T254" s="583"/>
      <c r="U254" s="583"/>
      <c r="V254" s="583"/>
      <c r="W254" s="583"/>
      <c r="X254" s="583"/>
      <c r="Y254" s="583"/>
      <c r="Z254" s="583"/>
      <c r="AA254" s="583"/>
      <c r="AB254" s="583"/>
      <c r="AC254" s="583"/>
      <c r="AD254" s="583"/>
      <c r="AE254" s="583"/>
      <c r="AF254" s="583"/>
      <c r="AG254" s="583"/>
      <c r="AI254" s="655"/>
      <c r="AJ254" s="656"/>
      <c r="AK254" s="656"/>
      <c r="AL254" s="656"/>
      <c r="AM254" s="656"/>
      <c r="AN254" s="656"/>
      <c r="AO254" s="656"/>
      <c r="AP254" s="656"/>
      <c r="AQ254" s="656"/>
      <c r="AR254" s="656"/>
      <c r="AS254" s="656"/>
      <c r="AT254" s="656"/>
      <c r="AU254" s="656"/>
      <c r="AV254" s="656"/>
      <c r="AW254" s="656"/>
      <c r="AX254" s="656"/>
      <c r="AY254" s="656"/>
      <c r="AZ254" s="656"/>
      <c r="BA254" s="656"/>
      <c r="BB254" s="656"/>
      <c r="BC254" s="656"/>
      <c r="BD254" s="656"/>
    </row>
    <row r="255" spans="1:56">
      <c r="A255" s="587" t="s">
        <v>187</v>
      </c>
      <c r="B255" s="592"/>
      <c r="C255" s="592"/>
      <c r="D255" s="592"/>
      <c r="E255" s="592"/>
      <c r="F255" s="592"/>
      <c r="G255" s="592"/>
      <c r="H255" s="681">
        <v>0</v>
      </c>
      <c r="I255" s="592" t="s">
        <v>108</v>
      </c>
      <c r="J255" s="592"/>
      <c r="K255" s="592"/>
      <c r="L255" s="583"/>
      <c r="M255" s="583"/>
      <c r="N255" s="583"/>
      <c r="O255" s="583"/>
      <c r="P255" s="583"/>
      <c r="Q255" s="583"/>
      <c r="R255" s="583"/>
      <c r="S255" s="583"/>
      <c r="T255" s="583"/>
      <c r="U255" s="583"/>
      <c r="V255" s="583"/>
      <c r="W255" s="583"/>
      <c r="X255" s="583"/>
      <c r="Y255" s="583"/>
      <c r="Z255" s="583"/>
      <c r="AA255" s="583"/>
      <c r="AB255" s="583"/>
      <c r="AC255" s="583"/>
      <c r="AD255" s="583"/>
      <c r="AE255" s="583"/>
      <c r="AF255" s="583"/>
      <c r="AG255" s="583"/>
      <c r="AI255" s="655"/>
      <c r="AJ255" s="656"/>
      <c r="AK255" s="656"/>
      <c r="AL255" s="656"/>
      <c r="AM255" s="656"/>
      <c r="AN255" s="656"/>
      <c r="AO255" s="656"/>
      <c r="AP255" s="656"/>
      <c r="AQ255" s="656"/>
      <c r="AR255" s="656"/>
      <c r="AS255" s="656"/>
      <c r="AT255" s="656"/>
      <c r="AU255" s="656"/>
      <c r="AV255" s="656"/>
      <c r="AW255" s="656"/>
      <c r="AX255" s="656"/>
      <c r="AY255" s="656"/>
      <c r="AZ255" s="656"/>
      <c r="BA255" s="656"/>
      <c r="BB255" s="656"/>
      <c r="BC255" s="656"/>
      <c r="BD255" s="656"/>
    </row>
    <row r="256" spans="1:56">
      <c r="A256" s="587" t="s">
        <v>17</v>
      </c>
      <c r="B256" s="592"/>
      <c r="C256" s="592"/>
      <c r="D256" s="592"/>
      <c r="E256" s="592"/>
      <c r="F256" s="592"/>
      <c r="G256" s="592"/>
      <c r="H256" s="680">
        <f>ROUND(-R164,4)</f>
        <v>-0.04</v>
      </c>
      <c r="I256" s="592" t="s">
        <v>108</v>
      </c>
      <c r="J256" s="592"/>
      <c r="K256" s="592"/>
      <c r="L256" s="583"/>
      <c r="M256" s="583"/>
      <c r="N256" s="583"/>
      <c r="O256" s="583"/>
      <c r="P256" s="583"/>
      <c r="Q256" s="583"/>
      <c r="R256" s="583"/>
      <c r="S256" s="583"/>
      <c r="T256" s="583"/>
      <c r="U256" s="583"/>
      <c r="V256" s="583"/>
      <c r="W256" s="583"/>
      <c r="X256" s="583"/>
      <c r="Y256" s="583"/>
      <c r="Z256" s="583"/>
      <c r="AA256" s="583"/>
      <c r="AB256" s="583"/>
      <c r="AC256" s="583"/>
      <c r="AD256" s="583"/>
      <c r="AE256" s="583"/>
      <c r="AF256" s="583"/>
      <c r="AG256" s="583"/>
      <c r="AI256" s="655"/>
      <c r="AJ256" s="656"/>
      <c r="AK256" s="656"/>
      <c r="AL256" s="656"/>
      <c r="AM256" s="656"/>
      <c r="AN256" s="656"/>
      <c r="AO256" s="656"/>
      <c r="AP256" s="656"/>
      <c r="AQ256" s="656"/>
      <c r="AR256" s="656"/>
      <c r="AS256" s="656"/>
      <c r="AT256" s="656"/>
      <c r="AU256" s="656"/>
      <c r="AV256" s="656"/>
      <c r="AW256" s="656"/>
      <c r="AX256" s="656"/>
      <c r="AY256" s="656"/>
      <c r="AZ256" s="656"/>
      <c r="BA256" s="656"/>
      <c r="BB256" s="656"/>
      <c r="BC256" s="656"/>
      <c r="BD256" s="656"/>
    </row>
    <row r="257" spans="1:56">
      <c r="A257" s="587" t="s">
        <v>188</v>
      </c>
      <c r="B257" s="592"/>
      <c r="C257" s="592"/>
      <c r="D257" s="592"/>
      <c r="E257" s="592"/>
      <c r="F257" s="592"/>
      <c r="G257" s="592"/>
      <c r="H257" s="681">
        <v>0</v>
      </c>
      <c r="I257" s="592" t="s">
        <v>108</v>
      </c>
      <c r="J257" s="592"/>
      <c r="K257" s="592"/>
      <c r="L257" s="583"/>
      <c r="M257" s="583"/>
      <c r="N257" s="583"/>
      <c r="O257" s="583"/>
      <c r="P257" s="583"/>
      <c r="Q257" s="583"/>
      <c r="R257" s="583"/>
      <c r="S257" s="583"/>
      <c r="T257" s="583"/>
      <c r="U257" s="583"/>
      <c r="V257" s="583"/>
      <c r="W257" s="583"/>
      <c r="X257" s="583"/>
      <c r="Y257" s="583"/>
      <c r="Z257" s="583"/>
      <c r="AA257" s="583"/>
      <c r="AB257" s="583"/>
      <c r="AC257" s="583"/>
      <c r="AD257" s="583"/>
      <c r="AE257" s="583"/>
      <c r="AF257" s="583"/>
      <c r="AG257" s="583"/>
      <c r="AI257" s="655"/>
      <c r="AJ257" s="656"/>
      <c r="AK257" s="656"/>
      <c r="AL257" s="656"/>
      <c r="AM257" s="656"/>
      <c r="AN257" s="656"/>
      <c r="AO257" s="656"/>
      <c r="AP257" s="656"/>
      <c r="AQ257" s="656"/>
      <c r="AR257" s="656"/>
      <c r="AS257" s="656"/>
      <c r="AT257" s="656"/>
      <c r="AU257" s="656"/>
      <c r="AV257" s="656"/>
      <c r="AW257" s="656"/>
      <c r="AX257" s="656"/>
      <c r="AY257" s="656"/>
      <c r="AZ257" s="656"/>
      <c r="BA257" s="656"/>
      <c r="BB257" s="656"/>
      <c r="BC257" s="656"/>
      <c r="BD257" s="656"/>
    </row>
    <row r="258" spans="1:56">
      <c r="A258" s="587" t="s">
        <v>189</v>
      </c>
      <c r="B258" s="592"/>
      <c r="C258" s="592"/>
      <c r="D258" s="592"/>
      <c r="E258" s="592"/>
      <c r="F258" s="592"/>
      <c r="G258" s="592"/>
      <c r="H258" s="682">
        <f>ROUND(SUM(H253:H257),4)</f>
        <v>-1.42</v>
      </c>
      <c r="I258" s="592" t="s">
        <v>108</v>
      </c>
      <c r="J258" s="592"/>
      <c r="K258" s="592"/>
      <c r="L258" s="583"/>
      <c r="M258" s="583"/>
      <c r="N258" s="583"/>
      <c r="O258" s="583"/>
      <c r="P258" s="583"/>
      <c r="Q258" s="583"/>
      <c r="R258" s="583"/>
      <c r="S258" s="583"/>
      <c r="T258" s="583"/>
      <c r="U258" s="583"/>
      <c r="V258" s="583"/>
      <c r="W258" s="583"/>
      <c r="X258" s="583"/>
      <c r="Y258" s="583"/>
      <c r="Z258" s="583"/>
      <c r="AA258" s="583"/>
      <c r="AB258" s="583"/>
      <c r="AC258" s="583"/>
      <c r="AD258" s="583"/>
      <c r="AE258" s="583"/>
      <c r="AF258" s="583"/>
      <c r="AG258" s="583"/>
      <c r="AI258" s="655"/>
      <c r="AJ258" s="656"/>
      <c r="AK258" s="656"/>
      <c r="AL258" s="656"/>
      <c r="AM258" s="656"/>
      <c r="AN258" s="656"/>
      <c r="AO258" s="656"/>
      <c r="AP258" s="656"/>
      <c r="AQ258" s="656"/>
      <c r="AR258" s="656"/>
      <c r="AS258" s="656"/>
      <c r="AT258" s="656"/>
      <c r="AU258" s="656"/>
      <c r="AV258" s="656"/>
      <c r="AW258" s="656"/>
      <c r="AX258" s="656"/>
      <c r="AY258" s="656"/>
      <c r="AZ258" s="656"/>
      <c r="BA258" s="656"/>
      <c r="BB258" s="656"/>
      <c r="BC258" s="656"/>
      <c r="BD258" s="656"/>
    </row>
    <row r="259" spans="1:56">
      <c r="A259" s="587"/>
      <c r="B259" s="592"/>
      <c r="C259" s="592"/>
      <c r="D259" s="592"/>
      <c r="E259" s="592"/>
      <c r="F259" s="592"/>
      <c r="G259" s="592"/>
      <c r="H259" s="592"/>
      <c r="I259" s="592"/>
      <c r="J259" s="592"/>
      <c r="K259" s="592"/>
      <c r="L259" s="583"/>
      <c r="M259" s="583"/>
      <c r="N259" s="583"/>
      <c r="O259" s="583"/>
      <c r="P259" s="583"/>
      <c r="Q259" s="583"/>
      <c r="R259" s="583"/>
      <c r="S259" s="583"/>
      <c r="T259" s="583"/>
      <c r="U259" s="583"/>
      <c r="V259" s="583"/>
      <c r="W259" s="583"/>
      <c r="X259" s="583"/>
      <c r="Y259" s="583"/>
      <c r="Z259" s="583"/>
      <c r="AA259" s="583"/>
      <c r="AB259" s="583"/>
      <c r="AC259" s="583"/>
      <c r="AD259" s="583"/>
      <c r="AE259" s="583"/>
      <c r="AF259" s="583"/>
      <c r="AG259" s="583"/>
      <c r="AI259" s="655"/>
      <c r="AJ259" s="656"/>
      <c r="AK259" s="656"/>
      <c r="AL259" s="656"/>
      <c r="AM259" s="656"/>
      <c r="AN259" s="656"/>
      <c r="AO259" s="656"/>
      <c r="AP259" s="656"/>
      <c r="AQ259" s="656"/>
      <c r="AR259" s="656"/>
      <c r="AS259" s="656"/>
      <c r="AT259" s="656"/>
      <c r="AU259" s="656"/>
      <c r="AV259" s="656"/>
      <c r="AW259" s="656"/>
      <c r="AX259" s="656"/>
      <c r="AY259" s="656"/>
      <c r="AZ259" s="656"/>
      <c r="BA259" s="656"/>
      <c r="BB259" s="656"/>
      <c r="BC259" s="656"/>
      <c r="BD259" s="656"/>
    </row>
    <row r="260" spans="1:56">
      <c r="A260" s="587" t="s">
        <v>1</v>
      </c>
      <c r="B260" s="592"/>
      <c r="C260" s="592"/>
      <c r="D260" s="592"/>
      <c r="E260" s="592"/>
      <c r="F260" s="592"/>
      <c r="G260" s="592"/>
      <c r="H260" s="680">
        <f>ROUND(H250+H258,4)</f>
        <v>4.3372000000000002</v>
      </c>
      <c r="I260" s="592" t="s">
        <v>108</v>
      </c>
      <c r="J260" s="592"/>
      <c r="K260" s="592"/>
      <c r="L260" s="583"/>
      <c r="M260" s="583"/>
      <c r="N260" s="583"/>
      <c r="O260" s="583"/>
      <c r="P260" s="583"/>
      <c r="Q260" s="583"/>
      <c r="R260" s="583"/>
      <c r="S260" s="583"/>
      <c r="T260" s="583"/>
      <c r="U260" s="583"/>
      <c r="V260" s="583"/>
      <c r="W260" s="583"/>
      <c r="X260" s="583"/>
      <c r="Y260" s="583"/>
      <c r="Z260" s="583"/>
      <c r="AA260" s="583"/>
      <c r="AB260" s="583"/>
      <c r="AC260" s="583"/>
      <c r="AD260" s="583"/>
      <c r="AE260" s="583"/>
      <c r="AF260" s="583"/>
      <c r="AG260" s="583"/>
      <c r="AI260" s="655"/>
      <c r="AJ260" s="656"/>
      <c r="AK260" s="656"/>
      <c r="AL260" s="656"/>
      <c r="AM260" s="656"/>
      <c r="AN260" s="656"/>
      <c r="AO260" s="656"/>
      <c r="AP260" s="656"/>
      <c r="AQ260" s="656"/>
      <c r="AR260" s="656"/>
      <c r="AS260" s="656"/>
      <c r="AT260" s="656"/>
      <c r="AU260" s="656"/>
      <c r="AV260" s="656"/>
      <c r="AW260" s="656"/>
      <c r="AX260" s="656"/>
      <c r="AY260" s="656"/>
      <c r="AZ260" s="656"/>
      <c r="BA260" s="656"/>
      <c r="BB260" s="656"/>
      <c r="BC260" s="656"/>
      <c r="BD260" s="656"/>
    </row>
    <row r="261" spans="1:56">
      <c r="A261" s="587"/>
      <c r="B261" s="592"/>
      <c r="C261" s="592"/>
      <c r="D261" s="592"/>
      <c r="E261" s="592"/>
      <c r="F261" s="592"/>
      <c r="G261" s="592"/>
      <c r="H261" s="592"/>
      <c r="I261" s="592"/>
      <c r="J261" s="592"/>
      <c r="K261" s="592"/>
      <c r="L261" s="583"/>
      <c r="M261" s="583"/>
      <c r="N261" s="583"/>
      <c r="O261" s="583"/>
      <c r="P261" s="583"/>
      <c r="Q261" s="583"/>
      <c r="R261" s="583"/>
      <c r="S261" s="583"/>
      <c r="T261" s="583"/>
      <c r="U261" s="583"/>
      <c r="V261" s="583"/>
      <c r="W261" s="583"/>
      <c r="X261" s="583"/>
      <c r="Y261" s="583"/>
      <c r="Z261" s="583"/>
      <c r="AA261" s="583"/>
      <c r="AB261" s="583"/>
      <c r="AC261" s="583"/>
      <c r="AD261" s="583"/>
      <c r="AE261" s="583"/>
      <c r="AF261" s="583"/>
      <c r="AG261" s="583"/>
      <c r="AI261" s="655"/>
      <c r="AJ261" s="656"/>
      <c r="AK261" s="656"/>
      <c r="AL261" s="656"/>
      <c r="AM261" s="656"/>
      <c r="AN261" s="656"/>
      <c r="AO261" s="656"/>
      <c r="AP261" s="656"/>
      <c r="AQ261" s="656"/>
      <c r="AR261" s="656"/>
      <c r="AS261" s="656"/>
      <c r="AT261" s="656"/>
      <c r="AU261" s="656"/>
      <c r="AV261" s="656"/>
      <c r="AW261" s="656"/>
      <c r="AX261" s="656"/>
      <c r="AY261" s="656"/>
      <c r="AZ261" s="656"/>
      <c r="BA261" s="656"/>
      <c r="BB261" s="656"/>
      <c r="BC261" s="656"/>
      <c r="BD261" s="656"/>
    </row>
    <row r="262" spans="1:56">
      <c r="A262" s="587" t="s">
        <v>190</v>
      </c>
      <c r="B262" s="592"/>
      <c r="C262" s="592"/>
      <c r="D262" s="592"/>
      <c r="E262" s="592"/>
      <c r="F262" s="592"/>
      <c r="G262" s="592"/>
      <c r="H262" s="683">
        <f>ROUND(J166*100,4)</f>
        <v>46.89</v>
      </c>
      <c r="I262" s="592" t="s">
        <v>108</v>
      </c>
      <c r="J262" s="592"/>
      <c r="K262" s="592"/>
      <c r="L262" s="583"/>
      <c r="M262" s="583"/>
      <c r="N262" s="583"/>
      <c r="O262" s="583"/>
      <c r="P262" s="583"/>
      <c r="Q262" s="583"/>
      <c r="R262" s="583"/>
      <c r="S262" s="583"/>
      <c r="T262" s="583"/>
      <c r="U262" s="583"/>
      <c r="V262" s="583"/>
      <c r="W262" s="583"/>
      <c r="X262" s="583"/>
      <c r="Y262" s="583"/>
      <c r="Z262" s="583"/>
      <c r="AA262" s="583"/>
      <c r="AB262" s="583"/>
      <c r="AC262" s="583"/>
      <c r="AD262" s="583"/>
      <c r="AE262" s="583"/>
      <c r="AF262" s="583"/>
      <c r="AG262" s="583"/>
      <c r="AI262" s="655"/>
      <c r="AJ262" s="656"/>
      <c r="AK262" s="656"/>
      <c r="AL262" s="656"/>
      <c r="AM262" s="656"/>
      <c r="AN262" s="656"/>
      <c r="AO262" s="656"/>
      <c r="AP262" s="656"/>
      <c r="AQ262" s="656"/>
      <c r="AR262" s="656"/>
      <c r="AS262" s="656"/>
      <c r="AT262" s="656"/>
      <c r="AU262" s="656"/>
      <c r="AV262" s="656"/>
      <c r="AW262" s="656"/>
      <c r="AX262" s="656"/>
      <c r="AY262" s="656"/>
      <c r="AZ262" s="656"/>
      <c r="BA262" s="656"/>
      <c r="BB262" s="656"/>
      <c r="BC262" s="656"/>
      <c r="BD262" s="656"/>
    </row>
    <row r="263" spans="1:56">
      <c r="A263" s="587"/>
      <c r="B263" s="592"/>
      <c r="C263" s="592"/>
      <c r="D263" s="592"/>
      <c r="E263" s="592"/>
      <c r="F263" s="592"/>
      <c r="G263" s="592"/>
      <c r="H263" s="592"/>
      <c r="I263" s="592"/>
      <c r="J263" s="592"/>
      <c r="K263" s="592"/>
      <c r="L263" s="583"/>
      <c r="M263" s="583"/>
      <c r="N263" s="583"/>
      <c r="O263" s="583"/>
      <c r="P263" s="583"/>
      <c r="Q263" s="583"/>
      <c r="R263" s="583"/>
      <c r="S263" s="583"/>
      <c r="T263" s="583"/>
      <c r="U263" s="583"/>
      <c r="V263" s="583"/>
      <c r="W263" s="583"/>
      <c r="X263" s="583"/>
      <c r="Y263" s="583"/>
      <c r="Z263" s="583"/>
      <c r="AA263" s="583"/>
      <c r="AB263" s="583"/>
      <c r="AC263" s="583"/>
      <c r="AD263" s="583"/>
      <c r="AE263" s="583"/>
      <c r="AF263" s="583"/>
      <c r="AG263" s="583"/>
      <c r="AI263" s="655"/>
      <c r="AJ263" s="656"/>
      <c r="AK263" s="656"/>
      <c r="AL263" s="656"/>
      <c r="AM263" s="656"/>
      <c r="AN263" s="656"/>
      <c r="AO263" s="656"/>
      <c r="AP263" s="656"/>
      <c r="AQ263" s="656"/>
      <c r="AR263" s="656"/>
      <c r="AS263" s="656"/>
      <c r="AT263" s="656"/>
      <c r="AU263" s="656"/>
      <c r="AV263" s="656"/>
      <c r="AW263" s="656"/>
      <c r="AX263" s="656"/>
      <c r="AY263" s="656"/>
      <c r="AZ263" s="656"/>
      <c r="BA263" s="656"/>
      <c r="BB263" s="656"/>
      <c r="BC263" s="656"/>
      <c r="BD263" s="656"/>
    </row>
    <row r="264" spans="1:56" ht="13.5" thickBot="1">
      <c r="A264" s="587" t="s">
        <v>191</v>
      </c>
      <c r="B264" s="592"/>
      <c r="C264" s="592"/>
      <c r="D264" s="592"/>
      <c r="E264" s="592"/>
      <c r="F264" s="592"/>
      <c r="G264" s="592"/>
      <c r="H264" s="684">
        <f>ROUND((H260)/(H262/100),4)</f>
        <v>9.2497000000000007</v>
      </c>
      <c r="I264" s="592" t="s">
        <v>108</v>
      </c>
      <c r="J264" s="592"/>
      <c r="K264" s="592"/>
      <c r="L264" s="583"/>
      <c r="M264" s="583"/>
      <c r="N264" s="583"/>
      <c r="O264" s="583"/>
      <c r="P264" s="583"/>
      <c r="Q264" s="583"/>
      <c r="R264" s="583"/>
      <c r="S264" s="583"/>
      <c r="T264" s="583"/>
      <c r="U264" s="583"/>
      <c r="V264" s="583"/>
      <c r="W264" s="583"/>
      <c r="X264" s="583"/>
      <c r="Y264" s="583"/>
      <c r="Z264" s="583"/>
      <c r="AA264" s="583"/>
      <c r="AB264" s="583"/>
      <c r="AC264" s="583"/>
      <c r="AD264" s="583"/>
      <c r="AE264" s="583"/>
      <c r="AF264" s="583"/>
      <c r="AG264" s="583"/>
      <c r="AI264" s="655"/>
      <c r="AJ264" s="656"/>
      <c r="AK264" s="656"/>
      <c r="AL264" s="656"/>
      <c r="AM264" s="656"/>
      <c r="AN264" s="656"/>
      <c r="AO264" s="656"/>
      <c r="AP264" s="656"/>
      <c r="AQ264" s="656"/>
      <c r="AR264" s="656"/>
      <c r="AS264" s="656"/>
      <c r="AT264" s="656"/>
      <c r="AU264" s="656"/>
      <c r="AV264" s="656"/>
      <c r="AW264" s="656"/>
      <c r="AX264" s="656"/>
      <c r="AY264" s="656"/>
      <c r="AZ264" s="656"/>
      <c r="BA264" s="656"/>
      <c r="BB264" s="656"/>
      <c r="BC264" s="656"/>
      <c r="BD264" s="656"/>
    </row>
    <row r="265" spans="1:56" ht="13.5" thickTop="1">
      <c r="A265" s="587"/>
      <c r="B265" s="592"/>
      <c r="C265" s="592"/>
      <c r="D265" s="592"/>
      <c r="E265" s="592"/>
      <c r="F265" s="592"/>
      <c r="G265" s="592"/>
      <c r="H265" s="592"/>
      <c r="I265" s="592"/>
      <c r="J265" s="592"/>
      <c r="K265" s="592"/>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I265" s="655"/>
      <c r="AJ265" s="656"/>
      <c r="AK265" s="656"/>
      <c r="AL265" s="656"/>
      <c r="AM265" s="656"/>
      <c r="AN265" s="656"/>
      <c r="AO265" s="656"/>
      <c r="AP265" s="656"/>
      <c r="AQ265" s="656"/>
      <c r="AR265" s="656"/>
      <c r="AS265" s="656"/>
      <c r="AT265" s="656"/>
      <c r="AU265" s="656"/>
      <c r="AV265" s="656"/>
      <c r="AW265" s="656"/>
      <c r="AX265" s="656"/>
      <c r="AY265" s="656"/>
      <c r="AZ265" s="656"/>
      <c r="BA265" s="656"/>
      <c r="BB265" s="656"/>
      <c r="BC265" s="656"/>
      <c r="BD265" s="656"/>
    </row>
    <row r="266" spans="1:56">
      <c r="A266" s="587"/>
      <c r="B266" s="592"/>
      <c r="C266" s="592"/>
      <c r="D266" s="592"/>
      <c r="E266" s="592"/>
      <c r="F266" s="592"/>
      <c r="G266" s="592"/>
      <c r="H266" s="592"/>
      <c r="I266" s="592"/>
      <c r="J266" s="592"/>
      <c r="K266" s="592"/>
      <c r="L266" s="583"/>
      <c r="M266" s="583"/>
      <c r="N266" s="583"/>
      <c r="O266" s="583"/>
      <c r="P266" s="583"/>
      <c r="Q266" s="583"/>
      <c r="R266" s="583"/>
      <c r="S266" s="583"/>
      <c r="T266" s="583"/>
      <c r="U266" s="583"/>
      <c r="V266" s="583"/>
      <c r="W266" s="583"/>
      <c r="X266" s="583"/>
      <c r="Y266" s="583"/>
      <c r="Z266" s="583"/>
      <c r="AA266" s="583"/>
      <c r="AB266" s="583"/>
      <c r="AC266" s="583"/>
      <c r="AD266" s="583"/>
      <c r="AE266" s="583"/>
      <c r="AF266" s="583"/>
      <c r="AG266" s="583"/>
      <c r="AI266" s="655"/>
      <c r="AJ266" s="656"/>
      <c r="AK266" s="656"/>
      <c r="AL266" s="656"/>
      <c r="AM266" s="656"/>
      <c r="AN266" s="656"/>
      <c r="AO266" s="656"/>
      <c r="AP266" s="656"/>
      <c r="AQ266" s="656"/>
      <c r="AR266" s="656"/>
      <c r="AS266" s="656"/>
      <c r="AT266" s="656"/>
      <c r="AU266" s="656"/>
      <c r="AV266" s="656"/>
      <c r="AW266" s="656"/>
      <c r="AX266" s="656"/>
      <c r="AY266" s="656"/>
      <c r="AZ266" s="656"/>
      <c r="BA266" s="656"/>
      <c r="BB266" s="656"/>
      <c r="BC266" s="656"/>
      <c r="BD266" s="656"/>
    </row>
    <row r="267" spans="1:56">
      <c r="A267" s="587"/>
      <c r="B267" s="592"/>
      <c r="C267" s="592"/>
      <c r="D267" s="592"/>
      <c r="E267" s="592"/>
      <c r="F267" s="592"/>
      <c r="G267" s="592"/>
      <c r="H267" s="592"/>
      <c r="I267" s="592"/>
      <c r="J267" s="592"/>
      <c r="K267" s="592"/>
      <c r="L267" s="583"/>
      <c r="M267" s="583"/>
      <c r="N267" s="583"/>
      <c r="O267" s="583"/>
      <c r="P267" s="583"/>
      <c r="Q267" s="583"/>
      <c r="R267" s="583"/>
      <c r="S267" s="583"/>
      <c r="T267" s="583"/>
      <c r="U267" s="583"/>
      <c r="V267" s="583"/>
      <c r="W267" s="583"/>
      <c r="X267" s="583"/>
      <c r="Y267" s="583"/>
      <c r="Z267" s="583"/>
      <c r="AA267" s="583"/>
      <c r="AB267" s="583"/>
      <c r="AC267" s="583"/>
      <c r="AD267" s="583"/>
      <c r="AE267" s="583"/>
      <c r="AF267" s="583"/>
      <c r="AG267" s="583"/>
      <c r="AI267" s="655"/>
      <c r="AJ267" s="656"/>
      <c r="AK267" s="656"/>
      <c r="AL267" s="656"/>
      <c r="AM267" s="656"/>
      <c r="AN267" s="656"/>
      <c r="AO267" s="656"/>
      <c r="AP267" s="656"/>
      <c r="AQ267" s="656"/>
      <c r="AR267" s="656"/>
      <c r="AS267" s="656"/>
      <c r="AT267" s="656"/>
      <c r="AU267" s="656"/>
      <c r="AV267" s="656"/>
      <c r="AW267" s="656"/>
      <c r="AX267" s="656"/>
      <c r="AY267" s="656"/>
      <c r="AZ267" s="656"/>
      <c r="BA267" s="656"/>
      <c r="BB267" s="656"/>
      <c r="BC267" s="656"/>
      <c r="BD267" s="656"/>
    </row>
    <row r="268" spans="1:56">
      <c r="A268" s="587"/>
      <c r="B268" s="592"/>
      <c r="C268" s="592"/>
      <c r="D268" s="592"/>
      <c r="E268" s="592"/>
      <c r="F268" s="592"/>
      <c r="G268" s="592"/>
      <c r="H268" s="592"/>
      <c r="I268" s="592"/>
      <c r="J268" s="592"/>
      <c r="K268" s="592"/>
      <c r="L268" s="583"/>
      <c r="M268" s="583"/>
      <c r="N268" s="583"/>
      <c r="O268" s="583"/>
      <c r="P268" s="583"/>
      <c r="Q268" s="583"/>
      <c r="R268" s="583"/>
      <c r="S268" s="583"/>
      <c r="T268" s="583"/>
      <c r="U268" s="583"/>
      <c r="V268" s="583"/>
      <c r="W268" s="583"/>
      <c r="X268" s="583"/>
      <c r="Y268" s="583"/>
      <c r="Z268" s="583"/>
      <c r="AA268" s="583"/>
      <c r="AB268" s="583"/>
      <c r="AC268" s="583"/>
      <c r="AD268" s="583"/>
      <c r="AE268" s="583"/>
      <c r="AF268" s="583"/>
      <c r="AG268" s="583"/>
      <c r="AI268" s="655"/>
      <c r="AJ268" s="656"/>
      <c r="AK268" s="656"/>
      <c r="AL268" s="656"/>
      <c r="AM268" s="656"/>
      <c r="AN268" s="656"/>
      <c r="AO268" s="656"/>
      <c r="AP268" s="656"/>
      <c r="AQ268" s="656"/>
      <c r="AR268" s="656"/>
      <c r="AS268" s="656"/>
      <c r="AT268" s="656"/>
      <c r="AU268" s="656"/>
      <c r="AV268" s="656"/>
      <c r="AW268" s="656"/>
      <c r="AX268" s="656"/>
      <c r="AY268" s="656"/>
      <c r="AZ268" s="656"/>
      <c r="BA268" s="656"/>
      <c r="BB268" s="656"/>
      <c r="BC268" s="656"/>
      <c r="BD268" s="656"/>
    </row>
    <row r="269" spans="1:56">
      <c r="A269" s="599" t="s">
        <v>202</v>
      </c>
      <c r="B269" s="592"/>
      <c r="C269" s="592"/>
      <c r="D269" s="592"/>
      <c r="E269" s="592"/>
      <c r="F269" s="592"/>
      <c r="G269" s="592"/>
      <c r="H269" s="592"/>
      <c r="I269" s="592"/>
      <c r="J269" s="592"/>
      <c r="K269" s="592"/>
      <c r="L269" s="583"/>
      <c r="M269" s="583"/>
      <c r="N269" s="583"/>
      <c r="O269" s="583"/>
      <c r="P269" s="583"/>
      <c r="Q269" s="583"/>
      <c r="R269" s="583"/>
      <c r="S269" s="583"/>
      <c r="T269" s="583"/>
      <c r="U269" s="583"/>
      <c r="V269" s="583"/>
      <c r="W269" s="583"/>
      <c r="X269" s="583"/>
      <c r="Y269" s="583"/>
      <c r="Z269" s="583"/>
      <c r="AA269" s="583"/>
      <c r="AB269" s="583"/>
      <c r="AC269" s="583"/>
      <c r="AD269" s="583"/>
      <c r="AE269" s="583"/>
      <c r="AF269" s="583"/>
      <c r="AG269" s="583"/>
      <c r="AI269" s="655"/>
      <c r="AJ269" s="656"/>
      <c r="AK269" s="656"/>
      <c r="AL269" s="656"/>
      <c r="AM269" s="656"/>
      <c r="AN269" s="656"/>
      <c r="AO269" s="656"/>
      <c r="AP269" s="656"/>
      <c r="AQ269" s="656"/>
      <c r="AR269" s="656"/>
      <c r="AS269" s="656"/>
      <c r="AT269" s="656"/>
      <c r="AU269" s="656"/>
      <c r="AV269" s="656"/>
      <c r="AW269" s="656"/>
      <c r="AX269" s="656"/>
      <c r="AY269" s="656"/>
      <c r="AZ269" s="656"/>
      <c r="BA269" s="656"/>
      <c r="BB269" s="656"/>
      <c r="BC269" s="656"/>
      <c r="BD269" s="656"/>
    </row>
    <row r="270" spans="1:56">
      <c r="A270" s="599" t="s">
        <v>193</v>
      </c>
      <c r="B270" s="592"/>
      <c r="C270" s="592"/>
      <c r="D270" s="592"/>
      <c r="E270" s="592"/>
      <c r="F270" s="592"/>
      <c r="G270" s="592"/>
      <c r="H270" s="592"/>
      <c r="I270" s="592"/>
      <c r="J270" s="592"/>
      <c r="K270" s="592"/>
      <c r="L270" s="583"/>
      <c r="M270" s="583"/>
      <c r="N270" s="583"/>
      <c r="O270" s="583"/>
      <c r="P270" s="583"/>
      <c r="Q270" s="583"/>
      <c r="R270" s="583"/>
      <c r="S270" s="583"/>
      <c r="T270" s="583"/>
      <c r="U270" s="583"/>
      <c r="V270" s="583"/>
      <c r="W270" s="583"/>
      <c r="X270" s="583"/>
      <c r="Y270" s="583"/>
      <c r="Z270" s="583"/>
      <c r="AA270" s="583"/>
      <c r="AB270" s="583"/>
      <c r="AC270" s="583"/>
      <c r="AD270" s="583"/>
      <c r="AE270" s="583"/>
      <c r="AF270" s="583"/>
      <c r="AG270" s="583"/>
      <c r="AI270" s="655"/>
      <c r="AJ270" s="656"/>
      <c r="AK270" s="656"/>
      <c r="AL270" s="656"/>
      <c r="AM270" s="656"/>
      <c r="AN270" s="656"/>
      <c r="AO270" s="656"/>
      <c r="AP270" s="656"/>
      <c r="AQ270" s="656"/>
      <c r="AR270" s="656"/>
      <c r="AS270" s="656"/>
      <c r="AT270" s="656"/>
      <c r="AU270" s="656"/>
      <c r="AV270" s="656"/>
      <c r="AW270" s="656"/>
      <c r="AX270" s="656"/>
      <c r="AY270" s="656"/>
      <c r="AZ270" s="656"/>
      <c r="BA270" s="656"/>
      <c r="BB270" s="656"/>
      <c r="BC270" s="656"/>
      <c r="BD270" s="656"/>
    </row>
    <row r="271" spans="1:56">
      <c r="A271" s="587"/>
      <c r="B271" s="592"/>
      <c r="C271" s="592"/>
      <c r="D271" s="592"/>
      <c r="E271" s="592"/>
      <c r="F271" s="592"/>
      <c r="G271" s="592"/>
      <c r="H271" s="592"/>
      <c r="I271" s="592"/>
      <c r="J271" s="592"/>
      <c r="K271" s="592"/>
      <c r="L271" s="583"/>
      <c r="M271" s="583"/>
      <c r="N271" s="583"/>
      <c r="O271" s="583"/>
      <c r="P271" s="583"/>
      <c r="Q271" s="583"/>
      <c r="R271" s="583"/>
      <c r="S271" s="583"/>
      <c r="T271" s="583"/>
      <c r="U271" s="583"/>
      <c r="V271" s="583"/>
      <c r="W271" s="583"/>
      <c r="X271" s="583"/>
      <c r="Y271" s="583"/>
      <c r="Z271" s="583"/>
      <c r="AA271" s="583"/>
      <c r="AB271" s="583"/>
      <c r="AC271" s="583"/>
      <c r="AD271" s="583"/>
      <c r="AE271" s="583"/>
      <c r="AF271" s="583"/>
      <c r="AG271" s="583"/>
      <c r="AI271" s="655"/>
      <c r="AJ271" s="656"/>
      <c r="AK271" s="656"/>
      <c r="AL271" s="656"/>
      <c r="AM271" s="656"/>
      <c r="AN271" s="656"/>
      <c r="AO271" s="656"/>
      <c r="AP271" s="656"/>
      <c r="AQ271" s="656"/>
      <c r="AR271" s="656"/>
      <c r="AS271" s="656"/>
      <c r="AT271" s="656"/>
      <c r="AU271" s="656"/>
      <c r="AV271" s="656"/>
      <c r="AW271" s="656"/>
      <c r="AX271" s="656"/>
      <c r="AY271" s="656"/>
      <c r="AZ271" s="656"/>
      <c r="BA271" s="656"/>
      <c r="BB271" s="656"/>
      <c r="BC271" s="656"/>
      <c r="BD271" s="656"/>
    </row>
    <row r="272" spans="1:56">
      <c r="A272" s="587"/>
      <c r="B272" s="592"/>
      <c r="C272" s="592"/>
      <c r="D272" s="592"/>
      <c r="E272" s="592"/>
      <c r="F272" s="592"/>
      <c r="G272" s="592"/>
      <c r="H272" s="592"/>
      <c r="I272" s="592"/>
      <c r="J272" s="592"/>
      <c r="K272" s="592"/>
      <c r="L272" s="583"/>
      <c r="M272" s="583"/>
      <c r="N272" s="583"/>
      <c r="O272" s="583"/>
      <c r="P272" s="583"/>
      <c r="Q272" s="583"/>
      <c r="R272" s="583"/>
      <c r="S272" s="583"/>
      <c r="T272" s="583"/>
      <c r="U272" s="583"/>
      <c r="V272" s="583"/>
      <c r="W272" s="583"/>
      <c r="X272" s="583"/>
      <c r="Y272" s="583"/>
      <c r="Z272" s="583"/>
      <c r="AA272" s="583"/>
      <c r="AB272" s="583"/>
      <c r="AC272" s="583"/>
      <c r="AD272" s="583"/>
      <c r="AE272" s="583"/>
      <c r="AF272" s="583"/>
      <c r="AG272" s="583"/>
      <c r="AI272" s="655"/>
      <c r="AJ272" s="656"/>
      <c r="AK272" s="656"/>
      <c r="AL272" s="656"/>
      <c r="AM272" s="656"/>
      <c r="AN272" s="656"/>
      <c r="AO272" s="656"/>
      <c r="AP272" s="656"/>
      <c r="AQ272" s="656"/>
      <c r="AR272" s="656"/>
      <c r="AS272" s="656"/>
      <c r="AT272" s="656"/>
      <c r="AU272" s="656"/>
      <c r="AV272" s="656"/>
      <c r="AW272" s="656"/>
      <c r="AX272" s="656"/>
      <c r="AY272" s="656"/>
      <c r="AZ272" s="656"/>
      <c r="BA272" s="656"/>
      <c r="BB272" s="656"/>
      <c r="BC272" s="656"/>
      <c r="BD272" s="656"/>
    </row>
    <row r="273" spans="1:56">
      <c r="A273" s="587" t="s">
        <v>194</v>
      </c>
      <c r="B273" s="592"/>
      <c r="C273" s="592"/>
      <c r="D273" s="592"/>
      <c r="E273" s="592"/>
      <c r="F273" s="592"/>
      <c r="G273" s="592" t="s">
        <v>105</v>
      </c>
      <c r="H273" s="592">
        <f>V141+V130</f>
        <v>97058.196663375886</v>
      </c>
      <c r="I273" s="592"/>
      <c r="J273" s="592" t="s">
        <v>195</v>
      </c>
      <c r="K273" s="592"/>
      <c r="L273" s="583"/>
      <c r="M273" s="583"/>
      <c r="N273" s="583"/>
      <c r="O273" s="583"/>
      <c r="P273" s="583"/>
      <c r="Q273" s="583"/>
      <c r="R273" s="583"/>
      <c r="S273" s="583"/>
      <c r="T273" s="583"/>
      <c r="U273" s="583"/>
      <c r="V273" s="583"/>
      <c r="W273" s="583"/>
      <c r="X273" s="583"/>
      <c r="Y273" s="583"/>
      <c r="Z273" s="583"/>
      <c r="AA273" s="583"/>
      <c r="AB273" s="583"/>
      <c r="AC273" s="583"/>
      <c r="AD273" s="583"/>
      <c r="AE273" s="583"/>
      <c r="AF273" s="583"/>
      <c r="AG273" s="583"/>
      <c r="AI273" s="655"/>
      <c r="AJ273" s="656"/>
      <c r="AK273" s="656"/>
      <c r="AL273" s="656"/>
      <c r="AM273" s="656"/>
      <c r="AN273" s="656"/>
      <c r="AO273" s="656"/>
      <c r="AP273" s="656"/>
      <c r="AQ273" s="656"/>
      <c r="AR273" s="656"/>
      <c r="AS273" s="656"/>
      <c r="AT273" s="656"/>
      <c r="AU273" s="656"/>
      <c r="AV273" s="656"/>
      <c r="AW273" s="656"/>
      <c r="AX273" s="656"/>
      <c r="AY273" s="656"/>
      <c r="AZ273" s="656"/>
      <c r="BA273" s="656"/>
      <c r="BB273" s="656"/>
      <c r="BC273" s="656"/>
      <c r="BD273" s="656"/>
    </row>
    <row r="274" spans="1:56">
      <c r="A274" s="587"/>
      <c r="B274" s="592"/>
      <c r="C274" s="592"/>
      <c r="D274" s="592"/>
      <c r="E274" s="592"/>
      <c r="F274" s="592"/>
      <c r="G274" s="592"/>
      <c r="H274" s="592"/>
      <c r="I274" s="592"/>
      <c r="J274" s="685"/>
      <c r="K274" s="592"/>
      <c r="L274" s="583"/>
      <c r="M274" s="583"/>
      <c r="N274" s="583"/>
      <c r="O274" s="583"/>
      <c r="P274" s="583"/>
      <c r="Q274" s="583"/>
      <c r="R274" s="583"/>
      <c r="S274" s="583"/>
      <c r="T274" s="583"/>
      <c r="U274" s="583"/>
      <c r="V274" s="583"/>
      <c r="W274" s="583"/>
      <c r="X274" s="583"/>
      <c r="Y274" s="583"/>
      <c r="Z274" s="583"/>
      <c r="AA274" s="583"/>
      <c r="AB274" s="583"/>
      <c r="AC274" s="583"/>
      <c r="AD274" s="583"/>
      <c r="AE274" s="583"/>
      <c r="AF274" s="583"/>
      <c r="AG274" s="583"/>
      <c r="AI274" s="655"/>
      <c r="AJ274" s="656"/>
      <c r="AK274" s="656"/>
      <c r="AL274" s="656"/>
      <c r="AM274" s="656"/>
      <c r="AN274" s="656"/>
      <c r="AO274" s="656"/>
      <c r="AP274" s="656"/>
      <c r="AQ274" s="656"/>
      <c r="AR274" s="656"/>
      <c r="AS274" s="656"/>
      <c r="AT274" s="656"/>
      <c r="AU274" s="656"/>
      <c r="AV274" s="656"/>
      <c r="AW274" s="656"/>
      <c r="AX274" s="656"/>
      <c r="AY274" s="656"/>
      <c r="AZ274" s="656"/>
      <c r="BA274" s="656"/>
      <c r="BB274" s="656"/>
      <c r="BC274" s="656"/>
      <c r="BD274" s="656"/>
    </row>
    <row r="275" spans="1:56">
      <c r="A275" s="587" t="s">
        <v>196</v>
      </c>
      <c r="B275" s="592"/>
      <c r="C275" s="592"/>
      <c r="D275" s="592"/>
      <c r="E275" s="592"/>
      <c r="F275" s="592"/>
      <c r="G275" s="592" t="s">
        <v>105</v>
      </c>
      <c r="H275" s="591">
        <f>T92</f>
        <v>1733959.3659682842</v>
      </c>
      <c r="I275" s="592"/>
      <c r="J275" s="592" t="s">
        <v>197</v>
      </c>
      <c r="K275" s="592"/>
      <c r="L275" s="583"/>
      <c r="M275" s="583"/>
      <c r="N275" s="583"/>
      <c r="O275" s="583"/>
      <c r="P275" s="583"/>
      <c r="Q275" s="583"/>
      <c r="R275" s="583"/>
      <c r="S275" s="583"/>
      <c r="T275" s="583"/>
      <c r="U275" s="583"/>
      <c r="V275" s="583"/>
      <c r="W275" s="583"/>
      <c r="X275" s="583"/>
      <c r="Y275" s="583"/>
      <c r="Z275" s="583"/>
      <c r="AA275" s="583"/>
      <c r="AB275" s="583"/>
      <c r="AC275" s="583"/>
      <c r="AD275" s="583"/>
      <c r="AE275" s="583"/>
      <c r="AF275" s="583"/>
      <c r="AG275" s="583"/>
      <c r="AI275" s="655"/>
      <c r="AJ275" s="656"/>
      <c r="AK275" s="656"/>
      <c r="AL275" s="656"/>
      <c r="AM275" s="656"/>
      <c r="AN275" s="656"/>
      <c r="AO275" s="656"/>
      <c r="AP275" s="656"/>
      <c r="AQ275" s="656"/>
      <c r="AR275" s="656"/>
      <c r="AS275" s="656"/>
      <c r="AT275" s="656"/>
      <c r="AU275" s="656"/>
      <c r="AV275" s="656"/>
      <c r="AW275" s="656"/>
      <c r="AX275" s="656"/>
      <c r="AY275" s="656"/>
      <c r="AZ275" s="656"/>
      <c r="BA275" s="656"/>
      <c r="BB275" s="656"/>
      <c r="BC275" s="656"/>
      <c r="BD275" s="656"/>
    </row>
    <row r="276" spans="1:56">
      <c r="A276" s="587"/>
      <c r="B276" s="592"/>
      <c r="C276" s="592"/>
      <c r="D276" s="592"/>
      <c r="E276" s="592"/>
      <c r="F276" s="592"/>
      <c r="G276" s="592"/>
      <c r="H276" s="592"/>
      <c r="I276" s="592"/>
      <c r="J276" s="592"/>
      <c r="K276" s="592"/>
      <c r="L276" s="583"/>
      <c r="M276" s="583"/>
      <c r="N276" s="583"/>
      <c r="O276" s="583"/>
      <c r="P276" s="583"/>
      <c r="Q276" s="583"/>
      <c r="R276" s="583"/>
      <c r="S276" s="583"/>
      <c r="T276" s="583"/>
      <c r="U276" s="583"/>
      <c r="V276" s="583"/>
      <c r="W276" s="583"/>
      <c r="X276" s="583"/>
      <c r="Y276" s="583"/>
      <c r="Z276" s="583"/>
      <c r="AA276" s="583"/>
      <c r="AB276" s="583"/>
      <c r="AC276" s="583"/>
      <c r="AD276" s="583"/>
      <c r="AE276" s="583"/>
      <c r="AF276" s="583"/>
      <c r="AG276" s="583"/>
      <c r="AI276" s="655"/>
      <c r="AJ276" s="656"/>
      <c r="AK276" s="656"/>
      <c r="AL276" s="656"/>
      <c r="AM276" s="656"/>
      <c r="AN276" s="656"/>
      <c r="AO276" s="656"/>
      <c r="AP276" s="656"/>
      <c r="AQ276" s="656"/>
      <c r="AR276" s="656"/>
      <c r="AS276" s="656"/>
      <c r="AT276" s="656"/>
      <c r="AU276" s="656"/>
      <c r="AV276" s="656"/>
      <c r="AW276" s="656"/>
      <c r="AX276" s="656"/>
      <c r="AY276" s="656"/>
      <c r="AZ276" s="656"/>
      <c r="BA276" s="656"/>
      <c r="BB276" s="656"/>
      <c r="BC276" s="656"/>
      <c r="BD276" s="656"/>
    </row>
    <row r="277" spans="1:56">
      <c r="A277" s="587" t="s">
        <v>183</v>
      </c>
      <c r="B277" s="592"/>
      <c r="C277" s="592"/>
      <c r="D277" s="592"/>
      <c r="E277" s="592"/>
      <c r="F277" s="592"/>
      <c r="G277" s="592"/>
      <c r="H277" s="683">
        <f>(H273/H275)*100</f>
        <v>5.5974896856464849</v>
      </c>
      <c r="I277" s="592" t="s">
        <v>108</v>
      </c>
      <c r="J277" s="592"/>
      <c r="K277" s="592"/>
      <c r="L277" s="583"/>
      <c r="M277" s="583"/>
      <c r="N277" s="583"/>
      <c r="O277" s="583"/>
      <c r="P277" s="583"/>
      <c r="Q277" s="583"/>
      <c r="R277" s="583"/>
      <c r="S277" s="583"/>
      <c r="T277" s="583"/>
      <c r="U277" s="583"/>
      <c r="V277" s="583"/>
      <c r="W277" s="583"/>
      <c r="X277" s="583"/>
      <c r="Y277" s="583"/>
      <c r="Z277" s="583"/>
      <c r="AA277" s="583"/>
      <c r="AB277" s="583"/>
      <c r="AC277" s="583"/>
      <c r="AD277" s="583"/>
      <c r="AE277" s="583"/>
      <c r="AF277" s="583"/>
      <c r="AG277" s="583"/>
      <c r="AI277" s="655"/>
      <c r="AJ277" s="656"/>
      <c r="AK277" s="656"/>
      <c r="AL277" s="656"/>
      <c r="AM277" s="656"/>
      <c r="AN277" s="656"/>
      <c r="AO277" s="656"/>
      <c r="AP277" s="656"/>
      <c r="AQ277" s="656"/>
      <c r="AR277" s="656"/>
      <c r="AS277" s="656"/>
      <c r="AT277" s="656"/>
      <c r="AU277" s="656"/>
      <c r="AV277" s="656"/>
      <c r="AW277" s="656"/>
      <c r="AX277" s="656"/>
      <c r="AY277" s="656"/>
      <c r="AZ277" s="656"/>
      <c r="BA277" s="656"/>
      <c r="BB277" s="656"/>
      <c r="BC277" s="656"/>
      <c r="BD277" s="656"/>
    </row>
    <row r="278" spans="1:56">
      <c r="A278" s="587" t="s">
        <v>185</v>
      </c>
      <c r="B278" s="592"/>
      <c r="C278" s="592"/>
      <c r="D278" s="592"/>
      <c r="E278" s="592"/>
      <c r="F278" s="592"/>
      <c r="G278" s="592"/>
      <c r="H278" s="592"/>
      <c r="I278" s="592"/>
      <c r="J278" s="592"/>
      <c r="K278" s="592"/>
      <c r="L278" s="583"/>
      <c r="M278" s="583"/>
      <c r="N278" s="583"/>
      <c r="O278" s="583"/>
      <c r="P278" s="583"/>
      <c r="Q278" s="583"/>
      <c r="R278" s="583"/>
      <c r="S278" s="583"/>
      <c r="T278" s="583"/>
      <c r="U278" s="583"/>
      <c r="V278" s="583"/>
      <c r="W278" s="583"/>
      <c r="X278" s="583"/>
      <c r="Y278" s="583"/>
      <c r="Z278" s="583"/>
      <c r="AA278" s="583"/>
      <c r="AB278" s="583"/>
      <c r="AC278" s="583"/>
      <c r="AD278" s="583"/>
      <c r="AE278" s="583"/>
      <c r="AF278" s="583"/>
      <c r="AG278" s="583"/>
      <c r="AI278" s="655"/>
      <c r="AJ278" s="656"/>
      <c r="AK278" s="656"/>
      <c r="AL278" s="656"/>
      <c r="AM278" s="656"/>
      <c r="AN278" s="656"/>
      <c r="AO278" s="656"/>
      <c r="AP278" s="656"/>
      <c r="AQ278" s="656"/>
      <c r="AR278" s="656"/>
      <c r="AS278" s="656"/>
      <c r="AT278" s="656"/>
      <c r="AU278" s="656"/>
      <c r="AV278" s="656"/>
      <c r="AW278" s="656"/>
      <c r="AX278" s="656"/>
      <c r="AY278" s="656"/>
      <c r="AZ278" s="656"/>
      <c r="BA278" s="656"/>
      <c r="BB278" s="656"/>
      <c r="BC278" s="656"/>
      <c r="BD278" s="656"/>
    </row>
    <row r="279" spans="1:56">
      <c r="A279" s="587" t="s">
        <v>186</v>
      </c>
      <c r="B279" s="592"/>
      <c r="C279" s="592"/>
      <c r="D279" s="592"/>
      <c r="E279" s="592"/>
      <c r="F279" s="592"/>
      <c r="G279" s="592"/>
      <c r="H279" s="592"/>
      <c r="I279" s="592"/>
      <c r="J279" s="592"/>
      <c r="K279" s="592"/>
      <c r="L279" s="583"/>
      <c r="M279" s="583"/>
      <c r="N279" s="583"/>
      <c r="O279" s="583"/>
      <c r="P279" s="583"/>
      <c r="Q279" s="583"/>
      <c r="R279" s="583"/>
      <c r="S279" s="583"/>
      <c r="T279" s="583"/>
      <c r="U279" s="583"/>
      <c r="V279" s="583"/>
      <c r="W279" s="583"/>
      <c r="X279" s="583"/>
      <c r="Y279" s="583"/>
      <c r="Z279" s="583"/>
      <c r="AA279" s="583"/>
      <c r="AB279" s="583"/>
      <c r="AC279" s="583"/>
      <c r="AD279" s="583"/>
      <c r="AE279" s="583"/>
      <c r="AF279" s="583"/>
      <c r="AG279" s="583"/>
      <c r="AI279" s="655"/>
      <c r="AJ279" s="656"/>
      <c r="AK279" s="656"/>
      <c r="AL279" s="656"/>
      <c r="AM279" s="656"/>
      <c r="AN279" s="656"/>
      <c r="AO279" s="656"/>
      <c r="AP279" s="656"/>
      <c r="AQ279" s="656"/>
      <c r="AR279" s="656"/>
      <c r="AS279" s="656"/>
      <c r="AT279" s="656"/>
      <c r="AU279" s="656"/>
      <c r="AV279" s="656"/>
      <c r="AW279" s="656"/>
      <c r="AX279" s="656"/>
      <c r="AY279" s="656"/>
      <c r="AZ279" s="656"/>
      <c r="BA279" s="656"/>
      <c r="BB279" s="656"/>
      <c r="BC279" s="656"/>
      <c r="BD279" s="656"/>
    </row>
    <row r="280" spans="1:56">
      <c r="A280" s="587" t="s">
        <v>174</v>
      </c>
      <c r="B280" s="592"/>
      <c r="C280" s="592"/>
      <c r="D280" s="592"/>
      <c r="E280" s="592"/>
      <c r="F280" s="592"/>
      <c r="G280" s="592"/>
      <c r="H280" s="680">
        <f>H253</f>
        <v>-1.18</v>
      </c>
      <c r="I280" s="592" t="s">
        <v>108</v>
      </c>
      <c r="J280" s="592"/>
      <c r="K280" s="592"/>
      <c r="L280" s="583"/>
      <c r="M280" s="583"/>
      <c r="N280" s="583"/>
      <c r="O280" s="583"/>
      <c r="P280" s="583"/>
      <c r="Q280" s="583"/>
      <c r="R280" s="583"/>
      <c r="S280" s="583"/>
      <c r="T280" s="583"/>
      <c r="U280" s="583"/>
      <c r="V280" s="583"/>
      <c r="W280" s="583"/>
      <c r="X280" s="583"/>
      <c r="Y280" s="583"/>
      <c r="Z280" s="583"/>
      <c r="AA280" s="583"/>
      <c r="AB280" s="583"/>
      <c r="AC280" s="583"/>
      <c r="AD280" s="583"/>
      <c r="AE280" s="583"/>
      <c r="AF280" s="583"/>
      <c r="AG280" s="583"/>
      <c r="AI280" s="655"/>
      <c r="AJ280" s="656"/>
      <c r="AK280" s="656"/>
      <c r="AL280" s="656"/>
      <c r="AM280" s="656"/>
      <c r="AN280" s="656"/>
      <c r="AO280" s="656"/>
      <c r="AP280" s="656"/>
      <c r="AQ280" s="656"/>
      <c r="AR280" s="656"/>
      <c r="AS280" s="656"/>
      <c r="AT280" s="656"/>
      <c r="AU280" s="656"/>
      <c r="AV280" s="656"/>
      <c r="AW280" s="656"/>
      <c r="AX280" s="656"/>
      <c r="AY280" s="656"/>
      <c r="AZ280" s="656"/>
      <c r="BA280" s="656"/>
      <c r="BB280" s="656"/>
      <c r="BC280" s="656"/>
      <c r="BD280" s="656"/>
    </row>
    <row r="281" spans="1:56">
      <c r="A281" s="587" t="s">
        <v>175</v>
      </c>
      <c r="B281" s="592"/>
      <c r="C281" s="592"/>
      <c r="D281" s="592"/>
      <c r="E281" s="592"/>
      <c r="F281" s="592"/>
      <c r="G281" s="592"/>
      <c r="H281" s="680">
        <f>H254</f>
        <v>-0.2</v>
      </c>
      <c r="I281" s="592" t="s">
        <v>108</v>
      </c>
      <c r="J281" s="592"/>
      <c r="K281" s="592"/>
      <c r="L281" s="583"/>
      <c r="M281" s="583"/>
      <c r="N281" s="583"/>
      <c r="O281" s="583"/>
      <c r="P281" s="583"/>
      <c r="Q281" s="583"/>
      <c r="R281" s="583"/>
      <c r="S281" s="583"/>
      <c r="T281" s="583"/>
      <c r="U281" s="583"/>
      <c r="V281" s="583"/>
      <c r="W281" s="583"/>
      <c r="X281" s="583"/>
      <c r="Y281" s="583"/>
      <c r="Z281" s="583"/>
      <c r="AA281" s="583"/>
      <c r="AB281" s="583"/>
      <c r="AC281" s="583"/>
      <c r="AD281" s="583"/>
      <c r="AE281" s="583"/>
      <c r="AF281" s="583"/>
      <c r="AG281" s="583"/>
      <c r="AI281" s="655"/>
      <c r="AJ281" s="656"/>
      <c r="AK281" s="656"/>
      <c r="AL281" s="656"/>
      <c r="AM281" s="656"/>
      <c r="AN281" s="656"/>
      <c r="AO281" s="656"/>
      <c r="AP281" s="656"/>
      <c r="AQ281" s="656"/>
      <c r="AR281" s="656"/>
      <c r="AS281" s="656"/>
      <c r="AT281" s="656"/>
      <c r="AU281" s="656"/>
      <c r="AV281" s="656"/>
      <c r="AW281" s="656"/>
      <c r="AX281" s="656"/>
      <c r="AY281" s="656"/>
      <c r="AZ281" s="656"/>
      <c r="BA281" s="656"/>
      <c r="BB281" s="656"/>
      <c r="BC281" s="656"/>
      <c r="BD281" s="656"/>
    </row>
    <row r="282" spans="1:56">
      <c r="A282" s="587" t="s">
        <v>187</v>
      </c>
      <c r="B282" s="592"/>
      <c r="C282" s="592"/>
      <c r="D282" s="592"/>
      <c r="E282" s="592"/>
      <c r="F282" s="592"/>
      <c r="G282" s="592"/>
      <c r="H282" s="680">
        <f>H255</f>
        <v>0</v>
      </c>
      <c r="I282" s="592" t="s">
        <v>108</v>
      </c>
      <c r="J282" s="592"/>
      <c r="K282" s="592"/>
      <c r="L282" s="583"/>
      <c r="M282" s="583"/>
      <c r="N282" s="583"/>
      <c r="O282" s="583"/>
      <c r="P282" s="583"/>
      <c r="Q282" s="583"/>
      <c r="R282" s="583"/>
      <c r="S282" s="583"/>
      <c r="T282" s="583"/>
      <c r="U282" s="583"/>
      <c r="V282" s="583"/>
      <c r="W282" s="583"/>
      <c r="X282" s="583"/>
      <c r="Y282" s="583"/>
      <c r="Z282" s="583"/>
      <c r="AA282" s="583"/>
      <c r="AB282" s="583"/>
      <c r="AC282" s="583"/>
      <c r="AD282" s="583"/>
      <c r="AE282" s="583"/>
      <c r="AF282" s="583"/>
      <c r="AG282" s="583"/>
      <c r="AI282" s="655"/>
      <c r="AJ282" s="656"/>
      <c r="AK282" s="656"/>
      <c r="AL282" s="656"/>
      <c r="AM282" s="656"/>
      <c r="AN282" s="656"/>
      <c r="AO282" s="656"/>
      <c r="AP282" s="656"/>
      <c r="AQ282" s="656"/>
      <c r="AR282" s="656"/>
      <c r="AS282" s="656"/>
      <c r="AT282" s="656"/>
      <c r="AU282" s="656"/>
      <c r="AV282" s="656"/>
      <c r="AW282" s="656"/>
      <c r="AX282" s="656"/>
      <c r="AY282" s="656"/>
      <c r="AZ282" s="656"/>
      <c r="BA282" s="656"/>
      <c r="BB282" s="656"/>
      <c r="BC282" s="656"/>
      <c r="BD282" s="656"/>
    </row>
    <row r="283" spans="1:56">
      <c r="A283" s="587" t="s">
        <v>17</v>
      </c>
      <c r="B283" s="592"/>
      <c r="C283" s="592"/>
      <c r="D283" s="592"/>
      <c r="E283" s="592"/>
      <c r="F283" s="592"/>
      <c r="G283" s="592"/>
      <c r="H283" s="680">
        <f>H256</f>
        <v>-0.04</v>
      </c>
      <c r="I283" s="592" t="s">
        <v>108</v>
      </c>
      <c r="J283" s="592"/>
      <c r="K283" s="592"/>
      <c r="L283" s="583"/>
      <c r="M283" s="583"/>
      <c r="N283" s="583"/>
      <c r="O283" s="583"/>
      <c r="P283" s="583"/>
      <c r="Q283" s="583"/>
      <c r="R283" s="583"/>
      <c r="S283" s="583"/>
      <c r="T283" s="583"/>
      <c r="U283" s="583"/>
      <c r="V283" s="583"/>
      <c r="W283" s="583"/>
      <c r="X283" s="583"/>
      <c r="Y283" s="583"/>
      <c r="Z283" s="583"/>
      <c r="AA283" s="583"/>
      <c r="AB283" s="583"/>
      <c r="AC283" s="583"/>
      <c r="AD283" s="583"/>
      <c r="AE283" s="583"/>
      <c r="AF283" s="583"/>
      <c r="AG283" s="583"/>
      <c r="AI283" s="655"/>
      <c r="AJ283" s="656"/>
      <c r="AK283" s="656"/>
      <c r="AL283" s="656"/>
      <c r="AM283" s="656"/>
      <c r="AN283" s="656"/>
      <c r="AO283" s="656"/>
      <c r="AP283" s="656"/>
      <c r="AQ283" s="656"/>
      <c r="AR283" s="656"/>
      <c r="AS283" s="656"/>
      <c r="AT283" s="656"/>
      <c r="AU283" s="656"/>
      <c r="AV283" s="656"/>
      <c r="AW283" s="656"/>
      <c r="AX283" s="656"/>
      <c r="AY283" s="656"/>
      <c r="AZ283" s="656"/>
      <c r="BA283" s="656"/>
      <c r="BB283" s="656"/>
      <c r="BC283" s="656"/>
      <c r="BD283" s="656"/>
    </row>
    <row r="284" spans="1:56">
      <c r="A284" s="587" t="s">
        <v>188</v>
      </c>
      <c r="B284" s="592"/>
      <c r="C284" s="592"/>
      <c r="D284" s="592"/>
      <c r="E284" s="592"/>
      <c r="F284" s="592"/>
      <c r="G284" s="592"/>
      <c r="H284" s="680">
        <f>H257</f>
        <v>0</v>
      </c>
      <c r="I284" s="592" t="s">
        <v>108</v>
      </c>
      <c r="J284" s="592"/>
      <c r="K284" s="592"/>
      <c r="L284" s="583"/>
      <c r="M284" s="583"/>
      <c r="N284" s="583"/>
      <c r="O284" s="583"/>
      <c r="P284" s="583"/>
      <c r="Q284" s="583"/>
      <c r="R284" s="583"/>
      <c r="S284" s="583"/>
      <c r="T284" s="583"/>
      <c r="U284" s="583"/>
      <c r="V284" s="583"/>
      <c r="W284" s="583"/>
      <c r="X284" s="583"/>
      <c r="Y284" s="583"/>
      <c r="Z284" s="583"/>
      <c r="AA284" s="583"/>
      <c r="AB284" s="583"/>
      <c r="AC284" s="583"/>
      <c r="AD284" s="583"/>
      <c r="AE284" s="583"/>
      <c r="AF284" s="583"/>
      <c r="AG284" s="583"/>
      <c r="AI284" s="655"/>
      <c r="AJ284" s="656"/>
      <c r="AK284" s="656"/>
      <c r="AL284" s="656"/>
      <c r="AM284" s="656"/>
      <c r="AN284" s="656"/>
      <c r="AO284" s="656"/>
      <c r="AP284" s="656"/>
      <c r="AQ284" s="656"/>
      <c r="AR284" s="656"/>
      <c r="AS284" s="656"/>
      <c r="AT284" s="656"/>
      <c r="AU284" s="656"/>
      <c r="AV284" s="656"/>
      <c r="AW284" s="656"/>
      <c r="AX284" s="656"/>
      <c r="AY284" s="656"/>
      <c r="AZ284" s="656"/>
      <c r="BA284" s="656"/>
      <c r="BB284" s="656"/>
      <c r="BC284" s="656"/>
      <c r="BD284" s="656"/>
    </row>
    <row r="285" spans="1:56">
      <c r="A285" s="587" t="s">
        <v>189</v>
      </c>
      <c r="B285" s="592"/>
      <c r="C285" s="592"/>
      <c r="D285" s="592"/>
      <c r="E285" s="592"/>
      <c r="F285" s="592"/>
      <c r="G285" s="592"/>
      <c r="H285" s="682">
        <f>SUM(H280:H284)</f>
        <v>-1.42</v>
      </c>
      <c r="I285" s="592" t="s">
        <v>108</v>
      </c>
      <c r="J285" s="592"/>
      <c r="K285" s="592"/>
      <c r="L285" s="583"/>
      <c r="M285" s="583"/>
      <c r="N285" s="583"/>
      <c r="O285" s="583"/>
      <c r="P285" s="583"/>
      <c r="Q285" s="583"/>
      <c r="R285" s="583"/>
      <c r="S285" s="583"/>
      <c r="T285" s="583"/>
      <c r="U285" s="583"/>
      <c r="V285" s="583"/>
      <c r="W285" s="583"/>
      <c r="X285" s="583"/>
      <c r="Y285" s="583"/>
      <c r="Z285" s="583"/>
      <c r="AA285" s="583"/>
      <c r="AB285" s="583"/>
      <c r="AC285" s="583"/>
      <c r="AD285" s="583"/>
      <c r="AE285" s="583"/>
      <c r="AF285" s="583"/>
      <c r="AG285" s="583"/>
      <c r="AI285" s="655"/>
      <c r="AJ285" s="656"/>
      <c r="AK285" s="656"/>
      <c r="AL285" s="656"/>
      <c r="AM285" s="656"/>
      <c r="AN285" s="656"/>
      <c r="AO285" s="656"/>
      <c r="AP285" s="656"/>
      <c r="AQ285" s="656"/>
      <c r="AR285" s="656"/>
      <c r="AS285" s="656"/>
      <c r="AT285" s="656"/>
      <c r="AU285" s="656"/>
      <c r="AV285" s="656"/>
      <c r="AW285" s="656"/>
      <c r="AX285" s="656"/>
      <c r="AY285" s="656"/>
      <c r="AZ285" s="656"/>
      <c r="BA285" s="656"/>
      <c r="BB285" s="656"/>
      <c r="BC285" s="656"/>
      <c r="BD285" s="656"/>
    </row>
    <row r="286" spans="1:56">
      <c r="A286" s="587"/>
      <c r="B286" s="592"/>
      <c r="C286" s="592"/>
      <c r="D286" s="592"/>
      <c r="E286" s="592"/>
      <c r="F286" s="592"/>
      <c r="G286" s="592"/>
      <c r="H286" s="592"/>
      <c r="I286" s="592"/>
      <c r="J286" s="592"/>
      <c r="K286" s="592"/>
      <c r="L286" s="583"/>
      <c r="M286" s="583"/>
      <c r="N286" s="583"/>
      <c r="O286" s="583"/>
      <c r="P286" s="583"/>
      <c r="Q286" s="583"/>
      <c r="R286" s="583"/>
      <c r="S286" s="583"/>
      <c r="T286" s="583"/>
      <c r="U286" s="583"/>
      <c r="V286" s="583"/>
      <c r="W286" s="583"/>
      <c r="X286" s="583"/>
      <c r="Y286" s="583"/>
      <c r="Z286" s="583"/>
      <c r="AA286" s="583"/>
      <c r="AB286" s="583"/>
      <c r="AC286" s="583"/>
      <c r="AD286" s="583"/>
      <c r="AE286" s="583"/>
      <c r="AF286" s="583"/>
      <c r="AG286" s="583"/>
      <c r="AI286" s="655"/>
      <c r="AJ286" s="656"/>
      <c r="AK286" s="656"/>
      <c r="AL286" s="656"/>
      <c r="AM286" s="656"/>
      <c r="AN286" s="656"/>
      <c r="AO286" s="656"/>
      <c r="AP286" s="656"/>
      <c r="AQ286" s="656"/>
      <c r="AR286" s="656"/>
      <c r="AS286" s="656"/>
      <c r="AT286" s="656"/>
      <c r="AU286" s="656"/>
      <c r="AV286" s="656"/>
      <c r="AW286" s="656"/>
      <c r="AX286" s="656"/>
      <c r="AY286" s="656"/>
      <c r="AZ286" s="656"/>
      <c r="BA286" s="656"/>
      <c r="BB286" s="656"/>
      <c r="BC286" s="656"/>
      <c r="BD286" s="656"/>
    </row>
    <row r="287" spans="1:56">
      <c r="A287" s="587" t="s">
        <v>1</v>
      </c>
      <c r="B287" s="592"/>
      <c r="C287" s="592"/>
      <c r="D287" s="592"/>
      <c r="E287" s="592"/>
      <c r="F287" s="592"/>
      <c r="G287" s="592"/>
      <c r="H287" s="680">
        <f>H277+H285</f>
        <v>4.1774896856464849</v>
      </c>
      <c r="I287" s="592" t="s">
        <v>108</v>
      </c>
      <c r="J287" s="592"/>
      <c r="K287" s="592"/>
      <c r="L287" s="583"/>
      <c r="M287" s="583"/>
      <c r="N287" s="583"/>
      <c r="O287" s="583"/>
      <c r="P287" s="583"/>
      <c r="Q287" s="583"/>
      <c r="R287" s="583"/>
      <c r="S287" s="583"/>
      <c r="T287" s="583"/>
      <c r="U287" s="583"/>
      <c r="V287" s="583"/>
      <c r="W287" s="583"/>
      <c r="X287" s="583"/>
      <c r="Y287" s="583"/>
      <c r="Z287" s="583"/>
      <c r="AA287" s="583"/>
      <c r="AB287" s="583"/>
      <c r="AC287" s="583"/>
      <c r="AD287" s="583"/>
      <c r="AE287" s="583"/>
      <c r="AF287" s="583"/>
      <c r="AG287" s="583"/>
      <c r="AI287" s="655"/>
      <c r="AJ287" s="656"/>
      <c r="AK287" s="656"/>
      <c r="AL287" s="656"/>
      <c r="AM287" s="656"/>
      <c r="AN287" s="656"/>
      <c r="AO287" s="656"/>
      <c r="AP287" s="656"/>
      <c r="AQ287" s="656"/>
      <c r="AR287" s="656"/>
      <c r="AS287" s="656"/>
      <c r="AT287" s="656"/>
      <c r="AU287" s="656"/>
      <c r="AV287" s="656"/>
      <c r="AW287" s="656"/>
      <c r="AX287" s="656"/>
      <c r="AY287" s="656"/>
      <c r="AZ287" s="656"/>
      <c r="BA287" s="656"/>
      <c r="BB287" s="656"/>
      <c r="BC287" s="656"/>
      <c r="BD287" s="656"/>
    </row>
    <row r="288" spans="1:56">
      <c r="A288" s="587"/>
      <c r="B288" s="592"/>
      <c r="C288" s="592"/>
      <c r="D288" s="592"/>
      <c r="E288" s="592"/>
      <c r="F288" s="592"/>
      <c r="G288" s="592"/>
      <c r="H288" s="592"/>
      <c r="I288" s="592"/>
      <c r="J288" s="592"/>
      <c r="K288" s="592"/>
      <c r="L288" s="583"/>
      <c r="M288" s="583"/>
      <c r="N288" s="583"/>
      <c r="O288" s="583"/>
      <c r="P288" s="583"/>
      <c r="Q288" s="583"/>
      <c r="R288" s="583"/>
      <c r="S288" s="583"/>
      <c r="T288" s="583"/>
      <c r="U288" s="583"/>
      <c r="V288" s="583"/>
      <c r="W288" s="583"/>
      <c r="X288" s="583"/>
      <c r="Y288" s="583"/>
      <c r="Z288" s="583"/>
      <c r="AA288" s="583"/>
      <c r="AB288" s="583"/>
      <c r="AC288" s="583"/>
      <c r="AD288" s="583"/>
      <c r="AE288" s="583"/>
      <c r="AF288" s="583"/>
      <c r="AG288" s="583"/>
      <c r="AI288" s="655"/>
      <c r="AJ288" s="656"/>
      <c r="AK288" s="656"/>
      <c r="AL288" s="656"/>
      <c r="AM288" s="656"/>
      <c r="AN288" s="656"/>
      <c r="AO288" s="656"/>
      <c r="AP288" s="656"/>
      <c r="AQ288" s="656"/>
      <c r="AR288" s="656"/>
      <c r="AS288" s="656"/>
      <c r="AT288" s="656"/>
      <c r="AU288" s="656"/>
      <c r="AV288" s="656"/>
      <c r="AW288" s="656"/>
      <c r="AX288" s="656"/>
      <c r="AY288" s="656"/>
      <c r="AZ288" s="656"/>
      <c r="BA288" s="656"/>
      <c r="BB288" s="656"/>
      <c r="BC288" s="656"/>
      <c r="BD288" s="656"/>
    </row>
    <row r="289" spans="1:56">
      <c r="A289" s="587" t="s">
        <v>190</v>
      </c>
      <c r="B289" s="592"/>
      <c r="C289" s="592"/>
      <c r="D289" s="592"/>
      <c r="E289" s="592"/>
      <c r="F289" s="592"/>
      <c r="G289" s="592"/>
      <c r="H289" s="683">
        <f>H262</f>
        <v>46.89</v>
      </c>
      <c r="I289" s="592" t="s">
        <v>108</v>
      </c>
      <c r="J289" s="592"/>
      <c r="K289" s="592"/>
      <c r="L289" s="583"/>
      <c r="M289" s="583"/>
      <c r="N289" s="583"/>
      <c r="O289" s="583"/>
      <c r="P289" s="583"/>
      <c r="Q289" s="583"/>
      <c r="R289" s="583"/>
      <c r="S289" s="583"/>
      <c r="T289" s="583"/>
      <c r="U289" s="583"/>
      <c r="V289" s="583"/>
      <c r="W289" s="583"/>
      <c r="X289" s="583"/>
      <c r="Y289" s="583"/>
      <c r="Z289" s="583"/>
      <c r="AA289" s="583"/>
      <c r="AB289" s="583"/>
      <c r="AC289" s="583"/>
      <c r="AD289" s="583"/>
      <c r="AE289" s="583"/>
      <c r="AF289" s="583"/>
      <c r="AG289" s="583"/>
      <c r="AI289" s="655"/>
      <c r="AJ289" s="656"/>
      <c r="AK289" s="656"/>
      <c r="AL289" s="656"/>
      <c r="AM289" s="656"/>
      <c r="AN289" s="656"/>
      <c r="AO289" s="656"/>
      <c r="AP289" s="656"/>
      <c r="AQ289" s="656"/>
      <c r="AR289" s="656"/>
      <c r="AS289" s="656"/>
      <c r="AT289" s="656"/>
      <c r="AU289" s="656"/>
      <c r="AV289" s="656"/>
      <c r="AW289" s="656"/>
      <c r="AX289" s="656"/>
      <c r="AY289" s="656"/>
      <c r="AZ289" s="656"/>
      <c r="BA289" s="656"/>
      <c r="BB289" s="656"/>
      <c r="BC289" s="656"/>
      <c r="BD289" s="656"/>
    </row>
    <row r="290" spans="1:56">
      <c r="A290" s="587"/>
      <c r="B290" s="592"/>
      <c r="C290" s="592"/>
      <c r="D290" s="592"/>
      <c r="E290" s="592"/>
      <c r="F290" s="592"/>
      <c r="G290" s="592"/>
      <c r="H290" s="592"/>
      <c r="I290" s="592"/>
      <c r="J290" s="592"/>
      <c r="K290" s="592"/>
      <c r="L290" s="583"/>
      <c r="M290" s="583"/>
      <c r="N290" s="583"/>
      <c r="O290" s="583"/>
      <c r="P290" s="583"/>
      <c r="Q290" s="583"/>
      <c r="R290" s="583"/>
      <c r="S290" s="583"/>
      <c r="T290" s="583"/>
      <c r="U290" s="583"/>
      <c r="V290" s="583"/>
      <c r="W290" s="583"/>
      <c r="X290" s="583"/>
      <c r="Y290" s="583"/>
      <c r="Z290" s="583"/>
      <c r="AA290" s="583"/>
      <c r="AB290" s="583"/>
      <c r="AC290" s="583"/>
      <c r="AD290" s="583"/>
      <c r="AE290" s="583"/>
      <c r="AF290" s="583"/>
      <c r="AG290" s="583"/>
      <c r="AI290" s="655"/>
      <c r="AJ290" s="656"/>
      <c r="AK290" s="656"/>
      <c r="AL290" s="656"/>
      <c r="AM290" s="656"/>
      <c r="AN290" s="656"/>
      <c r="AO290" s="656"/>
      <c r="AP290" s="656"/>
      <c r="AQ290" s="656"/>
      <c r="AR290" s="656"/>
      <c r="AS290" s="656"/>
      <c r="AT290" s="656"/>
      <c r="AU290" s="656"/>
      <c r="AV290" s="656"/>
      <c r="AW290" s="656"/>
      <c r="AX290" s="656"/>
      <c r="AY290" s="656"/>
      <c r="AZ290" s="656"/>
      <c r="BA290" s="656"/>
      <c r="BB290" s="656"/>
      <c r="BC290" s="656"/>
      <c r="BD290" s="656"/>
    </row>
    <row r="291" spans="1:56" ht="13.5" thickBot="1">
      <c r="A291" s="587" t="s">
        <v>191</v>
      </c>
      <c r="B291" s="592"/>
      <c r="C291" s="592"/>
      <c r="D291" s="592"/>
      <c r="E291" s="592"/>
      <c r="F291" s="592"/>
      <c r="G291" s="592"/>
      <c r="H291" s="684">
        <f>(H287)/(H289/100)</f>
        <v>8.9091270753817131</v>
      </c>
      <c r="I291" s="592" t="s">
        <v>108</v>
      </c>
      <c r="J291" s="592"/>
      <c r="K291" s="592"/>
      <c r="L291" s="583"/>
      <c r="M291" s="583"/>
      <c r="N291" s="583"/>
      <c r="O291" s="583"/>
      <c r="P291" s="583"/>
      <c r="Q291" s="583"/>
      <c r="R291" s="583"/>
      <c r="S291" s="583"/>
      <c r="T291" s="583"/>
      <c r="U291" s="583"/>
      <c r="V291" s="583"/>
      <c r="W291" s="583"/>
      <c r="X291" s="583"/>
      <c r="Y291" s="583"/>
      <c r="Z291" s="583"/>
      <c r="AA291" s="583"/>
      <c r="AB291" s="583"/>
      <c r="AC291" s="583"/>
      <c r="AD291" s="583"/>
      <c r="AE291" s="583"/>
      <c r="AF291" s="583"/>
      <c r="AG291" s="583"/>
      <c r="AI291" s="655"/>
      <c r="AJ291" s="656"/>
      <c r="AK291" s="656"/>
      <c r="AL291" s="656"/>
      <c r="AM291" s="656"/>
      <c r="AN291" s="656"/>
      <c r="AO291" s="656"/>
      <c r="AP291" s="656"/>
      <c r="AQ291" s="656"/>
      <c r="AR291" s="656"/>
      <c r="AS291" s="656"/>
      <c r="AT291" s="656"/>
      <c r="AU291" s="656"/>
      <c r="AV291" s="656"/>
      <c r="AW291" s="656"/>
      <c r="AX291" s="656"/>
      <c r="AY291" s="656"/>
      <c r="AZ291" s="656"/>
      <c r="BA291" s="656"/>
      <c r="BB291" s="656"/>
      <c r="BC291" s="656"/>
      <c r="BD291" s="656"/>
    </row>
    <row r="292" spans="1:56" ht="13.5" thickTop="1">
      <c r="AI292" s="655"/>
      <c r="AJ292" s="656"/>
      <c r="AK292" s="656"/>
      <c r="AL292" s="656"/>
      <c r="AM292" s="656"/>
      <c r="AN292" s="656"/>
      <c r="AO292" s="656"/>
      <c r="AP292" s="656"/>
      <c r="AQ292" s="656"/>
      <c r="AR292" s="656"/>
      <c r="AS292" s="656"/>
      <c r="AT292" s="656"/>
      <c r="AU292" s="656"/>
      <c r="AV292" s="656"/>
      <c r="AW292" s="656"/>
      <c r="AX292" s="656"/>
      <c r="AY292" s="656"/>
      <c r="AZ292" s="656"/>
      <c r="BA292" s="656"/>
      <c r="BB292" s="656"/>
      <c r="BC292" s="656"/>
      <c r="BD292" s="656"/>
    </row>
    <row r="293" spans="1:56">
      <c r="AI293" s="655"/>
      <c r="AJ293" s="656"/>
      <c r="AK293" s="656"/>
      <c r="AL293" s="656"/>
      <c r="AM293" s="656"/>
      <c r="AN293" s="656"/>
      <c r="AO293" s="656"/>
      <c r="AP293" s="656"/>
      <c r="AQ293" s="656"/>
      <c r="AR293" s="656"/>
      <c r="AS293" s="656"/>
      <c r="AT293" s="656"/>
      <c r="AU293" s="656"/>
      <c r="AV293" s="656"/>
      <c r="AW293" s="656"/>
      <c r="AX293" s="656"/>
      <c r="AY293" s="656"/>
      <c r="AZ293" s="656"/>
      <c r="BA293" s="656"/>
      <c r="BB293" s="656"/>
      <c r="BC293" s="656"/>
      <c r="BD293" s="656"/>
    </row>
    <row r="294" spans="1:56">
      <c r="AI294" s="655"/>
      <c r="AJ294" s="656"/>
      <c r="AK294" s="656"/>
      <c r="AL294" s="656"/>
      <c r="AM294" s="656"/>
      <c r="AN294" s="656"/>
      <c r="AO294" s="656"/>
      <c r="AP294" s="656"/>
      <c r="AQ294" s="656"/>
      <c r="AR294" s="656"/>
      <c r="AS294" s="656"/>
      <c r="AT294" s="656"/>
      <c r="AU294" s="656"/>
      <c r="AV294" s="656"/>
      <c r="AW294" s="656"/>
      <c r="AX294" s="656"/>
      <c r="AY294" s="656"/>
      <c r="AZ294" s="656"/>
      <c r="BA294" s="656"/>
      <c r="BB294" s="656"/>
      <c r="BC294" s="656"/>
      <c r="BD294" s="656"/>
    </row>
    <row r="295" spans="1:56">
      <c r="AI295" s="655"/>
      <c r="AJ295" s="656"/>
      <c r="AK295" s="656"/>
      <c r="AL295" s="656"/>
      <c r="AM295" s="656"/>
      <c r="AN295" s="656"/>
      <c r="AO295" s="656"/>
      <c r="AP295" s="656"/>
      <c r="AQ295" s="656"/>
      <c r="AR295" s="656"/>
      <c r="AS295" s="656"/>
      <c r="AT295" s="656"/>
      <c r="AU295" s="656"/>
      <c r="AV295" s="656"/>
      <c r="AW295" s="656"/>
      <c r="AX295" s="656"/>
      <c r="AY295" s="656"/>
      <c r="AZ295" s="656"/>
      <c r="BA295" s="656"/>
      <c r="BB295" s="656"/>
      <c r="BC295" s="656"/>
      <c r="BD295" s="656"/>
    </row>
    <row r="296" spans="1:56">
      <c r="AI296" s="655"/>
      <c r="AJ296" s="656"/>
      <c r="AK296" s="656"/>
      <c r="AL296" s="656"/>
      <c r="AM296" s="656"/>
      <c r="AN296" s="656"/>
      <c r="AO296" s="656"/>
      <c r="AP296" s="656"/>
      <c r="AQ296" s="656"/>
      <c r="AR296" s="656"/>
      <c r="AS296" s="656"/>
      <c r="AT296" s="656"/>
      <c r="AU296" s="656"/>
      <c r="AV296" s="656"/>
      <c r="AW296" s="656"/>
      <c r="AX296" s="656"/>
      <c r="AY296" s="656"/>
      <c r="AZ296" s="656"/>
      <c r="BA296" s="656"/>
      <c r="BB296" s="656"/>
      <c r="BC296" s="656"/>
      <c r="BD296" s="656"/>
    </row>
    <row r="297" spans="1:56">
      <c r="AI297" s="655"/>
      <c r="AJ297" s="656"/>
      <c r="AK297" s="656"/>
      <c r="AL297" s="656"/>
      <c r="AM297" s="656"/>
      <c r="AN297" s="656"/>
      <c r="AO297" s="656"/>
      <c r="AP297" s="656"/>
      <c r="AQ297" s="656"/>
      <c r="AR297" s="656"/>
      <c r="AS297" s="656"/>
      <c r="AT297" s="656"/>
      <c r="AU297" s="656"/>
      <c r="AV297" s="656"/>
      <c r="AW297" s="656"/>
      <c r="AX297" s="656"/>
      <c r="AY297" s="656"/>
      <c r="AZ297" s="656"/>
      <c r="BA297" s="656"/>
      <c r="BB297" s="656"/>
      <c r="BC297" s="656"/>
      <c r="BD297" s="656"/>
    </row>
    <row r="298" spans="1:56">
      <c r="AI298" s="655"/>
      <c r="AJ298" s="656"/>
      <c r="AK298" s="656"/>
      <c r="AL298" s="656"/>
      <c r="AM298" s="656"/>
      <c r="AN298" s="656"/>
      <c r="AO298" s="656"/>
      <c r="AP298" s="656"/>
      <c r="AQ298" s="656"/>
      <c r="AR298" s="656"/>
      <c r="AS298" s="656"/>
      <c r="AT298" s="656"/>
      <c r="AU298" s="656"/>
      <c r="AV298" s="656"/>
      <c r="AW298" s="656"/>
      <c r="AX298" s="656"/>
      <c r="AY298" s="656"/>
      <c r="AZ298" s="656"/>
      <c r="BA298" s="656"/>
      <c r="BB298" s="656"/>
      <c r="BC298" s="656"/>
      <c r="BD298" s="656"/>
    </row>
    <row r="299" spans="1:56">
      <c r="AI299" s="655"/>
      <c r="AJ299" s="656"/>
      <c r="AK299" s="656"/>
      <c r="AL299" s="656"/>
      <c r="AM299" s="656"/>
      <c r="AN299" s="656"/>
      <c r="AO299" s="656"/>
      <c r="AP299" s="656"/>
      <c r="AQ299" s="656"/>
      <c r="AR299" s="656"/>
      <c r="AS299" s="656"/>
      <c r="AT299" s="656"/>
      <c r="AU299" s="656"/>
      <c r="AV299" s="656"/>
      <c r="AW299" s="656"/>
      <c r="AX299" s="656"/>
      <c r="AY299" s="656"/>
      <c r="AZ299" s="656"/>
      <c r="BA299" s="656"/>
      <c r="BB299" s="656"/>
      <c r="BC299" s="656"/>
      <c r="BD299" s="656"/>
    </row>
    <row r="300" spans="1:56">
      <c r="AI300" s="655"/>
      <c r="AJ300" s="656"/>
      <c r="AK300" s="656"/>
      <c r="AL300" s="656"/>
      <c r="AM300" s="656"/>
      <c r="AN300" s="656"/>
      <c r="AO300" s="656"/>
      <c r="AP300" s="656"/>
      <c r="AQ300" s="656"/>
      <c r="AR300" s="656"/>
      <c r="AS300" s="656"/>
      <c r="AT300" s="656"/>
      <c r="AU300" s="656"/>
      <c r="AV300" s="656"/>
      <c r="AW300" s="656"/>
      <c r="AX300" s="656"/>
      <c r="AY300" s="656"/>
      <c r="AZ300" s="656"/>
      <c r="BA300" s="656"/>
      <c r="BB300" s="656"/>
      <c r="BC300" s="656"/>
      <c r="BD300" s="656"/>
    </row>
    <row r="301" spans="1:56">
      <c r="AI301" s="655"/>
      <c r="AJ301" s="656"/>
      <c r="AK301" s="656"/>
      <c r="AL301" s="656"/>
      <c r="AM301" s="656"/>
      <c r="AN301" s="656"/>
      <c r="AO301" s="656"/>
      <c r="AP301" s="656"/>
      <c r="AQ301" s="656"/>
      <c r="AR301" s="656"/>
      <c r="AS301" s="656"/>
      <c r="AT301" s="656"/>
      <c r="AU301" s="656"/>
      <c r="AV301" s="656"/>
      <c r="AW301" s="656"/>
      <c r="AX301" s="656"/>
      <c r="AY301" s="656"/>
      <c r="AZ301" s="656"/>
      <c r="BA301" s="656"/>
      <c r="BB301" s="656"/>
      <c r="BC301" s="656"/>
      <c r="BD301" s="656"/>
    </row>
    <row r="302" spans="1:56">
      <c r="AI302" s="655"/>
      <c r="AJ302" s="656"/>
      <c r="AK302" s="656"/>
      <c r="AL302" s="656"/>
      <c r="AM302" s="656"/>
      <c r="AN302" s="656"/>
      <c r="AO302" s="656"/>
      <c r="AP302" s="656"/>
      <c r="AQ302" s="656"/>
      <c r="AR302" s="656"/>
      <c r="AS302" s="656"/>
      <c r="AT302" s="656"/>
      <c r="AU302" s="656"/>
      <c r="AV302" s="656"/>
      <c r="AW302" s="656"/>
      <c r="AX302" s="656"/>
      <c r="AY302" s="656"/>
      <c r="AZ302" s="656"/>
      <c r="BA302" s="656"/>
      <c r="BB302" s="656"/>
      <c r="BC302" s="656"/>
      <c r="BD302" s="656"/>
    </row>
    <row r="303" spans="1:56">
      <c r="AI303" s="655"/>
      <c r="AJ303" s="656"/>
      <c r="AK303" s="656"/>
      <c r="AL303" s="656"/>
      <c r="AM303" s="656"/>
      <c r="AN303" s="656"/>
      <c r="AO303" s="656"/>
      <c r="AP303" s="656"/>
      <c r="AQ303" s="656"/>
      <c r="AR303" s="656"/>
      <c r="AS303" s="656"/>
      <c r="AT303" s="656"/>
      <c r="AU303" s="656"/>
      <c r="AV303" s="656"/>
      <c r="AW303" s="656"/>
      <c r="AX303" s="656"/>
      <c r="AY303" s="656"/>
      <c r="AZ303" s="656"/>
      <c r="BA303" s="656"/>
      <c r="BB303" s="656"/>
      <c r="BC303" s="656"/>
      <c r="BD303" s="656"/>
    </row>
    <row r="304" spans="1:56">
      <c r="AI304" s="655"/>
      <c r="AJ304" s="656"/>
      <c r="AK304" s="656"/>
      <c r="AL304" s="656"/>
      <c r="AM304" s="656"/>
      <c r="AN304" s="656"/>
      <c r="AO304" s="656"/>
      <c r="AP304" s="656"/>
      <c r="AQ304" s="656"/>
      <c r="AR304" s="656"/>
      <c r="AS304" s="656"/>
      <c r="AT304" s="656"/>
      <c r="AU304" s="656"/>
      <c r="AV304" s="656"/>
      <c r="AW304" s="656"/>
      <c r="AX304" s="656"/>
      <c r="AY304" s="656"/>
      <c r="AZ304" s="656"/>
      <c r="BA304" s="656"/>
      <c r="BB304" s="656"/>
      <c r="BC304" s="656"/>
      <c r="BD304" s="656"/>
    </row>
    <row r="305" spans="35:56">
      <c r="AI305" s="655"/>
      <c r="AJ305" s="656"/>
      <c r="AK305" s="656"/>
      <c r="AL305" s="656"/>
      <c r="AM305" s="656"/>
      <c r="AN305" s="656"/>
      <c r="AO305" s="656"/>
      <c r="AP305" s="656"/>
      <c r="AQ305" s="656"/>
      <c r="AR305" s="656"/>
      <c r="AS305" s="656"/>
      <c r="AT305" s="656"/>
      <c r="AU305" s="656"/>
      <c r="AV305" s="656"/>
      <c r="AW305" s="656"/>
      <c r="AX305" s="656"/>
      <c r="AY305" s="656"/>
      <c r="AZ305" s="656"/>
      <c r="BA305" s="656"/>
      <c r="BB305" s="656"/>
      <c r="BC305" s="656"/>
      <c r="BD305" s="656"/>
    </row>
    <row r="306" spans="35:56">
      <c r="AI306" s="655"/>
      <c r="AJ306" s="656"/>
      <c r="AK306" s="656"/>
      <c r="AL306" s="656"/>
      <c r="AM306" s="656"/>
      <c r="AN306" s="656"/>
      <c r="AO306" s="656"/>
      <c r="AP306" s="656"/>
      <c r="AQ306" s="656"/>
      <c r="AR306" s="656"/>
      <c r="AS306" s="656"/>
      <c r="AT306" s="656"/>
      <c r="AU306" s="656"/>
      <c r="AV306" s="656"/>
      <c r="AW306" s="656"/>
      <c r="AX306" s="656"/>
      <c r="AY306" s="656"/>
      <c r="AZ306" s="656"/>
      <c r="BA306" s="656"/>
      <c r="BB306" s="656"/>
      <c r="BC306" s="656"/>
      <c r="BD306" s="656"/>
    </row>
    <row r="307" spans="35:56">
      <c r="AI307" s="655"/>
      <c r="AJ307" s="656"/>
      <c r="AK307" s="656"/>
      <c r="AL307" s="656"/>
      <c r="AM307" s="656"/>
      <c r="AN307" s="656"/>
      <c r="AO307" s="656"/>
      <c r="AP307" s="656"/>
      <c r="AQ307" s="656"/>
      <c r="AR307" s="656"/>
      <c r="AS307" s="656"/>
      <c r="AT307" s="656"/>
      <c r="AU307" s="656"/>
      <c r="AV307" s="656"/>
      <c r="AW307" s="656"/>
      <c r="AX307" s="656"/>
      <c r="AY307" s="656"/>
      <c r="AZ307" s="656"/>
      <c r="BA307" s="656"/>
      <c r="BB307" s="656"/>
      <c r="BC307" s="656"/>
      <c r="BD307" s="656"/>
    </row>
    <row r="308" spans="35:56">
      <c r="AI308" s="655"/>
      <c r="AJ308" s="656"/>
      <c r="AK308" s="656"/>
      <c r="AL308" s="656"/>
      <c r="AM308" s="656"/>
      <c r="AN308" s="656"/>
      <c r="AO308" s="656"/>
      <c r="AP308" s="656"/>
      <c r="AQ308" s="656"/>
      <c r="AR308" s="656"/>
      <c r="AS308" s="656"/>
      <c r="AT308" s="656"/>
      <c r="AU308" s="656"/>
      <c r="AV308" s="656"/>
      <c r="AW308" s="656"/>
      <c r="AX308" s="656"/>
      <c r="AY308" s="656"/>
      <c r="AZ308" s="656"/>
      <c r="BA308" s="656"/>
      <c r="BB308" s="656"/>
      <c r="BC308" s="656"/>
      <c r="BD308" s="656"/>
    </row>
    <row r="309" spans="35:56">
      <c r="AI309" s="655"/>
      <c r="AJ309" s="656"/>
      <c r="AK309" s="656"/>
      <c r="AL309" s="656"/>
      <c r="AM309" s="656"/>
      <c r="AN309" s="656"/>
      <c r="AO309" s="656"/>
      <c r="AP309" s="656"/>
      <c r="AQ309" s="656"/>
      <c r="AR309" s="656"/>
      <c r="AS309" s="656"/>
      <c r="AT309" s="656"/>
      <c r="AU309" s="656"/>
      <c r="AV309" s="656"/>
      <c r="AW309" s="656"/>
      <c r="AX309" s="656"/>
      <c r="AY309" s="656"/>
      <c r="AZ309" s="656"/>
      <c r="BA309" s="656"/>
      <c r="BB309" s="656"/>
      <c r="BC309" s="656"/>
      <c r="BD309" s="656"/>
    </row>
    <row r="310" spans="35:56">
      <c r="AI310" s="655"/>
      <c r="AJ310" s="656"/>
      <c r="AK310" s="656"/>
      <c r="AL310" s="656"/>
      <c r="AM310" s="656"/>
      <c r="AN310" s="656"/>
      <c r="AO310" s="656"/>
      <c r="AP310" s="656"/>
      <c r="AQ310" s="656"/>
      <c r="AR310" s="656"/>
      <c r="AS310" s="656"/>
      <c r="AT310" s="656"/>
      <c r="AU310" s="656"/>
      <c r="AV310" s="656"/>
      <c r="AW310" s="656"/>
      <c r="AX310" s="656"/>
      <c r="AY310" s="656"/>
      <c r="AZ310" s="656"/>
      <c r="BA310" s="656"/>
      <c r="BB310" s="656"/>
      <c r="BC310" s="656"/>
      <c r="BD310" s="656"/>
    </row>
    <row r="311" spans="35:56">
      <c r="AI311" s="655"/>
      <c r="AJ311" s="656"/>
      <c r="AK311" s="656"/>
      <c r="AL311" s="656"/>
      <c r="AM311" s="656"/>
      <c r="AN311" s="656"/>
      <c r="AO311" s="656"/>
      <c r="AP311" s="656"/>
      <c r="AQ311" s="656"/>
      <c r="AR311" s="656"/>
      <c r="AS311" s="656"/>
      <c r="AT311" s="656"/>
      <c r="AU311" s="656"/>
      <c r="AV311" s="656"/>
      <c r="AW311" s="656"/>
      <c r="AX311" s="656"/>
      <c r="AY311" s="656"/>
      <c r="AZ311" s="656"/>
      <c r="BA311" s="656"/>
      <c r="BB311" s="656"/>
      <c r="BC311" s="656"/>
      <c r="BD311" s="656"/>
    </row>
    <row r="312" spans="35:56">
      <c r="AI312" s="655"/>
      <c r="AJ312" s="656"/>
      <c r="AK312" s="656"/>
      <c r="AL312" s="656"/>
      <c r="AM312" s="656"/>
      <c r="AN312" s="656"/>
      <c r="AO312" s="656"/>
      <c r="AP312" s="656"/>
      <c r="AQ312" s="656"/>
      <c r="AR312" s="656"/>
      <c r="AS312" s="656"/>
      <c r="AT312" s="656"/>
      <c r="AU312" s="656"/>
      <c r="AV312" s="656"/>
      <c r="AW312" s="656"/>
      <c r="AX312" s="656"/>
      <c r="AY312" s="656"/>
      <c r="AZ312" s="656"/>
      <c r="BA312" s="656"/>
      <c r="BB312" s="656"/>
      <c r="BC312" s="656"/>
      <c r="BD312" s="656"/>
    </row>
    <row r="313" spans="35:56">
      <c r="AI313" s="655"/>
      <c r="AJ313" s="656"/>
      <c r="AK313" s="656"/>
      <c r="AL313" s="656"/>
      <c r="AM313" s="656"/>
      <c r="AN313" s="656"/>
      <c r="AO313" s="656"/>
      <c r="AP313" s="656"/>
      <c r="AQ313" s="656"/>
      <c r="AR313" s="656"/>
      <c r="AS313" s="656"/>
      <c r="AT313" s="656"/>
      <c r="AU313" s="656"/>
      <c r="AV313" s="656"/>
      <c r="AW313" s="656"/>
      <c r="AX313" s="656"/>
      <c r="AY313" s="656"/>
      <c r="AZ313" s="656"/>
      <c r="BA313" s="656"/>
      <c r="BB313" s="656"/>
      <c r="BC313" s="656"/>
      <c r="BD313" s="656"/>
    </row>
    <row r="314" spans="35:56">
      <c r="AI314" s="655"/>
      <c r="AJ314" s="656"/>
      <c r="AK314" s="656"/>
      <c r="AL314" s="656"/>
      <c r="AM314" s="656"/>
      <c r="AN314" s="656"/>
      <c r="AO314" s="656"/>
      <c r="AP314" s="656"/>
      <c r="AQ314" s="656"/>
      <c r="AR314" s="656"/>
      <c r="AS314" s="656"/>
      <c r="AT314" s="656"/>
      <c r="AU314" s="656"/>
      <c r="AV314" s="656"/>
      <c r="AW314" s="656"/>
      <c r="AX314" s="656"/>
      <c r="AY314" s="656"/>
      <c r="AZ314" s="656"/>
      <c r="BA314" s="656"/>
      <c r="BB314" s="656"/>
      <c r="BC314" s="656"/>
      <c r="BD314" s="656"/>
    </row>
    <row r="315" spans="35:56">
      <c r="AI315" s="655"/>
      <c r="AJ315" s="656"/>
      <c r="AK315" s="656"/>
      <c r="AL315" s="656"/>
      <c r="AM315" s="656"/>
      <c r="AN315" s="656"/>
      <c r="AO315" s="656"/>
      <c r="AP315" s="656"/>
      <c r="AQ315" s="656"/>
      <c r="AR315" s="656"/>
      <c r="AS315" s="656"/>
      <c r="AT315" s="656"/>
      <c r="AU315" s="656"/>
      <c r="AV315" s="656"/>
      <c r="AW315" s="656"/>
      <c r="AX315" s="656"/>
      <c r="AY315" s="656"/>
      <c r="AZ315" s="656"/>
      <c r="BA315" s="656"/>
      <c r="BB315" s="656"/>
      <c r="BC315" s="656"/>
      <c r="BD315" s="656"/>
    </row>
    <row r="316" spans="35:56">
      <c r="AI316" s="655"/>
      <c r="AJ316" s="656"/>
      <c r="AK316" s="656"/>
      <c r="AL316" s="656"/>
      <c r="AM316" s="656"/>
      <c r="AN316" s="656"/>
      <c r="AO316" s="656"/>
      <c r="AP316" s="656"/>
      <c r="AQ316" s="656"/>
      <c r="AR316" s="656"/>
      <c r="AS316" s="656"/>
      <c r="AT316" s="656"/>
      <c r="AU316" s="656"/>
      <c r="AV316" s="656"/>
      <c r="AW316" s="656"/>
      <c r="AX316" s="656"/>
      <c r="AY316" s="656"/>
      <c r="AZ316" s="656"/>
      <c r="BA316" s="656"/>
      <c r="BB316" s="656"/>
      <c r="BC316" s="656"/>
      <c r="BD316" s="656"/>
    </row>
    <row r="317" spans="35:56">
      <c r="AI317" s="655"/>
      <c r="AJ317" s="656"/>
      <c r="AK317" s="656"/>
      <c r="AL317" s="656"/>
      <c r="AM317" s="656"/>
      <c r="AN317" s="656"/>
      <c r="AO317" s="656"/>
      <c r="AP317" s="656"/>
      <c r="AQ317" s="656"/>
      <c r="AR317" s="656"/>
      <c r="AS317" s="656"/>
      <c r="AT317" s="656"/>
      <c r="AU317" s="656"/>
      <c r="AV317" s="656"/>
      <c r="AW317" s="656"/>
      <c r="AX317" s="656"/>
      <c r="AY317" s="656"/>
      <c r="AZ317" s="656"/>
      <c r="BA317" s="656"/>
      <c r="BB317" s="656"/>
      <c r="BC317" s="656"/>
      <c r="BD317" s="656"/>
    </row>
    <row r="318" spans="35:56">
      <c r="AI318" s="655"/>
      <c r="AJ318" s="656"/>
      <c r="AK318" s="656"/>
      <c r="AL318" s="656"/>
      <c r="AM318" s="656"/>
      <c r="AN318" s="656"/>
      <c r="AO318" s="656"/>
      <c r="AP318" s="656"/>
      <c r="AQ318" s="656"/>
      <c r="AR318" s="656"/>
      <c r="AS318" s="656"/>
      <c r="AT318" s="656"/>
      <c r="AU318" s="656"/>
      <c r="AV318" s="656"/>
      <c r="AW318" s="656"/>
      <c r="AX318" s="656"/>
      <c r="AY318" s="656"/>
      <c r="AZ318" s="656"/>
      <c r="BA318" s="656"/>
      <c r="BB318" s="656"/>
      <c r="BC318" s="656"/>
      <c r="BD318" s="656"/>
    </row>
    <row r="319" spans="35:56">
      <c r="AI319" s="655"/>
      <c r="AJ319" s="656"/>
      <c r="AK319" s="656"/>
      <c r="AL319" s="656"/>
      <c r="AM319" s="656"/>
      <c r="AN319" s="656"/>
      <c r="AO319" s="656"/>
      <c r="AP319" s="656"/>
      <c r="AQ319" s="656"/>
      <c r="AR319" s="656"/>
      <c r="AS319" s="656"/>
      <c r="AT319" s="656"/>
      <c r="AU319" s="656"/>
      <c r="AV319" s="656"/>
      <c r="AW319" s="656"/>
      <c r="AX319" s="656"/>
      <c r="AY319" s="656"/>
      <c r="AZ319" s="656"/>
      <c r="BA319" s="656"/>
      <c r="BB319" s="656"/>
      <c r="BC319" s="656"/>
      <c r="BD319" s="656"/>
    </row>
    <row r="320" spans="35:56">
      <c r="AI320" s="655"/>
      <c r="AJ320" s="656"/>
      <c r="AK320" s="656"/>
      <c r="AL320" s="656"/>
      <c r="AM320" s="656"/>
      <c r="AN320" s="656"/>
      <c r="AO320" s="656"/>
      <c r="AP320" s="656"/>
      <c r="AQ320" s="656"/>
      <c r="AR320" s="656"/>
      <c r="AS320" s="656"/>
      <c r="AT320" s="656"/>
      <c r="AU320" s="656"/>
      <c r="AV320" s="656"/>
      <c r="AW320" s="656"/>
      <c r="AX320" s="656"/>
      <c r="AY320" s="656"/>
      <c r="AZ320" s="656"/>
      <c r="BA320" s="656"/>
      <c r="BB320" s="656"/>
      <c r="BC320" s="656"/>
      <c r="BD320" s="656"/>
    </row>
    <row r="321" spans="35:56">
      <c r="AI321" s="655"/>
      <c r="AJ321" s="656"/>
      <c r="AK321" s="656"/>
      <c r="AL321" s="656"/>
      <c r="AM321" s="656"/>
      <c r="AN321" s="656"/>
      <c r="AO321" s="656"/>
      <c r="AP321" s="656"/>
      <c r="AQ321" s="656"/>
      <c r="AR321" s="656"/>
      <c r="AS321" s="656"/>
      <c r="AT321" s="656"/>
      <c r="AU321" s="656"/>
      <c r="AV321" s="656"/>
      <c r="AW321" s="656"/>
      <c r="AX321" s="656"/>
      <c r="AY321" s="656"/>
      <c r="AZ321" s="656"/>
      <c r="BA321" s="656"/>
      <c r="BB321" s="656"/>
      <c r="BC321" s="656"/>
      <c r="BD321" s="656"/>
    </row>
    <row r="322" spans="35:56">
      <c r="AI322" s="655"/>
      <c r="AJ322" s="656"/>
      <c r="AK322" s="656"/>
      <c r="AL322" s="656"/>
      <c r="AM322" s="656"/>
      <c r="AN322" s="656"/>
      <c r="AO322" s="656"/>
      <c r="AP322" s="656"/>
      <c r="AQ322" s="656"/>
      <c r="AR322" s="656"/>
      <c r="AS322" s="656"/>
      <c r="AT322" s="656"/>
      <c r="AU322" s="656"/>
      <c r="AV322" s="656"/>
      <c r="AW322" s="656"/>
      <c r="AX322" s="656"/>
      <c r="AY322" s="656"/>
      <c r="AZ322" s="656"/>
      <c r="BA322" s="656"/>
      <c r="BB322" s="656"/>
      <c r="BC322" s="656"/>
      <c r="BD322" s="656"/>
    </row>
    <row r="323" spans="35:56">
      <c r="AI323" s="655"/>
      <c r="AJ323" s="656"/>
      <c r="AK323" s="656"/>
      <c r="AL323" s="656"/>
      <c r="AM323" s="656"/>
      <c r="AN323" s="656"/>
      <c r="AO323" s="656"/>
      <c r="AP323" s="656"/>
      <c r="AQ323" s="656"/>
      <c r="AR323" s="656"/>
      <c r="AS323" s="656"/>
      <c r="AT323" s="656"/>
      <c r="AU323" s="656"/>
      <c r="AV323" s="656"/>
      <c r="AW323" s="656"/>
      <c r="AX323" s="656"/>
      <c r="AY323" s="656"/>
      <c r="AZ323" s="656"/>
      <c r="BA323" s="656"/>
      <c r="BB323" s="656"/>
      <c r="BC323" s="656"/>
      <c r="BD323" s="656"/>
    </row>
    <row r="324" spans="35:56">
      <c r="AI324" s="655"/>
      <c r="AJ324" s="656"/>
      <c r="AK324" s="656"/>
      <c r="AL324" s="656"/>
      <c r="AM324" s="656"/>
      <c r="AN324" s="656"/>
      <c r="AO324" s="656"/>
      <c r="AP324" s="656"/>
      <c r="AQ324" s="656"/>
      <c r="AR324" s="656"/>
      <c r="AS324" s="656"/>
      <c r="AT324" s="656"/>
      <c r="AU324" s="656"/>
      <c r="AV324" s="656"/>
      <c r="AW324" s="656"/>
      <c r="AX324" s="656"/>
      <c r="AY324" s="656"/>
      <c r="AZ324" s="656"/>
      <c r="BA324" s="656"/>
      <c r="BB324" s="656"/>
      <c r="BC324" s="656"/>
      <c r="BD324" s="656"/>
    </row>
    <row r="325" spans="35:56">
      <c r="AI325" s="655"/>
      <c r="AJ325" s="656"/>
      <c r="AK325" s="656"/>
      <c r="AL325" s="656"/>
      <c r="AM325" s="656"/>
      <c r="AN325" s="656"/>
      <c r="AO325" s="656"/>
      <c r="AP325" s="656"/>
      <c r="AQ325" s="656"/>
      <c r="AR325" s="656"/>
      <c r="AS325" s="656"/>
      <c r="AT325" s="656"/>
      <c r="AU325" s="656"/>
      <c r="AV325" s="656"/>
      <c r="AW325" s="656"/>
      <c r="AX325" s="656"/>
      <c r="AY325" s="656"/>
      <c r="AZ325" s="656"/>
      <c r="BA325" s="656"/>
      <c r="BB325" s="656"/>
      <c r="BC325" s="656"/>
      <c r="BD325" s="656"/>
    </row>
    <row r="326" spans="35:56">
      <c r="AI326" s="655"/>
      <c r="AJ326" s="656"/>
      <c r="AK326" s="656"/>
      <c r="AL326" s="656"/>
      <c r="AM326" s="656"/>
      <c r="AN326" s="656"/>
      <c r="AO326" s="656"/>
      <c r="AP326" s="656"/>
      <c r="AQ326" s="656"/>
      <c r="AR326" s="656"/>
      <c r="AS326" s="656"/>
      <c r="AT326" s="656"/>
      <c r="AU326" s="656"/>
      <c r="AV326" s="656"/>
      <c r="AW326" s="656"/>
      <c r="AX326" s="656"/>
      <c r="AY326" s="656"/>
      <c r="AZ326" s="656"/>
      <c r="BA326" s="656"/>
      <c r="BB326" s="656"/>
      <c r="BC326" s="656"/>
      <c r="BD326" s="656"/>
    </row>
    <row r="327" spans="35:56">
      <c r="AI327" s="655"/>
      <c r="AJ327" s="656"/>
      <c r="AK327" s="656"/>
      <c r="AL327" s="656"/>
      <c r="AM327" s="656"/>
      <c r="AN327" s="656"/>
      <c r="AO327" s="656"/>
      <c r="AP327" s="656"/>
      <c r="AQ327" s="656"/>
      <c r="AR327" s="656"/>
      <c r="AS327" s="656"/>
      <c r="AT327" s="656"/>
      <c r="AU327" s="656"/>
      <c r="AV327" s="656"/>
      <c r="AW327" s="656"/>
      <c r="AX327" s="656"/>
      <c r="AY327" s="656"/>
      <c r="AZ327" s="656"/>
      <c r="BA327" s="656"/>
      <c r="BB327" s="656"/>
      <c r="BC327" s="656"/>
      <c r="BD327" s="656"/>
    </row>
    <row r="328" spans="35:56">
      <c r="AI328" s="655"/>
      <c r="AJ328" s="656"/>
      <c r="AK328" s="656"/>
      <c r="AL328" s="656"/>
      <c r="AM328" s="656"/>
      <c r="AN328" s="656"/>
      <c r="AO328" s="656"/>
      <c r="AP328" s="656"/>
      <c r="AQ328" s="656"/>
      <c r="AR328" s="656"/>
      <c r="AS328" s="656"/>
      <c r="AT328" s="656"/>
      <c r="AU328" s="656"/>
      <c r="AV328" s="656"/>
      <c r="AW328" s="656"/>
      <c r="AX328" s="656"/>
      <c r="AY328" s="656"/>
      <c r="AZ328" s="656"/>
      <c r="BA328" s="656"/>
      <c r="BB328" s="656"/>
      <c r="BC328" s="656"/>
      <c r="BD328" s="656"/>
    </row>
    <row r="329" spans="35:56">
      <c r="AI329" s="655"/>
      <c r="AJ329" s="656"/>
      <c r="AK329" s="656"/>
      <c r="AL329" s="656"/>
      <c r="AM329" s="656"/>
      <c r="AN329" s="656"/>
      <c r="AO329" s="656"/>
      <c r="AP329" s="656"/>
      <c r="AQ329" s="656"/>
      <c r="AR329" s="656"/>
      <c r="AS329" s="656"/>
      <c r="AT329" s="656"/>
      <c r="AU329" s="656"/>
      <c r="AV329" s="656"/>
      <c r="AW329" s="656"/>
      <c r="AX329" s="656"/>
      <c r="AY329" s="656"/>
      <c r="AZ329" s="656"/>
      <c r="BA329" s="656"/>
      <c r="BB329" s="656"/>
      <c r="BC329" s="656"/>
      <c r="BD329" s="656"/>
    </row>
    <row r="330" spans="35:56">
      <c r="AI330" s="655"/>
      <c r="AJ330" s="656"/>
      <c r="AK330" s="656"/>
      <c r="AL330" s="656"/>
      <c r="AM330" s="656"/>
      <c r="AN330" s="656"/>
      <c r="AO330" s="656"/>
      <c r="AP330" s="656"/>
      <c r="AQ330" s="656"/>
      <c r="AR330" s="656"/>
      <c r="AS330" s="656"/>
      <c r="AT330" s="656"/>
      <c r="AU330" s="656"/>
      <c r="AV330" s="656"/>
      <c r="AW330" s="656"/>
      <c r="AX330" s="656"/>
      <c r="AY330" s="656"/>
      <c r="AZ330" s="656"/>
      <c r="BA330" s="656"/>
      <c r="BB330" s="656"/>
      <c r="BC330" s="656"/>
      <c r="BD330" s="656"/>
    </row>
    <row r="331" spans="35:56">
      <c r="AI331" s="655"/>
      <c r="AJ331" s="656"/>
      <c r="AK331" s="656"/>
      <c r="AL331" s="656"/>
      <c r="AM331" s="656"/>
      <c r="AN331" s="656"/>
      <c r="AO331" s="656"/>
      <c r="AP331" s="656"/>
      <c r="AQ331" s="656"/>
      <c r="AR331" s="656"/>
      <c r="AS331" s="656"/>
      <c r="AT331" s="656"/>
      <c r="AU331" s="656"/>
      <c r="AV331" s="656"/>
      <c r="AW331" s="656"/>
      <c r="AX331" s="656"/>
      <c r="AY331" s="656"/>
      <c r="AZ331" s="656"/>
      <c r="BA331" s="656"/>
      <c r="BB331" s="656"/>
      <c r="BC331" s="656"/>
      <c r="BD331" s="656"/>
    </row>
    <row r="332" spans="35:56">
      <c r="AI332" s="655"/>
      <c r="AJ332" s="656"/>
      <c r="AK332" s="656"/>
      <c r="AL332" s="656"/>
      <c r="AM332" s="656"/>
      <c r="AN332" s="656"/>
      <c r="AO332" s="656"/>
      <c r="AP332" s="656"/>
      <c r="AQ332" s="656"/>
      <c r="AR332" s="656"/>
      <c r="AS332" s="656"/>
      <c r="AT332" s="656"/>
      <c r="AU332" s="656"/>
      <c r="AV332" s="656"/>
      <c r="AW332" s="656"/>
      <c r="AX332" s="656"/>
      <c r="AY332" s="656"/>
      <c r="AZ332" s="656"/>
      <c r="BA332" s="656"/>
      <c r="BB332" s="656"/>
      <c r="BC332" s="656"/>
      <c r="BD332" s="656"/>
    </row>
    <row r="333" spans="35:56">
      <c r="AI333" s="655"/>
      <c r="AJ333" s="656"/>
      <c r="AK333" s="656"/>
      <c r="AL333" s="656"/>
      <c r="AM333" s="656"/>
      <c r="AN333" s="656"/>
      <c r="AO333" s="656"/>
      <c r="AP333" s="656"/>
      <c r="AQ333" s="656"/>
      <c r="AR333" s="656"/>
      <c r="AS333" s="656"/>
      <c r="AT333" s="656"/>
      <c r="AU333" s="656"/>
      <c r="AV333" s="656"/>
      <c r="AW333" s="656"/>
      <c r="AX333" s="656"/>
      <c r="AY333" s="656"/>
      <c r="AZ333" s="656"/>
      <c r="BA333" s="656"/>
      <c r="BB333" s="656"/>
      <c r="BC333" s="656"/>
      <c r="BD333" s="656"/>
    </row>
    <row r="334" spans="35:56">
      <c r="AI334" s="655"/>
      <c r="AJ334" s="656"/>
      <c r="AK334" s="656"/>
      <c r="AL334" s="656"/>
      <c r="AM334" s="656"/>
      <c r="AN334" s="656"/>
      <c r="AO334" s="656"/>
      <c r="AP334" s="656"/>
      <c r="AQ334" s="656"/>
      <c r="AR334" s="656"/>
      <c r="AS334" s="656"/>
      <c r="AT334" s="656"/>
      <c r="AU334" s="656"/>
      <c r="AV334" s="656"/>
      <c r="AW334" s="656"/>
      <c r="AX334" s="656"/>
      <c r="AY334" s="656"/>
      <c r="AZ334" s="656"/>
      <c r="BA334" s="656"/>
      <c r="BB334" s="656"/>
      <c r="BC334" s="656"/>
      <c r="BD334" s="656"/>
    </row>
    <row r="335" spans="35:56">
      <c r="AI335" s="655"/>
      <c r="AJ335" s="656"/>
      <c r="AK335" s="656"/>
      <c r="AL335" s="656"/>
      <c r="AM335" s="656"/>
      <c r="AN335" s="656"/>
      <c r="AO335" s="656"/>
      <c r="AP335" s="656"/>
      <c r="AQ335" s="656"/>
      <c r="AR335" s="656"/>
      <c r="AS335" s="656"/>
      <c r="AT335" s="656"/>
      <c r="AU335" s="656"/>
      <c r="AV335" s="656"/>
      <c r="AW335" s="656"/>
      <c r="AX335" s="656"/>
      <c r="AY335" s="656"/>
      <c r="AZ335" s="656"/>
      <c r="BA335" s="656"/>
      <c r="BB335" s="656"/>
      <c r="BC335" s="656"/>
      <c r="BD335" s="656"/>
    </row>
    <row r="336" spans="35:56">
      <c r="AI336" s="655"/>
      <c r="AJ336" s="656"/>
      <c r="AK336" s="656"/>
      <c r="AL336" s="656"/>
      <c r="AM336" s="656"/>
      <c r="AN336" s="656"/>
      <c r="AO336" s="656"/>
      <c r="AP336" s="656"/>
      <c r="AQ336" s="656"/>
      <c r="AR336" s="656"/>
      <c r="AS336" s="656"/>
      <c r="AT336" s="656"/>
      <c r="AU336" s="656"/>
      <c r="AV336" s="656"/>
      <c r="AW336" s="656"/>
      <c r="AX336" s="656"/>
      <c r="AY336" s="656"/>
      <c r="AZ336" s="656"/>
      <c r="BA336" s="656"/>
      <c r="BB336" s="656"/>
      <c r="BC336" s="656"/>
      <c r="BD336" s="656"/>
    </row>
    <row r="337" spans="35:56">
      <c r="AI337" s="655"/>
      <c r="AJ337" s="656"/>
      <c r="AK337" s="656"/>
      <c r="AL337" s="656"/>
      <c r="AM337" s="656"/>
      <c r="AN337" s="656"/>
      <c r="AO337" s="656"/>
      <c r="AP337" s="656"/>
      <c r="AQ337" s="656"/>
      <c r="AR337" s="656"/>
      <c r="AS337" s="656"/>
      <c r="AT337" s="656"/>
      <c r="AU337" s="656"/>
      <c r="AV337" s="656"/>
      <c r="AW337" s="656"/>
      <c r="AX337" s="656"/>
      <c r="AY337" s="656"/>
      <c r="AZ337" s="656"/>
      <c r="BA337" s="656"/>
      <c r="BB337" s="656"/>
      <c r="BC337" s="656"/>
      <c r="BD337" s="656"/>
    </row>
    <row r="338" spans="35:56">
      <c r="AI338" s="655"/>
      <c r="AJ338" s="656"/>
      <c r="AK338" s="656"/>
      <c r="AL338" s="656"/>
      <c r="AM338" s="656"/>
      <c r="AN338" s="656"/>
      <c r="AO338" s="656"/>
      <c r="AP338" s="656"/>
      <c r="AQ338" s="656"/>
      <c r="AR338" s="656"/>
      <c r="AS338" s="656"/>
      <c r="AT338" s="656"/>
      <c r="AU338" s="656"/>
      <c r="AV338" s="656"/>
      <c r="AW338" s="656"/>
      <c r="AX338" s="656"/>
      <c r="AY338" s="656"/>
      <c r="AZ338" s="656"/>
      <c r="BA338" s="656"/>
      <c r="BB338" s="656"/>
      <c r="BC338" s="656"/>
      <c r="BD338" s="656"/>
    </row>
    <row r="339" spans="35:56">
      <c r="AI339" s="655"/>
      <c r="AJ339" s="656"/>
      <c r="AK339" s="656"/>
      <c r="AL339" s="656"/>
      <c r="AM339" s="656"/>
      <c r="AN339" s="656"/>
      <c r="AO339" s="656"/>
      <c r="AP339" s="656"/>
      <c r="AQ339" s="656"/>
      <c r="AR339" s="656"/>
      <c r="AS339" s="656"/>
      <c r="AT339" s="656"/>
      <c r="AU339" s="656"/>
      <c r="AV339" s="656"/>
      <c r="AW339" s="656"/>
      <c r="AX339" s="656"/>
      <c r="AY339" s="656"/>
      <c r="AZ339" s="656"/>
      <c r="BA339" s="656"/>
      <c r="BB339" s="656"/>
      <c r="BC339" s="656"/>
      <c r="BD339" s="656"/>
    </row>
    <row r="340" spans="35:56">
      <c r="AI340" s="655"/>
      <c r="AJ340" s="656"/>
      <c r="AK340" s="656"/>
      <c r="AL340" s="656"/>
      <c r="AM340" s="656"/>
      <c r="AN340" s="656"/>
      <c r="AO340" s="656"/>
      <c r="AP340" s="656"/>
      <c r="AQ340" s="656"/>
      <c r="AR340" s="656"/>
      <c r="AS340" s="656"/>
      <c r="AT340" s="656"/>
      <c r="AU340" s="656"/>
      <c r="AV340" s="656"/>
      <c r="AW340" s="656"/>
      <c r="AX340" s="656"/>
      <c r="AY340" s="656"/>
      <c r="AZ340" s="656"/>
      <c r="BA340" s="656"/>
      <c r="BB340" s="656"/>
      <c r="BC340" s="656"/>
      <c r="BD340" s="656"/>
    </row>
    <row r="341" spans="35:56">
      <c r="AI341" s="655"/>
      <c r="AJ341" s="656"/>
      <c r="AK341" s="656"/>
      <c r="AL341" s="656"/>
      <c r="AM341" s="656"/>
      <c r="AN341" s="656"/>
      <c r="AO341" s="656"/>
      <c r="AP341" s="656"/>
      <c r="AQ341" s="656"/>
      <c r="AR341" s="656"/>
      <c r="AS341" s="656"/>
      <c r="AT341" s="656"/>
      <c r="AU341" s="656"/>
      <c r="AV341" s="656"/>
      <c r="AW341" s="656"/>
      <c r="AX341" s="656"/>
      <c r="AY341" s="656"/>
      <c r="AZ341" s="656"/>
      <c r="BA341" s="656"/>
      <c r="BB341" s="656"/>
      <c r="BC341" s="656"/>
      <c r="BD341" s="656"/>
    </row>
    <row r="342" spans="35:56">
      <c r="AI342" s="655"/>
      <c r="AJ342" s="656"/>
      <c r="AK342" s="656"/>
      <c r="AL342" s="656"/>
      <c r="AM342" s="656"/>
      <c r="AN342" s="656"/>
      <c r="AO342" s="656"/>
      <c r="AP342" s="656"/>
      <c r="AQ342" s="656"/>
      <c r="AR342" s="656"/>
      <c r="AS342" s="656"/>
      <c r="AT342" s="656"/>
      <c r="AU342" s="656"/>
      <c r="AV342" s="656"/>
      <c r="AW342" s="656"/>
      <c r="AX342" s="656"/>
      <c r="AY342" s="656"/>
      <c r="AZ342" s="656"/>
      <c r="BA342" s="656"/>
      <c r="BB342" s="656"/>
      <c r="BC342" s="656"/>
      <c r="BD342" s="656"/>
    </row>
    <row r="343" spans="35:56">
      <c r="AI343" s="655"/>
      <c r="AJ343" s="656"/>
      <c r="AK343" s="656"/>
      <c r="AL343" s="656"/>
      <c r="AM343" s="656"/>
      <c r="AN343" s="656"/>
      <c r="AO343" s="656"/>
      <c r="AP343" s="656"/>
      <c r="AQ343" s="656"/>
      <c r="AR343" s="656"/>
      <c r="AS343" s="656"/>
      <c r="AT343" s="656"/>
      <c r="AU343" s="656"/>
      <c r="AV343" s="656"/>
      <c r="AW343" s="656"/>
      <c r="AX343" s="656"/>
      <c r="AY343" s="656"/>
      <c r="AZ343" s="656"/>
      <c r="BA343" s="656"/>
      <c r="BB343" s="656"/>
      <c r="BC343" s="656"/>
      <c r="BD343" s="656"/>
    </row>
    <row r="344" spans="35:56">
      <c r="AI344" s="655"/>
      <c r="AJ344" s="656"/>
      <c r="AK344" s="656"/>
      <c r="AL344" s="656"/>
      <c r="AM344" s="656"/>
      <c r="AN344" s="656"/>
      <c r="AO344" s="656"/>
      <c r="AP344" s="656"/>
      <c r="AQ344" s="656"/>
      <c r="AR344" s="656"/>
      <c r="AS344" s="656"/>
      <c r="AT344" s="656"/>
      <c r="AU344" s="656"/>
      <c r="AV344" s="656"/>
      <c r="AW344" s="656"/>
      <c r="AX344" s="656"/>
      <c r="AY344" s="656"/>
      <c r="AZ344" s="656"/>
      <c r="BA344" s="656"/>
      <c r="BB344" s="656"/>
      <c r="BC344" s="656"/>
      <c r="BD344" s="656"/>
    </row>
    <row r="345" spans="35:56">
      <c r="AI345" s="655"/>
      <c r="AJ345" s="656"/>
      <c r="AK345" s="656"/>
      <c r="AL345" s="656"/>
      <c r="AM345" s="656"/>
      <c r="AN345" s="656"/>
      <c r="AO345" s="656"/>
      <c r="AP345" s="656"/>
      <c r="AQ345" s="656"/>
      <c r="AR345" s="656"/>
      <c r="AS345" s="656"/>
      <c r="AT345" s="656"/>
      <c r="AU345" s="656"/>
      <c r="AV345" s="656"/>
      <c r="AW345" s="656"/>
      <c r="AX345" s="656"/>
      <c r="AY345" s="656"/>
      <c r="AZ345" s="656"/>
      <c r="BA345" s="656"/>
      <c r="BB345" s="656"/>
      <c r="BC345" s="656"/>
      <c r="BD345" s="656"/>
    </row>
    <row r="346" spans="35:56">
      <c r="AI346" s="655"/>
      <c r="AJ346" s="656"/>
      <c r="AK346" s="656"/>
      <c r="AL346" s="656"/>
      <c r="AM346" s="656"/>
      <c r="AN346" s="656"/>
      <c r="AO346" s="656"/>
      <c r="AP346" s="656"/>
      <c r="AQ346" s="656"/>
      <c r="AR346" s="656"/>
      <c r="AS346" s="656"/>
      <c r="AT346" s="656"/>
      <c r="AU346" s="656"/>
      <c r="AV346" s="656"/>
      <c r="AW346" s="656"/>
      <c r="AX346" s="656"/>
      <c r="AY346" s="656"/>
      <c r="AZ346" s="656"/>
      <c r="BA346" s="656"/>
      <c r="BB346" s="656"/>
      <c r="BC346" s="656"/>
      <c r="BD346" s="656"/>
    </row>
    <row r="347" spans="35:56">
      <c r="AI347" s="655"/>
      <c r="AJ347" s="656"/>
      <c r="AK347" s="656"/>
      <c r="AL347" s="656"/>
      <c r="AM347" s="656"/>
      <c r="AN347" s="656"/>
      <c r="AO347" s="656"/>
      <c r="AP347" s="656"/>
      <c r="AQ347" s="656"/>
      <c r="AR347" s="656"/>
      <c r="AS347" s="656"/>
      <c r="AT347" s="656"/>
      <c r="AU347" s="656"/>
      <c r="AV347" s="656"/>
      <c r="AW347" s="656"/>
      <c r="AX347" s="656"/>
      <c r="AY347" s="656"/>
      <c r="AZ347" s="656"/>
      <c r="BA347" s="656"/>
      <c r="BB347" s="656"/>
      <c r="BC347" s="656"/>
      <c r="BD347" s="656"/>
    </row>
    <row r="348" spans="35:56">
      <c r="AI348" s="655"/>
      <c r="AJ348" s="656"/>
      <c r="AK348" s="656"/>
      <c r="AL348" s="656"/>
      <c r="AM348" s="656"/>
      <c r="AN348" s="656"/>
      <c r="AO348" s="656"/>
      <c r="AP348" s="656"/>
      <c r="AQ348" s="656"/>
      <c r="AR348" s="656"/>
      <c r="AS348" s="656"/>
      <c r="AT348" s="656"/>
      <c r="AU348" s="656"/>
      <c r="AV348" s="656"/>
      <c r="AW348" s="656"/>
      <c r="AX348" s="656"/>
      <c r="AY348" s="656"/>
      <c r="AZ348" s="656"/>
      <c r="BA348" s="656"/>
      <c r="BB348" s="656"/>
      <c r="BC348" s="656"/>
      <c r="BD348" s="656"/>
    </row>
    <row r="349" spans="35:56">
      <c r="AI349" s="655"/>
      <c r="AJ349" s="656"/>
      <c r="AK349" s="656"/>
      <c r="AL349" s="656"/>
      <c r="AM349" s="656"/>
      <c r="AN349" s="656"/>
      <c r="AO349" s="656"/>
      <c r="AP349" s="656"/>
      <c r="AQ349" s="656"/>
      <c r="AR349" s="656"/>
      <c r="AS349" s="656"/>
      <c r="AT349" s="656"/>
      <c r="AU349" s="656"/>
      <c r="AV349" s="656"/>
      <c r="AW349" s="656"/>
      <c r="AX349" s="656"/>
      <c r="AY349" s="656"/>
      <c r="AZ349" s="656"/>
      <c r="BA349" s="656"/>
      <c r="BB349" s="656"/>
      <c r="BC349" s="656"/>
      <c r="BD349" s="656"/>
    </row>
    <row r="350" spans="35:56">
      <c r="AI350" s="655"/>
      <c r="AJ350" s="656"/>
      <c r="AK350" s="656"/>
      <c r="AL350" s="656"/>
      <c r="AM350" s="656"/>
      <c r="AN350" s="656"/>
      <c r="AO350" s="656"/>
      <c r="AP350" s="656"/>
      <c r="AQ350" s="656"/>
      <c r="AR350" s="656"/>
      <c r="AS350" s="656"/>
      <c r="AT350" s="656"/>
      <c r="AU350" s="656"/>
      <c r="AV350" s="656"/>
      <c r="AW350" s="656"/>
      <c r="AX350" s="656"/>
      <c r="AY350" s="656"/>
      <c r="AZ350" s="656"/>
      <c r="BA350" s="656"/>
      <c r="BB350" s="656"/>
      <c r="BC350" s="656"/>
      <c r="BD350" s="656"/>
    </row>
    <row r="351" spans="35:56">
      <c r="AI351" s="655"/>
      <c r="AJ351" s="656"/>
      <c r="AK351" s="656"/>
      <c r="AL351" s="656"/>
      <c r="AM351" s="656"/>
      <c r="AN351" s="656"/>
      <c r="AO351" s="656"/>
      <c r="AP351" s="656"/>
      <c r="AQ351" s="656"/>
      <c r="AR351" s="656"/>
      <c r="AS351" s="656"/>
      <c r="AT351" s="656"/>
      <c r="AU351" s="656"/>
      <c r="AV351" s="656"/>
      <c r="AW351" s="656"/>
      <c r="AX351" s="656"/>
      <c r="AY351" s="656"/>
      <c r="AZ351" s="656"/>
      <c r="BA351" s="656"/>
      <c r="BB351" s="656"/>
      <c r="BC351" s="656"/>
      <c r="BD351" s="656"/>
    </row>
    <row r="352" spans="35:56">
      <c r="AI352" s="655"/>
      <c r="AJ352" s="656"/>
      <c r="AK352" s="656"/>
      <c r="AL352" s="656"/>
      <c r="AM352" s="656"/>
      <c r="AN352" s="656"/>
      <c r="AO352" s="656"/>
      <c r="AP352" s="656"/>
      <c r="AQ352" s="656"/>
      <c r="AR352" s="656"/>
      <c r="AS352" s="656"/>
      <c r="AT352" s="656"/>
      <c r="AU352" s="656"/>
      <c r="AV352" s="656"/>
      <c r="AW352" s="656"/>
      <c r="AX352" s="656"/>
      <c r="AY352" s="656"/>
      <c r="AZ352" s="656"/>
      <c r="BA352" s="656"/>
      <c r="BB352" s="656"/>
      <c r="BC352" s="656"/>
      <c r="BD352" s="656"/>
    </row>
    <row r="353" spans="1:56">
      <c r="AI353" s="655"/>
      <c r="AJ353" s="656"/>
      <c r="AK353" s="656"/>
      <c r="AL353" s="656"/>
      <c r="AM353" s="656"/>
      <c r="AN353" s="656"/>
      <c r="AO353" s="656"/>
      <c r="AP353" s="656"/>
      <c r="AQ353" s="656"/>
      <c r="AR353" s="656"/>
      <c r="AS353" s="656"/>
      <c r="AT353" s="656"/>
      <c r="AU353" s="656"/>
      <c r="AV353" s="656"/>
      <c r="AW353" s="656"/>
      <c r="AX353" s="656"/>
      <c r="AY353" s="656"/>
      <c r="AZ353" s="656"/>
      <c r="BA353" s="656"/>
      <c r="BB353" s="656"/>
      <c r="BC353" s="656"/>
      <c r="BD353" s="656"/>
    </row>
    <row r="354" spans="1:56">
      <c r="AI354" s="655"/>
      <c r="AJ354" s="656"/>
      <c r="AK354" s="656"/>
      <c r="AL354" s="656"/>
      <c r="AM354" s="656"/>
      <c r="AN354" s="656"/>
      <c r="AO354" s="656"/>
      <c r="AP354" s="656"/>
      <c r="AQ354" s="656"/>
      <c r="AR354" s="656"/>
      <c r="AS354" s="656"/>
      <c r="AT354" s="656"/>
      <c r="AU354" s="656"/>
      <c r="AV354" s="656"/>
      <c r="AW354" s="656"/>
      <c r="AX354" s="656"/>
      <c r="AY354" s="656"/>
      <c r="AZ354" s="656"/>
      <c r="BA354" s="656"/>
      <c r="BB354" s="656"/>
      <c r="BC354" s="656"/>
      <c r="BD354" s="656"/>
    </row>
    <row r="355" spans="1:56">
      <c r="AI355" s="655"/>
      <c r="AJ355" s="656"/>
      <c r="AK355" s="656"/>
      <c r="AL355" s="656"/>
      <c r="AM355" s="656"/>
      <c r="AN355" s="656"/>
      <c r="AO355" s="656"/>
      <c r="AP355" s="656"/>
      <c r="AQ355" s="656"/>
      <c r="AR355" s="656"/>
      <c r="AS355" s="656"/>
      <c r="AT355" s="656"/>
      <c r="AU355" s="656"/>
      <c r="AV355" s="656"/>
      <c r="AW355" s="656"/>
      <c r="AX355" s="656"/>
      <c r="AY355" s="656"/>
      <c r="AZ355" s="656"/>
      <c r="BA355" s="656"/>
      <c r="BB355" s="656"/>
      <c r="BC355" s="656"/>
      <c r="BD355" s="656"/>
    </row>
    <row r="356" spans="1:56">
      <c r="AI356" s="655"/>
      <c r="AJ356" s="656"/>
      <c r="AK356" s="656"/>
      <c r="AL356" s="656"/>
      <c r="AM356" s="656"/>
      <c r="AN356" s="656"/>
      <c r="AO356" s="656"/>
      <c r="AP356" s="656"/>
      <c r="AQ356" s="656"/>
      <c r="AR356" s="656"/>
      <c r="AS356" s="656"/>
      <c r="AT356" s="656"/>
      <c r="AU356" s="656"/>
      <c r="AV356" s="656"/>
      <c r="AW356" s="656"/>
      <c r="AX356" s="656"/>
      <c r="AY356" s="656"/>
      <c r="AZ356" s="656"/>
      <c r="BA356" s="656"/>
      <c r="BB356" s="656"/>
      <c r="BC356" s="656"/>
      <c r="BD356" s="656"/>
    </row>
    <row r="357" spans="1:56">
      <c r="AI357" s="655"/>
      <c r="AJ357" s="656"/>
      <c r="AK357" s="656"/>
      <c r="AL357" s="656"/>
      <c r="AM357" s="656"/>
      <c r="AN357" s="656"/>
      <c r="AO357" s="656"/>
      <c r="AP357" s="656"/>
      <c r="AQ357" s="656"/>
      <c r="AR357" s="656"/>
      <c r="AS357" s="656"/>
      <c r="AT357" s="656"/>
      <c r="AU357" s="656"/>
      <c r="AV357" s="656"/>
      <c r="AW357" s="656"/>
      <c r="AX357" s="656"/>
      <c r="AY357" s="656"/>
      <c r="AZ357" s="656"/>
      <c r="BA357" s="656"/>
      <c r="BB357" s="656"/>
      <c r="BC357" s="656"/>
      <c r="BD357" s="656"/>
    </row>
    <row r="358" spans="1:56">
      <c r="AI358" s="655"/>
      <c r="AJ358" s="656"/>
      <c r="AK358" s="656"/>
      <c r="AL358" s="656"/>
      <c r="AM358" s="656"/>
      <c r="AN358" s="656"/>
      <c r="AO358" s="656"/>
      <c r="AP358" s="656"/>
      <c r="AQ358" s="656"/>
      <c r="AR358" s="656"/>
      <c r="AS358" s="656"/>
      <c r="AT358" s="656"/>
      <c r="AU358" s="656"/>
      <c r="AV358" s="656"/>
      <c r="AW358" s="656"/>
      <c r="AX358" s="656"/>
      <c r="AY358" s="656"/>
      <c r="AZ358" s="656"/>
      <c r="BA358" s="656"/>
      <c r="BB358" s="656"/>
      <c r="BC358" s="656"/>
      <c r="BD358" s="656"/>
    </row>
    <row r="359" spans="1:56">
      <c r="AI359" s="655"/>
      <c r="AJ359" s="656"/>
      <c r="AK359" s="656"/>
      <c r="AL359" s="656"/>
      <c r="AM359" s="656"/>
      <c r="AN359" s="656"/>
      <c r="AO359" s="656"/>
      <c r="AP359" s="656"/>
      <c r="AQ359" s="656"/>
      <c r="AR359" s="656"/>
      <c r="AS359" s="656"/>
      <c r="AT359" s="656"/>
      <c r="AU359" s="656"/>
      <c r="AV359" s="656"/>
      <c r="AW359" s="656"/>
      <c r="AX359" s="656"/>
      <c r="AY359" s="656"/>
      <c r="AZ359" s="656"/>
      <c r="BA359" s="656"/>
      <c r="BB359" s="656"/>
      <c r="BC359" s="656"/>
      <c r="BD359" s="656"/>
    </row>
    <row r="360" spans="1:56">
      <c r="AI360" s="655"/>
      <c r="AJ360" s="656"/>
      <c r="AK360" s="656"/>
      <c r="AL360" s="656"/>
      <c r="AM360" s="656"/>
      <c r="AN360" s="656"/>
      <c r="AO360" s="656"/>
      <c r="AP360" s="656"/>
      <c r="AQ360" s="656"/>
      <c r="AR360" s="656"/>
      <c r="AS360" s="656"/>
      <c r="AT360" s="656"/>
      <c r="AU360" s="656"/>
      <c r="AV360" s="656"/>
      <c r="AW360" s="656"/>
      <c r="AX360" s="656"/>
      <c r="AY360" s="656"/>
      <c r="AZ360" s="656"/>
      <c r="BA360" s="656"/>
      <c r="BB360" s="656"/>
      <c r="BC360" s="656"/>
      <c r="BD360" s="656"/>
    </row>
    <row r="361" spans="1:56">
      <c r="AI361" s="655"/>
      <c r="AJ361" s="656"/>
      <c r="AK361" s="656"/>
      <c r="AL361" s="656"/>
      <c r="AM361" s="656"/>
      <c r="AN361" s="656"/>
      <c r="AO361" s="656"/>
      <c r="AP361" s="656"/>
      <c r="AQ361" s="656"/>
      <c r="AR361" s="656"/>
      <c r="AS361" s="656"/>
      <c r="AT361" s="656"/>
      <c r="AU361" s="656"/>
      <c r="AV361" s="656"/>
      <c r="AW361" s="656"/>
      <c r="AX361" s="656"/>
      <c r="AY361" s="656"/>
      <c r="AZ361" s="656"/>
      <c r="BA361" s="656"/>
      <c r="BB361" s="656"/>
      <c r="BC361" s="656"/>
      <c r="BD361" s="656"/>
    </row>
    <row r="362" spans="1:56">
      <c r="AI362" s="655"/>
      <c r="AJ362" s="656"/>
      <c r="AK362" s="656"/>
      <c r="AL362" s="656"/>
      <c r="AM362" s="656"/>
      <c r="AN362" s="656"/>
      <c r="AO362" s="656"/>
      <c r="AP362" s="656"/>
      <c r="AQ362" s="656"/>
      <c r="AR362" s="656"/>
      <c r="AS362" s="656"/>
      <c r="AT362" s="656"/>
      <c r="AU362" s="656"/>
      <c r="AV362" s="656"/>
      <c r="AW362" s="656"/>
      <c r="AX362" s="656"/>
      <c r="AY362" s="656"/>
      <c r="AZ362" s="656"/>
      <c r="BA362" s="656"/>
      <c r="BB362" s="656"/>
      <c r="BC362" s="656"/>
      <c r="BD362" s="656"/>
    </row>
    <row r="363" spans="1:56">
      <c r="A363" s="587"/>
      <c r="B363" s="583"/>
      <c r="C363" s="583"/>
      <c r="D363" s="583"/>
      <c r="E363" s="583"/>
      <c r="F363" s="583"/>
      <c r="G363" s="583"/>
      <c r="H363" s="583"/>
      <c r="I363" s="583"/>
      <c r="J363" s="583"/>
      <c r="K363" s="583"/>
      <c r="L363" s="583"/>
      <c r="M363" s="583"/>
      <c r="N363" s="583"/>
      <c r="O363" s="583"/>
      <c r="AI363" s="655"/>
      <c r="AJ363" s="656"/>
      <c r="AK363" s="656"/>
      <c r="AL363" s="656"/>
      <c r="AM363" s="656"/>
      <c r="AN363" s="656"/>
      <c r="AO363" s="656"/>
      <c r="AP363" s="656"/>
      <c r="AQ363" s="656"/>
      <c r="AR363" s="656"/>
      <c r="AS363" s="656"/>
      <c r="AT363" s="656"/>
      <c r="AU363" s="656"/>
      <c r="AV363" s="656"/>
      <c r="AW363" s="656"/>
      <c r="AX363" s="656"/>
      <c r="AY363" s="656"/>
      <c r="AZ363" s="656"/>
      <c r="BA363" s="656"/>
      <c r="BB363" s="656"/>
      <c r="BC363" s="656"/>
      <c r="BD363" s="656"/>
    </row>
    <row r="364" spans="1:56">
      <c r="A364" s="587"/>
      <c r="B364" s="583"/>
      <c r="C364" s="583"/>
      <c r="D364" s="583"/>
      <c r="E364" s="583"/>
      <c r="F364" s="583"/>
      <c r="G364" s="583"/>
      <c r="H364" s="583"/>
      <c r="I364" s="583"/>
      <c r="J364" s="583"/>
      <c r="K364" s="583"/>
      <c r="L364" s="583"/>
      <c r="M364" s="583"/>
      <c r="N364" s="583"/>
      <c r="O364" s="583"/>
      <c r="AI364" s="655"/>
      <c r="AJ364" s="656"/>
      <c r="AK364" s="656"/>
      <c r="AL364" s="656"/>
      <c r="AM364" s="656"/>
      <c r="AN364" s="656"/>
      <c r="AO364" s="656"/>
      <c r="AP364" s="656"/>
      <c r="AQ364" s="656"/>
      <c r="AR364" s="656"/>
      <c r="AS364" s="656"/>
      <c r="AT364" s="656"/>
      <c r="AU364" s="656"/>
      <c r="AV364" s="656"/>
      <c r="AW364" s="656"/>
      <c r="AX364" s="656"/>
      <c r="AY364" s="656"/>
      <c r="AZ364" s="656"/>
      <c r="BA364" s="656"/>
      <c r="BB364" s="656"/>
      <c r="BC364" s="656"/>
      <c r="BD364" s="656"/>
    </row>
    <row r="365" spans="1:56">
      <c r="A365" s="587"/>
      <c r="B365" s="583"/>
      <c r="C365" s="583"/>
      <c r="D365" s="583"/>
      <c r="E365" s="583"/>
      <c r="F365" s="583"/>
      <c r="G365" s="583"/>
      <c r="H365" s="583"/>
      <c r="I365" s="583"/>
      <c r="J365" s="583"/>
      <c r="K365" s="583"/>
      <c r="L365" s="583"/>
      <c r="M365" s="583"/>
      <c r="N365" s="583"/>
      <c r="O365" s="583"/>
      <c r="AI365" s="655"/>
      <c r="AJ365" s="656"/>
      <c r="AK365" s="656"/>
      <c r="AL365" s="656"/>
      <c r="AM365" s="656"/>
      <c r="AN365" s="656"/>
      <c r="AO365" s="656"/>
      <c r="AP365" s="656"/>
      <c r="AQ365" s="656"/>
      <c r="AR365" s="656"/>
      <c r="AS365" s="656"/>
      <c r="AT365" s="656"/>
      <c r="AU365" s="656"/>
      <c r="AV365" s="656"/>
      <c r="AW365" s="656"/>
      <c r="AX365" s="656"/>
      <c r="AY365" s="656"/>
      <c r="AZ365" s="656"/>
      <c r="BA365" s="656"/>
      <c r="BB365" s="656"/>
      <c r="BC365" s="656"/>
      <c r="BD365" s="656"/>
    </row>
    <row r="366" spans="1:56">
      <c r="A366" s="587"/>
      <c r="B366" s="583"/>
      <c r="C366" s="583"/>
      <c r="D366" s="583"/>
      <c r="E366" s="583"/>
      <c r="F366" s="583"/>
      <c r="G366" s="583"/>
      <c r="H366" s="583"/>
      <c r="I366" s="583"/>
      <c r="J366" s="583"/>
      <c r="K366" s="583"/>
      <c r="L366" s="583"/>
      <c r="M366" s="583"/>
      <c r="N366" s="583"/>
      <c r="O366" s="583"/>
      <c r="AI366" s="655"/>
      <c r="AJ366" s="656"/>
      <c r="AK366" s="656"/>
      <c r="AL366" s="656"/>
      <c r="AM366" s="656"/>
      <c r="AN366" s="656"/>
      <c r="AO366" s="656"/>
      <c r="AP366" s="656"/>
      <c r="AQ366" s="656"/>
      <c r="AR366" s="656"/>
      <c r="AS366" s="656"/>
      <c r="AT366" s="656"/>
      <c r="AU366" s="656"/>
      <c r="AV366" s="656"/>
      <c r="AW366" s="656"/>
      <c r="AX366" s="656"/>
      <c r="AY366" s="656"/>
      <c r="AZ366" s="656"/>
      <c r="BA366" s="656"/>
      <c r="BB366" s="656"/>
      <c r="BC366" s="656"/>
      <c r="BD366" s="656"/>
    </row>
    <row r="367" spans="1:56">
      <c r="A367" s="587"/>
      <c r="B367" s="583"/>
      <c r="C367" s="583"/>
      <c r="D367" s="583"/>
      <c r="E367" s="583"/>
      <c r="F367" s="583"/>
      <c r="G367" s="583"/>
      <c r="H367" s="583"/>
      <c r="I367" s="583"/>
      <c r="J367" s="583"/>
      <c r="K367" s="583"/>
      <c r="L367" s="583"/>
      <c r="M367" s="583"/>
      <c r="N367" s="583"/>
      <c r="O367" s="583"/>
      <c r="AI367" s="655"/>
      <c r="AJ367" s="656"/>
      <c r="AK367" s="656"/>
      <c r="AL367" s="656"/>
      <c r="AM367" s="656"/>
      <c r="AN367" s="656"/>
      <c r="AO367" s="656"/>
      <c r="AP367" s="656"/>
      <c r="AQ367" s="656"/>
      <c r="AR367" s="656"/>
      <c r="AS367" s="656"/>
      <c r="AT367" s="656"/>
      <c r="AU367" s="656"/>
      <c r="AV367" s="656"/>
      <c r="AW367" s="656"/>
      <c r="AX367" s="656"/>
      <c r="AY367" s="656"/>
      <c r="AZ367" s="656"/>
      <c r="BA367" s="656"/>
      <c r="BB367" s="656"/>
      <c r="BC367" s="656"/>
      <c r="BD367" s="656"/>
    </row>
    <row r="368" spans="1:56">
      <c r="A368" s="587"/>
      <c r="B368" s="583"/>
      <c r="C368" s="583"/>
      <c r="D368" s="583"/>
      <c r="E368" s="583"/>
      <c r="F368" s="583"/>
      <c r="G368" s="583"/>
      <c r="H368" s="583"/>
      <c r="I368" s="583"/>
      <c r="J368" s="583"/>
      <c r="K368" s="583"/>
      <c r="L368" s="583"/>
      <c r="M368" s="583"/>
      <c r="N368" s="583"/>
      <c r="O368" s="583"/>
      <c r="AI368" s="655"/>
      <c r="AJ368" s="656"/>
      <c r="AK368" s="656"/>
      <c r="AL368" s="656"/>
      <c r="AM368" s="656"/>
      <c r="AN368" s="656"/>
      <c r="AO368" s="656"/>
      <c r="AP368" s="656"/>
      <c r="AQ368" s="656"/>
      <c r="AR368" s="656"/>
      <c r="AS368" s="656"/>
      <c r="AT368" s="656"/>
      <c r="AU368" s="656"/>
      <c r="AV368" s="656"/>
      <c r="AW368" s="656"/>
      <c r="AX368" s="656"/>
      <c r="AY368" s="656"/>
      <c r="AZ368" s="656"/>
      <c r="BA368" s="656"/>
      <c r="BB368" s="656"/>
      <c r="BC368" s="656"/>
      <c r="BD368" s="656"/>
    </row>
    <row r="369" spans="1:56">
      <c r="A369" s="587"/>
      <c r="B369" s="583"/>
      <c r="C369" s="583"/>
      <c r="D369" s="583"/>
      <c r="E369" s="583"/>
      <c r="F369" s="583"/>
      <c r="G369" s="583"/>
      <c r="H369" s="583"/>
      <c r="I369" s="583"/>
      <c r="J369" s="583"/>
      <c r="K369" s="583"/>
      <c r="L369" s="583"/>
      <c r="M369" s="583"/>
      <c r="N369" s="583"/>
      <c r="O369" s="583"/>
      <c r="AI369" s="655"/>
      <c r="AJ369" s="656"/>
      <c r="AK369" s="656"/>
      <c r="AL369" s="656"/>
      <c r="AM369" s="656"/>
      <c r="AN369" s="656"/>
      <c r="AO369" s="656"/>
      <c r="AP369" s="656"/>
      <c r="AQ369" s="656"/>
      <c r="AR369" s="656"/>
      <c r="AS369" s="656"/>
      <c r="AT369" s="656"/>
      <c r="AU369" s="656"/>
      <c r="AV369" s="656"/>
      <c r="AW369" s="656"/>
      <c r="AX369" s="656"/>
      <c r="AY369" s="656"/>
      <c r="AZ369" s="656"/>
      <c r="BA369" s="656"/>
      <c r="BB369" s="656"/>
      <c r="BC369" s="656"/>
      <c r="BD369" s="656"/>
    </row>
    <row r="370" spans="1:56">
      <c r="A370" s="587"/>
      <c r="B370" s="583"/>
      <c r="C370" s="583"/>
      <c r="D370" s="583"/>
      <c r="E370" s="583"/>
      <c r="F370" s="583"/>
      <c r="G370" s="583"/>
      <c r="H370" s="583"/>
      <c r="I370" s="583"/>
      <c r="J370" s="583"/>
      <c r="K370" s="583"/>
      <c r="L370" s="583"/>
      <c r="M370" s="583"/>
      <c r="N370" s="583"/>
      <c r="O370" s="583"/>
      <c r="AI370" s="587"/>
      <c r="AJ370" s="583"/>
      <c r="AK370" s="583"/>
      <c r="AL370" s="583"/>
      <c r="AM370" s="583"/>
      <c r="AN370" s="583"/>
      <c r="AO370" s="583"/>
      <c r="AP370" s="583"/>
      <c r="AQ370" s="583"/>
      <c r="AR370" s="583"/>
      <c r="AS370" s="583"/>
      <c r="AT370" s="583"/>
      <c r="AU370" s="583"/>
      <c r="AV370" s="583"/>
      <c r="AW370" s="583"/>
    </row>
    <row r="371" spans="1:56">
      <c r="A371" s="587"/>
      <c r="B371" s="583"/>
      <c r="C371" s="583"/>
      <c r="D371" s="583"/>
      <c r="E371" s="583"/>
      <c r="F371" s="583"/>
      <c r="G371" s="583"/>
      <c r="H371" s="583"/>
      <c r="I371" s="583"/>
      <c r="J371" s="583"/>
      <c r="K371" s="583"/>
      <c r="L371" s="583"/>
      <c r="M371" s="583"/>
      <c r="N371" s="583"/>
      <c r="O371" s="583"/>
      <c r="AI371" s="587"/>
      <c r="AJ371" s="583"/>
      <c r="AK371" s="583"/>
      <c r="AL371" s="583"/>
      <c r="AM371" s="583"/>
      <c r="AN371" s="583"/>
      <c r="AO371" s="583"/>
      <c r="AP371" s="583"/>
      <c r="AQ371" s="583"/>
      <c r="AR371" s="583"/>
      <c r="AS371" s="583"/>
      <c r="AT371" s="583"/>
      <c r="AU371" s="583"/>
      <c r="AV371" s="583"/>
      <c r="AW371" s="583"/>
    </row>
  </sheetData>
  <phoneticPr fontId="0" type="noConversion"/>
  <printOptions horizontalCentered="1"/>
  <pageMargins left="0.25" right="0.25" top="0.75" bottom="0.75" header="0.3" footer="0.3"/>
  <pageSetup scale="70" orientation="landscape" blackAndWhite="1" r:id="rId1"/>
  <headerFooter alignWithMargins="0"/>
  <customProperties>
    <customPr name="_pios_id" r:id="rId2"/>
    <customPr name="EpmWorksheetKeyString_GUID" r:id="rId3"/>
    <customPr name="FPMExcelClientCellBasedFunctionStatus" r:id="rId4"/>
  </customProperties>
  <ignoredErrors>
    <ignoredError sqref="B102 D102:V102 B51:T51" numberStoredAsText="1"/>
  </ignoredErrors>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2:L15"/>
  <sheetViews>
    <sheetView workbookViewId="0"/>
  </sheetViews>
  <sheetFormatPr defaultRowHeight="12.75"/>
  <cols>
    <col min="1" max="1" width="2.5703125" customWidth="1"/>
    <col min="2" max="2" width="32.5703125" bestFit="1" customWidth="1"/>
    <col min="12" max="12" width="14.85546875" customWidth="1"/>
  </cols>
  <sheetData>
    <row r="2" spans="2:12">
      <c r="B2" s="962" t="s">
        <v>2586</v>
      </c>
      <c r="C2" s="963" t="s">
        <v>2604</v>
      </c>
      <c r="D2" s="964"/>
      <c r="E2" s="964"/>
      <c r="F2" s="964"/>
      <c r="G2" s="964"/>
      <c r="H2" s="964"/>
      <c r="I2" s="964"/>
      <c r="J2" s="964"/>
      <c r="K2" s="964"/>
      <c r="L2" s="965"/>
    </row>
    <row r="3" spans="2:12">
      <c r="B3" s="966" t="s">
        <v>2587</v>
      </c>
      <c r="C3" s="967" t="s">
        <v>2605</v>
      </c>
      <c r="D3" s="968"/>
      <c r="E3" s="968"/>
      <c r="F3" s="968"/>
      <c r="G3" s="968"/>
      <c r="H3" s="968"/>
      <c r="I3" s="968"/>
      <c r="J3" s="968"/>
      <c r="K3" s="968"/>
      <c r="L3" s="969"/>
    </row>
    <row r="4" spans="2:12">
      <c r="B4" s="966" t="s">
        <v>2588</v>
      </c>
      <c r="C4" s="968"/>
      <c r="D4" s="968"/>
      <c r="E4" s="968"/>
      <c r="F4" s="968"/>
      <c r="G4" s="968"/>
      <c r="H4" s="968"/>
      <c r="I4" s="968"/>
      <c r="J4" s="968"/>
      <c r="K4" s="968"/>
      <c r="L4" s="969"/>
    </row>
    <row r="5" spans="2:12" ht="24" customHeight="1">
      <c r="B5" s="978" t="s">
        <v>2589</v>
      </c>
      <c r="C5" s="1278" t="s">
        <v>2606</v>
      </c>
      <c r="D5" s="1278"/>
      <c r="E5" s="1278"/>
      <c r="F5" s="1278"/>
      <c r="G5" s="1278"/>
      <c r="H5" s="1278"/>
      <c r="I5" s="1278"/>
      <c r="J5" s="1278"/>
      <c r="K5" s="1278"/>
      <c r="L5" s="1279"/>
    </row>
    <row r="6" spans="2:12">
      <c r="B6" s="970" t="s">
        <v>2590</v>
      </c>
      <c r="C6" s="967" t="s">
        <v>2607</v>
      </c>
      <c r="D6" s="968"/>
      <c r="E6" s="968"/>
      <c r="F6" s="968"/>
      <c r="G6" s="968"/>
      <c r="H6" s="968"/>
      <c r="I6" s="968"/>
      <c r="J6" s="968"/>
      <c r="K6" s="968"/>
      <c r="L6" s="969"/>
    </row>
    <row r="7" spans="2:12">
      <c r="B7" s="970" t="s">
        <v>2591</v>
      </c>
      <c r="C7" s="967" t="s">
        <v>2592</v>
      </c>
      <c r="D7" s="968"/>
      <c r="E7" s="968"/>
      <c r="F7" s="968"/>
      <c r="G7" s="968"/>
      <c r="H7" s="968"/>
      <c r="I7" s="968"/>
      <c r="J7" s="968"/>
      <c r="K7" s="968"/>
      <c r="L7" s="969"/>
    </row>
    <row r="8" spans="2:12">
      <c r="B8" s="970" t="s">
        <v>2593</v>
      </c>
      <c r="C8" s="967" t="s">
        <v>2594</v>
      </c>
      <c r="D8" s="968"/>
      <c r="E8" s="968"/>
      <c r="F8" s="968"/>
      <c r="G8" s="968"/>
      <c r="H8" s="968"/>
      <c r="I8" s="968"/>
      <c r="J8" s="968"/>
      <c r="K8" s="968"/>
      <c r="L8" s="969"/>
    </row>
    <row r="9" spans="2:12">
      <c r="B9" s="971"/>
      <c r="C9" s="968"/>
      <c r="D9" s="968"/>
      <c r="E9" s="968"/>
      <c r="F9" s="968"/>
      <c r="G9" s="968"/>
      <c r="H9" s="968"/>
      <c r="I9" s="968"/>
      <c r="J9" s="968"/>
      <c r="K9" s="968"/>
      <c r="L9" s="969"/>
    </row>
    <row r="10" spans="2:12">
      <c r="B10" s="966" t="s">
        <v>2595</v>
      </c>
      <c r="C10" s="968"/>
      <c r="D10" s="968"/>
      <c r="E10" s="968"/>
      <c r="F10" s="968"/>
      <c r="G10" s="968"/>
      <c r="H10" s="968"/>
      <c r="I10" s="968"/>
      <c r="J10" s="968"/>
      <c r="K10" s="968"/>
      <c r="L10" s="969"/>
    </row>
    <row r="11" spans="2:12">
      <c r="B11" s="972" t="s">
        <v>2596</v>
      </c>
      <c r="C11" s="967" t="s">
        <v>2597</v>
      </c>
      <c r="D11" s="968"/>
      <c r="E11" s="968"/>
      <c r="F11" s="968"/>
      <c r="G11" s="968"/>
      <c r="H11" s="968"/>
      <c r="I11" s="968"/>
      <c r="J11" s="968"/>
      <c r="K11" s="968"/>
      <c r="L11" s="969"/>
    </row>
    <row r="12" spans="2:12">
      <c r="B12" s="973" t="s">
        <v>2598</v>
      </c>
      <c r="C12" s="967" t="s">
        <v>2599</v>
      </c>
      <c r="D12" s="968"/>
      <c r="E12" s="968"/>
      <c r="F12" s="968"/>
      <c r="G12" s="968"/>
      <c r="H12" s="968"/>
      <c r="I12" s="968"/>
      <c r="J12" s="968"/>
      <c r="K12" s="968"/>
      <c r="L12" s="969"/>
    </row>
    <row r="13" spans="2:12">
      <c r="B13" s="974" t="s">
        <v>2600</v>
      </c>
      <c r="C13" s="967" t="s">
        <v>2601</v>
      </c>
      <c r="D13" s="968"/>
      <c r="E13" s="968"/>
      <c r="F13" s="968"/>
      <c r="G13" s="968"/>
      <c r="H13" s="968"/>
      <c r="I13" s="968"/>
      <c r="J13" s="968"/>
      <c r="K13" s="968"/>
      <c r="L13" s="969"/>
    </row>
    <row r="14" spans="2:12">
      <c r="B14" s="1015" t="s">
        <v>2602</v>
      </c>
      <c r="C14" s="967" t="s">
        <v>2603</v>
      </c>
      <c r="D14" s="968"/>
      <c r="E14" s="968"/>
      <c r="F14" s="968"/>
      <c r="G14" s="968"/>
      <c r="H14" s="968"/>
      <c r="I14" s="968"/>
      <c r="J14" s="968"/>
      <c r="K14" s="968"/>
      <c r="L14" s="969"/>
    </row>
    <row r="15" spans="2:12">
      <c r="B15" s="1016"/>
      <c r="C15" s="975" t="s">
        <v>2656</v>
      </c>
      <c r="D15" s="976"/>
      <c r="E15" s="976"/>
      <c r="F15" s="976"/>
      <c r="G15" s="976"/>
      <c r="H15" s="976"/>
      <c r="I15" s="976"/>
      <c r="J15" s="976"/>
      <c r="K15" s="976"/>
      <c r="L15" s="977"/>
    </row>
  </sheetData>
  <mergeCells count="1">
    <mergeCell ref="C5:L5"/>
  </mergeCells>
  <pageMargins left="0.7" right="0.7" top="0.75" bottom="0.75" header="0.3" footer="0.3"/>
  <pageSetup orientation="portrait" r:id="rId1"/>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92D050"/>
    <pageSetUpPr fitToPage="1"/>
  </sheetPr>
  <dimension ref="A1:Q212"/>
  <sheetViews>
    <sheetView topLeftCell="A12" workbookViewId="0">
      <selection activeCell="D43" sqref="D43:H43"/>
    </sheetView>
  </sheetViews>
  <sheetFormatPr defaultColWidth="8.42578125" defaultRowHeight="12.75"/>
  <cols>
    <col min="1" max="1" width="36" style="478" customWidth="1"/>
    <col min="2" max="2" width="18.85546875" style="478" bestFit="1" customWidth="1"/>
    <col min="3" max="3" width="15.85546875" style="478" bestFit="1" customWidth="1"/>
    <col min="4" max="4" width="10.5703125" style="478" customWidth="1"/>
    <col min="5" max="5" width="12.5703125" style="478" customWidth="1"/>
    <col min="6" max="11" width="10.5703125" style="478" customWidth="1"/>
    <col min="12" max="12" width="9.42578125" style="478" bestFit="1" customWidth="1"/>
    <col min="13" max="13" width="9.85546875" style="478" bestFit="1" customWidth="1"/>
    <col min="14" max="14" width="24.85546875" style="478" bestFit="1" customWidth="1"/>
    <col min="15" max="20" width="8.42578125" style="478"/>
    <col min="21" max="21" width="33.140625" style="478" bestFit="1" customWidth="1"/>
    <col min="22" max="24" width="8.42578125" style="478"/>
    <col min="25" max="25" width="31.85546875" style="478" bestFit="1" customWidth="1"/>
    <col min="26" max="16384" width="8.42578125" style="478"/>
  </cols>
  <sheetData>
    <row r="1" spans="1:14">
      <c r="A1" s="478" t="s">
        <v>468</v>
      </c>
    </row>
    <row r="2" spans="1:14">
      <c r="A2" s="478" t="s">
        <v>60</v>
      </c>
    </row>
    <row r="3" spans="1:14">
      <c r="A3" s="479" t="s">
        <v>205</v>
      </c>
      <c r="B3" s="480" t="str">
        <f>+Report!A3</f>
        <v>December 2022</v>
      </c>
      <c r="C3" s="481"/>
      <c r="D3" s="481"/>
      <c r="E3" s="481"/>
      <c r="F3" s="481"/>
      <c r="G3" s="481"/>
      <c r="H3" s="481"/>
      <c r="I3" s="481"/>
      <c r="J3" s="481"/>
      <c r="K3" s="481"/>
      <c r="L3" s="481"/>
      <c r="M3" s="481"/>
    </row>
    <row r="5" spans="1:14" ht="13.5" thickBot="1"/>
    <row r="6" spans="1:14" ht="16.5" thickBot="1">
      <c r="A6" s="481"/>
      <c r="B6" s="481"/>
      <c r="C6" s="481"/>
      <c r="D6" s="482" t="s">
        <v>206</v>
      </c>
      <c r="E6" s="483"/>
      <c r="F6" s="483"/>
      <c r="G6" s="483"/>
      <c r="H6" s="483"/>
      <c r="I6" s="483"/>
      <c r="J6" s="484"/>
      <c r="K6" s="484"/>
      <c r="L6" s="481"/>
      <c r="M6" s="481"/>
      <c r="N6" s="481"/>
    </row>
    <row r="7" spans="1:14">
      <c r="D7" s="485"/>
      <c r="E7" s="485"/>
      <c r="F7" s="485"/>
      <c r="G7" s="485"/>
      <c r="H7" s="485"/>
      <c r="I7" s="485"/>
      <c r="J7" s="210" t="s">
        <v>2333</v>
      </c>
      <c r="K7" s="210" t="s">
        <v>2334</v>
      </c>
    </row>
    <row r="8" spans="1:14">
      <c r="A8" s="481"/>
      <c r="B8" s="486" t="s">
        <v>22</v>
      </c>
      <c r="C8" s="481"/>
      <c r="D8" s="486" t="s">
        <v>62</v>
      </c>
      <c r="E8" s="486" t="s">
        <v>63</v>
      </c>
      <c r="F8" s="486" t="s">
        <v>64</v>
      </c>
      <c r="G8" s="486" t="s">
        <v>65</v>
      </c>
      <c r="H8" s="486" t="s">
        <v>66</v>
      </c>
      <c r="I8" s="486" t="s">
        <v>67</v>
      </c>
      <c r="J8" s="486" t="s">
        <v>68</v>
      </c>
      <c r="K8" s="486" t="s">
        <v>68</v>
      </c>
      <c r="L8" s="486" t="s">
        <v>69</v>
      </c>
      <c r="M8" s="481"/>
      <c r="N8" s="481"/>
    </row>
    <row r="9" spans="1:14">
      <c r="A9" s="481"/>
      <c r="B9" s="487"/>
      <c r="C9" s="481"/>
      <c r="D9" s="488"/>
      <c r="E9" s="488"/>
      <c r="F9" s="488"/>
      <c r="G9" s="488"/>
      <c r="H9" s="488"/>
      <c r="I9" s="488"/>
      <c r="J9" s="488"/>
      <c r="K9" s="488"/>
      <c r="L9" s="488"/>
      <c r="M9" s="481"/>
      <c r="N9" s="481"/>
    </row>
    <row r="10" spans="1:14">
      <c r="A10" s="489" t="s">
        <v>1822</v>
      </c>
      <c r="B10" s="481"/>
      <c r="C10" s="481"/>
      <c r="D10" s="481"/>
      <c r="E10" s="481"/>
      <c r="F10" s="481"/>
      <c r="G10" s="481"/>
      <c r="H10" s="481"/>
      <c r="I10" s="481"/>
      <c r="J10" s="481"/>
      <c r="K10" s="481"/>
      <c r="L10" s="490">
        <f>Report!B171</f>
        <v>1881233.4284300001</v>
      </c>
      <c r="M10" s="481"/>
      <c r="N10" s="481"/>
    </row>
    <row r="12" spans="1:14">
      <c r="A12" s="491" t="s">
        <v>70</v>
      </c>
    </row>
    <row r="14" spans="1:14">
      <c r="A14" s="481" t="s">
        <v>5</v>
      </c>
      <c r="B14" s="481"/>
      <c r="C14" s="481"/>
      <c r="D14" s="492">
        <f>-Reconcil!C68</f>
        <v>0</v>
      </c>
      <c r="E14" s="492"/>
      <c r="F14" s="492"/>
      <c r="G14" s="492"/>
      <c r="H14" s="492"/>
      <c r="I14" s="492"/>
      <c r="J14" s="492"/>
      <c r="K14" s="492"/>
      <c r="L14" s="492">
        <f t="shared" ref="L14:L41" si="0">SUM(D14:K14)</f>
        <v>0</v>
      </c>
      <c r="M14" s="492"/>
      <c r="N14" s="492"/>
    </row>
    <row r="15" spans="1:14">
      <c r="A15" s="481" t="s">
        <v>71</v>
      </c>
      <c r="B15" s="481"/>
      <c r="C15" s="481"/>
      <c r="D15" s="493"/>
      <c r="E15" s="493"/>
      <c r="F15" s="493"/>
      <c r="G15" s="493">
        <f>-Reconcil!C67</f>
        <v>-958.58977461538461</v>
      </c>
      <c r="H15" s="493"/>
      <c r="I15" s="493"/>
      <c r="J15" s="493"/>
      <c r="K15" s="493"/>
      <c r="L15" s="493">
        <f t="shared" si="0"/>
        <v>-958.58977461538461</v>
      </c>
      <c r="M15" s="492"/>
      <c r="N15" s="492"/>
    </row>
    <row r="16" spans="1:14">
      <c r="A16" s="481" t="s">
        <v>72</v>
      </c>
      <c r="B16" s="481"/>
      <c r="C16" s="481"/>
      <c r="D16" s="493"/>
      <c r="E16" s="493"/>
      <c r="F16" s="493"/>
      <c r="G16" s="493"/>
      <c r="H16" s="493"/>
      <c r="I16" s="493"/>
      <c r="J16" s="493"/>
      <c r="K16" s="493"/>
      <c r="L16" s="493">
        <f t="shared" si="0"/>
        <v>0</v>
      </c>
      <c r="M16" s="492"/>
      <c r="N16" s="492"/>
    </row>
    <row r="17" spans="1:17">
      <c r="A17" s="481" t="s">
        <v>73</v>
      </c>
      <c r="B17" s="481"/>
      <c r="C17" s="481"/>
      <c r="D17" s="493"/>
      <c r="E17" s="493"/>
      <c r="F17" s="493"/>
      <c r="G17" s="493"/>
      <c r="H17" s="493"/>
      <c r="I17" s="493"/>
      <c r="J17" s="493"/>
      <c r="K17" s="493">
        <f>-Reconcil!$C$76</f>
        <v>-2.95</v>
      </c>
      <c r="L17" s="493">
        <f t="shared" si="0"/>
        <v>-2.95</v>
      </c>
      <c r="M17" s="492"/>
      <c r="N17" s="492"/>
    </row>
    <row r="18" spans="1:17">
      <c r="A18" s="481" t="s">
        <v>6</v>
      </c>
      <c r="B18" s="481"/>
      <c r="C18" s="481"/>
      <c r="D18" s="493"/>
      <c r="E18" s="493"/>
      <c r="F18" s="493"/>
      <c r="G18" s="493">
        <f>-Reconcil!C77</f>
        <v>0</v>
      </c>
      <c r="H18" s="493"/>
      <c r="I18" s="493"/>
      <c r="J18" s="493"/>
      <c r="K18" s="493"/>
      <c r="L18" s="493">
        <f t="shared" si="0"/>
        <v>0</v>
      </c>
      <c r="M18" s="492"/>
      <c r="N18" s="492"/>
    </row>
    <row r="19" spans="1:17">
      <c r="A19" s="481" t="s">
        <v>74</v>
      </c>
      <c r="B19" s="481"/>
      <c r="C19" s="481"/>
      <c r="D19" s="493"/>
      <c r="E19" s="493"/>
      <c r="F19" s="493"/>
      <c r="G19" s="493"/>
      <c r="H19" s="493"/>
      <c r="I19" s="493"/>
      <c r="J19" s="493"/>
      <c r="K19" s="1077">
        <f>-Reconcil!C79</f>
        <v>-1591.8972207692309</v>
      </c>
      <c r="L19" s="493">
        <f t="shared" si="0"/>
        <v>-1591.8972207692309</v>
      </c>
      <c r="M19" s="492"/>
      <c r="N19" s="492"/>
    </row>
    <row r="20" spans="1:17">
      <c r="A20" s="481" t="s">
        <v>75</v>
      </c>
      <c r="B20" s="481"/>
      <c r="C20" s="481"/>
      <c r="D20" s="493"/>
      <c r="E20" s="493"/>
      <c r="F20" s="493"/>
      <c r="G20" s="493"/>
      <c r="H20" s="493"/>
      <c r="I20" s="493"/>
      <c r="J20" s="493"/>
      <c r="K20" s="493"/>
      <c r="L20" s="493">
        <f t="shared" si="0"/>
        <v>0</v>
      </c>
      <c r="M20" s="492"/>
      <c r="N20" s="492"/>
    </row>
    <row r="21" spans="1:17">
      <c r="A21" s="481" t="s">
        <v>76</v>
      </c>
      <c r="B21" s="481"/>
      <c r="C21" s="481"/>
      <c r="D21" s="493"/>
      <c r="E21" s="493"/>
      <c r="F21" s="493"/>
      <c r="G21" s="493"/>
      <c r="H21" s="100" t="s">
        <v>2688</v>
      </c>
      <c r="I21" s="493"/>
      <c r="J21" s="493"/>
      <c r="K21" s="493">
        <f>-Reconcil!C81</f>
        <v>-9807.1821069230773</v>
      </c>
      <c r="L21" s="493">
        <f t="shared" si="0"/>
        <v>-9807.1821069230773</v>
      </c>
      <c r="M21" s="492"/>
      <c r="N21" s="492"/>
    </row>
    <row r="22" spans="1:17">
      <c r="A22" s="481" t="s">
        <v>77</v>
      </c>
      <c r="B22" s="481"/>
      <c r="C22" s="481"/>
      <c r="D22" s="493"/>
      <c r="E22" s="493"/>
      <c r="F22" s="493"/>
      <c r="G22" s="493"/>
      <c r="H22" s="493"/>
      <c r="I22" s="493"/>
      <c r="J22" s="493"/>
      <c r="K22" s="493"/>
      <c r="L22" s="493">
        <f t="shared" si="0"/>
        <v>0</v>
      </c>
      <c r="M22" s="492"/>
      <c r="N22" s="492"/>
    </row>
    <row r="23" spans="1:17">
      <c r="A23" s="481" t="s">
        <v>78</v>
      </c>
      <c r="B23" s="481"/>
      <c r="C23" s="481"/>
      <c r="D23" s="493">
        <f>-Reconcil!C92</f>
        <v>-4359.2748699999993</v>
      </c>
      <c r="E23" s="493"/>
      <c r="F23" s="493"/>
      <c r="G23" s="493"/>
      <c r="H23" s="493"/>
      <c r="I23" s="493"/>
      <c r="J23" s="493"/>
      <c r="K23" s="493"/>
      <c r="L23" s="493">
        <f t="shared" si="0"/>
        <v>-4359.2748699999993</v>
      </c>
      <c r="M23" s="492"/>
      <c r="N23" s="492"/>
    </row>
    <row r="24" spans="1:17">
      <c r="A24" s="481" t="s">
        <v>79</v>
      </c>
      <c r="B24" s="481"/>
      <c r="C24" s="481"/>
      <c r="D24" s="493"/>
      <c r="E24" s="493"/>
      <c r="F24" s="493"/>
      <c r="G24" s="493"/>
      <c r="H24" s="719">
        <f>-Reconcil!C99*'Input Tax Rate'!$B$36</f>
        <v>-160.99515011807694</v>
      </c>
      <c r="I24" s="493"/>
      <c r="J24" s="493"/>
      <c r="K24" s="721">
        <f>-Reconcil!C99*'Input Tax Rate'!$B$37</f>
        <v>-474.21948834346159</v>
      </c>
      <c r="L24" s="493">
        <f t="shared" si="0"/>
        <v>-635.21463846153847</v>
      </c>
      <c r="M24" s="492"/>
      <c r="N24" s="492"/>
    </row>
    <row r="25" spans="1:17">
      <c r="A25" s="690" t="s">
        <v>80</v>
      </c>
      <c r="B25" s="481"/>
      <c r="C25" s="481"/>
      <c r="D25" s="493"/>
      <c r="E25" s="961">
        <f>IF(Reconcil!$C$100&gt;0,Reconcil!$C$100*-1,0)</f>
        <v>0</v>
      </c>
      <c r="F25" s="493"/>
      <c r="G25" s="493"/>
      <c r="H25" s="493"/>
      <c r="I25" s="493"/>
      <c r="J25" s="493"/>
      <c r="K25" s="493"/>
      <c r="L25" s="493">
        <f t="shared" si="0"/>
        <v>0</v>
      </c>
      <c r="M25" s="492"/>
      <c r="N25" s="492"/>
    </row>
    <row r="26" spans="1:17">
      <c r="A26" s="481" t="s">
        <v>81</v>
      </c>
      <c r="B26" s="481"/>
      <c r="C26" s="481"/>
      <c r="D26" s="493"/>
      <c r="E26" s="493"/>
      <c r="F26" s="493"/>
      <c r="G26" s="493"/>
      <c r="H26" s="719">
        <f>(Report!T69)*'Input Tax Rate'!$B$36</f>
        <v>-922.56618779973087</v>
      </c>
      <c r="I26" s="493"/>
      <c r="J26" s="493"/>
      <c r="K26" s="721">
        <f>(Report!T69)*'Input Tax Rate'!$B$37</f>
        <v>-2717.4661175848851</v>
      </c>
      <c r="L26" s="493">
        <f t="shared" si="0"/>
        <v>-3640.0323053846159</v>
      </c>
      <c r="M26" s="492"/>
      <c r="N26" s="492"/>
      <c r="O26" s="494"/>
      <c r="Q26" s="494"/>
    </row>
    <row r="27" spans="1:17">
      <c r="A27" s="481" t="s">
        <v>82</v>
      </c>
      <c r="B27" s="481"/>
      <c r="C27" s="481"/>
      <c r="D27" s="493"/>
      <c r="E27" s="493"/>
      <c r="F27" s="493"/>
      <c r="G27" s="493"/>
      <c r="H27" s="493"/>
      <c r="I27" s="493"/>
      <c r="J27" s="493"/>
      <c r="K27" s="493">
        <f>Reconcil!C129</f>
        <v>0</v>
      </c>
      <c r="L27" s="493">
        <f t="shared" si="0"/>
        <v>0</v>
      </c>
      <c r="M27" s="492"/>
      <c r="N27" s="492"/>
      <c r="O27" s="495"/>
    </row>
    <row r="28" spans="1:17">
      <c r="A28" s="481" t="s">
        <v>13</v>
      </c>
      <c r="B28" s="481"/>
      <c r="C28" s="481"/>
      <c r="D28" s="493"/>
      <c r="E28" s="493"/>
      <c r="F28" s="493"/>
      <c r="G28" s="493">
        <f>Reconcil!C135</f>
        <v>3520.7976153846153</v>
      </c>
      <c r="H28" s="493"/>
      <c r="I28" s="493"/>
      <c r="J28" s="493"/>
      <c r="K28" s="493"/>
      <c r="L28" s="493">
        <f t="shared" si="0"/>
        <v>3520.7976153846153</v>
      </c>
      <c r="M28" s="492"/>
      <c r="N28" s="492"/>
      <c r="P28" s="481"/>
    </row>
    <row r="29" spans="1:17">
      <c r="A29" s="690" t="s">
        <v>83</v>
      </c>
      <c r="B29" s="481"/>
      <c r="C29" s="481"/>
      <c r="D29" s="493"/>
      <c r="E29" s="1077">
        <f>IF((Reconcil!$C$138-Reconcil!$C$96)&lt;0,(Reconcil!$C$138-Reconcil!$C$96),0)</f>
        <v>0</v>
      </c>
      <c r="F29" s="493"/>
      <c r="G29" s="493"/>
      <c r="H29" s="493"/>
      <c r="I29" s="493"/>
      <c r="J29" s="493"/>
      <c r="K29" s="493"/>
      <c r="L29" s="493">
        <f t="shared" si="0"/>
        <v>0</v>
      </c>
      <c r="M29" s="492"/>
      <c r="N29" s="492"/>
      <c r="P29" s="481"/>
    </row>
    <row r="30" spans="1:17">
      <c r="A30" s="690" t="s">
        <v>1703</v>
      </c>
      <c r="B30" s="481"/>
      <c r="C30" s="481"/>
      <c r="D30" s="493"/>
      <c r="E30" s="1077">
        <f>IF((Reconcil!$C$139-Reconcil!$C$97)&lt;0,(Reconcil!$C$139-Reconcil!$C$97),0)</f>
        <v>-189.99840538461538</v>
      </c>
      <c r="F30" s="493"/>
      <c r="G30" s="493"/>
      <c r="H30" s="493"/>
      <c r="I30" s="493"/>
      <c r="J30" s="493"/>
      <c r="K30" s="493"/>
      <c r="L30" s="493">
        <f t="shared" si="0"/>
        <v>-189.99840538461538</v>
      </c>
      <c r="M30" s="492"/>
      <c r="N30" s="492"/>
      <c r="P30" s="481"/>
    </row>
    <row r="31" spans="1:17">
      <c r="A31" s="481" t="s">
        <v>18</v>
      </c>
      <c r="B31" s="481"/>
      <c r="C31" s="481"/>
      <c r="D31" s="493"/>
      <c r="E31" s="493"/>
      <c r="F31" s="493"/>
      <c r="G31" s="493"/>
      <c r="H31" s="493"/>
      <c r="I31" s="493"/>
      <c r="J31" s="493"/>
      <c r="K31" s="496">
        <f>+N36</f>
        <v>0</v>
      </c>
      <c r="L31" s="493">
        <f t="shared" si="0"/>
        <v>0</v>
      </c>
      <c r="M31" s="492"/>
      <c r="N31" s="492"/>
      <c r="P31" s="481"/>
    </row>
    <row r="32" spans="1:17">
      <c r="A32" s="481" t="s">
        <v>472</v>
      </c>
      <c r="B32" s="481"/>
      <c r="C32" s="481"/>
      <c r="D32" s="493"/>
      <c r="E32" s="493"/>
      <c r="F32" s="493"/>
      <c r="G32" s="493"/>
      <c r="H32" s="493"/>
      <c r="I32" s="493"/>
      <c r="J32" s="493"/>
      <c r="K32" s="805">
        <v>0</v>
      </c>
      <c r="L32" s="493">
        <f t="shared" si="0"/>
        <v>0</v>
      </c>
      <c r="M32" s="492"/>
      <c r="N32" s="492"/>
      <c r="P32" s="481"/>
    </row>
    <row r="33" spans="1:16">
      <c r="A33" s="481" t="s">
        <v>84</v>
      </c>
      <c r="B33" s="481"/>
      <c r="C33" s="481"/>
      <c r="D33" s="493"/>
      <c r="E33" s="493"/>
      <c r="F33" s="493"/>
      <c r="G33" s="493">
        <f>-Reconcil!C58</f>
        <v>-1939.5515500000001</v>
      </c>
      <c r="H33" s="493"/>
      <c r="I33" s="493"/>
      <c r="J33" s="493"/>
      <c r="K33" s="493"/>
      <c r="L33" s="493">
        <f t="shared" si="0"/>
        <v>-1939.5515500000001</v>
      </c>
      <c r="M33" s="492"/>
      <c r="N33" s="492" t="s">
        <v>85</v>
      </c>
      <c r="P33" s="497"/>
    </row>
    <row r="34" spans="1:16">
      <c r="A34" s="481" t="s">
        <v>86</v>
      </c>
      <c r="B34" s="481"/>
      <c r="C34" s="481"/>
      <c r="D34" s="493"/>
      <c r="E34" s="493"/>
      <c r="F34" s="493"/>
      <c r="G34" s="721">
        <f>Report!J63*'Input Tax Rate'!$B$37</f>
        <v>-515.55914342708229</v>
      </c>
      <c r="H34" s="719">
        <f>Report!J63*'Input Tax Rate'!$B$36</f>
        <v>-175.02975674984128</v>
      </c>
      <c r="I34" s="493"/>
      <c r="J34" s="493"/>
      <c r="K34" s="493"/>
      <c r="L34" s="493">
        <f t="shared" si="0"/>
        <v>-690.58890017692352</v>
      </c>
      <c r="M34" s="492"/>
      <c r="N34" s="492" t="s">
        <v>87</v>
      </c>
      <c r="P34" s="481"/>
    </row>
    <row r="35" spans="1:16" ht="13.5" thickBot="1">
      <c r="A35" s="481" t="s">
        <v>474</v>
      </c>
      <c r="B35" s="481"/>
      <c r="C35" s="481"/>
      <c r="D35" s="493"/>
      <c r="E35" s="493"/>
      <c r="F35" s="493"/>
      <c r="G35" s="493"/>
      <c r="H35" s="493"/>
      <c r="I35" s="493"/>
      <c r="J35" s="493"/>
      <c r="K35" s="493">
        <f>+Report!R71</f>
        <v>0</v>
      </c>
      <c r="L35" s="493">
        <f t="shared" si="0"/>
        <v>0</v>
      </c>
      <c r="M35" s="493"/>
      <c r="N35" s="492" t="s">
        <v>88</v>
      </c>
      <c r="P35" s="481"/>
    </row>
    <row r="36" spans="1:16" ht="13.5" thickBot="1">
      <c r="A36" s="481" t="s">
        <v>408</v>
      </c>
      <c r="B36" s="481"/>
      <c r="C36" s="481"/>
      <c r="D36" s="493"/>
      <c r="E36" s="493"/>
      <c r="F36" s="493"/>
      <c r="G36" s="493"/>
      <c r="H36" s="719">
        <f>Report!J72*'Input Tax Rate'!$B$36</f>
        <v>0</v>
      </c>
      <c r="I36" s="493"/>
      <c r="J36" s="493"/>
      <c r="K36" s="721">
        <f>Report!J72*'Input Tax Rate'!$B$37</f>
        <v>0</v>
      </c>
      <c r="L36" s="493">
        <f t="shared" si="0"/>
        <v>0</v>
      </c>
      <c r="M36" s="493"/>
      <c r="N36" s="498">
        <v>0</v>
      </c>
      <c r="P36" s="481"/>
    </row>
    <row r="37" spans="1:16">
      <c r="A37" s="481" t="s">
        <v>89</v>
      </c>
      <c r="B37" s="481"/>
      <c r="C37" s="481"/>
      <c r="D37" s="493"/>
      <c r="E37" s="493"/>
      <c r="F37" s="493"/>
      <c r="G37" s="493">
        <v>0</v>
      </c>
      <c r="H37" s="493"/>
      <c r="I37" s="493">
        <f>-G37</f>
        <v>0</v>
      </c>
      <c r="J37" s="493"/>
      <c r="K37" s="493"/>
      <c r="L37" s="493">
        <f t="shared" si="0"/>
        <v>0</v>
      </c>
      <c r="M37" s="492"/>
      <c r="N37" s="492"/>
    </row>
    <row r="38" spans="1:16">
      <c r="A38" s="1" t="s">
        <v>2336</v>
      </c>
      <c r="B38" s="481"/>
      <c r="C38" s="481"/>
      <c r="D38" s="493"/>
      <c r="E38" s="493"/>
      <c r="F38" s="493"/>
      <c r="G38" s="493"/>
      <c r="H38" s="493"/>
      <c r="I38" s="493"/>
      <c r="J38" s="721">
        <f>Report!T75</f>
        <v>-72252.881015384613</v>
      </c>
      <c r="K38" s="493"/>
      <c r="L38" s="493">
        <f t="shared" si="0"/>
        <v>-72252.881015384613</v>
      </c>
      <c r="M38" s="492"/>
      <c r="N38" s="492"/>
    </row>
    <row r="39" spans="1:16">
      <c r="A39" s="481" t="s">
        <v>480</v>
      </c>
      <c r="B39" s="481"/>
      <c r="C39" s="481"/>
      <c r="D39" s="493"/>
      <c r="E39" s="493"/>
      <c r="F39" s="493"/>
      <c r="G39" s="499"/>
      <c r="H39" s="493"/>
      <c r="I39" s="493"/>
      <c r="J39" s="493"/>
      <c r="K39" s="493"/>
      <c r="L39" s="493">
        <f t="shared" si="0"/>
        <v>0</v>
      </c>
      <c r="M39" s="492"/>
      <c r="N39" s="492"/>
    </row>
    <row r="40" spans="1:16">
      <c r="A40" s="481" t="s">
        <v>479</v>
      </c>
      <c r="B40" s="481"/>
      <c r="C40" s="481"/>
      <c r="D40" s="493">
        <f>(-G40-H40)</f>
        <v>-384.49519069772231</v>
      </c>
      <c r="E40" s="493"/>
      <c r="F40" s="493"/>
      <c r="G40" s="1078">
        <f>-Input!FB40/1000</f>
        <v>287.0448846153846</v>
      </c>
      <c r="H40" s="1078">
        <f>-Input!FB41/1000</f>
        <v>97.45030608233769</v>
      </c>
      <c r="I40" s="493"/>
      <c r="J40" s="493"/>
      <c r="K40" s="493"/>
      <c r="L40" s="493">
        <f t="shared" si="0"/>
        <v>0</v>
      </c>
      <c r="M40" s="492"/>
      <c r="N40" s="492"/>
    </row>
    <row r="41" spans="1:16">
      <c r="A41" s="497" t="s">
        <v>534</v>
      </c>
      <c r="D41" s="500"/>
      <c r="E41" s="501"/>
      <c r="F41" s="501"/>
      <c r="G41" s="501"/>
      <c r="H41" s="741">
        <f>Report!T74*'Input Tax Rate'!$B$36</f>
        <v>-13870.481935050502</v>
      </c>
      <c r="I41" s="502"/>
      <c r="J41" s="742">
        <f>Report!T74*'Input Tax Rate'!$B$37</f>
        <v>-40856.217354949506</v>
      </c>
      <c r="K41" s="502"/>
      <c r="L41" s="502">
        <f t="shared" si="0"/>
        <v>-54726.699290000004</v>
      </c>
      <c r="M41" s="494"/>
      <c r="N41" s="494"/>
    </row>
    <row r="42" spans="1:16">
      <c r="A42" s="481"/>
      <c r="B42" s="481"/>
      <c r="C42" s="481"/>
      <c r="D42" s="503"/>
      <c r="E42" s="503"/>
      <c r="F42" s="503"/>
      <c r="G42" s="503"/>
      <c r="H42" s="503"/>
      <c r="I42" s="503"/>
      <c r="J42" s="503"/>
      <c r="K42" s="503"/>
      <c r="L42" s="503"/>
      <c r="M42" s="492"/>
      <c r="N42" s="492"/>
    </row>
    <row r="43" spans="1:16">
      <c r="A43" s="481" t="s">
        <v>90</v>
      </c>
      <c r="B43" s="481"/>
      <c r="C43" s="481"/>
      <c r="D43" s="492">
        <f t="shared" ref="D43:L43" si="1">SUM(D14:D41)</f>
        <v>-4743.7700606977214</v>
      </c>
      <c r="E43" s="492">
        <f t="shared" si="1"/>
        <v>-189.99840538461538</v>
      </c>
      <c r="F43" s="492">
        <f t="shared" si="1"/>
        <v>0</v>
      </c>
      <c r="G43" s="492">
        <f t="shared" si="1"/>
        <v>394.14203195753282</v>
      </c>
      <c r="H43" s="492">
        <f t="shared" si="1"/>
        <v>-15031.622723635814</v>
      </c>
      <c r="I43" s="492">
        <f t="shared" si="1"/>
        <v>0</v>
      </c>
      <c r="J43" s="492">
        <f t="shared" si="1"/>
        <v>-113109.09837033412</v>
      </c>
      <c r="K43" s="492">
        <f t="shared" si="1"/>
        <v>-14593.714933620655</v>
      </c>
      <c r="L43" s="492">
        <f t="shared" si="1"/>
        <v>-147274.06246171537</v>
      </c>
      <c r="M43" s="492"/>
      <c r="N43" s="492"/>
    </row>
    <row r="44" spans="1:16">
      <c r="D44" s="494"/>
      <c r="E44" s="494"/>
      <c r="F44" s="494"/>
      <c r="G44" s="494"/>
      <c r="H44" s="494"/>
      <c r="I44" s="494"/>
      <c r="J44" s="494"/>
      <c r="K44" s="494"/>
      <c r="L44" s="494"/>
      <c r="M44" s="494"/>
      <c r="N44" s="494"/>
    </row>
    <row r="45" spans="1:16" ht="13.5" thickBot="1">
      <c r="A45" s="481" t="s">
        <v>91</v>
      </c>
      <c r="B45" s="481"/>
      <c r="C45" s="481"/>
      <c r="D45" s="492"/>
      <c r="E45" s="492"/>
      <c r="F45" s="492"/>
      <c r="G45" s="492"/>
      <c r="H45" s="492"/>
      <c r="I45" s="492"/>
      <c r="J45" s="492"/>
      <c r="K45" s="492"/>
      <c r="L45" s="504">
        <f>SUM(L10:L42)</f>
        <v>1733959.3659682851</v>
      </c>
      <c r="M45" s="492"/>
      <c r="N45" s="492">
        <f>+Report!T83</f>
        <v>1733959.3659682842</v>
      </c>
      <c r="O45" s="478" t="s">
        <v>324</v>
      </c>
    </row>
    <row r="46" spans="1:16" ht="14.25" thickTop="1" thickBot="1">
      <c r="A46" s="481"/>
      <c r="B46" s="481"/>
      <c r="C46" s="481"/>
      <c r="D46" s="492"/>
      <c r="E46" s="492"/>
      <c r="F46" s="492"/>
      <c r="G46" s="492"/>
      <c r="H46" s="492"/>
      <c r="I46" s="492"/>
      <c r="J46" s="492"/>
      <c r="K46" s="492"/>
      <c r="L46" s="503"/>
      <c r="M46" s="492"/>
      <c r="N46" s="505">
        <f>+L45-N45</f>
        <v>0</v>
      </c>
      <c r="O46" s="478" t="s">
        <v>325</v>
      </c>
    </row>
    <row r="47" spans="1:16">
      <c r="O47" s="17" t="s">
        <v>2689</v>
      </c>
    </row>
    <row r="49" spans="1:14">
      <c r="A49" s="506"/>
      <c r="B49" s="506"/>
      <c r="C49" s="506"/>
      <c r="D49" s="506"/>
      <c r="E49" s="506"/>
      <c r="F49" s="506"/>
      <c r="G49" s="506"/>
      <c r="H49" s="506"/>
      <c r="I49" s="506"/>
      <c r="J49" s="506"/>
      <c r="K49" s="506"/>
      <c r="L49" s="506"/>
      <c r="M49" s="506"/>
      <c r="N49" s="506"/>
    </row>
    <row r="51" spans="1:14">
      <c r="A51" s="481"/>
      <c r="B51" s="930" t="str">
        <f>+Report!A3</f>
        <v>December 2022</v>
      </c>
      <c r="C51" s="507" t="str">
        <f>+Report!$A$3</f>
        <v>December 2022</v>
      </c>
    </row>
    <row r="52" spans="1:14">
      <c r="A52" s="481"/>
      <c r="B52" s="929" t="s">
        <v>2511</v>
      </c>
      <c r="C52" s="508" t="s">
        <v>2510</v>
      </c>
    </row>
    <row r="53" spans="1:14" ht="15">
      <c r="B53" s="509" t="s">
        <v>214</v>
      </c>
      <c r="C53" s="510" t="s">
        <v>215</v>
      </c>
    </row>
    <row r="54" spans="1:14" ht="15.75">
      <c r="A54" s="511"/>
      <c r="B54" s="512"/>
      <c r="C54" s="513"/>
    </row>
    <row r="55" spans="1:14" ht="15">
      <c r="A55" s="491" t="s">
        <v>216</v>
      </c>
      <c r="B55" s="513"/>
      <c r="C55" s="513"/>
      <c r="I55" s="485"/>
      <c r="J55" s="485"/>
    </row>
    <row r="56" spans="1:14" ht="15">
      <c r="A56" s="478" t="s">
        <v>217</v>
      </c>
      <c r="B56" s="514"/>
      <c r="C56" s="515"/>
      <c r="I56" s="486"/>
      <c r="J56" s="486"/>
      <c r="K56" s="486"/>
      <c r="L56" s="481"/>
      <c r="M56" s="481"/>
    </row>
    <row r="57" spans="1:14" ht="15">
      <c r="A57" s="478" t="s">
        <v>218</v>
      </c>
      <c r="B57" s="517">
        <f>(+'Bal Sheet'!ES10)</f>
        <v>2478715.9542</v>
      </c>
      <c r="C57" s="517">
        <f>(+'Bal Sheet'!FF10)</f>
        <v>2573845.285017692</v>
      </c>
      <c r="I57" s="488"/>
      <c r="J57" s="488"/>
      <c r="K57" s="488"/>
      <c r="L57" s="481"/>
      <c r="M57" s="481"/>
    </row>
    <row r="58" spans="1:14" ht="15">
      <c r="A58" s="478" t="s">
        <v>219</v>
      </c>
      <c r="B58" s="517">
        <f>(+'Bal Sheet'!ES11)</f>
        <v>1939.5515500000001</v>
      </c>
      <c r="C58" s="517">
        <f>(+'Bal Sheet'!FF11)</f>
        <v>1939.5515500000001</v>
      </c>
      <c r="I58" s="492"/>
      <c r="J58" s="492"/>
      <c r="K58" s="492"/>
      <c r="L58" s="492"/>
      <c r="M58" s="492"/>
    </row>
    <row r="59" spans="1:14" ht="15">
      <c r="A59" s="478" t="s">
        <v>4</v>
      </c>
      <c r="B59" s="518">
        <f>(+'Bal Sheet'!ES12)</f>
        <v>147483.84961</v>
      </c>
      <c r="C59" s="518">
        <f>(+'Bal Sheet'!FF12)</f>
        <v>195971.74185307694</v>
      </c>
      <c r="I59" s="494"/>
      <c r="J59" s="494"/>
      <c r="K59" s="494"/>
      <c r="L59" s="494"/>
      <c r="M59" s="494"/>
    </row>
    <row r="60" spans="1:14" ht="15">
      <c r="A60" s="513" t="s">
        <v>220</v>
      </c>
      <c r="B60" s="519">
        <f>(+'Bal Sheet'!ES13)</f>
        <v>5031.8972400000002</v>
      </c>
      <c r="C60" s="519">
        <f>(+'Bal Sheet'!FF13)</f>
        <v>5031.8972399999993</v>
      </c>
      <c r="I60" s="494"/>
      <c r="J60" s="494"/>
      <c r="K60" s="494"/>
      <c r="L60" s="494"/>
      <c r="M60" s="494"/>
    </row>
    <row r="61" spans="1:14" ht="15">
      <c r="B61" s="517"/>
      <c r="C61" s="517"/>
      <c r="I61" s="494"/>
      <c r="J61" s="494"/>
      <c r="K61" s="494"/>
      <c r="L61" s="494"/>
      <c r="M61" s="494"/>
    </row>
    <row r="62" spans="1:14" ht="15">
      <c r="A62" s="478" t="s">
        <v>221</v>
      </c>
      <c r="B62" s="518">
        <f>SUM(B57:B60)</f>
        <v>2633171.2525999998</v>
      </c>
      <c r="C62" s="518">
        <f>SUM(C57:C60)</f>
        <v>2776788.4756607688</v>
      </c>
      <c r="I62" s="492"/>
      <c r="J62" s="492"/>
      <c r="K62" s="492"/>
      <c r="L62" s="492"/>
      <c r="M62" s="492"/>
    </row>
    <row r="63" spans="1:14" ht="15">
      <c r="A63" s="478" t="s">
        <v>222</v>
      </c>
      <c r="B63" s="519">
        <f>(+'Bal Sheet'!ES15)</f>
        <v>-854647.54587999999</v>
      </c>
      <c r="C63" s="519">
        <f>(+'Bal Sheet'!FF15)</f>
        <v>-867174.09407384624</v>
      </c>
      <c r="I63" s="492"/>
      <c r="J63" s="492"/>
      <c r="K63" s="492"/>
      <c r="L63" s="492"/>
      <c r="M63" s="492"/>
    </row>
    <row r="64" spans="1:14" ht="15">
      <c r="B64" s="517"/>
      <c r="C64" s="517"/>
      <c r="I64" s="492"/>
      <c r="J64" s="492"/>
      <c r="K64" s="492"/>
      <c r="L64" s="492"/>
      <c r="M64" s="492"/>
    </row>
    <row r="65" spans="1:13" ht="15">
      <c r="A65" s="513" t="s">
        <v>223</v>
      </c>
      <c r="B65" s="517">
        <f>+B62+B63</f>
        <v>1778523.7067199997</v>
      </c>
      <c r="C65" s="517">
        <f>+C62+C63</f>
        <v>1909614.3815869226</v>
      </c>
      <c r="I65" s="492"/>
      <c r="J65" s="492"/>
      <c r="K65" s="492"/>
      <c r="L65" s="492"/>
      <c r="M65" s="492"/>
    </row>
    <row r="66" spans="1:13" ht="15">
      <c r="B66" s="517"/>
      <c r="C66" s="517"/>
      <c r="I66" s="492"/>
      <c r="J66" s="492"/>
      <c r="K66" s="492"/>
      <c r="L66" s="492"/>
      <c r="M66" s="492"/>
    </row>
    <row r="67" spans="1:13" ht="15">
      <c r="A67" s="478" t="s">
        <v>224</v>
      </c>
      <c r="B67" s="517">
        <f>(+'Bal Sheet'!ES18)</f>
        <v>1027.7767200000001</v>
      </c>
      <c r="C67" s="517">
        <f>(+'Bal Sheet'!FF18)</f>
        <v>958.58977461538461</v>
      </c>
      <c r="I67" s="492"/>
      <c r="J67" s="492"/>
      <c r="K67" s="492"/>
      <c r="L67" s="492"/>
      <c r="M67" s="492"/>
    </row>
    <row r="68" spans="1:13" ht="15">
      <c r="A68" s="478" t="s">
        <v>225</v>
      </c>
      <c r="B68" s="518">
        <f>(+'Bal Sheet'!ES19)</f>
        <v>0</v>
      </c>
      <c r="C68" s="518">
        <f>(+'Bal Sheet'!FF19)</f>
        <v>0</v>
      </c>
      <c r="I68" s="492"/>
      <c r="J68" s="492"/>
      <c r="K68" s="492"/>
      <c r="L68" s="492"/>
      <c r="M68" s="492"/>
    </row>
    <row r="69" spans="1:13" ht="15">
      <c r="A69" s="478" t="s">
        <v>226</v>
      </c>
      <c r="B69" s="519">
        <f>(+'Bal Sheet'!ES20)</f>
        <v>0</v>
      </c>
      <c r="C69" s="519">
        <f>(+'Bal Sheet'!FF20)</f>
        <v>0</v>
      </c>
      <c r="I69" s="492"/>
      <c r="J69" s="492"/>
      <c r="K69" s="492"/>
      <c r="L69" s="492"/>
      <c r="M69" s="492"/>
    </row>
    <row r="70" spans="1:13" ht="15">
      <c r="B70" s="517"/>
      <c r="C70" s="517"/>
      <c r="I70" s="492"/>
      <c r="J70" s="492"/>
      <c r="K70" s="492"/>
      <c r="L70" s="492"/>
      <c r="M70" s="492"/>
    </row>
    <row r="71" spans="1:13" ht="15">
      <c r="A71" s="491" t="s">
        <v>227</v>
      </c>
      <c r="B71" s="517">
        <f>SUM(B67:B69)</f>
        <v>1027.7767200000001</v>
      </c>
      <c r="C71" s="517">
        <f>SUM(C67:C69)</f>
        <v>958.58977461538461</v>
      </c>
      <c r="I71" s="492"/>
      <c r="J71" s="492"/>
      <c r="K71" s="492"/>
      <c r="L71" s="492"/>
      <c r="M71" s="492"/>
    </row>
    <row r="72" spans="1:13" ht="15">
      <c r="A72" s="478" t="s">
        <v>228</v>
      </c>
      <c r="B72" s="517"/>
      <c r="C72" s="517"/>
      <c r="I72" s="492"/>
      <c r="J72" s="492"/>
      <c r="K72" s="492"/>
      <c r="L72" s="492"/>
      <c r="M72" s="492"/>
    </row>
    <row r="73" spans="1:13" ht="15">
      <c r="A73" s="478" t="s">
        <v>229</v>
      </c>
      <c r="B73" s="517">
        <f>(+'Bal Sheet'!ES24)</f>
        <v>2104.29709</v>
      </c>
      <c r="C73" s="517">
        <f>(+'Bal Sheet'!FF24)</f>
        <v>3209.9291492307693</v>
      </c>
      <c r="I73" s="492"/>
      <c r="J73" s="492"/>
      <c r="K73" s="492"/>
      <c r="L73" s="492"/>
      <c r="M73" s="492"/>
    </row>
    <row r="74" spans="1:13" ht="15">
      <c r="A74" s="478" t="s">
        <v>230</v>
      </c>
      <c r="B74" s="517">
        <f>(+'Bal Sheet'!ES25)</f>
        <v>0</v>
      </c>
      <c r="C74" s="517">
        <f>(+'Bal Sheet'!FF25)</f>
        <v>0</v>
      </c>
      <c r="I74" s="492"/>
      <c r="J74" s="492"/>
      <c r="K74" s="492"/>
      <c r="L74" s="492"/>
      <c r="M74" s="492"/>
    </row>
    <row r="75" spans="1:13" ht="15">
      <c r="A75" s="478" t="s">
        <v>231</v>
      </c>
      <c r="B75" s="517">
        <f>(+'Bal Sheet'!ES26)</f>
        <v>25</v>
      </c>
      <c r="C75" s="517">
        <f>(+'Bal Sheet'!FF26)</f>
        <v>25</v>
      </c>
      <c r="I75" s="492"/>
      <c r="J75" s="492"/>
      <c r="K75" s="492"/>
      <c r="L75" s="492"/>
      <c r="M75" s="520"/>
    </row>
    <row r="76" spans="1:13" ht="15">
      <c r="A76" s="478" t="s">
        <v>232</v>
      </c>
      <c r="B76" s="517">
        <f>(+'Bal Sheet'!ES27)</f>
        <v>2.95</v>
      </c>
      <c r="C76" s="517">
        <f>(+'Bal Sheet'!FF27)</f>
        <v>2.95</v>
      </c>
      <c r="I76" s="492"/>
      <c r="J76" s="492"/>
      <c r="K76" s="492"/>
      <c r="L76" s="492"/>
      <c r="M76" s="492"/>
    </row>
    <row r="77" spans="1:13" ht="15">
      <c r="A77" s="478" t="s">
        <v>233</v>
      </c>
      <c r="B77" s="517">
        <f>(+'Bal Sheet'!ES28)</f>
        <v>0</v>
      </c>
      <c r="C77" s="517">
        <f>(+'Bal Sheet'!FF28)</f>
        <v>0</v>
      </c>
      <c r="I77" s="492"/>
      <c r="J77" s="492"/>
      <c r="K77" s="492"/>
      <c r="L77" s="492"/>
      <c r="M77" s="492"/>
    </row>
    <row r="78" spans="1:13" ht="15">
      <c r="A78" s="478" t="s">
        <v>234</v>
      </c>
      <c r="B78" s="517">
        <f>(+'Bal Sheet'!ES29)</f>
        <v>34889.403490000004</v>
      </c>
      <c r="C78" s="517">
        <f>(+'Bal Sheet'!FF29)</f>
        <v>39645.966130769222</v>
      </c>
      <c r="I78" s="492"/>
      <c r="J78" s="492"/>
      <c r="K78" s="492"/>
      <c r="L78" s="492"/>
      <c r="M78" s="492"/>
    </row>
    <row r="79" spans="1:13" ht="15">
      <c r="A79" s="478" t="s">
        <v>235</v>
      </c>
      <c r="B79" s="517">
        <f>(+'Bal Sheet'!ES30)</f>
        <v>4473.6198099999992</v>
      </c>
      <c r="C79" s="517">
        <f>(+'Bal Sheet'!FF30)</f>
        <v>1591.8972207692309</v>
      </c>
      <c r="I79" s="492"/>
      <c r="J79" s="492"/>
      <c r="K79" s="492"/>
      <c r="L79" s="492"/>
      <c r="M79" s="492"/>
    </row>
    <row r="80" spans="1:13" ht="15">
      <c r="A80" s="478" t="s">
        <v>236</v>
      </c>
      <c r="B80" s="517">
        <f>(+'Bal Sheet'!ES31)</f>
        <v>-1399.5217299999999</v>
      </c>
      <c r="C80" s="517">
        <f>(+'Bal Sheet'!FF31)</f>
        <v>-1399.369753846154</v>
      </c>
      <c r="I80" s="492"/>
      <c r="J80" s="521"/>
      <c r="K80" s="492"/>
      <c r="L80" s="492"/>
      <c r="M80" s="492"/>
    </row>
    <row r="81" spans="1:14" ht="15">
      <c r="A81" s="478" t="s">
        <v>237</v>
      </c>
      <c r="B81" s="517">
        <f>(+'Bal Sheet'!ES32)</f>
        <v>9985.2147299999997</v>
      </c>
      <c r="C81" s="517">
        <f>(+'Bal Sheet'!FF32)</f>
        <v>9807.1821069230773</v>
      </c>
      <c r="I81" s="492"/>
      <c r="J81" s="492"/>
      <c r="K81" s="492"/>
      <c r="L81" s="492"/>
      <c r="M81" s="492"/>
    </row>
    <row r="82" spans="1:14" ht="15">
      <c r="A82" s="478" t="s">
        <v>238</v>
      </c>
      <c r="B82" s="517">
        <f>(+'Bal Sheet'!ES33)</f>
        <v>828.79310999999996</v>
      </c>
      <c r="C82" s="517">
        <f>(+'Bal Sheet'!FF33)</f>
        <v>3275.3101900000006</v>
      </c>
      <c r="I82" s="492"/>
      <c r="J82" s="492"/>
      <c r="K82" s="492"/>
      <c r="L82" s="492"/>
      <c r="M82" s="492"/>
    </row>
    <row r="83" spans="1:14" ht="15">
      <c r="A83" s="478" t="s">
        <v>239</v>
      </c>
      <c r="B83" s="517">
        <f>(+'Bal Sheet'!ES34+'Bal Sheet'!ES35)</f>
        <v>3499.7440800000004</v>
      </c>
      <c r="C83" s="517">
        <f>(+'Bal Sheet'!FF34+'Bal Sheet'!FF35)</f>
        <v>5229.1358900000005</v>
      </c>
      <c r="I83" s="492"/>
      <c r="J83" s="492"/>
      <c r="K83" s="492"/>
      <c r="L83" s="492"/>
      <c r="M83" s="492"/>
    </row>
    <row r="84" spans="1:14" ht="15">
      <c r="A84" s="478" t="s">
        <v>240</v>
      </c>
      <c r="B84" s="517">
        <f>(+'Bal Sheet'!ES36)</f>
        <v>0</v>
      </c>
      <c r="C84" s="517">
        <f>(+'Bal Sheet'!FF36)</f>
        <v>0</v>
      </c>
      <c r="I84" s="492"/>
      <c r="J84" s="492"/>
      <c r="K84" s="492"/>
      <c r="L84" s="492"/>
      <c r="M84" s="492"/>
    </row>
    <row r="85" spans="1:14" ht="15">
      <c r="A85" s="478" t="s">
        <v>241</v>
      </c>
      <c r="B85" s="517">
        <f>(+'Bal Sheet'!ES37)</f>
        <v>0</v>
      </c>
      <c r="C85" s="517">
        <f>(+'Bal Sheet'!FF37)</f>
        <v>0</v>
      </c>
      <c r="I85" s="492"/>
      <c r="J85" s="492"/>
      <c r="K85" s="492"/>
      <c r="L85" s="492"/>
      <c r="M85" s="492"/>
    </row>
    <row r="86" spans="1:14" ht="15">
      <c r="A86" s="478" t="s">
        <v>242</v>
      </c>
      <c r="B86" s="517">
        <f>(+'Bal Sheet'!ES38)</f>
        <v>3413.03042</v>
      </c>
      <c r="C86" s="517">
        <f>(+'Bal Sheet'!FF38)</f>
        <v>5173.247476153846</v>
      </c>
      <c r="I86" s="492"/>
      <c r="J86" s="492"/>
      <c r="K86" s="492"/>
      <c r="L86" s="492"/>
      <c r="M86" s="492"/>
    </row>
    <row r="87" spans="1:14" ht="15">
      <c r="A87" s="478" t="s">
        <v>243</v>
      </c>
      <c r="B87" s="518">
        <f>(+'Bal Sheet'!ES39)</f>
        <v>20933.310990000002</v>
      </c>
      <c r="C87" s="518">
        <f>(+'Bal Sheet'!FF39)</f>
        <v>19984.996074615385</v>
      </c>
      <c r="I87" s="492"/>
      <c r="J87" s="522"/>
      <c r="K87" s="492"/>
      <c r="L87" s="492"/>
      <c r="M87" s="492"/>
    </row>
    <row r="88" spans="1:14" ht="15">
      <c r="A88" s="478" t="s">
        <v>244</v>
      </c>
      <c r="B88" s="519">
        <f>(+'Bal Sheet'!ES40)</f>
        <v>0</v>
      </c>
      <c r="C88" s="519">
        <f>(+'Bal Sheet'!FF40)</f>
        <v>0</v>
      </c>
      <c r="I88" s="494"/>
      <c r="J88" s="494"/>
      <c r="K88" s="494"/>
      <c r="L88" s="494"/>
      <c r="M88" s="494"/>
    </row>
    <row r="89" spans="1:14" ht="15">
      <c r="B89" s="517"/>
      <c r="C89" s="517"/>
      <c r="I89" s="492"/>
      <c r="J89" s="492"/>
      <c r="K89" s="492"/>
      <c r="L89" s="492"/>
      <c r="M89" s="492"/>
      <c r="N89" s="492"/>
    </row>
    <row r="90" spans="1:14" ht="15">
      <c r="A90" s="491" t="s">
        <v>245</v>
      </c>
      <c r="B90" s="517">
        <f>SUM(B73:B88)</f>
        <v>78755.841990000001</v>
      </c>
      <c r="C90" s="517">
        <f>SUM(C73:C88)</f>
        <v>86546.244484615367</v>
      </c>
      <c r="I90" s="492"/>
      <c r="J90" s="492"/>
      <c r="K90" s="492"/>
      <c r="L90" s="492"/>
      <c r="M90" s="492"/>
      <c r="N90" s="492"/>
    </row>
    <row r="91" spans="1:14" ht="15">
      <c r="A91" s="478" t="s">
        <v>246</v>
      </c>
      <c r="B91" s="517"/>
      <c r="C91" s="517"/>
      <c r="I91" s="492"/>
      <c r="J91" s="492"/>
      <c r="K91" s="492"/>
      <c r="L91" s="492"/>
      <c r="M91" s="492"/>
      <c r="N91" s="492"/>
    </row>
    <row r="92" spans="1:14" ht="15">
      <c r="A92" s="478" t="s">
        <v>247</v>
      </c>
      <c r="B92" s="517">
        <f>(+'Bal Sheet'!ES44)</f>
        <v>4248.9452799999999</v>
      </c>
      <c r="C92" s="517">
        <f>(+'Bal Sheet'!FF44)</f>
        <v>4359.2748699999993</v>
      </c>
      <c r="I92" s="492"/>
      <c r="J92" s="492"/>
      <c r="K92" s="492"/>
      <c r="L92" s="492"/>
      <c r="M92" s="492"/>
      <c r="N92" s="492"/>
    </row>
    <row r="93" spans="1:14" ht="15">
      <c r="A93" s="478" t="s">
        <v>248</v>
      </c>
      <c r="B93" s="517">
        <f>(+'Bal Sheet'!ES45)</f>
        <v>58824.206109999999</v>
      </c>
      <c r="C93" s="517">
        <f>(+'Bal Sheet'!FF45)</f>
        <v>59502.546921538473</v>
      </c>
      <c r="I93" s="492"/>
      <c r="J93" s="492"/>
      <c r="K93" s="492"/>
      <c r="L93" s="492"/>
      <c r="M93" s="492"/>
      <c r="N93" s="492"/>
    </row>
    <row r="94" spans="1:14" ht="15">
      <c r="A94" s="478" t="s">
        <v>249</v>
      </c>
      <c r="B94" s="517">
        <f>(+'Bal Sheet'!ES46)</f>
        <v>0</v>
      </c>
      <c r="C94" s="517">
        <f>(+'Bal Sheet'!FF46)</f>
        <v>0</v>
      </c>
      <c r="I94" s="492"/>
      <c r="J94" s="492"/>
      <c r="K94" s="492"/>
      <c r="L94" s="492"/>
      <c r="M94" s="492"/>
      <c r="N94" s="492"/>
    </row>
    <row r="95" spans="1:14" ht="15">
      <c r="A95" s="478" t="s">
        <v>250</v>
      </c>
      <c r="B95" s="517">
        <f>(+'Bal Sheet'!ES47)</f>
        <v>54783.441789999997</v>
      </c>
      <c r="C95" s="517">
        <f>(+'Bal Sheet'!FF47)</f>
        <v>53798.058961538452</v>
      </c>
      <c r="I95" s="492"/>
      <c r="J95" s="492"/>
      <c r="K95" s="492"/>
      <c r="L95" s="492"/>
      <c r="M95" s="492"/>
      <c r="N95" s="492"/>
    </row>
    <row r="96" spans="1:14" ht="15">
      <c r="A96" s="686" t="s">
        <v>1830</v>
      </c>
      <c r="B96" s="517">
        <f>(+'Bal Sheet'!ES48)</f>
        <v>601.75800000000004</v>
      </c>
      <c r="C96" s="517">
        <f>(+'Bal Sheet'!FF48)</f>
        <v>46.289076923076927</v>
      </c>
      <c r="I96" s="492"/>
      <c r="J96" s="492"/>
      <c r="K96" s="492"/>
      <c r="L96" s="492"/>
      <c r="M96" s="492"/>
      <c r="N96" s="492"/>
    </row>
    <row r="97" spans="1:14" ht="15">
      <c r="A97" s="686" t="s">
        <v>1831</v>
      </c>
      <c r="B97" s="517">
        <f>(+'Bal Sheet'!ES49)</f>
        <v>563.79399999999998</v>
      </c>
      <c r="C97" s="517">
        <f>(+'Bal Sheet'!FF49)</f>
        <v>244.28653384615384</v>
      </c>
      <c r="I97" s="492"/>
      <c r="J97" s="492"/>
      <c r="K97" s="492"/>
      <c r="L97" s="492"/>
      <c r="M97" s="492"/>
      <c r="N97" s="492"/>
    </row>
    <row r="98" spans="1:14" ht="15">
      <c r="A98" s="478" t="s">
        <v>251</v>
      </c>
      <c r="B98" s="517">
        <f>(+'Bal Sheet'!ES50)</f>
        <v>0</v>
      </c>
      <c r="C98" s="517">
        <f>(+'Bal Sheet'!FF50)</f>
        <v>0</v>
      </c>
    </row>
    <row r="99" spans="1:14" ht="15">
      <c r="A99" s="478" t="s">
        <v>252</v>
      </c>
      <c r="B99" s="517">
        <f>(+'Bal Sheet'!ES51)</f>
        <v>846.95283999999992</v>
      </c>
      <c r="C99" s="517">
        <f>(+'Bal Sheet'!FF51)</f>
        <v>635.21463846153847</v>
      </c>
    </row>
    <row r="100" spans="1:14" ht="15">
      <c r="A100" s="478" t="s">
        <v>253</v>
      </c>
      <c r="B100" s="518">
        <f>(+'Bal Sheet'!ES52)</f>
        <v>12048.953949999999</v>
      </c>
      <c r="C100" s="518">
        <f>(+'Bal Sheet'!FF52)</f>
        <v>-768.35859923076919</v>
      </c>
    </row>
    <row r="101" spans="1:14" ht="15">
      <c r="A101" s="478" t="s">
        <v>477</v>
      </c>
      <c r="B101" s="519">
        <f>(+'Bal Sheet'!ES53)</f>
        <v>0</v>
      </c>
      <c r="C101" s="519">
        <f>(+'Bal Sheet'!FF53)</f>
        <v>0</v>
      </c>
    </row>
    <row r="102" spans="1:14" ht="15">
      <c r="B102" s="518"/>
      <c r="C102" s="518"/>
    </row>
    <row r="103" spans="1:14" ht="15">
      <c r="A103" s="513" t="s">
        <v>254</v>
      </c>
      <c r="B103" s="523">
        <f>SUM(B92:B101)</f>
        <v>131918.05197</v>
      </c>
      <c r="C103" s="523">
        <f>SUM(C92:C101)</f>
        <v>117817.31240307692</v>
      </c>
    </row>
    <row r="104" spans="1:14" ht="15.75" thickBot="1">
      <c r="B104" s="524"/>
      <c r="C104" s="524"/>
    </row>
    <row r="105" spans="1:14" ht="16.5" thickTop="1" thickBot="1">
      <c r="A105" s="513" t="s">
        <v>255</v>
      </c>
      <c r="B105" s="524">
        <f>+B65+B71+B90+B103</f>
        <v>1990225.3773999996</v>
      </c>
      <c r="C105" s="524">
        <f>+C65+C71+C90+C103</f>
        <v>2114936.5282492302</v>
      </c>
    </row>
    <row r="106" spans="1:14" ht="15.75" thickTop="1">
      <c r="A106" s="513"/>
      <c r="B106" s="525"/>
      <c r="C106" s="525"/>
    </row>
    <row r="107" spans="1:14" ht="15">
      <c r="A107" s="513"/>
      <c r="B107" s="525"/>
      <c r="C107" s="525"/>
    </row>
    <row r="108" spans="1:14" ht="15.75">
      <c r="A108" s="511"/>
      <c r="B108" s="507"/>
      <c r="C108" s="508" t="str">
        <f>+C51</f>
        <v>December 2022</v>
      </c>
    </row>
    <row r="109" spans="1:14" ht="15">
      <c r="A109" s="513" t="s">
        <v>256</v>
      </c>
      <c r="B109" s="508" t="str">
        <f>B51</f>
        <v>December 2022</v>
      </c>
      <c r="C109" s="508" t="str">
        <f>+C52</f>
        <v>13-month</v>
      </c>
    </row>
    <row r="110" spans="1:14" ht="15">
      <c r="A110" s="491"/>
      <c r="B110" s="526" t="str">
        <f>+B53</f>
        <v>Actual</v>
      </c>
      <c r="C110" s="526" t="str">
        <f>+C53</f>
        <v>Average</v>
      </c>
    </row>
    <row r="111" spans="1:14" ht="15">
      <c r="A111" s="478" t="s">
        <v>257</v>
      </c>
      <c r="B111" s="516"/>
      <c r="C111" s="517"/>
    </row>
    <row r="112" spans="1:14" ht="15">
      <c r="A112" s="478" t="s">
        <v>258</v>
      </c>
      <c r="B112" s="517">
        <f>(+'Bal Sheet'!ES60)</f>
        <v>0</v>
      </c>
      <c r="C112" s="517">
        <f>(+'Bal Sheet'!FF60)</f>
        <v>0</v>
      </c>
    </row>
    <row r="113" spans="1:3" ht="15">
      <c r="A113" s="478" t="s">
        <v>259</v>
      </c>
      <c r="B113" s="517">
        <f>(+'Bal Sheet'!ES61)</f>
        <v>665550.16919000004</v>
      </c>
      <c r="C113" s="517">
        <f>(+'Bal Sheet'!FF61)</f>
        <v>769396.32303615392</v>
      </c>
    </row>
    <row r="114" spans="1:3" ht="15">
      <c r="A114" s="478" t="s">
        <v>260</v>
      </c>
      <c r="B114" s="517">
        <f>(+'Bal Sheet'!ES62)</f>
        <v>120983.76886999999</v>
      </c>
      <c r="C114" s="517">
        <f>(+'Bal Sheet'!FF62)</f>
        <v>120552.33805230769</v>
      </c>
    </row>
    <row r="115" spans="1:3" ht="15">
      <c r="A115" s="513" t="s">
        <v>261</v>
      </c>
      <c r="B115" s="527">
        <f>(+'Bal Sheet'!ES63)</f>
        <v>-299.35821000000004</v>
      </c>
      <c r="C115" s="527">
        <f>(+'Bal Sheet'!FF63)</f>
        <v>-287.0448846153846</v>
      </c>
    </row>
    <row r="116" spans="1:3" ht="15">
      <c r="A116" s="478" t="s">
        <v>7</v>
      </c>
      <c r="B116" s="517"/>
      <c r="C116" s="517"/>
    </row>
    <row r="117" spans="1:3" ht="15">
      <c r="A117" s="513" t="s">
        <v>262</v>
      </c>
      <c r="B117" s="517">
        <f>SUM(B112:B115)</f>
        <v>786234.5798500001</v>
      </c>
      <c r="C117" s="517">
        <f>SUM(C112:C115)</f>
        <v>889661.61620384629</v>
      </c>
    </row>
    <row r="118" spans="1:3" ht="15">
      <c r="A118" s="478" t="s">
        <v>8</v>
      </c>
      <c r="B118" s="517"/>
      <c r="C118" s="517"/>
    </row>
    <row r="119" spans="1:3" ht="15">
      <c r="A119" s="478" t="s">
        <v>263</v>
      </c>
      <c r="B119" s="517">
        <f>(+'Bal Sheet'!ES67)</f>
        <v>0</v>
      </c>
      <c r="C119" s="517">
        <f>(+'Bal Sheet'!FF67)</f>
        <v>0</v>
      </c>
    </row>
    <row r="120" spans="1:3" ht="15">
      <c r="A120" s="478" t="s">
        <v>264</v>
      </c>
      <c r="B120" s="517">
        <f>(+'Bal Sheet'!ES66)</f>
        <v>520000</v>
      </c>
      <c r="C120" s="517">
        <f>(+'Bal Sheet'!FF66)</f>
        <v>546923.07692307688</v>
      </c>
    </row>
    <row r="121" spans="1:3" ht="15">
      <c r="A121" s="478" t="s">
        <v>265</v>
      </c>
      <c r="B121" s="527">
        <f>(+'Bal Sheet'!ES68)</f>
        <v>-1648.7763300000001</v>
      </c>
      <c r="C121" s="527">
        <f>(+'Bal Sheet'!FF68)</f>
        <v>-1628.8044415384613</v>
      </c>
    </row>
    <row r="122" spans="1:3" ht="15">
      <c r="B122" s="528"/>
      <c r="C122" s="528"/>
    </row>
    <row r="123" spans="1:3" ht="15">
      <c r="A123" s="513" t="s">
        <v>266</v>
      </c>
      <c r="B123" s="528">
        <f>SUM(B119:B121)</f>
        <v>518351.22366999998</v>
      </c>
      <c r="C123" s="528">
        <f>SUM(C119:C121)</f>
        <v>545294.27248153847</v>
      </c>
    </row>
    <row r="124" spans="1:3" ht="15">
      <c r="B124" s="518"/>
      <c r="C124" s="518"/>
    </row>
    <row r="125" spans="1:3" ht="15">
      <c r="A125" s="491" t="s">
        <v>267</v>
      </c>
      <c r="B125" s="517">
        <f>+B117+B123</f>
        <v>1304585.8035200001</v>
      </c>
      <c r="C125" s="517">
        <f>+C117+C123</f>
        <v>1434955.8886853848</v>
      </c>
    </row>
    <row r="126" spans="1:3" ht="15">
      <c r="A126" s="478" t="s">
        <v>268</v>
      </c>
      <c r="B126" s="518"/>
      <c r="C126" s="518"/>
    </row>
    <row r="127" spans="1:3" ht="15">
      <c r="A127" s="478" t="s">
        <v>269</v>
      </c>
      <c r="B127" s="518">
        <f>(+'Bal Sheet'!ES74)</f>
        <v>189522.084</v>
      </c>
      <c r="C127" s="518">
        <f>(+'Bal Sheet'!FF74)</f>
        <v>167682.70811538462</v>
      </c>
    </row>
    <row r="128" spans="1:3" ht="15">
      <c r="A128" s="478" t="s">
        <v>270</v>
      </c>
      <c r="B128" s="518">
        <f>(+'Bal Sheet'!ES75)</f>
        <v>73129.695100000026</v>
      </c>
      <c r="C128" s="518">
        <f>(+'Bal Sheet'!FF75)</f>
        <v>65169.842558461547</v>
      </c>
    </row>
    <row r="129" spans="1:3" ht="15">
      <c r="A129" s="478" t="s">
        <v>271</v>
      </c>
      <c r="B129" s="518">
        <f>(+'Bal Sheet'!ES76)</f>
        <v>0</v>
      </c>
      <c r="C129" s="518">
        <f>(+'Bal Sheet'!FF76)</f>
        <v>0</v>
      </c>
    </row>
    <row r="130" spans="1:3" ht="15">
      <c r="A130" s="478" t="s">
        <v>272</v>
      </c>
      <c r="B130" s="518">
        <f>(+'Bal Sheet'!ES77)</f>
        <v>16072.202789999999</v>
      </c>
      <c r="C130" s="518">
        <f>(+'Bal Sheet'!FF77)</f>
        <v>14545.057028461539</v>
      </c>
    </row>
    <row r="131" spans="1:3" ht="15">
      <c r="A131" s="478" t="s">
        <v>273</v>
      </c>
      <c r="B131" s="518">
        <f>(+'Bal Sheet'!ES78)</f>
        <v>604</v>
      </c>
      <c r="C131" s="518">
        <f>(+'Bal Sheet'!FF78)</f>
        <v>617.92307692307691</v>
      </c>
    </row>
    <row r="132" spans="1:3" ht="15">
      <c r="A132" s="478" t="s">
        <v>274</v>
      </c>
      <c r="B132" s="518">
        <f>(+'Bal Sheet'!ES79)</f>
        <v>5474.3132600000008</v>
      </c>
      <c r="C132" s="518">
        <f>(+'Bal Sheet'!FF79)</f>
        <v>11021.108892307691</v>
      </c>
    </row>
    <row r="133" spans="1:3" ht="15">
      <c r="A133" s="478" t="s">
        <v>275</v>
      </c>
      <c r="B133" s="518">
        <f>(+'Bal Sheet'!ES80)</f>
        <v>0</v>
      </c>
      <c r="C133" s="518">
        <f>(+'Bal Sheet'!FF80)</f>
        <v>2233.3841307692305</v>
      </c>
    </row>
    <row r="134" spans="1:3" ht="15">
      <c r="A134" s="478" t="s">
        <v>276</v>
      </c>
      <c r="B134" s="518">
        <f>(+'Bal Sheet'!ES81)</f>
        <v>3091.8601200000003</v>
      </c>
      <c r="C134" s="518">
        <f>(+'Bal Sheet'!FF81)</f>
        <v>5427.8946123076912</v>
      </c>
    </row>
    <row r="135" spans="1:3" ht="15">
      <c r="A135" s="478" t="s">
        <v>277</v>
      </c>
      <c r="B135" s="518">
        <f>(+'Bal Sheet'!ES82)</f>
        <v>0</v>
      </c>
      <c r="C135" s="518">
        <f>(+'Bal Sheet'!FF82)</f>
        <v>3520.7976153846153</v>
      </c>
    </row>
    <row r="136" spans="1:3" ht="15">
      <c r="A136" s="478" t="s">
        <v>278</v>
      </c>
      <c r="B136" s="518">
        <f>(+'Bal Sheet'!ES83)</f>
        <v>1049.8805300000001</v>
      </c>
      <c r="C136" s="518">
        <f>(+'Bal Sheet'!FF83)</f>
        <v>1058.3676484615387</v>
      </c>
    </row>
    <row r="137" spans="1:3" ht="15">
      <c r="A137" s="478" t="s">
        <v>279</v>
      </c>
      <c r="B137" s="518">
        <f>(+'Bal Sheet'!ES84)</f>
        <v>51.289389999999997</v>
      </c>
      <c r="C137" s="518">
        <f>(+'Bal Sheet'!FF84)</f>
        <v>81.913516153846132</v>
      </c>
    </row>
    <row r="138" spans="1:3" ht="15">
      <c r="A138" s="689" t="s">
        <v>280</v>
      </c>
      <c r="B138" s="518">
        <f>(+'Bal Sheet'!ES85)</f>
        <v>0</v>
      </c>
      <c r="C138" s="518">
        <f>(+'Bal Sheet'!FF85)</f>
        <v>2016.9870000000005</v>
      </c>
    </row>
    <row r="139" spans="1:3" ht="15">
      <c r="A139" s="689" t="s">
        <v>1701</v>
      </c>
      <c r="B139" s="518">
        <f>(+'Bal Sheet'!ES86)</f>
        <v>0</v>
      </c>
      <c r="C139" s="518">
        <f>(+'Bal Sheet'!FF86)</f>
        <v>54.288128461538463</v>
      </c>
    </row>
    <row r="140" spans="1:3" ht="15">
      <c r="A140" s="529" t="s">
        <v>281</v>
      </c>
      <c r="B140" s="518">
        <f>(+'Bal Sheet'!ES87)</f>
        <v>0</v>
      </c>
      <c r="C140" s="518">
        <f>(+'Bal Sheet'!FF87)</f>
        <v>0</v>
      </c>
    </row>
    <row r="141" spans="1:3" ht="15">
      <c r="A141" s="478" t="s">
        <v>473</v>
      </c>
      <c r="B141" s="518">
        <f>(+'Bal Sheet'!ES88)</f>
        <v>0</v>
      </c>
      <c r="C141" s="518">
        <f>(+'Bal Sheet'!FF88)</f>
        <v>0</v>
      </c>
    </row>
    <row r="142" spans="1:3" ht="15">
      <c r="A142" s="513" t="s">
        <v>282</v>
      </c>
      <c r="B142" s="519">
        <f>(+'Bal Sheet'!ES89)+B164</f>
        <v>16245.723090000003</v>
      </c>
      <c r="C142" s="519">
        <f>(+'Bal Sheet'!FF89)+C164</f>
        <v>14124.486650769231</v>
      </c>
    </row>
    <row r="143" spans="1:3" ht="15">
      <c r="B143" s="518"/>
      <c r="C143" s="518"/>
    </row>
    <row r="144" spans="1:3" ht="15">
      <c r="A144" s="491" t="s">
        <v>283</v>
      </c>
      <c r="B144" s="517">
        <f>SUM(B127:B142)</f>
        <v>305241.0482800001</v>
      </c>
      <c r="C144" s="517">
        <f>SUM(C127:C142)</f>
        <v>287554.75897384621</v>
      </c>
    </row>
    <row r="145" spans="1:3" ht="15">
      <c r="A145" s="478" t="s">
        <v>284</v>
      </c>
      <c r="B145" s="518"/>
      <c r="C145" s="518"/>
    </row>
    <row r="146" spans="1:3" ht="15">
      <c r="A146" s="478" t="s">
        <v>285</v>
      </c>
      <c r="B146" s="518">
        <f>(+'Bal Sheet'!ES96)</f>
        <v>211197.86616000003</v>
      </c>
      <c r="C146" s="518">
        <f>(+'Bal Sheet'!FF96)</f>
        <v>221169.79910692308</v>
      </c>
    </row>
    <row r="147" spans="1:3" ht="15">
      <c r="A147" s="415" t="s">
        <v>1851</v>
      </c>
      <c r="B147" s="518">
        <f>(+'Bal Sheet'!ES97)</f>
        <v>88446.090120000008</v>
      </c>
      <c r="C147" s="518">
        <f>(+'Bal Sheet'!FF97)</f>
        <v>88498.68459846155</v>
      </c>
    </row>
    <row r="148" spans="1:3" ht="15">
      <c r="A148" s="478" t="s">
        <v>286</v>
      </c>
      <c r="B148" s="518">
        <f>(+'Bal Sheet'!ES98)</f>
        <v>0</v>
      </c>
      <c r="C148" s="518">
        <f>(+'Bal Sheet'!FF98)</f>
        <v>0</v>
      </c>
    </row>
    <row r="149" spans="1:3" ht="15">
      <c r="A149" s="478" t="s">
        <v>287</v>
      </c>
      <c r="B149" s="518">
        <f>(+'Bal Sheet'!ES94)</f>
        <v>18210.107640000002</v>
      </c>
      <c r="C149" s="518">
        <f>(+'Bal Sheet'!FF94)</f>
        <v>20227.79474615385</v>
      </c>
    </row>
    <row r="150" spans="1:3" ht="15">
      <c r="A150" s="478" t="s">
        <v>288</v>
      </c>
      <c r="B150" s="518">
        <f>(+'Bal Sheet'!ES93)</f>
        <v>26450.409190000002</v>
      </c>
      <c r="C150" s="518">
        <f>(+'Bal Sheet'!FF93)</f>
        <v>27729.058252307688</v>
      </c>
    </row>
    <row r="151" spans="1:3" ht="15">
      <c r="A151" s="513" t="s">
        <v>289</v>
      </c>
      <c r="B151" s="519">
        <f>(+'Bal Sheet'!ES95)</f>
        <v>4140.0796700000001</v>
      </c>
      <c r="C151" s="519">
        <f>(+'Bal Sheet'!FF95)</f>
        <v>4048.1417030769226</v>
      </c>
    </row>
    <row r="152" spans="1:3" ht="15">
      <c r="B152" s="518"/>
      <c r="C152" s="518"/>
    </row>
    <row r="153" spans="1:3" ht="15">
      <c r="A153" s="491" t="s">
        <v>290</v>
      </c>
      <c r="B153" s="517">
        <f>SUM(B146:B151)</f>
        <v>348444.55278000003</v>
      </c>
      <c r="C153" s="517">
        <f>SUM(C146:C151)</f>
        <v>361673.47840692312</v>
      </c>
    </row>
    <row r="154" spans="1:3" ht="15">
      <c r="A154" s="478" t="s">
        <v>291</v>
      </c>
      <c r="B154" s="518"/>
      <c r="C154" s="518"/>
    </row>
    <row r="155" spans="1:3" ht="15">
      <c r="A155" s="478" t="s">
        <v>292</v>
      </c>
      <c r="B155" s="518">
        <f>(+'Bal Sheet'!ES101)</f>
        <v>31953.972819999999</v>
      </c>
      <c r="C155" s="518">
        <f>(+'Bal Sheet'!FF101)</f>
        <v>30752.402183076923</v>
      </c>
    </row>
    <row r="156" spans="1:3" ht="15">
      <c r="A156" s="478" t="s">
        <v>293</v>
      </c>
      <c r="B156" s="528">
        <f>(+'Bal Sheet'!ES102)</f>
        <v>0</v>
      </c>
      <c r="C156" s="528">
        <f>(+'Bal Sheet'!FF102)</f>
        <v>0</v>
      </c>
    </row>
    <row r="157" spans="1:3" ht="15">
      <c r="B157" s="527"/>
      <c r="C157" s="527"/>
    </row>
    <row r="158" spans="1:3" ht="15">
      <c r="A158" s="513" t="s">
        <v>294</v>
      </c>
      <c r="B158" s="528">
        <f>+B155+B156</f>
        <v>31953.972819999999</v>
      </c>
      <c r="C158" s="528">
        <f>+C155+C156</f>
        <v>30752.402183076923</v>
      </c>
    </row>
    <row r="159" spans="1:3" ht="15.75" thickBot="1">
      <c r="B159" s="524"/>
      <c r="C159" s="524"/>
    </row>
    <row r="160" spans="1:3" ht="16.5" thickTop="1" thickBot="1">
      <c r="A160" s="515" t="s">
        <v>295</v>
      </c>
      <c r="B160" s="524">
        <f>+B125+B144+B153+B158</f>
        <v>1990225.3774000003</v>
      </c>
      <c r="C160" s="524">
        <f>+C125+C144+C153+C158</f>
        <v>2114936.5282492312</v>
      </c>
    </row>
    <row r="161" spans="1:13" ht="15.75" thickTop="1">
      <c r="A161" s="530"/>
      <c r="B161" s="531"/>
      <c r="C161" s="531"/>
    </row>
    <row r="162" spans="1:13" ht="15">
      <c r="A162" s="530" t="s">
        <v>422</v>
      </c>
      <c r="B162" s="531">
        <f>+B160-B105</f>
        <v>0</v>
      </c>
      <c r="C162" s="531">
        <f>+C160-C105</f>
        <v>0</v>
      </c>
    </row>
    <row r="163" spans="1:13" ht="15.75">
      <c r="A163" s="530"/>
      <c r="B163" s="532"/>
      <c r="C163" s="532"/>
    </row>
    <row r="164" spans="1:13">
      <c r="A164" s="533" t="s">
        <v>423</v>
      </c>
      <c r="B164" s="534">
        <v>0</v>
      </c>
      <c r="C164" s="534">
        <v>0</v>
      </c>
    </row>
    <row r="169" spans="1:13">
      <c r="A169" s="506"/>
      <c r="B169" s="506"/>
      <c r="C169" s="506"/>
      <c r="D169" s="506"/>
      <c r="E169" s="506"/>
      <c r="F169" s="506"/>
      <c r="G169" s="506"/>
      <c r="H169" s="506"/>
      <c r="I169" s="506"/>
      <c r="J169" s="506"/>
      <c r="K169" s="506"/>
      <c r="L169" s="506"/>
      <c r="M169" s="506"/>
    </row>
    <row r="172" spans="1:13">
      <c r="A172" s="535" t="s">
        <v>19</v>
      </c>
      <c r="B172" s="536" t="s">
        <v>20</v>
      </c>
      <c r="C172" s="536"/>
      <c r="D172" s="481"/>
      <c r="E172" s="537" t="str">
        <f>+Report!A3</f>
        <v>December 2022</v>
      </c>
      <c r="F172" s="481"/>
      <c r="G172" s="481"/>
      <c r="H172" s="481"/>
    </row>
    <row r="173" spans="1:13">
      <c r="A173" s="481"/>
      <c r="B173" s="536"/>
      <c r="C173" s="536"/>
      <c r="D173" s="481"/>
      <c r="E173" s="481"/>
      <c r="F173" s="481"/>
      <c r="G173" s="481"/>
      <c r="H173" s="481"/>
    </row>
    <row r="174" spans="1:13">
      <c r="A174" s="481"/>
      <c r="B174" s="538" t="s">
        <v>3</v>
      </c>
      <c r="C174" s="538" t="s">
        <v>21</v>
      </c>
      <c r="D174" s="481"/>
      <c r="E174" s="481"/>
      <c r="G174" s="488" t="s">
        <v>3</v>
      </c>
      <c r="H174" s="488" t="s">
        <v>21</v>
      </c>
    </row>
    <row r="175" spans="1:13">
      <c r="A175" s="486" t="s">
        <v>22</v>
      </c>
      <c r="B175" s="539" t="s">
        <v>23</v>
      </c>
      <c r="C175" s="539" t="s">
        <v>23</v>
      </c>
      <c r="D175" s="481"/>
      <c r="E175" s="486" t="s">
        <v>22</v>
      </c>
      <c r="G175" s="486" t="s">
        <v>24</v>
      </c>
      <c r="H175" s="486" t="s">
        <v>24</v>
      </c>
    </row>
    <row r="176" spans="1:13">
      <c r="A176" s="481" t="s">
        <v>469</v>
      </c>
      <c r="B176" s="540">
        <f>C67</f>
        <v>958.58977461538461</v>
      </c>
      <c r="C176" s="540">
        <f>B67</f>
        <v>1027.7767200000001</v>
      </c>
      <c r="D176" s="481"/>
      <c r="E176" s="488"/>
      <c r="G176" s="488"/>
      <c r="H176" s="488"/>
    </row>
    <row r="177" spans="1:9">
      <c r="A177" s="481" t="s">
        <v>25</v>
      </c>
      <c r="B177" s="540">
        <f>C68</f>
        <v>0</v>
      </c>
      <c r="C177" s="540">
        <f>B68</f>
        <v>0</v>
      </c>
      <c r="D177" s="481"/>
      <c r="E177" s="536" t="s">
        <v>209</v>
      </c>
      <c r="G177" s="540">
        <f>C128</f>
        <v>65169.842558461547</v>
      </c>
      <c r="H177" s="540">
        <f>B128</f>
        <v>73129.695100000026</v>
      </c>
      <c r="I177" s="541"/>
    </row>
    <row r="178" spans="1:9">
      <c r="A178" s="481" t="s">
        <v>26</v>
      </c>
      <c r="B178" s="540">
        <f>C69</f>
        <v>0</v>
      </c>
      <c r="C178" s="540">
        <f>B69</f>
        <v>0</v>
      </c>
      <c r="D178" s="481"/>
      <c r="E178" s="536" t="s">
        <v>9</v>
      </c>
      <c r="G178" s="540">
        <f>C129</f>
        <v>0</v>
      </c>
      <c r="H178" s="540">
        <f>B129</f>
        <v>0</v>
      </c>
      <c r="I178" s="541"/>
    </row>
    <row r="179" spans="1:9">
      <c r="A179" s="481" t="s">
        <v>27</v>
      </c>
      <c r="B179" s="540">
        <f t="shared" ref="B179:B194" si="2">C73</f>
        <v>3209.9291492307693</v>
      </c>
      <c r="C179" s="540">
        <f t="shared" ref="C179:C194" si="3">B73</f>
        <v>2104.29709</v>
      </c>
      <c r="D179" s="481"/>
      <c r="E179" s="536" t="s">
        <v>210</v>
      </c>
      <c r="G179" s="540">
        <f>C130</f>
        <v>14545.057028461539</v>
      </c>
      <c r="H179" s="540">
        <f>B130</f>
        <v>16072.202789999999</v>
      </c>
      <c r="I179" s="541"/>
    </row>
    <row r="180" spans="1:9">
      <c r="A180" s="481" t="s">
        <v>28</v>
      </c>
      <c r="B180" s="540">
        <f t="shared" si="2"/>
        <v>0</v>
      </c>
      <c r="C180" s="540">
        <f t="shared" si="3"/>
        <v>0</v>
      </c>
      <c r="D180" s="481"/>
      <c r="E180" s="536" t="s">
        <v>10</v>
      </c>
      <c r="G180" s="540">
        <f>C132</f>
        <v>11021.108892307691</v>
      </c>
      <c r="H180" s="540">
        <f>B132</f>
        <v>5474.3132600000008</v>
      </c>
      <c r="I180" s="541"/>
    </row>
    <row r="181" spans="1:9">
      <c r="A181" s="481" t="s">
        <v>29</v>
      </c>
      <c r="B181" s="540">
        <f t="shared" si="2"/>
        <v>25</v>
      </c>
      <c r="C181" s="540">
        <f t="shared" si="3"/>
        <v>25</v>
      </c>
      <c r="D181" s="481"/>
      <c r="E181" s="536" t="s">
        <v>11</v>
      </c>
      <c r="G181" s="540">
        <f>C133</f>
        <v>2233.3841307692305</v>
      </c>
      <c r="H181" s="540">
        <f>B133</f>
        <v>0</v>
      </c>
      <c r="I181" s="541"/>
    </row>
    <row r="182" spans="1:9">
      <c r="A182" s="481" t="s">
        <v>30</v>
      </c>
      <c r="B182" s="540">
        <f t="shared" si="2"/>
        <v>2.95</v>
      </c>
      <c r="C182" s="540">
        <f t="shared" si="3"/>
        <v>2.95</v>
      </c>
      <c r="D182" s="481"/>
      <c r="E182" s="536" t="s">
        <v>12</v>
      </c>
      <c r="G182" s="540">
        <f>C134</f>
        <v>5427.8946123076912</v>
      </c>
      <c r="H182" s="540">
        <f>B134</f>
        <v>3091.8601200000003</v>
      </c>
      <c r="I182" s="541"/>
    </row>
    <row r="183" spans="1:9">
      <c r="A183" s="481" t="s">
        <v>31</v>
      </c>
      <c r="B183" s="540">
        <f t="shared" si="2"/>
        <v>0</v>
      </c>
      <c r="C183" s="540">
        <f t="shared" si="3"/>
        <v>0</v>
      </c>
      <c r="D183" s="481"/>
      <c r="E183" s="536" t="s">
        <v>13</v>
      </c>
      <c r="G183" s="540">
        <f>C135</f>
        <v>3520.7976153846153</v>
      </c>
      <c r="H183" s="540">
        <f>B135</f>
        <v>0</v>
      </c>
      <c r="I183" s="541"/>
    </row>
    <row r="184" spans="1:9">
      <c r="A184" s="481" t="s">
        <v>32</v>
      </c>
      <c r="B184" s="540">
        <f t="shared" si="2"/>
        <v>39645.966130769222</v>
      </c>
      <c r="C184" s="540">
        <f t="shared" si="3"/>
        <v>34889.403490000004</v>
      </c>
      <c r="D184" s="481"/>
      <c r="E184" s="536" t="s">
        <v>14</v>
      </c>
      <c r="G184" s="540">
        <f>C136</f>
        <v>1058.3676484615387</v>
      </c>
      <c r="H184" s="540">
        <f>B136</f>
        <v>1049.8805300000001</v>
      </c>
      <c r="I184" s="541"/>
    </row>
    <row r="185" spans="1:9">
      <c r="A185" s="481" t="s">
        <v>33</v>
      </c>
      <c r="B185" s="540">
        <f t="shared" si="2"/>
        <v>1591.8972207692309</v>
      </c>
      <c r="C185" s="540">
        <f t="shared" si="3"/>
        <v>4473.6198099999992</v>
      </c>
      <c r="D185" s="481"/>
      <c r="E185" s="536" t="s">
        <v>15</v>
      </c>
      <c r="G185" s="540">
        <f>C138</f>
        <v>2016.9870000000005</v>
      </c>
      <c r="H185" s="540">
        <f>B138</f>
        <v>0</v>
      </c>
      <c r="I185" s="541"/>
    </row>
    <row r="186" spans="1:9">
      <c r="A186" s="481" t="s">
        <v>34</v>
      </c>
      <c r="B186" s="540">
        <f t="shared" si="2"/>
        <v>-1399.369753846154</v>
      </c>
      <c r="C186" s="540">
        <f t="shared" si="3"/>
        <v>-1399.5217299999999</v>
      </c>
      <c r="D186" s="481"/>
      <c r="E186" s="536" t="s">
        <v>1704</v>
      </c>
      <c r="G186" s="540">
        <f>C139</f>
        <v>54.288128461538463</v>
      </c>
      <c r="H186" s="540">
        <f>B139</f>
        <v>0</v>
      </c>
      <c r="I186" s="541"/>
    </row>
    <row r="187" spans="1:9">
      <c r="A187" s="481" t="s">
        <v>35</v>
      </c>
      <c r="B187" s="540">
        <f t="shared" si="2"/>
        <v>9807.1821069230773</v>
      </c>
      <c r="C187" s="540">
        <f t="shared" si="3"/>
        <v>9985.2147299999997</v>
      </c>
      <c r="D187" s="481"/>
      <c r="E187" s="481" t="s">
        <v>211</v>
      </c>
      <c r="G187" s="540">
        <f>C140</f>
        <v>0</v>
      </c>
      <c r="H187" s="540">
        <f>B140</f>
        <v>0</v>
      </c>
      <c r="I187" s="541"/>
    </row>
    <row r="188" spans="1:9">
      <c r="A188" s="481" t="s">
        <v>36</v>
      </c>
      <c r="B188" s="540">
        <f t="shared" si="2"/>
        <v>3275.3101900000006</v>
      </c>
      <c r="C188" s="540">
        <f t="shared" si="3"/>
        <v>828.79310999999996</v>
      </c>
      <c r="D188" s="481"/>
      <c r="E188" s="536" t="s">
        <v>16</v>
      </c>
      <c r="G188" s="540">
        <f>C142</f>
        <v>14124.486650769231</v>
      </c>
      <c r="H188" s="540">
        <f>B142</f>
        <v>16245.723090000003</v>
      </c>
      <c r="I188" s="541"/>
    </row>
    <row r="189" spans="1:9">
      <c r="A189" s="481" t="s">
        <v>37</v>
      </c>
      <c r="B189" s="540">
        <f t="shared" si="2"/>
        <v>5229.1358900000005</v>
      </c>
      <c r="C189" s="540">
        <f t="shared" si="3"/>
        <v>3499.7440800000004</v>
      </c>
      <c r="D189" s="481"/>
      <c r="E189" s="536" t="s">
        <v>18</v>
      </c>
      <c r="G189" s="540">
        <f>C151</f>
        <v>4048.1417030769226</v>
      </c>
      <c r="H189" s="540">
        <f>B151</f>
        <v>4140.0796700000001</v>
      </c>
      <c r="I189" s="541"/>
    </row>
    <row r="190" spans="1:9">
      <c r="A190" s="481" t="s">
        <v>38</v>
      </c>
      <c r="B190" s="540">
        <f t="shared" si="2"/>
        <v>0</v>
      </c>
      <c r="C190" s="540">
        <f t="shared" si="3"/>
        <v>0</v>
      </c>
      <c r="D190" s="481"/>
      <c r="E190" s="536" t="s">
        <v>212</v>
      </c>
      <c r="G190" s="540">
        <f>C158</f>
        <v>30752.402183076923</v>
      </c>
      <c r="H190" s="540">
        <f>B158</f>
        <v>31953.972819999999</v>
      </c>
      <c r="I190" s="541"/>
    </row>
    <row r="191" spans="1:9">
      <c r="A191" s="481" t="s">
        <v>39</v>
      </c>
      <c r="B191" s="540">
        <f t="shared" si="2"/>
        <v>0</v>
      </c>
      <c r="C191" s="540">
        <f t="shared" si="3"/>
        <v>0</v>
      </c>
      <c r="D191" s="481"/>
      <c r="E191" s="536" t="s">
        <v>475</v>
      </c>
      <c r="G191" s="540">
        <f>C141</f>
        <v>0</v>
      </c>
      <c r="H191" s="540">
        <f>B141</f>
        <v>0</v>
      </c>
    </row>
    <row r="192" spans="1:9">
      <c r="A192" s="481" t="s">
        <v>40</v>
      </c>
      <c r="B192" s="540">
        <f t="shared" si="2"/>
        <v>5173.247476153846</v>
      </c>
      <c r="C192" s="540">
        <f t="shared" si="3"/>
        <v>3413.03042</v>
      </c>
      <c r="D192" s="481"/>
      <c r="E192" s="536"/>
      <c r="F192" s="540"/>
      <c r="G192" s="540"/>
      <c r="H192" s="536"/>
    </row>
    <row r="193" spans="1:9">
      <c r="A193" s="481" t="s">
        <v>41</v>
      </c>
      <c r="B193" s="540">
        <f t="shared" si="2"/>
        <v>19984.996074615385</v>
      </c>
      <c r="C193" s="540">
        <f t="shared" si="3"/>
        <v>20933.310990000002</v>
      </c>
      <c r="D193" s="481"/>
      <c r="E193" s="536"/>
      <c r="F193" s="540"/>
      <c r="G193" s="540"/>
      <c r="H193" s="536"/>
    </row>
    <row r="194" spans="1:9">
      <c r="A194" s="481" t="s">
        <v>42</v>
      </c>
      <c r="B194" s="540">
        <f t="shared" si="2"/>
        <v>0</v>
      </c>
      <c r="C194" s="540">
        <f t="shared" si="3"/>
        <v>0</v>
      </c>
      <c r="D194" s="481"/>
      <c r="E194" s="536"/>
      <c r="F194" s="540"/>
      <c r="G194" s="540"/>
      <c r="H194" s="536"/>
    </row>
    <row r="195" spans="1:9">
      <c r="A195" s="481" t="s">
        <v>43</v>
      </c>
      <c r="B195" s="540">
        <f>C92</f>
        <v>4359.2748699999993</v>
      </c>
      <c r="C195" s="540">
        <f>B92</f>
        <v>4248.9452799999999</v>
      </c>
      <c r="D195" s="481"/>
      <c r="E195" s="536"/>
      <c r="F195" s="540"/>
      <c r="G195" s="540"/>
      <c r="H195" s="536"/>
    </row>
    <row r="196" spans="1:9">
      <c r="A196" s="1" t="s">
        <v>1854</v>
      </c>
      <c r="B196" s="540">
        <f>C93*0</f>
        <v>0</v>
      </c>
      <c r="C196" s="540">
        <f>B93*0</f>
        <v>0</v>
      </c>
      <c r="D196" s="481"/>
      <c r="E196" s="481"/>
      <c r="F196" s="540"/>
      <c r="G196" s="540"/>
      <c r="H196" s="536"/>
    </row>
    <row r="197" spans="1:9">
      <c r="A197" s="481" t="s">
        <v>44</v>
      </c>
      <c r="B197" s="540">
        <f t="shared" ref="B197:B204" si="4">C94</f>
        <v>0</v>
      </c>
      <c r="C197" s="540">
        <f t="shared" ref="C197:C204" si="5">B94</f>
        <v>0</v>
      </c>
      <c r="D197" s="481"/>
      <c r="E197" s="536"/>
      <c r="F197" s="540"/>
      <c r="G197" s="540"/>
      <c r="H197" s="536"/>
    </row>
    <row r="198" spans="1:9">
      <c r="A198" s="481" t="s">
        <v>45</v>
      </c>
      <c r="B198" s="540">
        <f t="shared" si="4"/>
        <v>53798.058961538452</v>
      </c>
      <c r="C198" s="540">
        <f t="shared" si="5"/>
        <v>54783.441789999997</v>
      </c>
      <c r="D198" s="481"/>
      <c r="E198" s="536"/>
      <c r="F198" s="540"/>
      <c r="G198" s="540"/>
      <c r="H198" s="536"/>
    </row>
    <row r="199" spans="1:9">
      <c r="A199" s="2" t="s">
        <v>1852</v>
      </c>
      <c r="B199" s="540">
        <f t="shared" si="4"/>
        <v>46.289076923076927</v>
      </c>
      <c r="C199" s="540">
        <f t="shared" si="5"/>
        <v>601.75800000000004</v>
      </c>
      <c r="D199" s="481"/>
      <c r="E199" s="536"/>
      <c r="F199" s="540"/>
      <c r="G199" s="540"/>
      <c r="H199" s="536"/>
    </row>
    <row r="200" spans="1:9">
      <c r="A200" s="2" t="s">
        <v>1853</v>
      </c>
      <c r="B200" s="540">
        <f t="shared" si="4"/>
        <v>244.28653384615384</v>
      </c>
      <c r="C200" s="540">
        <f t="shared" si="5"/>
        <v>563.79399999999998</v>
      </c>
      <c r="D200" s="481"/>
      <c r="E200" s="536"/>
      <c r="F200" s="540"/>
      <c r="G200" s="540"/>
      <c r="H200" s="536"/>
    </row>
    <row r="201" spans="1:9">
      <c r="A201" s="481" t="s">
        <v>46</v>
      </c>
      <c r="B201" s="540">
        <f t="shared" si="4"/>
        <v>0</v>
      </c>
      <c r="C201" s="540">
        <f t="shared" si="5"/>
        <v>0</v>
      </c>
      <c r="D201" s="481"/>
      <c r="F201" s="542"/>
      <c r="G201" s="542"/>
      <c r="H201" s="543"/>
    </row>
    <row r="202" spans="1:9">
      <c r="A202" s="481" t="s">
        <v>47</v>
      </c>
      <c r="B202" s="540">
        <f t="shared" si="4"/>
        <v>635.21463846153847</v>
      </c>
      <c r="C202" s="540">
        <f t="shared" si="5"/>
        <v>846.95283999999992</v>
      </c>
      <c r="D202" s="481"/>
      <c r="E202" s="481"/>
      <c r="F202" s="540"/>
      <c r="G202" s="540"/>
      <c r="H202" s="536"/>
    </row>
    <row r="203" spans="1:9">
      <c r="A203" s="481" t="s">
        <v>48</v>
      </c>
      <c r="B203" s="540">
        <f t="shared" si="4"/>
        <v>-768.35859923076919</v>
      </c>
      <c r="C203" s="540">
        <f t="shared" si="5"/>
        <v>12048.953949999999</v>
      </c>
      <c r="D203" s="481"/>
      <c r="E203" s="481"/>
      <c r="F203" s="540"/>
      <c r="G203" s="540"/>
      <c r="H203" s="536"/>
    </row>
    <row r="204" spans="1:9">
      <c r="A204" s="481" t="s">
        <v>478</v>
      </c>
      <c r="B204" s="540">
        <f t="shared" si="4"/>
        <v>0</v>
      </c>
      <c r="C204" s="540">
        <f t="shared" si="5"/>
        <v>0</v>
      </c>
      <c r="D204" s="481"/>
      <c r="F204" s="536"/>
      <c r="G204" s="540"/>
      <c r="H204" s="540"/>
      <c r="I204" s="536"/>
    </row>
    <row r="205" spans="1:9">
      <c r="A205" s="481"/>
      <c r="B205" s="544"/>
      <c r="C205" s="544"/>
      <c r="D205" s="481"/>
      <c r="F205" s="481"/>
      <c r="G205" s="544"/>
      <c r="H205" s="544"/>
      <c r="I205" s="536"/>
    </row>
    <row r="206" spans="1:9" ht="13.5" thickBot="1">
      <c r="A206" s="488" t="s">
        <v>1</v>
      </c>
      <c r="B206" s="545">
        <f>SUM(B176:B204)</f>
        <v>145819.59974076919</v>
      </c>
      <c r="C206" s="545">
        <f>SUM(C176:C204)</f>
        <v>152877.46457000001</v>
      </c>
      <c r="D206" s="481"/>
      <c r="F206" s="488" t="s">
        <v>1</v>
      </c>
      <c r="G206" s="545">
        <f>SUM(G177:G204)</f>
        <v>153972.75815153847</v>
      </c>
      <c r="H206" s="545">
        <f>SUM(H177:H204)</f>
        <v>151157.72738000003</v>
      </c>
      <c r="I206" s="536"/>
    </row>
    <row r="207" spans="1:9" ht="13.5" thickTop="1">
      <c r="A207" s="481"/>
      <c r="B207" s="546"/>
      <c r="C207" s="546"/>
      <c r="D207" s="481"/>
      <c r="F207" s="481"/>
      <c r="G207" s="546"/>
      <c r="H207" s="546"/>
      <c r="I207" s="536"/>
    </row>
    <row r="208" spans="1:9">
      <c r="A208" s="481"/>
      <c r="B208" s="536"/>
      <c r="C208" s="536"/>
      <c r="D208" s="481"/>
      <c r="F208" s="536"/>
      <c r="G208" s="536"/>
      <c r="H208" s="536"/>
      <c r="I208" s="536"/>
    </row>
    <row r="209" spans="1:10" ht="13.5" thickBot="1">
      <c r="A209" s="481" t="s">
        <v>49</v>
      </c>
      <c r="B209" s="536"/>
      <c r="C209" s="536"/>
      <c r="D209" s="481"/>
      <c r="F209" s="481"/>
      <c r="G209" s="536"/>
      <c r="H209" s="536"/>
      <c r="I209" s="545">
        <f>B206-G206</f>
        <v>-8153.1584107692761</v>
      </c>
      <c r="J209" s="547"/>
    </row>
    <row r="210" spans="1:10" ht="13.5" thickTop="1">
      <c r="A210" s="481"/>
      <c r="B210" s="536"/>
      <c r="C210" s="536"/>
      <c r="D210" s="481"/>
      <c r="F210" s="481"/>
      <c r="G210" s="536"/>
      <c r="H210" s="536"/>
      <c r="I210" s="548"/>
    </row>
    <row r="211" spans="1:10" ht="13.5" thickBot="1">
      <c r="A211" s="481" t="s">
        <v>50</v>
      </c>
      <c r="B211" s="536"/>
      <c r="C211" s="536"/>
      <c r="D211" s="481"/>
      <c r="F211" s="481"/>
      <c r="G211" s="536"/>
      <c r="H211" s="536"/>
      <c r="I211" s="545">
        <f>C206-H206</f>
        <v>1719.7371899999853</v>
      </c>
      <c r="J211" s="547"/>
    </row>
    <row r="212" spans="1:10" ht="13.5" thickTop="1">
      <c r="A212" s="481"/>
      <c r="B212" s="536"/>
      <c r="C212" s="536"/>
      <c r="D212" s="481"/>
      <c r="E212" s="481"/>
      <c r="F212" s="481"/>
      <c r="G212" s="481"/>
      <c r="H212" s="546"/>
    </row>
  </sheetData>
  <phoneticPr fontId="0" type="noConversion"/>
  <printOptions horizontalCentered="1"/>
  <pageMargins left="0.75" right="0.75" top="1" bottom="1" header="0.5" footer="0.5"/>
  <pageSetup scale="74" orientation="landscape" blackAndWhite="1" r:id="rId1"/>
  <headerFooter alignWithMargins="0">
    <oddFooter>&amp;L&amp;F</oddFooter>
  </headerFooter>
  <customProperties>
    <customPr name="_pios_id" r:id="rId2"/>
    <customPr name="EpmWorksheetKeyString_GUID" r:id="rId3"/>
  </customProperties>
  <ignoredErrors>
    <ignoredError sqref="K31" unlockedFormula="1"/>
  </ignoredErrors>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sheetPr>
  <dimension ref="A1"/>
  <sheetViews>
    <sheetView workbookViewId="0"/>
  </sheetViews>
  <sheetFormatPr defaultRowHeight="12.75"/>
  <sheetData/>
  <pageMargins left="0.7" right="0.7" top="0.75" bottom="0.75" header="0.3" footer="0.3"/>
  <pageSetup orientation="portrait" r:id="rId1"/>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3" tint="0.39997558519241921"/>
    <pageSetUpPr fitToPage="1"/>
  </sheetPr>
  <dimension ref="A1:X60"/>
  <sheetViews>
    <sheetView topLeftCell="A3" zoomScaleNormal="100" workbookViewId="0">
      <selection activeCell="D26" sqref="D26"/>
    </sheetView>
  </sheetViews>
  <sheetFormatPr defaultColWidth="9.140625" defaultRowHeight="15"/>
  <cols>
    <col min="1" max="1" width="47" style="54" bestFit="1" customWidth="1"/>
    <col min="2" max="2" width="21.42578125" style="54" bestFit="1" customWidth="1"/>
    <col min="3" max="3" width="1.85546875" style="54" bestFit="1" customWidth="1"/>
    <col min="4" max="4" width="21.42578125" style="54" bestFit="1" customWidth="1"/>
    <col min="5" max="5" width="1.5703125" style="54" customWidth="1"/>
    <col min="6" max="6" width="12.42578125" style="54" bestFit="1" customWidth="1"/>
    <col min="7" max="7" width="1.5703125" style="54" customWidth="1"/>
    <col min="8" max="8" width="11.5703125" style="56" customWidth="1"/>
    <col min="9" max="9" width="14.5703125" style="54" bestFit="1" customWidth="1"/>
    <col min="10" max="10" width="7.5703125" style="54" customWidth="1"/>
    <col min="11" max="11" width="10.85546875" style="54" customWidth="1"/>
    <col min="12" max="14" width="9.140625" style="54"/>
    <col min="15" max="15" width="30.5703125" style="54" customWidth="1"/>
    <col min="16" max="16" width="7.140625" style="54" customWidth="1"/>
    <col min="17" max="17" width="8.140625" style="54" customWidth="1"/>
    <col min="18" max="18" width="1.5703125" style="54" customWidth="1"/>
    <col min="19" max="19" width="7.5703125" style="54" customWidth="1"/>
    <col min="20" max="20" width="13" style="54" customWidth="1"/>
    <col min="21" max="21" width="1.5703125" style="54" customWidth="1"/>
    <col min="22" max="22" width="9.140625" style="54"/>
    <col min="23" max="23" width="1.42578125" style="54" customWidth="1"/>
    <col min="24" max="24" width="8.5703125" style="57" customWidth="1"/>
    <col min="25" max="25" width="6.85546875" style="54" customWidth="1"/>
    <col min="26" max="26" width="6.42578125" style="54" customWidth="1"/>
    <col min="27" max="16384" width="9.140625" style="54"/>
  </cols>
  <sheetData>
    <row r="1" spans="1:24" ht="17.45" customHeight="1">
      <c r="A1" s="1293" t="s">
        <v>204</v>
      </c>
      <c r="B1" s="1293"/>
      <c r="C1" s="1293"/>
      <c r="D1" s="1293"/>
      <c r="E1" s="1293"/>
      <c r="F1" s="1293"/>
      <c r="G1" s="1293"/>
      <c r="H1" s="1293"/>
    </row>
    <row r="2" spans="1:24" ht="17.45" customHeight="1">
      <c r="A2" s="1293" t="s">
        <v>1855</v>
      </c>
      <c r="B2" s="1293"/>
      <c r="C2" s="1293"/>
      <c r="D2" s="1293"/>
      <c r="E2" s="1293"/>
      <c r="F2" s="1293"/>
      <c r="G2" s="1293"/>
      <c r="H2" s="1293"/>
    </row>
    <row r="3" spans="1:24" ht="17.45" customHeight="1">
      <c r="A3" s="1293" t="s">
        <v>1856</v>
      </c>
      <c r="B3" s="1293"/>
      <c r="C3" s="1293"/>
      <c r="D3" s="1293"/>
      <c r="E3" s="1293"/>
      <c r="F3" s="1293"/>
      <c r="G3" s="1293"/>
      <c r="H3" s="1293"/>
    </row>
    <row r="4" spans="1:24" ht="18" customHeight="1">
      <c r="A4" s="1293" t="s">
        <v>1857</v>
      </c>
      <c r="B4" s="1293"/>
      <c r="C4" s="1293"/>
      <c r="D4" s="1293"/>
      <c r="E4" s="1293"/>
      <c r="F4" s="1293"/>
      <c r="G4" s="1293"/>
      <c r="H4" s="1293"/>
    </row>
    <row r="5" spans="1:24" ht="28.35" customHeight="1">
      <c r="A5" s="17"/>
      <c r="B5" s="392"/>
      <c r="C5" s="695"/>
      <c r="D5" s="227"/>
      <c r="E5" s="696"/>
      <c r="K5" s="58"/>
    </row>
    <row r="6" spans="1:24" s="61" customFormat="1" ht="15.75">
      <c r="A6" s="59"/>
      <c r="B6" s="60" t="s">
        <v>2857</v>
      </c>
      <c r="C6" s="54"/>
      <c r="D6" s="60" t="str">
        <f>+Input!A2</f>
        <v>December 2022</v>
      </c>
      <c r="H6" s="62" t="s">
        <v>487</v>
      </c>
      <c r="X6" s="63"/>
    </row>
    <row r="7" spans="1:24" s="61" customFormat="1" ht="15.75">
      <c r="A7" s="64"/>
      <c r="B7" s="65" t="s">
        <v>488</v>
      </c>
      <c r="C7" s="55"/>
      <c r="D7" s="65" t="s">
        <v>488</v>
      </c>
      <c r="F7" s="66" t="s">
        <v>489</v>
      </c>
      <c r="G7" s="64"/>
      <c r="H7" s="67" t="s">
        <v>490</v>
      </c>
      <c r="K7" s="68"/>
      <c r="X7" s="63"/>
    </row>
    <row r="8" spans="1:24" ht="15.75">
      <c r="A8" s="61"/>
    </row>
    <row r="9" spans="1:24">
      <c r="A9" s="54" t="s">
        <v>223</v>
      </c>
      <c r="B9" s="199">
        <v>1472581.083657678</v>
      </c>
      <c r="D9" s="199">
        <f>Report!J92</f>
        <v>1661056.812737515</v>
      </c>
      <c r="F9" s="332">
        <f>D9-B9</f>
        <v>188475.72907983698</v>
      </c>
      <c r="G9" s="332"/>
      <c r="H9" s="333">
        <f>ROUND((((B17/(D9+D10+D11+D13))-B20)/B23)-(((B17/(B9+D10+D11+D13))-B20)/B23),4)*10000</f>
        <v>-142</v>
      </c>
      <c r="I9" s="105"/>
      <c r="J9" s="69"/>
      <c r="K9" s="105"/>
    </row>
    <row r="10" spans="1:24">
      <c r="A10" s="54" t="s">
        <v>4</v>
      </c>
      <c r="B10" s="200">
        <v>63731.53211</v>
      </c>
      <c r="D10" s="200">
        <f>Report!N92</f>
        <v>98720.05334769233</v>
      </c>
      <c r="F10" s="332">
        <f>D10-B10</f>
        <v>34988.52123769233</v>
      </c>
      <c r="G10" s="332"/>
      <c r="H10" s="333">
        <f>ROUND((((B17/(D9+D11+D13+D10))-B20)/B23)-(((B17/(B10+D9+D11+D13))-B20)/B23),4)*10000</f>
        <v>-23.999999999999996</v>
      </c>
      <c r="I10" s="105"/>
      <c r="J10" s="105"/>
      <c r="K10" s="105"/>
    </row>
    <row r="11" spans="1:24">
      <c r="A11" s="54" t="s">
        <v>491</v>
      </c>
      <c r="B11" s="200">
        <v>0</v>
      </c>
      <c r="D11" s="200">
        <f>Report!L92</f>
        <v>0</v>
      </c>
      <c r="F11" s="332">
        <f>D11-B11</f>
        <v>0</v>
      </c>
      <c r="G11" s="432"/>
      <c r="H11" s="333">
        <f>ROUND((((B17/(D9+D10+D11+D13))-B20)/B23)-(((B17/(B11+D9+D10+D13))-B20)/B23),4)*10000</f>
        <v>0</v>
      </c>
      <c r="I11" s="105"/>
      <c r="J11" s="105"/>
      <c r="K11" s="105"/>
    </row>
    <row r="12" spans="1:24">
      <c r="A12" s="105" t="s">
        <v>229</v>
      </c>
      <c r="B12" s="200">
        <v>-5589.6985323076933</v>
      </c>
      <c r="D12" s="200">
        <f>Reconcil!C73</f>
        <v>3209.9291492307693</v>
      </c>
      <c r="F12" s="332">
        <f>D12-B12</f>
        <v>8799.6276815384626</v>
      </c>
      <c r="G12" s="432"/>
      <c r="H12" s="333">
        <f>ROUND((((B17/(D9+D10+D11+D12+D13))-B20)/B23)-(((B17/(B12+D9+D10+D11+D13))-B20)/B23),4)*10000</f>
        <v>-5.9999999999999991</v>
      </c>
      <c r="I12" s="105"/>
      <c r="J12" s="105"/>
      <c r="K12" s="105"/>
    </row>
    <row r="13" spans="1:24" ht="15.75">
      <c r="A13" s="54" t="s">
        <v>492</v>
      </c>
      <c r="B13" s="331">
        <v>-42593.076323846137</v>
      </c>
      <c r="C13" s="70"/>
      <c r="D13" s="331">
        <f>Report!R92-D12</f>
        <v>-29027.429266153893</v>
      </c>
      <c r="F13" s="332">
        <f>D13-B13</f>
        <v>13565.647057692244</v>
      </c>
      <c r="G13" s="432"/>
      <c r="H13" s="333">
        <f>ROUND((((B17/(D9+D10+D11+D13))-B20)/B23)-(((B17/(B13+D9+D10+D11))-B20)/B23),4)*10000</f>
        <v>-9</v>
      </c>
      <c r="I13" s="72" t="s">
        <v>493</v>
      </c>
      <c r="J13" s="105"/>
      <c r="K13" s="73" t="s">
        <v>494</v>
      </c>
    </row>
    <row r="14" spans="1:24" ht="8.1" customHeight="1">
      <c r="B14" s="201"/>
      <c r="D14" s="201"/>
      <c r="F14" s="332"/>
      <c r="G14" s="105"/>
      <c r="H14" s="333"/>
      <c r="I14" s="72"/>
      <c r="J14" s="105"/>
      <c r="K14" s="73"/>
    </row>
    <row r="15" spans="1:24" ht="15.75">
      <c r="A15" s="61" t="s">
        <v>348</v>
      </c>
      <c r="B15" s="202">
        <v>1488129.8409</v>
      </c>
      <c r="C15" s="61"/>
      <c r="D15" s="202">
        <f>ROUND(SUM(D9:D13),4)</f>
        <v>1733959.3659999999</v>
      </c>
      <c r="E15" s="61"/>
      <c r="F15" s="58">
        <f>D15-B15</f>
        <v>245829.52509999997</v>
      </c>
      <c r="G15" s="58"/>
      <c r="H15" s="62">
        <f>ROUND((((B17/D15)-B20)/B23)-(((B17/B15)-B20)/B23),4)*10000</f>
        <v>-191</v>
      </c>
      <c r="I15" s="62">
        <f>SUM(H9:H13)</f>
        <v>-181</v>
      </c>
      <c r="J15" s="333"/>
      <c r="K15" s="62">
        <f>H15-I15</f>
        <v>-10</v>
      </c>
      <c r="O15" s="75"/>
    </row>
    <row r="16" spans="1:24" ht="8.1" customHeight="1">
      <c r="B16" s="200"/>
      <c r="D16" s="200"/>
      <c r="F16" s="332"/>
      <c r="G16" s="105"/>
      <c r="H16" s="333"/>
      <c r="I16" s="62"/>
      <c r="J16" s="333"/>
      <c r="K16" s="62"/>
    </row>
    <row r="17" spans="1:24" s="61" customFormat="1" ht="15.75">
      <c r="A17" s="61" t="s">
        <v>495</v>
      </c>
      <c r="B17" s="203">
        <v>91833.5291</v>
      </c>
      <c r="D17" s="203">
        <f>ROUND(Report!V141,4)</f>
        <v>99827.7448</v>
      </c>
      <c r="F17" s="58">
        <f>D17-B17</f>
        <v>7994.2157000000007</v>
      </c>
      <c r="G17" s="698"/>
      <c r="H17" s="76">
        <f>ROUND((((D17/B15)-B20)/B23)-(((B17/B15)-B20)/B23),4)*10000</f>
        <v>117</v>
      </c>
      <c r="I17" s="62"/>
      <c r="J17" s="62"/>
      <c r="K17" s="62"/>
      <c r="L17" s="76"/>
      <c r="X17" s="63"/>
    </row>
    <row r="18" spans="1:24" ht="8.1" customHeight="1">
      <c r="F18" s="105"/>
      <c r="G18" s="105"/>
      <c r="H18" s="333"/>
      <c r="I18" s="62"/>
      <c r="J18" s="333"/>
      <c r="K18" s="62"/>
    </row>
    <row r="19" spans="1:24" ht="15.75">
      <c r="A19" s="54" t="s">
        <v>496</v>
      </c>
      <c r="B19" s="77">
        <v>6.1699999999999998E-2</v>
      </c>
      <c r="D19" s="77">
        <f>(ROUND((D17/D15),4))</f>
        <v>5.7599999999999998E-2</v>
      </c>
      <c r="F19" s="423">
        <f>D19-B19</f>
        <v>-4.0999999999999995E-3</v>
      </c>
      <c r="G19" s="423"/>
      <c r="H19" s="333">
        <f>ROUND((F19/$B$23)*10000,0)</f>
        <v>-89</v>
      </c>
      <c r="I19" s="62">
        <f>H15+H17</f>
        <v>-74</v>
      </c>
      <c r="J19" s="333"/>
      <c r="K19" s="62">
        <f>H19-I19</f>
        <v>-15</v>
      </c>
    </row>
    <row r="20" spans="1:24" ht="15.75">
      <c r="A20" s="54" t="s">
        <v>1858</v>
      </c>
      <c r="B20" s="78">
        <v>1.3100000000000001E-2</v>
      </c>
      <c r="D20" s="78">
        <f>ROUND(-Report!$H$224/100,4)</f>
        <v>1.4200000000000001E-2</v>
      </c>
      <c r="F20" s="423">
        <f>D20-B20</f>
        <v>1.1000000000000003E-3</v>
      </c>
      <c r="G20" s="423"/>
      <c r="H20" s="333">
        <f>-ROUND((F20/$B$23)*10000,0)</f>
        <v>-24</v>
      </c>
      <c r="I20" s="62"/>
      <c r="J20" s="333"/>
      <c r="K20" s="62"/>
    </row>
    <row r="21" spans="1:24" ht="8.1" customHeight="1">
      <c r="B21" s="74"/>
      <c r="D21" s="74"/>
      <c r="F21" s="423"/>
      <c r="G21" s="423"/>
      <c r="H21" s="333"/>
      <c r="I21" s="62"/>
      <c r="J21" s="333"/>
      <c r="K21" s="62"/>
    </row>
    <row r="22" spans="1:24" ht="15.75">
      <c r="A22" s="54" t="s">
        <v>497</v>
      </c>
      <c r="B22" s="77">
        <v>4.8599999999999997E-2</v>
      </c>
      <c r="D22" s="77">
        <f>ROUND(D19-D20,4)</f>
        <v>4.3400000000000001E-2</v>
      </c>
      <c r="F22" s="423">
        <f>D22-B22</f>
        <v>-5.1999999999999963E-3</v>
      </c>
      <c r="G22" s="423"/>
      <c r="H22" s="333">
        <f>ROUND((F22/$B$23)*10000,0)</f>
        <v>-113</v>
      </c>
      <c r="I22" s="62">
        <f>H19+H20</f>
        <v>-113</v>
      </c>
      <c r="J22" s="333"/>
      <c r="K22" s="62">
        <f>H22-I22</f>
        <v>0</v>
      </c>
    </row>
    <row r="23" spans="1:24" ht="15.75">
      <c r="A23" s="54" t="s">
        <v>483</v>
      </c>
      <c r="B23" s="78">
        <v>0.4582</v>
      </c>
      <c r="D23" s="78">
        <f>ROUND(Report!J166,4)</f>
        <v>0.46889999999999998</v>
      </c>
      <c r="F23" s="423">
        <f>D23-B23</f>
        <v>1.0699999999999987E-2</v>
      </c>
      <c r="G23" s="423"/>
      <c r="H23" s="333">
        <f>ROUND((B22/D23)-(B22/B23),4)*10000</f>
        <v>-23.999999999999996</v>
      </c>
      <c r="I23" s="62"/>
      <c r="J23" s="333"/>
      <c r="K23" s="62"/>
    </row>
    <row r="24" spans="1:24" ht="15.75">
      <c r="B24" s="74"/>
      <c r="D24" s="74"/>
      <c r="F24" s="423"/>
      <c r="G24" s="423"/>
      <c r="H24" s="424"/>
      <c r="I24" s="62"/>
      <c r="J24" s="333"/>
      <c r="K24" s="62"/>
    </row>
    <row r="25" spans="1:24" s="61" customFormat="1" ht="15.75">
      <c r="A25" s="61" t="s">
        <v>498</v>
      </c>
      <c r="B25" s="252">
        <v>0.1061</v>
      </c>
      <c r="D25" s="252">
        <f>ROUND((D22/D23),4)-0.0001</f>
        <v>9.2499999999999999E-2</v>
      </c>
      <c r="F25" s="80">
        <f>D25-B25</f>
        <v>-1.3600000000000001E-2</v>
      </c>
      <c r="G25" s="80"/>
      <c r="H25" s="62">
        <f>(D25-B25)*10000</f>
        <v>-136</v>
      </c>
      <c r="I25" s="62">
        <f>H22+H23</f>
        <v>-137</v>
      </c>
      <c r="J25" s="62"/>
      <c r="K25" s="62">
        <f>H25-I25</f>
        <v>1</v>
      </c>
      <c r="L25" s="80"/>
      <c r="X25" s="63"/>
    </row>
    <row r="26" spans="1:24" s="81" customFormat="1" ht="4.5" customHeight="1">
      <c r="A26" s="54"/>
      <c r="B26" s="82"/>
      <c r="C26" s="54"/>
      <c r="D26" s="82"/>
      <c r="E26" s="54"/>
      <c r="F26" s="425"/>
      <c r="G26" s="105"/>
      <c r="H26" s="426"/>
      <c r="I26" s="425"/>
      <c r="J26" s="425"/>
      <c r="K26" s="425"/>
      <c r="X26" s="84"/>
    </row>
    <row r="27" spans="1:24" ht="4.5" customHeight="1">
      <c r="F27" s="105"/>
      <c r="G27" s="105"/>
      <c r="H27" s="333"/>
      <c r="I27" s="105"/>
      <c r="J27" s="427"/>
      <c r="K27" s="105"/>
    </row>
    <row r="28" spans="1:24">
      <c r="A28" s="54" t="s">
        <v>499</v>
      </c>
      <c r="B28" s="459">
        <v>112357.74520999985</v>
      </c>
      <c r="D28" s="459">
        <f>Report!B106-SUM(Report!D106:J106)-Report!R106</f>
        <v>127065.09198000013</v>
      </c>
      <c r="E28" s="70"/>
      <c r="F28" s="332">
        <f>D28-B28</f>
        <v>14707.34677000028</v>
      </c>
      <c r="G28" s="332"/>
      <c r="H28" s="428">
        <f>ROUND((((D28/B15)-B20)/B23)-(((B28/B15)-B20)/B23),4)*10000</f>
        <v>216</v>
      </c>
      <c r="I28" s="105"/>
      <c r="J28" s="105"/>
      <c r="K28" s="105"/>
    </row>
    <row r="29" spans="1:24">
      <c r="A29" s="54" t="s">
        <v>500</v>
      </c>
      <c r="B29" s="86">
        <v>21530.348039999997</v>
      </c>
      <c r="C29" s="70"/>
      <c r="D29" s="86">
        <f>Report!L106+Report!N106+Report!P106</f>
        <v>25897.961240000001</v>
      </c>
      <c r="E29" s="70"/>
      <c r="F29" s="332">
        <f>B29-D29</f>
        <v>-4367.6132000000034</v>
      </c>
      <c r="G29" s="332"/>
      <c r="H29" s="428">
        <f>-ROUND((((D29/B15)-B20)/B23)-(((B29/B15)-B20)/B23),4)*10000</f>
        <v>-64</v>
      </c>
      <c r="I29" s="105"/>
      <c r="J29" s="105"/>
      <c r="K29" s="105"/>
    </row>
    <row r="30" spans="1:24" ht="15.75">
      <c r="A30" s="693" t="s">
        <v>501</v>
      </c>
      <c r="B30" s="71">
        <v>0</v>
      </c>
      <c r="C30" s="70"/>
      <c r="D30" s="71">
        <v>0</v>
      </c>
      <c r="E30" s="70"/>
      <c r="F30" s="332">
        <f>B30-D30</f>
        <v>0</v>
      </c>
      <c r="G30" s="432"/>
      <c r="H30" s="428">
        <f>-ROUND((((D30/B15)-B20)/B23)-(((B30/B15)-B20)/B23),4)*10000</f>
        <v>0</v>
      </c>
      <c r="I30" s="55" t="s">
        <v>493</v>
      </c>
      <c r="J30" s="105"/>
      <c r="K30" s="73" t="s">
        <v>494</v>
      </c>
    </row>
    <row r="31" spans="1:24" ht="15.75">
      <c r="A31" s="74" t="s">
        <v>502</v>
      </c>
      <c r="B31" s="71">
        <v>21530.348039999997</v>
      </c>
      <c r="D31" s="71">
        <f>SUM(D29:D30)</f>
        <v>25897.961240000001</v>
      </c>
      <c r="E31" s="70"/>
      <c r="F31" s="332">
        <f>D31-B31</f>
        <v>4367.6132000000034</v>
      </c>
      <c r="G31" s="432"/>
      <c r="H31" s="428">
        <f>-ROUND((((D31/B15)-B20)/B23)-(((B31/B15)-B20)/B23),4)*10000</f>
        <v>-64</v>
      </c>
      <c r="I31" s="333"/>
      <c r="J31" s="105"/>
      <c r="K31" s="62"/>
    </row>
    <row r="32" spans="1:24" ht="8.1" customHeight="1">
      <c r="B32" s="87"/>
      <c r="D32" s="87"/>
      <c r="E32" s="70"/>
      <c r="F32" s="332"/>
      <c r="G32" s="105"/>
      <c r="H32" s="428"/>
      <c r="I32" s="62"/>
      <c r="J32" s="105"/>
      <c r="K32" s="62"/>
    </row>
    <row r="33" spans="1:24" ht="15.75">
      <c r="A33" s="54" t="s">
        <v>503</v>
      </c>
      <c r="B33" s="71">
        <v>90827.397169999851</v>
      </c>
      <c r="D33" s="71">
        <f>D28-D31</f>
        <v>101167.13074000012</v>
      </c>
      <c r="E33" s="70"/>
      <c r="F33" s="332">
        <f>D33-B33</f>
        <v>10339.733570000273</v>
      </c>
      <c r="G33" s="332"/>
      <c r="H33" s="428">
        <f>ROUND((((D33/B15)-B20)/B23)-(((B33/B15)-B20)/B23),4)*10000</f>
        <v>152</v>
      </c>
      <c r="I33" s="333">
        <f>H28+H29+H30</f>
        <v>152</v>
      </c>
      <c r="J33" s="105"/>
      <c r="K33" s="62">
        <f>I33-H33</f>
        <v>0</v>
      </c>
    </row>
    <row r="34" spans="1:24" ht="15.75">
      <c r="B34" s="70"/>
      <c r="D34" s="70"/>
      <c r="E34" s="70"/>
      <c r="F34" s="332"/>
      <c r="G34" s="332"/>
      <c r="H34" s="428"/>
      <c r="I34" s="333"/>
      <c r="J34" s="105"/>
      <c r="K34" s="62"/>
    </row>
    <row r="35" spans="1:24" ht="15.75">
      <c r="A35" s="54" t="s">
        <v>504</v>
      </c>
      <c r="B35" s="70">
        <v>0</v>
      </c>
      <c r="D35" s="70">
        <f>Report!V139</f>
        <v>0</v>
      </c>
      <c r="E35" s="70"/>
      <c r="F35" s="332"/>
      <c r="G35" s="332"/>
      <c r="H35" s="428"/>
      <c r="I35" s="333"/>
      <c r="J35" s="105"/>
      <c r="K35" s="62"/>
    </row>
    <row r="36" spans="1:24" ht="15.75">
      <c r="A36" s="693" t="s">
        <v>505</v>
      </c>
      <c r="B36" s="71">
        <v>1006.1319359887111</v>
      </c>
      <c r="D36" s="71">
        <f>D58</f>
        <v>-1339.3859250827747</v>
      </c>
      <c r="E36" s="70"/>
      <c r="F36" s="332">
        <f>D36-B36</f>
        <v>-2345.5178610714856</v>
      </c>
      <c r="G36" s="105"/>
      <c r="H36" s="428">
        <f>ROUND((((D36/B15)-B20)/B23)-(((B36/B15)-B20)/B23),4)*10000</f>
        <v>-34</v>
      </c>
      <c r="I36" s="333">
        <f>H36</f>
        <v>-34</v>
      </c>
      <c r="J36" s="105"/>
      <c r="K36" s="62">
        <f>H36-I36</f>
        <v>0</v>
      </c>
    </row>
    <row r="37" spans="1:24" s="61" customFormat="1" ht="15.75">
      <c r="A37" s="61" t="s">
        <v>495</v>
      </c>
      <c r="B37" s="88">
        <v>91833.529105988564</v>
      </c>
      <c r="D37" s="88">
        <f>D33+SUM(D35:D36)</f>
        <v>99827.744814917343</v>
      </c>
      <c r="E37" s="697"/>
      <c r="F37" s="58">
        <f>D37-B37</f>
        <v>7994.2157089287793</v>
      </c>
      <c r="G37" s="698"/>
      <c r="H37" s="429">
        <f>ROUND((((D37/B15)-B20)/B23)-(((B37/B15)-B20)/B23),4)*10000</f>
        <v>117</v>
      </c>
      <c r="I37" s="62">
        <f>H33+H36</f>
        <v>118</v>
      </c>
      <c r="K37" s="62">
        <f>H37-I37</f>
        <v>-1</v>
      </c>
      <c r="X37" s="63"/>
    </row>
    <row r="38" spans="1:24" s="81" customFormat="1" ht="14.1" customHeight="1">
      <c r="A38" s="54"/>
      <c r="B38" s="90"/>
      <c r="C38" s="54"/>
      <c r="D38" s="90"/>
      <c r="E38" s="70"/>
      <c r="F38" s="430"/>
      <c r="G38" s="433"/>
      <c r="H38" s="106">
        <f>D37-D17</f>
        <v>1.49173429235816E-5</v>
      </c>
      <c r="I38" s="91" t="s">
        <v>506</v>
      </c>
      <c r="J38" s="431"/>
      <c r="K38" s="425"/>
      <c r="X38" s="84"/>
    </row>
    <row r="39" spans="1:24" ht="4.5" customHeight="1">
      <c r="B39" s="92"/>
      <c r="D39" s="92"/>
      <c r="E39" s="70"/>
      <c r="F39" s="432"/>
      <c r="G39" s="433"/>
      <c r="H39" s="94"/>
      <c r="I39" s="95"/>
      <c r="J39" s="423"/>
      <c r="K39" s="105"/>
      <c r="X39" s="96"/>
    </row>
    <row r="40" spans="1:24" ht="15.75">
      <c r="A40" s="64" t="s">
        <v>507</v>
      </c>
      <c r="B40" s="87"/>
      <c r="C40" s="87"/>
      <c r="D40" s="87"/>
      <c r="E40" s="70"/>
      <c r="F40" s="434"/>
      <c r="G40" s="432"/>
      <c r="H40" s="333"/>
      <c r="I40" s="423"/>
      <c r="J40" s="427"/>
      <c r="K40" s="105"/>
    </row>
    <row r="41" spans="1:24">
      <c r="A41" s="54" t="s">
        <v>150</v>
      </c>
      <c r="B41" s="97">
        <v>-3.2007087065721862E-4</v>
      </c>
      <c r="D41" s="97">
        <f>Report!V109</f>
        <v>-5.0765400010277517E-4</v>
      </c>
      <c r="E41" s="70"/>
      <c r="F41" s="332">
        <f>D41-B41</f>
        <v>-1.8758312944555655E-4</v>
      </c>
      <c r="G41" s="423"/>
      <c r="H41" s="428">
        <f>ROUND((((D41/$B$15)-$B$20)/$B$23)-(((B41/$B$15)-$B$20)/$B$23),4)*10000</f>
        <v>0</v>
      </c>
      <c r="I41" s="105"/>
      <c r="J41" s="105"/>
      <c r="K41" s="105"/>
    </row>
    <row r="42" spans="1:24">
      <c r="A42" s="54" t="s">
        <v>151</v>
      </c>
      <c r="B42" s="97">
        <v>31.340474098839898</v>
      </c>
      <c r="D42" s="97">
        <f>Report!V110</f>
        <v>29.265119278181093</v>
      </c>
      <c r="E42" s="70"/>
      <c r="F42" s="332">
        <f>D42-B42</f>
        <v>-2.0753548206588057</v>
      </c>
      <c r="G42" s="423"/>
      <c r="H42" s="428">
        <f>ROUND((((D42/$B$15)-$B$20)/$B$23)-(((B42/$B$15)-$B$20)/$B$23),4)*10000</f>
        <v>0</v>
      </c>
      <c r="I42" s="105"/>
      <c r="J42" s="105"/>
      <c r="K42" s="105"/>
    </row>
    <row r="43" spans="1:24">
      <c r="A43" s="54" t="s">
        <v>152</v>
      </c>
      <c r="B43" s="97">
        <v>-92.409253235451331</v>
      </c>
      <c r="D43" s="97">
        <f>Report!V111</f>
        <v>-117.20289195672966</v>
      </c>
      <c r="E43" s="70"/>
      <c r="F43" s="332">
        <f t="shared" ref="F43:F58" si="0">D43-B43</f>
        <v>-24.793638721278327</v>
      </c>
      <c r="G43" s="423"/>
      <c r="H43" s="428">
        <f t="shared" ref="H43:H58" si="1">ROUND((((D43/$B$15)-$B$20)/$B$23)-(((B43/$B$15)-$B$20)/$B$23),4)*10000</f>
        <v>0</v>
      </c>
      <c r="I43" s="105"/>
      <c r="J43" s="105"/>
      <c r="K43" s="105"/>
    </row>
    <row r="44" spans="1:24">
      <c r="A44" s="54" t="s">
        <v>481</v>
      </c>
      <c r="B44" s="97">
        <v>2099</v>
      </c>
      <c r="D44" s="97">
        <f>Report!V112</f>
        <v>2099</v>
      </c>
      <c r="E44" s="70"/>
      <c r="F44" s="332">
        <f t="shared" si="0"/>
        <v>0</v>
      </c>
      <c r="G44" s="423"/>
      <c r="H44" s="428">
        <f t="shared" si="1"/>
        <v>0</v>
      </c>
      <c r="I44" s="105"/>
      <c r="J44" s="105"/>
      <c r="K44" s="105"/>
      <c r="O44" s="75"/>
    </row>
    <row r="45" spans="1:24">
      <c r="A45" s="54" t="s">
        <v>153</v>
      </c>
      <c r="B45" s="97">
        <v>0</v>
      </c>
      <c r="D45" s="97">
        <f>Report!V113</f>
        <v>0</v>
      </c>
      <c r="E45" s="70"/>
      <c r="F45" s="332">
        <f t="shared" si="0"/>
        <v>0</v>
      </c>
      <c r="G45" s="423"/>
      <c r="H45" s="428">
        <f t="shared" si="1"/>
        <v>0</v>
      </c>
      <c r="I45" s="105"/>
      <c r="J45" s="105"/>
      <c r="K45" s="105"/>
    </row>
    <row r="46" spans="1:24">
      <c r="A46" s="54" t="s">
        <v>410</v>
      </c>
      <c r="B46" s="97">
        <v>14.190459380769001</v>
      </c>
      <c r="D46" s="97">
        <f>Report!V114</f>
        <v>12.004970063624999</v>
      </c>
      <c r="E46" s="70"/>
      <c r="F46" s="332">
        <f t="shared" si="0"/>
        <v>-2.1854893171440022</v>
      </c>
      <c r="G46" s="423"/>
      <c r="H46" s="428">
        <f t="shared" si="1"/>
        <v>0</v>
      </c>
      <c r="I46" s="105"/>
      <c r="J46" s="105"/>
      <c r="K46" s="105"/>
      <c r="O46" s="145"/>
    </row>
    <row r="47" spans="1:24">
      <c r="A47" s="54" t="s">
        <v>154</v>
      </c>
      <c r="B47" s="70">
        <v>53.236054178474994</v>
      </c>
      <c r="D47" s="70">
        <f>Report!V115</f>
        <v>59.108476990499994</v>
      </c>
      <c r="E47" s="70"/>
      <c r="F47" s="332">
        <f t="shared" si="0"/>
        <v>5.8724228120250004</v>
      </c>
      <c r="G47" s="423"/>
      <c r="H47" s="428">
        <f t="shared" si="1"/>
        <v>0</v>
      </c>
      <c r="I47" s="105"/>
      <c r="J47" s="105"/>
      <c r="K47" s="105"/>
      <c r="O47" s="144"/>
    </row>
    <row r="48" spans="1:24">
      <c r="A48" s="54" t="s">
        <v>409</v>
      </c>
      <c r="B48" s="70">
        <v>-136.8710449950413</v>
      </c>
      <c r="D48" s="70">
        <f>Report!V116</f>
        <v>-219.16715458049293</v>
      </c>
      <c r="E48" s="70"/>
      <c r="F48" s="332">
        <f t="shared" si="0"/>
        <v>-82.296109585451632</v>
      </c>
      <c r="G48" s="423"/>
      <c r="H48" s="428">
        <f t="shared" si="1"/>
        <v>-1</v>
      </c>
      <c r="I48" s="105"/>
      <c r="J48" s="105"/>
      <c r="K48" s="105"/>
      <c r="O48" s="145"/>
    </row>
    <row r="49" spans="1:15">
      <c r="A49" s="54" t="s">
        <v>155</v>
      </c>
      <c r="B49" s="70">
        <v>29.30058323299987</v>
      </c>
      <c r="D49" s="70">
        <f>Report!V117</f>
        <v>43.829762775523193</v>
      </c>
      <c r="E49" s="70"/>
      <c r="F49" s="332">
        <f t="shared" si="0"/>
        <v>14.529179542523323</v>
      </c>
      <c r="G49" s="423"/>
      <c r="H49" s="428">
        <f t="shared" si="1"/>
        <v>0</v>
      </c>
      <c r="I49" s="105"/>
      <c r="J49" s="105"/>
      <c r="K49" s="105"/>
      <c r="O49" s="145"/>
    </row>
    <row r="50" spans="1:15">
      <c r="A50" s="54" t="s">
        <v>156</v>
      </c>
      <c r="B50" s="70">
        <v>4.5190721697556206</v>
      </c>
      <c r="D50" s="70">
        <f>Report!V118</f>
        <v>5.7199476001184992</v>
      </c>
      <c r="E50" s="70"/>
      <c r="F50" s="332">
        <f t="shared" si="0"/>
        <v>1.2008754303628786</v>
      </c>
      <c r="G50" s="423"/>
      <c r="H50" s="428">
        <f t="shared" si="1"/>
        <v>0</v>
      </c>
      <c r="I50" s="105"/>
      <c r="J50" s="105"/>
      <c r="K50" s="105"/>
      <c r="O50" s="144"/>
    </row>
    <row r="51" spans="1:15">
      <c r="A51" s="54" t="s">
        <v>411</v>
      </c>
      <c r="B51" s="70">
        <v>34.068495817500001</v>
      </c>
      <c r="D51" s="70">
        <f>Report!V119</f>
        <v>0</v>
      </c>
      <c r="E51" s="70"/>
      <c r="F51" s="332">
        <f t="shared" si="0"/>
        <v>-34.068495817500001</v>
      </c>
      <c r="G51" s="423"/>
      <c r="H51" s="428">
        <f t="shared" si="1"/>
        <v>0</v>
      </c>
      <c r="I51" s="105"/>
      <c r="J51" s="105"/>
      <c r="K51" s="105"/>
    </row>
    <row r="52" spans="1:15">
      <c r="A52" s="105" t="s">
        <v>412</v>
      </c>
      <c r="B52" s="70">
        <v>0</v>
      </c>
      <c r="D52" s="70">
        <f>Report!V120</f>
        <v>0</v>
      </c>
      <c r="E52" s="70"/>
      <c r="F52" s="332">
        <f t="shared" si="0"/>
        <v>0</v>
      </c>
      <c r="G52" s="423"/>
      <c r="H52" s="428">
        <f t="shared" si="1"/>
        <v>0</v>
      </c>
      <c r="I52" s="105"/>
      <c r="J52" s="105"/>
      <c r="K52" s="105"/>
    </row>
    <row r="53" spans="1:15">
      <c r="A53" s="694" t="s">
        <v>536</v>
      </c>
      <c r="B53" s="70">
        <v>-82.709216308034996</v>
      </c>
      <c r="D53" s="70">
        <f>Report!V121</f>
        <v>-87.940603800000005</v>
      </c>
      <c r="E53" s="70"/>
      <c r="F53" s="332">
        <f>D53-B53</f>
        <v>-5.231387491965009</v>
      </c>
      <c r="G53" s="423"/>
      <c r="H53" s="428">
        <f>ROUND((((D53/$B$15)-$B$20)/$B$23)-(((B53/$B$15)-$B$20)/$B$23),4)*10000</f>
        <v>0</v>
      </c>
      <c r="I53" s="105"/>
      <c r="J53" s="105"/>
      <c r="K53" s="105"/>
    </row>
    <row r="54" spans="1:15">
      <c r="A54" s="105" t="s">
        <v>157</v>
      </c>
      <c r="B54" s="70">
        <v>0</v>
      </c>
      <c r="D54" s="70">
        <f>Report!V122</f>
        <v>0</v>
      </c>
      <c r="E54" s="70"/>
      <c r="F54" s="332">
        <f t="shared" si="0"/>
        <v>0</v>
      </c>
      <c r="G54" s="423"/>
      <c r="H54" s="428">
        <f t="shared" si="1"/>
        <v>0</v>
      </c>
      <c r="I54" s="105"/>
      <c r="J54" s="105"/>
      <c r="K54" s="105"/>
    </row>
    <row r="55" spans="1:15">
      <c r="A55" s="54" t="s">
        <v>532</v>
      </c>
      <c r="B55" s="70">
        <v>-8.992467301141005E-4</v>
      </c>
      <c r="D55" s="70">
        <f>Report!V123</f>
        <v>-2.1649950008395535E-4</v>
      </c>
      <c r="E55" s="70"/>
      <c r="F55" s="332">
        <f t="shared" si="0"/>
        <v>6.8274723003014515E-4</v>
      </c>
      <c r="G55" s="423"/>
      <c r="H55" s="428">
        <f t="shared" si="1"/>
        <v>0</v>
      </c>
      <c r="I55" s="105"/>
      <c r="J55" s="105"/>
      <c r="K55" s="105"/>
    </row>
    <row r="56" spans="1:15">
      <c r="A56" s="54" t="s">
        <v>533</v>
      </c>
      <c r="B56" s="70">
        <v>-947.53246903350009</v>
      </c>
      <c r="D56" s="70">
        <f>Report!V124</f>
        <v>-3164.0028272999998</v>
      </c>
      <c r="E56" s="70"/>
      <c r="F56" s="332">
        <f t="shared" si="0"/>
        <v>-2216.4703582664997</v>
      </c>
      <c r="G56" s="423"/>
      <c r="H56" s="428">
        <f t="shared" si="1"/>
        <v>-33</v>
      </c>
      <c r="I56" s="105"/>
      <c r="J56" s="105"/>
      <c r="K56" s="105"/>
    </row>
    <row r="57" spans="1:15" ht="15.2" customHeight="1">
      <c r="A57" s="54" t="s">
        <v>510</v>
      </c>
      <c r="B57" s="71">
        <v>0</v>
      </c>
      <c r="D57" s="71">
        <f>Report!V125</f>
        <v>0</v>
      </c>
      <c r="E57" s="70"/>
      <c r="F57" s="435">
        <f t="shared" si="0"/>
        <v>0</v>
      </c>
      <c r="G57" s="105"/>
      <c r="H57" s="428">
        <f t="shared" si="1"/>
        <v>0</v>
      </c>
      <c r="I57" s="105"/>
      <c r="J57" s="105"/>
      <c r="K57" s="105"/>
    </row>
    <row r="58" spans="1:15" ht="15.2" customHeight="1">
      <c r="A58" s="54" t="s">
        <v>508</v>
      </c>
      <c r="B58" s="70">
        <v>1006.1319359887111</v>
      </c>
      <c r="D58" s="70">
        <f>SUM(D41:D57)</f>
        <v>-1339.3859250827747</v>
      </c>
      <c r="E58" s="70"/>
      <c r="F58" s="332">
        <f t="shared" si="0"/>
        <v>-2345.5178610714856</v>
      </c>
      <c r="G58" s="105"/>
      <c r="H58" s="428">
        <f t="shared" si="1"/>
        <v>-34</v>
      </c>
      <c r="I58" s="105"/>
      <c r="J58" s="105"/>
      <c r="K58" s="105"/>
    </row>
    <row r="59" spans="1:15" ht="15.75">
      <c r="A59" s="61"/>
      <c r="F59" s="58"/>
    </row>
    <row r="60" spans="1:15">
      <c r="A60" s="74"/>
      <c r="B60" s="68"/>
      <c r="C60" s="68"/>
      <c r="D60" s="68"/>
      <c r="E60" s="68"/>
    </row>
  </sheetData>
  <mergeCells count="4">
    <mergeCell ref="A1:H1"/>
    <mergeCell ref="A2:H2"/>
    <mergeCell ref="A3:H3"/>
    <mergeCell ref="A4:H4"/>
  </mergeCells>
  <conditionalFormatting sqref="K31:K37 K15:K25">
    <cfRule type="cellIs" dxfId="17" priority="1" stopIfTrue="1" operator="equal">
      <formula>0</formula>
    </cfRule>
    <cfRule type="cellIs" dxfId="16" priority="2" stopIfTrue="1" operator="notEqual">
      <formula>0</formula>
    </cfRule>
  </conditionalFormatting>
  <printOptions horizontalCentered="1"/>
  <pageMargins left="0.5" right="0.5" top="0.5" bottom="0.5" header="0.5" footer="0.25"/>
  <pageSetup scale="80" orientation="portrait" r:id="rId1"/>
  <headerFooter>
    <oddFooter>&amp;Z&amp;F</oddFooter>
  </headerFooter>
  <customProperties>
    <customPr name="_pios_id" r:id="rId2"/>
    <customPr name="EpmWorksheetKeyString_GUID" r:id="rId3"/>
  </customProperties>
  <legacyDrawing r:id="rId4"/>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3" tint="0.39997558519241921"/>
    <pageSetUpPr fitToPage="1"/>
  </sheetPr>
  <dimension ref="A1:X59"/>
  <sheetViews>
    <sheetView workbookViewId="0">
      <selection activeCell="O20" sqref="O20"/>
    </sheetView>
  </sheetViews>
  <sheetFormatPr defaultColWidth="9.140625" defaultRowHeight="15"/>
  <cols>
    <col min="1" max="1" width="47" style="54" bestFit="1" customWidth="1"/>
    <col min="2" max="2" width="21.42578125" style="54" bestFit="1" customWidth="1"/>
    <col min="3" max="3" width="1.85546875" style="54" bestFit="1" customWidth="1"/>
    <col min="4" max="4" width="21.42578125" style="54" bestFit="1" customWidth="1"/>
    <col min="5" max="5" width="1.5703125" style="54" customWidth="1"/>
    <col min="6" max="6" width="12.42578125" style="54" bestFit="1" customWidth="1"/>
    <col min="7" max="7" width="1.5703125" style="54" customWidth="1"/>
    <col min="8" max="8" width="11.5703125" style="56" customWidth="1"/>
    <col min="9" max="9" width="14.5703125" style="54" bestFit="1" customWidth="1"/>
    <col min="10" max="10" width="7.5703125" style="54" customWidth="1"/>
    <col min="11" max="11" width="10.85546875" style="54" customWidth="1"/>
    <col min="12" max="14" width="9.140625" style="54"/>
    <col min="15" max="15" width="30.5703125" style="54" customWidth="1"/>
    <col min="16" max="16" width="7.140625" style="54" customWidth="1"/>
    <col min="17" max="17" width="8.140625" style="54" customWidth="1"/>
    <col min="18" max="18" width="1.5703125" style="54" customWidth="1"/>
    <col min="19" max="19" width="7.5703125" style="54" customWidth="1"/>
    <col min="20" max="20" width="13" style="54" customWidth="1"/>
    <col min="21" max="21" width="1.5703125" style="54" customWidth="1"/>
    <col min="22" max="22" width="9.140625" style="54"/>
    <col min="23" max="23" width="1.42578125" style="54" customWidth="1"/>
    <col min="24" max="24" width="8.5703125" style="57" customWidth="1"/>
    <col min="25" max="25" width="6.85546875" style="54" customWidth="1"/>
    <col min="26" max="26" width="6.42578125" style="54" customWidth="1"/>
    <col min="27" max="16384" width="9.140625" style="54"/>
  </cols>
  <sheetData>
    <row r="1" spans="1:24" ht="17.45" customHeight="1">
      <c r="A1" s="1293" t="s">
        <v>204</v>
      </c>
      <c r="B1" s="1293"/>
      <c r="C1" s="1293"/>
      <c r="D1" s="1293"/>
      <c r="E1" s="1293"/>
      <c r="F1" s="1293"/>
      <c r="G1" s="1293"/>
      <c r="H1" s="1293"/>
    </row>
    <row r="2" spans="1:24" ht="17.45" customHeight="1">
      <c r="A2" s="1293" t="s">
        <v>1855</v>
      </c>
      <c r="B2" s="1293"/>
      <c r="C2" s="1293"/>
      <c r="D2" s="1293"/>
      <c r="E2" s="1293"/>
      <c r="F2" s="1293"/>
      <c r="G2" s="1293"/>
      <c r="H2" s="1293"/>
    </row>
    <row r="3" spans="1:24" ht="17.45" customHeight="1">
      <c r="A3" s="1293" t="s">
        <v>1856</v>
      </c>
      <c r="B3" s="1293"/>
      <c r="C3" s="1293"/>
      <c r="D3" s="1293"/>
      <c r="E3" s="1293"/>
      <c r="F3" s="1293"/>
      <c r="G3" s="1293"/>
      <c r="H3" s="1293"/>
    </row>
    <row r="4" spans="1:24" ht="18" customHeight="1">
      <c r="A4" s="1293" t="s">
        <v>1857</v>
      </c>
      <c r="B4" s="1293"/>
      <c r="C4" s="1293"/>
      <c r="D4" s="1293"/>
      <c r="E4" s="1293"/>
      <c r="F4" s="1293"/>
      <c r="G4" s="1293"/>
      <c r="H4" s="1293"/>
    </row>
    <row r="5" spans="1:24" ht="28.35" customHeight="1">
      <c r="A5" s="17"/>
      <c r="B5" s="392"/>
      <c r="C5" s="695"/>
      <c r="D5" s="227"/>
      <c r="E5" s="696"/>
      <c r="K5" s="58"/>
    </row>
    <row r="6" spans="1:24" ht="28.35" customHeight="1">
      <c r="A6" s="17"/>
      <c r="C6" s="695"/>
      <c r="D6" s="227"/>
      <c r="E6" s="696"/>
      <c r="K6" s="58"/>
    </row>
    <row r="7" spans="1:24" s="61" customFormat="1" ht="15.75">
      <c r="A7" s="59"/>
      <c r="B7" s="60">
        <v>44926</v>
      </c>
      <c r="C7" s="54"/>
      <c r="D7" s="60" t="str">
        <f>'COMP Prior Yr'!D6</f>
        <v>December 2022</v>
      </c>
      <c r="H7" s="62" t="s">
        <v>487</v>
      </c>
      <c r="X7" s="63"/>
    </row>
    <row r="8" spans="1:24" s="61" customFormat="1" ht="15.75">
      <c r="A8" s="64"/>
      <c r="B8" s="65" t="s">
        <v>509</v>
      </c>
      <c r="C8" s="55"/>
      <c r="D8" s="65" t="str">
        <f>'COMP Prior Yr'!D7</f>
        <v>Actuals</v>
      </c>
      <c r="F8" s="66" t="s">
        <v>489</v>
      </c>
      <c r="G8" s="64"/>
      <c r="H8" s="67" t="s">
        <v>490</v>
      </c>
      <c r="K8" s="68"/>
      <c r="X8" s="63"/>
    </row>
    <row r="9" spans="1:24" ht="15.75">
      <c r="A9" s="61"/>
    </row>
    <row r="10" spans="1:24">
      <c r="A10" s="54" t="s">
        <v>223</v>
      </c>
      <c r="B10" s="199">
        <v>1722120.6450564822</v>
      </c>
      <c r="D10" s="199">
        <f>+'COMP Prior Yr'!D9</f>
        <v>1661056.812737515</v>
      </c>
      <c r="F10" s="332">
        <f>D10-B10</f>
        <v>-61063.832318967208</v>
      </c>
      <c r="G10" s="332"/>
      <c r="H10" s="333">
        <f>ROUND((((B18/(D10+D11+D12+D14))-B21)/B24)-(((B18/(B10+D11+D12+D14))-B21)/B24),4)*10000</f>
        <v>42</v>
      </c>
      <c r="I10" s="105"/>
      <c r="J10" s="69"/>
      <c r="K10" s="105"/>
    </row>
    <row r="11" spans="1:24">
      <c r="A11" s="54" t="s">
        <v>4</v>
      </c>
      <c r="B11" s="200">
        <v>65318.578052307712</v>
      </c>
      <c r="D11" s="200">
        <f>+'COMP Prior Yr'!D10</f>
        <v>98720.05334769233</v>
      </c>
      <c r="F11" s="332">
        <f>D11-B11</f>
        <v>33401.475295384618</v>
      </c>
      <c r="G11" s="332"/>
      <c r="H11" s="333">
        <f>ROUND((((B18/(D10+D12+D14+D11))-B21)/B24)-(((B18/(B11+D10+D12+D14))-B21)/B24),4)*10000</f>
        <v>-23.999999999999996</v>
      </c>
      <c r="I11" s="105"/>
      <c r="J11" s="105"/>
      <c r="K11" s="105"/>
    </row>
    <row r="12" spans="1:24">
      <c r="A12" s="54" t="s">
        <v>491</v>
      </c>
      <c r="B12" s="200">
        <v>0</v>
      </c>
      <c r="D12" s="200">
        <f>+'COMP Prior Yr'!D11</f>
        <v>0</v>
      </c>
      <c r="F12" s="332">
        <f>D12-B12</f>
        <v>0</v>
      </c>
      <c r="G12" s="432"/>
      <c r="H12" s="333">
        <f>ROUND((((B18/(D10+D11+D12+D14))-B21)/B24)-(((B18/(B12+D10+D11+D14))-B21)/B24),4)*10000</f>
        <v>0</v>
      </c>
      <c r="I12" s="105"/>
      <c r="J12" s="105"/>
      <c r="K12" s="105"/>
    </row>
    <row r="13" spans="1:24">
      <c r="A13" s="105" t="s">
        <v>229</v>
      </c>
      <c r="B13" s="200">
        <v>-5000</v>
      </c>
      <c r="D13" s="200">
        <f>+'COMP Prior Yr'!D12</f>
        <v>3209.9291492307693</v>
      </c>
      <c r="F13" s="332">
        <f>D13-B13</f>
        <v>8209.9291492307693</v>
      </c>
      <c r="G13" s="432"/>
      <c r="H13" s="333">
        <f>ROUND((((B18/(D10+D11+D12+D13+D14))-B21)/B24)-(((B18/(B13+D10+D11+D12+D14))-B21)/B24),4)*10000</f>
        <v>-5.9999999999999991</v>
      </c>
      <c r="I13" s="105"/>
      <c r="J13" s="105"/>
      <c r="K13" s="105"/>
    </row>
    <row r="14" spans="1:24" ht="15.75">
      <c r="A14" s="54" t="s">
        <v>492</v>
      </c>
      <c r="B14" s="331">
        <v>-24626.987594470742</v>
      </c>
      <c r="C14" s="70"/>
      <c r="D14" s="331">
        <f>+'COMP Prior Yr'!D13</f>
        <v>-29027.429266153893</v>
      </c>
      <c r="F14" s="332">
        <f>D14-B14</f>
        <v>-4400.4416716831511</v>
      </c>
      <c r="G14" s="432"/>
      <c r="H14" s="333">
        <f>ROUND((((B18/(D10+D11+D12+D14))-B21)/B24)-(((B18/(B14+D10+D11+D12))-B21)/B24),4)*10000</f>
        <v>2.9999999999999996</v>
      </c>
      <c r="I14" s="72" t="s">
        <v>493</v>
      </c>
      <c r="J14" s="105"/>
      <c r="K14" s="73" t="s">
        <v>494</v>
      </c>
    </row>
    <row r="15" spans="1:24" ht="8.1" customHeight="1">
      <c r="B15" s="201"/>
      <c r="D15" s="201"/>
      <c r="F15" s="332"/>
      <c r="G15" s="105"/>
      <c r="H15" s="333"/>
      <c r="I15" s="72"/>
      <c r="J15" s="105"/>
      <c r="K15" s="73"/>
    </row>
    <row r="16" spans="1:24" ht="15.75">
      <c r="A16" s="61" t="s">
        <v>348</v>
      </c>
      <c r="B16" s="202">
        <v>1757812.2355</v>
      </c>
      <c r="C16" s="61"/>
      <c r="D16" s="202">
        <f>+'COMP Prior Yr'!D15</f>
        <v>1733959.3659999999</v>
      </c>
      <c r="E16" s="61"/>
      <c r="F16" s="58">
        <f>D16-B16</f>
        <v>-23852.86950000003</v>
      </c>
      <c r="G16" s="58"/>
      <c r="H16" s="62">
        <f>ROUND((((B18/D16)-B21)/B24)-(((B18/B16)-B21)/B24),4)*10000</f>
        <v>17</v>
      </c>
      <c r="I16" s="62">
        <f>SUM(H10:H14)</f>
        <v>15.000000000000004</v>
      </c>
      <c r="J16" s="333"/>
      <c r="K16" s="62">
        <f>H16-I16</f>
        <v>1.9999999999999964</v>
      </c>
      <c r="O16" s="75">
        <f>+F16/H16</f>
        <v>-1403.109970588237</v>
      </c>
    </row>
    <row r="17" spans="1:24" ht="8.1" customHeight="1">
      <c r="B17" s="200"/>
      <c r="D17" s="200"/>
      <c r="F17" s="332"/>
      <c r="G17" s="105"/>
      <c r="H17" s="333"/>
      <c r="I17" s="62"/>
      <c r="J17" s="333"/>
      <c r="K17" s="62"/>
    </row>
    <row r="18" spans="1:24" s="61" customFormat="1" ht="15.75">
      <c r="A18" s="61" t="s">
        <v>495</v>
      </c>
      <c r="B18" s="203">
        <v>101171.4877</v>
      </c>
      <c r="D18" s="203">
        <f>+'COMP Prior Yr'!D17</f>
        <v>99827.7448</v>
      </c>
      <c r="F18" s="58">
        <f>D18-B18</f>
        <v>-1343.7428999999975</v>
      </c>
      <c r="G18" s="698"/>
      <c r="H18" s="76">
        <f>ROUND((((D18/B16)-B21)/B24)-(((B18/B16)-B21)/B24),4)*10000</f>
        <v>-16</v>
      </c>
      <c r="I18" s="62"/>
      <c r="J18" s="62"/>
      <c r="K18" s="62"/>
      <c r="L18" s="76"/>
      <c r="O18" s="75">
        <f>+F18/H18</f>
        <v>83.983931249999841</v>
      </c>
      <c r="X18" s="63"/>
    </row>
    <row r="19" spans="1:24" ht="8.1" customHeight="1">
      <c r="F19" s="105"/>
      <c r="G19" s="105"/>
      <c r="H19" s="333"/>
      <c r="I19" s="62"/>
      <c r="J19" s="333"/>
      <c r="K19" s="62"/>
    </row>
    <row r="20" spans="1:24" ht="15.75">
      <c r="A20" s="54" t="s">
        <v>496</v>
      </c>
      <c r="B20" s="77">
        <v>5.7599999999999998E-2</v>
      </c>
      <c r="D20" s="77">
        <f>+'COMP Prior Yr'!D19</f>
        <v>5.7599999999999998E-2</v>
      </c>
      <c r="F20" s="423">
        <f>D20-B20</f>
        <v>0</v>
      </c>
      <c r="G20" s="423"/>
      <c r="H20" s="333">
        <f>ROUND((F20/$B$24)*10000,0)</f>
        <v>0</v>
      </c>
      <c r="I20" s="62">
        <f>H16+H18</f>
        <v>1</v>
      </c>
      <c r="J20" s="333"/>
      <c r="K20" s="62">
        <f>H20-I20</f>
        <v>-1</v>
      </c>
      <c r="O20" s="1274">
        <f>(+O16+'COMP Q1F Qrtly'!O15+'COMP Q3F'!O15)/3</f>
        <v>-1415.3592139460832</v>
      </c>
    </row>
    <row r="21" spans="1:24" ht="15.75">
      <c r="A21" s="54" t="s">
        <v>1858</v>
      </c>
      <c r="B21" s="78">
        <v>1.38E-2</v>
      </c>
      <c r="D21" s="78">
        <f>+'COMP Prior Yr'!D20</f>
        <v>1.4200000000000001E-2</v>
      </c>
      <c r="F21" s="423">
        <f>D21-B21</f>
        <v>4.0000000000000105E-4</v>
      </c>
      <c r="G21" s="423"/>
      <c r="H21" s="333">
        <f>-ROUND((F21/$B$24)*10000,0)</f>
        <v>-9</v>
      </c>
      <c r="I21" s="62"/>
      <c r="J21" s="333"/>
      <c r="K21" s="62"/>
    </row>
    <row r="22" spans="1:24" ht="16.149999999999999" customHeight="1">
      <c r="B22" s="74"/>
      <c r="D22" s="74"/>
      <c r="F22" s="423"/>
      <c r="G22" s="423"/>
      <c r="H22" s="333"/>
      <c r="I22" s="62"/>
      <c r="J22" s="333"/>
      <c r="K22" s="62"/>
      <c r="O22" s="1274">
        <f>(+O18+'COMP Q1F Qrtly'!O17+'COMP Q3F'!O17)/3</f>
        <v>82.055994345238048</v>
      </c>
    </row>
    <row r="23" spans="1:24" ht="15.75">
      <c r="A23" s="54" t="s">
        <v>497</v>
      </c>
      <c r="B23" s="77">
        <v>4.3799999999999999E-2</v>
      </c>
      <c r="D23" s="77">
        <f>+'COMP Prior Yr'!D22</f>
        <v>4.3400000000000001E-2</v>
      </c>
      <c r="F23" s="423">
        <f>D23-B23</f>
        <v>-3.9999999999999758E-4</v>
      </c>
      <c r="G23" s="423"/>
      <c r="H23" s="333">
        <f>ROUND((F23/$B$24)*10000,0)</f>
        <v>-9</v>
      </c>
      <c r="I23" s="62">
        <f>H20+H21</f>
        <v>-9</v>
      </c>
      <c r="J23" s="333"/>
      <c r="K23" s="62">
        <f>H23-I23</f>
        <v>0</v>
      </c>
    </row>
    <row r="24" spans="1:24" ht="15.75">
      <c r="A24" s="54" t="s">
        <v>483</v>
      </c>
      <c r="B24" s="78">
        <v>0.46960000000000002</v>
      </c>
      <c r="D24" s="78">
        <f>+'COMP Prior Yr'!D23</f>
        <v>0.46889999999999998</v>
      </c>
      <c r="F24" s="423">
        <f>D24-B24</f>
        <v>-7.0000000000003393E-4</v>
      </c>
      <c r="G24" s="423"/>
      <c r="H24" s="333">
        <f>ROUND((B23/D24)-(B23/B24),4)*10000</f>
        <v>1</v>
      </c>
      <c r="I24" s="62"/>
      <c r="J24" s="333"/>
      <c r="K24" s="62"/>
    </row>
    <row r="25" spans="1:24" ht="15.75">
      <c r="B25" s="74"/>
      <c r="D25" s="74"/>
      <c r="F25" s="423"/>
      <c r="G25" s="423"/>
      <c r="H25" s="424"/>
      <c r="I25" s="62"/>
      <c r="J25" s="333"/>
      <c r="K25" s="62"/>
    </row>
    <row r="26" spans="1:24" s="61" customFormat="1" ht="15.75">
      <c r="A26" s="61" t="s">
        <v>498</v>
      </c>
      <c r="B26" s="252">
        <v>9.3199999999999991E-2</v>
      </c>
      <c r="D26" s="252">
        <f>+'COMP Prior Yr'!D25</f>
        <v>9.2499999999999999E-2</v>
      </c>
      <c r="F26" s="80">
        <f>D26-B26</f>
        <v>-6.999999999999923E-4</v>
      </c>
      <c r="G26" s="80"/>
      <c r="H26" s="62">
        <f>(D26-B26)*10000</f>
        <v>-6.9999999999999227</v>
      </c>
      <c r="I26" s="62">
        <f>H23+H24</f>
        <v>-8</v>
      </c>
      <c r="J26" s="62"/>
      <c r="K26" s="62">
        <f>H26-I26</f>
        <v>1.0000000000000773</v>
      </c>
      <c r="L26" s="80"/>
      <c r="X26" s="63"/>
    </row>
    <row r="27" spans="1:24" s="81" customFormat="1" ht="4.5" customHeight="1">
      <c r="A27" s="54"/>
      <c r="B27" s="82"/>
      <c r="C27" s="54"/>
      <c r="D27" s="82"/>
      <c r="E27" s="54"/>
      <c r="F27" s="425"/>
      <c r="G27" s="105"/>
      <c r="H27" s="426"/>
      <c r="I27" s="425"/>
      <c r="J27" s="425"/>
      <c r="K27" s="425"/>
      <c r="X27" s="84"/>
    </row>
    <row r="28" spans="1:24" ht="4.5" customHeight="1">
      <c r="F28" s="105"/>
      <c r="G28" s="105"/>
      <c r="H28" s="333"/>
      <c r="I28" s="105"/>
      <c r="J28" s="427"/>
      <c r="K28" s="105"/>
    </row>
    <row r="29" spans="1:24">
      <c r="A29" s="54" t="s">
        <v>499</v>
      </c>
      <c r="B29" s="459">
        <v>128059.19999999987</v>
      </c>
      <c r="D29" s="459">
        <f>+'COMP Prior Yr'!D28</f>
        <v>127065.09198000013</v>
      </c>
      <c r="E29" s="70"/>
      <c r="F29" s="332">
        <f>D29-B29</f>
        <v>-994.10801999973773</v>
      </c>
      <c r="G29" s="332"/>
      <c r="H29" s="428">
        <f>ROUND((((D29/B16)-B21)/B24)-(((B29/B16)-B21)/B24),4)*10000</f>
        <v>-11.999999999999998</v>
      </c>
      <c r="I29" s="105"/>
      <c r="J29" s="105"/>
      <c r="K29" s="105"/>
    </row>
    <row r="30" spans="1:24">
      <c r="A30" s="54" t="s">
        <v>500</v>
      </c>
      <c r="B30" s="86">
        <v>25975</v>
      </c>
      <c r="C30" s="70"/>
      <c r="D30" s="86">
        <f>+'COMP Prior Yr'!D29</f>
        <v>25897.961240000001</v>
      </c>
      <c r="E30" s="70"/>
      <c r="F30" s="332">
        <f>B30-D30</f>
        <v>77.038759999999456</v>
      </c>
      <c r="G30" s="332"/>
      <c r="H30" s="428">
        <f>-ROUND((((D30/B16)-B21)/B24)-(((B30/B16)-B21)/B24),4)*10000</f>
        <v>1</v>
      </c>
      <c r="I30" s="105"/>
      <c r="J30" s="105"/>
      <c r="K30" s="105"/>
    </row>
    <row r="31" spans="1:24" ht="15.75">
      <c r="A31" s="693" t="s">
        <v>501</v>
      </c>
      <c r="B31" s="71">
        <v>0</v>
      </c>
      <c r="C31" s="70"/>
      <c r="D31" s="71">
        <f>+'COMP Prior Yr'!D30</f>
        <v>0</v>
      </c>
      <c r="E31" s="70"/>
      <c r="F31" s="332">
        <f>B31-D31</f>
        <v>0</v>
      </c>
      <c r="G31" s="432"/>
      <c r="H31" s="428">
        <f>-ROUND((((D31/B16)-B21)/B24)-(((B31/B16)-B21)/B24),4)*10000</f>
        <v>0</v>
      </c>
      <c r="I31" s="55" t="s">
        <v>493</v>
      </c>
      <c r="J31" s="105"/>
      <c r="K31" s="73" t="s">
        <v>494</v>
      </c>
    </row>
    <row r="32" spans="1:24" ht="15.75">
      <c r="A32" s="74" t="s">
        <v>502</v>
      </c>
      <c r="B32" s="71">
        <v>25975</v>
      </c>
      <c r="D32" s="71">
        <f>+'COMP Prior Yr'!D31</f>
        <v>25897.961240000001</v>
      </c>
      <c r="E32" s="70"/>
      <c r="F32" s="332">
        <f>D32-B32</f>
        <v>-77.038759999999456</v>
      </c>
      <c r="G32" s="432"/>
      <c r="H32" s="428">
        <f>-ROUND((((D32/B16)-B21)/B24)-(((B32/B16)-B21)/B24),4)*10000</f>
        <v>1</v>
      </c>
      <c r="I32" s="333"/>
      <c r="J32" s="105"/>
      <c r="K32" s="62"/>
    </row>
    <row r="33" spans="1:24" ht="8.1" customHeight="1">
      <c r="B33" s="87"/>
      <c r="D33" s="87"/>
      <c r="E33" s="70"/>
      <c r="F33" s="332"/>
      <c r="G33" s="105"/>
      <c r="H33" s="428"/>
      <c r="I33" s="62"/>
      <c r="J33" s="105"/>
      <c r="K33" s="62"/>
    </row>
    <row r="34" spans="1:24" ht="15.75">
      <c r="A34" s="54" t="s">
        <v>503</v>
      </c>
      <c r="B34" s="71">
        <v>102084.19999999987</v>
      </c>
      <c r="D34" s="71">
        <f>+'COMP Prior Yr'!D33</f>
        <v>101167.13074000012</v>
      </c>
      <c r="E34" s="70"/>
      <c r="F34" s="332">
        <f>D34-B34</f>
        <v>-917.06925999974192</v>
      </c>
      <c r="G34" s="332"/>
      <c r="H34" s="428">
        <f>ROUND((((D34/B16)-B21)/B24)-(((B34/B16)-B21)/B24),4)*10000</f>
        <v>-11</v>
      </c>
      <c r="I34" s="333">
        <f>H29+H30+H31</f>
        <v>-10.999999999999998</v>
      </c>
      <c r="J34" s="105"/>
      <c r="K34" s="62">
        <f>I34-H34</f>
        <v>0</v>
      </c>
    </row>
    <row r="35" spans="1:24" ht="15.75">
      <c r="B35" s="70"/>
      <c r="D35" s="70"/>
      <c r="E35" s="70"/>
      <c r="F35" s="332"/>
      <c r="G35" s="332"/>
      <c r="H35" s="428"/>
      <c r="I35" s="333"/>
      <c r="J35" s="105"/>
      <c r="K35" s="62"/>
    </row>
    <row r="36" spans="1:24" ht="15.75">
      <c r="A36" s="54" t="s">
        <v>504</v>
      </c>
      <c r="B36" s="70">
        <v>0</v>
      </c>
      <c r="D36" s="70">
        <f>+'COMP Prior Yr'!D35</f>
        <v>0</v>
      </c>
      <c r="E36" s="70"/>
      <c r="F36" s="332"/>
      <c r="G36" s="332"/>
      <c r="H36" s="428"/>
      <c r="I36" s="333"/>
      <c r="J36" s="105"/>
      <c r="K36" s="62"/>
    </row>
    <row r="37" spans="1:24" ht="15.75">
      <c r="A37" s="693" t="s">
        <v>505</v>
      </c>
      <c r="B37" s="71">
        <v>-912.7123062110893</v>
      </c>
      <c r="D37" s="71">
        <f>+'COMP Prior Yr'!D36</f>
        <v>-1339.3859250827747</v>
      </c>
      <c r="E37" s="70"/>
      <c r="F37" s="332">
        <f>D37-B37</f>
        <v>-426.67361887168545</v>
      </c>
      <c r="G37" s="105"/>
      <c r="H37" s="428">
        <f>ROUND((((D37/B16)-B21)/B24)-(((B37/B16)-B21)/B24),4)*10000</f>
        <v>-5</v>
      </c>
      <c r="I37" s="333">
        <f>H37</f>
        <v>-5</v>
      </c>
      <c r="J37" s="105"/>
      <c r="K37" s="62">
        <f>H37-I37</f>
        <v>0</v>
      </c>
    </row>
    <row r="38" spans="1:24" s="61" customFormat="1" ht="15.75">
      <c r="A38" s="61" t="s">
        <v>495</v>
      </c>
      <c r="B38" s="88">
        <v>101171.48769378877</v>
      </c>
      <c r="D38" s="88">
        <f>+'COMP Prior Yr'!D37</f>
        <v>99827.744814917343</v>
      </c>
      <c r="E38" s="697"/>
      <c r="F38" s="58">
        <f>D38-B38</f>
        <v>-1343.7428788714315</v>
      </c>
      <c r="G38" s="698"/>
      <c r="H38" s="429">
        <f>ROUND((((D38/B16)-B21)/B24)-(((B38/B16)-B21)/B24),4)*10000</f>
        <v>-16</v>
      </c>
      <c r="I38" s="62">
        <f>H34+H37</f>
        <v>-16</v>
      </c>
      <c r="K38" s="62">
        <f>H38-I38</f>
        <v>0</v>
      </c>
      <c r="X38" s="63"/>
    </row>
    <row r="39" spans="1:24" s="81" customFormat="1" ht="14.1" customHeight="1">
      <c r="A39" s="54"/>
      <c r="B39" s="90"/>
      <c r="C39" s="54"/>
      <c r="D39" s="90"/>
      <c r="E39" s="70"/>
      <c r="F39" s="430"/>
      <c r="G39" s="433"/>
      <c r="H39" s="106">
        <f>D38-D18</f>
        <v>1.49173429235816E-5</v>
      </c>
      <c r="I39" s="91" t="s">
        <v>506</v>
      </c>
      <c r="J39" s="431"/>
      <c r="K39" s="425"/>
      <c r="X39" s="84"/>
    </row>
    <row r="40" spans="1:24" ht="4.5" customHeight="1">
      <c r="B40" s="92"/>
      <c r="D40" s="92"/>
      <c r="E40" s="70"/>
      <c r="F40" s="432"/>
      <c r="G40" s="433"/>
      <c r="H40" s="94"/>
      <c r="I40" s="95"/>
      <c r="J40" s="423"/>
      <c r="K40" s="105"/>
      <c r="X40" s="96"/>
    </row>
    <row r="41" spans="1:24" ht="15.75">
      <c r="A41" s="64" t="s">
        <v>507</v>
      </c>
      <c r="B41" s="87"/>
      <c r="C41" s="87"/>
      <c r="D41" s="87"/>
      <c r="E41" s="70"/>
      <c r="F41" s="434"/>
      <c r="G41" s="432"/>
      <c r="H41" s="333"/>
      <c r="I41" s="423"/>
      <c r="J41" s="427"/>
      <c r="K41" s="105"/>
    </row>
    <row r="42" spans="1:24">
      <c r="A42" s="54" t="s">
        <v>150</v>
      </c>
      <c r="B42" s="97">
        <v>0</v>
      </c>
      <c r="D42" s="97">
        <f>+'COMP Prior Yr'!D41</f>
        <v>-5.0765400010277517E-4</v>
      </c>
      <c r="E42" s="70"/>
      <c r="F42" s="332">
        <f>D42-B42</f>
        <v>-5.0765400010277517E-4</v>
      </c>
      <c r="G42" s="423"/>
      <c r="H42" s="428">
        <f>ROUND((((D42/$B$16)-$B$21)/$B$24)-(((B42/$B$16)-$B$21)/$B$24),4)*10000</f>
        <v>0</v>
      </c>
      <c r="I42" s="105"/>
      <c r="J42" s="105"/>
      <c r="K42" s="105"/>
    </row>
    <row r="43" spans="1:24">
      <c r="A43" s="54" t="s">
        <v>151</v>
      </c>
      <c r="B43" s="97">
        <v>37.464298165050174</v>
      </c>
      <c r="D43" s="97">
        <f>+'COMP Prior Yr'!D42</f>
        <v>29.265119278181093</v>
      </c>
      <c r="E43" s="70"/>
      <c r="F43" s="332">
        <f>D43-B43</f>
        <v>-8.1991788868690811</v>
      </c>
      <c r="G43" s="423"/>
      <c r="H43" s="428">
        <f>ROUND((((D43/$B$16)-$B$21)/$B$24)-(((B43/$B$16)-$B$21)/$B$24),4)*10000</f>
        <v>0</v>
      </c>
      <c r="I43" s="105"/>
      <c r="J43" s="105"/>
      <c r="K43" s="105"/>
    </row>
    <row r="44" spans="1:24">
      <c r="A44" s="54" t="s">
        <v>152</v>
      </c>
      <c r="B44" s="97">
        <v>-240.32805942218229</v>
      </c>
      <c r="D44" s="97">
        <f>+'COMP Prior Yr'!D43</f>
        <v>-117.20289195672966</v>
      </c>
      <c r="E44" s="70"/>
      <c r="F44" s="332">
        <f t="shared" ref="F44:F59" si="0">D44-B44</f>
        <v>123.12516746545263</v>
      </c>
      <c r="G44" s="423"/>
      <c r="H44" s="428">
        <f t="shared" ref="H44:H59" si="1">ROUND((((D44/$B$16)-$B$21)/$B$24)-(((B44/$B$16)-$B$21)/$B$24),4)*10000</f>
        <v>1</v>
      </c>
      <c r="I44" s="105"/>
      <c r="J44" s="105"/>
      <c r="K44" s="105"/>
    </row>
    <row r="45" spans="1:24">
      <c r="A45" s="54" t="s">
        <v>481</v>
      </c>
      <c r="B45" s="97">
        <v>2099</v>
      </c>
      <c r="D45" s="97">
        <f>+'COMP Prior Yr'!D44</f>
        <v>2099</v>
      </c>
      <c r="E45" s="70"/>
      <c r="F45" s="332">
        <f t="shared" si="0"/>
        <v>0</v>
      </c>
      <c r="G45" s="423"/>
      <c r="H45" s="428">
        <f t="shared" si="1"/>
        <v>0</v>
      </c>
      <c r="I45" s="105"/>
      <c r="J45" s="105"/>
      <c r="K45" s="105"/>
      <c r="O45" s="75"/>
    </row>
    <row r="46" spans="1:24">
      <c r="A46" s="54" t="s">
        <v>153</v>
      </c>
      <c r="B46" s="97">
        <v>0</v>
      </c>
      <c r="D46" s="97">
        <f>+'COMP Prior Yr'!D45</f>
        <v>0</v>
      </c>
      <c r="E46" s="70"/>
      <c r="F46" s="332">
        <f t="shared" si="0"/>
        <v>0</v>
      </c>
      <c r="G46" s="423"/>
      <c r="H46" s="428">
        <f t="shared" si="1"/>
        <v>0</v>
      </c>
      <c r="I46" s="105"/>
      <c r="J46" s="105"/>
      <c r="K46" s="105"/>
    </row>
    <row r="47" spans="1:24">
      <c r="A47" s="54" t="s">
        <v>410</v>
      </c>
      <c r="B47" s="97">
        <v>8.0851365000000008</v>
      </c>
      <c r="D47" s="97">
        <f>+'COMP Prior Yr'!D46</f>
        <v>12.004970063624999</v>
      </c>
      <c r="E47" s="70"/>
      <c r="F47" s="332">
        <f t="shared" si="0"/>
        <v>3.9198335636249979</v>
      </c>
      <c r="G47" s="423"/>
      <c r="H47" s="428">
        <f t="shared" si="1"/>
        <v>0</v>
      </c>
      <c r="I47" s="105"/>
      <c r="J47" s="105"/>
      <c r="K47" s="105"/>
      <c r="O47" s="145"/>
    </row>
    <row r="48" spans="1:24">
      <c r="A48" s="54" t="s">
        <v>154</v>
      </c>
      <c r="B48" s="70">
        <v>51.405499435500005</v>
      </c>
      <c r="D48" s="70">
        <f>+'COMP Prior Yr'!D47</f>
        <v>59.108476990499994</v>
      </c>
      <c r="E48" s="70"/>
      <c r="F48" s="332">
        <f t="shared" si="0"/>
        <v>7.7029775549999897</v>
      </c>
      <c r="G48" s="423"/>
      <c r="H48" s="428">
        <f t="shared" si="1"/>
        <v>0</v>
      </c>
      <c r="I48" s="105"/>
      <c r="J48" s="105"/>
      <c r="K48" s="105"/>
      <c r="O48" s="144"/>
    </row>
    <row r="49" spans="1:15">
      <c r="A49" s="54" t="s">
        <v>409</v>
      </c>
      <c r="B49" s="70">
        <v>0</v>
      </c>
      <c r="D49" s="70">
        <f>+'COMP Prior Yr'!D48</f>
        <v>-219.16715458049293</v>
      </c>
      <c r="E49" s="70"/>
      <c r="F49" s="332">
        <f t="shared" si="0"/>
        <v>-219.16715458049293</v>
      </c>
      <c r="G49" s="423"/>
      <c r="H49" s="428">
        <f t="shared" si="1"/>
        <v>-2.9999999999999996</v>
      </c>
      <c r="I49" s="105"/>
      <c r="J49" s="105"/>
      <c r="K49" s="105"/>
      <c r="O49" s="145"/>
    </row>
    <row r="50" spans="1:15">
      <c r="A50" s="54" t="s">
        <v>155</v>
      </c>
      <c r="B50" s="70">
        <v>28.899926664890394</v>
      </c>
      <c r="D50" s="70">
        <f>+'COMP Prior Yr'!D49</f>
        <v>43.829762775523193</v>
      </c>
      <c r="E50" s="70"/>
      <c r="F50" s="332">
        <f t="shared" si="0"/>
        <v>14.929836110632799</v>
      </c>
      <c r="G50" s="423"/>
      <c r="H50" s="428">
        <f t="shared" si="1"/>
        <v>0</v>
      </c>
      <c r="I50" s="105"/>
      <c r="J50" s="105"/>
      <c r="K50" s="105"/>
      <c r="O50" s="145"/>
    </row>
    <row r="51" spans="1:15">
      <c r="A51" s="54" t="s">
        <v>156</v>
      </c>
      <c r="B51" s="70">
        <v>4.0923866886524998</v>
      </c>
      <c r="D51" s="70">
        <f>+'COMP Prior Yr'!D50</f>
        <v>5.7199476001184992</v>
      </c>
      <c r="E51" s="70"/>
      <c r="F51" s="332">
        <f t="shared" si="0"/>
        <v>1.6275609114659995</v>
      </c>
      <c r="G51" s="423"/>
      <c r="H51" s="428">
        <f t="shared" si="1"/>
        <v>0</v>
      </c>
      <c r="I51" s="105"/>
      <c r="J51" s="105"/>
      <c r="K51" s="105"/>
      <c r="O51" s="144"/>
    </row>
    <row r="52" spans="1:15">
      <c r="A52" s="54" t="s">
        <v>411</v>
      </c>
      <c r="B52" s="70">
        <v>0</v>
      </c>
      <c r="D52" s="70">
        <f>+'COMP Prior Yr'!D51</f>
        <v>0</v>
      </c>
      <c r="E52" s="70"/>
      <c r="F52" s="332">
        <f t="shared" si="0"/>
        <v>0</v>
      </c>
      <c r="G52" s="423"/>
      <c r="H52" s="428">
        <f t="shared" si="1"/>
        <v>0</v>
      </c>
      <c r="I52" s="105"/>
      <c r="J52" s="105"/>
      <c r="K52" s="105"/>
    </row>
    <row r="53" spans="1:15">
      <c r="A53" s="105" t="s">
        <v>412</v>
      </c>
      <c r="B53" s="70">
        <v>0</v>
      </c>
      <c r="D53" s="70">
        <f>+'COMP Prior Yr'!D52</f>
        <v>0</v>
      </c>
      <c r="E53" s="70"/>
      <c r="F53" s="332">
        <f t="shared" si="0"/>
        <v>0</v>
      </c>
      <c r="G53" s="423"/>
      <c r="H53" s="428">
        <f t="shared" si="1"/>
        <v>0</v>
      </c>
      <c r="I53" s="105"/>
      <c r="J53" s="105"/>
      <c r="K53" s="105"/>
    </row>
    <row r="54" spans="1:15">
      <c r="A54" s="694" t="s">
        <v>536</v>
      </c>
      <c r="B54" s="70">
        <v>-81.024422755499998</v>
      </c>
      <c r="D54" s="70">
        <f>+'COMP Prior Yr'!D53</f>
        <v>-87.940603800000005</v>
      </c>
      <c r="E54" s="70"/>
      <c r="F54" s="332">
        <f>D54-B54</f>
        <v>-6.9161810445000071</v>
      </c>
      <c r="G54" s="423"/>
      <c r="H54" s="428">
        <f>ROUND((((D54/$B$16)-$B$21)/$B$24)-(((B54/$B$16)-$B$21)/$B$24),4)*10000</f>
        <v>0</v>
      </c>
      <c r="I54" s="105"/>
      <c r="J54" s="105"/>
      <c r="K54" s="105"/>
    </row>
    <row r="55" spans="1:15">
      <c r="A55" s="105" t="s">
        <v>157</v>
      </c>
      <c r="B55" s="70">
        <v>0</v>
      </c>
      <c r="D55" s="70">
        <f>+'COMP Prior Yr'!D54</f>
        <v>0</v>
      </c>
      <c r="E55" s="70"/>
      <c r="F55" s="332">
        <f t="shared" si="0"/>
        <v>0</v>
      </c>
      <c r="G55" s="423"/>
      <c r="H55" s="428">
        <f t="shared" si="1"/>
        <v>0</v>
      </c>
      <c r="I55" s="105"/>
      <c r="J55" s="105"/>
      <c r="K55" s="105"/>
    </row>
    <row r="56" spans="1:15">
      <c r="A56" s="54" t="s">
        <v>532</v>
      </c>
      <c r="B56" s="70">
        <v>-9.3318750032267417E-4</v>
      </c>
      <c r="D56" s="70">
        <f>+'COMP Prior Yr'!D55</f>
        <v>-2.1649950008395535E-4</v>
      </c>
      <c r="E56" s="70"/>
      <c r="F56" s="332">
        <f t="shared" si="0"/>
        <v>7.1668800023871881E-4</v>
      </c>
      <c r="G56" s="423"/>
      <c r="H56" s="428">
        <f t="shared" si="1"/>
        <v>0</v>
      </c>
      <c r="I56" s="105"/>
      <c r="J56" s="105"/>
      <c r="K56" s="105"/>
    </row>
    <row r="57" spans="1:15">
      <c r="A57" s="54" t="s">
        <v>533</v>
      </c>
      <c r="B57" s="70">
        <v>-2820.3061382999999</v>
      </c>
      <c r="D57" s="70">
        <f>+'COMP Prior Yr'!D56</f>
        <v>-3164.0028272999998</v>
      </c>
      <c r="E57" s="70"/>
      <c r="F57" s="332">
        <f t="shared" si="0"/>
        <v>-343.69668899999988</v>
      </c>
      <c r="G57" s="423"/>
      <c r="H57" s="428">
        <f t="shared" si="1"/>
        <v>-4</v>
      </c>
      <c r="I57" s="105"/>
      <c r="J57" s="105"/>
      <c r="K57" s="105"/>
    </row>
    <row r="58" spans="1:15" ht="15.2" customHeight="1">
      <c r="A58" s="54" t="s">
        <v>510</v>
      </c>
      <c r="B58" s="71">
        <v>0</v>
      </c>
      <c r="D58" s="71">
        <f>+'COMP Prior Yr'!D57</f>
        <v>0</v>
      </c>
      <c r="E58" s="70"/>
      <c r="F58" s="435">
        <f t="shared" si="0"/>
        <v>0</v>
      </c>
      <c r="G58" s="105"/>
      <c r="H58" s="428">
        <f t="shared" si="1"/>
        <v>0</v>
      </c>
      <c r="I58" s="105"/>
      <c r="J58" s="105"/>
      <c r="K58" s="105"/>
    </row>
    <row r="59" spans="1:15" ht="15.2" customHeight="1">
      <c r="A59" s="54" t="s">
        <v>508</v>
      </c>
      <c r="B59" s="70">
        <v>-912.7123062110893</v>
      </c>
      <c r="D59" s="70">
        <f>+'COMP Prior Yr'!D58</f>
        <v>-1339.3859250827747</v>
      </c>
      <c r="E59" s="70"/>
      <c r="F59" s="332">
        <f t="shared" si="0"/>
        <v>-426.67361887168545</v>
      </c>
      <c r="G59" s="105"/>
      <c r="H59" s="428">
        <f t="shared" si="1"/>
        <v>-5</v>
      </c>
      <c r="I59" s="105"/>
      <c r="J59" s="105"/>
      <c r="K59" s="105"/>
    </row>
  </sheetData>
  <mergeCells count="4">
    <mergeCell ref="A1:H1"/>
    <mergeCell ref="A2:H2"/>
    <mergeCell ref="A3:H3"/>
    <mergeCell ref="A4:H4"/>
  </mergeCells>
  <conditionalFormatting sqref="K32:K38 K16:K26">
    <cfRule type="cellIs" dxfId="15" priority="1" stopIfTrue="1" operator="equal">
      <formula>0</formula>
    </cfRule>
    <cfRule type="cellIs" dxfId="14" priority="2" stopIfTrue="1" operator="notEqual">
      <formula>0</formula>
    </cfRule>
  </conditionalFormatting>
  <printOptions horizontalCentered="1"/>
  <pageMargins left="0.5" right="0.5" top="0.5" bottom="0.5" header="0.5" footer="0.25"/>
  <pageSetup scale="82" orientation="portrait" r:id="rId1"/>
  <headerFooter>
    <oddFooter>&amp;Z&amp;F</oddFooter>
  </headerFooter>
  <customProperties>
    <customPr name="_pios_id" r:id="rId2"/>
    <customPr name="EpmWorksheetKeyString_GUID" r:id="rId3"/>
  </customProperties>
  <legacyDrawing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3" tint="0.39997558519241921"/>
    <pageSetUpPr fitToPage="1"/>
  </sheetPr>
  <dimension ref="A1:X74"/>
  <sheetViews>
    <sheetView workbookViewId="0">
      <selection activeCell="O17" sqref="O17"/>
    </sheetView>
  </sheetViews>
  <sheetFormatPr defaultColWidth="9.140625" defaultRowHeight="15"/>
  <cols>
    <col min="1" max="1" width="47" style="54" bestFit="1" customWidth="1"/>
    <col min="2" max="2" width="21.42578125" style="54" bestFit="1" customWidth="1"/>
    <col min="3" max="3" width="1.85546875" style="54" bestFit="1" customWidth="1"/>
    <col min="4" max="4" width="21.42578125" style="54" bestFit="1" customWidth="1"/>
    <col min="5" max="5" width="1.5703125" style="54" customWidth="1"/>
    <col min="6" max="6" width="12.42578125" style="54" bestFit="1" customWidth="1"/>
    <col min="7" max="7" width="1.5703125" style="54" customWidth="1"/>
    <col min="8" max="8" width="11.5703125" style="56" customWidth="1"/>
    <col min="9" max="9" width="14.5703125" style="54" bestFit="1" customWidth="1"/>
    <col min="10" max="10" width="7.5703125" style="54" customWidth="1"/>
    <col min="11" max="11" width="10.85546875" style="54" customWidth="1"/>
    <col min="12" max="14" width="9.140625" style="54"/>
    <col min="15" max="15" width="30.5703125" style="54" customWidth="1"/>
    <col min="16" max="16" width="7.140625" style="54" customWidth="1"/>
    <col min="17" max="17" width="8.140625" style="54" customWidth="1"/>
    <col min="18" max="18" width="1.5703125" style="54" customWidth="1"/>
    <col min="19" max="19" width="7.5703125" style="54" customWidth="1"/>
    <col min="20" max="20" width="13" style="54" customWidth="1"/>
    <col min="21" max="21" width="1.5703125" style="54" customWidth="1"/>
    <col min="22" max="22" width="9.140625" style="54"/>
    <col min="23" max="23" width="1.42578125" style="54" customWidth="1"/>
    <col min="24" max="24" width="8.5703125" style="57" customWidth="1"/>
    <col min="25" max="25" width="6.85546875" style="54" customWidth="1"/>
    <col min="26" max="26" width="6.42578125" style="54" customWidth="1"/>
    <col min="27" max="16384" width="9.140625" style="54"/>
  </cols>
  <sheetData>
    <row r="1" spans="1:24" ht="17.45" customHeight="1">
      <c r="A1" s="1293" t="s">
        <v>204</v>
      </c>
      <c r="B1" s="1293"/>
      <c r="C1" s="1293"/>
      <c r="D1" s="1293"/>
      <c r="E1" s="1293"/>
      <c r="F1" s="1293"/>
      <c r="G1" s="1293"/>
      <c r="H1" s="1293"/>
    </row>
    <row r="2" spans="1:24" ht="17.45" customHeight="1">
      <c r="A2" s="1293" t="s">
        <v>1855</v>
      </c>
      <c r="B2" s="1293"/>
      <c r="C2" s="1293"/>
      <c r="D2" s="1293"/>
      <c r="E2" s="1293"/>
      <c r="F2" s="1293"/>
      <c r="G2" s="1293"/>
      <c r="H2" s="1293"/>
    </row>
    <row r="3" spans="1:24" ht="17.45" customHeight="1">
      <c r="A3" s="1293" t="s">
        <v>1856</v>
      </c>
      <c r="B3" s="1293"/>
      <c r="C3" s="1293"/>
      <c r="D3" s="1293"/>
      <c r="E3" s="1293"/>
      <c r="F3" s="1293"/>
      <c r="G3" s="1293"/>
      <c r="H3" s="1293"/>
    </row>
    <row r="4" spans="1:24" ht="18" customHeight="1">
      <c r="A4" s="1293" t="s">
        <v>1857</v>
      </c>
      <c r="B4" s="1293"/>
      <c r="C4" s="1293"/>
      <c r="D4" s="1293"/>
      <c r="E4" s="1293"/>
      <c r="F4" s="1293"/>
      <c r="G4" s="1293"/>
      <c r="H4" s="1293"/>
    </row>
    <row r="5" spans="1:24" ht="28.35" customHeight="1">
      <c r="A5" s="17"/>
      <c r="B5" s="60"/>
      <c r="C5" s="695"/>
      <c r="D5" s="227"/>
      <c r="E5" s="696"/>
      <c r="K5" s="58"/>
    </row>
    <row r="6" spans="1:24" s="61" customFormat="1" ht="15.75">
      <c r="A6" s="59"/>
      <c r="B6" s="60" t="s">
        <v>2858</v>
      </c>
      <c r="C6" s="54"/>
      <c r="D6" s="60" t="str">
        <f>+'COMP Prior Yr'!D6</f>
        <v>December 2022</v>
      </c>
      <c r="H6" s="62" t="s">
        <v>487</v>
      </c>
      <c r="X6" s="63"/>
    </row>
    <row r="7" spans="1:24" s="61" customFormat="1" ht="15.75">
      <c r="A7" s="64"/>
      <c r="B7" s="65" t="s">
        <v>2892</v>
      </c>
      <c r="C7" s="55"/>
      <c r="D7" s="65" t="str">
        <f>+B7</f>
        <v>2022 Q3</v>
      </c>
      <c r="F7" s="66" t="s">
        <v>489</v>
      </c>
      <c r="G7" s="64"/>
      <c r="H7" s="67" t="s">
        <v>490</v>
      </c>
      <c r="K7" s="68"/>
      <c r="X7" s="63"/>
    </row>
    <row r="8" spans="1:24" ht="15.75">
      <c r="A8" s="61"/>
    </row>
    <row r="9" spans="1:24">
      <c r="A9" s="54" t="s">
        <v>223</v>
      </c>
      <c r="B9" s="199">
        <v>1671115.9495526084</v>
      </c>
      <c r="D9" s="199">
        <f>+'COMP Prior Yr'!D9</f>
        <v>1661056.812737515</v>
      </c>
      <c r="F9" s="68">
        <f>D9-B9</f>
        <v>-10059.136815093458</v>
      </c>
      <c r="G9" s="68"/>
      <c r="H9" s="56">
        <f>ROUND((((B17/(D9+D10+D11+D13))-B20)/B23)-(((B17/(B9+D10+D11+D13))-B20)/B23),4)*10000</f>
        <v>7</v>
      </c>
      <c r="J9" s="69"/>
    </row>
    <row r="10" spans="1:24">
      <c r="A10" s="54" t="s">
        <v>4</v>
      </c>
      <c r="B10" s="200">
        <v>50603.733633076903</v>
      </c>
      <c r="D10" s="200">
        <f>+'COMP Prior Yr'!D10</f>
        <v>98720.05334769233</v>
      </c>
      <c r="F10" s="68">
        <f>D10-B10</f>
        <v>48116.319714615427</v>
      </c>
      <c r="G10" s="68"/>
      <c r="H10" s="56">
        <f>ROUND((((B17/(D9+D11+D13+D10))-B20)/B23)-(((B17/(B10+D9+D11+D13))-B20)/B23),4)*10000</f>
        <v>-33</v>
      </c>
    </row>
    <row r="11" spans="1:24">
      <c r="A11" s="54" t="s">
        <v>491</v>
      </c>
      <c r="B11" s="200">
        <v>0</v>
      </c>
      <c r="D11" s="200">
        <f>+'COMP Prior Yr'!D11</f>
        <v>0</v>
      </c>
      <c r="F11" s="68">
        <f>D11-B11</f>
        <v>0</v>
      </c>
      <c r="G11" s="70"/>
      <c r="H11" s="56">
        <f>ROUND((((B17/(D9+D10+D11+D13))-B20)/B23)-(((B17/(B11+D9+D10+D13))-B20)/B23),4)*10000</f>
        <v>0</v>
      </c>
    </row>
    <row r="12" spans="1:24">
      <c r="A12" s="105" t="s">
        <v>229</v>
      </c>
      <c r="B12" s="200">
        <v>-3887.0698869230769</v>
      </c>
      <c r="D12" s="200">
        <f>+'COMP Prior Yr'!D12</f>
        <v>3209.9291492307693</v>
      </c>
      <c r="F12" s="332">
        <f>D12-B12</f>
        <v>7096.9990361538457</v>
      </c>
      <c r="G12" s="432"/>
      <c r="H12" s="333">
        <f>ROUND((((B17/(D9+D10+D11+D12+D13))-B20)/B23)-(((B17/(B12+D9+D10+D11+D13))-B20)/B23),4)*10000</f>
        <v>-5</v>
      </c>
    </row>
    <row r="13" spans="1:24" ht="15.75">
      <c r="A13" s="54" t="s">
        <v>492</v>
      </c>
      <c r="B13" s="331">
        <v>-31353.886715882865</v>
      </c>
      <c r="C13" s="70"/>
      <c r="D13" s="331">
        <f>+'COMP Prior Yr'!D13</f>
        <v>-29027.429266153893</v>
      </c>
      <c r="F13" s="68">
        <f>D13-B13</f>
        <v>2326.4574497289723</v>
      </c>
      <c r="G13" s="70"/>
      <c r="H13" s="56">
        <f>ROUND((((B17/(D9+D10+D11+D13))-B20)/B23)-(((B17/(B13+D9+D10+D11))-B20)/B23),4)*10000</f>
        <v>-2</v>
      </c>
      <c r="I13" s="72" t="s">
        <v>493</v>
      </c>
      <c r="K13" s="73" t="s">
        <v>494</v>
      </c>
    </row>
    <row r="14" spans="1:24" ht="8.1" customHeight="1">
      <c r="B14" s="201"/>
      <c r="D14" s="201"/>
      <c r="F14" s="68"/>
      <c r="I14" s="72"/>
      <c r="K14" s="73"/>
    </row>
    <row r="15" spans="1:24" ht="15.75">
      <c r="A15" s="61" t="s">
        <v>348</v>
      </c>
      <c r="B15" s="202">
        <v>1686478.7265999999</v>
      </c>
      <c r="C15" s="61"/>
      <c r="D15" s="202">
        <f>+'COMP Prior Yr'!D15</f>
        <v>1733959.3659999999</v>
      </c>
      <c r="E15" s="61"/>
      <c r="F15" s="58">
        <f>D15-B15</f>
        <v>47480.639399999985</v>
      </c>
      <c r="G15" s="58"/>
      <c r="H15" s="62">
        <f>ROUND((((B17/D15)-B20)/B23)-(((B17/B15)-B20)/B23),4)*10000</f>
        <v>-32</v>
      </c>
      <c r="I15" s="62">
        <f>SUM(H9:H13)</f>
        <v>-33</v>
      </c>
      <c r="J15" s="56"/>
      <c r="K15" s="62">
        <f>H15-I15</f>
        <v>1</v>
      </c>
      <c r="O15" s="75">
        <f>+F15/H15</f>
        <v>-1483.7699812499995</v>
      </c>
    </row>
    <row r="16" spans="1:24" ht="8.1" customHeight="1">
      <c r="B16" s="200"/>
      <c r="D16" s="200"/>
      <c r="F16" s="68"/>
      <c r="I16" s="62"/>
      <c r="J16" s="56"/>
      <c r="K16" s="62"/>
    </row>
    <row r="17" spans="1:24" s="61" customFormat="1" ht="15.75">
      <c r="A17" s="61" t="s">
        <v>495</v>
      </c>
      <c r="B17" s="203">
        <v>93484.781799999997</v>
      </c>
      <c r="D17" s="203">
        <f>+'COMP Prior Yr'!D17</f>
        <v>99827.7448</v>
      </c>
      <c r="F17" s="58">
        <f>D17-B17</f>
        <v>6342.9630000000034</v>
      </c>
      <c r="G17" s="698"/>
      <c r="H17" s="76">
        <f>ROUND((((D17/B15)-B20)/B23)-(((B17/B15)-B20)/B23),4)*10000</f>
        <v>80</v>
      </c>
      <c r="I17" s="62"/>
      <c r="J17" s="62"/>
      <c r="K17" s="62"/>
      <c r="L17" s="76"/>
      <c r="O17" s="75">
        <f>+F17/H17</f>
        <v>79.287037500000039</v>
      </c>
      <c r="X17" s="63"/>
    </row>
    <row r="18" spans="1:24" ht="8.1" customHeight="1">
      <c r="I18" s="62"/>
      <c r="J18" s="56"/>
      <c r="K18" s="62"/>
    </row>
    <row r="19" spans="1:24" ht="15.75">
      <c r="A19" s="54" t="s">
        <v>496</v>
      </c>
      <c r="B19" s="77">
        <v>5.5399999999999998E-2</v>
      </c>
      <c r="D19" s="77">
        <f>+'COMP Prior Yr'!D19</f>
        <v>5.7599999999999998E-2</v>
      </c>
      <c r="F19" s="77">
        <f>D19-B19</f>
        <v>2.2000000000000006E-3</v>
      </c>
      <c r="G19" s="77"/>
      <c r="H19" s="56">
        <f>ROUND((F19/$B$23)*10000,0)</f>
        <v>47</v>
      </c>
      <c r="I19" s="62">
        <f>H15+H17</f>
        <v>48</v>
      </c>
      <c r="J19" s="56"/>
      <c r="K19" s="62">
        <f>H19-I19</f>
        <v>-1</v>
      </c>
    </row>
    <row r="20" spans="1:24" ht="15.75">
      <c r="A20" s="54" t="s">
        <v>1858</v>
      </c>
      <c r="B20" s="78">
        <v>1.26E-2</v>
      </c>
      <c r="D20" s="78">
        <f>+'COMP Prior Yr'!D20</f>
        <v>1.4200000000000001E-2</v>
      </c>
      <c r="F20" s="77">
        <f>D20-B20</f>
        <v>1.6000000000000007E-3</v>
      </c>
      <c r="G20" s="77"/>
      <c r="H20" s="56">
        <f>-ROUND((F20/$B$23)*10000,0)</f>
        <v>-34</v>
      </c>
      <c r="I20" s="62"/>
      <c r="J20" s="56"/>
      <c r="K20" s="62"/>
    </row>
    <row r="21" spans="1:24" ht="8.1" customHeight="1">
      <c r="B21" s="74"/>
      <c r="D21" s="74"/>
      <c r="F21" s="77"/>
      <c r="G21" s="77"/>
      <c r="I21" s="62"/>
      <c r="J21" s="56"/>
      <c r="K21" s="62"/>
    </row>
    <row r="22" spans="1:24" ht="15.75">
      <c r="A22" s="54" t="s">
        <v>497</v>
      </c>
      <c r="B22" s="77">
        <v>4.2799999999999998E-2</v>
      </c>
      <c r="D22" s="77">
        <f>+'COMP Prior Yr'!D22</f>
        <v>4.3400000000000001E-2</v>
      </c>
      <c r="F22" s="77">
        <f>D22-B22</f>
        <v>6.0000000000000331E-4</v>
      </c>
      <c r="G22" s="77"/>
      <c r="H22" s="56">
        <f>ROUND((F22/$B$23)*10000,0)</f>
        <v>13</v>
      </c>
      <c r="I22" s="62">
        <f>H19+H20</f>
        <v>13</v>
      </c>
      <c r="J22" s="56"/>
      <c r="K22" s="62">
        <f>H22-I22</f>
        <v>0</v>
      </c>
    </row>
    <row r="23" spans="1:24" ht="15.75">
      <c r="A23" s="54" t="s">
        <v>483</v>
      </c>
      <c r="B23" s="78">
        <v>0.46750000000000003</v>
      </c>
      <c r="D23" s="78">
        <f>+'COMP Prior Yr'!D23</f>
        <v>0.46889999999999998</v>
      </c>
      <c r="F23" s="77">
        <f>D23-B23</f>
        <v>1.3999999999999568E-3</v>
      </c>
      <c r="G23" s="77"/>
      <c r="H23" s="56">
        <f>ROUND((B22/D23)-(B22/B23),4)*10000</f>
        <v>-2.9999999999999996</v>
      </c>
      <c r="I23" s="62"/>
      <c r="J23" s="56"/>
      <c r="K23" s="62"/>
    </row>
    <row r="24" spans="1:24" ht="15.75">
      <c r="B24" s="74"/>
      <c r="D24" s="74"/>
      <c r="F24" s="77"/>
      <c r="G24" s="77"/>
      <c r="H24" s="79"/>
      <c r="I24" s="62"/>
      <c r="J24" s="56"/>
      <c r="K24" s="62"/>
    </row>
    <row r="25" spans="1:24" s="61" customFormat="1" ht="15.75">
      <c r="A25" s="61" t="s">
        <v>498</v>
      </c>
      <c r="B25" s="252">
        <v>9.1600000000000001E-2</v>
      </c>
      <c r="D25" s="252">
        <f>+'COMP Prior Yr'!D25</f>
        <v>9.2499999999999999E-2</v>
      </c>
      <c r="F25" s="80">
        <f>D25-B25</f>
        <v>8.9999999999999802E-4</v>
      </c>
      <c r="G25" s="80"/>
      <c r="H25" s="62">
        <f>(D25-B25)*10000</f>
        <v>8.9999999999999805</v>
      </c>
      <c r="I25" s="62">
        <f>H22+H23</f>
        <v>10</v>
      </c>
      <c r="J25" s="62"/>
      <c r="K25" s="62">
        <f>H25-I25</f>
        <v>-1.0000000000000195</v>
      </c>
      <c r="L25" s="80"/>
      <c r="X25" s="63"/>
    </row>
    <row r="26" spans="1:24" s="81" customFormat="1" ht="4.5" customHeight="1">
      <c r="A26" s="54"/>
      <c r="B26" s="82"/>
      <c r="C26" s="54"/>
      <c r="D26" s="82"/>
      <c r="E26" s="54"/>
      <c r="G26" s="54"/>
      <c r="H26" s="83"/>
      <c r="X26" s="84"/>
    </row>
    <row r="27" spans="1:24" ht="4.5" customHeight="1">
      <c r="J27" s="57"/>
    </row>
    <row r="28" spans="1:24">
      <c r="A28" s="54" t="s">
        <v>499</v>
      </c>
      <c r="B28" s="459">
        <v>118508.05464999986</v>
      </c>
      <c r="D28" s="459">
        <f>+'COMP Prior Yr'!D28</f>
        <v>127065.09198000013</v>
      </c>
      <c r="E28" s="70"/>
      <c r="F28" s="68">
        <f>D28-B28</f>
        <v>8557.0373300002684</v>
      </c>
      <c r="G28" s="68"/>
      <c r="H28" s="85">
        <f>ROUND((((D28/B15)-B20)/B23)-(((B28/B15)-B20)/B23),4)*10000</f>
        <v>109</v>
      </c>
    </row>
    <row r="29" spans="1:24">
      <c r="A29" s="54" t="s">
        <v>500</v>
      </c>
      <c r="B29" s="86">
        <v>24123.44368</v>
      </c>
      <c r="C29" s="70"/>
      <c r="D29" s="86">
        <f>+'COMP Prior Yr'!D29</f>
        <v>25897.961240000001</v>
      </c>
      <c r="E29" s="70"/>
      <c r="F29" s="68">
        <f>B29-D29</f>
        <v>-1774.5175600000002</v>
      </c>
      <c r="G29" s="68"/>
      <c r="H29" s="85">
        <f>-ROUND((((D29/B15)-B20)/B23)-(((B29/B15)-B20)/B23),4)*10000</f>
        <v>-23</v>
      </c>
    </row>
    <row r="30" spans="1:24" ht="15.75">
      <c r="A30" s="693" t="s">
        <v>501</v>
      </c>
      <c r="B30" s="71">
        <v>0</v>
      </c>
      <c r="C30" s="70"/>
      <c r="D30" s="71">
        <f>+'COMP Prior Yr'!D30</f>
        <v>0</v>
      </c>
      <c r="E30" s="70"/>
      <c r="F30" s="68">
        <f>B30-D30</f>
        <v>0</v>
      </c>
      <c r="G30" s="70"/>
      <c r="H30" s="85">
        <f>-ROUND((((D30/B15)-B20)/B23)-(((B30/B15)-B20)/B23),4)*10000</f>
        <v>0</v>
      </c>
      <c r="I30" s="55" t="s">
        <v>493</v>
      </c>
      <c r="K30" s="73" t="s">
        <v>494</v>
      </c>
    </row>
    <row r="31" spans="1:24" ht="15.75">
      <c r="A31" s="74" t="s">
        <v>502</v>
      </c>
      <c r="B31" s="71">
        <v>24123.44368</v>
      </c>
      <c r="D31" s="71">
        <f>+'COMP Prior Yr'!D31</f>
        <v>25897.961240000001</v>
      </c>
      <c r="E31" s="70"/>
      <c r="F31" s="68">
        <f>D31-B31</f>
        <v>1774.5175600000002</v>
      </c>
      <c r="G31" s="70"/>
      <c r="H31" s="85">
        <f>-ROUND((((D31/B15)-B20)/B23)-(((B31/B15)-B20)/B23),4)*10000</f>
        <v>-23</v>
      </c>
      <c r="I31" s="56"/>
      <c r="K31" s="62"/>
      <c r="N31" s="105"/>
    </row>
    <row r="32" spans="1:24" ht="8.1" customHeight="1">
      <c r="B32" s="87"/>
      <c r="D32" s="87"/>
      <c r="E32" s="70"/>
      <c r="F32" s="68"/>
      <c r="H32" s="85"/>
      <c r="I32" s="62"/>
      <c r="K32" s="62"/>
    </row>
    <row r="33" spans="1:24" ht="15.75">
      <c r="A33" s="54" t="s">
        <v>503</v>
      </c>
      <c r="B33" s="71">
        <v>94384.610969999863</v>
      </c>
      <c r="D33" s="71">
        <f>+'COMP Prior Yr'!D33</f>
        <v>101167.13074000012</v>
      </c>
      <c r="E33" s="70"/>
      <c r="F33" s="68">
        <f>D33-B33</f>
        <v>6782.5197700002609</v>
      </c>
      <c r="G33" s="68"/>
      <c r="H33" s="85">
        <f>ROUND((((D33/B15)-B20)/B23)-(((B33/B15)-B20)/B23),4)*10000</f>
        <v>86</v>
      </c>
      <c r="I33" s="56">
        <f>H28+H29+H30</f>
        <v>86</v>
      </c>
      <c r="K33" s="62">
        <f>I33-H33</f>
        <v>0</v>
      </c>
    </row>
    <row r="34" spans="1:24" ht="15.75">
      <c r="B34" s="70"/>
      <c r="D34" s="70"/>
      <c r="E34" s="70"/>
      <c r="F34" s="68"/>
      <c r="G34" s="68"/>
      <c r="H34" s="85"/>
      <c r="I34" s="56"/>
      <c r="K34" s="62"/>
    </row>
    <row r="35" spans="1:24" ht="15.75">
      <c r="A35" s="54" t="s">
        <v>504</v>
      </c>
      <c r="B35" s="70">
        <v>0</v>
      </c>
      <c r="D35" s="70">
        <f>+'COMP Prior Yr'!D35</f>
        <v>0</v>
      </c>
      <c r="E35" s="70"/>
      <c r="F35" s="68"/>
      <c r="G35" s="68"/>
      <c r="H35" s="85"/>
      <c r="I35" s="56"/>
      <c r="K35" s="62"/>
    </row>
    <row r="36" spans="1:24" ht="15.75">
      <c r="A36" s="693" t="s">
        <v>505</v>
      </c>
      <c r="B36" s="71">
        <v>-899.82917460785052</v>
      </c>
      <c r="D36" s="71">
        <f>+'COMP Prior Yr'!D36</f>
        <v>-1339.3859250827747</v>
      </c>
      <c r="E36" s="70"/>
      <c r="F36" s="68">
        <f>D36-B36</f>
        <v>-439.55675047492423</v>
      </c>
      <c r="H36" s="85">
        <f>ROUND((((D36/B15)-B20)/B23)-(((B36/B15)-B20)/B23),4)*10000</f>
        <v>-5.9999999999999991</v>
      </c>
      <c r="I36" s="56">
        <f>H36</f>
        <v>-5.9999999999999991</v>
      </c>
      <c r="K36" s="62">
        <f>H36-I36</f>
        <v>0</v>
      </c>
    </row>
    <row r="37" spans="1:24" s="61" customFormat="1" ht="15.75">
      <c r="A37" s="61" t="s">
        <v>495</v>
      </c>
      <c r="B37" s="88">
        <v>93484.781795392017</v>
      </c>
      <c r="D37" s="88">
        <f>+'COMP Prior Yr'!D37</f>
        <v>99827.744814917343</v>
      </c>
      <c r="E37" s="697"/>
      <c r="F37" s="58">
        <f>D37-B37</f>
        <v>6342.9630195253267</v>
      </c>
      <c r="G37" s="698"/>
      <c r="H37" s="89">
        <f>ROUND((((D37/B15)-B20)/B23)-(((B37/B15)-B20)/B23),4)*10000</f>
        <v>80</v>
      </c>
      <c r="I37" s="62">
        <f>H33+H36</f>
        <v>80</v>
      </c>
      <c r="K37" s="62">
        <f>H37-I37</f>
        <v>0</v>
      </c>
      <c r="X37" s="63"/>
    </row>
    <row r="38" spans="1:24" s="81" customFormat="1" ht="14.1" customHeight="1">
      <c r="A38" s="54"/>
      <c r="B38" s="90"/>
      <c r="C38" s="54"/>
      <c r="D38" s="90"/>
      <c r="E38" s="70"/>
      <c r="F38" s="71"/>
      <c r="G38" s="93"/>
      <c r="H38" s="106">
        <f>D37-D17</f>
        <v>1.49173429235816E-5</v>
      </c>
      <c r="I38" s="91" t="s">
        <v>506</v>
      </c>
      <c r="J38" s="78"/>
      <c r="X38" s="84"/>
    </row>
    <row r="39" spans="1:24" ht="4.5" customHeight="1">
      <c r="B39" s="92"/>
      <c r="D39" s="92"/>
      <c r="E39" s="70"/>
      <c r="F39" s="70"/>
      <c r="G39" s="93"/>
      <c r="H39" s="94"/>
      <c r="I39" s="95"/>
      <c r="J39" s="77"/>
      <c r="X39" s="96"/>
    </row>
    <row r="40" spans="1:24" ht="15.75">
      <c r="A40" s="64" t="s">
        <v>507</v>
      </c>
      <c r="B40" s="87"/>
      <c r="C40" s="87"/>
      <c r="D40" s="87"/>
      <c r="E40" s="70"/>
      <c r="F40" s="87"/>
      <c r="G40" s="70"/>
      <c r="I40" s="77"/>
      <c r="J40" s="57"/>
    </row>
    <row r="41" spans="1:24">
      <c r="A41" s="54" t="s">
        <v>150</v>
      </c>
      <c r="B41" s="97">
        <v>0</v>
      </c>
      <c r="D41" s="97">
        <f>+'COMP Prior Yr'!D41</f>
        <v>-5.0765400010277517E-4</v>
      </c>
      <c r="E41" s="70"/>
      <c r="F41" s="68">
        <f>D41-B41</f>
        <v>-5.0765400010277517E-4</v>
      </c>
      <c r="G41" s="77"/>
      <c r="H41" s="85">
        <f>ROUND((((D41/$B$15)-$B$20)/$B$23)-(((B41/$B$15)-$B$20)/$B$23),4)*10000</f>
        <v>0</v>
      </c>
    </row>
    <row r="42" spans="1:24">
      <c r="A42" s="54" t="s">
        <v>151</v>
      </c>
      <c r="B42" s="97">
        <v>32.067438696782986</v>
      </c>
      <c r="D42" s="97">
        <f>+'COMP Prior Yr'!D42</f>
        <v>29.265119278181093</v>
      </c>
      <c r="E42" s="70"/>
      <c r="F42" s="68">
        <f>D42-B42</f>
        <v>-2.8023194186018934</v>
      </c>
      <c r="G42" s="77"/>
      <c r="H42" s="85">
        <f>ROUND((((D42/$B$15)-$B$20)/$B$23)-(((B42/$B$15)-$B$20)/$B$23),4)*10000</f>
        <v>0</v>
      </c>
    </row>
    <row r="43" spans="1:24">
      <c r="A43" s="54" t="s">
        <v>152</v>
      </c>
      <c r="B43" s="97">
        <v>-222.03599675214832</v>
      </c>
      <c r="D43" s="97">
        <f>+'COMP Prior Yr'!D43</f>
        <v>-117.20289195672966</v>
      </c>
      <c r="E43" s="70"/>
      <c r="F43" s="68">
        <f t="shared" ref="F43:F58" si="0">D43-B43</f>
        <v>104.83310479541866</v>
      </c>
      <c r="G43" s="77"/>
      <c r="H43" s="85">
        <f t="shared" ref="H43:H58" si="1">ROUND((((D43/$B$15)-$B$20)/$B$23)-(((B43/$B$15)-$B$20)/$B$23),4)*10000</f>
        <v>1</v>
      </c>
    </row>
    <row r="44" spans="1:24">
      <c r="A44" s="54" t="s">
        <v>481</v>
      </c>
      <c r="B44" s="97">
        <v>2099</v>
      </c>
      <c r="D44" s="97">
        <f>+'COMP Prior Yr'!D44</f>
        <v>2099</v>
      </c>
      <c r="E44" s="70"/>
      <c r="F44" s="68">
        <f t="shared" si="0"/>
        <v>0</v>
      </c>
      <c r="G44" s="77"/>
      <c r="H44" s="85">
        <f t="shared" si="1"/>
        <v>0</v>
      </c>
      <c r="O44" s="75"/>
    </row>
    <row r="45" spans="1:24">
      <c r="A45" s="54" t="s">
        <v>153</v>
      </c>
      <c r="B45" s="97">
        <v>0</v>
      </c>
      <c r="D45" s="97">
        <f>+'COMP Prior Yr'!D45</f>
        <v>0</v>
      </c>
      <c r="E45" s="70"/>
      <c r="F45" s="68">
        <f t="shared" si="0"/>
        <v>0</v>
      </c>
      <c r="G45" s="77"/>
      <c r="H45" s="85">
        <f t="shared" si="1"/>
        <v>0</v>
      </c>
    </row>
    <row r="46" spans="1:24">
      <c r="A46" s="54" t="s">
        <v>410</v>
      </c>
      <c r="B46" s="97">
        <v>12.547452487499999</v>
      </c>
      <c r="D46" s="97">
        <f>+'COMP Prior Yr'!D46</f>
        <v>12.004970063624999</v>
      </c>
      <c r="E46" s="70"/>
      <c r="F46" s="68">
        <f t="shared" si="0"/>
        <v>-0.54248242387500056</v>
      </c>
      <c r="G46" s="77"/>
      <c r="H46" s="85">
        <f t="shared" si="1"/>
        <v>0</v>
      </c>
      <c r="O46" s="145"/>
    </row>
    <row r="47" spans="1:24">
      <c r="A47" s="54" t="s">
        <v>154</v>
      </c>
      <c r="B47" s="70">
        <v>57.874123755000006</v>
      </c>
      <c r="D47" s="70">
        <f>+'COMP Prior Yr'!D47</f>
        <v>59.108476990499994</v>
      </c>
      <c r="E47" s="70"/>
      <c r="F47" s="68">
        <f t="shared" si="0"/>
        <v>1.234353235499988</v>
      </c>
      <c r="G47" s="77"/>
      <c r="H47" s="85">
        <f t="shared" si="1"/>
        <v>0</v>
      </c>
      <c r="O47" s="144"/>
    </row>
    <row r="48" spans="1:24">
      <c r="A48" s="54" t="s">
        <v>409</v>
      </c>
      <c r="B48" s="70">
        <v>-175.13191029599693</v>
      </c>
      <c r="D48" s="70">
        <f>+'COMP Prior Yr'!D48</f>
        <v>-219.16715458049293</v>
      </c>
      <c r="E48" s="70"/>
      <c r="F48" s="68">
        <f t="shared" si="0"/>
        <v>-44.035244284496002</v>
      </c>
      <c r="G48" s="77"/>
      <c r="H48" s="85">
        <f t="shared" si="1"/>
        <v>-1</v>
      </c>
      <c r="O48" s="145"/>
    </row>
    <row r="49" spans="1:15">
      <c r="A49" s="54" t="s">
        <v>155</v>
      </c>
      <c r="B49" s="70">
        <v>28.703727937785594</v>
      </c>
      <c r="D49" s="70">
        <f>+'COMP Prior Yr'!D49</f>
        <v>43.829762775523193</v>
      </c>
      <c r="E49" s="70"/>
      <c r="F49" s="68">
        <f t="shared" si="0"/>
        <v>15.126034837737599</v>
      </c>
      <c r="G49" s="77"/>
      <c r="H49" s="85">
        <f t="shared" si="1"/>
        <v>0</v>
      </c>
      <c r="O49" s="145"/>
    </row>
    <row r="50" spans="1:15">
      <c r="A50" s="54" t="s">
        <v>156</v>
      </c>
      <c r="B50" s="70">
        <v>4.4270182972260006</v>
      </c>
      <c r="D50" s="70">
        <f>+'COMP Prior Yr'!D50</f>
        <v>5.7199476001184992</v>
      </c>
      <c r="E50" s="70"/>
      <c r="F50" s="68">
        <f t="shared" si="0"/>
        <v>1.2929293028924986</v>
      </c>
      <c r="G50" s="77"/>
      <c r="H50" s="85">
        <f t="shared" si="1"/>
        <v>0</v>
      </c>
      <c r="O50" s="144"/>
    </row>
    <row r="51" spans="1:15">
      <c r="A51" s="54" t="s">
        <v>411</v>
      </c>
      <c r="B51" s="70">
        <v>0</v>
      </c>
      <c r="D51" s="70">
        <f>+'COMP Prior Yr'!D51</f>
        <v>0</v>
      </c>
      <c r="E51" s="70"/>
      <c r="F51" s="68">
        <f t="shared" si="0"/>
        <v>0</v>
      </c>
      <c r="G51" s="77"/>
      <c r="H51" s="85">
        <f t="shared" si="1"/>
        <v>0</v>
      </c>
    </row>
    <row r="52" spans="1:15">
      <c r="A52" s="105" t="s">
        <v>412</v>
      </c>
      <c r="B52" s="70">
        <v>0</v>
      </c>
      <c r="D52" s="70">
        <f>+'COMP Prior Yr'!D52</f>
        <v>0</v>
      </c>
      <c r="E52" s="70"/>
      <c r="F52" s="68">
        <f t="shared" si="0"/>
        <v>0</v>
      </c>
      <c r="G52" s="77"/>
      <c r="H52" s="85">
        <f t="shared" si="1"/>
        <v>0</v>
      </c>
    </row>
    <row r="53" spans="1:15">
      <c r="A53" s="694" t="s">
        <v>536</v>
      </c>
      <c r="B53" s="70">
        <v>-81.024422755499998</v>
      </c>
      <c r="D53" s="70">
        <f>+'COMP Prior Yr'!D53</f>
        <v>-87.940603800000005</v>
      </c>
      <c r="E53" s="70"/>
      <c r="F53" s="68">
        <f>D53-B53</f>
        <v>-6.9161810445000071</v>
      </c>
      <c r="G53" s="77"/>
      <c r="H53" s="85">
        <f>ROUND((((D53/$B$15)-$B$20)/$B$23)-(((B53/$B$15)-$B$20)/$B$23),4)*10000</f>
        <v>0</v>
      </c>
    </row>
    <row r="54" spans="1:15">
      <c r="A54" s="105" t="s">
        <v>157</v>
      </c>
      <c r="B54" s="70">
        <v>0</v>
      </c>
      <c r="D54" s="70">
        <f>+'COMP Prior Yr'!D54</f>
        <v>0</v>
      </c>
      <c r="E54" s="70"/>
      <c r="F54" s="68">
        <f t="shared" si="0"/>
        <v>0</v>
      </c>
      <c r="G54" s="77"/>
      <c r="H54" s="85">
        <f t="shared" si="1"/>
        <v>0</v>
      </c>
    </row>
    <row r="55" spans="1:15">
      <c r="A55" s="54" t="s">
        <v>532</v>
      </c>
      <c r="B55" s="70">
        <v>1.8887715000346361E-3</v>
      </c>
      <c r="D55" s="70">
        <f>+'COMP Prior Yr'!D55</f>
        <v>-2.1649950008395535E-4</v>
      </c>
      <c r="E55" s="70"/>
      <c r="F55" s="68">
        <f t="shared" si="0"/>
        <v>-2.1052710001185915E-3</v>
      </c>
      <c r="G55" s="77"/>
      <c r="H55" s="85">
        <f t="shared" si="1"/>
        <v>0</v>
      </c>
    </row>
    <row r="56" spans="1:15">
      <c r="A56" s="54" t="s">
        <v>533</v>
      </c>
      <c r="B56" s="70">
        <v>-2656.25849475</v>
      </c>
      <c r="D56" s="70">
        <f>+'COMP Prior Yr'!D56</f>
        <v>-3164.0028272999998</v>
      </c>
      <c r="E56" s="70"/>
      <c r="F56" s="68">
        <f t="shared" si="0"/>
        <v>-507.74433254999985</v>
      </c>
      <c r="G56" s="77"/>
      <c r="H56" s="85">
        <f t="shared" si="1"/>
        <v>-5.9999999999999991</v>
      </c>
    </row>
    <row r="57" spans="1:15" ht="15.2" customHeight="1">
      <c r="A57" s="54" t="s">
        <v>510</v>
      </c>
      <c r="B57" s="71">
        <v>0</v>
      </c>
      <c r="D57" s="71">
        <f>+'COMP Prior Yr'!D57</f>
        <v>0</v>
      </c>
      <c r="E57" s="70"/>
      <c r="F57" s="99">
        <f t="shared" si="0"/>
        <v>0</v>
      </c>
      <c r="H57" s="85">
        <f t="shared" si="1"/>
        <v>0</v>
      </c>
    </row>
    <row r="58" spans="1:15" ht="15.2" customHeight="1">
      <c r="A58" s="54" t="s">
        <v>508</v>
      </c>
      <c r="B58" s="70">
        <v>-899.82917460785052</v>
      </c>
      <c r="D58" s="70">
        <f>+'COMP Prior Yr'!D58</f>
        <v>-1339.3859250827747</v>
      </c>
      <c r="E58" s="70"/>
      <c r="F58" s="68">
        <f t="shared" si="0"/>
        <v>-439.55675047492423</v>
      </c>
      <c r="H58" s="85">
        <f t="shared" si="1"/>
        <v>-5.9999999999999991</v>
      </c>
    </row>
    <row r="62" spans="1:15">
      <c r="B62" s="54">
        <v>77782.430253523271</v>
      </c>
    </row>
    <row r="63" spans="1:15">
      <c r="B63" s="54">
        <v>844139.7986335156</v>
      </c>
    </row>
    <row r="64" spans="1:15">
      <c r="B64" s="54">
        <v>9.2144014983580477E-2</v>
      </c>
    </row>
    <row r="66" spans="2:2">
      <c r="B66" s="54">
        <v>-5.440149835804764E-4</v>
      </c>
    </row>
    <row r="68" spans="2:2">
      <c r="B68" s="54">
        <v>68613.352299999911</v>
      </c>
    </row>
    <row r="69" spans="2:2">
      <c r="B69" s="54">
        <v>33686.889062560862</v>
      </c>
    </row>
    <row r="70" spans="2:2">
      <c r="B70" s="54">
        <v>34926.463237439049</v>
      </c>
    </row>
    <row r="72" spans="2:2">
      <c r="B72" s="54">
        <v>949.73569999999017</v>
      </c>
    </row>
    <row r="73" spans="2:2">
      <c r="B73" s="54">
        <v>154.53303703108395</v>
      </c>
    </row>
    <row r="74" spans="2:2">
      <c r="B74" s="54">
        <v>795.20266296890622</v>
      </c>
    </row>
  </sheetData>
  <mergeCells count="4">
    <mergeCell ref="A1:H1"/>
    <mergeCell ref="A2:H2"/>
    <mergeCell ref="A3:H3"/>
    <mergeCell ref="A4:H4"/>
  </mergeCells>
  <conditionalFormatting sqref="K31:K37 K15:K25">
    <cfRule type="cellIs" dxfId="13" priority="1" stopIfTrue="1" operator="equal">
      <formula>0</formula>
    </cfRule>
    <cfRule type="cellIs" dxfId="12" priority="2" stopIfTrue="1" operator="notEqual">
      <formula>0</formula>
    </cfRule>
  </conditionalFormatting>
  <printOptions horizontalCentered="1"/>
  <pageMargins left="0.5" right="0.5" top="0.5" bottom="0.5" header="0.5" footer="0.25"/>
  <pageSetup scale="82" orientation="portrait" r:id="rId1"/>
  <headerFooter>
    <oddFooter>&amp;Z&amp;F</oddFooter>
  </headerFooter>
  <customProperties>
    <customPr name="_pios_id" r:id="rId2"/>
    <customPr name="EpmWorksheetKeyString_GUID" r:id="rId3"/>
  </customProperties>
  <legacyDrawing r:id="rId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theme="3" tint="0.39997558519241921"/>
    <pageSetUpPr fitToPage="1"/>
  </sheetPr>
  <dimension ref="A1:X58"/>
  <sheetViews>
    <sheetView view="pageBreakPreview" zoomScale="85" zoomScaleNormal="100" zoomScaleSheetLayoutView="85" workbookViewId="0">
      <selection activeCell="D25" sqref="D25"/>
    </sheetView>
  </sheetViews>
  <sheetFormatPr defaultColWidth="9.140625" defaultRowHeight="15"/>
  <cols>
    <col min="1" max="1" width="47" style="54" bestFit="1" customWidth="1"/>
    <col min="2" max="2" width="21.42578125" style="54" bestFit="1" customWidth="1"/>
    <col min="3" max="3" width="1.85546875" style="54" bestFit="1" customWidth="1"/>
    <col min="4" max="4" width="21.42578125" style="54" bestFit="1" customWidth="1"/>
    <col min="5" max="5" width="1.5703125" style="54" customWidth="1"/>
    <col min="6" max="6" width="12.42578125" style="54" bestFit="1" customWidth="1"/>
    <col min="7" max="7" width="1.5703125" style="54" customWidth="1"/>
    <col min="8" max="8" width="11.5703125" style="56" customWidth="1"/>
    <col min="9" max="9" width="14.5703125" style="54" bestFit="1" customWidth="1"/>
    <col min="10" max="10" width="7.5703125" style="54" customWidth="1"/>
    <col min="11" max="11" width="10.85546875" style="54" customWidth="1"/>
    <col min="12" max="14" width="9.140625" style="54"/>
    <col min="15" max="15" width="30.5703125" style="54" customWidth="1"/>
    <col min="16" max="16" width="7.140625" style="54" customWidth="1"/>
    <col min="17" max="17" width="8.140625" style="54" customWidth="1"/>
    <col min="18" max="18" width="1.5703125" style="54" customWidth="1"/>
    <col min="19" max="19" width="7.5703125" style="54" customWidth="1"/>
    <col min="20" max="20" width="13" style="54" customWidth="1"/>
    <col min="21" max="21" width="1.5703125" style="54" customWidth="1"/>
    <col min="22" max="22" width="9.140625" style="54"/>
    <col min="23" max="23" width="1.42578125" style="54" customWidth="1"/>
    <col min="24" max="24" width="8.5703125" style="57" customWidth="1"/>
    <col min="25" max="25" width="6.85546875" style="54" customWidth="1"/>
    <col min="26" max="26" width="6.42578125" style="54" customWidth="1"/>
    <col min="27" max="16384" width="9.140625" style="54"/>
  </cols>
  <sheetData>
    <row r="1" spans="1:24" ht="17.45" customHeight="1">
      <c r="A1" s="1293" t="s">
        <v>204</v>
      </c>
      <c r="B1" s="1293"/>
      <c r="C1" s="1293"/>
      <c r="D1" s="1293"/>
      <c r="E1" s="1293"/>
      <c r="F1" s="1293"/>
      <c r="G1" s="1293"/>
      <c r="H1" s="1293"/>
    </row>
    <row r="2" spans="1:24" ht="17.45" customHeight="1">
      <c r="A2" s="1293" t="s">
        <v>1855</v>
      </c>
      <c r="B2" s="1293"/>
      <c r="C2" s="1293"/>
      <c r="D2" s="1293"/>
      <c r="E2" s="1293"/>
      <c r="F2" s="1293"/>
      <c r="G2" s="1293"/>
      <c r="H2" s="1293"/>
    </row>
    <row r="3" spans="1:24" ht="17.45" customHeight="1">
      <c r="A3" s="1293" t="s">
        <v>1856</v>
      </c>
      <c r="B3" s="1293"/>
      <c r="C3" s="1293"/>
      <c r="D3" s="1293"/>
      <c r="E3" s="1293"/>
      <c r="F3" s="1293"/>
      <c r="G3" s="1293"/>
      <c r="H3" s="1293"/>
    </row>
    <row r="4" spans="1:24" ht="18" customHeight="1">
      <c r="A4" s="1293" t="s">
        <v>1857</v>
      </c>
      <c r="B4" s="1293"/>
      <c r="C4" s="1293"/>
      <c r="D4" s="1293"/>
      <c r="E4" s="1293"/>
      <c r="F4" s="1293"/>
      <c r="G4" s="1293"/>
      <c r="H4" s="1293"/>
    </row>
    <row r="5" spans="1:24" ht="28.35" customHeight="1">
      <c r="A5" s="17"/>
      <c r="B5" s="227"/>
      <c r="C5" s="695"/>
      <c r="D5" s="227"/>
      <c r="E5" s="696"/>
      <c r="K5" s="58"/>
    </row>
    <row r="6" spans="1:24" s="61" customFormat="1" ht="15.75">
      <c r="A6" s="59"/>
      <c r="B6" s="60" t="s">
        <v>2859</v>
      </c>
      <c r="C6" s="54"/>
      <c r="D6" s="60" t="str">
        <f>+'COMP Q1F Qrtly'!D6</f>
        <v>December 2022</v>
      </c>
      <c r="H6" s="62" t="s">
        <v>487</v>
      </c>
      <c r="X6" s="63"/>
    </row>
    <row r="7" spans="1:24" s="61" customFormat="1" ht="15.75">
      <c r="A7" s="64"/>
      <c r="B7" s="65" t="s">
        <v>2892</v>
      </c>
      <c r="C7" s="55"/>
      <c r="D7" s="65" t="s">
        <v>2892</v>
      </c>
      <c r="F7" s="66" t="s">
        <v>489</v>
      </c>
      <c r="G7" s="64"/>
      <c r="H7" s="67" t="s">
        <v>490</v>
      </c>
      <c r="K7" s="68"/>
      <c r="X7" s="63"/>
    </row>
    <row r="8" spans="1:24" ht="15.75">
      <c r="A8" s="61"/>
    </row>
    <row r="9" spans="1:24">
      <c r="A9" s="54" t="s">
        <v>223</v>
      </c>
      <c r="B9" s="199">
        <v>1661128.8328740019</v>
      </c>
      <c r="D9" s="199">
        <f>+'COMP Prior Yr'!D9</f>
        <v>1661056.812737515</v>
      </c>
      <c r="F9" s="68">
        <f>D9-B9</f>
        <v>-72.020136486971751</v>
      </c>
      <c r="G9" s="68"/>
      <c r="H9" s="56">
        <f>ROUND((((B17/(D9+D10+D11+D13))-B20)/B23)-(((B17/(B9+D10+D11+D13))-B20)/B23),4)*10000</f>
        <v>0</v>
      </c>
      <c r="J9" s="69"/>
    </row>
    <row r="10" spans="1:24">
      <c r="A10" s="54" t="s">
        <v>4</v>
      </c>
      <c r="B10" s="200">
        <v>64314.075366153884</v>
      </c>
      <c r="D10" s="200">
        <f>+'COMP Prior Yr'!D10</f>
        <v>98720.05334769233</v>
      </c>
      <c r="F10" s="68">
        <f>D10-B10</f>
        <v>34405.977981538446</v>
      </c>
      <c r="G10" s="68"/>
      <c r="H10" s="56">
        <f>ROUND((((B17/(D9+D11+D13+D10))-B20)/B23)-(((B17/(B10+D9+D11+D13))-B20)/B23),4)*10000</f>
        <v>-23</v>
      </c>
    </row>
    <row r="11" spans="1:24">
      <c r="A11" s="54" t="s">
        <v>491</v>
      </c>
      <c r="B11" s="200">
        <v>0</v>
      </c>
      <c r="D11" s="200">
        <f>+'COMP Prior Yr'!D11</f>
        <v>0</v>
      </c>
      <c r="F11" s="68">
        <f>D11-B11</f>
        <v>0</v>
      </c>
      <c r="G11" s="70"/>
      <c r="H11" s="56">
        <f>ROUND((((B17/(D9+D10+D11+D13))-B20)/B23)-(((B17/(B11+D9+D10+D13))-B20)/B23),4)*10000</f>
        <v>0</v>
      </c>
    </row>
    <row r="12" spans="1:24">
      <c r="A12" s="105" t="s">
        <v>229</v>
      </c>
      <c r="B12" s="200">
        <v>-5000</v>
      </c>
      <c r="D12" s="200">
        <f>+'COMP Prior Yr'!D12</f>
        <v>3209.9291492307693</v>
      </c>
      <c r="F12" s="332">
        <f>D12-B12</f>
        <v>8209.9291492307693</v>
      </c>
      <c r="G12" s="432"/>
      <c r="H12" s="333">
        <f>ROUND((((B17/(D9+D10+D11+D12+D13))-B20)/B23)-(((B17/(B12+D9+D10+D11+D13))-B20)/B23),4)*10000</f>
        <v>-5</v>
      </c>
    </row>
    <row r="13" spans="1:24" ht="15.75">
      <c r="A13" s="54" t="s">
        <v>492</v>
      </c>
      <c r="B13" s="331">
        <v>-22116.304990137716</v>
      </c>
      <c r="C13" s="70"/>
      <c r="D13" s="331">
        <f>+'COMP Prior Yr'!D13</f>
        <v>-29027.429266153893</v>
      </c>
      <c r="F13" s="68">
        <f>D13-B13</f>
        <v>-6911.1242760161767</v>
      </c>
      <c r="G13" s="70"/>
      <c r="H13" s="56">
        <f>ROUND((((B17/(D9+D10+D11+D13))-B20)/B23)-(((B17/(B13+D9+D10+D11))-B20)/B23),4)*10000</f>
        <v>5</v>
      </c>
      <c r="I13" s="72" t="s">
        <v>493</v>
      </c>
      <c r="K13" s="73" t="s">
        <v>494</v>
      </c>
    </row>
    <row r="14" spans="1:24" ht="8.1" customHeight="1">
      <c r="B14" s="201"/>
      <c r="D14" s="201"/>
      <c r="F14" s="68"/>
      <c r="I14" s="72"/>
      <c r="K14" s="73"/>
    </row>
    <row r="15" spans="1:24" ht="15.75">
      <c r="A15" s="61" t="s">
        <v>348</v>
      </c>
      <c r="B15" s="202">
        <v>1698326.6033000001</v>
      </c>
      <c r="C15" s="61"/>
      <c r="D15" s="202">
        <f>+'COMP Prior Yr'!D15</f>
        <v>1733959.3659999999</v>
      </c>
      <c r="E15" s="61"/>
      <c r="F15" s="58">
        <f>D15-B15</f>
        <v>35632.762699999847</v>
      </c>
      <c r="G15" s="58"/>
      <c r="H15" s="62">
        <f>ROUND((((B17/D15)-B20)/B23)-(((B17/B15)-B20)/B23),4)*10000</f>
        <v>-23.999999999999996</v>
      </c>
      <c r="I15" s="62">
        <f>SUM(H9:H13)</f>
        <v>-23</v>
      </c>
      <c r="J15" s="56"/>
      <c r="K15" s="62">
        <f>H15-I15</f>
        <v>-0.99999999999999645</v>
      </c>
    </row>
    <row r="16" spans="1:24" ht="8.1" customHeight="1">
      <c r="B16" s="200"/>
      <c r="D16" s="200"/>
      <c r="F16" s="68"/>
      <c r="I16" s="62"/>
      <c r="J16" s="56"/>
      <c r="K16" s="62"/>
    </row>
    <row r="17" spans="1:24" s="61" customFormat="1" ht="15.75">
      <c r="A17" s="61" t="s">
        <v>495</v>
      </c>
      <c r="B17" s="203">
        <v>93381.940300000002</v>
      </c>
      <c r="D17" s="203">
        <f>+'COMP Prior Yr'!D17</f>
        <v>99827.7448</v>
      </c>
      <c r="F17" s="58">
        <f>D17-B17</f>
        <v>6445.8044999999984</v>
      </c>
      <c r="G17" s="698"/>
      <c r="H17" s="76">
        <f>ROUND((((D17/B15)-B20)/B23)-(((B17/B15)-B20)/B23),4)*10000</f>
        <v>81</v>
      </c>
      <c r="I17" s="62"/>
      <c r="J17" s="62"/>
      <c r="K17" s="62"/>
      <c r="L17" s="76"/>
      <c r="O17" s="54"/>
      <c r="X17" s="63"/>
    </row>
    <row r="18" spans="1:24" ht="8.1" customHeight="1">
      <c r="I18" s="62"/>
      <c r="J18" s="56"/>
      <c r="K18" s="62"/>
    </row>
    <row r="19" spans="1:24" ht="15.75">
      <c r="A19" s="54" t="s">
        <v>496</v>
      </c>
      <c r="B19" s="77">
        <v>5.5E-2</v>
      </c>
      <c r="D19" s="77">
        <f>+'COMP Prior Yr'!D19</f>
        <v>5.7599999999999998E-2</v>
      </c>
      <c r="F19" s="77">
        <f>D19-B19</f>
        <v>2.5999999999999981E-3</v>
      </c>
      <c r="G19" s="77"/>
      <c r="H19" s="56">
        <f>ROUND((F19/$B$23)*10000,0)</f>
        <v>56</v>
      </c>
      <c r="I19" s="62">
        <f>H15+H17</f>
        <v>57</v>
      </c>
      <c r="J19" s="56"/>
      <c r="K19" s="62">
        <f>H19-I19</f>
        <v>-1</v>
      </c>
    </row>
    <row r="20" spans="1:24" ht="15.75">
      <c r="A20" s="54" t="s">
        <v>1858</v>
      </c>
      <c r="B20" s="78">
        <v>1.3599999999999999E-2</v>
      </c>
      <c r="D20" s="78">
        <f>+'COMP Prior Yr'!D20</f>
        <v>1.4200000000000001E-2</v>
      </c>
      <c r="F20" s="77">
        <f>D20-B20</f>
        <v>6.0000000000000157E-4</v>
      </c>
      <c r="G20" s="77"/>
      <c r="H20" s="56">
        <f>-ROUND((F20/$B$23)*10000,0)</f>
        <v>-13</v>
      </c>
      <c r="I20" s="62"/>
      <c r="J20" s="56"/>
      <c r="K20" s="62"/>
    </row>
    <row r="21" spans="1:24" ht="8.1" customHeight="1">
      <c r="B21" s="74"/>
      <c r="D21" s="74"/>
      <c r="F21" s="77"/>
      <c r="G21" s="77"/>
      <c r="I21" s="62"/>
      <c r="J21" s="56"/>
      <c r="K21" s="62"/>
    </row>
    <row r="22" spans="1:24" ht="15.75">
      <c r="A22" s="54" t="s">
        <v>497</v>
      </c>
      <c r="B22" s="77">
        <v>4.1399999999999999E-2</v>
      </c>
      <c r="D22" s="77">
        <f>+'COMP Prior Yr'!D22</f>
        <v>4.3400000000000001E-2</v>
      </c>
      <c r="F22" s="77">
        <f>D22-B22</f>
        <v>2.0000000000000018E-3</v>
      </c>
      <c r="G22" s="77"/>
      <c r="H22" s="56">
        <f>ROUND((F22/$B$23)*10000,0)</f>
        <v>43</v>
      </c>
      <c r="I22" s="62">
        <f>H19+H20</f>
        <v>43</v>
      </c>
      <c r="J22" s="56"/>
      <c r="K22" s="62">
        <f>H22-I22</f>
        <v>0</v>
      </c>
    </row>
    <row r="23" spans="1:24" ht="15.75">
      <c r="A23" s="54" t="s">
        <v>483</v>
      </c>
      <c r="B23" s="78">
        <v>0.46750000000000003</v>
      </c>
      <c r="D23" s="78">
        <f>+'COMP Prior Yr'!D23</f>
        <v>0.46889999999999998</v>
      </c>
      <c r="F23" s="77">
        <f>D23-B23</f>
        <v>1.3999999999999568E-3</v>
      </c>
      <c r="G23" s="77"/>
      <c r="H23" s="56">
        <f>ROUND((B22/D23)-(B22/B23),4)*10000</f>
        <v>-2.9999999999999996</v>
      </c>
      <c r="I23" s="62"/>
      <c r="J23" s="56"/>
      <c r="K23" s="62"/>
    </row>
    <row r="24" spans="1:24" ht="15.75">
      <c r="B24" s="74"/>
      <c r="D24" s="74"/>
      <c r="F24" s="77"/>
      <c r="G24" s="77"/>
      <c r="H24" s="79"/>
      <c r="I24" s="62"/>
      <c r="J24" s="56"/>
      <c r="K24" s="62"/>
    </row>
    <row r="25" spans="1:24" s="61" customFormat="1" ht="15.75">
      <c r="A25" s="61" t="s">
        <v>498</v>
      </c>
      <c r="B25" s="252">
        <v>8.8499999999999995E-2</v>
      </c>
      <c r="D25" s="252">
        <f>+'COMP Prior Yr'!D25</f>
        <v>9.2499999999999999E-2</v>
      </c>
      <c r="F25" s="80">
        <f>D25-B25</f>
        <v>4.0000000000000036E-3</v>
      </c>
      <c r="G25" s="80"/>
      <c r="H25" s="62">
        <f>(D25-B25)*10000</f>
        <v>40.000000000000036</v>
      </c>
      <c r="I25" s="62">
        <f>H22+H23</f>
        <v>40</v>
      </c>
      <c r="J25" s="62"/>
      <c r="K25" s="62">
        <f>H25-I25</f>
        <v>0</v>
      </c>
      <c r="L25" s="80"/>
      <c r="O25" s="54"/>
      <c r="X25" s="63"/>
    </row>
    <row r="26" spans="1:24" s="81" customFormat="1" ht="4.5" customHeight="1">
      <c r="A26" s="54"/>
      <c r="B26" s="82"/>
      <c r="C26" s="54"/>
      <c r="D26" s="82"/>
      <c r="E26" s="54"/>
      <c r="G26" s="54"/>
      <c r="H26" s="83"/>
      <c r="X26" s="84"/>
    </row>
    <row r="27" spans="1:24" ht="4.5" customHeight="1">
      <c r="J27" s="57"/>
    </row>
    <row r="28" spans="1:24">
      <c r="A28" s="54" t="s">
        <v>499</v>
      </c>
      <c r="B28" s="459">
        <v>117100.2999999999</v>
      </c>
      <c r="D28" s="459">
        <f>+'COMP Prior Yr'!D28</f>
        <v>127065.09198000013</v>
      </c>
      <c r="E28" s="70"/>
      <c r="F28" s="68">
        <f>D28-B28</f>
        <v>9964.7919800002273</v>
      </c>
      <c r="G28" s="68"/>
      <c r="H28" s="85">
        <f>ROUND((((D28/B15)-B20)/B23)-(((B28/B15)-B20)/B23),4)*10000</f>
        <v>126</v>
      </c>
    </row>
    <row r="29" spans="1:24">
      <c r="A29" s="54" t="s">
        <v>500</v>
      </c>
      <c r="B29" s="86">
        <v>23208.1</v>
      </c>
      <c r="C29" s="70"/>
      <c r="D29" s="86">
        <f>+'COMP Prior Yr'!D29</f>
        <v>25897.961240000001</v>
      </c>
      <c r="E29" s="70"/>
      <c r="F29" s="68">
        <f>B29-D29</f>
        <v>-2689.861240000002</v>
      </c>
      <c r="G29" s="68"/>
      <c r="H29" s="85">
        <f>-ROUND((((D29/B15)-B20)/B23)-(((B29/B15)-B20)/B23),4)*10000</f>
        <v>-34</v>
      </c>
    </row>
    <row r="30" spans="1:24" ht="15.75">
      <c r="A30" s="693" t="s">
        <v>501</v>
      </c>
      <c r="B30" s="71">
        <v>0</v>
      </c>
      <c r="C30" s="70"/>
      <c r="D30" s="71">
        <f>+'COMP Prior Yr'!D30</f>
        <v>0</v>
      </c>
      <c r="E30" s="70"/>
      <c r="F30" s="68">
        <f>B30-D30</f>
        <v>0</v>
      </c>
      <c r="G30" s="70"/>
      <c r="H30" s="85">
        <f>-ROUND((((D30/B15)-B20)/B23)-(((B30/B15)-B20)/B23),4)*10000</f>
        <v>0</v>
      </c>
      <c r="I30" s="55" t="s">
        <v>493</v>
      </c>
      <c r="K30" s="73" t="s">
        <v>494</v>
      </c>
    </row>
    <row r="31" spans="1:24" ht="15.75">
      <c r="A31" s="74" t="s">
        <v>502</v>
      </c>
      <c r="B31" s="71">
        <v>23208.1</v>
      </c>
      <c r="D31" s="71">
        <f>+'COMP Prior Yr'!D31</f>
        <v>25897.961240000001</v>
      </c>
      <c r="E31" s="70"/>
      <c r="F31" s="68">
        <f>D31-B31</f>
        <v>2689.861240000002</v>
      </c>
      <c r="G31" s="70"/>
      <c r="H31" s="85">
        <f>-ROUND((((D31/B15)-B20)/B23)-(((B31/B15)-B20)/B23),4)*10000</f>
        <v>-34</v>
      </c>
      <c r="I31" s="56"/>
      <c r="K31" s="62"/>
    </row>
    <row r="32" spans="1:24" ht="8.1" customHeight="1">
      <c r="B32" s="87"/>
      <c r="D32" s="87"/>
      <c r="E32" s="70"/>
      <c r="F32" s="68"/>
      <c r="H32" s="85"/>
      <c r="I32" s="62"/>
      <c r="K32" s="62"/>
    </row>
    <row r="33" spans="1:24" ht="15.75">
      <c r="A33" s="54" t="s">
        <v>503</v>
      </c>
      <c r="B33" s="71">
        <v>93892.199999999895</v>
      </c>
      <c r="D33" s="71">
        <f>+'COMP Prior Yr'!D33</f>
        <v>101167.13074000012</v>
      </c>
      <c r="E33" s="70"/>
      <c r="F33" s="68">
        <f>D33-B33</f>
        <v>7274.930740000229</v>
      </c>
      <c r="G33" s="68"/>
      <c r="H33" s="85">
        <f>ROUND((((D33/B15)-B20)/B23)-(((B33/B15)-B20)/B23),4)*10000</f>
        <v>92</v>
      </c>
      <c r="I33" s="56">
        <f>H28+H29+H30</f>
        <v>92</v>
      </c>
      <c r="K33" s="62">
        <f>I33-H33</f>
        <v>0</v>
      </c>
    </row>
    <row r="34" spans="1:24" ht="15.75">
      <c r="B34" s="70"/>
      <c r="D34" s="70"/>
      <c r="E34" s="70"/>
      <c r="F34" s="68"/>
      <c r="G34" s="68"/>
      <c r="H34" s="85"/>
      <c r="I34" s="56"/>
      <c r="K34" s="62"/>
    </row>
    <row r="35" spans="1:24" ht="15.75">
      <c r="A35" s="54" t="s">
        <v>504</v>
      </c>
      <c r="B35" s="70">
        <v>0</v>
      </c>
      <c r="D35" s="70">
        <f>+'COMP Prior Yr'!D35</f>
        <v>0</v>
      </c>
      <c r="E35" s="70"/>
      <c r="F35" s="68"/>
      <c r="G35" s="68"/>
      <c r="H35" s="85"/>
      <c r="I35" s="56"/>
      <c r="K35" s="62"/>
    </row>
    <row r="36" spans="1:24" ht="15.75">
      <c r="A36" s="693" t="s">
        <v>505</v>
      </c>
      <c r="B36" s="71">
        <v>-510.25973675772934</v>
      </c>
      <c r="D36" s="71">
        <f>+'COMP Prior Yr'!D36</f>
        <v>-1339.3859250827747</v>
      </c>
      <c r="E36" s="70"/>
      <c r="F36" s="68">
        <f>D36-B36</f>
        <v>-829.1261883250454</v>
      </c>
      <c r="H36" s="85">
        <f>ROUND((((D36/B15)-B20)/B23)-(((B36/B15)-B20)/B23),4)*10000</f>
        <v>-10</v>
      </c>
      <c r="I36" s="56">
        <f>H36</f>
        <v>-10</v>
      </c>
      <c r="K36" s="62">
        <f>H36-I36</f>
        <v>0</v>
      </c>
    </row>
    <row r="37" spans="1:24" s="61" customFormat="1" ht="15.75">
      <c r="A37" s="61" t="s">
        <v>495</v>
      </c>
      <c r="B37" s="88">
        <v>93381.94026324217</v>
      </c>
      <c r="D37" s="88">
        <f>+'COMP Prior Yr'!D37</f>
        <v>99827.744814917343</v>
      </c>
      <c r="E37" s="697"/>
      <c r="F37" s="58">
        <f>D37-B37</f>
        <v>6445.8045516751736</v>
      </c>
      <c r="G37" s="698"/>
      <c r="H37" s="89">
        <f>ROUND((((D37/B15)-B20)/B23)-(((B37/B15)-B20)/B23),4)*10000</f>
        <v>81</v>
      </c>
      <c r="I37" s="62">
        <f>H33+H36</f>
        <v>82</v>
      </c>
      <c r="K37" s="62">
        <f>H37-I37</f>
        <v>-1</v>
      </c>
      <c r="X37" s="63"/>
    </row>
    <row r="38" spans="1:24" s="81" customFormat="1" ht="14.1" customHeight="1">
      <c r="A38" s="54"/>
      <c r="B38" s="90"/>
      <c r="C38" s="54"/>
      <c r="D38" s="90"/>
      <c r="E38" s="70"/>
      <c r="F38" s="71"/>
      <c r="G38" s="93"/>
      <c r="H38" s="106">
        <f>D37-D17</f>
        <v>1.49173429235816E-5</v>
      </c>
      <c r="I38" s="91" t="s">
        <v>506</v>
      </c>
      <c r="J38" s="78"/>
      <c r="X38" s="84"/>
    </row>
    <row r="39" spans="1:24" ht="4.5" customHeight="1">
      <c r="B39" s="92"/>
      <c r="D39" s="92"/>
      <c r="E39" s="70"/>
      <c r="F39" s="70"/>
      <c r="G39" s="93"/>
      <c r="H39" s="94"/>
      <c r="I39" s="95"/>
      <c r="J39" s="77"/>
      <c r="X39" s="96"/>
    </row>
    <row r="40" spans="1:24" ht="15.75">
      <c r="A40" s="64" t="s">
        <v>507</v>
      </c>
      <c r="B40" s="87"/>
      <c r="C40" s="87"/>
      <c r="D40" s="87"/>
      <c r="E40" s="70"/>
      <c r="F40" s="87"/>
      <c r="G40" s="70"/>
      <c r="I40" s="77"/>
      <c r="J40" s="57"/>
    </row>
    <row r="41" spans="1:24">
      <c r="A41" s="54" t="s">
        <v>150</v>
      </c>
      <c r="B41" s="97">
        <v>0</v>
      </c>
      <c r="D41" s="97">
        <f>+'COMP Prior Yr'!D41</f>
        <v>-5.0765400010277517E-4</v>
      </c>
      <c r="E41" s="70"/>
      <c r="F41" s="68">
        <f>D41-B41</f>
        <v>-5.0765400010277517E-4</v>
      </c>
      <c r="G41" s="77"/>
      <c r="H41" s="85">
        <f>ROUND((((D41/$B$15)-$B$20)/$B$23)-(((B41/$B$15)-$B$20)/$B$23),4)*10000</f>
        <v>0</v>
      </c>
    </row>
    <row r="42" spans="1:24">
      <c r="A42" s="54" t="s">
        <v>151</v>
      </c>
      <c r="B42" s="97">
        <v>35.642194782328176</v>
      </c>
      <c r="D42" s="97">
        <f>+'COMP Prior Yr'!D42</f>
        <v>29.265119278181093</v>
      </c>
      <c r="E42" s="70"/>
      <c r="F42" s="68">
        <f>D42-B42</f>
        <v>-6.3770755041470828</v>
      </c>
      <c r="G42" s="77"/>
      <c r="H42" s="85">
        <f>ROUND((((D42/$B$15)-$B$20)/$B$23)-(((B42/$B$15)-$B$20)/$B$23),4)*10000</f>
        <v>0</v>
      </c>
    </row>
    <row r="43" spans="1:24">
      <c r="A43" s="54" t="s">
        <v>152</v>
      </c>
      <c r="B43" s="97">
        <v>-246.88989268360115</v>
      </c>
      <c r="D43" s="97">
        <f>+'COMP Prior Yr'!D43</f>
        <v>-117.20289195672966</v>
      </c>
      <c r="E43" s="70"/>
      <c r="F43" s="68">
        <f t="shared" ref="F43:F58" si="0">D43-B43</f>
        <v>129.68700072687147</v>
      </c>
      <c r="G43" s="77"/>
      <c r="H43" s="85">
        <f t="shared" ref="H43:H58" si="1">ROUND((((D43/$B$15)-$B$20)/$B$23)-(((B43/$B$15)-$B$20)/$B$23),4)*10000</f>
        <v>2</v>
      </c>
    </row>
    <row r="44" spans="1:24">
      <c r="A44" s="54" t="s">
        <v>481</v>
      </c>
      <c r="B44" s="97">
        <v>2099</v>
      </c>
      <c r="D44" s="97">
        <f>+'COMP Prior Yr'!D44</f>
        <v>2099</v>
      </c>
      <c r="E44" s="70"/>
      <c r="F44" s="68">
        <f t="shared" si="0"/>
        <v>0</v>
      </c>
      <c r="G44" s="77"/>
      <c r="H44" s="85">
        <f t="shared" si="1"/>
        <v>0</v>
      </c>
      <c r="O44" s="75"/>
    </row>
    <row r="45" spans="1:24">
      <c r="A45" s="54" t="s">
        <v>153</v>
      </c>
      <c r="B45" s="97">
        <v>0</v>
      </c>
      <c r="D45" s="97">
        <f>+'COMP Prior Yr'!D45</f>
        <v>0</v>
      </c>
      <c r="E45" s="70"/>
      <c r="F45" s="68">
        <f t="shared" si="0"/>
        <v>0</v>
      </c>
      <c r="G45" s="77"/>
      <c r="H45" s="85">
        <f t="shared" si="1"/>
        <v>0</v>
      </c>
    </row>
    <row r="46" spans="1:24">
      <c r="A46" s="54" t="s">
        <v>410</v>
      </c>
      <c r="B46" s="97">
        <v>6.2150287499999992</v>
      </c>
      <c r="D46" s="97">
        <f>+'COMP Prior Yr'!D46</f>
        <v>12.004970063624999</v>
      </c>
      <c r="E46" s="70"/>
      <c r="F46" s="68">
        <f t="shared" si="0"/>
        <v>5.7899413136249995</v>
      </c>
      <c r="G46" s="77"/>
      <c r="H46" s="85">
        <f t="shared" si="1"/>
        <v>0</v>
      </c>
      <c r="O46" s="145"/>
    </row>
    <row r="47" spans="1:24">
      <c r="A47" s="54" t="s">
        <v>154</v>
      </c>
      <c r="B47" s="70">
        <v>51.405499435500005</v>
      </c>
      <c r="D47" s="70">
        <f>+'COMP Prior Yr'!D47</f>
        <v>59.108476990499994</v>
      </c>
      <c r="E47" s="70"/>
      <c r="F47" s="68">
        <f t="shared" si="0"/>
        <v>7.7029775549999897</v>
      </c>
      <c r="G47" s="77"/>
      <c r="H47" s="85">
        <f t="shared" si="1"/>
        <v>0</v>
      </c>
      <c r="O47" s="144"/>
    </row>
    <row r="48" spans="1:24">
      <c r="A48" s="54" t="s">
        <v>409</v>
      </c>
      <c r="B48" s="70">
        <v>0</v>
      </c>
      <c r="D48" s="70">
        <f>+'COMP Prior Yr'!D48</f>
        <v>-219.16715458049293</v>
      </c>
      <c r="E48" s="70"/>
      <c r="F48" s="68">
        <f t="shared" si="0"/>
        <v>-219.16715458049293</v>
      </c>
      <c r="G48" s="77"/>
      <c r="H48" s="85">
        <f t="shared" si="1"/>
        <v>-2.9999999999999996</v>
      </c>
      <c r="O48" s="145"/>
    </row>
    <row r="49" spans="1:15">
      <c r="A49" s="54" t="s">
        <v>155</v>
      </c>
      <c r="B49" s="70">
        <v>28.899926664890408</v>
      </c>
      <c r="D49" s="70">
        <f>+'COMP Prior Yr'!D49</f>
        <v>43.829762775523193</v>
      </c>
      <c r="E49" s="70"/>
      <c r="F49" s="68">
        <f t="shared" si="0"/>
        <v>14.929836110632785</v>
      </c>
      <c r="G49" s="77"/>
      <c r="H49" s="85">
        <f t="shared" si="1"/>
        <v>0</v>
      </c>
      <c r="O49" s="145"/>
    </row>
    <row r="50" spans="1:15">
      <c r="A50" s="54" t="s">
        <v>156</v>
      </c>
      <c r="B50" s="70">
        <v>4.0923866886524998</v>
      </c>
      <c r="D50" s="70">
        <f>+'COMP Prior Yr'!D50</f>
        <v>5.7199476001184992</v>
      </c>
      <c r="E50" s="70"/>
      <c r="F50" s="68">
        <f t="shared" si="0"/>
        <v>1.6275609114659995</v>
      </c>
      <c r="G50" s="77"/>
      <c r="H50" s="85">
        <f t="shared" si="1"/>
        <v>0</v>
      </c>
      <c r="O50" s="144"/>
    </row>
    <row r="51" spans="1:15">
      <c r="A51" s="54" t="s">
        <v>411</v>
      </c>
      <c r="B51" s="70">
        <v>0</v>
      </c>
      <c r="D51" s="70">
        <f>+'COMP Prior Yr'!D51</f>
        <v>0</v>
      </c>
      <c r="E51" s="70"/>
      <c r="F51" s="68">
        <f t="shared" si="0"/>
        <v>0</v>
      </c>
      <c r="G51" s="77"/>
      <c r="H51" s="85">
        <f t="shared" si="1"/>
        <v>0</v>
      </c>
    </row>
    <row r="52" spans="1:15">
      <c r="A52" s="105" t="s">
        <v>412</v>
      </c>
      <c r="B52" s="70">
        <v>0</v>
      </c>
      <c r="D52" s="70">
        <f>+'COMP Prior Yr'!D52</f>
        <v>0</v>
      </c>
      <c r="E52" s="70"/>
      <c r="F52" s="68">
        <f t="shared" si="0"/>
        <v>0</v>
      </c>
      <c r="G52" s="77"/>
      <c r="H52" s="85">
        <f t="shared" si="1"/>
        <v>0</v>
      </c>
    </row>
    <row r="53" spans="1:15">
      <c r="A53" s="694" t="s">
        <v>536</v>
      </c>
      <c r="B53" s="70">
        <v>-81.024422755499998</v>
      </c>
      <c r="D53" s="70">
        <f>+'COMP Prior Yr'!D53</f>
        <v>-87.940603800000005</v>
      </c>
      <c r="E53" s="70"/>
      <c r="F53" s="68">
        <f>D53-B53</f>
        <v>-6.9161810445000071</v>
      </c>
      <c r="G53" s="77"/>
      <c r="H53" s="85">
        <f>ROUND((((D53/$B$15)-$B$20)/$B$23)-(((B53/$B$15)-$B$20)/$B$23),4)*10000</f>
        <v>0</v>
      </c>
    </row>
    <row r="54" spans="1:15">
      <c r="A54" s="105" t="s">
        <v>157</v>
      </c>
      <c r="B54" s="70">
        <v>0</v>
      </c>
      <c r="D54" s="70">
        <f>+'COMP Prior Yr'!D54</f>
        <v>0</v>
      </c>
      <c r="E54" s="70"/>
      <c r="F54" s="68">
        <f t="shared" si="0"/>
        <v>0</v>
      </c>
      <c r="G54" s="77"/>
      <c r="H54" s="85">
        <f t="shared" si="1"/>
        <v>0</v>
      </c>
    </row>
    <row r="55" spans="1:15">
      <c r="A55" s="54" t="s">
        <v>532</v>
      </c>
      <c r="B55" s="70">
        <v>-5.9723999993366306E-4</v>
      </c>
      <c r="D55" s="70">
        <f>+'COMP Prior Yr'!D55</f>
        <v>-2.1649950008395535E-4</v>
      </c>
      <c r="E55" s="70"/>
      <c r="F55" s="68">
        <f t="shared" si="0"/>
        <v>3.807404998497077E-4</v>
      </c>
      <c r="G55" s="77"/>
      <c r="H55" s="85">
        <f t="shared" si="1"/>
        <v>0</v>
      </c>
    </row>
    <row r="56" spans="1:15">
      <c r="A56" s="54" t="s">
        <v>533</v>
      </c>
      <c r="B56" s="70">
        <v>-2407.5998603999997</v>
      </c>
      <c r="D56" s="70">
        <f>+'COMP Prior Yr'!D56</f>
        <v>-3164.0028272999998</v>
      </c>
      <c r="E56" s="70"/>
      <c r="F56" s="68">
        <f t="shared" si="0"/>
        <v>-756.40296690000014</v>
      </c>
      <c r="G56" s="77"/>
      <c r="H56" s="85">
        <f t="shared" si="1"/>
        <v>-10</v>
      </c>
    </row>
    <row r="57" spans="1:15" ht="15.2" customHeight="1">
      <c r="A57" s="54" t="s">
        <v>510</v>
      </c>
      <c r="B57" s="71">
        <v>0</v>
      </c>
      <c r="D57" s="71">
        <f>+'COMP Prior Yr'!D57</f>
        <v>0</v>
      </c>
      <c r="E57" s="70"/>
      <c r="F57" s="99">
        <f t="shared" si="0"/>
        <v>0</v>
      </c>
      <c r="H57" s="85">
        <f t="shared" si="1"/>
        <v>0</v>
      </c>
    </row>
    <row r="58" spans="1:15" ht="15.2" customHeight="1">
      <c r="A58" s="54" t="s">
        <v>508</v>
      </c>
      <c r="B58" s="70">
        <v>-510.25973675772934</v>
      </c>
      <c r="D58" s="70">
        <f>+'COMP Prior Yr'!D58</f>
        <v>-1339.3859250827747</v>
      </c>
      <c r="E58" s="70"/>
      <c r="F58" s="68">
        <f t="shared" si="0"/>
        <v>-829.1261883250454</v>
      </c>
      <c r="H58" s="85">
        <f t="shared" si="1"/>
        <v>-10</v>
      </c>
    </row>
  </sheetData>
  <mergeCells count="4">
    <mergeCell ref="A1:H1"/>
    <mergeCell ref="A2:H2"/>
    <mergeCell ref="A3:H3"/>
    <mergeCell ref="A4:H4"/>
  </mergeCells>
  <conditionalFormatting sqref="K31:K37 K15:K25">
    <cfRule type="cellIs" dxfId="11" priority="1" stopIfTrue="1" operator="equal">
      <formula>0</formula>
    </cfRule>
    <cfRule type="cellIs" dxfId="10" priority="2" stopIfTrue="1" operator="notEqual">
      <formula>0</formula>
    </cfRule>
  </conditionalFormatting>
  <printOptions horizontalCentered="1"/>
  <pageMargins left="0.5" right="0.5" top="0.5" bottom="0.5" header="0.5" footer="0.25"/>
  <pageSetup scale="82" orientation="portrait" r:id="rId1"/>
  <headerFooter>
    <oddFooter>&amp;Z&amp;F</oddFooter>
  </headerFooter>
  <customProperties>
    <customPr name="EpmWorksheetKeyString_GUID" r:id="rId2"/>
  </customProperties>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theme="3" tint="0.39997558519241921"/>
    <pageSetUpPr fitToPage="1"/>
  </sheetPr>
  <dimension ref="A1:X58"/>
  <sheetViews>
    <sheetView workbookViewId="0">
      <selection activeCell="O17" sqref="O17"/>
    </sheetView>
  </sheetViews>
  <sheetFormatPr defaultColWidth="9.140625" defaultRowHeight="15"/>
  <cols>
    <col min="1" max="1" width="47" style="54" bestFit="1" customWidth="1"/>
    <col min="2" max="2" width="21.42578125" style="54" bestFit="1" customWidth="1"/>
    <col min="3" max="3" width="1.85546875" style="54" bestFit="1" customWidth="1"/>
    <col min="4" max="4" width="21.42578125" style="54" bestFit="1" customWidth="1"/>
    <col min="5" max="5" width="1.5703125" style="54" customWidth="1"/>
    <col min="6" max="6" width="12.42578125" style="54" bestFit="1" customWidth="1"/>
    <col min="7" max="7" width="1.5703125" style="54" customWidth="1"/>
    <col min="8" max="8" width="11.5703125" style="56" customWidth="1"/>
    <col min="9" max="9" width="14.5703125" style="54" bestFit="1" customWidth="1"/>
    <col min="10" max="10" width="7.5703125" style="54" customWidth="1"/>
    <col min="11" max="11" width="10.85546875" style="54" customWidth="1"/>
    <col min="12" max="14" width="9.140625" style="54"/>
    <col min="15" max="15" width="30.5703125" style="54" customWidth="1"/>
    <col min="16" max="16" width="7.140625" style="54" customWidth="1"/>
    <col min="17" max="17" width="8.140625" style="54" customWidth="1"/>
    <col min="18" max="18" width="1.5703125" style="54" customWidth="1"/>
    <col min="19" max="19" width="7.5703125" style="54" customWidth="1"/>
    <col min="20" max="20" width="13" style="54" customWidth="1"/>
    <col min="21" max="21" width="1.5703125" style="54" customWidth="1"/>
    <col min="22" max="22" width="9.140625" style="54"/>
    <col min="23" max="23" width="1.42578125" style="54" customWidth="1"/>
    <col min="24" max="24" width="8.5703125" style="57" customWidth="1"/>
    <col min="25" max="25" width="6.85546875" style="54" customWidth="1"/>
    <col min="26" max="26" width="6.42578125" style="54" customWidth="1"/>
    <col min="27" max="16384" width="9.140625" style="54"/>
  </cols>
  <sheetData>
    <row r="1" spans="1:24" ht="17.45" customHeight="1">
      <c r="A1" s="1293" t="s">
        <v>204</v>
      </c>
      <c r="B1" s="1293"/>
      <c r="C1" s="1293"/>
      <c r="D1" s="1293"/>
      <c r="E1" s="1293"/>
      <c r="F1" s="1293"/>
      <c r="G1" s="1293"/>
      <c r="H1" s="1293"/>
    </row>
    <row r="2" spans="1:24" ht="17.45" customHeight="1">
      <c r="A2" s="1293" t="s">
        <v>1855</v>
      </c>
      <c r="B2" s="1293"/>
      <c r="C2" s="1293"/>
      <c r="D2" s="1293"/>
      <c r="E2" s="1293"/>
      <c r="F2" s="1293"/>
      <c r="G2" s="1293"/>
      <c r="H2" s="1293"/>
    </row>
    <row r="3" spans="1:24" ht="17.45" customHeight="1">
      <c r="A3" s="1293" t="s">
        <v>1856</v>
      </c>
      <c r="B3" s="1293"/>
      <c r="C3" s="1293"/>
      <c r="D3" s="1293"/>
      <c r="E3" s="1293"/>
      <c r="F3" s="1293"/>
      <c r="G3" s="1293"/>
      <c r="H3" s="1293"/>
    </row>
    <row r="4" spans="1:24" ht="18" customHeight="1">
      <c r="A4" s="1293" t="s">
        <v>1857</v>
      </c>
      <c r="B4" s="1293"/>
      <c r="C4" s="1293"/>
      <c r="D4" s="1293"/>
      <c r="E4" s="1293"/>
      <c r="F4" s="1293"/>
      <c r="G4" s="1293"/>
      <c r="H4" s="1293"/>
    </row>
    <row r="5" spans="1:24" ht="28.35" customHeight="1">
      <c r="A5" s="17"/>
      <c r="B5" s="392"/>
      <c r="C5" s="695"/>
      <c r="D5" s="227"/>
      <c r="E5" s="696"/>
      <c r="K5" s="58"/>
    </row>
    <row r="6" spans="1:24" s="61" customFormat="1" ht="15.75">
      <c r="A6" s="59"/>
      <c r="B6" s="60">
        <f>+'COMP Final Bud'!B7</f>
        <v>44926</v>
      </c>
      <c r="C6" s="54"/>
      <c r="D6" s="60" t="str">
        <f>'COMP Prior Yr'!D6</f>
        <v>December 2022</v>
      </c>
      <c r="H6" s="62" t="s">
        <v>487</v>
      </c>
      <c r="X6" s="63"/>
    </row>
    <row r="7" spans="1:24" s="61" customFormat="1" ht="15.75">
      <c r="A7" s="64"/>
      <c r="B7" s="65" t="s">
        <v>2914</v>
      </c>
      <c r="C7" s="55"/>
      <c r="D7" s="65" t="str">
        <f>'COMP Prior Yr'!D7</f>
        <v>Actuals</v>
      </c>
      <c r="F7" s="66" t="s">
        <v>489</v>
      </c>
      <c r="G7" s="64"/>
      <c r="H7" s="67" t="s">
        <v>490</v>
      </c>
      <c r="K7" s="68"/>
      <c r="X7" s="63"/>
    </row>
    <row r="8" spans="1:24" ht="15.75">
      <c r="A8" s="61"/>
    </row>
    <row r="9" spans="1:24">
      <c r="A9" s="54" t="s">
        <v>223</v>
      </c>
      <c r="B9" s="199">
        <v>1706295.1874784261</v>
      </c>
      <c r="D9" s="199">
        <f>+'COMP Prior Yr'!D9</f>
        <v>1661056.812737515</v>
      </c>
      <c r="F9" s="68">
        <f>D9-B9</f>
        <v>-45238.374740911182</v>
      </c>
      <c r="G9" s="68"/>
      <c r="H9" s="56">
        <f>ROUND((((B17/(D9+D10+D11+D13))-B20)/B23)-(((B17/(B9+D10+D11+D13))-B20)/B23),4)*10000</f>
        <v>32</v>
      </c>
      <c r="J9" s="69"/>
    </row>
    <row r="10" spans="1:24">
      <c r="A10" s="54" t="s">
        <v>4</v>
      </c>
      <c r="B10" s="200">
        <v>64349.886096923103</v>
      </c>
      <c r="D10" s="200">
        <f>+'COMP Prior Yr'!D10</f>
        <v>98720.05334769233</v>
      </c>
      <c r="F10" s="68">
        <f>D10-B10</f>
        <v>34370.167250769227</v>
      </c>
      <c r="G10" s="68"/>
      <c r="H10" s="56">
        <f>ROUND((((B17/(D9+D11+D13+D10))-B20)/B23)-(((B17/(B10+D9+D11+D13))-B20)/B23),4)*10000</f>
        <v>-25</v>
      </c>
    </row>
    <row r="11" spans="1:24">
      <c r="A11" s="54" t="s">
        <v>491</v>
      </c>
      <c r="B11" s="200">
        <v>0</v>
      </c>
      <c r="D11" s="200">
        <f>+'COMP Prior Yr'!D11</f>
        <v>0</v>
      </c>
      <c r="F11" s="68">
        <f>D11-B11</f>
        <v>0</v>
      </c>
      <c r="G11" s="70"/>
      <c r="H11" s="56">
        <f>ROUND((((B17/(D9+D10+D11+D13))-B20)/B23)-(((B17/(B11+D9+D10+D13))-B20)/B23),4)*10000</f>
        <v>0</v>
      </c>
    </row>
    <row r="12" spans="1:24">
      <c r="A12" s="105" t="s">
        <v>229</v>
      </c>
      <c r="B12" s="200">
        <v>2371.8454169230772</v>
      </c>
      <c r="D12" s="200">
        <f>+'COMP Prior Yr'!D12</f>
        <v>3209.9291492307693</v>
      </c>
      <c r="F12" s="332">
        <f>D12-B12</f>
        <v>838.08373230769212</v>
      </c>
      <c r="G12" s="432"/>
      <c r="H12" s="333">
        <f>ROUND((((B17/(D9+D10+D11+D12+D13))-B20)/B23)-(((B17/(B12+D9+D10+D11+D13))-B20)/B23),4)*10000</f>
        <v>-1</v>
      </c>
    </row>
    <row r="13" spans="1:24" ht="15.75">
      <c r="A13" s="54" t="s">
        <v>492</v>
      </c>
      <c r="B13" s="331">
        <v>-25465.576070769253</v>
      </c>
      <c r="C13" s="70"/>
      <c r="D13" s="331">
        <f>+'COMP Prior Yr'!D13</f>
        <v>-29027.429266153893</v>
      </c>
      <c r="F13" s="68">
        <f>D13-B13</f>
        <v>-3561.8531953846395</v>
      </c>
      <c r="G13" s="70"/>
      <c r="H13" s="56">
        <f>ROUND((((B17/(D9+D10+D11+D13))-B20)/B23)-(((B17/(B13+D9+D10+D11))-B20)/B23),4)*10000</f>
        <v>2.9999999999999996</v>
      </c>
      <c r="I13" s="72" t="s">
        <v>493</v>
      </c>
      <c r="K13" s="73" t="s">
        <v>494</v>
      </c>
    </row>
    <row r="14" spans="1:24" ht="8.1" customHeight="1">
      <c r="B14" s="201"/>
      <c r="D14" s="201"/>
      <c r="F14" s="68"/>
      <c r="I14" s="72"/>
      <c r="K14" s="73"/>
    </row>
    <row r="15" spans="1:24" ht="15.75">
      <c r="A15" s="61" t="s">
        <v>348</v>
      </c>
      <c r="B15" s="202">
        <v>1747551.3429</v>
      </c>
      <c r="C15" s="61"/>
      <c r="D15" s="202">
        <f>+'COMP Prior Yr'!D15</f>
        <v>1733959.3659999999</v>
      </c>
      <c r="E15" s="61"/>
      <c r="F15" s="58">
        <f>D15-B15</f>
        <v>-13591.976900000125</v>
      </c>
      <c r="G15" s="58"/>
      <c r="H15" s="62">
        <f>ROUND((((B17/D15)-B20)/B23)-(((B17/B15)-B20)/B23),4)*10000</f>
        <v>10</v>
      </c>
      <c r="I15" s="62">
        <f>SUM(H9:H13)</f>
        <v>9</v>
      </c>
      <c r="J15" s="56"/>
      <c r="K15" s="62">
        <f>H15-I15</f>
        <v>1</v>
      </c>
      <c r="O15" s="75">
        <f>+F15/H15</f>
        <v>-1359.1976900000125</v>
      </c>
    </row>
    <row r="16" spans="1:24" ht="8.1" customHeight="1">
      <c r="B16" s="200"/>
      <c r="D16" s="200"/>
      <c r="F16" s="68"/>
      <c r="I16" s="62"/>
      <c r="J16" s="56"/>
      <c r="K16" s="62"/>
    </row>
    <row r="17" spans="1:24" s="61" customFormat="1" ht="15.75">
      <c r="A17" s="61" t="s">
        <v>495</v>
      </c>
      <c r="B17" s="203">
        <v>100988.303</v>
      </c>
      <c r="D17" s="203">
        <f>+'COMP Prior Yr'!D17</f>
        <v>99827.7448</v>
      </c>
      <c r="F17" s="58">
        <f>D17-B17</f>
        <v>-1160.5581999999995</v>
      </c>
      <c r="G17" s="698"/>
      <c r="H17" s="76">
        <f>ROUND((((D17/B15)-B20)/B23)-(((B17/B15)-B20)/B23),4)*10000</f>
        <v>-14</v>
      </c>
      <c r="I17" s="62"/>
      <c r="J17" s="62"/>
      <c r="K17" s="62"/>
      <c r="L17" s="76"/>
      <c r="O17" s="75">
        <f>+F17/H17</f>
        <v>82.897014285714249</v>
      </c>
      <c r="X17" s="63"/>
    </row>
    <row r="18" spans="1:24" ht="8.1" customHeight="1">
      <c r="I18" s="62"/>
      <c r="J18" s="56"/>
      <c r="K18" s="62"/>
    </row>
    <row r="19" spans="1:24" ht="15.75">
      <c r="A19" s="54" t="s">
        <v>496</v>
      </c>
      <c r="B19" s="77">
        <v>5.7799999999999997E-2</v>
      </c>
      <c r="D19" s="77">
        <f>+'COMP Prior Yr'!D19</f>
        <v>5.7599999999999998E-2</v>
      </c>
      <c r="F19" s="77">
        <f>D19-B19</f>
        <v>-1.9999999999999879E-4</v>
      </c>
      <c r="G19" s="77"/>
      <c r="H19" s="56">
        <f>ROUND((F19/$B$23)*10000,0)</f>
        <v>-4</v>
      </c>
      <c r="I19" s="62">
        <f>H15+H17</f>
        <v>-4</v>
      </c>
      <c r="J19" s="56"/>
      <c r="K19" s="62">
        <f>H19-I19</f>
        <v>0</v>
      </c>
    </row>
    <row r="20" spans="1:24" ht="15.75">
      <c r="A20" s="54" t="s">
        <v>1858</v>
      </c>
      <c r="B20" s="78">
        <v>1.4E-2</v>
      </c>
      <c r="D20" s="78">
        <f>+'COMP Prior Yr'!D20</f>
        <v>1.4200000000000001E-2</v>
      </c>
      <c r="F20" s="77">
        <f>D20-B20</f>
        <v>2.0000000000000052E-4</v>
      </c>
      <c r="G20" s="77"/>
      <c r="H20" s="56">
        <f>-ROUND((F20/$B$23)*10000,0)</f>
        <v>-4</v>
      </c>
      <c r="I20" s="62"/>
      <c r="J20" s="56"/>
      <c r="K20" s="62"/>
    </row>
    <row r="21" spans="1:24" ht="8.1" customHeight="1">
      <c r="B21" s="74"/>
      <c r="D21" s="74"/>
      <c r="F21" s="77"/>
      <c r="G21" s="77"/>
      <c r="I21" s="62"/>
      <c r="J21" s="56"/>
      <c r="K21" s="62"/>
    </row>
    <row r="22" spans="1:24" ht="15.75">
      <c r="A22" s="54" t="s">
        <v>497</v>
      </c>
      <c r="B22" s="77">
        <v>4.3799999999999999E-2</v>
      </c>
      <c r="D22" s="77">
        <f>+'COMP Prior Yr'!D22</f>
        <v>4.3400000000000001E-2</v>
      </c>
      <c r="F22" s="77">
        <f>D22-B22</f>
        <v>-3.9999999999999758E-4</v>
      </c>
      <c r="G22" s="77"/>
      <c r="H22" s="56">
        <f>ROUND((F22/$B$23)*10000,0)</f>
        <v>-9</v>
      </c>
      <c r="I22" s="62">
        <f>H19+H20</f>
        <v>-8</v>
      </c>
      <c r="J22" s="56"/>
      <c r="K22" s="62">
        <f>H22-I22</f>
        <v>-1</v>
      </c>
    </row>
    <row r="23" spans="1:24" ht="15.75">
      <c r="A23" s="54" t="s">
        <v>483</v>
      </c>
      <c r="B23" s="78">
        <v>0.46939999999999998</v>
      </c>
      <c r="D23" s="78">
        <f>+'COMP Prior Yr'!D23</f>
        <v>0.46889999999999998</v>
      </c>
      <c r="F23" s="77">
        <f>D23-B23</f>
        <v>-5.0000000000000044E-4</v>
      </c>
      <c r="G23" s="77"/>
      <c r="H23" s="56">
        <f>ROUND((B22/D23)-(B22/B23),4)*10000</f>
        <v>1</v>
      </c>
      <c r="I23" s="62"/>
      <c r="J23" s="56"/>
      <c r="K23" s="62"/>
    </row>
    <row r="24" spans="1:24" ht="15.75">
      <c r="B24" s="74"/>
      <c r="D24" s="74"/>
      <c r="F24" s="77"/>
      <c r="G24" s="77"/>
      <c r="H24" s="79"/>
      <c r="I24" s="62"/>
      <c r="J24" s="56"/>
      <c r="K24" s="62"/>
    </row>
    <row r="25" spans="1:24" s="61" customFormat="1" ht="15.75">
      <c r="A25" s="61" t="s">
        <v>498</v>
      </c>
      <c r="B25" s="252">
        <v>9.3299999999999994E-2</v>
      </c>
      <c r="D25" s="252">
        <f>+'COMP Prior Yr'!D25</f>
        <v>9.2499999999999999E-2</v>
      </c>
      <c r="F25" s="80">
        <f>D25-B25</f>
        <v>-7.9999999999999516E-4</v>
      </c>
      <c r="G25" s="80"/>
      <c r="H25" s="62">
        <f>(D25-B25)*10000</f>
        <v>-7.999999999999952</v>
      </c>
      <c r="I25" s="62">
        <f>H22+H23</f>
        <v>-8</v>
      </c>
      <c r="J25" s="62"/>
      <c r="K25" s="62">
        <f>H25-I25</f>
        <v>4.7961634663806763E-14</v>
      </c>
      <c r="L25" s="80"/>
      <c r="X25" s="63"/>
    </row>
    <row r="26" spans="1:24" s="81" customFormat="1" ht="4.5" customHeight="1">
      <c r="A26" s="54"/>
      <c r="B26" s="82"/>
      <c r="C26" s="54"/>
      <c r="D26" s="82"/>
      <c r="E26" s="54"/>
      <c r="G26" s="54"/>
      <c r="H26" s="83"/>
      <c r="X26" s="84"/>
    </row>
    <row r="27" spans="1:24" ht="4.5" customHeight="1">
      <c r="J27" s="57"/>
    </row>
    <row r="28" spans="1:24">
      <c r="A28" s="54" t="s">
        <v>499</v>
      </c>
      <c r="B28" s="459">
        <v>128230.97368999996</v>
      </c>
      <c r="D28" s="459">
        <f>+'COMP Prior Yr'!D28</f>
        <v>127065.09198000013</v>
      </c>
      <c r="E28" s="70"/>
      <c r="F28" s="68">
        <f>D28-B28</f>
        <v>-1165.8817099998269</v>
      </c>
      <c r="G28" s="68"/>
      <c r="H28" s="85">
        <f>ROUND((((D28/B15)-B20)/B23)-(((B28/B15)-B20)/B23),4)*10000</f>
        <v>-14</v>
      </c>
    </row>
    <row r="29" spans="1:24">
      <c r="A29" s="54" t="s">
        <v>500</v>
      </c>
      <c r="B29" s="86">
        <v>25844.921720000002</v>
      </c>
      <c r="C29" s="70"/>
      <c r="D29" s="86">
        <f>+'COMP Prior Yr'!D29</f>
        <v>25897.961240000001</v>
      </c>
      <c r="E29" s="70"/>
      <c r="F29" s="68">
        <f>B29-D29</f>
        <v>-53.039519999998447</v>
      </c>
      <c r="G29" s="68"/>
      <c r="H29" s="85">
        <f>-ROUND((((D29/B15)-B20)/B23)-(((B29/B15)-B20)/B23),4)*10000</f>
        <v>-1</v>
      </c>
    </row>
    <row r="30" spans="1:24" ht="15.75">
      <c r="A30" s="693" t="s">
        <v>501</v>
      </c>
      <c r="B30" s="71">
        <v>0</v>
      </c>
      <c r="C30" s="70"/>
      <c r="D30" s="71">
        <f>+'COMP Prior Yr'!D30</f>
        <v>0</v>
      </c>
      <c r="E30" s="70"/>
      <c r="F30" s="68">
        <f>B30-D30</f>
        <v>0</v>
      </c>
      <c r="G30" s="70"/>
      <c r="H30" s="85">
        <f>-ROUND((((D30/B15)-B20)/B23)-(((B30/B15)-B20)/B23),4)*10000</f>
        <v>0</v>
      </c>
      <c r="I30" s="55" t="s">
        <v>493</v>
      </c>
      <c r="K30" s="73" t="s">
        <v>494</v>
      </c>
    </row>
    <row r="31" spans="1:24" ht="15.75">
      <c r="A31" s="74" t="s">
        <v>502</v>
      </c>
      <c r="B31" s="71">
        <v>25844.921720000002</v>
      </c>
      <c r="D31" s="71">
        <f>+'COMP Prior Yr'!D31</f>
        <v>25897.961240000001</v>
      </c>
      <c r="E31" s="70"/>
      <c r="F31" s="68">
        <f>D31-B31</f>
        <v>53.039519999998447</v>
      </c>
      <c r="G31" s="70"/>
      <c r="H31" s="85">
        <f>-ROUND((((D31/B15)-B20)/B23)-(((B31/B15)-B20)/B23),4)*10000</f>
        <v>-1</v>
      </c>
      <c r="I31" s="56"/>
      <c r="K31" s="62"/>
    </row>
    <row r="32" spans="1:24" ht="8.1" customHeight="1">
      <c r="B32" s="87"/>
      <c r="D32" s="87"/>
      <c r="E32" s="70"/>
      <c r="F32" s="68"/>
      <c r="H32" s="85"/>
      <c r="I32" s="62"/>
      <c r="K32" s="62"/>
    </row>
    <row r="33" spans="1:24" ht="15.75">
      <c r="A33" s="54" t="s">
        <v>503</v>
      </c>
      <c r="B33" s="71">
        <v>102386.05196999996</v>
      </c>
      <c r="D33" s="71">
        <f>+'COMP Prior Yr'!D33</f>
        <v>101167.13074000012</v>
      </c>
      <c r="E33" s="70"/>
      <c r="F33" s="68">
        <f>D33-B33</f>
        <v>-1218.9212299998326</v>
      </c>
      <c r="G33" s="68"/>
      <c r="H33" s="85">
        <f>ROUND((((D33/B15)-B20)/B23)-(((B33/B15)-B20)/B23),4)*10000</f>
        <v>-15</v>
      </c>
      <c r="I33" s="56">
        <f>H28+H29+H30</f>
        <v>-15</v>
      </c>
      <c r="K33" s="62">
        <f>I33-H33</f>
        <v>0</v>
      </c>
    </row>
    <row r="34" spans="1:24" ht="15.75">
      <c r="B34" s="70"/>
      <c r="D34" s="70"/>
      <c r="E34" s="70"/>
      <c r="F34" s="68"/>
      <c r="G34" s="68"/>
      <c r="H34" s="85"/>
      <c r="I34" s="56"/>
      <c r="K34" s="62"/>
    </row>
    <row r="35" spans="1:24" ht="15.75">
      <c r="A35" s="54" t="s">
        <v>504</v>
      </c>
      <c r="B35" s="70">
        <v>0</v>
      </c>
      <c r="D35" s="70">
        <f>+'COMP Prior Yr'!D35</f>
        <v>0</v>
      </c>
      <c r="E35" s="70"/>
      <c r="F35" s="68"/>
      <c r="G35" s="68"/>
      <c r="H35" s="85"/>
      <c r="I35" s="56"/>
      <c r="K35" s="62"/>
    </row>
    <row r="36" spans="1:24" ht="15.75">
      <c r="A36" s="693" t="s">
        <v>505</v>
      </c>
      <c r="B36" s="71">
        <v>-1397.7489822669866</v>
      </c>
      <c r="D36" s="71">
        <f>+'COMP Prior Yr'!D36</f>
        <v>-1339.3859250827747</v>
      </c>
      <c r="E36" s="70"/>
      <c r="F36" s="68">
        <f>D36-B36</f>
        <v>58.363057184211812</v>
      </c>
      <c r="H36" s="85">
        <f>ROUND((((D36/B15)-B20)/B23)-(((B36/B15)-B20)/B23),4)*10000</f>
        <v>1</v>
      </c>
      <c r="I36" s="56">
        <f>H36</f>
        <v>1</v>
      </c>
      <c r="K36" s="62">
        <f>H36-I36</f>
        <v>0</v>
      </c>
    </row>
    <row r="37" spans="1:24" s="61" customFormat="1" ht="15.75">
      <c r="A37" s="61" t="s">
        <v>495</v>
      </c>
      <c r="B37" s="88">
        <v>100988.30298773297</v>
      </c>
      <c r="D37" s="88">
        <f>+'COMP Prior Yr'!D37</f>
        <v>99827.744814917343</v>
      </c>
      <c r="E37" s="697"/>
      <c r="F37" s="58">
        <f>D37-B37</f>
        <v>-1160.5581728156249</v>
      </c>
      <c r="G37" s="698"/>
      <c r="H37" s="89">
        <f>ROUND((((D37/B15)-B20)/B23)-(((B37/B15)-B20)/B23),4)*10000</f>
        <v>-14</v>
      </c>
      <c r="I37" s="62">
        <f>H33+H36</f>
        <v>-14</v>
      </c>
      <c r="K37" s="62">
        <f>H37-I37</f>
        <v>0</v>
      </c>
      <c r="X37" s="63"/>
    </row>
    <row r="38" spans="1:24" s="81" customFormat="1" ht="14.1" customHeight="1">
      <c r="A38" s="54"/>
      <c r="B38" s="90"/>
      <c r="C38" s="54"/>
      <c r="D38" s="90"/>
      <c r="E38" s="70"/>
      <c r="F38" s="71"/>
      <c r="G38" s="93"/>
      <c r="H38" s="106">
        <f>D37-D17</f>
        <v>1.49173429235816E-5</v>
      </c>
      <c r="I38" s="91" t="s">
        <v>506</v>
      </c>
      <c r="J38" s="78"/>
      <c r="X38" s="84"/>
    </row>
    <row r="39" spans="1:24" ht="4.5" customHeight="1">
      <c r="B39" s="92"/>
      <c r="D39" s="92"/>
      <c r="E39" s="70"/>
      <c r="F39" s="70"/>
      <c r="G39" s="93"/>
      <c r="H39" s="94"/>
      <c r="I39" s="95"/>
      <c r="J39" s="77"/>
      <c r="X39" s="96"/>
    </row>
    <row r="40" spans="1:24" ht="15.75">
      <c r="A40" s="64" t="s">
        <v>507</v>
      </c>
      <c r="B40" s="87"/>
      <c r="C40" s="87"/>
      <c r="D40" s="87"/>
      <c r="E40" s="70"/>
      <c r="F40" s="87"/>
      <c r="G40" s="70"/>
      <c r="I40" s="77"/>
      <c r="J40" s="57"/>
    </row>
    <row r="41" spans="1:24">
      <c r="A41" s="54" t="s">
        <v>150</v>
      </c>
      <c r="B41" s="97">
        <v>0</v>
      </c>
      <c r="D41" s="97">
        <f>+'COMP Prior Yr'!D41</f>
        <v>-5.0765400010277517E-4</v>
      </c>
      <c r="E41" s="70"/>
      <c r="F41" s="68">
        <f>D41-B41</f>
        <v>-5.0765400010277517E-4</v>
      </c>
      <c r="G41" s="77"/>
      <c r="H41" s="85">
        <f>ROUND((((D41/$B$15)-$B$20)/$B$23)-(((B41/$B$15)-$B$20)/$B$23),4)*10000</f>
        <v>0</v>
      </c>
    </row>
    <row r="42" spans="1:24">
      <c r="A42" s="54" t="s">
        <v>151</v>
      </c>
      <c r="B42" s="97">
        <v>31.322706306508167</v>
      </c>
      <c r="D42" s="97">
        <f>+'COMP Prior Yr'!D42</f>
        <v>29.265119278181093</v>
      </c>
      <c r="E42" s="70"/>
      <c r="F42" s="68">
        <f>D42-B42</f>
        <v>-2.0575870283270739</v>
      </c>
      <c r="G42" s="77"/>
      <c r="H42" s="85">
        <f>ROUND((((D42/$B$15)-$B$20)/$B$23)-(((B42/$B$15)-$B$20)/$B$23),4)*10000</f>
        <v>0</v>
      </c>
    </row>
    <row r="43" spans="1:24">
      <c r="A43" s="54" t="s">
        <v>152</v>
      </c>
      <c r="B43" s="97">
        <v>-206.11933582673177</v>
      </c>
      <c r="D43" s="97">
        <f>+'COMP Prior Yr'!D43</f>
        <v>-117.20289195672966</v>
      </c>
      <c r="E43" s="70"/>
      <c r="F43" s="68">
        <f t="shared" ref="F43:F58" si="0">D43-B43</f>
        <v>88.916443870002112</v>
      </c>
      <c r="G43" s="77"/>
      <c r="H43" s="85">
        <f t="shared" ref="H43:H58" si="1">ROUND((((D43/$B$15)-$B$20)/$B$23)-(((B43/$B$15)-$B$20)/$B$23),4)*10000</f>
        <v>1</v>
      </c>
    </row>
    <row r="44" spans="1:24">
      <c r="A44" s="54" t="s">
        <v>481</v>
      </c>
      <c r="B44" s="97">
        <v>2099</v>
      </c>
      <c r="D44" s="97">
        <f>+'COMP Prior Yr'!D44</f>
        <v>2099</v>
      </c>
      <c r="E44" s="70"/>
      <c r="F44" s="68">
        <f t="shared" si="0"/>
        <v>0</v>
      </c>
      <c r="G44" s="77"/>
      <c r="H44" s="85">
        <f t="shared" si="1"/>
        <v>0</v>
      </c>
      <c r="O44" s="75"/>
    </row>
    <row r="45" spans="1:24">
      <c r="A45" s="54" t="s">
        <v>153</v>
      </c>
      <c r="B45" s="97">
        <v>0</v>
      </c>
      <c r="D45" s="97">
        <f>+'COMP Prior Yr'!D45</f>
        <v>0</v>
      </c>
      <c r="E45" s="70"/>
      <c r="F45" s="68">
        <f t="shared" si="0"/>
        <v>0</v>
      </c>
      <c r="G45" s="77"/>
      <c r="H45" s="85">
        <f t="shared" si="1"/>
        <v>0</v>
      </c>
    </row>
    <row r="46" spans="1:24">
      <c r="A46" s="54" t="s">
        <v>410</v>
      </c>
      <c r="B46" s="97">
        <v>13.853130736724999</v>
      </c>
      <c r="D46" s="97">
        <f>+'COMP Prior Yr'!D46</f>
        <v>12.004970063624999</v>
      </c>
      <c r="E46" s="70"/>
      <c r="F46" s="68">
        <f t="shared" si="0"/>
        <v>-1.8481606731000007</v>
      </c>
      <c r="G46" s="77"/>
      <c r="H46" s="85">
        <f t="shared" si="1"/>
        <v>0</v>
      </c>
      <c r="O46" s="145"/>
    </row>
    <row r="47" spans="1:24">
      <c r="A47" s="54" t="s">
        <v>154</v>
      </c>
      <c r="B47" s="70">
        <v>59.744836210500004</v>
      </c>
      <c r="D47" s="70">
        <f>+'COMP Prior Yr'!D47</f>
        <v>59.108476990499994</v>
      </c>
      <c r="E47" s="70"/>
      <c r="F47" s="68">
        <f t="shared" si="0"/>
        <v>-0.63635922000000988</v>
      </c>
      <c r="G47" s="77"/>
      <c r="H47" s="85">
        <f t="shared" si="1"/>
        <v>0</v>
      </c>
      <c r="O47" s="144"/>
    </row>
    <row r="48" spans="1:24">
      <c r="A48" s="54" t="s">
        <v>409</v>
      </c>
      <c r="B48" s="70">
        <v>-187.36800664049952</v>
      </c>
      <c r="D48" s="70">
        <f>+'COMP Prior Yr'!D48</f>
        <v>-219.16715458049293</v>
      </c>
      <c r="E48" s="70"/>
      <c r="F48" s="68">
        <f t="shared" si="0"/>
        <v>-31.799147939993418</v>
      </c>
      <c r="G48" s="77"/>
      <c r="H48" s="85">
        <f t="shared" si="1"/>
        <v>0</v>
      </c>
      <c r="O48" s="145"/>
    </row>
    <row r="49" spans="1:15">
      <c r="A49" s="54" t="s">
        <v>155</v>
      </c>
      <c r="B49" s="70">
        <v>28.703727937785594</v>
      </c>
      <c r="D49" s="70">
        <f>+'COMP Prior Yr'!D49</f>
        <v>43.829762775523193</v>
      </c>
      <c r="E49" s="70"/>
      <c r="F49" s="68">
        <f t="shared" si="0"/>
        <v>15.126034837737599</v>
      </c>
      <c r="G49" s="77"/>
      <c r="H49" s="85">
        <f t="shared" si="1"/>
        <v>0</v>
      </c>
      <c r="O49" s="145"/>
    </row>
    <row r="50" spans="1:15">
      <c r="A50" s="54" t="s">
        <v>156</v>
      </c>
      <c r="B50" s="70">
        <v>4.4270182972260006</v>
      </c>
      <c r="D50" s="70">
        <f>+'COMP Prior Yr'!D50</f>
        <v>5.7199476001184992</v>
      </c>
      <c r="E50" s="70"/>
      <c r="F50" s="68">
        <f t="shared" si="0"/>
        <v>1.2929293028924986</v>
      </c>
      <c r="G50" s="77"/>
      <c r="H50" s="85">
        <f t="shared" si="1"/>
        <v>0</v>
      </c>
      <c r="O50" s="144"/>
    </row>
    <row r="51" spans="1:15">
      <c r="A51" s="54" t="s">
        <v>411</v>
      </c>
      <c r="B51" s="70">
        <v>0</v>
      </c>
      <c r="D51" s="70">
        <f>+'COMP Prior Yr'!D51</f>
        <v>0</v>
      </c>
      <c r="E51" s="70"/>
      <c r="F51" s="68">
        <f t="shared" si="0"/>
        <v>0</v>
      </c>
      <c r="G51" s="77"/>
      <c r="H51" s="85">
        <f t="shared" si="1"/>
        <v>0</v>
      </c>
    </row>
    <row r="52" spans="1:15">
      <c r="A52" s="105" t="s">
        <v>412</v>
      </c>
      <c r="B52" s="70">
        <v>0</v>
      </c>
      <c r="D52" s="70">
        <f>+'COMP Prior Yr'!D52</f>
        <v>0</v>
      </c>
      <c r="E52" s="70"/>
      <c r="F52" s="68">
        <f t="shared" si="0"/>
        <v>0</v>
      </c>
      <c r="G52" s="77"/>
      <c r="H52" s="85">
        <f t="shared" si="1"/>
        <v>0</v>
      </c>
    </row>
    <row r="53" spans="1:15">
      <c r="A53" s="694" t="s">
        <v>536</v>
      </c>
      <c r="B53" s="70">
        <v>-87.940603800000005</v>
      </c>
      <c r="D53" s="70">
        <f>+'COMP Prior Yr'!D53</f>
        <v>-87.940603800000005</v>
      </c>
      <c r="E53" s="70"/>
      <c r="F53" s="68">
        <f>D53-B53</f>
        <v>0</v>
      </c>
      <c r="G53" s="77"/>
      <c r="H53" s="85">
        <f>ROUND((((D53/$B$15)-$B$20)/$B$23)-(((B53/$B$15)-$B$20)/$B$23),4)*10000</f>
        <v>0</v>
      </c>
    </row>
    <row r="54" spans="1:15">
      <c r="A54" s="105" t="s">
        <v>157</v>
      </c>
      <c r="B54" s="70">
        <v>0</v>
      </c>
      <c r="D54" s="70">
        <f>+'COMP Prior Yr'!D54</f>
        <v>0</v>
      </c>
      <c r="E54" s="70"/>
      <c r="F54" s="68">
        <f t="shared" si="0"/>
        <v>0</v>
      </c>
      <c r="G54" s="77"/>
      <c r="H54" s="85">
        <f t="shared" si="1"/>
        <v>0</v>
      </c>
    </row>
    <row r="55" spans="1:15">
      <c r="A55" s="54" t="s">
        <v>532</v>
      </c>
      <c r="B55" s="70">
        <v>-5.0018849970001611E-4</v>
      </c>
      <c r="D55" s="70">
        <f>+'COMP Prior Yr'!D55</f>
        <v>-2.1649950008395535E-4</v>
      </c>
      <c r="E55" s="70"/>
      <c r="F55" s="68">
        <f t="shared" si="0"/>
        <v>2.8368899961606076E-4</v>
      </c>
      <c r="G55" s="77"/>
      <c r="H55" s="85">
        <f t="shared" si="1"/>
        <v>0</v>
      </c>
    </row>
    <row r="56" spans="1:15">
      <c r="A56" s="54" t="s">
        <v>533</v>
      </c>
      <c r="B56" s="70">
        <v>-3153.3719553000001</v>
      </c>
      <c r="D56" s="70">
        <f>+'COMP Prior Yr'!D56</f>
        <v>-3164.0028272999998</v>
      </c>
      <c r="E56" s="70"/>
      <c r="F56" s="68">
        <f t="shared" si="0"/>
        <v>-10.630871999999727</v>
      </c>
      <c r="G56" s="77"/>
      <c r="H56" s="85">
        <f t="shared" si="1"/>
        <v>0</v>
      </c>
    </row>
    <row r="57" spans="1:15" ht="15.2" customHeight="1">
      <c r="A57" s="54" t="s">
        <v>510</v>
      </c>
      <c r="B57" s="71">
        <v>0</v>
      </c>
      <c r="D57" s="71">
        <f>+'COMP Prior Yr'!D57</f>
        <v>0</v>
      </c>
      <c r="E57" s="70"/>
      <c r="F57" s="99">
        <f t="shared" si="0"/>
        <v>0</v>
      </c>
      <c r="H57" s="85">
        <f t="shared" si="1"/>
        <v>0</v>
      </c>
    </row>
    <row r="58" spans="1:15" ht="15.2" customHeight="1">
      <c r="A58" s="54" t="s">
        <v>508</v>
      </c>
      <c r="B58" s="70">
        <v>-1397.7489822669866</v>
      </c>
      <c r="D58" s="70">
        <f>+'COMP Prior Yr'!D58</f>
        <v>-1339.3859250827747</v>
      </c>
      <c r="E58" s="70"/>
      <c r="F58" s="68">
        <f t="shared" si="0"/>
        <v>58.363057184211812</v>
      </c>
      <c r="H58" s="85">
        <f t="shared" si="1"/>
        <v>1</v>
      </c>
    </row>
  </sheetData>
  <mergeCells count="4">
    <mergeCell ref="A1:H1"/>
    <mergeCell ref="A2:H2"/>
    <mergeCell ref="A3:H3"/>
    <mergeCell ref="A4:H4"/>
  </mergeCells>
  <conditionalFormatting sqref="K31:K37 K15:K25">
    <cfRule type="cellIs" dxfId="9" priority="1" stopIfTrue="1" operator="equal">
      <formula>0</formula>
    </cfRule>
    <cfRule type="cellIs" dxfId="8" priority="2" stopIfTrue="1" operator="notEqual">
      <formula>0</formula>
    </cfRule>
  </conditionalFormatting>
  <printOptions horizontalCentered="1"/>
  <pageMargins left="0.5" right="0.5" top="0.5" bottom="0.5" header="0.5" footer="0.25"/>
  <pageSetup scale="82" orientation="portrait" r:id="rId1"/>
  <headerFooter>
    <oddFooter>&amp;Z&amp;F</oddFooter>
  </headerFooter>
  <customProperties>
    <customPr name="EpmWorksheetKeyString_GUID" r:id="rId2"/>
  </customProperties>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0000"/>
  </sheetPr>
  <dimension ref="A1"/>
  <sheetViews>
    <sheetView workbookViewId="0"/>
  </sheetViews>
  <sheetFormatPr defaultRowHeight="12.75"/>
  <sheetData/>
  <pageMargins left="0.7" right="0.7" top="0.75" bottom="0.75" header="0.3" footer="0.3"/>
  <pageSetup orientation="portrait" horizontalDpi="4294967293" verticalDpi="0" r:id="rId1"/>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P48"/>
  <sheetViews>
    <sheetView workbookViewId="0">
      <selection sqref="A1:O1"/>
    </sheetView>
  </sheetViews>
  <sheetFormatPr defaultRowHeight="12.75"/>
  <cols>
    <col min="1" max="1" width="28.85546875" bestFit="1" customWidth="1"/>
    <col min="3" max="3" width="2" customWidth="1"/>
    <col min="5" max="5" width="2" customWidth="1"/>
    <col min="9" max="9" width="24" bestFit="1" customWidth="1"/>
    <col min="11" max="11" width="2" customWidth="1"/>
    <col min="13" max="13" width="2" customWidth="1"/>
    <col min="15" max="15" width="2.5703125" customWidth="1"/>
  </cols>
  <sheetData>
    <row r="1" spans="1:15">
      <c r="A1" s="1297" t="s">
        <v>204</v>
      </c>
      <c r="B1" s="1297"/>
      <c r="C1" s="1297"/>
      <c r="D1" s="1297"/>
      <c r="E1" s="1297"/>
      <c r="F1" s="1297"/>
      <c r="G1" s="1297"/>
      <c r="H1" s="1297"/>
      <c r="I1" s="1297"/>
      <c r="J1" s="1297"/>
      <c r="K1" s="1297"/>
      <c r="L1" s="1297"/>
      <c r="M1" s="1297"/>
      <c r="N1" s="1297"/>
      <c r="O1" s="1297"/>
    </row>
    <row r="2" spans="1:15">
      <c r="A2" s="1296" t="s">
        <v>2759</v>
      </c>
      <c r="B2" s="1296"/>
      <c r="C2" s="1296"/>
      <c r="D2" s="1296"/>
      <c r="E2" s="1296"/>
      <c r="F2" s="1296"/>
      <c r="G2" s="1296"/>
      <c r="H2" s="1296"/>
      <c r="I2" s="1296"/>
      <c r="J2" s="1296"/>
      <c r="K2" s="1296"/>
      <c r="L2" s="1296"/>
      <c r="M2" s="1296"/>
      <c r="N2" s="1296"/>
      <c r="O2" s="1296"/>
    </row>
    <row r="3" spans="1:15">
      <c r="A3" s="1296" t="s">
        <v>2762</v>
      </c>
      <c r="B3" s="1296"/>
      <c r="C3" s="1296"/>
      <c r="D3" s="1296"/>
      <c r="E3" s="1296"/>
      <c r="F3" s="1296"/>
      <c r="G3" s="1296"/>
      <c r="H3" s="1296"/>
      <c r="I3" s="1296"/>
      <c r="J3" s="1296"/>
      <c r="K3" s="1296"/>
      <c r="L3" s="1296"/>
      <c r="M3" s="1296"/>
      <c r="N3" s="1296"/>
      <c r="O3" s="1296"/>
    </row>
    <row r="4" spans="1:15">
      <c r="A4" s="1295" t="str">
        <f>Report!A179</f>
        <v>December 2022</v>
      </c>
      <c r="B4" s="1295"/>
      <c r="C4" s="1295"/>
      <c r="D4" s="1295"/>
      <c r="E4" s="1295"/>
      <c r="F4" s="1295"/>
      <c r="G4" s="1295"/>
      <c r="H4" s="1295"/>
      <c r="I4" s="1295"/>
      <c r="J4" s="1295"/>
      <c r="K4" s="1295"/>
      <c r="L4" s="1295"/>
      <c r="M4" s="1295"/>
      <c r="N4" s="1295"/>
      <c r="O4" s="1295"/>
    </row>
    <row r="6" spans="1:15" ht="12.75" customHeight="1">
      <c r="B6" s="1298" t="s">
        <v>1732</v>
      </c>
      <c r="C6" s="1167"/>
      <c r="D6" s="1298" t="s">
        <v>2756</v>
      </c>
      <c r="E6" s="1167"/>
      <c r="F6" s="1294" t="s">
        <v>2758</v>
      </c>
      <c r="J6" s="1298" t="s">
        <v>1732</v>
      </c>
      <c r="K6" s="1167"/>
      <c r="L6" s="1298" t="s">
        <v>2756</v>
      </c>
      <c r="M6" s="1167"/>
      <c r="N6" s="1294" t="s">
        <v>2758</v>
      </c>
    </row>
    <row r="7" spans="1:15" ht="12.75" customHeight="1">
      <c r="B7" s="1298"/>
      <c r="C7" s="1167"/>
      <c r="D7" s="1298"/>
      <c r="E7" s="1167"/>
      <c r="F7" s="1294"/>
      <c r="J7" s="1298"/>
      <c r="K7" s="1167"/>
      <c r="L7" s="1298"/>
      <c r="M7" s="1167"/>
      <c r="N7" s="1294"/>
    </row>
    <row r="8" spans="1:15">
      <c r="B8" s="1166" t="s">
        <v>2757</v>
      </c>
      <c r="C8" s="1166"/>
      <c r="D8" s="1166" t="s">
        <v>2757</v>
      </c>
      <c r="E8" s="1166"/>
      <c r="F8" s="1294"/>
      <c r="J8" s="1166" t="s">
        <v>2757</v>
      </c>
      <c r="K8" s="1166"/>
      <c r="L8" s="1166" t="s">
        <v>2757</v>
      </c>
      <c r="M8" s="1166"/>
      <c r="N8" s="1294"/>
    </row>
    <row r="9" spans="1:15">
      <c r="A9" s="481"/>
      <c r="B9" s="538" t="s">
        <v>3</v>
      </c>
      <c r="C9" s="538"/>
      <c r="D9" s="538" t="s">
        <v>3</v>
      </c>
      <c r="E9" s="538"/>
      <c r="F9" s="1294"/>
      <c r="I9" s="481"/>
      <c r="J9" s="488" t="s">
        <v>3</v>
      </c>
      <c r="K9" s="488"/>
      <c r="L9" s="488" t="s">
        <v>3</v>
      </c>
      <c r="M9" s="488"/>
      <c r="N9" s="1294"/>
    </row>
    <row r="10" spans="1:15">
      <c r="A10" s="486" t="s">
        <v>22</v>
      </c>
      <c r="B10" s="539" t="s">
        <v>23</v>
      </c>
      <c r="C10" s="539"/>
      <c r="D10" s="539" t="s">
        <v>23</v>
      </c>
      <c r="E10" s="539"/>
      <c r="F10" s="1294"/>
      <c r="I10" s="486" t="s">
        <v>22</v>
      </c>
      <c r="J10" s="486" t="s">
        <v>24</v>
      </c>
      <c r="K10" s="486"/>
      <c r="L10" s="486" t="s">
        <v>24</v>
      </c>
      <c r="M10" s="486"/>
      <c r="N10" s="1294"/>
    </row>
    <row r="11" spans="1:15">
      <c r="A11" s="481" t="s">
        <v>469</v>
      </c>
      <c r="B11" s="540">
        <f>Reconcil!B176</f>
        <v>958.58977461538461</v>
      </c>
      <c r="C11" s="540"/>
      <c r="D11" s="540">
        <v>1219.3307692307694</v>
      </c>
      <c r="F11" s="540">
        <f>B11-D11</f>
        <v>-260.74099461538481</v>
      </c>
      <c r="I11" s="536" t="s">
        <v>209</v>
      </c>
      <c r="J11" s="540">
        <f>Reconcil!G177</f>
        <v>65169.842558461547</v>
      </c>
      <c r="K11" s="488"/>
      <c r="L11" s="540">
        <v>62550.869230769233</v>
      </c>
      <c r="N11" s="540">
        <f>J11-L11</f>
        <v>2618.9733276923143</v>
      </c>
    </row>
    <row r="12" spans="1:15">
      <c r="A12" s="481" t="s">
        <v>25</v>
      </c>
      <c r="B12" s="540">
        <f>Reconcil!B177</f>
        <v>0</v>
      </c>
      <c r="C12" s="540"/>
      <c r="D12" s="540">
        <v>0</v>
      </c>
      <c r="F12" s="540">
        <f t="shared" ref="F12:F39" si="0">B12-D12</f>
        <v>0</v>
      </c>
      <c r="I12" s="536" t="s">
        <v>9</v>
      </c>
      <c r="J12" s="540">
        <f>Reconcil!G178</f>
        <v>0</v>
      </c>
      <c r="K12" s="540"/>
      <c r="L12" s="540">
        <v>0</v>
      </c>
      <c r="N12" s="540">
        <f t="shared" ref="N12:N25" si="1">J12-L12</f>
        <v>0</v>
      </c>
    </row>
    <row r="13" spans="1:15">
      <c r="A13" s="481" t="s">
        <v>26</v>
      </c>
      <c r="B13" s="540">
        <f>Reconcil!B178</f>
        <v>0</v>
      </c>
      <c r="C13" s="540"/>
      <c r="D13" s="540">
        <v>0</v>
      </c>
      <c r="F13" s="540">
        <f t="shared" si="0"/>
        <v>0</v>
      </c>
      <c r="I13" s="536" t="s">
        <v>210</v>
      </c>
      <c r="J13" s="540">
        <f>Reconcil!G179</f>
        <v>14545.057028461539</v>
      </c>
      <c r="K13" s="540"/>
      <c r="L13" s="540">
        <v>5253.8000000000011</v>
      </c>
      <c r="N13" s="540">
        <f t="shared" si="1"/>
        <v>9291.2570284615376</v>
      </c>
    </row>
    <row r="14" spans="1:15">
      <c r="A14" s="481" t="s">
        <v>27</v>
      </c>
      <c r="B14" s="540">
        <f>Reconcil!B179</f>
        <v>3209.9291492307693</v>
      </c>
      <c r="C14" s="540"/>
      <c r="D14" s="540">
        <v>1000</v>
      </c>
      <c r="F14" s="540">
        <f t="shared" si="0"/>
        <v>2209.9291492307693</v>
      </c>
      <c r="I14" s="536" t="s">
        <v>10</v>
      </c>
      <c r="J14" s="540">
        <f>Reconcil!G180</f>
        <v>11021.108892307691</v>
      </c>
      <c r="K14" s="540"/>
      <c r="L14" s="540">
        <v>8366.6</v>
      </c>
      <c r="N14" s="540">
        <f t="shared" si="1"/>
        <v>2654.508892307691</v>
      </c>
    </row>
    <row r="15" spans="1:15">
      <c r="A15" s="481" t="s">
        <v>28</v>
      </c>
      <c r="B15" s="540">
        <f>Reconcil!B180</f>
        <v>0</v>
      </c>
      <c r="C15" s="540"/>
      <c r="D15" s="540">
        <v>25</v>
      </c>
      <c r="F15" s="540">
        <f t="shared" si="0"/>
        <v>-25</v>
      </c>
      <c r="I15" s="536" t="s">
        <v>11</v>
      </c>
      <c r="J15" s="540">
        <f>Reconcil!G181</f>
        <v>2233.3841307692305</v>
      </c>
      <c r="K15" s="540"/>
      <c r="L15" s="540">
        <v>1470.5015777438084</v>
      </c>
      <c r="N15" s="540">
        <f t="shared" si="1"/>
        <v>762.88255302542211</v>
      </c>
    </row>
    <row r="16" spans="1:15">
      <c r="A16" s="481" t="s">
        <v>29</v>
      </c>
      <c r="B16" s="540">
        <f>Reconcil!B181</f>
        <v>25</v>
      </c>
      <c r="C16" s="540"/>
      <c r="D16" s="540">
        <v>3</v>
      </c>
      <c r="F16" s="540">
        <f t="shared" si="0"/>
        <v>22</v>
      </c>
      <c r="I16" s="536" t="s">
        <v>12</v>
      </c>
      <c r="J16" s="540">
        <f>Reconcil!G182</f>
        <v>5427.8946123076912</v>
      </c>
      <c r="K16" s="540"/>
      <c r="L16" s="540">
        <v>4678.0083359973733</v>
      </c>
      <c r="N16" s="540">
        <f t="shared" si="1"/>
        <v>749.88627631031795</v>
      </c>
    </row>
    <row r="17" spans="1:14">
      <c r="A17" s="481" t="s">
        <v>30</v>
      </c>
      <c r="B17" s="540">
        <f>Reconcil!B182</f>
        <v>2.95</v>
      </c>
      <c r="C17" s="540"/>
      <c r="D17" s="540">
        <v>0</v>
      </c>
      <c r="F17" s="540">
        <f t="shared" si="0"/>
        <v>2.95</v>
      </c>
      <c r="I17" s="536" t="s">
        <v>13</v>
      </c>
      <c r="J17" s="540">
        <f>Reconcil!G183</f>
        <v>3520.7976153846153</v>
      </c>
      <c r="K17" s="540"/>
      <c r="L17" s="540">
        <v>0</v>
      </c>
      <c r="N17" s="540">
        <f t="shared" si="1"/>
        <v>3520.7976153846153</v>
      </c>
    </row>
    <row r="18" spans="1:14">
      <c r="A18" s="481" t="s">
        <v>31</v>
      </c>
      <c r="B18" s="540">
        <f>Reconcil!B183</f>
        <v>0</v>
      </c>
      <c r="C18" s="540"/>
      <c r="D18" s="540">
        <v>0</v>
      </c>
      <c r="F18" s="540">
        <f t="shared" si="0"/>
        <v>0</v>
      </c>
      <c r="I18" s="536" t="s">
        <v>14</v>
      </c>
      <c r="J18" s="540">
        <f>Reconcil!G184</f>
        <v>1058.3676484615387</v>
      </c>
      <c r="K18" s="540"/>
      <c r="L18" s="540">
        <v>1695.1615384615384</v>
      </c>
      <c r="N18" s="540">
        <f t="shared" si="1"/>
        <v>-636.79388999999969</v>
      </c>
    </row>
    <row r="19" spans="1:14">
      <c r="A19" s="481" t="s">
        <v>32</v>
      </c>
      <c r="B19" s="540">
        <f>Reconcil!B184</f>
        <v>39645.966130769222</v>
      </c>
      <c r="C19" s="540"/>
      <c r="D19" s="540">
        <v>29879.984615384616</v>
      </c>
      <c r="F19" s="540">
        <f t="shared" si="0"/>
        <v>9765.9815153846066</v>
      </c>
      <c r="I19" s="536" t="s">
        <v>15</v>
      </c>
      <c r="J19" s="540">
        <f>Reconcil!G185</f>
        <v>2016.9870000000005</v>
      </c>
      <c r="K19" s="540"/>
      <c r="L19" s="540">
        <v>0</v>
      </c>
      <c r="N19" s="540">
        <f t="shared" si="1"/>
        <v>2016.9870000000005</v>
      </c>
    </row>
    <row r="20" spans="1:14">
      <c r="A20" s="481" t="s">
        <v>33</v>
      </c>
      <c r="B20" s="540">
        <f>Reconcil!B185</f>
        <v>1591.8972207692309</v>
      </c>
      <c r="C20" s="540"/>
      <c r="D20" s="540">
        <v>656.63323307692315</v>
      </c>
      <c r="F20" s="540">
        <f t="shared" si="0"/>
        <v>935.26398769230775</v>
      </c>
      <c r="I20" s="536" t="s">
        <v>1704</v>
      </c>
      <c r="J20" s="540">
        <f>Reconcil!G186</f>
        <v>54.288128461538463</v>
      </c>
      <c r="K20" s="540"/>
      <c r="L20" s="540">
        <v>0</v>
      </c>
      <c r="N20" s="540">
        <f t="shared" si="1"/>
        <v>54.288128461538463</v>
      </c>
    </row>
    <row r="21" spans="1:14">
      <c r="A21" s="481" t="s">
        <v>34</v>
      </c>
      <c r="B21" s="540">
        <f>Reconcil!B186</f>
        <v>-1399.369753846154</v>
      </c>
      <c r="C21" s="540"/>
      <c r="D21" s="540">
        <v>-1229.3563099999999</v>
      </c>
      <c r="F21" s="540">
        <f t="shared" si="0"/>
        <v>-170.01344384615413</v>
      </c>
      <c r="I21" s="481" t="s">
        <v>211</v>
      </c>
      <c r="J21" s="540">
        <f>Reconcil!G187</f>
        <v>0</v>
      </c>
      <c r="K21" s="540"/>
      <c r="L21" s="540">
        <v>0</v>
      </c>
      <c r="N21" s="540">
        <f t="shared" si="1"/>
        <v>0</v>
      </c>
    </row>
    <row r="22" spans="1:14">
      <c r="A22" s="481" t="s">
        <v>35</v>
      </c>
      <c r="B22" s="540">
        <f>Reconcil!B187</f>
        <v>9807.1821069230773</v>
      </c>
      <c r="C22" s="540"/>
      <c r="D22" s="540">
        <v>8345.3153846153855</v>
      </c>
      <c r="F22" s="540">
        <f t="shared" si="0"/>
        <v>1461.8667223076918</v>
      </c>
      <c r="I22" s="536" t="s">
        <v>16</v>
      </c>
      <c r="J22" s="540">
        <f>Reconcil!G188</f>
        <v>14124.486650769231</v>
      </c>
      <c r="K22" s="540"/>
      <c r="L22" s="540">
        <v>16023.799999999997</v>
      </c>
      <c r="N22" s="540">
        <f t="shared" si="1"/>
        <v>-1899.3133492307661</v>
      </c>
    </row>
    <row r="23" spans="1:14">
      <c r="A23" s="481" t="s">
        <v>36</v>
      </c>
      <c r="B23" s="540">
        <f>Reconcil!B188</f>
        <v>3275.3101900000006</v>
      </c>
      <c r="C23" s="540"/>
      <c r="D23" s="540">
        <v>941.60000000000025</v>
      </c>
      <c r="F23" s="540">
        <f t="shared" si="0"/>
        <v>2333.7101900000002</v>
      </c>
      <c r="I23" s="536" t="s">
        <v>18</v>
      </c>
      <c r="J23" s="540">
        <f>Reconcil!G189</f>
        <v>4048.1417030769226</v>
      </c>
      <c r="K23" s="540"/>
      <c r="L23" s="540">
        <v>6458.2538461538452</v>
      </c>
      <c r="N23" s="540">
        <f t="shared" si="1"/>
        <v>-2410.1121430769226</v>
      </c>
    </row>
    <row r="24" spans="1:14">
      <c r="A24" s="481" t="s">
        <v>37</v>
      </c>
      <c r="B24" s="540">
        <f>Reconcil!B189</f>
        <v>5229.1358900000005</v>
      </c>
      <c r="C24" s="540"/>
      <c r="D24" s="540">
        <v>2603.8307692307694</v>
      </c>
      <c r="F24" s="540">
        <f t="shared" si="0"/>
        <v>2625.3051207692311</v>
      </c>
      <c r="I24" s="536" t="s">
        <v>212</v>
      </c>
      <c r="J24" s="540">
        <f>Reconcil!G190</f>
        <v>30752.402183076923</v>
      </c>
      <c r="K24" s="540"/>
      <c r="L24" s="540">
        <v>35774.392307692302</v>
      </c>
      <c r="N24" s="540">
        <f t="shared" si="1"/>
        <v>-5021.9901246153786</v>
      </c>
    </row>
    <row r="25" spans="1:14">
      <c r="A25" s="481" t="s">
        <v>38</v>
      </c>
      <c r="B25" s="540">
        <f>Reconcil!B190</f>
        <v>0</v>
      </c>
      <c r="C25" s="540"/>
      <c r="D25" s="540">
        <v>0</v>
      </c>
      <c r="F25" s="540">
        <f t="shared" si="0"/>
        <v>0</v>
      </c>
      <c r="I25" s="536" t="s">
        <v>475</v>
      </c>
      <c r="J25" s="540">
        <f>Reconcil!G191</f>
        <v>0</v>
      </c>
      <c r="K25" s="540"/>
      <c r="L25" s="540">
        <v>0</v>
      </c>
      <c r="N25" s="540">
        <f t="shared" si="1"/>
        <v>0</v>
      </c>
    </row>
    <row r="26" spans="1:14">
      <c r="A26" s="481" t="s">
        <v>39</v>
      </c>
      <c r="B26" s="540">
        <f>Reconcil!B191</f>
        <v>0</v>
      </c>
      <c r="C26" s="540"/>
      <c r="D26" s="540">
        <v>0</v>
      </c>
      <c r="F26" s="540">
        <f t="shared" si="0"/>
        <v>0</v>
      </c>
      <c r="K26" s="540"/>
    </row>
    <row r="27" spans="1:14">
      <c r="A27" s="481" t="s">
        <v>40</v>
      </c>
      <c r="B27" s="540">
        <f>Reconcil!B192</f>
        <v>5173.247476153846</v>
      </c>
      <c r="C27" s="540"/>
      <c r="D27" s="540">
        <v>2863.584615384616</v>
      </c>
      <c r="F27" s="540">
        <f t="shared" si="0"/>
        <v>2309.6628607692301</v>
      </c>
      <c r="I27" s="536"/>
      <c r="J27" s="540"/>
      <c r="K27" s="540"/>
    </row>
    <row r="28" spans="1:14">
      <c r="A28" s="481" t="s">
        <v>41</v>
      </c>
      <c r="B28" s="540">
        <f>Reconcil!B193</f>
        <v>19984.996074615385</v>
      </c>
      <c r="C28" s="540"/>
      <c r="D28" s="540">
        <v>16192.092307692308</v>
      </c>
      <c r="F28" s="540">
        <f t="shared" si="0"/>
        <v>3792.9037669230765</v>
      </c>
      <c r="I28" s="536"/>
      <c r="J28" s="540"/>
      <c r="K28" s="540"/>
    </row>
    <row r="29" spans="1:14">
      <c r="A29" s="481" t="s">
        <v>42</v>
      </c>
      <c r="B29" s="540">
        <f>Reconcil!B194</f>
        <v>0</v>
      </c>
      <c r="C29" s="540"/>
      <c r="D29" s="540">
        <v>0</v>
      </c>
      <c r="F29" s="540">
        <f t="shared" si="0"/>
        <v>0</v>
      </c>
      <c r="I29" s="536"/>
      <c r="J29" s="540"/>
      <c r="K29" s="540"/>
    </row>
    <row r="30" spans="1:14">
      <c r="A30" s="481" t="s">
        <v>43</v>
      </c>
      <c r="B30" s="540">
        <f>Reconcil!B195</f>
        <v>4359.2748699999993</v>
      </c>
      <c r="C30" s="540"/>
      <c r="D30" s="540">
        <v>3893.8615384615387</v>
      </c>
      <c r="F30" s="540">
        <f t="shared" si="0"/>
        <v>465.41333153846062</v>
      </c>
      <c r="I30" s="536"/>
      <c r="J30" s="540"/>
      <c r="K30" s="540"/>
    </row>
    <row r="31" spans="1:14">
      <c r="A31" s="1" t="s">
        <v>1854</v>
      </c>
      <c r="B31" s="540">
        <f>Reconcil!B196</f>
        <v>0</v>
      </c>
      <c r="C31" s="540"/>
      <c r="D31" s="540">
        <v>0</v>
      </c>
      <c r="F31" s="540">
        <f t="shared" si="0"/>
        <v>0</v>
      </c>
      <c r="I31" s="481"/>
      <c r="J31" s="540"/>
      <c r="K31" s="540"/>
    </row>
    <row r="32" spans="1:14">
      <c r="A32" s="481" t="s">
        <v>44</v>
      </c>
      <c r="B32" s="540">
        <f>Reconcil!B197</f>
        <v>0</v>
      </c>
      <c r="C32" s="540"/>
      <c r="D32" s="540">
        <v>0</v>
      </c>
      <c r="F32" s="540">
        <f t="shared" si="0"/>
        <v>0</v>
      </c>
      <c r="I32" s="536"/>
      <c r="J32" s="540"/>
      <c r="K32" s="540"/>
    </row>
    <row r="33" spans="1:16">
      <c r="A33" s="481" t="s">
        <v>45</v>
      </c>
      <c r="B33" s="540">
        <f>Reconcil!B198</f>
        <v>53798.058961538452</v>
      </c>
      <c r="C33" s="540"/>
      <c r="D33" s="540">
        <v>56088.653846153844</v>
      </c>
      <c r="F33" s="540">
        <f t="shared" si="0"/>
        <v>-2290.5948846153915</v>
      </c>
      <c r="I33" s="536"/>
      <c r="J33" s="540"/>
      <c r="K33" s="540"/>
    </row>
    <row r="34" spans="1:16">
      <c r="A34" s="2" t="s">
        <v>1852</v>
      </c>
      <c r="B34" s="540">
        <f>Reconcil!B199</f>
        <v>46.289076923076927</v>
      </c>
      <c r="C34" s="540"/>
      <c r="D34" s="540">
        <v>1048.1923076923076</v>
      </c>
      <c r="F34" s="540">
        <f t="shared" si="0"/>
        <v>-1001.9032307692307</v>
      </c>
      <c r="I34" s="536"/>
      <c r="J34" s="540"/>
      <c r="K34" s="540"/>
    </row>
    <row r="35" spans="1:16">
      <c r="A35" s="2" t="s">
        <v>1853</v>
      </c>
      <c r="B35" s="540">
        <f>Reconcil!B200</f>
        <v>244.28653384615384</v>
      </c>
      <c r="C35" s="540"/>
      <c r="D35" s="540">
        <v>1984.4538461538459</v>
      </c>
      <c r="F35" s="540">
        <f t="shared" si="0"/>
        <v>-1740.1673123076921</v>
      </c>
      <c r="I35" s="536"/>
      <c r="J35" s="540"/>
      <c r="K35" s="540"/>
    </row>
    <row r="36" spans="1:16">
      <c r="A36" s="481" t="s">
        <v>46</v>
      </c>
      <c r="B36" s="540">
        <f>Reconcil!B201</f>
        <v>0</v>
      </c>
      <c r="C36" s="540"/>
      <c r="D36" s="540">
        <v>0</v>
      </c>
      <c r="F36" s="540">
        <f t="shared" si="0"/>
        <v>0</v>
      </c>
      <c r="I36" s="478"/>
      <c r="J36" s="542"/>
      <c r="K36" s="542"/>
    </row>
    <row r="37" spans="1:16">
      <c r="A37" s="481" t="s">
        <v>47</v>
      </c>
      <c r="B37" s="540">
        <f>Reconcil!B202</f>
        <v>635.21463846153847</v>
      </c>
      <c r="C37" s="540"/>
      <c r="D37" s="540">
        <v>1030.1307692307691</v>
      </c>
      <c r="F37" s="540">
        <f t="shared" si="0"/>
        <v>-394.91613076923068</v>
      </c>
      <c r="I37" s="481"/>
      <c r="J37" s="540"/>
      <c r="K37" s="540"/>
    </row>
    <row r="38" spans="1:16">
      <c r="A38" s="481" t="s">
        <v>48</v>
      </c>
      <c r="B38" s="540">
        <f>Reconcil!B203</f>
        <v>-768.35859923076919</v>
      </c>
      <c r="C38" s="540"/>
      <c r="D38" s="540">
        <v>-3058.4230769230826</v>
      </c>
      <c r="F38" s="540">
        <f t="shared" si="0"/>
        <v>2290.0644776923136</v>
      </c>
      <c r="I38" s="481"/>
      <c r="J38" s="540"/>
      <c r="K38" s="540"/>
    </row>
    <row r="39" spans="1:16">
      <c r="A39" s="481" t="s">
        <v>478</v>
      </c>
      <c r="B39" s="540">
        <f>Reconcil!B204</f>
        <v>0</v>
      </c>
      <c r="C39" s="540"/>
      <c r="D39" s="540">
        <v>0</v>
      </c>
      <c r="F39" s="540">
        <f t="shared" si="0"/>
        <v>0</v>
      </c>
      <c r="I39" s="478"/>
      <c r="J39" s="540"/>
      <c r="K39" s="540"/>
    </row>
    <row r="40" spans="1:16">
      <c r="A40" s="481"/>
      <c r="B40" s="544"/>
      <c r="C40" s="1168"/>
      <c r="D40" s="544"/>
      <c r="E40" s="1168"/>
      <c r="F40" s="544"/>
      <c r="I40" s="478"/>
      <c r="J40" s="544"/>
      <c r="K40" s="1168"/>
      <c r="L40" s="544"/>
      <c r="N40" s="544"/>
    </row>
    <row r="41" spans="1:16" ht="13.5" thickBot="1">
      <c r="A41" s="488" t="s">
        <v>1</v>
      </c>
      <c r="B41" s="545">
        <f>SUM(B11:B39)</f>
        <v>145819.59974076919</v>
      </c>
      <c r="C41" s="1169"/>
      <c r="D41" s="545">
        <f>SUM(D11:D39)</f>
        <v>123487.88461538462</v>
      </c>
      <c r="E41" s="1169"/>
      <c r="F41" s="545">
        <f>SUM(F11:F39)</f>
        <v>22331.715125384606</v>
      </c>
      <c r="I41" s="488" t="s">
        <v>1</v>
      </c>
      <c r="J41" s="545">
        <f>SUM(J11:J39)</f>
        <v>153972.75815153847</v>
      </c>
      <c r="K41" s="1169"/>
      <c r="L41" s="545">
        <f>SUM(L11:L39)</f>
        <v>142271.38683681813</v>
      </c>
      <c r="N41" s="545">
        <f>SUM(N11:N39)</f>
        <v>11701.371314720367</v>
      </c>
    </row>
    <row r="42" spans="1:16" ht="13.5" thickTop="1"/>
    <row r="44" spans="1:16" ht="13.5" thickBot="1">
      <c r="N44" s="1170" t="s">
        <v>2760</v>
      </c>
      <c r="P44" s="545">
        <f>Reconcil!I209</f>
        <v>-8153.1584107692761</v>
      </c>
    </row>
    <row r="45" spans="1:16" ht="13.5" thickTop="1"/>
    <row r="46" spans="1:16" ht="13.5" thickBot="1">
      <c r="N46" s="1170" t="s">
        <v>2761</v>
      </c>
      <c r="P46" s="545">
        <v>-18783.502221433504</v>
      </c>
    </row>
    <row r="47" spans="1:16" ht="13.5" thickTop="1"/>
    <row r="48" spans="1:16">
      <c r="N48" s="1170" t="s">
        <v>2758</v>
      </c>
      <c r="P48" s="1169">
        <f>P44-P46</f>
        <v>10630.343810664228</v>
      </c>
    </row>
  </sheetData>
  <mergeCells count="10">
    <mergeCell ref="N6:N10"/>
    <mergeCell ref="A4:O4"/>
    <mergeCell ref="A3:O3"/>
    <mergeCell ref="A1:O1"/>
    <mergeCell ref="A2:O2"/>
    <mergeCell ref="D6:D7"/>
    <mergeCell ref="B6:B7"/>
    <mergeCell ref="J6:J7"/>
    <mergeCell ref="L6:L7"/>
    <mergeCell ref="F6:F10"/>
  </mergeCells>
  <pageMargins left="0.7" right="0.7" top="0.75" bottom="0.75" header="0.3" footer="0.3"/>
  <pageSetup scale="83" orientation="landscape" r:id="rId1"/>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92D050"/>
    <pageSetUpPr fitToPage="1"/>
  </sheetPr>
  <dimension ref="A1:AG371"/>
  <sheetViews>
    <sheetView topLeftCell="A101" workbookViewId="0">
      <selection activeCell="F114" sqref="F114"/>
    </sheetView>
  </sheetViews>
  <sheetFormatPr defaultColWidth="13.5703125" defaultRowHeight="12.75"/>
  <cols>
    <col min="1" max="1" width="31.140625" customWidth="1"/>
    <col min="2" max="2" width="14.140625" customWidth="1"/>
    <col min="3" max="3" width="2.42578125" customWidth="1"/>
    <col min="4" max="4" width="10.5703125" customWidth="1"/>
    <col min="5" max="5" width="2.42578125" customWidth="1"/>
    <col min="6" max="6" width="11" bestFit="1" customWidth="1"/>
    <col min="7" max="7" width="2.42578125" customWidth="1"/>
    <col min="8" max="8" width="9.5703125" customWidth="1"/>
    <col min="9" max="9" width="2.42578125" customWidth="1"/>
    <col min="10" max="10" width="11" customWidth="1"/>
    <col min="11" max="11" width="2.42578125" customWidth="1"/>
    <col min="12" max="12" width="10.85546875" customWidth="1"/>
    <col min="13" max="13" width="4.42578125" customWidth="1"/>
    <col min="14" max="14" width="12.42578125" customWidth="1"/>
    <col min="15" max="15" width="2.42578125" customWidth="1"/>
    <col min="16" max="16" width="9.5703125" customWidth="1"/>
    <col min="17" max="17" width="2.42578125" customWidth="1"/>
    <col min="18" max="18" width="9.5703125" customWidth="1"/>
    <col min="19" max="19" width="2.42578125" customWidth="1"/>
    <col min="20" max="20" width="9.5703125" customWidth="1"/>
    <col min="21" max="21" width="2.42578125" customWidth="1"/>
    <col min="22" max="22" width="9.5703125" customWidth="1"/>
    <col min="23" max="23" width="13.42578125" bestFit="1" customWidth="1"/>
    <col min="24" max="24" width="14" customWidth="1"/>
    <col min="25" max="26" width="13.5703125" customWidth="1"/>
    <col min="27" max="27" width="2.5703125" customWidth="1"/>
    <col min="28" max="28" width="19.42578125" bestFit="1" customWidth="1"/>
    <col min="29" max="29" width="8.85546875" bestFit="1" customWidth="1"/>
    <col min="32" max="32" width="19.42578125" bestFit="1" customWidth="1"/>
  </cols>
  <sheetData>
    <row r="1" spans="1:29">
      <c r="A1" s="835" t="str">
        <f>+Report!A1</f>
        <v xml:space="preserve">                                PEOPLES GAS SYSTEM</v>
      </c>
      <c r="B1" s="836"/>
      <c r="C1" s="836"/>
      <c r="D1" s="836"/>
      <c r="E1" s="836"/>
      <c r="F1" s="836"/>
      <c r="G1" s="836"/>
      <c r="H1" s="836"/>
      <c r="I1" s="836"/>
      <c r="J1" s="836"/>
      <c r="K1" s="837"/>
      <c r="L1" s="837"/>
      <c r="M1" s="836"/>
      <c r="N1" s="836" t="s">
        <v>92</v>
      </c>
      <c r="O1" s="837"/>
      <c r="P1" s="1"/>
      <c r="Q1" s="1"/>
      <c r="R1" s="1"/>
      <c r="S1" s="1"/>
      <c r="T1" s="1"/>
      <c r="U1" s="1"/>
      <c r="V1" s="1"/>
      <c r="W1" s="1"/>
      <c r="X1" s="1"/>
      <c r="Y1" s="1"/>
      <c r="Z1" s="1"/>
      <c r="AA1" s="1"/>
      <c r="AB1" s="1"/>
      <c r="AC1" s="1"/>
    </row>
    <row r="2" spans="1:29" ht="12.95" customHeight="1">
      <c r="A2" s="835" t="str">
        <f>+Report!A2</f>
        <v>EARNINGS SURVEILLANCE REPORT SUMMARY</v>
      </c>
      <c r="B2" s="836"/>
      <c r="C2" s="836"/>
      <c r="D2" s="836"/>
      <c r="E2" s="836"/>
      <c r="F2" s="836"/>
      <c r="G2" s="836"/>
      <c r="H2" s="836"/>
      <c r="I2" s="836"/>
      <c r="J2" s="836"/>
      <c r="K2" s="836"/>
      <c r="L2" s="836"/>
      <c r="M2" s="836"/>
      <c r="N2" s="837"/>
      <c r="O2" s="837"/>
      <c r="P2" s="1"/>
      <c r="Q2" s="1"/>
      <c r="R2" s="1"/>
      <c r="S2" s="1"/>
      <c r="T2" s="1"/>
      <c r="U2" s="1"/>
      <c r="V2" s="1"/>
      <c r="W2" s="1"/>
      <c r="X2" s="1"/>
      <c r="Y2" s="1"/>
      <c r="Z2" s="1"/>
      <c r="AA2" s="1"/>
      <c r="AB2" s="1"/>
      <c r="AC2" s="1"/>
    </row>
    <row r="3" spans="1:29" ht="12.95" customHeight="1">
      <c r="A3" s="228" t="str">
        <f>+Report!A3</f>
        <v>December 2022</v>
      </c>
      <c r="B3" s="836"/>
      <c r="C3" s="836"/>
      <c r="D3" s="836"/>
      <c r="E3" s="836"/>
      <c r="F3" s="836"/>
      <c r="G3" s="836"/>
      <c r="H3" s="836"/>
      <c r="I3" s="836"/>
      <c r="J3" s="836"/>
      <c r="K3" s="836"/>
      <c r="L3" s="836"/>
      <c r="M3" s="836"/>
      <c r="N3" s="837"/>
      <c r="O3" s="837"/>
      <c r="P3" s="1"/>
      <c r="Q3" s="1"/>
      <c r="R3" s="1"/>
      <c r="S3" s="1"/>
      <c r="T3" s="1"/>
      <c r="U3" s="1"/>
      <c r="V3" s="1"/>
      <c r="W3" s="1"/>
      <c r="X3" s="1"/>
      <c r="Y3" s="1"/>
      <c r="Z3" s="1"/>
      <c r="AA3" s="1"/>
      <c r="AB3" s="1"/>
      <c r="AC3" s="1"/>
    </row>
    <row r="4" spans="1:29">
      <c r="A4" s="228" t="str">
        <f>+Report!A4</f>
        <v>(In $ Thousands)</v>
      </c>
      <c r="B4" s="836"/>
      <c r="C4" s="836"/>
      <c r="D4" s="836"/>
      <c r="E4" s="836"/>
      <c r="F4" s="836"/>
      <c r="G4" s="836"/>
      <c r="H4" s="836"/>
      <c r="I4" s="836"/>
      <c r="J4" s="836"/>
      <c r="K4" s="836"/>
      <c r="L4" s="836"/>
      <c r="M4" s="836"/>
      <c r="N4" s="837"/>
      <c r="O4" s="837"/>
      <c r="P4" s="1"/>
      <c r="Q4" s="1"/>
      <c r="R4" s="1"/>
      <c r="S4" s="1"/>
      <c r="T4" s="1"/>
      <c r="U4" s="1"/>
      <c r="V4" s="1"/>
      <c r="W4" s="1"/>
      <c r="X4" s="1"/>
      <c r="Y4" s="1"/>
      <c r="Z4" s="1"/>
      <c r="AA4" s="1"/>
      <c r="AB4" s="1"/>
      <c r="AC4" s="1"/>
    </row>
    <row r="5" spans="1:29">
      <c r="P5" s="41"/>
    </row>
    <row r="6" spans="1:29">
      <c r="A6" s="838"/>
      <c r="P6" s="41"/>
    </row>
    <row r="7" spans="1:29">
      <c r="A7" s="839"/>
      <c r="B7" s="839"/>
      <c r="C7" s="839"/>
      <c r="D7" s="1"/>
      <c r="E7" s="839"/>
      <c r="F7" s="840" t="s">
        <v>94</v>
      </c>
      <c r="G7" s="839"/>
      <c r="H7" s="840" t="s">
        <v>95</v>
      </c>
      <c r="I7" s="839"/>
      <c r="J7" s="840" t="s">
        <v>96</v>
      </c>
      <c r="K7" s="839"/>
      <c r="L7" s="840" t="s">
        <v>97</v>
      </c>
      <c r="M7" s="839"/>
      <c r="N7" s="840" t="s">
        <v>98</v>
      </c>
      <c r="O7" s="1"/>
      <c r="P7" s="1"/>
      <c r="Q7" s="1"/>
      <c r="R7" s="1"/>
      <c r="S7" s="1"/>
      <c r="T7" s="1"/>
      <c r="U7" s="1"/>
      <c r="V7" s="1"/>
      <c r="W7" s="1"/>
      <c r="X7" s="1"/>
      <c r="Y7" s="1"/>
      <c r="Z7" s="1"/>
      <c r="AA7" s="1"/>
      <c r="AB7" s="1"/>
      <c r="AC7" s="1"/>
    </row>
    <row r="8" spans="1:29">
      <c r="A8" s="839"/>
      <c r="B8" s="839"/>
      <c r="C8" s="839"/>
      <c r="D8" s="1"/>
      <c r="E8" s="839"/>
      <c r="F8" s="840" t="s">
        <v>214</v>
      </c>
      <c r="G8" s="839"/>
      <c r="H8" s="840" t="s">
        <v>99</v>
      </c>
      <c r="I8" s="839"/>
      <c r="J8" s="840" t="s">
        <v>99</v>
      </c>
      <c r="K8" s="839"/>
      <c r="L8" s="840" t="s">
        <v>327</v>
      </c>
      <c r="M8" s="839"/>
      <c r="N8" s="840" t="s">
        <v>327</v>
      </c>
      <c r="O8" s="1"/>
      <c r="P8" s="1"/>
      <c r="Q8" s="1"/>
      <c r="R8" s="1"/>
      <c r="S8" s="1"/>
      <c r="T8" s="1"/>
      <c r="U8" s="1"/>
      <c r="V8" s="1"/>
      <c r="W8" s="1"/>
      <c r="X8" s="1"/>
      <c r="Y8" s="1"/>
      <c r="Z8" s="1"/>
      <c r="AA8" s="1"/>
      <c r="AB8" s="1"/>
      <c r="AC8" s="1"/>
    </row>
    <row r="9" spans="1:29">
      <c r="A9" s="839"/>
      <c r="B9" s="839"/>
      <c r="C9" s="839"/>
      <c r="D9" s="1"/>
      <c r="E9" s="839"/>
      <c r="F9" s="841" t="s">
        <v>326</v>
      </c>
      <c r="G9" s="839"/>
      <c r="H9" s="841" t="s">
        <v>206</v>
      </c>
      <c r="I9" s="839"/>
      <c r="J9" s="841" t="s">
        <v>203</v>
      </c>
      <c r="K9" s="839"/>
      <c r="L9" s="841" t="s">
        <v>206</v>
      </c>
      <c r="M9" s="839"/>
      <c r="N9" s="841" t="s">
        <v>203</v>
      </c>
      <c r="O9" s="1"/>
      <c r="P9" s="1"/>
      <c r="Q9" s="1"/>
      <c r="R9" s="1"/>
      <c r="S9" s="1"/>
      <c r="T9" s="1"/>
      <c r="U9" s="1"/>
      <c r="V9" s="1"/>
      <c r="W9" s="1"/>
      <c r="X9" s="1"/>
      <c r="Y9" s="1"/>
      <c r="Z9" s="1"/>
      <c r="AA9" s="1"/>
      <c r="AB9" s="1"/>
      <c r="AC9" s="1"/>
    </row>
    <row r="10" spans="1:29">
      <c r="A10" s="839" t="s">
        <v>103</v>
      </c>
      <c r="B10" s="839"/>
      <c r="C10" s="839"/>
      <c r="D10" s="1"/>
      <c r="E10" s="839"/>
      <c r="F10" s="839"/>
      <c r="G10" s="839"/>
      <c r="H10" s="839"/>
      <c r="I10" s="839"/>
      <c r="J10" s="839"/>
      <c r="K10" s="839"/>
      <c r="L10" s="839"/>
      <c r="M10" s="839"/>
      <c r="N10" s="839"/>
      <c r="O10" s="1"/>
      <c r="P10" s="1"/>
      <c r="Q10" s="1"/>
      <c r="R10" s="1"/>
      <c r="S10" s="1"/>
      <c r="T10" s="1"/>
      <c r="U10" s="1"/>
      <c r="V10" s="1"/>
      <c r="W10" s="1"/>
      <c r="X10" s="1"/>
      <c r="Y10" s="1"/>
      <c r="Z10" s="1"/>
      <c r="AA10" s="1"/>
      <c r="AB10" s="1"/>
      <c r="AC10" s="1"/>
    </row>
    <row r="11" spans="1:29">
      <c r="A11" s="842" t="s">
        <v>104</v>
      </c>
      <c r="B11" s="842"/>
      <c r="C11" s="839"/>
      <c r="D11" s="1"/>
      <c r="E11" s="839"/>
      <c r="F11" s="839"/>
      <c r="G11" s="839"/>
      <c r="H11" s="839"/>
      <c r="I11" s="839"/>
      <c r="J11" s="839"/>
      <c r="K11" s="839"/>
      <c r="L11" s="839"/>
      <c r="M11" s="839"/>
      <c r="N11" s="839"/>
      <c r="O11" s="1"/>
      <c r="P11" s="1"/>
      <c r="Q11" s="1"/>
      <c r="R11" s="1"/>
      <c r="S11" s="1"/>
      <c r="T11" s="1"/>
      <c r="U11" s="1"/>
      <c r="V11" s="1"/>
      <c r="W11" s="1"/>
      <c r="X11" s="1"/>
      <c r="Y11" s="1"/>
      <c r="Z11" s="1"/>
      <c r="AA11" s="1"/>
      <c r="AB11" s="1"/>
      <c r="AC11" s="1"/>
    </row>
    <row r="12" spans="1:29">
      <c r="A12" s="839" t="s">
        <v>0</v>
      </c>
      <c r="B12" s="839"/>
      <c r="C12" s="839"/>
      <c r="D12" s="1"/>
      <c r="E12" s="839" t="s">
        <v>105</v>
      </c>
      <c r="F12" s="843">
        <f>V106</f>
        <v>100881.3210600001</v>
      </c>
      <c r="G12" s="844" t="s">
        <v>105</v>
      </c>
      <c r="H12" s="843">
        <f>V126</f>
        <v>1016.6997430542955</v>
      </c>
      <c r="I12" s="844" t="s">
        <v>105</v>
      </c>
      <c r="J12" s="843">
        <f>F12+H12</f>
        <v>101898.0208030544</v>
      </c>
      <c r="K12" s="844" t="s">
        <v>105</v>
      </c>
      <c r="L12" s="843">
        <f>V139</f>
        <v>0</v>
      </c>
      <c r="M12" s="844" t="s">
        <v>105</v>
      </c>
      <c r="N12" s="843">
        <f>J12+L12</f>
        <v>101898.0208030544</v>
      </c>
      <c r="O12" s="1"/>
      <c r="P12" s="1"/>
      <c r="Q12" s="1"/>
      <c r="R12" s="1"/>
      <c r="S12" s="1"/>
      <c r="T12" s="1"/>
      <c r="U12" s="1"/>
      <c r="V12" s="1"/>
      <c r="W12" s="1"/>
      <c r="X12" s="1"/>
      <c r="Y12" s="1"/>
      <c r="Z12" s="1"/>
      <c r="AA12" s="1"/>
      <c r="AB12" s="1"/>
      <c r="AC12" s="1"/>
    </row>
    <row r="13" spans="1:29">
      <c r="A13" s="839"/>
      <c r="B13" s="839"/>
      <c r="C13" s="839"/>
      <c r="D13" s="1"/>
      <c r="E13" s="839"/>
      <c r="F13" s="844"/>
      <c r="G13" s="844"/>
      <c r="H13" s="844"/>
      <c r="I13" s="844"/>
      <c r="J13" s="844"/>
      <c r="K13" s="844"/>
      <c r="L13" s="844"/>
      <c r="M13" s="844"/>
      <c r="N13" s="844"/>
      <c r="O13" s="1"/>
      <c r="P13" s="1"/>
      <c r="Q13" s="1"/>
      <c r="R13" s="1"/>
      <c r="S13" s="1"/>
      <c r="T13" s="1"/>
      <c r="U13" s="1"/>
      <c r="V13" s="1"/>
      <c r="W13" s="1"/>
      <c r="X13" s="1"/>
      <c r="Y13" s="1"/>
      <c r="Z13" s="1"/>
      <c r="AA13" s="1"/>
      <c r="AB13" s="1"/>
      <c r="AC13" s="1"/>
    </row>
    <row r="14" spans="1:29">
      <c r="A14" s="839" t="s">
        <v>106</v>
      </c>
      <c r="B14" s="839"/>
      <c r="C14" s="839"/>
      <c r="D14" s="1"/>
      <c r="E14" s="839" t="s">
        <v>105</v>
      </c>
      <c r="F14" s="843">
        <f>T55</f>
        <v>1762033.3362699996</v>
      </c>
      <c r="G14" s="844" t="s">
        <v>105</v>
      </c>
      <c r="H14" s="843">
        <f>T77</f>
        <v>-165574.95090486587</v>
      </c>
      <c r="I14" s="844" t="s">
        <v>105</v>
      </c>
      <c r="J14" s="843">
        <f>F14+H14</f>
        <v>1596458.3853651336</v>
      </c>
      <c r="K14" s="844" t="s">
        <v>105</v>
      </c>
      <c r="L14" s="843">
        <f>T89</f>
        <v>0</v>
      </c>
      <c r="M14" s="844" t="s">
        <v>105</v>
      </c>
      <c r="N14" s="843">
        <f>J14+L14</f>
        <v>1596458.3853651336</v>
      </c>
      <c r="O14" s="1"/>
      <c r="P14" s="1"/>
      <c r="Q14" s="1"/>
      <c r="R14" s="1"/>
      <c r="S14" s="1"/>
      <c r="T14" s="1"/>
      <c r="U14" s="1"/>
      <c r="V14" s="1"/>
      <c r="W14" s="1"/>
      <c r="X14" s="1"/>
      <c r="Y14" s="1"/>
      <c r="Z14" s="1"/>
      <c r="AA14" s="1"/>
      <c r="AB14" s="1"/>
      <c r="AC14" s="1"/>
    </row>
    <row r="15" spans="1:29">
      <c r="A15" s="839" t="s">
        <v>7</v>
      </c>
      <c r="B15" s="839"/>
      <c r="C15" s="839"/>
      <c r="D15" s="1"/>
      <c r="E15" s="839"/>
      <c r="F15" s="839"/>
      <c r="G15" s="839"/>
      <c r="H15" s="839"/>
      <c r="I15" s="839"/>
      <c r="J15" s="839"/>
      <c r="K15" s="839"/>
      <c r="L15" s="1"/>
      <c r="M15" s="839"/>
      <c r="N15" s="839"/>
      <c r="O15" s="1"/>
      <c r="P15" s="1"/>
      <c r="Q15" s="1"/>
      <c r="R15" s="1"/>
      <c r="S15" s="1"/>
      <c r="T15" s="1"/>
      <c r="U15" s="1"/>
      <c r="V15" s="1"/>
      <c r="W15" s="1"/>
      <c r="X15" s="1"/>
      <c r="Y15" s="1"/>
      <c r="Z15" s="1"/>
      <c r="AA15" s="1"/>
      <c r="AB15" s="1"/>
      <c r="AC15" s="1"/>
    </row>
    <row r="16" spans="1:29">
      <c r="A16" s="839" t="s">
        <v>107</v>
      </c>
      <c r="B16" s="839"/>
      <c r="C16" s="839"/>
      <c r="D16" s="1"/>
      <c r="E16" s="839"/>
      <c r="F16" s="845">
        <f>ROUND(F12/F14*100,4)</f>
        <v>5.7252999999999998</v>
      </c>
      <c r="G16" s="846" t="s">
        <v>108</v>
      </c>
      <c r="H16" s="846"/>
      <c r="I16" s="846" t="s">
        <v>7</v>
      </c>
      <c r="J16" s="845">
        <f>ROUND(J12/J14*100,4)</f>
        <v>6.3827999999999996</v>
      </c>
      <c r="K16" s="846" t="s">
        <v>108</v>
      </c>
      <c r="L16" s="847"/>
      <c r="M16" s="846"/>
      <c r="N16" s="845">
        <f>ROUND(N12/N14*100,4)</f>
        <v>6.3827999999999996</v>
      </c>
      <c r="O16" s="839" t="s">
        <v>108</v>
      </c>
      <c r="P16" s="1"/>
      <c r="Q16" s="1"/>
      <c r="R16" s="1"/>
      <c r="S16" s="1"/>
      <c r="T16" s="1"/>
      <c r="U16" s="1"/>
      <c r="V16" s="1"/>
      <c r="W16" s="1"/>
      <c r="X16" s="1"/>
      <c r="Y16" s="1"/>
      <c r="Z16" s="1"/>
      <c r="AA16" s="1"/>
      <c r="AB16" s="1"/>
      <c r="AC16" s="1"/>
    </row>
    <row r="17" spans="1:29">
      <c r="A17" s="839"/>
      <c r="B17" s="839"/>
      <c r="C17" s="839"/>
      <c r="D17" s="1"/>
      <c r="E17" s="839"/>
      <c r="F17" s="839"/>
      <c r="G17" s="839"/>
      <c r="H17" s="839"/>
      <c r="I17" s="839"/>
      <c r="J17" s="839"/>
      <c r="K17" s="839"/>
      <c r="L17" s="839"/>
      <c r="M17" s="839"/>
      <c r="N17" s="1"/>
      <c r="O17" s="839"/>
      <c r="P17" s="1"/>
      <c r="Q17" s="1"/>
      <c r="R17" s="1"/>
      <c r="S17" s="1"/>
      <c r="T17" s="1"/>
      <c r="U17" s="1"/>
      <c r="V17" s="1"/>
      <c r="W17" s="1"/>
      <c r="X17" s="1"/>
      <c r="Y17" s="1"/>
      <c r="Z17" s="1"/>
      <c r="AA17" s="1"/>
      <c r="AB17" s="1"/>
      <c r="AC17" s="1"/>
    </row>
    <row r="18" spans="1:29">
      <c r="A18" s="839"/>
      <c r="B18" s="839"/>
      <c r="C18" s="839"/>
      <c r="D18" s="1"/>
      <c r="E18" s="839"/>
      <c r="F18" s="839"/>
      <c r="G18" s="839"/>
      <c r="H18" s="839"/>
      <c r="I18" s="839"/>
      <c r="J18" s="839"/>
      <c r="K18" s="839"/>
      <c r="L18" s="839"/>
      <c r="M18" s="839"/>
      <c r="N18" s="1"/>
      <c r="O18" s="839"/>
      <c r="P18" s="1"/>
      <c r="Q18" s="1"/>
      <c r="R18" s="1"/>
      <c r="S18" s="1"/>
      <c r="T18" s="1"/>
      <c r="U18" s="1"/>
      <c r="V18" s="1"/>
      <c r="W18" s="1"/>
      <c r="X18" s="1"/>
      <c r="Y18" s="1"/>
      <c r="Z18" s="1"/>
      <c r="AA18" s="1"/>
      <c r="AB18" s="1"/>
      <c r="AC18" s="1"/>
    </row>
    <row r="19" spans="1:29" ht="13.5" thickBot="1">
      <c r="A19" s="848"/>
      <c r="B19" s="848"/>
      <c r="C19" s="848"/>
      <c r="D19" s="849"/>
      <c r="E19" s="848"/>
      <c r="F19" s="848"/>
      <c r="G19" s="848"/>
      <c r="H19" s="848"/>
      <c r="I19" s="848"/>
      <c r="J19" s="848"/>
      <c r="K19" s="848"/>
      <c r="L19" s="848"/>
      <c r="M19" s="848"/>
      <c r="N19" s="849"/>
      <c r="O19" s="839"/>
      <c r="P19" s="1"/>
      <c r="Q19" s="1"/>
      <c r="R19" s="1"/>
      <c r="S19" s="1"/>
      <c r="T19" s="1"/>
      <c r="U19" s="1"/>
      <c r="V19" s="1"/>
      <c r="W19" s="1"/>
      <c r="X19" s="1"/>
      <c r="Y19" s="1"/>
      <c r="Z19" s="1"/>
      <c r="AA19" s="1"/>
      <c r="AB19" s="1"/>
      <c r="AC19" s="1"/>
    </row>
    <row r="20" spans="1:29" ht="13.5" thickTop="1">
      <c r="A20" s="839"/>
      <c r="B20" s="839"/>
      <c r="C20" s="839"/>
      <c r="D20" s="1"/>
      <c r="E20" s="839"/>
      <c r="F20" s="839"/>
      <c r="G20" s="839"/>
      <c r="H20" s="839"/>
      <c r="I20" s="839"/>
      <c r="J20" s="839"/>
      <c r="K20" s="839"/>
      <c r="L20" s="839"/>
      <c r="M20" s="839"/>
      <c r="N20" s="1"/>
      <c r="O20" s="839"/>
      <c r="P20" s="1"/>
      <c r="Q20" s="1"/>
      <c r="R20" s="1"/>
      <c r="S20" s="1"/>
      <c r="T20" s="1"/>
      <c r="U20" s="1"/>
      <c r="V20" s="1"/>
      <c r="W20" s="1"/>
      <c r="X20" s="1"/>
      <c r="Y20" s="1"/>
      <c r="Z20" s="1"/>
      <c r="AA20" s="1"/>
      <c r="AB20" s="1"/>
      <c r="AC20" s="1"/>
    </row>
    <row r="21" spans="1:29">
      <c r="A21" s="839" t="s">
        <v>425</v>
      </c>
      <c r="B21" s="839"/>
      <c r="C21" s="839"/>
      <c r="D21" s="1"/>
      <c r="E21" s="839"/>
      <c r="F21" s="839"/>
      <c r="G21" s="1"/>
      <c r="H21" s="1"/>
      <c r="I21" s="850" t="s">
        <v>426</v>
      </c>
      <c r="J21" s="1"/>
      <c r="K21" s="839"/>
      <c r="L21" s="839"/>
      <c r="M21" s="839"/>
      <c r="N21" s="1"/>
      <c r="O21" s="1"/>
      <c r="P21" s="1"/>
      <c r="Q21" s="1"/>
      <c r="R21" s="1"/>
      <c r="S21" s="1"/>
      <c r="T21" s="1"/>
      <c r="U21" s="1"/>
      <c r="V21" s="1"/>
      <c r="W21" s="1"/>
      <c r="X21" s="1"/>
      <c r="Y21" s="1"/>
      <c r="Z21" s="1"/>
      <c r="AA21" s="1"/>
      <c r="AB21" s="1"/>
      <c r="AC21" s="1"/>
    </row>
    <row r="22" spans="1:29">
      <c r="A22" s="839" t="s">
        <v>109</v>
      </c>
      <c r="B22" s="839"/>
      <c r="C22" s="839"/>
      <c r="D22" s="1"/>
      <c r="E22" s="839"/>
      <c r="F22" s="839"/>
      <c r="G22" s="1"/>
      <c r="H22" s="1"/>
      <c r="I22" s="1"/>
      <c r="J22" s="1"/>
      <c r="K22" s="1"/>
      <c r="L22" s="1"/>
      <c r="M22" s="839"/>
      <c r="N22" s="1"/>
      <c r="O22" s="1"/>
      <c r="P22" s="1"/>
      <c r="Q22" s="1"/>
      <c r="R22" s="1"/>
      <c r="S22" s="1"/>
      <c r="T22" s="1"/>
      <c r="U22" s="1"/>
      <c r="V22" s="1"/>
      <c r="W22" s="1"/>
      <c r="X22" s="1"/>
      <c r="Y22" s="1"/>
      <c r="Z22" s="1"/>
      <c r="AA22" s="1"/>
      <c r="AB22" s="1"/>
      <c r="AC22" s="1"/>
    </row>
    <row r="23" spans="1:29">
      <c r="A23" s="842" t="s">
        <v>110</v>
      </c>
      <c r="B23" s="842"/>
      <c r="C23" s="839"/>
      <c r="D23" s="1"/>
      <c r="E23" s="839"/>
      <c r="F23" s="839"/>
      <c r="G23" s="1"/>
      <c r="H23" s="1"/>
      <c r="I23" s="1"/>
      <c r="J23" s="1"/>
      <c r="K23" s="1"/>
      <c r="L23" s="840" t="s">
        <v>99</v>
      </c>
      <c r="M23" s="851"/>
      <c r="N23" s="840" t="s">
        <v>100</v>
      </c>
      <c r="O23" s="1"/>
      <c r="P23" s="1"/>
      <c r="Q23" s="1"/>
      <c r="R23" s="1"/>
      <c r="S23" s="1"/>
      <c r="T23" s="1"/>
      <c r="U23" s="1"/>
      <c r="V23" s="1"/>
      <c r="W23" s="1"/>
      <c r="X23" s="1"/>
      <c r="Y23" s="1"/>
      <c r="Z23" s="1"/>
      <c r="AA23" s="1"/>
      <c r="AB23" s="1"/>
      <c r="AC23" s="1"/>
    </row>
    <row r="24" spans="1:29">
      <c r="A24" s="1"/>
      <c r="B24" s="839" t="s">
        <v>111</v>
      </c>
      <c r="C24" s="839"/>
      <c r="D24" s="845">
        <f>N171</f>
        <v>5.29</v>
      </c>
      <c r="E24" s="839" t="s">
        <v>108</v>
      </c>
      <c r="F24" s="1"/>
      <c r="G24" s="1"/>
      <c r="H24" s="1"/>
      <c r="I24" s="1"/>
      <c r="J24" s="1"/>
      <c r="K24" s="1"/>
      <c r="L24" s="852" t="s">
        <v>102</v>
      </c>
      <c r="M24" s="851"/>
      <c r="N24" s="852" t="s">
        <v>102</v>
      </c>
      <c r="O24" s="1"/>
      <c r="P24" s="1"/>
      <c r="Q24" s="1"/>
      <c r="R24" s="1"/>
      <c r="S24" s="1"/>
      <c r="T24" s="1"/>
      <c r="U24" s="1"/>
      <c r="V24" s="1"/>
      <c r="W24" s="1"/>
      <c r="X24" s="1"/>
      <c r="Y24" s="1"/>
      <c r="Z24" s="1"/>
      <c r="AA24" s="1"/>
      <c r="AB24" s="1"/>
      <c r="AC24" s="1"/>
    </row>
    <row r="25" spans="1:29">
      <c r="A25" s="1"/>
      <c r="B25" s="839"/>
      <c r="C25" s="839"/>
      <c r="D25" s="846"/>
      <c r="E25" s="839"/>
      <c r="F25" s="1"/>
      <c r="G25" s="839" t="s">
        <v>112</v>
      </c>
      <c r="H25" s="1"/>
      <c r="I25" s="839"/>
      <c r="J25" s="839"/>
      <c r="K25" s="839"/>
      <c r="L25" s="1"/>
      <c r="M25" s="839"/>
      <c r="N25" s="1"/>
      <c r="O25" s="1"/>
      <c r="P25" s="853"/>
      <c r="Q25" s="1"/>
      <c r="R25" s="1"/>
      <c r="S25" s="1"/>
      <c r="T25" s="1"/>
      <c r="U25" s="1"/>
      <c r="V25" s="1"/>
      <c r="W25" s="1"/>
      <c r="X25" s="1"/>
      <c r="Y25" s="1"/>
      <c r="Z25" s="1"/>
      <c r="AA25" s="1"/>
      <c r="AB25" s="1"/>
      <c r="AC25" s="1"/>
    </row>
    <row r="26" spans="1:29">
      <c r="A26" s="1"/>
      <c r="B26" s="839" t="s">
        <v>113</v>
      </c>
      <c r="C26" s="839"/>
      <c r="D26" s="845">
        <f>R171</f>
        <v>5.75</v>
      </c>
      <c r="E26" s="839" t="s">
        <v>108</v>
      </c>
      <c r="F26" s="1"/>
      <c r="G26" s="839" t="s">
        <v>114</v>
      </c>
      <c r="H26" s="1"/>
      <c r="I26" s="839"/>
      <c r="J26" s="839"/>
      <c r="K26" s="839"/>
      <c r="L26" s="845">
        <f>H203</f>
        <v>11.253299999999999</v>
      </c>
      <c r="M26" s="839" t="s">
        <v>108</v>
      </c>
      <c r="N26" s="854">
        <f>H264</f>
        <v>11.253299999999999</v>
      </c>
      <c r="O26" s="839" t="s">
        <v>108</v>
      </c>
      <c r="P26" s="1"/>
      <c r="Q26" s="1"/>
      <c r="R26" s="847"/>
      <c r="S26" s="1"/>
      <c r="T26" s="1"/>
      <c r="U26" s="1"/>
      <c r="V26" s="1"/>
      <c r="W26" s="1"/>
      <c r="X26" s="1"/>
      <c r="Y26" s="1"/>
      <c r="Z26" s="1"/>
      <c r="AA26" s="1"/>
      <c r="AB26" s="1"/>
      <c r="AC26" s="1"/>
    </row>
    <row r="27" spans="1:29">
      <c r="A27" s="1"/>
      <c r="B27" s="839"/>
      <c r="C27" s="839"/>
      <c r="D27" s="846"/>
      <c r="E27" s="839"/>
      <c r="F27" s="1"/>
      <c r="G27" s="1"/>
      <c r="H27" s="1"/>
      <c r="I27" s="1"/>
      <c r="J27" s="1"/>
      <c r="K27" s="1"/>
      <c r="L27" s="1"/>
      <c r="M27" s="839"/>
      <c r="N27" s="1"/>
      <c r="O27" s="1"/>
      <c r="P27" s="1"/>
      <c r="Q27" s="1"/>
      <c r="R27" s="1"/>
      <c r="S27" s="1"/>
      <c r="T27" s="1"/>
      <c r="U27" s="1"/>
      <c r="V27" s="1"/>
      <c r="W27" s="1"/>
      <c r="X27" s="1"/>
      <c r="Y27" s="1"/>
      <c r="Z27" s="1"/>
      <c r="AA27" s="1"/>
      <c r="AB27" s="1"/>
      <c r="AC27" s="1"/>
    </row>
    <row r="28" spans="1:29">
      <c r="A28" s="1"/>
      <c r="B28" s="839" t="s">
        <v>115</v>
      </c>
      <c r="C28" s="839"/>
      <c r="D28" s="845">
        <f>V171</f>
        <v>6.2700000000000005</v>
      </c>
      <c r="E28" s="839" t="s">
        <v>108</v>
      </c>
      <c r="F28" s="1"/>
      <c r="G28" s="839" t="s">
        <v>116</v>
      </c>
      <c r="H28" s="1"/>
      <c r="I28" s="839"/>
      <c r="J28" s="839"/>
      <c r="K28" s="839"/>
      <c r="L28" s="1"/>
      <c r="M28" s="839"/>
      <c r="N28" s="1"/>
      <c r="O28" s="1"/>
      <c r="P28" s="1"/>
      <c r="Q28" s="1"/>
      <c r="R28" s="1"/>
      <c r="S28" s="1"/>
      <c r="T28" s="1"/>
      <c r="U28" s="1"/>
      <c r="V28" s="1"/>
      <c r="W28" s="1"/>
      <c r="X28" s="1"/>
      <c r="Y28" s="1"/>
      <c r="Z28" s="1"/>
      <c r="AA28" s="1"/>
      <c r="AB28" s="1"/>
      <c r="AC28" s="1"/>
    </row>
    <row r="29" spans="1:29">
      <c r="A29" s="839"/>
      <c r="B29" s="839"/>
      <c r="C29" s="839"/>
      <c r="D29" s="839"/>
      <c r="E29" s="839"/>
      <c r="F29" s="839"/>
      <c r="G29" s="839" t="s">
        <v>114</v>
      </c>
      <c r="H29" s="839"/>
      <c r="I29" s="839"/>
      <c r="J29" s="839"/>
      <c r="K29" s="839"/>
      <c r="L29" s="845">
        <f>H230</f>
        <v>10.87847070099685</v>
      </c>
      <c r="M29" s="839" t="s">
        <v>108</v>
      </c>
      <c r="N29" s="845">
        <f>H291</f>
        <v>10.87847070099685</v>
      </c>
      <c r="O29" s="839" t="s">
        <v>108</v>
      </c>
      <c r="P29" s="1"/>
      <c r="Q29" s="1"/>
      <c r="R29" s="1"/>
      <c r="S29" s="1"/>
      <c r="T29" s="1"/>
      <c r="U29" s="1"/>
      <c r="V29" s="1"/>
      <c r="W29" s="1"/>
      <c r="X29" s="1"/>
      <c r="Y29" s="1"/>
      <c r="Z29" s="1"/>
      <c r="AA29" s="1"/>
      <c r="AB29" s="1"/>
      <c r="AC29" s="1"/>
    </row>
    <row r="30" spans="1:29">
      <c r="A30" s="839"/>
      <c r="B30" s="839"/>
      <c r="C30" s="839"/>
      <c r="D30" s="839"/>
      <c r="E30" s="839"/>
      <c r="F30" s="839"/>
      <c r="G30" s="839"/>
      <c r="H30" s="839"/>
      <c r="I30" s="839"/>
      <c r="J30" s="839"/>
      <c r="K30" s="839"/>
      <c r="L30" s="839"/>
      <c r="M30" s="839"/>
      <c r="N30" s="1"/>
      <c r="O30" s="839"/>
      <c r="P30" s="1"/>
      <c r="Q30" s="1"/>
      <c r="R30" s="1"/>
      <c r="S30" s="1"/>
      <c r="T30" s="1"/>
      <c r="U30" s="1"/>
      <c r="V30" s="1"/>
      <c r="W30" s="1"/>
      <c r="X30" s="1"/>
      <c r="Y30" s="1"/>
      <c r="Z30" s="1"/>
      <c r="AA30" s="1"/>
      <c r="AB30" s="1"/>
      <c r="AC30" s="1"/>
    </row>
    <row r="31" spans="1:29">
      <c r="A31" s="839"/>
      <c r="B31" s="839"/>
      <c r="C31" s="839" t="s">
        <v>7</v>
      </c>
      <c r="D31" s="839"/>
      <c r="E31" s="839"/>
      <c r="F31" s="839"/>
      <c r="G31" s="839"/>
      <c r="H31" s="839"/>
      <c r="I31" s="839"/>
      <c r="J31" s="839"/>
      <c r="K31" s="839"/>
      <c r="L31" s="839"/>
      <c r="M31" s="839"/>
      <c r="N31" s="1"/>
      <c r="O31" s="839"/>
      <c r="P31" s="1"/>
      <c r="Q31" s="1"/>
      <c r="R31" s="1"/>
      <c r="S31" s="1"/>
      <c r="T31" s="1"/>
      <c r="U31" s="1"/>
      <c r="V31" s="1"/>
      <c r="W31" s="1"/>
      <c r="X31" s="1"/>
      <c r="Y31" s="1"/>
      <c r="Z31" s="1"/>
      <c r="AA31" s="1"/>
      <c r="AB31" s="1"/>
      <c r="AC31" s="1"/>
    </row>
    <row r="32" spans="1:29">
      <c r="A32" s="855" t="s">
        <v>117</v>
      </c>
      <c r="B32" s="856"/>
      <c r="C32" s="856"/>
      <c r="D32" s="856"/>
      <c r="E32" s="856"/>
      <c r="F32" s="856"/>
      <c r="G32" s="856"/>
      <c r="H32" s="856"/>
      <c r="I32" s="856"/>
      <c r="J32" s="856"/>
      <c r="K32" s="856"/>
      <c r="L32" s="857"/>
      <c r="M32" s="839"/>
      <c r="N32" s="1"/>
      <c r="O32" s="839"/>
      <c r="P32" s="1"/>
      <c r="Q32" s="1"/>
      <c r="R32" s="1"/>
      <c r="S32" s="1"/>
      <c r="T32" s="1"/>
      <c r="U32" s="1"/>
      <c r="V32" s="1"/>
      <c r="W32" s="1"/>
      <c r="X32" s="1"/>
      <c r="Y32" s="1"/>
      <c r="Z32" s="1"/>
      <c r="AA32" s="1"/>
      <c r="AB32" s="1"/>
      <c r="AC32" s="1"/>
    </row>
    <row r="33" spans="1:29">
      <c r="A33" s="136"/>
      <c r="B33" s="839"/>
      <c r="C33" s="839"/>
      <c r="D33" s="839"/>
      <c r="E33" s="839"/>
      <c r="F33" s="839"/>
      <c r="G33" s="839"/>
      <c r="H33" s="839"/>
      <c r="I33" s="839"/>
      <c r="J33" s="839"/>
      <c r="K33" s="839"/>
      <c r="L33" s="858"/>
      <c r="M33" s="839"/>
      <c r="N33" s="1"/>
      <c r="O33" s="839"/>
      <c r="P33" s="1"/>
      <c r="Q33" s="1"/>
      <c r="R33" s="1"/>
      <c r="S33" s="1"/>
      <c r="T33" s="1"/>
      <c r="U33" s="1"/>
      <c r="V33" s="1"/>
      <c r="W33" s="1"/>
      <c r="X33" s="1"/>
      <c r="Y33" s="1"/>
      <c r="Z33" s="1"/>
      <c r="AA33" s="1"/>
      <c r="AB33" s="1"/>
      <c r="AC33" s="1"/>
    </row>
    <row r="34" spans="1:29">
      <c r="A34" s="136"/>
      <c r="B34" s="839" t="s">
        <v>118</v>
      </c>
      <c r="C34" s="839"/>
      <c r="D34" s="839"/>
      <c r="E34" s="839"/>
      <c r="F34" s="839"/>
      <c r="G34" s="839"/>
      <c r="H34" s="839"/>
      <c r="I34" s="839"/>
      <c r="J34" s="839"/>
      <c r="K34" s="839"/>
      <c r="L34" s="858"/>
      <c r="M34" s="839"/>
      <c r="N34" s="1"/>
      <c r="O34" s="839"/>
      <c r="P34" s="1"/>
      <c r="Q34" s="1"/>
      <c r="R34" s="1"/>
      <c r="S34" s="1"/>
      <c r="T34" s="1"/>
      <c r="U34" s="1"/>
      <c r="V34" s="1"/>
      <c r="W34" s="1"/>
      <c r="X34" s="1"/>
      <c r="Y34" s="1"/>
      <c r="Z34" s="1"/>
      <c r="AA34" s="1"/>
      <c r="AB34" s="1"/>
      <c r="AC34" s="1"/>
    </row>
    <row r="35" spans="1:29">
      <c r="A35" s="136"/>
      <c r="B35" s="839" t="s">
        <v>427</v>
      </c>
      <c r="C35" s="839"/>
      <c r="D35" s="839"/>
      <c r="E35" s="839"/>
      <c r="F35" s="839"/>
      <c r="G35" s="839"/>
      <c r="H35" s="839"/>
      <c r="I35" s="839"/>
      <c r="J35" s="839"/>
      <c r="K35" s="839"/>
      <c r="L35" s="858"/>
      <c r="M35" s="839"/>
      <c r="N35" s="1"/>
      <c r="O35" s="839"/>
      <c r="P35" s="1"/>
      <c r="Q35" s="1"/>
      <c r="R35" s="1"/>
      <c r="S35" s="1"/>
      <c r="T35" s="1"/>
      <c r="U35" s="1"/>
      <c r="V35" s="1"/>
      <c r="W35" s="1"/>
      <c r="X35" s="1"/>
      <c r="Y35" s="1"/>
      <c r="Z35" s="1"/>
      <c r="AA35" s="1"/>
      <c r="AB35" s="1"/>
      <c r="AC35" s="1"/>
    </row>
    <row r="36" spans="1:29">
      <c r="A36" s="136"/>
      <c r="B36" s="839" t="s">
        <v>119</v>
      </c>
      <c r="C36" s="839"/>
      <c r="D36" s="839"/>
      <c r="E36" s="839"/>
      <c r="F36" s="839"/>
      <c r="G36" s="839"/>
      <c r="H36" s="839"/>
      <c r="I36" s="839"/>
      <c r="J36" s="839"/>
      <c r="K36" s="839"/>
      <c r="L36" s="858"/>
      <c r="M36" s="839"/>
      <c r="N36" s="1"/>
      <c r="O36" s="839"/>
      <c r="P36" s="1"/>
      <c r="Q36" s="1"/>
      <c r="R36" s="1"/>
      <c r="S36" s="1"/>
      <c r="T36" s="1"/>
      <c r="U36" s="1"/>
      <c r="V36" s="1"/>
      <c r="W36" s="1"/>
      <c r="X36" s="1"/>
      <c r="Y36" s="1"/>
      <c r="Z36" s="1"/>
      <c r="AA36" s="1"/>
      <c r="AB36" s="1"/>
      <c r="AC36" s="1"/>
    </row>
    <row r="37" spans="1:29">
      <c r="A37" s="136"/>
      <c r="B37" s="839" t="s">
        <v>428</v>
      </c>
      <c r="C37" s="839"/>
      <c r="D37" s="839"/>
      <c r="E37" s="839"/>
      <c r="F37" s="839"/>
      <c r="G37" s="839"/>
      <c r="H37" s="839"/>
      <c r="I37" s="839"/>
      <c r="J37" s="839"/>
      <c r="K37" s="839"/>
      <c r="L37" s="858"/>
      <c r="M37" s="839"/>
      <c r="N37" s="1"/>
      <c r="O37" s="839"/>
      <c r="P37" s="1"/>
      <c r="Q37" s="1"/>
      <c r="R37" s="1"/>
      <c r="S37" s="1"/>
      <c r="T37" s="1"/>
      <c r="U37" s="1"/>
      <c r="V37" s="1"/>
      <c r="W37" s="1"/>
      <c r="X37" s="1"/>
      <c r="Y37" s="1"/>
      <c r="Z37" s="1"/>
      <c r="AA37" s="1"/>
      <c r="AB37" s="1"/>
      <c r="AC37" s="1"/>
    </row>
    <row r="38" spans="1:29">
      <c r="A38" s="136"/>
      <c r="B38" s="839"/>
      <c r="C38" s="839"/>
      <c r="D38" s="839"/>
      <c r="E38" s="839"/>
      <c r="F38" s="839"/>
      <c r="G38" s="839"/>
      <c r="H38" s="839"/>
      <c r="I38" s="839"/>
      <c r="J38" s="839"/>
      <c r="K38" s="839"/>
      <c r="L38" s="858"/>
      <c r="M38" s="839"/>
      <c r="N38" s="1"/>
      <c r="O38" s="839"/>
      <c r="P38" s="1"/>
      <c r="Q38" s="1"/>
      <c r="R38" s="1"/>
      <c r="S38" s="1"/>
      <c r="T38" s="1"/>
      <c r="U38" s="1"/>
      <c r="V38" s="1"/>
      <c r="W38" s="1"/>
      <c r="X38" s="1"/>
      <c r="Y38" s="1"/>
      <c r="Z38" s="1"/>
      <c r="AA38" s="1"/>
      <c r="AB38" s="1"/>
      <c r="AC38" s="1"/>
    </row>
    <row r="39" spans="1:29">
      <c r="A39" s="136" t="str">
        <f>+Report!A39</f>
        <v>/s/ Rachel B. Parsons, VP of Finance and Planning</v>
      </c>
      <c r="B39" s="839"/>
      <c r="C39" s="839"/>
      <c r="D39" s="839"/>
      <c r="E39" s="839"/>
      <c r="F39" s="839"/>
      <c r="G39" s="839"/>
      <c r="H39" s="839"/>
      <c r="I39" s="839"/>
      <c r="J39" s="839"/>
      <c r="K39" s="839"/>
      <c r="L39" s="858"/>
      <c r="M39" s="839"/>
      <c r="N39" s="1"/>
      <c r="O39" s="839"/>
      <c r="P39" s="1"/>
      <c r="Q39" s="1"/>
      <c r="R39" s="1"/>
      <c r="S39" s="1"/>
      <c r="T39" s="1"/>
      <c r="U39" s="1"/>
      <c r="V39" s="1"/>
      <c r="W39" s="1"/>
      <c r="X39" s="1"/>
      <c r="Y39" s="1"/>
      <c r="Z39" s="1"/>
      <c r="AA39" s="1"/>
      <c r="AB39" s="1"/>
      <c r="AC39" s="1"/>
    </row>
    <row r="40" spans="1:29">
      <c r="A40" s="855" t="s">
        <v>424</v>
      </c>
      <c r="B40" s="856"/>
      <c r="C40" s="839"/>
      <c r="D40" s="839"/>
      <c r="E40" s="856" t="s">
        <v>120</v>
      </c>
      <c r="F40" s="856"/>
      <c r="G40" s="856"/>
      <c r="H40" s="856"/>
      <c r="I40" s="859"/>
      <c r="J40" s="1"/>
      <c r="K40" s="859"/>
      <c r="L40" s="860" t="s">
        <v>121</v>
      </c>
      <c r="M40" s="839"/>
      <c r="N40" s="1"/>
      <c r="O40" s="839"/>
      <c r="P40" s="1"/>
      <c r="Q40" s="1"/>
      <c r="R40" s="1"/>
      <c r="S40" s="1"/>
      <c r="T40" s="1"/>
      <c r="U40" s="1"/>
      <c r="V40" s="1"/>
      <c r="W40" s="1"/>
      <c r="X40" s="1"/>
      <c r="Y40" s="1"/>
      <c r="Z40" s="1"/>
      <c r="AA40" s="1"/>
      <c r="AB40" s="1"/>
      <c r="AC40" s="1"/>
    </row>
    <row r="41" spans="1:29">
      <c r="A41" s="861"/>
      <c r="B41" s="842"/>
      <c r="C41" s="842"/>
      <c r="D41" s="842"/>
      <c r="E41" s="842"/>
      <c r="F41" s="842"/>
      <c r="G41" s="842"/>
      <c r="H41" s="842"/>
      <c r="I41" s="842"/>
      <c r="J41" s="842"/>
      <c r="K41" s="842"/>
      <c r="L41" s="862"/>
      <c r="M41" s="839"/>
      <c r="N41" s="863" t="s">
        <v>122</v>
      </c>
      <c r="O41" s="839"/>
      <c r="P41" s="1"/>
      <c r="Q41" s="1"/>
      <c r="R41" s="1"/>
      <c r="S41" s="1"/>
      <c r="T41" s="1"/>
      <c r="U41" s="1"/>
      <c r="V41" s="1"/>
      <c r="W41" s="1"/>
      <c r="X41" s="1"/>
      <c r="Y41" s="1"/>
      <c r="Z41" s="1"/>
      <c r="AA41" s="1"/>
      <c r="AB41" s="1"/>
      <c r="AC41" s="1"/>
    </row>
    <row r="45" spans="1:29">
      <c r="A45" s="835" t="str">
        <f>+Report!A45</f>
        <v>PEOPLES GAS SYSTEM</v>
      </c>
      <c r="B45" s="836"/>
      <c r="C45" s="836"/>
      <c r="D45" s="836"/>
      <c r="E45" s="836"/>
      <c r="F45" s="836"/>
      <c r="G45" s="837"/>
      <c r="H45" s="5"/>
      <c r="I45" s="836"/>
      <c r="J45" s="836"/>
      <c r="K45" s="836"/>
      <c r="L45" s="836"/>
      <c r="M45" s="836"/>
      <c r="N45" s="836"/>
      <c r="O45" s="836"/>
      <c r="P45" s="836"/>
      <c r="Q45" s="837"/>
      <c r="R45" s="837"/>
      <c r="S45" s="1"/>
      <c r="T45" s="836" t="s">
        <v>123</v>
      </c>
      <c r="U45" s="1"/>
      <c r="V45" s="1"/>
      <c r="W45" s="1"/>
      <c r="X45" s="1"/>
      <c r="Y45" s="1"/>
      <c r="Z45" s="1"/>
      <c r="AA45" s="1"/>
      <c r="AB45" s="1"/>
      <c r="AC45" s="1"/>
    </row>
    <row r="46" spans="1:29">
      <c r="A46" s="835" t="s">
        <v>1754</v>
      </c>
      <c r="B46" s="836"/>
      <c r="C46" s="836"/>
      <c r="D46" s="836"/>
      <c r="E46" s="836"/>
      <c r="F46" s="836"/>
      <c r="G46" s="836"/>
      <c r="H46" s="5"/>
      <c r="I46" s="836"/>
      <c r="J46" s="836"/>
      <c r="K46" s="836"/>
      <c r="L46" s="836"/>
      <c r="M46" s="836"/>
      <c r="N46" s="836"/>
      <c r="O46" s="836"/>
      <c r="P46" s="837"/>
      <c r="Q46" s="837"/>
      <c r="R46" s="837"/>
      <c r="S46" s="1"/>
      <c r="T46" s="836"/>
      <c r="U46" s="1"/>
      <c r="V46" s="1"/>
      <c r="W46" s="1"/>
      <c r="X46" s="1"/>
      <c r="Y46" s="1"/>
      <c r="Z46" s="1"/>
      <c r="AA46" s="1"/>
      <c r="AB46" s="1"/>
      <c r="AC46" s="1"/>
    </row>
    <row r="47" spans="1:29">
      <c r="A47" s="835" t="str">
        <f>+Report!A47</f>
        <v>December 2022</v>
      </c>
      <c r="B47" s="836"/>
      <c r="C47" s="836"/>
      <c r="D47" s="836"/>
      <c r="E47" s="836"/>
      <c r="F47" s="836"/>
      <c r="G47" s="836"/>
      <c r="H47" s="5"/>
      <c r="I47" s="836"/>
      <c r="J47" s="836"/>
      <c r="K47" s="836"/>
      <c r="L47" s="836"/>
      <c r="M47" s="836"/>
      <c r="N47" s="836"/>
      <c r="O47" s="836"/>
      <c r="P47" s="837"/>
      <c r="Q47" s="837"/>
      <c r="R47" s="837"/>
      <c r="S47" s="1"/>
      <c r="T47" s="836"/>
      <c r="U47" s="1"/>
      <c r="V47" s="1"/>
      <c r="W47" s="1"/>
      <c r="X47" s="1"/>
      <c r="Y47" s="1"/>
      <c r="Z47" s="1"/>
      <c r="AA47" s="1"/>
      <c r="AB47" s="1"/>
      <c r="AC47" s="1"/>
    </row>
    <row r="48" spans="1:29">
      <c r="A48" s="835" t="str">
        <f>+Report!A48</f>
        <v>(In $ Thousands)</v>
      </c>
      <c r="B48" s="836"/>
      <c r="C48" s="836"/>
      <c r="D48" s="836"/>
      <c r="E48" s="836"/>
      <c r="F48" s="836"/>
      <c r="G48" s="836"/>
      <c r="H48" s="835"/>
      <c r="I48" s="837"/>
      <c r="J48" s="836"/>
      <c r="K48" s="836"/>
      <c r="L48" s="836"/>
      <c r="M48" s="836"/>
      <c r="N48" s="836"/>
      <c r="O48" s="836"/>
      <c r="P48" s="836"/>
      <c r="Q48" s="837"/>
      <c r="R48" s="837"/>
      <c r="S48" s="865"/>
      <c r="T48" s="865"/>
      <c r="U48" s="865"/>
      <c r="V48" s="1"/>
      <c r="W48" s="1"/>
      <c r="X48" s="1"/>
      <c r="Y48" s="1"/>
      <c r="Z48" s="1"/>
      <c r="AA48" s="1"/>
      <c r="AB48" s="1"/>
      <c r="AC48" s="1"/>
    </row>
    <row r="49" spans="1:29">
      <c r="A49" s="839"/>
      <c r="B49" s="866"/>
      <c r="C49" s="866"/>
      <c r="D49" s="866"/>
      <c r="E49" s="866"/>
      <c r="F49" s="866"/>
      <c r="G49" s="866"/>
      <c r="H49" s="866"/>
      <c r="I49" s="866"/>
      <c r="J49" s="866"/>
      <c r="K49" s="866"/>
      <c r="L49" s="866"/>
      <c r="M49" s="866"/>
      <c r="N49" s="866"/>
      <c r="O49" s="866"/>
      <c r="P49" s="866"/>
      <c r="Q49" s="866"/>
      <c r="R49" s="866"/>
      <c r="S49" s="866"/>
      <c r="T49" s="866"/>
      <c r="U49" s="1"/>
      <c r="V49" s="1"/>
      <c r="W49" s="1"/>
      <c r="X49" s="1"/>
      <c r="Y49" s="1"/>
      <c r="Z49" s="1"/>
      <c r="AA49" s="1"/>
      <c r="AB49" s="1"/>
      <c r="AC49" s="1"/>
    </row>
    <row r="50" spans="1:29">
      <c r="B50" s="104"/>
      <c r="C50" s="104"/>
      <c r="D50" s="104"/>
      <c r="E50" s="104"/>
      <c r="F50" s="104"/>
      <c r="G50" s="104"/>
      <c r="H50" s="104"/>
      <c r="I50" s="104"/>
      <c r="J50" s="104"/>
      <c r="K50" s="104"/>
      <c r="L50" s="104"/>
      <c r="M50" s="104"/>
      <c r="N50" s="104"/>
      <c r="O50" s="104"/>
      <c r="P50" s="104"/>
      <c r="Q50" s="104"/>
      <c r="R50" s="104"/>
      <c r="S50" s="104"/>
      <c r="T50" s="104"/>
    </row>
    <row r="51" spans="1:29">
      <c r="A51" s="1"/>
      <c r="B51" s="851" t="s">
        <v>94</v>
      </c>
      <c r="C51" s="1"/>
      <c r="D51" s="851" t="s">
        <v>95</v>
      </c>
      <c r="E51" s="1"/>
      <c r="F51" s="851" t="s">
        <v>96</v>
      </c>
      <c r="G51" s="1"/>
      <c r="H51" s="851" t="s">
        <v>97</v>
      </c>
      <c r="I51" s="1"/>
      <c r="J51" s="851" t="s">
        <v>98</v>
      </c>
      <c r="K51" s="1"/>
      <c r="L51" s="851" t="s">
        <v>124</v>
      </c>
      <c r="M51" s="1"/>
      <c r="N51" s="851" t="s">
        <v>125</v>
      </c>
      <c r="O51" s="1"/>
      <c r="P51" s="851" t="s">
        <v>126</v>
      </c>
      <c r="Q51" s="1"/>
      <c r="R51" s="851" t="s">
        <v>127</v>
      </c>
      <c r="S51" s="1"/>
      <c r="T51" s="851" t="s">
        <v>128</v>
      </c>
      <c r="U51" s="1"/>
      <c r="V51" s="1"/>
      <c r="W51" s="1"/>
      <c r="X51" s="1"/>
      <c r="Y51" s="1"/>
      <c r="Z51" s="1"/>
      <c r="AA51" s="1"/>
      <c r="AB51" s="1"/>
      <c r="AC51" s="1"/>
    </row>
    <row r="52" spans="1:29">
      <c r="A52" s="1"/>
      <c r="B52" s="1"/>
      <c r="C52" s="1"/>
      <c r="D52" s="851" t="s">
        <v>333</v>
      </c>
      <c r="E52" s="1"/>
      <c r="F52" s="851" t="s">
        <v>328</v>
      </c>
      <c r="G52" s="1"/>
      <c r="H52" s="851" t="s">
        <v>338</v>
      </c>
      <c r="I52" s="1"/>
      <c r="J52" s="851" t="s">
        <v>339</v>
      </c>
      <c r="K52" s="1"/>
      <c r="L52" s="1"/>
      <c r="M52" s="1"/>
      <c r="N52" s="851" t="s">
        <v>337</v>
      </c>
      <c r="O52" s="1"/>
      <c r="P52" s="1"/>
      <c r="Q52" s="1"/>
      <c r="R52" s="1"/>
      <c r="S52" s="1"/>
      <c r="T52" s="1"/>
      <c r="U52" s="1"/>
      <c r="V52" s="1"/>
      <c r="W52" s="1"/>
      <c r="X52" s="1"/>
      <c r="Y52" s="1"/>
      <c r="Z52" s="1"/>
      <c r="AA52" s="1"/>
      <c r="AB52" s="1"/>
      <c r="AC52" s="1"/>
    </row>
    <row r="53" spans="1:29">
      <c r="A53" s="1"/>
      <c r="B53" s="851" t="s">
        <v>331</v>
      </c>
      <c r="C53" s="1"/>
      <c r="D53" s="851" t="s">
        <v>334</v>
      </c>
      <c r="E53" s="1"/>
      <c r="F53" s="851" t="s">
        <v>329</v>
      </c>
      <c r="G53" s="1"/>
      <c r="H53" s="851" t="s">
        <v>336</v>
      </c>
      <c r="I53" s="1"/>
      <c r="J53" s="851" t="s">
        <v>331</v>
      </c>
      <c r="K53" s="1"/>
      <c r="L53" s="851" t="s">
        <v>341</v>
      </c>
      <c r="M53" s="1"/>
      <c r="N53" s="851" t="s">
        <v>343</v>
      </c>
      <c r="O53" s="1"/>
      <c r="P53" s="851" t="s">
        <v>339</v>
      </c>
      <c r="Q53" s="1"/>
      <c r="R53" s="851" t="s">
        <v>345</v>
      </c>
      <c r="S53" s="1"/>
      <c r="T53" s="851" t="s">
        <v>347</v>
      </c>
      <c r="U53" s="1"/>
      <c r="V53" s="851"/>
      <c r="W53" s="1"/>
      <c r="X53" s="1"/>
      <c r="Y53" s="1"/>
      <c r="Z53" s="1"/>
      <c r="AA53" s="1"/>
      <c r="AB53" s="1"/>
      <c r="AC53" s="1"/>
    </row>
    <row r="54" spans="1:29">
      <c r="A54" s="1"/>
      <c r="B54" s="867" t="s">
        <v>332</v>
      </c>
      <c r="C54" s="1"/>
      <c r="D54" s="867" t="s">
        <v>335</v>
      </c>
      <c r="E54" s="1"/>
      <c r="F54" s="867" t="s">
        <v>330</v>
      </c>
      <c r="G54" s="1"/>
      <c r="H54" s="867" t="s">
        <v>337</v>
      </c>
      <c r="I54" s="1"/>
      <c r="J54" s="867" t="s">
        <v>340</v>
      </c>
      <c r="K54" s="1"/>
      <c r="L54" s="867" t="s">
        <v>342</v>
      </c>
      <c r="M54" s="1"/>
      <c r="N54" s="867" t="s">
        <v>344</v>
      </c>
      <c r="O54" s="1"/>
      <c r="P54" s="867" t="s">
        <v>217</v>
      </c>
      <c r="Q54" s="1"/>
      <c r="R54" s="867" t="s">
        <v>346</v>
      </c>
      <c r="S54" s="1"/>
      <c r="T54" s="867" t="s">
        <v>348</v>
      </c>
      <c r="U54" s="1"/>
      <c r="V54" s="851"/>
      <c r="W54" s="1"/>
      <c r="X54" s="1"/>
      <c r="Y54" s="1"/>
      <c r="Z54" s="1"/>
      <c r="AA54" s="1"/>
      <c r="AB54" s="1"/>
      <c r="AC54" s="1"/>
    </row>
    <row r="55" spans="1:29" ht="14.1" customHeight="1">
      <c r="A55" s="1" t="str">
        <f>+Report!A55</f>
        <v>PER BOOKS</v>
      </c>
      <c r="B55" s="821">
        <f>Reconcil!B57</f>
        <v>2478715.9542</v>
      </c>
      <c r="C55" s="822"/>
      <c r="D55" s="821">
        <f>Reconcil!B60</f>
        <v>5031.8972400000002</v>
      </c>
      <c r="E55" s="822"/>
      <c r="F55" s="821">
        <f>-Reconcil!B63</f>
        <v>854647.54587999999</v>
      </c>
      <c r="G55" s="822"/>
      <c r="H55" s="821">
        <f>Reconcil!B149</f>
        <v>18210.107640000002</v>
      </c>
      <c r="I55" s="822"/>
      <c r="J55" s="821">
        <f>B55+D55-F55-H55</f>
        <v>1610890.1979199997</v>
      </c>
      <c r="K55" s="822"/>
      <c r="L55" s="821">
        <f>Reconcil!B58</f>
        <v>1939.5515500000001</v>
      </c>
      <c r="M55" s="822"/>
      <c r="N55" s="821">
        <f>Reconcil!B59</f>
        <v>147483.84961</v>
      </c>
      <c r="O55" s="822"/>
      <c r="P55" s="821">
        <f>J55+L55+N55</f>
        <v>1760313.5990799996</v>
      </c>
      <c r="Q55" s="822"/>
      <c r="R55" s="821">
        <f>Reconcil!I211</f>
        <v>1719.7371899999853</v>
      </c>
      <c r="S55" s="822"/>
      <c r="T55" s="821">
        <f>P55+R55</f>
        <v>1762033.3362699996</v>
      </c>
      <c r="U55" s="2"/>
      <c r="V55" s="868"/>
      <c r="W55" s="1"/>
      <c r="X55" s="2"/>
      <c r="Y55" s="2"/>
      <c r="Z55" s="2"/>
      <c r="AA55" s="2"/>
      <c r="AB55" s="2"/>
      <c r="AC55" s="2"/>
    </row>
    <row r="56" spans="1:29">
      <c r="A56" s="1"/>
      <c r="B56" s="823"/>
      <c r="C56" s="823"/>
      <c r="D56" s="823"/>
      <c r="E56" s="823"/>
      <c r="F56" s="823"/>
      <c r="G56" s="823"/>
      <c r="H56" s="823"/>
      <c r="I56" s="823"/>
      <c r="J56" s="823"/>
      <c r="K56" s="823"/>
      <c r="L56" s="823"/>
      <c r="M56" s="823"/>
      <c r="N56" s="823"/>
      <c r="O56" s="823"/>
      <c r="P56" s="823"/>
      <c r="Q56" s="823"/>
      <c r="R56" s="823"/>
      <c r="S56" s="823"/>
      <c r="T56" s="823"/>
      <c r="U56" s="2"/>
      <c r="V56" s="868"/>
      <c r="W56" s="1"/>
      <c r="X56" s="2"/>
      <c r="Y56" s="2"/>
      <c r="Z56" s="2"/>
      <c r="AA56" s="2"/>
      <c r="AB56" s="2"/>
      <c r="AC56" s="2"/>
    </row>
    <row r="57" spans="1:29">
      <c r="A57" s="870" t="str">
        <f>+Report!A57</f>
        <v>FPSC ADJUSTMENTS:</v>
      </c>
      <c r="B57" s="823"/>
      <c r="C57" s="823"/>
      <c r="D57" s="823"/>
      <c r="E57" s="823"/>
      <c r="F57" s="823"/>
      <c r="G57" s="823"/>
      <c r="H57" s="823"/>
      <c r="I57" s="823"/>
      <c r="J57" s="823"/>
      <c r="K57" s="823"/>
      <c r="L57" s="823"/>
      <c r="M57" s="823"/>
      <c r="N57" s="823"/>
      <c r="O57" s="823"/>
      <c r="P57" s="823"/>
      <c r="Q57" s="823"/>
      <c r="R57" s="823"/>
      <c r="S57" s="823"/>
      <c r="T57" s="823"/>
      <c r="U57" s="2"/>
      <c r="V57" s="868"/>
      <c r="W57" s="1"/>
      <c r="X57" s="2"/>
      <c r="Y57" s="2"/>
      <c r="Z57" s="2"/>
      <c r="AA57" s="2"/>
      <c r="AB57" s="2"/>
      <c r="AC57" s="2"/>
    </row>
    <row r="58" spans="1:29">
      <c r="A58" s="1" t="str">
        <f>+Report!A58</f>
        <v xml:space="preserve"> Property for Future Use</v>
      </c>
      <c r="B58" s="822"/>
      <c r="C58" s="822"/>
      <c r="D58" s="822"/>
      <c r="E58" s="822"/>
      <c r="F58" s="822"/>
      <c r="G58" s="822"/>
      <c r="H58" s="822"/>
      <c r="I58" s="822"/>
      <c r="J58" s="822"/>
      <c r="K58" s="822"/>
      <c r="L58" s="822">
        <f>-L55</f>
        <v>-1939.5515500000001</v>
      </c>
      <c r="M58" s="822"/>
      <c r="N58" s="822"/>
      <c r="O58" s="822"/>
      <c r="P58" s="822">
        <f>J58+L58+N58</f>
        <v>-1939.5515500000001</v>
      </c>
      <c r="Q58" s="822"/>
      <c r="R58" s="822"/>
      <c r="S58" s="822"/>
      <c r="T58" s="822">
        <f t="shared" ref="T58:T74" si="0">P58+R58</f>
        <v>-1939.5515500000001</v>
      </c>
      <c r="U58" s="2"/>
      <c r="V58" s="868"/>
      <c r="W58" s="1"/>
      <c r="X58" s="2"/>
      <c r="Y58" s="2"/>
      <c r="Z58" s="2"/>
      <c r="AA58" s="2"/>
      <c r="AB58" s="2"/>
      <c r="AC58" s="2"/>
    </row>
    <row r="59" spans="1:29">
      <c r="A59" s="1" t="str">
        <f>+Report!A59</f>
        <v xml:space="preserve"> Temporary Cash Investment</v>
      </c>
      <c r="B59" s="822"/>
      <c r="C59" s="822"/>
      <c r="D59" s="822"/>
      <c r="E59" s="822"/>
      <c r="F59" s="822"/>
      <c r="G59" s="822"/>
      <c r="H59" s="822"/>
      <c r="I59" s="822"/>
      <c r="J59" s="822"/>
      <c r="K59" s="822"/>
      <c r="L59" s="822"/>
      <c r="M59" s="822"/>
      <c r="N59" s="822"/>
      <c r="O59" s="822"/>
      <c r="P59" s="822"/>
      <c r="Q59" s="822"/>
      <c r="R59" s="822">
        <f>-Reconcil!B76</f>
        <v>-2.95</v>
      </c>
      <c r="S59" s="822"/>
      <c r="T59" s="822">
        <f t="shared" si="0"/>
        <v>-2.95</v>
      </c>
      <c r="U59" s="2"/>
      <c r="V59" s="868"/>
      <c r="W59" s="868"/>
      <c r="X59" s="2"/>
      <c r="Y59" s="2"/>
      <c r="Z59" s="2"/>
      <c r="AA59" s="2"/>
      <c r="AB59" s="2"/>
      <c r="AC59" s="2"/>
    </row>
    <row r="60" spans="1:29">
      <c r="A60" s="1" t="str">
        <f>+Report!A60</f>
        <v xml:space="preserve"> Notes Receivable</v>
      </c>
      <c r="B60" s="822"/>
      <c r="C60" s="822"/>
      <c r="D60" s="822"/>
      <c r="E60" s="822"/>
      <c r="F60" s="822"/>
      <c r="G60" s="822"/>
      <c r="H60" s="822"/>
      <c r="I60" s="822"/>
      <c r="J60" s="822"/>
      <c r="K60" s="822"/>
      <c r="L60" s="822"/>
      <c r="M60" s="822"/>
      <c r="N60" s="822"/>
      <c r="O60" s="822"/>
      <c r="P60" s="822"/>
      <c r="Q60" s="822"/>
      <c r="R60" s="822">
        <f>-Reconcil!B77</f>
        <v>0</v>
      </c>
      <c r="S60" s="822"/>
      <c r="T60" s="822">
        <f t="shared" si="0"/>
        <v>0</v>
      </c>
      <c r="U60" s="2"/>
      <c r="V60" s="868"/>
      <c r="W60" s="1"/>
      <c r="X60" s="2"/>
      <c r="Y60" s="2"/>
      <c r="Z60" s="2"/>
      <c r="AA60" s="2"/>
      <c r="AB60" s="2"/>
      <c r="AC60" s="2"/>
    </row>
    <row r="61" spans="1:29">
      <c r="A61" s="1" t="str">
        <f>+Report!A61</f>
        <v xml:space="preserve"> Accounts Rec./Pay. - Assoc Companies</v>
      </c>
      <c r="B61" s="822"/>
      <c r="C61" s="822"/>
      <c r="D61" s="822"/>
      <c r="E61" s="822"/>
      <c r="F61" s="822"/>
      <c r="G61" s="822"/>
      <c r="H61" s="822"/>
      <c r="I61" s="822"/>
      <c r="J61" s="822"/>
      <c r="K61" s="822"/>
      <c r="L61" s="822"/>
      <c r="M61" s="822"/>
      <c r="N61" s="822"/>
      <c r="O61" s="822"/>
      <c r="P61" s="822"/>
      <c r="Q61" s="822"/>
      <c r="R61" s="822">
        <f>-Reconcil!$B$81+Reconcil!$B$129</f>
        <v>-9985.2147299999997</v>
      </c>
      <c r="S61" s="822"/>
      <c r="T61" s="822">
        <f t="shared" si="0"/>
        <v>-9985.2147299999997</v>
      </c>
      <c r="U61" s="2"/>
      <c r="V61" s="868"/>
      <c r="W61" s="1"/>
      <c r="X61" s="2"/>
      <c r="Y61" s="2"/>
      <c r="Z61" s="2"/>
      <c r="AA61" s="2"/>
      <c r="AB61" s="2"/>
      <c r="AC61" s="2"/>
    </row>
    <row r="62" spans="1:29">
      <c r="A62" s="1" t="str">
        <f>+Report!A62</f>
        <v xml:space="preserve"> Other Accounts Receivable</v>
      </c>
      <c r="B62" s="822"/>
      <c r="C62" s="822"/>
      <c r="D62" s="822"/>
      <c r="E62" s="822"/>
      <c r="F62" s="822"/>
      <c r="G62" s="822"/>
      <c r="H62" s="822"/>
      <c r="I62" s="822"/>
      <c r="J62" s="822"/>
      <c r="K62" s="822"/>
      <c r="L62" s="822"/>
      <c r="M62" s="822"/>
      <c r="N62" s="822"/>
      <c r="O62" s="822"/>
      <c r="P62" s="822"/>
      <c r="Q62" s="822"/>
      <c r="R62" s="822">
        <f>-Reconcil!$B$79</f>
        <v>-4473.6198099999992</v>
      </c>
      <c r="S62" s="822"/>
      <c r="T62" s="822">
        <f t="shared" si="0"/>
        <v>-4473.6198099999992</v>
      </c>
      <c r="U62" s="2"/>
      <c r="V62" s="868"/>
      <c r="W62" s="1"/>
      <c r="X62" s="2"/>
      <c r="Y62" s="2"/>
      <c r="Z62" s="2"/>
      <c r="AA62" s="2"/>
      <c r="AB62" s="2"/>
      <c r="AC62" s="2"/>
    </row>
    <row r="63" spans="1:29">
      <c r="A63" s="1" t="str">
        <f>+Report!A63</f>
        <v xml:space="preserve"> Non-Utility Allocation</v>
      </c>
      <c r="B63" s="1057">
        <f>+-'Input Plant'!CX11/1000</f>
        <v>-1108.1947976345996</v>
      </c>
      <c r="C63" s="823"/>
      <c r="D63" s="823"/>
      <c r="E63" s="823"/>
      <c r="F63" s="1057">
        <f>+'Input Plant'!CX23/1000</f>
        <v>-419.34686276872338</v>
      </c>
      <c r="G63" s="822"/>
      <c r="H63" s="822"/>
      <c r="I63" s="822"/>
      <c r="J63" s="822">
        <f>B63+D63-F63-H63</f>
        <v>-688.84793486587614</v>
      </c>
      <c r="K63" s="822"/>
      <c r="L63" s="822"/>
      <c r="M63" s="822"/>
      <c r="N63" s="822"/>
      <c r="O63" s="822"/>
      <c r="P63" s="822">
        <f>J63+L63+N63</f>
        <v>-688.84793486587614</v>
      </c>
      <c r="Q63" s="822"/>
      <c r="R63" s="822"/>
      <c r="S63" s="822"/>
      <c r="T63" s="822">
        <f t="shared" si="0"/>
        <v>-688.84793486587614</v>
      </c>
      <c r="U63" s="2"/>
      <c r="V63" s="868"/>
      <c r="W63" s="1"/>
      <c r="X63" s="2"/>
      <c r="Y63" s="2"/>
      <c r="Z63" s="2"/>
      <c r="AA63" s="2"/>
      <c r="AB63" s="2"/>
      <c r="AC63" s="2"/>
    </row>
    <row r="64" spans="1:29" ht="12" customHeight="1">
      <c r="A64" s="1" t="str">
        <f>+Report!A64</f>
        <v xml:space="preserve"> Remove Unamort. Debt Expense</v>
      </c>
      <c r="B64" s="822"/>
      <c r="C64" s="822"/>
      <c r="D64" s="822"/>
      <c r="E64" s="822"/>
      <c r="F64" s="822"/>
      <c r="G64" s="822"/>
      <c r="H64" s="822"/>
      <c r="I64" s="822"/>
      <c r="J64" s="822"/>
      <c r="K64" s="822"/>
      <c r="L64" s="822"/>
      <c r="M64" s="822"/>
      <c r="N64" s="822"/>
      <c r="O64" s="822"/>
      <c r="P64" s="822"/>
      <c r="Q64" s="822"/>
      <c r="R64" s="822">
        <f>-Reconcil!$B$92</f>
        <v>-4248.9452799999999</v>
      </c>
      <c r="S64" s="822"/>
      <c r="T64" s="822">
        <f t="shared" si="0"/>
        <v>-4248.9452799999999</v>
      </c>
      <c r="U64" s="2"/>
      <c r="V64" s="868"/>
      <c r="W64" s="1"/>
      <c r="X64" s="2"/>
      <c r="Y64" s="2"/>
      <c r="Z64" s="2"/>
      <c r="AA64" s="2"/>
      <c r="AB64" s="2"/>
      <c r="AC64" s="2"/>
    </row>
    <row r="65" spans="1:29">
      <c r="A65" s="1" t="str">
        <f>+Report!A65</f>
        <v xml:space="preserve"> Remove Unrecovered Gas Cost</v>
      </c>
      <c r="B65" s="822"/>
      <c r="C65" s="822"/>
      <c r="D65" s="822"/>
      <c r="E65" s="822"/>
      <c r="F65" s="822"/>
      <c r="G65" s="822"/>
      <c r="H65" s="822"/>
      <c r="I65" s="822"/>
      <c r="J65" s="822"/>
      <c r="K65" s="822"/>
      <c r="L65" s="822"/>
      <c r="M65" s="822"/>
      <c r="N65" s="822"/>
      <c r="O65" s="822"/>
      <c r="P65" s="822"/>
      <c r="Q65" s="822"/>
      <c r="R65" s="822">
        <f>IF(Reconcil!$B$100&gt;0,Reconcil!$B$100*-1,0)</f>
        <v>-12048.953949999999</v>
      </c>
      <c r="S65" s="822"/>
      <c r="T65" s="822">
        <f t="shared" si="0"/>
        <v>-12048.953949999999</v>
      </c>
      <c r="U65" s="2"/>
      <c r="V65" s="868"/>
      <c r="W65" s="1"/>
      <c r="X65" s="2"/>
      <c r="Y65" s="2"/>
      <c r="Z65" s="2"/>
      <c r="AA65" s="2"/>
      <c r="AB65" s="2"/>
      <c r="AC65" s="2"/>
    </row>
    <row r="66" spans="1:29">
      <c r="A66" s="1" t="str">
        <f>+Report!A66</f>
        <v xml:space="preserve"> Remove Dividends Declared</v>
      </c>
      <c r="B66" s="822"/>
      <c r="C66" s="822"/>
      <c r="D66" s="822"/>
      <c r="E66" s="822"/>
      <c r="F66" s="822"/>
      <c r="G66" s="822"/>
      <c r="H66" s="822"/>
      <c r="I66" s="822"/>
      <c r="J66" s="822"/>
      <c r="K66" s="822"/>
      <c r="L66" s="822"/>
      <c r="M66" s="822"/>
      <c r="N66" s="822"/>
      <c r="O66" s="822"/>
      <c r="P66" s="822"/>
      <c r="Q66" s="822"/>
      <c r="R66" s="822">
        <f>Reconcil!$B$135</f>
        <v>0</v>
      </c>
      <c r="S66" s="822"/>
      <c r="T66" s="822">
        <f t="shared" si="0"/>
        <v>0</v>
      </c>
      <c r="U66" s="2"/>
      <c r="V66" s="868"/>
      <c r="W66" s="1"/>
      <c r="X66" s="2"/>
      <c r="Y66" s="2"/>
      <c r="Z66" s="2"/>
      <c r="AA66" s="2"/>
      <c r="AB66" s="2"/>
      <c r="AC66" s="2"/>
    </row>
    <row r="67" spans="1:29">
      <c r="A67" s="1" t="str">
        <f>+Report!A67</f>
        <v xml:space="preserve"> Remove Unrec. Conservation Costs</v>
      </c>
      <c r="B67" s="822"/>
      <c r="C67" s="822"/>
      <c r="D67" s="822"/>
      <c r="E67" s="822"/>
      <c r="F67" s="822"/>
      <c r="G67" s="822"/>
      <c r="H67" s="822"/>
      <c r="I67" s="822"/>
      <c r="J67" s="822"/>
      <c r="K67" s="822"/>
      <c r="L67" s="822"/>
      <c r="M67" s="822"/>
      <c r="N67" s="822"/>
      <c r="O67" s="822"/>
      <c r="P67" s="822"/>
      <c r="Q67" s="822"/>
      <c r="R67" s="822">
        <f>IF((Reconcil!$B$138-Reconcil!$B$96)&lt;0,(Reconcil!$B$138-Reconcil!$B$96),0)</f>
        <v>-601.75800000000004</v>
      </c>
      <c r="S67" s="822"/>
      <c r="T67" s="822">
        <f t="shared" si="0"/>
        <v>-601.75800000000004</v>
      </c>
      <c r="U67" s="2"/>
      <c r="V67" s="868"/>
      <c r="W67" s="1"/>
      <c r="X67" s="2"/>
      <c r="Y67" s="2"/>
      <c r="Z67" s="2"/>
      <c r="AA67" s="2"/>
      <c r="AB67" s="2"/>
      <c r="AC67" s="2"/>
    </row>
    <row r="68" spans="1:29">
      <c r="A68" s="1" t="str">
        <f>+Report!A68</f>
        <v xml:space="preserve"> Remove Unrec. CIBSR Costs</v>
      </c>
      <c r="B68" s="740"/>
      <c r="C68" s="740"/>
      <c r="D68" s="740"/>
      <c r="E68" s="740"/>
      <c r="F68" s="740"/>
      <c r="G68" s="740"/>
      <c r="H68" s="740"/>
      <c r="I68" s="740"/>
      <c r="J68" s="740"/>
      <c r="K68" s="740"/>
      <c r="L68" s="740"/>
      <c r="M68" s="740"/>
      <c r="N68" s="740"/>
      <c r="O68" s="740"/>
      <c r="P68" s="740"/>
      <c r="Q68" s="740"/>
      <c r="R68" s="740">
        <f>IF((Reconcil!$B$139-Reconcil!$B$97)&lt;0,(Reconcil!$B$139-Reconcil!$B$97),0)</f>
        <v>-563.79399999999998</v>
      </c>
      <c r="S68" s="740"/>
      <c r="T68" s="740">
        <f>P68+R68</f>
        <v>-563.79399999999998</v>
      </c>
      <c r="U68" s="2"/>
      <c r="V68" s="868"/>
      <c r="W68" s="1"/>
      <c r="X68" s="2"/>
      <c r="Y68" s="2"/>
      <c r="Z68" s="2"/>
      <c r="AA68" s="2"/>
      <c r="AB68" s="2"/>
      <c r="AC68" s="2"/>
    </row>
    <row r="69" spans="1:29">
      <c r="A69" s="1" t="str">
        <f>+Report!A69</f>
        <v xml:space="preserve"> Remove Competitve Rate Adjustment</v>
      </c>
      <c r="B69" s="822"/>
      <c r="C69" s="822"/>
      <c r="D69" s="822"/>
      <c r="E69" s="822"/>
      <c r="F69" s="822"/>
      <c r="G69" s="822"/>
      <c r="H69" s="822"/>
      <c r="I69" s="822"/>
      <c r="J69" s="822"/>
      <c r="K69" s="822"/>
      <c r="L69" s="822"/>
      <c r="M69" s="822"/>
      <c r="N69" s="822"/>
      <c r="O69" s="822"/>
      <c r="P69" s="822"/>
      <c r="Q69" s="822"/>
      <c r="R69" s="1058">
        <f>-Input!EP10/1000</f>
        <v>-3752.7729900000004</v>
      </c>
      <c r="S69" s="822"/>
      <c r="T69" s="822">
        <f t="shared" si="0"/>
        <v>-3752.7729900000004</v>
      </c>
      <c r="U69" s="2"/>
      <c r="V69" s="868"/>
      <c r="W69" s="868"/>
      <c r="X69" s="2"/>
      <c r="Y69" s="2"/>
      <c r="Z69" s="2"/>
      <c r="AA69" s="2"/>
      <c r="AB69" s="2"/>
      <c r="AC69" s="2"/>
    </row>
    <row r="70" spans="1:29">
      <c r="A70" s="1" t="str">
        <f>+Report!A70</f>
        <v xml:space="preserve"> Remove Unamortized Rate Case Expense</v>
      </c>
      <c r="B70" s="822"/>
      <c r="C70" s="822"/>
      <c r="D70" s="822"/>
      <c r="E70" s="822"/>
      <c r="F70" s="822"/>
      <c r="G70" s="822"/>
      <c r="H70" s="822"/>
      <c r="I70" s="822"/>
      <c r="J70" s="822"/>
      <c r="K70" s="822"/>
      <c r="L70" s="822"/>
      <c r="M70" s="822"/>
      <c r="N70" s="822"/>
      <c r="O70" s="822"/>
      <c r="P70" s="822"/>
      <c r="Q70" s="822"/>
      <c r="R70" s="822">
        <f>-Reconcil!$B$99</f>
        <v>-846.95283999999992</v>
      </c>
      <c r="S70" s="822"/>
      <c r="T70" s="822">
        <f t="shared" si="0"/>
        <v>-846.95283999999992</v>
      </c>
      <c r="U70" s="2"/>
      <c r="V70" s="868"/>
      <c r="W70" s="1"/>
      <c r="X70" s="2"/>
      <c r="Y70" s="2"/>
      <c r="Z70" s="2"/>
      <c r="AA70" s="2"/>
      <c r="AB70" s="2"/>
      <c r="AC70" s="2"/>
    </row>
    <row r="71" spans="1:29">
      <c r="A71" s="1" t="str">
        <f>+Report!A71</f>
        <v xml:space="preserve"> Gain on Sale of Property</v>
      </c>
      <c r="B71" s="822"/>
      <c r="C71" s="822"/>
      <c r="D71" s="822"/>
      <c r="E71" s="822"/>
      <c r="F71" s="822"/>
      <c r="G71" s="822"/>
      <c r="H71" s="822"/>
      <c r="I71" s="822"/>
      <c r="J71" s="822"/>
      <c r="K71" s="822"/>
      <c r="L71" s="822"/>
      <c r="M71" s="822"/>
      <c r="N71" s="822"/>
      <c r="O71" s="822"/>
      <c r="P71" s="822"/>
      <c r="Q71" s="822"/>
      <c r="R71" s="824">
        <v>0</v>
      </c>
      <c r="S71" s="822"/>
      <c r="T71" s="822">
        <f t="shared" si="0"/>
        <v>0</v>
      </c>
      <c r="U71" s="2"/>
      <c r="V71" s="868"/>
      <c r="W71" s="1"/>
      <c r="X71" s="2"/>
      <c r="Y71" s="2"/>
      <c r="Z71" s="2"/>
      <c r="AA71" s="2"/>
      <c r="AB71" s="2"/>
      <c r="AC71" s="2"/>
    </row>
    <row r="72" spans="1:29">
      <c r="A72" s="1" t="str">
        <f>+Report!A72</f>
        <v xml:space="preserve"> Remove Acquis. Adjustment (WFNG)</v>
      </c>
      <c r="B72" s="822"/>
      <c r="C72" s="822"/>
      <c r="D72" s="936">
        <f>-'Input WFNG'!B254</f>
        <v>-2947</v>
      </c>
      <c r="E72" s="822"/>
      <c r="F72" s="936">
        <f>-'Input WFNG'!D254</f>
        <v>-2947</v>
      </c>
      <c r="G72" s="822"/>
      <c r="H72" s="822"/>
      <c r="I72" s="822"/>
      <c r="J72" s="822">
        <f>B72+D72-F72-H72</f>
        <v>0</v>
      </c>
      <c r="K72" s="822"/>
      <c r="L72" s="822"/>
      <c r="M72" s="822"/>
      <c r="N72" s="822"/>
      <c r="O72" s="822"/>
      <c r="P72" s="822">
        <f>J72+L72+N72</f>
        <v>0</v>
      </c>
      <c r="Q72" s="822"/>
      <c r="R72" s="822"/>
      <c r="S72" s="822"/>
      <c r="T72" s="822">
        <f t="shared" si="0"/>
        <v>0</v>
      </c>
      <c r="U72" s="2"/>
      <c r="V72" s="868"/>
      <c r="W72" s="1"/>
      <c r="X72" s="2"/>
      <c r="Y72" s="2"/>
      <c r="Z72" s="2"/>
      <c r="AA72" s="2"/>
      <c r="AB72" s="2"/>
      <c r="AC72" s="2"/>
    </row>
    <row r="73" spans="1:29">
      <c r="A73" s="1" t="str">
        <f>+Report!A73</f>
        <v xml:space="preserve"> Remove Derivative (FAS 133)</v>
      </c>
      <c r="B73" s="822"/>
      <c r="C73" s="822"/>
      <c r="D73" s="822"/>
      <c r="E73" s="822"/>
      <c r="F73" s="822"/>
      <c r="G73" s="822"/>
      <c r="H73" s="822"/>
      <c r="I73" s="822"/>
      <c r="J73" s="822"/>
      <c r="K73" s="822"/>
      <c r="L73" s="822"/>
      <c r="M73" s="822"/>
      <c r="N73" s="822"/>
      <c r="O73" s="822"/>
      <c r="P73" s="822"/>
      <c r="Q73" s="822"/>
      <c r="R73" s="822">
        <f>(-Reconcil!B88+Reconcil!B141)*0</f>
        <v>0</v>
      </c>
      <c r="S73" s="822"/>
      <c r="T73" s="822">
        <f t="shared" si="0"/>
        <v>0</v>
      </c>
      <c r="U73" s="2"/>
      <c r="V73" s="868"/>
      <c r="W73" s="1"/>
      <c r="X73" s="2"/>
      <c r="Y73" s="2"/>
      <c r="Z73" s="2"/>
      <c r="AA73" s="2"/>
      <c r="AB73" s="2"/>
      <c r="AC73" s="2"/>
    </row>
    <row r="74" spans="1:29">
      <c r="A74" s="1" t="str">
        <f>+Report!A74</f>
        <v xml:space="preserve"> Cast Iron/Bare Steel Rider (CIBSR)</v>
      </c>
      <c r="B74" s="1033">
        <f>-'[7]Surv report tab'!$DG$9/1000</f>
        <v>-23549.936050000015</v>
      </c>
      <c r="C74" s="825"/>
      <c r="D74" s="825"/>
      <c r="E74" s="825"/>
      <c r="F74" s="1033">
        <f>+-'[7]Surv report tab'!$DG$13/1000</f>
        <v>82.002529999999439</v>
      </c>
      <c r="G74" s="822"/>
      <c r="H74" s="822"/>
      <c r="I74" s="822"/>
      <c r="J74" s="822">
        <f>B74+D74-F74-H74</f>
        <v>-23631.938580000013</v>
      </c>
      <c r="K74" s="822"/>
      <c r="L74" s="822"/>
      <c r="M74" s="822"/>
      <c r="N74" s="1033">
        <f>+-'[7]Surv report tab'!$DG$17/1000</f>
        <v>-17609.019299999993</v>
      </c>
      <c r="O74" s="822"/>
      <c r="P74" s="822">
        <f>J74+L74+N74</f>
        <v>-41240.957880000002</v>
      </c>
      <c r="Q74" s="822"/>
      <c r="R74" s="822"/>
      <c r="S74" s="822"/>
      <c r="T74" s="822">
        <f t="shared" si="0"/>
        <v>-41240.957880000002</v>
      </c>
      <c r="U74" s="2"/>
      <c r="V74" s="868"/>
      <c r="W74" s="1"/>
      <c r="X74" s="2"/>
      <c r="Y74" s="2"/>
      <c r="Z74" s="2"/>
      <c r="AA74" s="2"/>
      <c r="AB74" s="2"/>
      <c r="AC74" s="2"/>
    </row>
    <row r="75" spans="1:29">
      <c r="A75" s="1" t="str">
        <f>+Report!A75</f>
        <v xml:space="preserve"> AFUDC - Eligible CWIP</v>
      </c>
      <c r="B75" s="822"/>
      <c r="C75" s="825"/>
      <c r="D75" s="825"/>
      <c r="E75" s="825"/>
      <c r="F75" s="822"/>
      <c r="G75" s="822"/>
      <c r="H75" s="822"/>
      <c r="I75" s="822"/>
      <c r="J75" s="822"/>
      <c r="K75" s="822"/>
      <c r="L75" s="822"/>
      <c r="M75" s="822"/>
      <c r="N75" s="1033">
        <f>-'Input Plant'!CV40/1000</f>
        <v>-84152.855219999998</v>
      </c>
      <c r="O75" s="822"/>
      <c r="P75" s="822">
        <f>J75+L75+N75</f>
        <v>-84152.855219999998</v>
      </c>
      <c r="Q75" s="822"/>
      <c r="R75" s="822"/>
      <c r="S75" s="822"/>
      <c r="T75" s="822">
        <f>P75+R75</f>
        <v>-84152.855219999998</v>
      </c>
      <c r="U75" s="2"/>
      <c r="V75" s="868"/>
      <c r="W75" s="1"/>
      <c r="X75" s="2"/>
      <c r="Y75" s="2"/>
      <c r="Z75" s="2"/>
      <c r="AA75" s="2"/>
      <c r="AB75" s="2"/>
      <c r="AC75" s="2"/>
    </row>
    <row r="76" spans="1:29" ht="12.95" customHeight="1">
      <c r="A76" s="1" t="str">
        <f>+Report!A76</f>
        <v xml:space="preserve"> Remove Investment in Subsidiaries</v>
      </c>
      <c r="B76" s="821"/>
      <c r="C76" s="822"/>
      <c r="D76" s="821"/>
      <c r="E76" s="822"/>
      <c r="F76" s="821"/>
      <c r="G76" s="822"/>
      <c r="H76" s="821"/>
      <c r="I76" s="822"/>
      <c r="J76" s="821"/>
      <c r="K76" s="822"/>
      <c r="L76" s="821"/>
      <c r="M76" s="822"/>
      <c r="N76" s="821"/>
      <c r="O76" s="822"/>
      <c r="P76" s="821"/>
      <c r="Q76" s="822"/>
      <c r="R76" s="826">
        <f>-Reconcil!B67</f>
        <v>-1027.7767200000001</v>
      </c>
      <c r="S76" s="822"/>
      <c r="T76" s="826">
        <f>P76+R76</f>
        <v>-1027.7767200000001</v>
      </c>
      <c r="U76" s="2"/>
      <c r="V76" s="868"/>
      <c r="W76" s="1"/>
      <c r="X76" s="2"/>
      <c r="Y76" s="2"/>
      <c r="Z76" s="2"/>
      <c r="AA76" s="2"/>
      <c r="AB76" s="2"/>
      <c r="AC76" s="2"/>
    </row>
    <row r="77" spans="1:29">
      <c r="A77" s="1" t="str">
        <f>+Report!A77</f>
        <v>TOTAL FPSC ADJUSTMENTS</v>
      </c>
      <c r="B77" s="821">
        <f>SUM(B58:B76)</f>
        <v>-24658.130847634613</v>
      </c>
      <c r="C77" s="822"/>
      <c r="D77" s="821">
        <f>SUM(D58:D76)</f>
        <v>-2947</v>
      </c>
      <c r="E77" s="822"/>
      <c r="F77" s="821">
        <f>SUM(F58:F76)</f>
        <v>-3284.3443327687241</v>
      </c>
      <c r="G77" s="822"/>
      <c r="H77" s="821">
        <f>SUM(H58:H76)</f>
        <v>0</v>
      </c>
      <c r="I77" s="822"/>
      <c r="J77" s="821">
        <f>SUM(J58:J76)</f>
        <v>-24320.786514865889</v>
      </c>
      <c r="K77" s="822"/>
      <c r="L77" s="821">
        <f>SUM(L58:L76)</f>
        <v>-1939.5515500000001</v>
      </c>
      <c r="M77" s="822"/>
      <c r="N77" s="821">
        <f>SUM(N58:N76)</f>
        <v>-101761.87451999998</v>
      </c>
      <c r="O77" s="822"/>
      <c r="P77" s="821">
        <f>SUM(P58:P76)</f>
        <v>-128022.21258486588</v>
      </c>
      <c r="Q77" s="822"/>
      <c r="R77" s="821">
        <f>SUM(R58:R76)</f>
        <v>-37552.738320000004</v>
      </c>
      <c r="S77" s="822"/>
      <c r="T77" s="821">
        <f>SUM(T58:T76)</f>
        <v>-165574.95090486587</v>
      </c>
      <c r="U77" s="2"/>
      <c r="V77" s="2"/>
      <c r="W77" s="1"/>
      <c r="X77" s="2"/>
      <c r="Y77" s="2"/>
      <c r="Z77" s="2"/>
      <c r="AA77" s="2"/>
      <c r="AB77" s="2"/>
      <c r="AC77" s="2"/>
    </row>
    <row r="78" spans="1:29">
      <c r="A78" s="1"/>
      <c r="B78" s="619" t="s">
        <v>7</v>
      </c>
      <c r="C78" s="619"/>
      <c r="D78" s="619" t="s">
        <v>7</v>
      </c>
      <c r="E78" s="619"/>
      <c r="F78" s="619" t="s">
        <v>7</v>
      </c>
      <c r="G78" s="619"/>
      <c r="H78" s="619" t="s">
        <v>7</v>
      </c>
      <c r="I78" s="619"/>
      <c r="J78" s="619" t="s">
        <v>7</v>
      </c>
      <c r="K78" s="619"/>
      <c r="L78" s="619" t="s">
        <v>7</v>
      </c>
      <c r="M78" s="619"/>
      <c r="N78" s="619" t="s">
        <v>7</v>
      </c>
      <c r="O78" s="619"/>
      <c r="P78" s="619" t="s">
        <v>7</v>
      </c>
      <c r="Q78" s="619"/>
      <c r="R78" s="619" t="s">
        <v>7</v>
      </c>
      <c r="S78" s="619"/>
      <c r="T78" s="619" t="s">
        <v>7</v>
      </c>
      <c r="U78" s="868"/>
      <c r="V78" s="868"/>
      <c r="W78" s="1"/>
      <c r="X78" s="2"/>
      <c r="Y78" s="2"/>
      <c r="Z78" s="2"/>
      <c r="AA78" s="2"/>
      <c r="AB78" s="2"/>
      <c r="AC78" s="2"/>
    </row>
    <row r="79" spans="1:29" ht="13.5" thickBot="1">
      <c r="A79" s="1" t="str">
        <f>+Report!A79</f>
        <v>FPSC ADJUSTED</v>
      </c>
      <c r="B79" s="626">
        <f>B55+B77</f>
        <v>2454057.8233523653</v>
      </c>
      <c r="C79" s="619"/>
      <c r="D79" s="626">
        <f>D55+D77</f>
        <v>2084.8972400000002</v>
      </c>
      <c r="E79" s="619"/>
      <c r="F79" s="626">
        <f>F55+F77</f>
        <v>851363.20154723129</v>
      </c>
      <c r="G79" s="619"/>
      <c r="H79" s="626">
        <f>H55+H77</f>
        <v>18210.107640000002</v>
      </c>
      <c r="I79" s="619"/>
      <c r="J79" s="626">
        <f>J55+J77</f>
        <v>1586569.4114051338</v>
      </c>
      <c r="K79" s="619"/>
      <c r="L79" s="626">
        <f>L55+L77</f>
        <v>0</v>
      </c>
      <c r="M79" s="619"/>
      <c r="N79" s="626">
        <f>N55+N77</f>
        <v>45721.975090000022</v>
      </c>
      <c r="O79" s="619"/>
      <c r="P79" s="626">
        <f>P55+P77</f>
        <v>1632291.3864951336</v>
      </c>
      <c r="Q79" s="619"/>
      <c r="R79" s="626">
        <f>R55+R77</f>
        <v>-35833.001130000019</v>
      </c>
      <c r="S79" s="619"/>
      <c r="T79" s="626">
        <f>T55+T77</f>
        <v>1596458.3853651336</v>
      </c>
      <c r="U79" s="2"/>
      <c r="V79" s="2"/>
      <c r="W79" s="1"/>
      <c r="X79" s="2"/>
      <c r="Y79" s="2"/>
      <c r="Z79" s="2"/>
      <c r="AA79" s="2"/>
      <c r="AB79" s="2"/>
      <c r="AC79" s="2"/>
    </row>
    <row r="80" spans="1:29" ht="13.5" thickTop="1">
      <c r="A80" s="1"/>
      <c r="B80" s="619"/>
      <c r="C80" s="619"/>
      <c r="D80" s="619"/>
      <c r="E80" s="619"/>
      <c r="F80" s="619"/>
      <c r="G80" s="619"/>
      <c r="H80" s="619"/>
      <c r="I80" s="619"/>
      <c r="J80" s="619"/>
      <c r="K80" s="619"/>
      <c r="L80" s="619"/>
      <c r="M80" s="619"/>
      <c r="N80" s="619"/>
      <c r="O80" s="619"/>
      <c r="P80" s="619"/>
      <c r="Q80" s="619"/>
      <c r="R80" s="619"/>
      <c r="S80" s="619"/>
      <c r="T80" s="619"/>
      <c r="U80" s="2"/>
      <c r="V80" s="2"/>
      <c r="W80" s="1"/>
      <c r="X80" s="2"/>
      <c r="Y80" s="2"/>
      <c r="Z80" s="2"/>
      <c r="AA80" s="2"/>
      <c r="AB80" s="2"/>
      <c r="AC80" s="2"/>
    </row>
    <row r="81" spans="1:29">
      <c r="A81" s="1" t="str">
        <f>+Report!A81</f>
        <v>FLEX RATE REVENUES</v>
      </c>
      <c r="B81" s="618"/>
      <c r="C81" s="619"/>
      <c r="D81" s="618"/>
      <c r="E81" s="619"/>
      <c r="F81" s="618"/>
      <c r="G81" s="619"/>
      <c r="H81" s="618"/>
      <c r="I81" s="619"/>
      <c r="J81" s="618"/>
      <c r="K81" s="619"/>
      <c r="L81" s="618"/>
      <c r="M81" s="619"/>
      <c r="N81" s="618"/>
      <c r="O81" s="619"/>
      <c r="P81" s="618"/>
      <c r="Q81" s="619"/>
      <c r="R81" s="618"/>
      <c r="S81" s="619"/>
      <c r="T81" s="618"/>
      <c r="U81" s="2"/>
      <c r="V81" s="2"/>
      <c r="W81" s="1"/>
      <c r="X81" s="2"/>
      <c r="Y81" s="2"/>
      <c r="Z81" s="2"/>
      <c r="AA81" s="2"/>
      <c r="AB81" s="2"/>
      <c r="AC81" s="2"/>
    </row>
    <row r="82" spans="1:29">
      <c r="A82" s="1" t="str">
        <f>+Report!A82</f>
        <v>ADJUSTED FOR</v>
      </c>
      <c r="B82" s="619"/>
      <c r="C82" s="619"/>
      <c r="D82" s="619"/>
      <c r="E82" s="619"/>
      <c r="F82" s="619"/>
      <c r="G82" s="619"/>
      <c r="H82" s="619"/>
      <c r="I82" s="619"/>
      <c r="J82" s="619"/>
      <c r="K82" s="619"/>
      <c r="L82" s="619"/>
      <c r="M82" s="619"/>
      <c r="N82" s="619"/>
      <c r="O82" s="619"/>
      <c r="P82" s="619"/>
      <c r="Q82" s="619"/>
      <c r="R82" s="619"/>
      <c r="S82" s="619"/>
      <c r="T82" s="619"/>
      <c r="U82" s="2"/>
      <c r="V82" s="868"/>
      <c r="W82" s="1"/>
      <c r="X82" s="2"/>
      <c r="Y82" s="2"/>
      <c r="Z82" s="2"/>
      <c r="AA82" s="2"/>
      <c r="AB82" s="2"/>
      <c r="AC82" s="2"/>
    </row>
    <row r="83" spans="1:29" ht="13.5" thickBot="1">
      <c r="A83" s="1" t="str">
        <f>+Report!A83</f>
        <v>FLEX RATE REVENUES</v>
      </c>
      <c r="B83" s="626">
        <f>B79+B81</f>
        <v>2454057.8233523653</v>
      </c>
      <c r="C83" s="619"/>
      <c r="D83" s="626">
        <f>D79+D81</f>
        <v>2084.8972400000002</v>
      </c>
      <c r="E83" s="619"/>
      <c r="F83" s="626">
        <f>F79+F81</f>
        <v>851363.20154723129</v>
      </c>
      <c r="G83" s="619"/>
      <c r="H83" s="626">
        <f>H79+H81</f>
        <v>18210.107640000002</v>
      </c>
      <c r="I83" s="619"/>
      <c r="J83" s="626">
        <f>J79+J81</f>
        <v>1586569.4114051338</v>
      </c>
      <c r="K83" s="619"/>
      <c r="L83" s="626">
        <f>L79+L81</f>
        <v>0</v>
      </c>
      <c r="M83" s="619"/>
      <c r="N83" s="626">
        <f>N79+N81</f>
        <v>45721.975090000022</v>
      </c>
      <c r="O83" s="619"/>
      <c r="P83" s="626">
        <f>P79+P81</f>
        <v>1632291.3864951336</v>
      </c>
      <c r="Q83" s="619"/>
      <c r="R83" s="626">
        <f>R79+R81</f>
        <v>-35833.001130000019</v>
      </c>
      <c r="S83" s="619"/>
      <c r="T83" s="626">
        <f>T79+T81</f>
        <v>1596458.3853651336</v>
      </c>
      <c r="U83" s="2"/>
      <c r="V83" s="2"/>
      <c r="W83" s="1"/>
      <c r="X83" s="2"/>
      <c r="Y83" s="2"/>
      <c r="Z83" s="2"/>
      <c r="AA83" s="2"/>
      <c r="AB83" s="2"/>
      <c r="AC83" s="2"/>
    </row>
    <row r="84" spans="1:29" ht="13.5" thickTop="1">
      <c r="A84" s="1"/>
      <c r="B84" s="619"/>
      <c r="C84" s="619"/>
      <c r="D84" s="619"/>
      <c r="E84" s="619"/>
      <c r="F84" s="619"/>
      <c r="G84" s="619"/>
      <c r="H84" s="619"/>
      <c r="I84" s="619"/>
      <c r="J84" s="619"/>
      <c r="K84" s="619"/>
      <c r="L84" s="619"/>
      <c r="M84" s="619"/>
      <c r="N84" s="619"/>
      <c r="O84" s="619"/>
      <c r="P84" s="619"/>
      <c r="Q84" s="619"/>
      <c r="R84" s="619"/>
      <c r="S84" s="619"/>
      <c r="T84" s="619"/>
      <c r="U84" s="2"/>
      <c r="V84" s="2"/>
      <c r="W84" s="1"/>
      <c r="X84" s="2"/>
      <c r="Y84" s="2"/>
      <c r="Z84" s="2"/>
      <c r="AA84" s="2"/>
      <c r="AB84" s="2"/>
      <c r="AC84" s="2"/>
    </row>
    <row r="85" spans="1:29">
      <c r="A85" s="1" t="str">
        <f>+Report!A85</f>
        <v>PRO FORMA REVENUE INCREASE AND</v>
      </c>
      <c r="B85" s="619"/>
      <c r="C85" s="619"/>
      <c r="D85" s="619"/>
      <c r="E85" s="619"/>
      <c r="F85" s="619"/>
      <c r="G85" s="619"/>
      <c r="H85" s="619"/>
      <c r="I85" s="619"/>
      <c r="J85" s="619"/>
      <c r="K85" s="619"/>
      <c r="L85" s="619"/>
      <c r="M85" s="619"/>
      <c r="N85" s="619"/>
      <c r="O85" s="619"/>
      <c r="P85" s="619"/>
      <c r="Q85" s="619"/>
      <c r="R85" s="619"/>
      <c r="S85" s="619"/>
      <c r="T85" s="619"/>
      <c r="U85" s="2"/>
      <c r="V85" s="2"/>
      <c r="W85" s="1"/>
      <c r="X85" s="2"/>
      <c r="Y85" s="2"/>
      <c r="Z85" s="2"/>
      <c r="AA85" s="2"/>
      <c r="AB85" s="2"/>
      <c r="AC85" s="2"/>
    </row>
    <row r="86" spans="1:29">
      <c r="A86" s="1" t="str">
        <f>+Report!A86</f>
        <v xml:space="preserve">  ANNUALIZATION ADJUSTMENTS:</v>
      </c>
      <c r="B86" s="619"/>
      <c r="C86" s="619"/>
      <c r="D86" s="619"/>
      <c r="E86" s="619"/>
      <c r="F86" s="619"/>
      <c r="G86" s="619"/>
      <c r="H86" s="619"/>
      <c r="I86" s="619"/>
      <c r="J86" s="619"/>
      <c r="K86" s="619"/>
      <c r="L86" s="619"/>
      <c r="M86" s="619"/>
      <c r="N86" s="619"/>
      <c r="O86" s="619"/>
      <c r="P86" s="619"/>
      <c r="Q86" s="619"/>
      <c r="R86" s="619"/>
      <c r="S86" s="619"/>
      <c r="T86" s="619"/>
      <c r="U86" s="2"/>
      <c r="V86" s="2"/>
      <c r="W86" s="1"/>
      <c r="X86" s="2"/>
      <c r="Y86" s="2"/>
      <c r="Z86" s="2"/>
      <c r="AA86" s="2"/>
      <c r="AB86" s="2"/>
      <c r="AC86" s="2"/>
    </row>
    <row r="87" spans="1:29">
      <c r="A87" s="1"/>
      <c r="B87" s="619"/>
      <c r="C87" s="619"/>
      <c r="D87" s="619"/>
      <c r="E87" s="619"/>
      <c r="F87" s="619"/>
      <c r="G87" s="619"/>
      <c r="H87" s="619"/>
      <c r="I87" s="619"/>
      <c r="J87" s="619"/>
      <c r="K87" s="619"/>
      <c r="L87" s="619"/>
      <c r="M87" s="619"/>
      <c r="N87" s="619"/>
      <c r="O87" s="619"/>
      <c r="P87" s="619"/>
      <c r="Q87" s="619"/>
      <c r="R87" s="619"/>
      <c r="S87" s="619"/>
      <c r="T87" s="619"/>
      <c r="U87" s="2"/>
      <c r="V87" s="868"/>
      <c r="W87" s="1"/>
      <c r="X87" s="2"/>
      <c r="Y87" s="2"/>
      <c r="Z87" s="2"/>
      <c r="AA87" s="2"/>
      <c r="AB87" s="2"/>
      <c r="AC87" s="2"/>
    </row>
    <row r="88" spans="1:29">
      <c r="A88" s="1"/>
      <c r="B88" s="619"/>
      <c r="C88" s="619"/>
      <c r="D88" s="619"/>
      <c r="E88" s="619"/>
      <c r="F88" s="619"/>
      <c r="G88" s="619"/>
      <c r="H88" s="619"/>
      <c r="I88" s="619"/>
      <c r="J88" s="619"/>
      <c r="K88" s="619"/>
      <c r="L88" s="619"/>
      <c r="M88" s="619"/>
      <c r="N88" s="619"/>
      <c r="O88" s="619"/>
      <c r="P88" s="619"/>
      <c r="Q88" s="619"/>
      <c r="R88" s="619"/>
      <c r="S88" s="619"/>
      <c r="T88" s="619">
        <f>P88+R88</f>
        <v>0</v>
      </c>
      <c r="U88" s="2"/>
      <c r="V88" s="2"/>
      <c r="W88" s="1"/>
      <c r="X88" s="2"/>
      <c r="Y88" s="2"/>
      <c r="Z88" s="2"/>
      <c r="AA88" s="2"/>
      <c r="AB88" s="2"/>
      <c r="AC88" s="2"/>
    </row>
    <row r="89" spans="1:29" ht="12.95" customHeight="1">
      <c r="A89" s="1"/>
      <c r="B89" s="618"/>
      <c r="C89" s="619"/>
      <c r="D89" s="618"/>
      <c r="E89" s="619"/>
      <c r="F89" s="618"/>
      <c r="G89" s="619"/>
      <c r="H89" s="618"/>
      <c r="I89" s="619"/>
      <c r="J89" s="618"/>
      <c r="K89" s="619"/>
      <c r="L89" s="618"/>
      <c r="M89" s="619"/>
      <c r="N89" s="618"/>
      <c r="O89" s="619"/>
      <c r="P89" s="618"/>
      <c r="Q89" s="619"/>
      <c r="R89" s="618"/>
      <c r="S89" s="619"/>
      <c r="T89" s="618"/>
      <c r="U89" s="2"/>
      <c r="V89" s="868"/>
      <c r="W89" s="1"/>
      <c r="X89" s="2"/>
      <c r="Y89" s="2"/>
      <c r="Z89" s="2"/>
      <c r="AA89" s="2"/>
      <c r="AB89" s="2"/>
      <c r="AC89" s="2"/>
    </row>
    <row r="90" spans="1:29">
      <c r="A90" s="1" t="str">
        <f>+Report!A90</f>
        <v>TOTAL PRO FORMA ADJUSTMENTS</v>
      </c>
      <c r="B90" s="618">
        <f>SUM(B88:B88)</f>
        <v>0</v>
      </c>
      <c r="C90" s="619"/>
      <c r="D90" s="618">
        <f>SUM(D88:D88)</f>
        <v>0</v>
      </c>
      <c r="E90" s="619"/>
      <c r="F90" s="618">
        <f>SUM(F88:F88)</f>
        <v>0</v>
      </c>
      <c r="G90" s="619"/>
      <c r="H90" s="618">
        <f>SUM(H88:H88)</f>
        <v>0</v>
      </c>
      <c r="I90" s="619"/>
      <c r="J90" s="618">
        <f>SUM(J88:J88)</f>
        <v>0</v>
      </c>
      <c r="K90" s="619"/>
      <c r="L90" s="618">
        <f>SUM(L88:L88)</f>
        <v>0</v>
      </c>
      <c r="M90" s="619"/>
      <c r="N90" s="618">
        <f>SUM(N88:N88)</f>
        <v>0</v>
      </c>
      <c r="O90" s="619"/>
      <c r="P90" s="618">
        <f>SUM(P88:P88)</f>
        <v>0</v>
      </c>
      <c r="Q90" s="619"/>
      <c r="R90" s="618">
        <f>SUM(R88:R88)</f>
        <v>0</v>
      </c>
      <c r="S90" s="619"/>
      <c r="T90" s="618">
        <f>SUM(T88:T88)</f>
        <v>0</v>
      </c>
      <c r="U90" s="2"/>
      <c r="V90" s="2"/>
      <c r="W90" s="1"/>
      <c r="X90" s="2"/>
      <c r="Y90" s="2"/>
      <c r="Z90" s="2"/>
      <c r="AA90" s="2"/>
      <c r="AB90" s="2"/>
      <c r="AC90" s="2"/>
    </row>
    <row r="91" spans="1:29">
      <c r="A91" s="1"/>
      <c r="B91" s="619"/>
      <c r="C91" s="619"/>
      <c r="D91" s="619"/>
      <c r="E91" s="619"/>
      <c r="F91" s="619"/>
      <c r="G91" s="619"/>
      <c r="H91" s="619"/>
      <c r="I91" s="619"/>
      <c r="J91" s="619"/>
      <c r="K91" s="619"/>
      <c r="L91" s="619"/>
      <c r="M91" s="619"/>
      <c r="N91" s="619"/>
      <c r="O91" s="619"/>
      <c r="P91" s="619"/>
      <c r="Q91" s="619"/>
      <c r="R91" s="619"/>
      <c r="S91" s="619"/>
      <c r="T91" s="619"/>
      <c r="U91" s="2"/>
      <c r="V91" s="868"/>
      <c r="W91" s="1"/>
      <c r="X91" s="2"/>
      <c r="Y91" s="2"/>
      <c r="Z91" s="2"/>
      <c r="AA91" s="2"/>
      <c r="AB91" s="2"/>
      <c r="AC91" s="2"/>
    </row>
    <row r="92" spans="1:29" ht="13.5" thickBot="1">
      <c r="A92" s="1" t="str">
        <f>+Report!A92</f>
        <v>PRO FORMA ADJUSTED</v>
      </c>
      <c r="B92" s="626">
        <f>B83+B90</f>
        <v>2454057.8233523653</v>
      </c>
      <c r="C92" s="619"/>
      <c r="D92" s="626">
        <f>D83+D90</f>
        <v>2084.8972400000002</v>
      </c>
      <c r="E92" s="619"/>
      <c r="F92" s="626">
        <f>F83+F90</f>
        <v>851363.20154723129</v>
      </c>
      <c r="G92" s="619"/>
      <c r="H92" s="626">
        <f>H83+H90</f>
        <v>18210.107640000002</v>
      </c>
      <c r="I92" s="619"/>
      <c r="J92" s="626">
        <f>J83+J90</f>
        <v>1586569.4114051338</v>
      </c>
      <c r="K92" s="619"/>
      <c r="L92" s="626">
        <f>L83+L90</f>
        <v>0</v>
      </c>
      <c r="M92" s="619"/>
      <c r="N92" s="626">
        <f>N83+N90</f>
        <v>45721.975090000022</v>
      </c>
      <c r="O92" s="619"/>
      <c r="P92" s="626">
        <f>P83+P90</f>
        <v>1632291.3864951336</v>
      </c>
      <c r="Q92" s="619"/>
      <c r="R92" s="626">
        <f>R83+R90</f>
        <v>-35833.001130000019</v>
      </c>
      <c r="S92" s="619"/>
      <c r="T92" s="626">
        <f>T83+T90</f>
        <v>1596458.3853651336</v>
      </c>
      <c r="U92" s="2"/>
      <c r="V92" s="2"/>
      <c r="W92" s="2"/>
      <c r="X92" s="2"/>
      <c r="Y92" s="2"/>
      <c r="Z92" s="2"/>
      <c r="AA92" s="2"/>
      <c r="AB92" s="2"/>
      <c r="AC92" s="2"/>
    </row>
    <row r="93" spans="1:29" ht="13.5" thickTop="1">
      <c r="A93" s="1"/>
      <c r="B93" s="928"/>
      <c r="C93" s="619"/>
      <c r="D93" s="928"/>
      <c r="E93" s="619"/>
      <c r="F93" s="928"/>
      <c r="G93" s="619"/>
      <c r="H93" s="928"/>
      <c r="I93" s="619"/>
      <c r="J93" s="928"/>
      <c r="K93" s="619"/>
      <c r="L93" s="928"/>
      <c r="M93" s="619"/>
      <c r="N93" s="928"/>
      <c r="O93" s="619"/>
      <c r="P93" s="928"/>
      <c r="Q93" s="619"/>
      <c r="R93" s="928"/>
      <c r="S93" s="619"/>
      <c r="T93" s="928"/>
      <c r="U93" s="2"/>
      <c r="V93" s="2"/>
      <c r="W93" s="2"/>
      <c r="X93" s="2"/>
      <c r="Y93" s="2"/>
      <c r="Z93" s="2"/>
      <c r="AA93" s="2"/>
      <c r="AB93" s="2"/>
      <c r="AC93" s="2"/>
    </row>
    <row r="94" spans="1:29">
      <c r="A94" s="1"/>
      <c r="B94" s="866"/>
      <c r="C94" s="866"/>
      <c r="D94" s="866"/>
      <c r="E94" s="866"/>
      <c r="F94" s="866"/>
      <c r="G94" s="866"/>
      <c r="H94" s="866"/>
      <c r="I94" s="866"/>
      <c r="J94" s="866"/>
      <c r="K94" s="866"/>
      <c r="L94" s="866"/>
      <c r="M94" s="866"/>
      <c r="N94" s="866"/>
      <c r="O94" s="866"/>
      <c r="P94" s="866"/>
      <c r="Q94" s="866"/>
      <c r="R94" s="866"/>
      <c r="S94" s="866"/>
      <c r="T94" s="866"/>
      <c r="U94" s="2"/>
      <c r="V94" s="2"/>
      <c r="W94" s="2"/>
      <c r="X94" s="2"/>
      <c r="Y94" s="2"/>
      <c r="Z94" s="2"/>
      <c r="AA94" s="2"/>
      <c r="AB94" s="2"/>
      <c r="AC94" s="2"/>
    </row>
    <row r="95" spans="1:29" ht="15.75">
      <c r="A95" s="628" t="str">
        <f>+Report!A95</f>
        <v>PEOPLES GAS SYSTEM</v>
      </c>
      <c r="B95" s="629"/>
      <c r="C95" s="629"/>
      <c r="D95" s="629"/>
      <c r="E95" s="629"/>
      <c r="F95" s="630"/>
      <c r="G95" s="629"/>
      <c r="H95" s="631"/>
      <c r="I95" s="630"/>
      <c r="J95" s="630"/>
      <c r="K95" s="629"/>
      <c r="L95" s="629"/>
      <c r="M95" s="629"/>
      <c r="N95" s="629"/>
      <c r="O95" s="629"/>
      <c r="P95" s="629"/>
      <c r="Q95" s="629"/>
      <c r="R95" s="629"/>
      <c r="S95" s="629"/>
      <c r="T95" s="815" t="s">
        <v>159</v>
      </c>
      <c r="U95" s="630"/>
      <c r="V95" s="629"/>
      <c r="W95" s="2"/>
      <c r="X95" s="2"/>
      <c r="Y95" s="2"/>
      <c r="Z95" s="2"/>
      <c r="AA95" s="2"/>
      <c r="AB95" s="2"/>
      <c r="AC95" s="2"/>
    </row>
    <row r="96" spans="1:29" ht="15.75">
      <c r="A96" s="628" t="str">
        <f>+Report!A96</f>
        <v>NET OPERATING INCOME</v>
      </c>
      <c r="B96" s="629"/>
      <c r="C96" s="629"/>
      <c r="D96" s="629"/>
      <c r="E96" s="629"/>
      <c r="F96" s="630"/>
      <c r="G96" s="629"/>
      <c r="H96" s="631"/>
      <c r="I96" s="630"/>
      <c r="J96" s="630"/>
      <c r="K96" s="629"/>
      <c r="L96" s="629"/>
      <c r="M96" s="629"/>
      <c r="N96" s="629"/>
      <c r="O96" s="629"/>
      <c r="P96" s="629"/>
      <c r="Q96" s="629"/>
      <c r="R96" s="629"/>
      <c r="S96" s="629"/>
      <c r="T96" s="633"/>
      <c r="U96" s="633"/>
      <c r="V96" s="633"/>
      <c r="W96" s="2"/>
      <c r="X96" s="2"/>
      <c r="Y96" s="2"/>
      <c r="Z96" s="2"/>
      <c r="AA96" s="2"/>
      <c r="AB96" s="2"/>
      <c r="AC96" s="2"/>
    </row>
    <row r="97" spans="1:29" ht="15.75">
      <c r="A97" s="628" t="str">
        <f>+Report!A97</f>
        <v>December 2022</v>
      </c>
      <c r="B97" s="629"/>
      <c r="C97" s="629"/>
      <c r="D97" s="629"/>
      <c r="E97" s="629"/>
      <c r="F97" s="629"/>
      <c r="G97" s="631"/>
      <c r="H97" s="629"/>
      <c r="I97" s="630"/>
      <c r="J97" s="630"/>
      <c r="K97" s="629"/>
      <c r="L97" s="629"/>
      <c r="M97" s="629"/>
      <c r="N97" s="629"/>
      <c r="O97" s="629"/>
      <c r="P97" s="629"/>
      <c r="Q97" s="629"/>
      <c r="R97" s="629"/>
      <c r="S97" s="629"/>
      <c r="T97" s="633"/>
      <c r="U97" s="633"/>
      <c r="V97" s="633"/>
      <c r="W97" s="2"/>
      <c r="X97" s="2"/>
      <c r="Y97" s="2"/>
      <c r="Z97" s="2"/>
      <c r="AA97" s="2"/>
      <c r="AB97" s="2"/>
      <c r="AC97" s="2"/>
    </row>
    <row r="98" spans="1:29" ht="15.75">
      <c r="A98" s="628" t="str">
        <f>+Report!A98</f>
        <v>(In $ Thousands)</v>
      </c>
      <c r="B98" s="629"/>
      <c r="C98" s="629"/>
      <c r="D98" s="629"/>
      <c r="E98" s="629"/>
      <c r="F98" s="629"/>
      <c r="G98" s="631"/>
      <c r="H98" s="629"/>
      <c r="I98" s="630"/>
      <c r="J98" s="630"/>
      <c r="K98" s="629"/>
      <c r="L98" s="629"/>
      <c r="M98" s="629"/>
      <c r="N98" s="629"/>
      <c r="O98" s="629"/>
      <c r="P98" s="629"/>
      <c r="Q98" s="629"/>
      <c r="R98" s="629"/>
      <c r="S98" s="629"/>
      <c r="T98" s="633"/>
      <c r="U98" s="633"/>
      <c r="V98" s="633"/>
      <c r="W98" s="2"/>
      <c r="X98" s="2"/>
      <c r="Y98" s="2"/>
      <c r="Z98" s="2"/>
      <c r="AA98" s="2"/>
      <c r="AB98" s="2"/>
      <c r="AC98" s="2"/>
    </row>
    <row r="99" spans="1:29">
      <c r="A99" s="1"/>
      <c r="B99" s="2"/>
      <c r="C99" s="2"/>
      <c r="D99" s="2"/>
      <c r="E99" s="2"/>
      <c r="F99" s="2"/>
      <c r="G99" s="2"/>
      <c r="H99" s="2"/>
      <c r="I99" s="1"/>
      <c r="J99" s="2"/>
      <c r="K99" s="2"/>
      <c r="L99" s="2"/>
      <c r="M99" s="2"/>
      <c r="N99" s="2"/>
      <c r="O99" s="2"/>
      <c r="P99" s="2"/>
      <c r="Q99" s="2"/>
      <c r="R99" s="2"/>
      <c r="S99" s="2"/>
      <c r="T99" s="2"/>
      <c r="U99" s="2"/>
      <c r="V99" s="2"/>
      <c r="W99" s="2"/>
      <c r="X99" s="2"/>
      <c r="Y99" s="2"/>
      <c r="Z99" s="2"/>
      <c r="AA99" s="2"/>
      <c r="AB99" s="2"/>
      <c r="AC99" s="2"/>
    </row>
    <row r="100" spans="1:29">
      <c r="A100" s="1"/>
      <c r="B100" s="866"/>
      <c r="C100" s="866"/>
      <c r="D100" s="866"/>
      <c r="E100" s="866"/>
      <c r="F100" s="866"/>
      <c r="G100" s="866"/>
      <c r="H100" s="866"/>
      <c r="I100" s="866"/>
      <c r="J100" s="866"/>
      <c r="K100" s="866"/>
      <c r="L100" s="866"/>
      <c r="M100" s="866"/>
      <c r="N100" s="866"/>
      <c r="O100" s="866"/>
      <c r="P100" s="866"/>
      <c r="Q100" s="866"/>
      <c r="R100" s="866"/>
      <c r="S100" s="866"/>
      <c r="T100" s="866"/>
      <c r="U100" s="2"/>
      <c r="V100" s="866"/>
      <c r="W100" s="2"/>
      <c r="X100" s="2"/>
      <c r="Y100" s="2"/>
      <c r="Z100" s="2"/>
      <c r="AA100" s="2"/>
      <c r="AB100" s="2"/>
      <c r="AC100" s="2"/>
    </row>
    <row r="101" spans="1:29">
      <c r="A101" s="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c r="A102" s="1"/>
      <c r="B102" s="876" t="s">
        <v>94</v>
      </c>
      <c r="C102" s="2"/>
      <c r="D102" s="876" t="s">
        <v>95</v>
      </c>
      <c r="E102" s="2"/>
      <c r="F102" s="876" t="s">
        <v>96</v>
      </c>
      <c r="G102" s="2"/>
      <c r="H102" s="876" t="s">
        <v>97</v>
      </c>
      <c r="I102" s="1"/>
      <c r="J102" s="876" t="s">
        <v>98</v>
      </c>
      <c r="K102" s="2"/>
      <c r="L102" s="876" t="s">
        <v>147</v>
      </c>
      <c r="M102" s="2"/>
      <c r="N102" s="876" t="s">
        <v>124</v>
      </c>
      <c r="O102" s="2"/>
      <c r="P102" s="876" t="s">
        <v>125</v>
      </c>
      <c r="Q102" s="2"/>
      <c r="R102" s="876" t="s">
        <v>126</v>
      </c>
      <c r="S102" s="2"/>
      <c r="T102" s="876" t="s">
        <v>127</v>
      </c>
      <c r="U102" s="2"/>
      <c r="V102" s="876" t="s">
        <v>128</v>
      </c>
      <c r="W102" s="2"/>
      <c r="X102" s="2"/>
      <c r="Y102" s="2"/>
      <c r="Z102" s="2"/>
      <c r="AA102" s="2"/>
      <c r="AB102" s="2"/>
      <c r="AC102" s="2"/>
    </row>
    <row r="103" spans="1:29">
      <c r="A103" s="1"/>
      <c r="B103" s="2"/>
      <c r="C103" s="2"/>
      <c r="D103" s="2"/>
      <c r="E103" s="2"/>
      <c r="F103" s="2"/>
      <c r="G103" s="2"/>
      <c r="H103" s="876" t="s">
        <v>148</v>
      </c>
      <c r="I103" s="1"/>
      <c r="J103" s="2"/>
      <c r="K103" s="2"/>
      <c r="L103" s="2"/>
      <c r="M103" s="2"/>
      <c r="N103" s="876" t="s">
        <v>356</v>
      </c>
      <c r="O103" s="2"/>
      <c r="P103" s="876" t="s">
        <v>359</v>
      </c>
      <c r="Q103" s="2"/>
      <c r="R103" s="2"/>
      <c r="S103" s="2"/>
      <c r="T103" s="876" t="s">
        <v>347</v>
      </c>
      <c r="U103" s="2"/>
      <c r="V103" s="876" t="s">
        <v>339</v>
      </c>
      <c r="W103" s="2"/>
      <c r="X103" s="2"/>
      <c r="Y103" s="2"/>
      <c r="Z103" s="2"/>
      <c r="AA103" s="2"/>
      <c r="AB103" s="2"/>
      <c r="AC103" s="2"/>
    </row>
    <row r="104" spans="1:29">
      <c r="A104" s="1"/>
      <c r="B104" s="876" t="s">
        <v>349</v>
      </c>
      <c r="C104" s="2"/>
      <c r="D104" s="876" t="s">
        <v>149</v>
      </c>
      <c r="E104" s="2"/>
      <c r="F104" s="876" t="s">
        <v>149</v>
      </c>
      <c r="G104" s="2"/>
      <c r="H104" s="876" t="s">
        <v>329</v>
      </c>
      <c r="I104" s="1"/>
      <c r="J104" s="876" t="s">
        <v>352</v>
      </c>
      <c r="K104" s="2"/>
      <c r="L104" s="876" t="s">
        <v>354</v>
      </c>
      <c r="M104" s="2"/>
      <c r="N104" s="876" t="s">
        <v>354</v>
      </c>
      <c r="O104" s="2"/>
      <c r="P104" s="876" t="s">
        <v>358</v>
      </c>
      <c r="Q104" s="2"/>
      <c r="R104" s="876" t="s">
        <v>360</v>
      </c>
      <c r="S104" s="2"/>
      <c r="T104" s="876" t="s">
        <v>349</v>
      </c>
      <c r="U104" s="2"/>
      <c r="V104" s="876" t="s">
        <v>349</v>
      </c>
      <c r="W104" s="876"/>
      <c r="X104" s="2"/>
      <c r="Y104" s="2"/>
      <c r="Z104" s="2"/>
      <c r="AA104" s="2"/>
      <c r="AB104" s="2"/>
      <c r="AC104" s="2"/>
    </row>
    <row r="105" spans="1:29">
      <c r="A105" s="1"/>
      <c r="B105" s="877" t="s">
        <v>350</v>
      </c>
      <c r="C105" s="2"/>
      <c r="D105" s="877" t="s">
        <v>351</v>
      </c>
      <c r="E105" s="2"/>
      <c r="F105" s="877" t="s">
        <v>261</v>
      </c>
      <c r="G105" s="2"/>
      <c r="H105" s="877" t="s">
        <v>330</v>
      </c>
      <c r="I105" s="1"/>
      <c r="J105" s="877" t="s">
        <v>353</v>
      </c>
      <c r="K105" s="2"/>
      <c r="L105" s="877" t="s">
        <v>355</v>
      </c>
      <c r="M105" s="2"/>
      <c r="N105" s="877" t="s">
        <v>357</v>
      </c>
      <c r="O105" s="2"/>
      <c r="P105" s="877" t="s">
        <v>357</v>
      </c>
      <c r="Q105" s="2"/>
      <c r="R105" s="877" t="s">
        <v>361</v>
      </c>
      <c r="S105" s="2"/>
      <c r="T105" s="877" t="s">
        <v>362</v>
      </c>
      <c r="U105" s="2"/>
      <c r="V105" s="877" t="s">
        <v>363</v>
      </c>
      <c r="W105" s="851"/>
      <c r="X105" s="876"/>
      <c r="Y105" s="2"/>
      <c r="Z105" s="2"/>
      <c r="AA105" s="2"/>
      <c r="AB105" s="2"/>
      <c r="AC105" s="2"/>
    </row>
    <row r="106" spans="1:29" ht="14.1" customHeight="1">
      <c r="A106" s="1" t="str">
        <f>+Report!A106</f>
        <v>PER BOOKS</v>
      </c>
      <c r="B106" s="618">
        <f>+IncomeStmt!B9</f>
        <v>644223.42538000015</v>
      </c>
      <c r="C106" s="822"/>
      <c r="D106" s="618">
        <f>+IncomeStmt!$B$10</f>
        <v>263438.31910000002</v>
      </c>
      <c r="E106" s="822"/>
      <c r="F106" s="618">
        <f>+IncomeStmt!$B$13</f>
        <v>153041.29167999999</v>
      </c>
      <c r="G106" s="619"/>
      <c r="H106" s="618">
        <f>SUM(IncomeStmt!$B$14:$B$17)</f>
        <v>47035.836779999998</v>
      </c>
      <c r="I106" s="619"/>
      <c r="J106" s="618">
        <f>+IncomeStmt!$B$18</f>
        <v>53866.712039999999</v>
      </c>
      <c r="K106" s="619"/>
      <c r="L106" s="618">
        <f>+IncomeStmt!$B$19</f>
        <v>4362.9270399999987</v>
      </c>
      <c r="M106" s="619"/>
      <c r="N106" s="618">
        <f>+IncomeStmt!$B$20</f>
        <v>21535.034200000002</v>
      </c>
      <c r="O106" s="619"/>
      <c r="P106" s="618">
        <f>+IncomeStmt!$B$21</f>
        <v>0</v>
      </c>
      <c r="Q106" s="619"/>
      <c r="R106" s="1039">
        <f>(SUM('Input IS ACCTS'!CJ367:CU367)+SUM('Input IS ACCTS'!CJ374:CU374))/1000</f>
        <v>61.98348</v>
      </c>
      <c r="S106" s="619"/>
      <c r="T106" s="618">
        <f>SUM(D106:R106)</f>
        <v>543342.10432000004</v>
      </c>
      <c r="U106" s="619"/>
      <c r="V106" s="618">
        <f>+B106-T106</f>
        <v>100881.3210600001</v>
      </c>
      <c r="W106" s="868"/>
      <c r="X106" s="868"/>
      <c r="Y106" s="2"/>
      <c r="Z106" s="2"/>
      <c r="AA106" s="2"/>
      <c r="AB106" s="2"/>
      <c r="AC106" s="2"/>
    </row>
    <row r="107" spans="1:29">
      <c r="A107" s="1"/>
      <c r="B107" s="822"/>
      <c r="C107" s="822"/>
      <c r="D107" s="822"/>
      <c r="E107" s="822"/>
      <c r="F107" s="822"/>
      <c r="G107" s="822"/>
      <c r="H107" s="822"/>
      <c r="I107" s="822"/>
      <c r="J107" s="822"/>
      <c r="K107" s="822"/>
      <c r="L107" s="822"/>
      <c r="M107" s="822"/>
      <c r="N107" s="822"/>
      <c r="O107" s="822"/>
      <c r="P107" s="822"/>
      <c r="Q107" s="822"/>
      <c r="R107" s="822"/>
      <c r="S107" s="822"/>
      <c r="T107" s="822"/>
      <c r="U107" s="822"/>
      <c r="V107" s="822"/>
      <c r="W107" s="868"/>
      <c r="X107" s="2"/>
      <c r="Y107" s="2"/>
      <c r="Z107" s="2"/>
      <c r="AA107" s="2"/>
      <c r="AB107" s="2"/>
      <c r="AC107" s="2"/>
    </row>
    <row r="108" spans="1:29">
      <c r="A108" s="870" t="str">
        <f>+Report!A108</f>
        <v>FPSC ADJUSTMENTS:</v>
      </c>
      <c r="B108" s="822"/>
      <c r="C108" s="822"/>
      <c r="D108" s="822"/>
      <c r="E108" s="822"/>
      <c r="F108" s="822"/>
      <c r="G108" s="822"/>
      <c r="H108" s="822"/>
      <c r="I108" s="822"/>
      <c r="J108" s="822"/>
      <c r="K108" s="822"/>
      <c r="L108" s="822"/>
      <c r="M108" s="822"/>
      <c r="N108" s="822"/>
      <c r="O108" s="822"/>
      <c r="P108" s="822"/>
      <c r="Q108" s="822"/>
      <c r="R108" s="822"/>
      <c r="S108" s="822"/>
      <c r="T108" s="822"/>
      <c r="U108" s="822"/>
      <c r="V108" s="822"/>
      <c r="W108" s="868"/>
      <c r="X108" s="2"/>
      <c r="Y108" s="2"/>
      <c r="Z108" s="2"/>
      <c r="AA108" s="2"/>
      <c r="AB108" s="2"/>
      <c r="AC108" s="2"/>
    </row>
    <row r="109" spans="1:29">
      <c r="A109" s="269" t="str">
        <f>+Report!A109</f>
        <v>Remove Conservation Charges</v>
      </c>
      <c r="B109" s="1034">
        <f>-Input!EP19/1000</f>
        <v>-19628.651889999997</v>
      </c>
      <c r="C109" s="822"/>
      <c r="D109" s="822"/>
      <c r="E109" s="822"/>
      <c r="F109" s="1034">
        <f>-Input!EP15/1000</f>
        <v>-19628.651469999997</v>
      </c>
      <c r="G109" s="822"/>
      <c r="H109" s="822"/>
      <c r="I109" s="822"/>
      <c r="J109" s="822"/>
      <c r="K109" s="822"/>
      <c r="L109" s="827">
        <f>((B109-D109-F109-H109-J109)*'Input Tax Rate'!$B$36)</f>
        <v>-1.0644900007700926E-4</v>
      </c>
      <c r="M109" s="822"/>
      <c r="N109" s="822"/>
      <c r="O109" s="822"/>
      <c r="P109" s="822"/>
      <c r="Q109" s="822"/>
      <c r="R109" s="822"/>
      <c r="S109" s="822"/>
      <c r="T109" s="822">
        <f t="shared" ref="T109:T125" si="1">SUM(D109:R109)</f>
        <v>-19628.651576448996</v>
      </c>
      <c r="U109" s="822"/>
      <c r="V109" s="828">
        <f t="shared" ref="V109:V125" si="2">B109-T109</f>
        <v>-3.1355100145447068E-4</v>
      </c>
      <c r="W109" s="878" t="s">
        <v>535</v>
      </c>
      <c r="X109" s="868"/>
      <c r="Y109" s="2"/>
      <c r="Z109" s="2"/>
      <c r="AA109" s="2"/>
      <c r="AB109" s="2"/>
      <c r="AC109" s="2"/>
    </row>
    <row r="110" spans="1:29">
      <c r="A110" s="269" t="str">
        <f>+Report!A110</f>
        <v>Non-Utility Allocation</v>
      </c>
      <c r="B110" s="822"/>
      <c r="C110" s="822"/>
      <c r="D110" s="822"/>
      <c r="E110" s="822"/>
      <c r="F110" s="822"/>
      <c r="G110" s="822"/>
      <c r="H110" s="1032">
        <f>+-'Input Plant'!CW34/1000</f>
        <v>-39.200481251330913</v>
      </c>
      <c r="I110" s="822"/>
      <c r="J110" s="829">
        <v>0</v>
      </c>
      <c r="K110" s="822"/>
      <c r="L110" s="827">
        <f>((B110-D110-F110-H110-J110)*'Input Tax Rate'!$B$36)</f>
        <v>9.9353619731498206</v>
      </c>
      <c r="M110" s="822"/>
      <c r="N110" s="822"/>
      <c r="O110" s="822"/>
      <c r="P110" s="822"/>
      <c r="Q110" s="822"/>
      <c r="R110" s="822"/>
      <c r="S110" s="822"/>
      <c r="T110" s="822">
        <f t="shared" si="1"/>
        <v>-29.265119278181093</v>
      </c>
      <c r="U110" s="822"/>
      <c r="V110" s="822">
        <f t="shared" si="2"/>
        <v>29.265119278181093</v>
      </c>
      <c r="W110" s="868"/>
      <c r="X110" s="868"/>
      <c r="Y110" s="2"/>
      <c r="Z110" s="2"/>
      <c r="AA110" s="2"/>
      <c r="AB110" s="2"/>
      <c r="AC110" s="2"/>
    </row>
    <row r="111" spans="1:29">
      <c r="A111" s="269" t="str">
        <f>+Report!A111</f>
        <v>Interest Synchronization</v>
      </c>
      <c r="B111" s="822"/>
      <c r="C111" s="822"/>
      <c r="D111" s="822"/>
      <c r="E111" s="822"/>
      <c r="F111" s="822"/>
      <c r="G111" s="822"/>
      <c r="H111" s="822"/>
      <c r="I111" s="822"/>
      <c r="J111" s="822"/>
      <c r="K111" s="822"/>
      <c r="L111" s="1034">
        <f>-'Int Synch'!E31</f>
        <v>117.20289195672966</v>
      </c>
      <c r="M111" s="822"/>
      <c r="N111" s="822"/>
      <c r="O111" s="822"/>
      <c r="P111" s="822"/>
      <c r="Q111" s="822"/>
      <c r="R111" s="822"/>
      <c r="S111" s="822"/>
      <c r="T111" s="822">
        <f>SUM(D111:R111)</f>
        <v>117.20289195672966</v>
      </c>
      <c r="U111" s="822"/>
      <c r="V111" s="822">
        <f t="shared" si="2"/>
        <v>-117.20289195672966</v>
      </c>
      <c r="W111" s="868"/>
      <c r="X111" s="868"/>
      <c r="Y111" s="2"/>
      <c r="Z111" s="2"/>
      <c r="AA111" s="2"/>
      <c r="AB111" s="2"/>
      <c r="AC111" s="2"/>
    </row>
    <row r="112" spans="1:29">
      <c r="A112" s="269" t="str">
        <f>+Report!A112</f>
        <v>Parent Debt Adjustment</v>
      </c>
      <c r="B112" s="822"/>
      <c r="C112" s="822"/>
      <c r="D112" s="822"/>
      <c r="E112" s="822"/>
      <c r="F112" s="822"/>
      <c r="G112" s="822"/>
      <c r="H112" s="822"/>
      <c r="I112" s="822"/>
      <c r="J112" s="822"/>
      <c r="K112" s="822"/>
      <c r="L112" s="954">
        <f>+Report!L112</f>
        <v>-2099</v>
      </c>
      <c r="M112" s="822"/>
      <c r="N112" s="822"/>
      <c r="O112" s="822"/>
      <c r="P112" s="822"/>
      <c r="Q112" s="822"/>
      <c r="R112" s="822"/>
      <c r="S112" s="822"/>
      <c r="T112" s="822">
        <f t="shared" si="1"/>
        <v>-2099</v>
      </c>
      <c r="U112" s="822"/>
      <c r="V112" s="822">
        <f t="shared" si="2"/>
        <v>2099</v>
      </c>
      <c r="W112" s="868"/>
      <c r="X112" s="868"/>
      <c r="Y112" s="2"/>
      <c r="Z112" s="2"/>
      <c r="AA112" s="2"/>
      <c r="AB112" s="2"/>
      <c r="AC112" s="2"/>
    </row>
    <row r="113" spans="1:33">
      <c r="A113" s="269" t="str">
        <f>+Report!A113</f>
        <v>Remove Fuel Revenues</v>
      </c>
      <c r="B113" s="1034">
        <f>-D106+J113</f>
        <v>-264132.81910000002</v>
      </c>
      <c r="C113" s="822"/>
      <c r="D113" s="822">
        <f>-D106</f>
        <v>-263438.31910000002</v>
      </c>
      <c r="E113" s="822"/>
      <c r="F113" s="822"/>
      <c r="G113" s="822"/>
      <c r="H113" s="822"/>
      <c r="I113" s="822"/>
      <c r="J113" s="1034">
        <f>+-Input!EP46/1000</f>
        <v>-694.5</v>
      </c>
      <c r="K113" s="822"/>
      <c r="L113" s="827">
        <f>((B113-D113-F113-H113-J113)*'Input Tax Rate'!$B$36)</f>
        <v>0</v>
      </c>
      <c r="M113" s="822"/>
      <c r="N113" s="822"/>
      <c r="O113" s="822"/>
      <c r="P113" s="822"/>
      <c r="Q113" s="822"/>
      <c r="R113" s="822"/>
      <c r="S113" s="822"/>
      <c r="T113" s="822">
        <f t="shared" si="1"/>
        <v>-264132.81910000002</v>
      </c>
      <c r="U113" s="822"/>
      <c r="V113" s="828">
        <f t="shared" si="2"/>
        <v>0</v>
      </c>
      <c r="W113" s="878" t="s">
        <v>535</v>
      </c>
      <c r="X113" s="868"/>
      <c r="Y113" s="2"/>
      <c r="Z113" s="2"/>
      <c r="AA113" s="2"/>
      <c r="AB113" s="2"/>
      <c r="AC113" s="2"/>
    </row>
    <row r="114" spans="1:33">
      <c r="A114" s="269" t="str">
        <f>+Report!A114</f>
        <v>Economic Development Adjustment</v>
      </c>
      <c r="B114" s="822"/>
      <c r="C114" s="822"/>
      <c r="D114" s="822"/>
      <c r="E114" s="822"/>
      <c r="F114" s="1032">
        <f>-Input!EP24/1000</f>
        <v>-18.620854000000001</v>
      </c>
      <c r="G114" s="822"/>
      <c r="H114" s="822"/>
      <c r="I114" s="822"/>
      <c r="J114" s="822"/>
      <c r="K114" s="822"/>
      <c r="L114" s="827">
        <f>((B114-D114-F114-H114-J114)*'Input Tax Rate'!$B$36)</f>
        <v>4.7194554463000005</v>
      </c>
      <c r="M114" s="822"/>
      <c r="N114" s="822"/>
      <c r="O114" s="822"/>
      <c r="P114" s="822"/>
      <c r="Q114" s="822"/>
      <c r="R114" s="822"/>
      <c r="S114" s="822"/>
      <c r="T114" s="822">
        <f t="shared" si="1"/>
        <v>-13.901398553700002</v>
      </c>
      <c r="U114" s="822"/>
      <c r="V114" s="822">
        <f t="shared" si="2"/>
        <v>13.901398553700002</v>
      </c>
      <c r="W114" s="868"/>
      <c r="X114" s="868"/>
      <c r="Y114" s="2"/>
      <c r="Z114" s="2"/>
      <c r="AA114" s="2"/>
      <c r="AB114" s="2"/>
      <c r="AC114" s="2"/>
    </row>
    <row r="115" spans="1:33">
      <c r="A115" s="269" t="str">
        <f>+Report!A115</f>
        <v>Employee Activities</v>
      </c>
      <c r="B115" s="822"/>
      <c r="C115" s="822"/>
      <c r="D115" s="822"/>
      <c r="E115" s="822"/>
      <c r="F115" s="1032">
        <f>-Input!EP57/1000</f>
        <v>-69.856849999999994</v>
      </c>
      <c r="G115" s="822"/>
      <c r="H115" s="822"/>
      <c r="I115" s="822"/>
      <c r="J115" s="822"/>
      <c r="K115" s="822"/>
      <c r="L115" s="827">
        <f>((B115-D115-F115-H115-J115)*'Input Tax Rate'!$B$36)</f>
        <v>17.705218632499999</v>
      </c>
      <c r="M115" s="822"/>
      <c r="N115" s="822"/>
      <c r="O115" s="822"/>
      <c r="P115" s="822"/>
      <c r="Q115" s="822"/>
      <c r="R115" s="822"/>
      <c r="S115" s="822"/>
      <c r="T115" s="822">
        <f t="shared" si="1"/>
        <v>-52.151631367499995</v>
      </c>
      <c r="U115" s="822"/>
      <c r="V115" s="822">
        <f t="shared" si="2"/>
        <v>52.151631367499995</v>
      </c>
      <c r="X115" s="868"/>
      <c r="Y115" s="868"/>
      <c r="Z115" s="2"/>
      <c r="AA115" s="2"/>
      <c r="AB115" s="2"/>
      <c r="AC115" s="2"/>
    </row>
    <row r="116" spans="1:33">
      <c r="A116" s="269" t="str">
        <f>+Report!A116</f>
        <v>Franchise/Gross Receipts Taxes</v>
      </c>
      <c r="B116" s="1032">
        <f>Input!EP34/1000</f>
        <v>-29071.52102</v>
      </c>
      <c r="C116" s="822"/>
      <c r="D116" s="822"/>
      <c r="E116" s="822"/>
      <c r="F116" s="822"/>
      <c r="G116" s="822"/>
      <c r="H116" s="822"/>
      <c r="I116" s="822"/>
      <c r="J116" s="1032">
        <f>-Input!EP29/1000</f>
        <v>-28891.917550000006</v>
      </c>
      <c r="K116" s="822"/>
      <c r="L116" s="827">
        <f>((B116-D116-F116-H116-J116)*'Input Tax Rate'!$B$36)</f>
        <v>-45.520499471498624</v>
      </c>
      <c r="M116" s="822"/>
      <c r="N116" s="822"/>
      <c r="O116" s="822"/>
      <c r="P116" s="822"/>
      <c r="Q116" s="822"/>
      <c r="R116" s="822"/>
      <c r="S116" s="822"/>
      <c r="T116" s="822">
        <f>SUM(D116:R116)</f>
        <v>-28937.438049471504</v>
      </c>
      <c r="U116" s="822"/>
      <c r="V116" s="822">
        <f t="shared" si="2"/>
        <v>-134.08297052849593</v>
      </c>
      <c r="W116" s="868"/>
      <c r="X116" s="868"/>
      <c r="Y116" s="2"/>
      <c r="Z116" s="2"/>
      <c r="AA116" s="2"/>
      <c r="AB116" s="868"/>
      <c r="AC116" s="2"/>
      <c r="AD116" s="2"/>
      <c r="AE116" s="2"/>
      <c r="AF116" s="2"/>
      <c r="AG116" s="2"/>
    </row>
    <row r="117" spans="1:33">
      <c r="A117" s="269" t="str">
        <f>+Report!A117</f>
        <v>Maintenance of General Plant</v>
      </c>
      <c r="B117" s="822"/>
      <c r="C117" s="822"/>
      <c r="D117" s="822"/>
      <c r="E117" s="822"/>
      <c r="F117" s="1032">
        <f>-('Input IS ACCTS'!DH513)*0.1328/1000</f>
        <v>-58.709748543999993</v>
      </c>
      <c r="G117" s="822"/>
      <c r="H117" s="822"/>
      <c r="I117" s="822"/>
      <c r="J117" s="822"/>
      <c r="K117" s="822"/>
      <c r="L117" s="827">
        <f>((B117-D117-F117-H117-J117)*'Input Tax Rate'!$B$36)</f>
        <v>14.879985768476798</v>
      </c>
      <c r="M117" s="822"/>
      <c r="N117" s="822"/>
      <c r="O117" s="822"/>
      <c r="P117" s="822"/>
      <c r="Q117" s="822"/>
      <c r="R117" s="822"/>
      <c r="S117" s="822"/>
      <c r="T117" s="822">
        <f t="shared" si="1"/>
        <v>-43.829762775523193</v>
      </c>
      <c r="U117" s="822"/>
      <c r="V117" s="822">
        <f t="shared" si="2"/>
        <v>43.829762775523193</v>
      </c>
      <c r="W117" s="868"/>
      <c r="X117" s="868"/>
      <c r="Y117" s="2"/>
      <c r="Z117" s="2"/>
      <c r="AA117" s="2"/>
      <c r="AB117" s="2"/>
      <c r="AC117" s="2"/>
    </row>
    <row r="118" spans="1:33">
      <c r="A118" s="269" t="str">
        <f>+Report!A118</f>
        <v>Maint. of Structures and Improvements</v>
      </c>
      <c r="B118" s="822"/>
      <c r="C118" s="822"/>
      <c r="D118" s="822"/>
      <c r="E118" s="822"/>
      <c r="F118" s="1032">
        <f>-('Input IS ACCTS'!DH485)*0.031/1000</f>
        <v>-7.6618412699999991</v>
      </c>
      <c r="G118" s="822"/>
      <c r="H118" s="822"/>
      <c r="I118" s="822"/>
      <c r="J118" s="822"/>
      <c r="K118" s="822"/>
      <c r="L118" s="827">
        <f>((B118-D118-F118-H118-J118)*'Input Tax Rate'!$B$36)</f>
        <v>1.9418936698814999</v>
      </c>
      <c r="M118" s="822"/>
      <c r="N118" s="822"/>
      <c r="O118" s="822"/>
      <c r="P118" s="822"/>
      <c r="Q118" s="822"/>
      <c r="R118" s="822"/>
      <c r="S118" s="822"/>
      <c r="T118" s="822">
        <f t="shared" si="1"/>
        <v>-5.7199476001184992</v>
      </c>
      <c r="U118" s="822"/>
      <c r="V118" s="822">
        <f t="shared" si="2"/>
        <v>5.7199476001184992</v>
      </c>
      <c r="W118" s="868"/>
      <c r="X118" s="868"/>
      <c r="Y118" s="2"/>
      <c r="Z118" s="2"/>
      <c r="AA118" s="2"/>
      <c r="AB118" s="2"/>
      <c r="AC118" s="2"/>
    </row>
    <row r="119" spans="1:33">
      <c r="A119" s="269" t="str">
        <f>+Report!A119</f>
        <v>Remove Acquisition Adj. Amortiz. (WFNG)</v>
      </c>
      <c r="B119" s="822"/>
      <c r="C119" s="822"/>
      <c r="D119" s="822"/>
      <c r="E119" s="822"/>
      <c r="F119" s="822"/>
      <c r="G119" s="822"/>
      <c r="H119" s="1032">
        <f>+-'Input WFNG'!T268/1000</f>
        <v>-44.704999999999998</v>
      </c>
      <c r="I119" s="822"/>
      <c r="J119" s="822"/>
      <c r="K119" s="822"/>
      <c r="L119" s="827">
        <f>((B119-D119-F119-H119-J119)*'Input Tax Rate'!$B$36)</f>
        <v>11.330482249999999</v>
      </c>
      <c r="M119" s="822"/>
      <c r="N119" s="822"/>
      <c r="O119" s="822"/>
      <c r="P119" s="822"/>
      <c r="Q119" s="822"/>
      <c r="R119" s="822"/>
      <c r="S119" s="822"/>
      <c r="T119" s="822">
        <f t="shared" si="1"/>
        <v>-33.374517749999995</v>
      </c>
      <c r="U119" s="822"/>
      <c r="V119" s="822">
        <f t="shared" si="2"/>
        <v>33.374517749999995</v>
      </c>
      <c r="W119" s="868"/>
      <c r="X119" s="868"/>
      <c r="Y119" s="2"/>
      <c r="Z119" s="2"/>
      <c r="AA119" s="2"/>
      <c r="AB119" s="2"/>
      <c r="AC119" s="2"/>
    </row>
    <row r="120" spans="1:33">
      <c r="A120" s="269" t="str">
        <f>+Report!A120</f>
        <v>Gain on Sale of Property</v>
      </c>
      <c r="B120" s="822"/>
      <c r="C120" s="822"/>
      <c r="D120" s="822"/>
      <c r="E120" s="822"/>
      <c r="F120" s="824"/>
      <c r="G120" s="822"/>
      <c r="H120" s="822"/>
      <c r="I120" s="822"/>
      <c r="J120" s="822"/>
      <c r="K120" s="822"/>
      <c r="L120" s="827">
        <f>((B120-D120-F120-H120-J120)*'Input Tax Rate'!$B$36)</f>
        <v>0</v>
      </c>
      <c r="M120" s="822"/>
      <c r="N120" s="822"/>
      <c r="O120" s="822"/>
      <c r="P120" s="822"/>
      <c r="Q120" s="822"/>
      <c r="R120" s="822"/>
      <c r="S120" s="822"/>
      <c r="T120" s="822">
        <f>SUM(D120:R120)</f>
        <v>0</v>
      </c>
      <c r="U120" s="822"/>
      <c r="V120" s="822">
        <f t="shared" si="2"/>
        <v>0</v>
      </c>
      <c r="W120" s="868"/>
      <c r="X120" s="868"/>
      <c r="Y120" s="2"/>
      <c r="Z120" s="2"/>
      <c r="AA120" s="2"/>
      <c r="AB120" s="2"/>
      <c r="AC120" s="2"/>
    </row>
    <row r="121" spans="1:33">
      <c r="A121" s="269" t="str">
        <f>+Report!A121</f>
        <v>Lease of PHFFU</v>
      </c>
      <c r="B121" s="1034">
        <f>-Input!EP51/1000</f>
        <v>-108.53180999999999</v>
      </c>
      <c r="C121" s="822"/>
      <c r="D121" s="822"/>
      <c r="E121" s="822"/>
      <c r="F121" s="824"/>
      <c r="G121" s="822"/>
      <c r="H121" s="822"/>
      <c r="I121" s="822"/>
      <c r="J121" s="822"/>
      <c r="K121" s="822"/>
      <c r="L121" s="827">
        <f>((B121-D121-F121-H121-J121)*'Input Tax Rate'!$B$36)</f>
        <v>-27.507387244499999</v>
      </c>
      <c r="M121" s="822"/>
      <c r="N121" s="822"/>
      <c r="O121" s="822"/>
      <c r="P121" s="822"/>
      <c r="Q121" s="822"/>
      <c r="R121" s="822"/>
      <c r="S121" s="822"/>
      <c r="T121" s="822">
        <f>SUM(D121:R121)</f>
        <v>-27.507387244499999</v>
      </c>
      <c r="U121" s="822"/>
      <c r="V121" s="822">
        <f t="shared" si="2"/>
        <v>-81.024422755499998</v>
      </c>
      <c r="W121" s="868"/>
      <c r="X121" s="868"/>
      <c r="Y121" s="2"/>
      <c r="Z121" s="2"/>
      <c r="AA121" s="2"/>
      <c r="AB121" s="2"/>
      <c r="AC121" s="2"/>
    </row>
    <row r="122" spans="1:33">
      <c r="A122" s="269" t="str">
        <f>+Report!A122</f>
        <v>Remove  ITC Amortization</v>
      </c>
      <c r="B122" s="822"/>
      <c r="C122" s="822"/>
      <c r="D122" s="822"/>
      <c r="E122" s="822"/>
      <c r="F122" s="822"/>
      <c r="G122" s="822"/>
      <c r="H122" s="822"/>
      <c r="I122" s="822"/>
      <c r="J122" s="822"/>
      <c r="K122" s="822"/>
      <c r="L122" s="827">
        <f>((B122-D122-F122-H122-J122)*'Input Tax Rate'!$B$36)</f>
        <v>0</v>
      </c>
      <c r="M122" s="822"/>
      <c r="N122" s="822"/>
      <c r="O122" s="822"/>
      <c r="P122" s="822">
        <f>-P106</f>
        <v>0</v>
      </c>
      <c r="Q122" s="822"/>
      <c r="R122" s="822"/>
      <c r="S122" s="822"/>
      <c r="T122" s="822">
        <f t="shared" si="1"/>
        <v>0</v>
      </c>
      <c r="U122" s="822"/>
      <c r="V122" s="822">
        <f t="shared" si="2"/>
        <v>0</v>
      </c>
      <c r="W122" s="868"/>
      <c r="X122" s="868"/>
      <c r="Y122" s="2"/>
      <c r="Z122" s="2"/>
      <c r="AA122" s="2"/>
      <c r="AB122" s="2"/>
      <c r="AC122" s="2"/>
    </row>
    <row r="123" spans="1:33">
      <c r="A123" s="269" t="str">
        <f>+Report!A123</f>
        <v>Cast Iron/Bare Steel Rider (CIBSR)</v>
      </c>
      <c r="B123" s="1037">
        <f>-(('[8]Surv report tab'!$DG$27-'[8]Surv report tab'!$DG$33)/1000)-B124</f>
        <v>-4764.6855999999998</v>
      </c>
      <c r="C123" s="825"/>
      <c r="D123" s="825"/>
      <c r="E123" s="825"/>
      <c r="F123" s="1037">
        <f>+-'[8]Surv report tab'!$DG$36/1000</f>
        <v>-4795.0159999999996</v>
      </c>
      <c r="G123" s="825"/>
      <c r="H123" s="1033">
        <f>+-'[8]Surv report tab'!$DG$43/1000</f>
        <v>-71.212999999999965</v>
      </c>
      <c r="I123" s="825"/>
      <c r="J123" s="1033">
        <f>-('[8]Surv report tab'!$DG$30+'[8]Surv report tab'!$DG$46)/1000</f>
        <v>101.54457999999998</v>
      </c>
      <c r="K123" s="822"/>
      <c r="L123" s="827">
        <f>((B123-D123-F123-H123-J123)*'Input Tax Rate'!$B$36)</f>
        <v>-2.9907100004810658E-4</v>
      </c>
      <c r="M123" s="822"/>
      <c r="N123" s="822"/>
      <c r="O123" s="822"/>
      <c r="P123" s="822"/>
      <c r="Q123" s="822"/>
      <c r="R123" s="822"/>
      <c r="S123" s="822"/>
      <c r="T123" s="822">
        <f>SUM(D123:R123)</f>
        <v>-4764.6847190709996</v>
      </c>
      <c r="U123" s="822"/>
      <c r="V123" s="828">
        <f t="shared" si="2"/>
        <v>-8.8092900023184484E-4</v>
      </c>
      <c r="W123" s="878" t="s">
        <v>535</v>
      </c>
      <c r="X123" s="868"/>
      <c r="Y123" s="2"/>
      <c r="Z123" s="2"/>
      <c r="AA123" s="2"/>
      <c r="AB123" s="2"/>
      <c r="AC123" s="2"/>
    </row>
    <row r="124" spans="1:33">
      <c r="A124" s="269" t="str">
        <f>+Report!A124</f>
        <v>Cast Iron/Bare Steel Rider (CIBSR) - ROI</v>
      </c>
      <c r="B124" s="1033">
        <f>+-'[8]Surv report tab'!$DG$39/1000</f>
        <v>-1243.3610000000001</v>
      </c>
      <c r="C124" s="825"/>
      <c r="D124" s="825"/>
      <c r="E124" s="825"/>
      <c r="F124" s="825"/>
      <c r="G124" s="825"/>
      <c r="H124" s="825"/>
      <c r="I124" s="825"/>
      <c r="J124" s="825"/>
      <c r="K124" s="822"/>
      <c r="L124" s="827">
        <f>((B124-D124-F124-H124-J124)*'Input Tax Rate'!$B$36)</f>
        <v>-315.12984545000006</v>
      </c>
      <c r="M124" s="822"/>
      <c r="N124" s="822"/>
      <c r="O124" s="822"/>
      <c r="P124" s="822"/>
      <c r="Q124" s="822"/>
      <c r="R124" s="822"/>
      <c r="S124" s="822"/>
      <c r="T124" s="822">
        <f>SUM(D124:R124)</f>
        <v>-315.12984545000006</v>
      </c>
      <c r="U124" s="822"/>
      <c r="V124" s="822">
        <f t="shared" si="2"/>
        <v>-928.23115455000004</v>
      </c>
      <c r="W124" s="868"/>
      <c r="X124" s="868"/>
      <c r="Y124" s="2"/>
      <c r="Z124" s="2"/>
      <c r="AA124" s="2"/>
      <c r="AB124" s="2"/>
      <c r="AC124" s="2"/>
    </row>
    <row r="125" spans="1:33">
      <c r="A125" s="639" t="str">
        <f>+Report!A125</f>
        <v>OSS Adjustment</v>
      </c>
      <c r="B125" s="821">
        <v>0</v>
      </c>
      <c r="C125" s="822"/>
      <c r="D125" s="821"/>
      <c r="E125" s="822"/>
      <c r="F125" s="821"/>
      <c r="G125" s="822"/>
      <c r="H125" s="821"/>
      <c r="I125" s="822"/>
      <c r="J125" s="821"/>
      <c r="K125" s="822"/>
      <c r="L125" s="827">
        <f>((B125-D125-F125-H125-J125)*'Input Tax Rate'!$B$36)</f>
        <v>0</v>
      </c>
      <c r="M125" s="822"/>
      <c r="N125" s="821"/>
      <c r="O125" s="822"/>
      <c r="P125" s="821"/>
      <c r="Q125" s="822"/>
      <c r="R125" s="821"/>
      <c r="S125" s="822"/>
      <c r="T125" s="826">
        <f t="shared" si="1"/>
        <v>0</v>
      </c>
      <c r="U125" s="822"/>
      <c r="V125" s="826">
        <f t="shared" si="2"/>
        <v>0</v>
      </c>
      <c r="W125" s="868"/>
      <c r="X125" s="868"/>
      <c r="Y125" s="2"/>
      <c r="Z125" s="2"/>
      <c r="AA125" s="2"/>
      <c r="AB125" s="2"/>
      <c r="AC125" s="2"/>
    </row>
    <row r="126" spans="1:33" ht="12.95" customHeight="1">
      <c r="A126" s="583" t="str">
        <f>+Report!A126</f>
        <v>TOTAL FPSC ADJUSTMENTS</v>
      </c>
      <c r="B126" s="821">
        <f>SUM(B109:B125)</f>
        <v>-318949.57042</v>
      </c>
      <c r="C126" s="822"/>
      <c r="D126" s="821">
        <f>SUM(D109:D125)</f>
        <v>-263438.31910000002</v>
      </c>
      <c r="E126" s="822"/>
      <c r="F126" s="821">
        <f>SUM(F109:F125)</f>
        <v>-24578.516763813997</v>
      </c>
      <c r="G126" s="822"/>
      <c r="H126" s="821">
        <f>SUM(H109:H125)</f>
        <v>-155.11848125133088</v>
      </c>
      <c r="I126" s="822"/>
      <c r="J126" s="821">
        <f>SUM(J109:J125)</f>
        <v>-29484.872970000004</v>
      </c>
      <c r="K126" s="822"/>
      <c r="L126" s="821">
        <f>SUM(L109:L125)</f>
        <v>-2309.4428479889611</v>
      </c>
      <c r="M126" s="822"/>
      <c r="N126" s="821">
        <f>SUM(N109:N125)</f>
        <v>0</v>
      </c>
      <c r="O126" s="822"/>
      <c r="P126" s="821">
        <f>SUM(P109:P125)</f>
        <v>0</v>
      </c>
      <c r="Q126" s="822"/>
      <c r="R126" s="821">
        <f>SUM(R109:R125)</f>
        <v>0</v>
      </c>
      <c r="S126" s="822"/>
      <c r="T126" s="821">
        <f>SUM(T109:T125)</f>
        <v>-319966.27016305429</v>
      </c>
      <c r="U126" s="822"/>
      <c r="V126" s="821">
        <f>SUM(V109:V125)</f>
        <v>1016.6997430542955</v>
      </c>
      <c r="W126" s="868"/>
      <c r="X126" s="868"/>
      <c r="Y126" s="2"/>
      <c r="Z126" s="2"/>
      <c r="AA126" s="2"/>
      <c r="AB126" s="2"/>
      <c r="AC126" s="2"/>
    </row>
    <row r="127" spans="1:33">
      <c r="A127" s="1"/>
      <c r="B127" s="822"/>
      <c r="C127" s="822"/>
      <c r="D127" s="822"/>
      <c r="E127" s="822"/>
      <c r="F127" s="822"/>
      <c r="G127" s="822"/>
      <c r="H127" s="822"/>
      <c r="I127" s="822"/>
      <c r="J127" s="822"/>
      <c r="K127" s="822"/>
      <c r="L127" s="822"/>
      <c r="M127" s="822"/>
      <c r="N127" s="822"/>
      <c r="O127" s="822"/>
      <c r="P127" s="822"/>
      <c r="Q127" s="822"/>
      <c r="R127" s="822"/>
      <c r="S127" s="822"/>
      <c r="T127" s="822"/>
      <c r="U127" s="822"/>
      <c r="V127" s="822"/>
      <c r="W127" s="868"/>
      <c r="X127" s="868"/>
      <c r="Y127" s="2"/>
      <c r="Z127" s="2"/>
      <c r="AA127" s="2"/>
      <c r="AB127" s="2"/>
      <c r="AC127" s="2"/>
    </row>
    <row r="128" spans="1:33" ht="13.5" thickBot="1">
      <c r="A128" s="1" t="str">
        <f>+Report!A128</f>
        <v>FPSC ADJUSTED</v>
      </c>
      <c r="B128" s="831">
        <f>B106+B126</f>
        <v>325273.85496000014</v>
      </c>
      <c r="C128" s="822"/>
      <c r="D128" s="831">
        <f>D106+D126</f>
        <v>0</v>
      </c>
      <c r="E128" s="822"/>
      <c r="F128" s="831">
        <f>F106+F126</f>
        <v>128462.774916186</v>
      </c>
      <c r="G128" s="822"/>
      <c r="H128" s="831">
        <f>H106+H126</f>
        <v>46880.718298748667</v>
      </c>
      <c r="I128" s="822"/>
      <c r="J128" s="831">
        <f>J106+J126</f>
        <v>24381.839069999995</v>
      </c>
      <c r="K128" s="822"/>
      <c r="L128" s="831">
        <f>L106+L126</f>
        <v>2053.4841920110375</v>
      </c>
      <c r="M128" s="822"/>
      <c r="N128" s="831">
        <f>N106+N126</f>
        <v>21535.034200000002</v>
      </c>
      <c r="O128" s="822"/>
      <c r="P128" s="831">
        <f>P106+P126</f>
        <v>0</v>
      </c>
      <c r="Q128" s="822"/>
      <c r="R128" s="831">
        <f>R106+R126</f>
        <v>61.98348</v>
      </c>
      <c r="S128" s="822"/>
      <c r="T128" s="831">
        <f>T106+T126</f>
        <v>223375.83415694576</v>
      </c>
      <c r="U128" s="822"/>
      <c r="V128" s="831">
        <f>V106+V126</f>
        <v>101898.0208030544</v>
      </c>
      <c r="W128" s="868"/>
      <c r="X128" s="868"/>
      <c r="Y128" s="2"/>
      <c r="Z128" s="2"/>
      <c r="AA128" s="2"/>
      <c r="AB128" s="2"/>
      <c r="AC128" s="2"/>
    </row>
    <row r="129" spans="1:29" ht="13.5" thickTop="1">
      <c r="A129" s="1"/>
      <c r="B129" s="619"/>
      <c r="C129" s="619"/>
      <c r="D129" s="619"/>
      <c r="E129" s="619"/>
      <c r="F129" s="619"/>
      <c r="G129" s="619"/>
      <c r="H129" s="619"/>
      <c r="I129" s="619"/>
      <c r="J129" s="619"/>
      <c r="K129" s="619"/>
      <c r="L129" s="619"/>
      <c r="M129" s="619"/>
      <c r="N129" s="619"/>
      <c r="O129" s="619"/>
      <c r="P129" s="619"/>
      <c r="Q129" s="619"/>
      <c r="R129" s="619"/>
      <c r="S129" s="619"/>
      <c r="T129" s="619"/>
      <c r="U129" s="619"/>
      <c r="V129" s="619"/>
      <c r="W129" s="868"/>
      <c r="X129" s="868"/>
      <c r="Y129" s="879"/>
      <c r="Z129" s="2"/>
      <c r="AA129" s="2"/>
      <c r="AB129" s="2"/>
      <c r="AC129" s="2"/>
    </row>
    <row r="130" spans="1:29">
      <c r="A130" s="870" t="str">
        <f>+Report!A130</f>
        <v>FLEX RATE REVENUES</v>
      </c>
      <c r="B130" s="1036">
        <f>-Input!EP61/1000</f>
        <v>-3726.5816599999994</v>
      </c>
      <c r="C130" s="619"/>
      <c r="D130" s="618"/>
      <c r="E130" s="619"/>
      <c r="F130" s="618"/>
      <c r="G130" s="619"/>
      <c r="H130" s="618"/>
      <c r="I130" s="619"/>
      <c r="J130" s="618"/>
      <c r="K130" s="619"/>
      <c r="L130" s="1177">
        <f>((B130-D130-F130-H130-J130)*'Input Tax Rate'!$B$36)</f>
        <v>-944.50212172699992</v>
      </c>
      <c r="M130" s="619"/>
      <c r="N130" s="618"/>
      <c r="O130" s="619"/>
      <c r="P130" s="618"/>
      <c r="Q130" s="619"/>
      <c r="R130" s="618"/>
      <c r="S130" s="619"/>
      <c r="T130" s="618">
        <f>SUM(D130:R130)</f>
        <v>-944.50212172699992</v>
      </c>
      <c r="U130" s="619"/>
      <c r="V130" s="618">
        <f>B130-T130</f>
        <v>-2782.0795382729993</v>
      </c>
      <c r="W130" s="868"/>
      <c r="X130" s="868"/>
      <c r="Y130" s="2"/>
      <c r="Z130" s="2"/>
      <c r="AA130" s="2"/>
      <c r="AB130" s="2"/>
      <c r="AC130" s="2"/>
    </row>
    <row r="131" spans="1:29">
      <c r="A131" s="1" t="str">
        <f>+Report!A131</f>
        <v>ADJUSTED FOR</v>
      </c>
      <c r="B131" s="619"/>
      <c r="C131" s="619"/>
      <c r="D131" s="619"/>
      <c r="E131" s="619"/>
      <c r="F131" s="619"/>
      <c r="G131" s="619"/>
      <c r="H131" s="619"/>
      <c r="I131" s="619"/>
      <c r="J131" s="619"/>
      <c r="K131" s="619"/>
      <c r="L131" s="619"/>
      <c r="M131" s="619"/>
      <c r="N131" s="619"/>
      <c r="O131" s="619"/>
      <c r="P131" s="619"/>
      <c r="Q131" s="619"/>
      <c r="R131" s="619"/>
      <c r="S131" s="619"/>
      <c r="T131" s="619"/>
      <c r="U131" s="619"/>
      <c r="V131" s="619"/>
      <c r="W131" s="868"/>
      <c r="X131" s="868"/>
      <c r="Y131" s="2"/>
      <c r="Z131" s="2"/>
      <c r="AA131" s="2"/>
      <c r="AB131" s="2"/>
      <c r="AC131" s="2"/>
    </row>
    <row r="132" spans="1:29" ht="13.5" thickBot="1">
      <c r="A132" s="1" t="str">
        <f>+Report!A132</f>
        <v>FLEX RATE REVENUES</v>
      </c>
      <c r="B132" s="626">
        <f>B128+B130</f>
        <v>321547.27330000012</v>
      </c>
      <c r="C132" s="619"/>
      <c r="D132" s="626">
        <f>D128+D130</f>
        <v>0</v>
      </c>
      <c r="E132" s="619"/>
      <c r="F132" s="626">
        <f>F128+F130</f>
        <v>128462.774916186</v>
      </c>
      <c r="G132" s="619"/>
      <c r="H132" s="626">
        <f>H128+H130</f>
        <v>46880.718298748667</v>
      </c>
      <c r="I132" s="619"/>
      <c r="J132" s="626">
        <f>J128+J130</f>
        <v>24381.839069999995</v>
      </c>
      <c r="K132" s="619"/>
      <c r="L132" s="626">
        <f>L128+L130</f>
        <v>1108.9820702840375</v>
      </c>
      <c r="M132" s="619"/>
      <c r="N132" s="626">
        <f>N128+N130</f>
        <v>21535.034200000002</v>
      </c>
      <c r="O132" s="619"/>
      <c r="P132" s="626">
        <f>P128+P130</f>
        <v>0</v>
      </c>
      <c r="Q132" s="619"/>
      <c r="R132" s="626">
        <f>R128+R130</f>
        <v>61.98348</v>
      </c>
      <c r="S132" s="619"/>
      <c r="T132" s="626">
        <f>T128+T130</f>
        <v>222431.33203521874</v>
      </c>
      <c r="U132" s="619"/>
      <c r="V132" s="626">
        <f>V128+V130</f>
        <v>99115.941264781402</v>
      </c>
      <c r="W132" s="868"/>
      <c r="X132" s="868"/>
      <c r="Y132" s="2"/>
      <c r="Z132" s="2"/>
      <c r="AA132" s="2"/>
      <c r="AB132" s="2"/>
      <c r="AC132" s="2"/>
    </row>
    <row r="133" spans="1:29" ht="13.5" thickTop="1">
      <c r="A133" s="1"/>
      <c r="B133" s="620"/>
      <c r="C133" s="620"/>
      <c r="D133" s="620"/>
      <c r="E133" s="620"/>
      <c r="F133" s="620"/>
      <c r="G133" s="620"/>
      <c r="H133" s="620"/>
      <c r="I133" s="620"/>
      <c r="J133" s="620"/>
      <c r="K133" s="620"/>
      <c r="L133" s="620"/>
      <c r="M133" s="620"/>
      <c r="N133" s="620"/>
      <c r="O133" s="620"/>
      <c r="P133" s="620"/>
      <c r="Q133" s="620"/>
      <c r="R133" s="620"/>
      <c r="S133" s="620"/>
      <c r="T133" s="620"/>
      <c r="U133" s="620"/>
      <c r="V133" s="620"/>
      <c r="W133" s="868"/>
      <c r="X133" s="2"/>
      <c r="Y133" s="2"/>
      <c r="Z133" s="2"/>
      <c r="AA133" s="2"/>
      <c r="AB133" s="2"/>
      <c r="AC133" s="2"/>
    </row>
    <row r="134" spans="1:29">
      <c r="A134" s="1" t="str">
        <f>+Report!A134</f>
        <v>PRO FORMA REVENUE INCREASE AND</v>
      </c>
      <c r="B134" s="619"/>
      <c r="C134" s="620"/>
      <c r="D134" s="620"/>
      <c r="E134" s="620"/>
      <c r="F134" s="620"/>
      <c r="G134" s="620"/>
      <c r="H134" s="620"/>
      <c r="I134" s="641"/>
      <c r="J134" s="620"/>
      <c r="K134" s="620"/>
      <c r="L134" s="620"/>
      <c r="M134" s="620"/>
      <c r="N134" s="620"/>
      <c r="O134" s="620"/>
      <c r="P134" s="620"/>
      <c r="Q134" s="620"/>
      <c r="R134" s="620"/>
      <c r="S134" s="620"/>
      <c r="T134" s="620"/>
      <c r="U134" s="620"/>
      <c r="V134" s="620"/>
      <c r="W134" s="868"/>
      <c r="X134" s="2"/>
      <c r="Y134" s="2"/>
      <c r="Z134" s="2"/>
      <c r="AA134" s="2"/>
      <c r="AB134" s="2"/>
      <c r="AC134" s="2"/>
    </row>
    <row r="135" spans="1:29">
      <c r="A135" s="870" t="str">
        <f>+Report!A135</f>
        <v xml:space="preserve">  ANNUALIZATION ADJUSTMENTS:</v>
      </c>
      <c r="B135" s="620"/>
      <c r="C135" s="620"/>
      <c r="D135" s="620"/>
      <c r="E135" s="620"/>
      <c r="F135" s="620"/>
      <c r="G135" s="620"/>
      <c r="H135" s="620"/>
      <c r="I135" s="630"/>
      <c r="J135" s="620"/>
      <c r="K135" s="620"/>
      <c r="L135" s="620"/>
      <c r="M135" s="620"/>
      <c r="N135" s="620"/>
      <c r="O135" s="620"/>
      <c r="P135" s="620"/>
      <c r="Q135" s="620"/>
      <c r="R135" s="620"/>
      <c r="S135" s="620"/>
      <c r="T135" s="620"/>
      <c r="U135" s="620"/>
      <c r="V135" s="620"/>
      <c r="W135" s="868"/>
      <c r="X135" s="2"/>
      <c r="Y135" s="2"/>
      <c r="Z135" s="2"/>
      <c r="AA135" s="2"/>
      <c r="AB135" s="2"/>
      <c r="AC135" s="2"/>
    </row>
    <row r="136" spans="1:29">
      <c r="A136" s="1"/>
      <c r="B136" s="620"/>
      <c r="C136" s="620"/>
      <c r="D136" s="620"/>
      <c r="E136" s="620"/>
      <c r="F136" s="620"/>
      <c r="G136" s="620"/>
      <c r="H136" s="620"/>
      <c r="I136" s="630"/>
      <c r="J136" s="620"/>
      <c r="K136" s="620"/>
      <c r="L136" s="620"/>
      <c r="M136" s="620"/>
      <c r="N136" s="620"/>
      <c r="O136" s="620"/>
      <c r="P136" s="620"/>
      <c r="Q136" s="620"/>
      <c r="R136" s="620"/>
      <c r="S136" s="620"/>
      <c r="T136" s="619"/>
      <c r="U136" s="619"/>
      <c r="V136" s="619"/>
      <c r="W136" s="868"/>
      <c r="X136" s="868"/>
      <c r="Y136" s="2"/>
      <c r="Z136" s="2"/>
      <c r="AA136" s="2"/>
      <c r="AB136" s="2"/>
      <c r="AC136" s="2"/>
    </row>
    <row r="137" spans="1:29">
      <c r="A137" s="880" t="str">
        <f>+Report!A137</f>
        <v xml:space="preserve">Deferred Tax True-up </v>
      </c>
      <c r="B137" s="620"/>
      <c r="C137" s="620"/>
      <c r="D137" s="620"/>
      <c r="E137" s="620"/>
      <c r="F137" s="620"/>
      <c r="G137" s="620"/>
      <c r="H137" s="620"/>
      <c r="I137" s="643"/>
      <c r="J137" s="620"/>
      <c r="K137" s="620"/>
      <c r="L137" s="644">
        <v>0</v>
      </c>
      <c r="M137" s="620"/>
      <c r="N137" s="620"/>
      <c r="O137" s="620"/>
      <c r="P137" s="620"/>
      <c r="Q137" s="620"/>
      <c r="R137" s="645"/>
      <c r="S137" s="620"/>
      <c r="T137" s="619">
        <f>SUM(D137:R137)</f>
        <v>0</v>
      </c>
      <c r="U137" s="619"/>
      <c r="V137" s="619">
        <f>B137-T137</f>
        <v>0</v>
      </c>
      <c r="W137" s="868"/>
      <c r="X137" s="868"/>
      <c r="Y137" s="2"/>
      <c r="Z137" s="2"/>
      <c r="AA137" s="2"/>
      <c r="AB137" s="2"/>
      <c r="AC137" s="2"/>
    </row>
    <row r="138" spans="1:29">
      <c r="A138" s="880"/>
      <c r="B138" s="646"/>
      <c r="C138" s="620"/>
      <c r="D138" s="646"/>
      <c r="E138" s="620"/>
      <c r="F138" s="647"/>
      <c r="G138" s="620"/>
      <c r="H138" s="646"/>
      <c r="I138" s="620"/>
      <c r="J138" s="646"/>
      <c r="K138" s="620"/>
      <c r="L138" s="625"/>
      <c r="M138" s="620"/>
      <c r="N138" s="646"/>
      <c r="O138" s="620"/>
      <c r="P138" s="646"/>
      <c r="Q138" s="620"/>
      <c r="R138" s="648"/>
      <c r="S138" s="620"/>
      <c r="T138" s="625"/>
      <c r="U138" s="619"/>
      <c r="V138" s="625"/>
      <c r="W138" s="868"/>
      <c r="X138" s="2"/>
      <c r="Y138" s="2"/>
      <c r="Z138" s="2"/>
      <c r="AA138" s="2"/>
      <c r="AB138" s="2"/>
      <c r="AC138" s="2"/>
    </row>
    <row r="139" spans="1:29" ht="12.95" customHeight="1">
      <c r="A139" s="1" t="str">
        <f>+Report!A139</f>
        <v>TOTAL PRO FORMA ADJUSTMENTS</v>
      </c>
      <c r="B139" s="618">
        <f>SUM(B137:B138)</f>
        <v>0</v>
      </c>
      <c r="C139" s="619"/>
      <c r="D139" s="618"/>
      <c r="E139" s="619"/>
      <c r="F139" s="618">
        <f>SUM(F137:F138)</f>
        <v>0</v>
      </c>
      <c r="G139" s="619"/>
      <c r="H139" s="618"/>
      <c r="I139" s="619"/>
      <c r="J139" s="618"/>
      <c r="K139" s="619"/>
      <c r="L139" s="618">
        <f>SUM(L137:L138)</f>
        <v>0</v>
      </c>
      <c r="M139" s="619"/>
      <c r="N139" s="618"/>
      <c r="O139" s="619"/>
      <c r="P139" s="618"/>
      <c r="Q139" s="619"/>
      <c r="R139" s="618">
        <f>SUM(R137:R138)</f>
        <v>0</v>
      </c>
      <c r="S139" s="619"/>
      <c r="T139" s="618">
        <f>SUM(T137:T138)</f>
        <v>0</v>
      </c>
      <c r="U139" s="619"/>
      <c r="V139" s="618">
        <f>SUM(V137:V138)</f>
        <v>0</v>
      </c>
      <c r="W139" s="868"/>
      <c r="X139" s="868"/>
      <c r="Y139" s="2"/>
      <c r="Z139" s="2"/>
      <c r="AA139" s="2"/>
      <c r="AB139" s="2"/>
      <c r="AC139" s="2"/>
    </row>
    <row r="140" spans="1:29">
      <c r="A140" s="1"/>
      <c r="B140" s="619"/>
      <c r="C140" s="619"/>
      <c r="D140" s="619"/>
      <c r="E140" s="619"/>
      <c r="F140" s="619"/>
      <c r="G140" s="619"/>
      <c r="H140" s="619"/>
      <c r="I140" s="619"/>
      <c r="J140" s="619"/>
      <c r="K140" s="619"/>
      <c r="L140" s="619"/>
      <c r="M140" s="619"/>
      <c r="N140" s="619"/>
      <c r="O140" s="619"/>
      <c r="P140" s="619"/>
      <c r="Q140" s="619"/>
      <c r="R140" s="619"/>
      <c r="S140" s="619"/>
      <c r="T140" s="619"/>
      <c r="U140" s="619"/>
      <c r="V140" s="619"/>
      <c r="W140" s="868"/>
      <c r="X140" s="2"/>
      <c r="Y140" s="2"/>
      <c r="Z140" s="2"/>
      <c r="AA140" s="2"/>
      <c r="AB140" s="2"/>
      <c r="AC140" s="2"/>
    </row>
    <row r="141" spans="1:29" ht="13.5" thickBot="1">
      <c r="A141" s="1" t="str">
        <f>+Report!A141</f>
        <v>PRO FORMA ADJUSTED</v>
      </c>
      <c r="B141" s="626">
        <f>B128+B139</f>
        <v>325273.85496000014</v>
      </c>
      <c r="C141" s="619"/>
      <c r="D141" s="626">
        <f>D128+D139</f>
        <v>0</v>
      </c>
      <c r="E141" s="619"/>
      <c r="F141" s="626">
        <f>F128+F139</f>
        <v>128462.774916186</v>
      </c>
      <c r="G141" s="619"/>
      <c r="H141" s="626">
        <f>H128+H139</f>
        <v>46880.718298748667</v>
      </c>
      <c r="I141" s="619"/>
      <c r="J141" s="626">
        <f>J128+J139</f>
        <v>24381.839069999995</v>
      </c>
      <c r="K141" s="619"/>
      <c r="L141" s="626">
        <f>L128+L139</f>
        <v>2053.4841920110375</v>
      </c>
      <c r="M141" s="619"/>
      <c r="N141" s="626">
        <f>N128+N139</f>
        <v>21535.034200000002</v>
      </c>
      <c r="O141" s="619"/>
      <c r="P141" s="626">
        <f>P128+P139</f>
        <v>0</v>
      </c>
      <c r="Q141" s="619"/>
      <c r="R141" s="626">
        <f>R128+R139</f>
        <v>61.98348</v>
      </c>
      <c r="S141" s="619"/>
      <c r="T141" s="626">
        <f>T128+T139</f>
        <v>223375.83415694576</v>
      </c>
      <c r="U141" s="619"/>
      <c r="V141" s="626">
        <f>V128+V139</f>
        <v>101898.0208030544</v>
      </c>
      <c r="W141" s="868"/>
      <c r="X141" s="868"/>
      <c r="Y141" s="2"/>
      <c r="Z141" s="2"/>
      <c r="AA141" s="2"/>
      <c r="AB141" s="2"/>
      <c r="AC141" s="2"/>
    </row>
    <row r="142" spans="1:29" ht="13.5" thickTop="1">
      <c r="A142" s="1"/>
      <c r="B142" s="619"/>
      <c r="C142" s="619"/>
      <c r="D142" s="619"/>
      <c r="E142" s="619"/>
      <c r="F142" s="619"/>
      <c r="G142" s="619"/>
      <c r="H142" s="619"/>
      <c r="I142" s="619"/>
      <c r="J142" s="619"/>
      <c r="K142" s="619"/>
      <c r="L142" s="619"/>
      <c r="M142" s="619"/>
      <c r="N142" s="619"/>
      <c r="O142" s="619"/>
      <c r="P142" s="619"/>
      <c r="Q142" s="619"/>
      <c r="R142" s="619"/>
      <c r="S142" s="619"/>
      <c r="T142" s="619"/>
      <c r="U142" s="619"/>
      <c r="V142" s="619"/>
      <c r="W142" s="868"/>
      <c r="X142" s="2"/>
      <c r="Y142" s="2"/>
      <c r="Z142" s="2"/>
      <c r="AA142" s="2"/>
      <c r="AB142" s="2"/>
      <c r="AC142" s="2"/>
    </row>
    <row r="143" spans="1:29">
      <c r="A143" s="1" t="str">
        <f>+Report!A143</f>
        <v>PER BOOKS</v>
      </c>
      <c r="B143" s="619"/>
      <c r="C143" s="619"/>
      <c r="D143" s="619"/>
      <c r="E143" s="619"/>
      <c r="F143" s="619"/>
      <c r="G143" s="619"/>
      <c r="H143" s="619"/>
      <c r="I143" s="619"/>
      <c r="J143" s="619"/>
      <c r="K143" s="619"/>
      <c r="L143" s="619"/>
      <c r="M143" s="619"/>
      <c r="N143" s="619"/>
      <c r="O143" s="619"/>
      <c r="P143" s="619"/>
      <c r="Q143" s="619"/>
      <c r="R143" s="619"/>
      <c r="S143" s="619"/>
      <c r="T143" s="619"/>
      <c r="U143" s="619"/>
      <c r="V143" s="619"/>
      <c r="W143" s="868"/>
      <c r="X143" s="2"/>
      <c r="Y143" s="2"/>
      <c r="Z143" s="2"/>
      <c r="AA143" s="2"/>
      <c r="AB143" s="2"/>
      <c r="AC143" s="2"/>
    </row>
    <row r="144" spans="1:29" ht="13.5" thickBot="1">
      <c r="A144" s="1" t="str">
        <f>+Report!A144</f>
        <v>CURRENT MONTH AMOUNT</v>
      </c>
      <c r="B144" s="649">
        <f>+IncomeStmt!$D$9</f>
        <v>54187.865009999994</v>
      </c>
      <c r="C144" s="619"/>
      <c r="D144" s="649">
        <f>+IncomeStmt!$D$10</f>
        <v>20091.264589999999</v>
      </c>
      <c r="E144" s="619"/>
      <c r="F144" s="649">
        <f>+IncomeStmt!$D$13</f>
        <v>13472.778250000001</v>
      </c>
      <c r="G144" s="619"/>
      <c r="H144" s="649">
        <f>SUM(IncomeStmt!$D$14:$D$17)</f>
        <v>5314.1527100000012</v>
      </c>
      <c r="I144" s="619"/>
      <c r="J144" s="649">
        <f>+IncomeStmt!$D$18</f>
        <v>5357.7177899999997</v>
      </c>
      <c r="K144" s="619"/>
      <c r="L144" s="649">
        <f>SUM(IncomeStmt!$D$19:$D$19)</f>
        <v>-71.585030000000003</v>
      </c>
      <c r="M144" s="619"/>
      <c r="N144" s="649">
        <f>SUM(IncomeStmt!$D$20:$D$20)</f>
        <v>2410.9741899999999</v>
      </c>
      <c r="O144" s="619"/>
      <c r="P144" s="649">
        <f>+IncomeStmt!$D$21</f>
        <v>0</v>
      </c>
      <c r="Q144" s="619"/>
      <c r="R144" s="650">
        <v>0</v>
      </c>
      <c r="S144" s="619"/>
      <c r="T144" s="626">
        <f>SUM(D144:R144)</f>
        <v>46575.302500000005</v>
      </c>
      <c r="U144" s="619"/>
      <c r="V144" s="1035">
        <f>B144-T144</f>
        <v>7612.5625099999888</v>
      </c>
      <c r="W144" s="868"/>
      <c r="X144" s="868"/>
      <c r="Y144" s="2"/>
      <c r="Z144" s="2"/>
      <c r="AA144" s="2"/>
      <c r="AB144" s="2"/>
      <c r="AC144" s="2"/>
    </row>
    <row r="145" spans="1:33" ht="13.5" thickTop="1">
      <c r="B145" s="869"/>
      <c r="C145" s="869"/>
      <c r="D145" s="869"/>
      <c r="E145" s="869"/>
      <c r="F145" s="869"/>
      <c r="G145" s="869"/>
      <c r="H145" s="869"/>
      <c r="I145" s="869"/>
      <c r="J145" s="869"/>
      <c r="K145" s="869"/>
      <c r="L145" s="869"/>
      <c r="M145" s="869"/>
      <c r="N145" s="869"/>
      <c r="O145" s="869"/>
      <c r="P145" s="869"/>
      <c r="Q145" s="869"/>
      <c r="R145" s="869"/>
      <c r="S145" s="869"/>
      <c r="T145" s="869"/>
      <c r="U145" s="869"/>
      <c r="V145" s="869"/>
      <c r="W145" s="2"/>
      <c r="X145" s="2"/>
      <c r="Y145" s="2"/>
      <c r="Z145" s="2"/>
      <c r="AA145" s="2"/>
      <c r="AB145" s="2"/>
      <c r="AC145" s="2"/>
    </row>
    <row r="146" spans="1:33">
      <c r="A146" s="1"/>
      <c r="B146" s="866"/>
      <c r="C146" s="866"/>
      <c r="D146" s="866"/>
      <c r="E146" s="866"/>
      <c r="F146" s="866"/>
      <c r="G146" s="866"/>
      <c r="H146" s="866"/>
      <c r="I146" s="866"/>
      <c r="J146" s="866"/>
      <c r="K146" s="866"/>
      <c r="L146" s="866"/>
      <c r="M146" s="866"/>
      <c r="N146" s="866"/>
      <c r="O146" s="866"/>
      <c r="P146" s="866"/>
      <c r="Q146" s="866"/>
      <c r="R146" s="866"/>
      <c r="S146" s="866"/>
      <c r="T146" s="866"/>
      <c r="U146" s="866"/>
      <c r="V146" s="866"/>
      <c r="W146" s="2"/>
      <c r="X146" s="2"/>
      <c r="Y146" s="2"/>
      <c r="Z146" s="2"/>
      <c r="AA146" s="2"/>
      <c r="AB146" s="2"/>
      <c r="AC146" s="2"/>
    </row>
    <row r="147" spans="1:33">
      <c r="A147" s="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33" ht="15.75">
      <c r="A148" s="874" t="str">
        <f>+Report!A148</f>
        <v>PEOPLES GAS SYSTEM</v>
      </c>
      <c r="B148" s="872"/>
      <c r="C148" s="872"/>
      <c r="D148" s="872"/>
      <c r="E148" s="872"/>
      <c r="F148" s="871"/>
      <c r="G148" s="871"/>
      <c r="H148" s="872"/>
      <c r="I148" s="872"/>
      <c r="J148" s="872"/>
      <c r="K148" s="872"/>
      <c r="L148" s="872"/>
      <c r="M148" s="872"/>
      <c r="N148" s="872"/>
      <c r="O148" s="872"/>
      <c r="P148" s="872"/>
      <c r="Q148" s="872"/>
      <c r="R148" s="872"/>
      <c r="S148" s="872"/>
      <c r="T148" s="875" t="s">
        <v>160</v>
      </c>
      <c r="U148" s="881"/>
      <c r="V148" s="881"/>
      <c r="W148" s="844"/>
      <c r="X148" s="2"/>
      <c r="Y148" s="2"/>
      <c r="Z148" s="2"/>
      <c r="AA148" s="2"/>
      <c r="AB148" s="2"/>
      <c r="AC148" s="2"/>
    </row>
    <row r="149" spans="1:33" ht="15.75">
      <c r="A149" s="874" t="str">
        <f>+Report!A149</f>
        <v>CAPITAL STRUCTURE</v>
      </c>
      <c r="B149" s="872"/>
      <c r="C149" s="872"/>
      <c r="D149" s="872"/>
      <c r="E149" s="872"/>
      <c r="F149" s="871"/>
      <c r="G149" s="871"/>
      <c r="H149" s="872"/>
      <c r="I149" s="871"/>
      <c r="J149" s="872"/>
      <c r="K149" s="872"/>
      <c r="L149" s="872"/>
      <c r="M149" s="872"/>
      <c r="N149" s="872"/>
      <c r="O149" s="872"/>
      <c r="P149" s="872"/>
      <c r="Q149" s="872"/>
      <c r="R149" s="872"/>
      <c r="S149" s="872"/>
      <c r="T149" s="875"/>
      <c r="U149" s="875"/>
      <c r="V149" s="875"/>
      <c r="W149" s="844"/>
      <c r="X149" s="2"/>
      <c r="Y149" s="2"/>
      <c r="Z149" s="2"/>
      <c r="AA149" s="2"/>
      <c r="AB149" s="2"/>
      <c r="AC149" s="2"/>
    </row>
    <row r="150" spans="1:33" ht="15.75">
      <c r="A150" s="874" t="str">
        <f>+Report!A150</f>
        <v>FPSC ADJUSTED BASIS</v>
      </c>
      <c r="B150" s="872"/>
      <c r="C150" s="872"/>
      <c r="D150" s="872"/>
      <c r="E150" s="872"/>
      <c r="F150" s="872"/>
      <c r="G150" s="871"/>
      <c r="H150" s="871"/>
      <c r="I150" s="871"/>
      <c r="J150" s="872"/>
      <c r="K150" s="872"/>
      <c r="L150" s="872"/>
      <c r="M150" s="872"/>
      <c r="N150" s="872"/>
      <c r="O150" s="872"/>
      <c r="P150" s="872"/>
      <c r="Q150" s="872"/>
      <c r="R150" s="872"/>
      <c r="S150" s="872"/>
      <c r="T150" s="875"/>
      <c r="U150" s="875"/>
      <c r="V150" s="875"/>
      <c r="W150" s="844"/>
      <c r="X150" s="2"/>
      <c r="Y150" s="2"/>
      <c r="Z150" s="2"/>
      <c r="AA150" s="2"/>
      <c r="AB150" s="2"/>
      <c r="AC150" s="2"/>
    </row>
    <row r="151" spans="1:33" ht="15.75">
      <c r="A151" s="874" t="str">
        <f>+Report!A151</f>
        <v>December 2022</v>
      </c>
      <c r="B151" s="872"/>
      <c r="C151" s="872"/>
      <c r="D151" s="872"/>
      <c r="E151" s="872"/>
      <c r="F151" s="872"/>
      <c r="G151" s="871"/>
      <c r="H151" s="871"/>
      <c r="I151" s="871"/>
      <c r="J151" s="872"/>
      <c r="K151" s="872"/>
      <c r="L151" s="872"/>
      <c r="M151" s="872"/>
      <c r="N151" s="872"/>
      <c r="O151" s="872"/>
      <c r="P151" s="872"/>
      <c r="Q151" s="872"/>
      <c r="R151" s="872"/>
      <c r="S151" s="872"/>
      <c r="T151" s="875"/>
      <c r="U151" s="875"/>
      <c r="V151" s="875"/>
      <c r="W151" s="844"/>
      <c r="X151" s="2"/>
      <c r="Y151" s="2"/>
      <c r="Z151" s="2"/>
      <c r="AA151" s="2"/>
      <c r="AB151" s="2"/>
      <c r="AC151" s="2"/>
    </row>
    <row r="152" spans="1:33" ht="15.75">
      <c r="A152" s="874" t="str">
        <f>+Report!A152</f>
        <v>(In $ Thousands)</v>
      </c>
      <c r="B152" s="872"/>
      <c r="C152" s="872"/>
      <c r="D152" s="872"/>
      <c r="E152" s="872"/>
      <c r="F152" s="871"/>
      <c r="G152" s="871"/>
      <c r="H152" s="872"/>
      <c r="I152" s="871"/>
      <c r="J152" s="872"/>
      <c r="K152" s="872"/>
      <c r="L152" s="872"/>
      <c r="M152" s="872"/>
      <c r="N152" s="872"/>
      <c r="O152" s="872"/>
      <c r="P152" s="872"/>
      <c r="Q152" s="872"/>
      <c r="R152" s="872"/>
      <c r="S152" s="872"/>
      <c r="T152" s="875"/>
      <c r="U152" s="875"/>
      <c r="V152" s="875"/>
      <c r="W152" s="844"/>
      <c r="X152" s="2"/>
      <c r="Y152" s="2"/>
      <c r="Z152" s="2"/>
      <c r="AA152" s="2"/>
      <c r="AB152" s="2"/>
      <c r="AC152" s="2"/>
    </row>
    <row r="153" spans="1:33">
      <c r="A153" s="1"/>
      <c r="B153" s="2"/>
      <c r="C153" s="2"/>
      <c r="D153" s="2"/>
      <c r="E153" s="2"/>
      <c r="F153" s="2"/>
      <c r="G153" s="2"/>
      <c r="H153" s="2"/>
      <c r="I153" s="2"/>
      <c r="J153" s="2"/>
      <c r="K153" s="2"/>
      <c r="L153" s="2"/>
      <c r="M153" s="2"/>
      <c r="N153" s="2"/>
      <c r="O153" s="2"/>
      <c r="P153" s="2"/>
      <c r="Q153" s="2"/>
      <c r="R153" s="2"/>
      <c r="S153" s="2"/>
      <c r="T153" s="2"/>
      <c r="U153" s="2"/>
      <c r="V153" s="2"/>
      <c r="W153" s="844"/>
      <c r="X153" s="2"/>
      <c r="Y153" s="2"/>
      <c r="Z153" s="2"/>
      <c r="AA153" s="2"/>
      <c r="AB153" s="2"/>
      <c r="AC153" s="2"/>
    </row>
    <row r="154" spans="1:33">
      <c r="A154" s="1"/>
      <c r="B154" s="2"/>
      <c r="C154" s="2"/>
      <c r="D154" s="2"/>
      <c r="E154" s="2"/>
      <c r="F154" s="2"/>
      <c r="G154" s="2"/>
      <c r="H154" s="2"/>
      <c r="I154" s="2"/>
      <c r="J154" s="2"/>
      <c r="K154" s="2"/>
      <c r="L154" s="2"/>
      <c r="M154" s="2"/>
      <c r="N154" s="2"/>
      <c r="O154" s="2"/>
      <c r="P154" s="2"/>
      <c r="Q154" s="2"/>
      <c r="R154" s="2"/>
      <c r="S154" s="2"/>
      <c r="T154" s="2"/>
      <c r="U154" s="2"/>
      <c r="V154" s="2"/>
      <c r="W154" s="844"/>
      <c r="X154" s="2"/>
      <c r="Y154" s="2"/>
      <c r="Z154" s="2"/>
      <c r="AA154" s="2"/>
      <c r="AB154" s="2"/>
      <c r="AC154" s="2"/>
    </row>
    <row r="155" spans="1:33">
      <c r="A155" s="1"/>
      <c r="B155" s="2"/>
      <c r="C155" s="2"/>
      <c r="D155" s="2"/>
      <c r="E155" s="2"/>
      <c r="F155" s="2"/>
      <c r="G155" s="2"/>
      <c r="H155" s="2"/>
      <c r="I155" s="2"/>
      <c r="J155" s="2"/>
      <c r="K155" s="2"/>
      <c r="L155" s="2"/>
      <c r="M155" s="2"/>
      <c r="N155" s="2"/>
      <c r="O155" s="2"/>
      <c r="P155" s="2"/>
      <c r="Q155" s="2"/>
      <c r="R155" s="2"/>
      <c r="S155" s="2"/>
      <c r="T155" s="2"/>
      <c r="U155" s="2"/>
      <c r="V155" s="2"/>
      <c r="W155" s="844"/>
      <c r="X155" s="2"/>
      <c r="Y155" s="2"/>
      <c r="Z155" s="2"/>
      <c r="AA155" s="2"/>
      <c r="AB155" s="2"/>
      <c r="AC155" s="2"/>
    </row>
    <row r="156" spans="1:33">
      <c r="A156" s="137"/>
      <c r="B156" s="882"/>
      <c r="C156" s="883"/>
      <c r="D156" s="882"/>
      <c r="E156" s="883"/>
      <c r="F156" s="882"/>
      <c r="G156" s="883"/>
      <c r="H156" s="882"/>
      <c r="I156" s="883"/>
      <c r="J156" s="883"/>
      <c r="K156" s="883"/>
      <c r="L156" s="884" t="s">
        <v>163</v>
      </c>
      <c r="M156" s="884"/>
      <c r="N156" s="884"/>
      <c r="O156" s="883"/>
      <c r="P156" s="884" t="s">
        <v>164</v>
      </c>
      <c r="Q156" s="884"/>
      <c r="R156" s="884"/>
      <c r="S156" s="883"/>
      <c r="T156" s="884" t="s">
        <v>165</v>
      </c>
      <c r="U156" s="884"/>
      <c r="V156" s="884"/>
      <c r="W156" s="844"/>
      <c r="X156" s="2"/>
      <c r="Y156" s="2"/>
      <c r="Z156" s="2"/>
      <c r="AA156" s="2"/>
      <c r="AB156" s="2"/>
      <c r="AC156" s="2"/>
    </row>
    <row r="157" spans="1:33" ht="14.1" customHeight="1" thickBot="1">
      <c r="A157" s="137"/>
      <c r="B157" s="883"/>
      <c r="C157" s="883"/>
      <c r="D157" s="883"/>
      <c r="E157" s="883"/>
      <c r="F157" s="883"/>
      <c r="G157" s="883"/>
      <c r="H157" s="883"/>
      <c r="I157" s="883"/>
      <c r="J157" s="883"/>
      <c r="K157" s="883"/>
      <c r="L157" s="885" t="s">
        <v>166</v>
      </c>
      <c r="M157" s="883"/>
      <c r="N157" s="885" t="s">
        <v>167</v>
      </c>
      <c r="O157" s="883"/>
      <c r="P157" s="885" t="s">
        <v>166</v>
      </c>
      <c r="Q157" s="883"/>
      <c r="R157" s="885" t="s">
        <v>167</v>
      </c>
      <c r="S157" s="883"/>
      <c r="T157" s="885" t="s">
        <v>166</v>
      </c>
      <c r="U157" s="883"/>
      <c r="V157" s="885" t="s">
        <v>167</v>
      </c>
      <c r="W157" s="844"/>
      <c r="X157" s="2"/>
      <c r="Y157" s="2"/>
      <c r="Z157" s="2"/>
      <c r="AA157" s="2"/>
      <c r="AB157" s="2"/>
      <c r="AC157" s="2"/>
    </row>
    <row r="158" spans="1:33" ht="14.1" customHeight="1">
      <c r="A158" s="137"/>
      <c r="B158" s="883"/>
      <c r="C158" s="883"/>
      <c r="D158" s="884" t="s">
        <v>61</v>
      </c>
      <c r="E158" s="884"/>
      <c r="F158" s="884"/>
      <c r="G158" s="883"/>
      <c r="H158" s="883"/>
      <c r="I158" s="883"/>
      <c r="J158" s="885" t="s">
        <v>168</v>
      </c>
      <c r="K158" s="883"/>
      <c r="L158" s="885" t="s">
        <v>169</v>
      </c>
      <c r="M158" s="883"/>
      <c r="N158" s="885" t="s">
        <v>166</v>
      </c>
      <c r="O158" s="883"/>
      <c r="P158" s="885" t="s">
        <v>169</v>
      </c>
      <c r="Q158" s="883"/>
      <c r="R158" s="885" t="s">
        <v>166</v>
      </c>
      <c r="S158" s="883"/>
      <c r="T158" s="885" t="s">
        <v>169</v>
      </c>
      <c r="U158" s="883"/>
      <c r="V158" s="885" t="s">
        <v>166</v>
      </c>
      <c r="W158" s="844"/>
      <c r="X158" s="886" t="s">
        <v>569</v>
      </c>
      <c r="Y158" s="887"/>
      <c r="Z158" s="888"/>
      <c r="AA158" s="889"/>
      <c r="AB158" s="886"/>
      <c r="AC158" s="887"/>
      <c r="AD158" s="888"/>
      <c r="AE158" s="889"/>
      <c r="AF158" s="890" t="s">
        <v>1416</v>
      </c>
      <c r="AG158" s="891"/>
    </row>
    <row r="159" spans="1:33" ht="14.1" customHeight="1" thickBot="1">
      <c r="A159" s="892" t="s">
        <v>3</v>
      </c>
      <c r="B159" s="893" t="s">
        <v>101</v>
      </c>
      <c r="C159" s="883"/>
      <c r="D159" s="893" t="s">
        <v>170</v>
      </c>
      <c r="E159" s="883"/>
      <c r="F159" s="893" t="s">
        <v>171</v>
      </c>
      <c r="G159" s="883"/>
      <c r="H159" s="893" t="s">
        <v>172</v>
      </c>
      <c r="I159" s="883"/>
      <c r="J159" s="893" t="s">
        <v>173</v>
      </c>
      <c r="K159" s="883"/>
      <c r="L159" s="893" t="s">
        <v>173</v>
      </c>
      <c r="M159" s="883"/>
      <c r="N159" s="893" t="s">
        <v>173</v>
      </c>
      <c r="O159" s="883"/>
      <c r="P159" s="893" t="s">
        <v>173</v>
      </c>
      <c r="Q159" s="883"/>
      <c r="R159" s="893" t="s">
        <v>173</v>
      </c>
      <c r="S159" s="883"/>
      <c r="T159" s="893" t="s">
        <v>173</v>
      </c>
      <c r="U159" s="883"/>
      <c r="V159" s="893" t="s">
        <v>173</v>
      </c>
      <c r="W159" s="844"/>
      <c r="X159" s="894" t="s">
        <v>570</v>
      </c>
      <c r="Y159" s="895"/>
      <c r="Z159" s="896"/>
      <c r="AA159" s="555"/>
      <c r="AB159" s="894" t="s">
        <v>2508</v>
      </c>
      <c r="AC159" s="895"/>
      <c r="AD159" s="896"/>
      <c r="AE159" s="555"/>
      <c r="AF159" s="897" t="s">
        <v>1417</v>
      </c>
      <c r="AG159" s="897" t="s">
        <v>1418</v>
      </c>
    </row>
    <row r="160" spans="1:33" ht="14.1" customHeight="1">
      <c r="A160" s="137" t="s">
        <v>174</v>
      </c>
      <c r="B160" s="661">
        <f>Reconcil!B120+Reconcil!B121</f>
        <v>518351.22366999998</v>
      </c>
      <c r="C160" s="661"/>
      <c r="D160" s="661">
        <f>+'Reconcil YE'!D43</f>
        <v>-4654.11575692318</v>
      </c>
      <c r="E160" s="661"/>
      <c r="F160" s="661">
        <f>ROUND('Reconcil YE'!$K$43*Y160,9)+ROUND('Reconcil YE'!$J$43*AC160,9)</f>
        <v>-44637.598071660002</v>
      </c>
      <c r="G160" s="661"/>
      <c r="H160" s="953">
        <f>B160+D160+F160+('Cap Str 54.7%'!C17*'Cap Str 54.7%'!C8)</f>
        <v>449090.21758140362</v>
      </c>
      <c r="I160" s="656"/>
      <c r="J160" s="662">
        <f>ROUND(H160/$H$171,4)</f>
        <v>0.28129999999999999</v>
      </c>
      <c r="K160" s="656"/>
      <c r="L160" s="663">
        <f>+'Debt &amp; Cust Dep'!DR35*100</f>
        <v>3.7900000000000005</v>
      </c>
      <c r="M160" s="656"/>
      <c r="N160" s="663">
        <f>ROUND(L160*J160,2)</f>
        <v>1.07</v>
      </c>
      <c r="O160" s="656"/>
      <c r="P160" s="663">
        <f>L160</f>
        <v>3.7900000000000005</v>
      </c>
      <c r="Q160" s="656"/>
      <c r="R160" s="663">
        <f>ROUND(P160*J160,2)</f>
        <v>1.07</v>
      </c>
      <c r="S160" s="656"/>
      <c r="T160" s="663">
        <f>L160</f>
        <v>3.7900000000000005</v>
      </c>
      <c r="U160" s="656"/>
      <c r="V160" s="663">
        <f>ROUND(T160*J160,2)</f>
        <v>1.07</v>
      </c>
      <c r="W160" s="844"/>
      <c r="X160" s="898">
        <f>B160+D160</f>
        <v>513697.10791307682</v>
      </c>
      <c r="Y160" s="899">
        <f>X160/$X$171</f>
        <v>0.34562803182383289</v>
      </c>
      <c r="Z160" s="900"/>
      <c r="AA160" s="2"/>
      <c r="AB160" s="898">
        <f>B160+D160</f>
        <v>513697.10791307682</v>
      </c>
      <c r="AC160" s="899">
        <f>AB160/$AB$171</f>
        <v>0.29480297921385684</v>
      </c>
      <c r="AD160" s="900"/>
      <c r="AE160" s="2"/>
      <c r="AF160" s="901">
        <f>+H160</f>
        <v>449090.21758140362</v>
      </c>
      <c r="AG160" s="902">
        <f>AF160/AF171</f>
        <v>0.33091359360025518</v>
      </c>
    </row>
    <row r="161" spans="1:33" ht="6" customHeight="1">
      <c r="A161" s="137"/>
      <c r="B161" s="661"/>
      <c r="C161" s="661"/>
      <c r="D161" s="661"/>
      <c r="E161" s="661"/>
      <c r="F161" s="661"/>
      <c r="G161" s="661"/>
      <c r="H161" s="661"/>
      <c r="I161" s="656"/>
      <c r="J161" s="664"/>
      <c r="K161" s="656"/>
      <c r="L161" s="656"/>
      <c r="M161" s="656"/>
      <c r="N161" s="656"/>
      <c r="O161" s="656"/>
      <c r="P161" s="663"/>
      <c r="Q161" s="656"/>
      <c r="R161" s="663"/>
      <c r="S161" s="656"/>
      <c r="T161" s="663"/>
      <c r="U161" s="656"/>
      <c r="V161" s="663"/>
      <c r="W161" s="844"/>
      <c r="X161" s="898"/>
      <c r="Y161" s="899"/>
      <c r="Z161" s="900"/>
      <c r="AA161" s="2"/>
      <c r="AB161" s="898"/>
      <c r="AC161" s="899"/>
      <c r="AD161" s="900"/>
      <c r="AE161" s="2"/>
      <c r="AF161" s="901"/>
      <c r="AG161" s="902"/>
    </row>
    <row r="162" spans="1:33" ht="14.1" customHeight="1">
      <c r="A162" s="137" t="s">
        <v>175</v>
      </c>
      <c r="B162" s="661">
        <f>Reconcil!B127</f>
        <v>189522.084</v>
      </c>
      <c r="C162" s="661"/>
      <c r="D162" s="661"/>
      <c r="E162" s="661"/>
      <c r="F162" s="661">
        <f>ROUND('Reconcil YE'!$K$43*Y162,9)+ROUND('Reconcil YE'!$J$43*AC162,9)</f>
        <v>-16468.480123752001</v>
      </c>
      <c r="G162" s="661"/>
      <c r="H162" s="953">
        <f>B162+D162+F162+('Cap Str 54.7%'!C17*'Cap Str 54.7%'!C9)</f>
        <v>165686.18477494526</v>
      </c>
      <c r="I162" s="656"/>
      <c r="J162" s="662">
        <f>ROUND(H162/$H$171,4)</f>
        <v>0.1038</v>
      </c>
      <c r="K162" s="656"/>
      <c r="L162" s="663">
        <f>+'Debt &amp; Cust Dep'!DR44*100</f>
        <v>0.42013965045351337</v>
      </c>
      <c r="M162" s="656"/>
      <c r="N162" s="663">
        <f>ROUND(L162*J162,2)</f>
        <v>0.04</v>
      </c>
      <c r="O162" s="656"/>
      <c r="P162" s="663">
        <f>L162</f>
        <v>0.42013965045351337</v>
      </c>
      <c r="Q162" s="656"/>
      <c r="R162" s="663">
        <f>ROUND(P162*J162,2)</f>
        <v>0.04</v>
      </c>
      <c r="S162" s="656"/>
      <c r="T162" s="663">
        <f>L162</f>
        <v>0.42013965045351337</v>
      </c>
      <c r="U162" s="656"/>
      <c r="V162" s="663">
        <f>ROUND(T162*J162,2)</f>
        <v>0.04</v>
      </c>
      <c r="W162" s="844"/>
      <c r="X162" s="898">
        <f>B162+D162</f>
        <v>189522.084</v>
      </c>
      <c r="Y162" s="899">
        <f>X162/$X$171</f>
        <v>0.12751511322729728</v>
      </c>
      <c r="Z162" s="900"/>
      <c r="AA162" s="2"/>
      <c r="AB162" s="898">
        <f>B162+D162</f>
        <v>189522.084</v>
      </c>
      <c r="AC162" s="899">
        <f>AB162/$AB$171</f>
        <v>0.10876384960974499</v>
      </c>
      <c r="AD162" s="900"/>
      <c r="AE162" s="2"/>
      <c r="AF162" s="901">
        <f>+H162</f>
        <v>165686.18477494526</v>
      </c>
      <c r="AG162" s="902">
        <f>AF162/$AF$171</f>
        <v>0.1220864063997447</v>
      </c>
    </row>
    <row r="163" spans="1:33" ht="6" customHeight="1">
      <c r="A163" s="137"/>
      <c r="B163" s="661"/>
      <c r="C163" s="661"/>
      <c r="D163" s="661"/>
      <c r="E163" s="661"/>
      <c r="F163" s="661"/>
      <c r="G163" s="661"/>
      <c r="H163" s="661"/>
      <c r="I163" s="656"/>
      <c r="J163" s="664"/>
      <c r="K163" s="656"/>
      <c r="L163" s="663"/>
      <c r="M163" s="656"/>
      <c r="N163" s="663"/>
      <c r="O163" s="656"/>
      <c r="P163" s="663"/>
      <c r="Q163" s="656"/>
      <c r="R163" s="663"/>
      <c r="S163" s="656"/>
      <c r="T163" s="663"/>
      <c r="U163" s="656"/>
      <c r="V163" s="663"/>
      <c r="W163" s="844"/>
      <c r="X163" s="898"/>
      <c r="Y163" s="899"/>
      <c r="Z163" s="900"/>
      <c r="AA163" s="2"/>
      <c r="AB163" s="898"/>
      <c r="AC163" s="899"/>
      <c r="AD163" s="900"/>
      <c r="AE163" s="2"/>
      <c r="AF163" s="901"/>
      <c r="AG163" s="902"/>
    </row>
    <row r="164" spans="1:33" ht="14.1" customHeight="1">
      <c r="A164" s="137" t="s">
        <v>17</v>
      </c>
      <c r="B164" s="661">
        <f>Reconcil!B131+Reconcil!B150+Reconcil!B137</f>
        <v>27105.698580000004</v>
      </c>
      <c r="C164" s="661"/>
      <c r="D164" s="661"/>
      <c r="E164" s="661"/>
      <c r="F164" s="661">
        <f>ROUND('Reconcil YE'!$J$43*AC164,9)</f>
        <v>-1787.974941083</v>
      </c>
      <c r="G164" s="661"/>
      <c r="H164" s="661">
        <f>B164+D164+F164</f>
        <v>25317.723638917003</v>
      </c>
      <c r="I164" s="656"/>
      <c r="J164" s="816">
        <f>ROUND(H164/$H$171,4)</f>
        <v>1.5900000000000001E-2</v>
      </c>
      <c r="K164" s="656"/>
      <c r="L164" s="663">
        <f>+'Debt &amp; Cust Dep'!DR92*100</f>
        <v>2.42</v>
      </c>
      <c r="M164" s="656"/>
      <c r="N164" s="663">
        <f>ROUND(L164*J164,2)</f>
        <v>0.04</v>
      </c>
      <c r="O164" s="656"/>
      <c r="P164" s="663">
        <f>L164</f>
        <v>2.42</v>
      </c>
      <c r="Q164" s="656"/>
      <c r="R164" s="663">
        <f>ROUND(P164*J164,2)</f>
        <v>0.04</v>
      </c>
      <c r="S164" s="656"/>
      <c r="T164" s="663">
        <f>L164</f>
        <v>2.42</v>
      </c>
      <c r="U164" s="656"/>
      <c r="V164" s="663">
        <f>ROUND(T164*J164,2)</f>
        <v>0.04</v>
      </c>
      <c r="W164" s="844"/>
      <c r="X164" s="903">
        <v>0</v>
      </c>
      <c r="Y164" s="899">
        <f>X164/$X$171</f>
        <v>0</v>
      </c>
      <c r="Z164" s="900"/>
      <c r="AA164" s="2"/>
      <c r="AB164" s="898">
        <f>B164+D164</f>
        <v>27105.698580000004</v>
      </c>
      <c r="AC164" s="899">
        <f>AB164/$AB$171</f>
        <v>1.5555549314887222E-2</v>
      </c>
      <c r="AD164" s="900"/>
      <c r="AE164" s="2"/>
      <c r="AF164" s="901"/>
      <c r="AG164" s="902"/>
    </row>
    <row r="165" spans="1:33" ht="6" customHeight="1">
      <c r="A165" s="137"/>
      <c r="B165" s="661"/>
      <c r="C165" s="661"/>
      <c r="D165" s="661"/>
      <c r="E165" s="661"/>
      <c r="F165" s="661"/>
      <c r="G165" s="661"/>
      <c r="H165" s="661"/>
      <c r="I165" s="656"/>
      <c r="J165" s="664"/>
      <c r="K165" s="656"/>
      <c r="L165" s="663"/>
      <c r="M165" s="656"/>
      <c r="N165" s="663"/>
      <c r="O165" s="656"/>
      <c r="P165" s="663"/>
      <c r="Q165" s="656"/>
      <c r="R165" s="663"/>
      <c r="S165" s="656"/>
      <c r="T165" s="663"/>
      <c r="U165" s="656"/>
      <c r="V165" s="663"/>
      <c r="W165" s="844"/>
      <c r="X165" s="898"/>
      <c r="Y165" s="899"/>
      <c r="Z165" s="900"/>
      <c r="AA165" s="2"/>
      <c r="AB165" s="898"/>
      <c r="AC165" s="899"/>
      <c r="AD165" s="900"/>
      <c r="AE165" s="2"/>
      <c r="AF165" s="901"/>
      <c r="AG165" s="902"/>
    </row>
    <row r="166" spans="1:33" ht="14.1" customHeight="1">
      <c r="A166" s="137" t="s">
        <v>176</v>
      </c>
      <c r="B166" s="661">
        <f>Reconcil!B117</f>
        <v>786234.5798500001</v>
      </c>
      <c r="C166" s="661"/>
      <c r="D166" s="661">
        <f>+'Reconcil YE'!G43</f>
        <v>-3182.2294857741199</v>
      </c>
      <c r="E166" s="661"/>
      <c r="F166" s="661">
        <f>ROUND('Reconcil YE'!$K$43*Y166,9)+ROUND('Reconcil YE'!$J$43*AC166,9)</f>
        <v>-68043.163074498007</v>
      </c>
      <c r="G166" s="661"/>
      <c r="H166" s="953">
        <f>B166+D166+F166-'Cap Str 54.7%'!C17</f>
        <v>742345.89865104412</v>
      </c>
      <c r="I166" s="656"/>
      <c r="J166" s="662">
        <f>ROUND(H166/$H$171,4)</f>
        <v>0.46500000000000002</v>
      </c>
      <c r="K166" s="656"/>
      <c r="L166" s="665">
        <f>P166-1</f>
        <v>8.9</v>
      </c>
      <c r="M166" s="656"/>
      <c r="N166" s="663">
        <f>ROUND(L166*J166,2)</f>
        <v>4.1399999999999997</v>
      </c>
      <c r="O166" s="656"/>
      <c r="P166" s="666">
        <f>+Report!P166</f>
        <v>9.9</v>
      </c>
      <c r="Q166" s="656"/>
      <c r="R166" s="663">
        <f>ROUND(P166*J166,2)</f>
        <v>4.5999999999999996</v>
      </c>
      <c r="S166" s="656"/>
      <c r="T166" s="667">
        <f>P166+1.1</f>
        <v>11</v>
      </c>
      <c r="U166" s="656"/>
      <c r="V166" s="663">
        <f>ROUND(T166*J166,2)</f>
        <v>5.12</v>
      </c>
      <c r="W166" s="844"/>
      <c r="X166" s="898">
        <f>B166+D166</f>
        <v>783052.35036422603</v>
      </c>
      <c r="Y166" s="899">
        <f>X166/$X$171</f>
        <v>0.52685685494886991</v>
      </c>
      <c r="Z166" s="900"/>
      <c r="AA166" s="2"/>
      <c r="AB166" s="898">
        <f>B166+D166</f>
        <v>783052.35036422603</v>
      </c>
      <c r="AC166" s="899">
        <f>AB166/$AB$171</f>
        <v>0.44938186766441435</v>
      </c>
      <c r="AD166" s="900"/>
      <c r="AE166" s="2"/>
      <c r="AF166" s="901">
        <f>+H166</f>
        <v>742345.89865104412</v>
      </c>
      <c r="AG166" s="902">
        <f>AF166/$AF$171</f>
        <v>0.54700000000000004</v>
      </c>
    </row>
    <row r="167" spans="1:33" ht="6" customHeight="1">
      <c r="A167" s="137"/>
      <c r="B167" s="661"/>
      <c r="C167" s="661"/>
      <c r="D167" s="661"/>
      <c r="E167" s="661"/>
      <c r="F167" s="661"/>
      <c r="G167" s="661"/>
      <c r="H167" s="661"/>
      <c r="I167" s="656"/>
      <c r="J167" s="664"/>
      <c r="K167" s="656"/>
      <c r="L167" s="663"/>
      <c r="M167" s="656"/>
      <c r="N167" s="663"/>
      <c r="O167" s="656"/>
      <c r="P167" s="663"/>
      <c r="Q167" s="656"/>
      <c r="R167" s="663"/>
      <c r="S167" s="656"/>
      <c r="T167" s="663"/>
      <c r="U167" s="656"/>
      <c r="V167" s="663"/>
      <c r="W167" s="844"/>
      <c r="X167" s="898"/>
      <c r="Y167" s="899"/>
      <c r="Z167" s="900"/>
      <c r="AA167" s="2"/>
      <c r="AB167" s="898"/>
      <c r="AC167" s="899"/>
      <c r="AD167" s="900"/>
      <c r="AE167" s="2"/>
      <c r="AF167" s="901"/>
      <c r="AG167" s="902"/>
    </row>
    <row r="168" spans="1:33" ht="14.1" customHeight="1">
      <c r="A168" s="137" t="s">
        <v>177</v>
      </c>
      <c r="B168" s="661">
        <f>Reconcil!B146++Reconcil!B147+Reconcil!B148-Reconcil!B93</f>
        <v>240819.75017000004</v>
      </c>
      <c r="C168" s="661"/>
      <c r="D168" s="661">
        <f>+'Reconcil YE'!H43</f>
        <v>-11687.097528468079</v>
      </c>
      <c r="E168" s="661"/>
      <c r="F168" s="661">
        <f>ROUND('Reconcil YE'!$J$43*AC168,9)</f>
        <v>-15114.291922705999</v>
      </c>
      <c r="G168" s="661"/>
      <c r="H168" s="661">
        <f>B168+D168+F168</f>
        <v>214018.36071882595</v>
      </c>
      <c r="I168" s="656"/>
      <c r="J168" s="662">
        <f>ROUND(H168/$H$171,4)</f>
        <v>0.1341</v>
      </c>
      <c r="K168" s="656"/>
      <c r="L168" s="663"/>
      <c r="M168" s="656"/>
      <c r="N168" s="663"/>
      <c r="O168" s="656"/>
      <c r="P168" s="663"/>
      <c r="Q168" s="656"/>
      <c r="R168" s="663"/>
      <c r="S168" s="656"/>
      <c r="T168" s="663"/>
      <c r="U168" s="656"/>
      <c r="V168" s="663"/>
      <c r="W168" s="844"/>
      <c r="X168" s="903">
        <v>0</v>
      </c>
      <c r="Y168" s="899">
        <f>X168/$X$171</f>
        <v>0</v>
      </c>
      <c r="Z168" s="900"/>
      <c r="AA168" s="2"/>
      <c r="AB168" s="898">
        <f>B168+D168</f>
        <v>229132.65264153195</v>
      </c>
      <c r="AC168" s="899">
        <f>AB168/$AB$171</f>
        <v>0.13149575419709672</v>
      </c>
      <c r="AD168" s="900"/>
      <c r="AE168" s="2"/>
      <c r="AF168" s="901"/>
      <c r="AG168" s="902"/>
    </row>
    <row r="169" spans="1:33" ht="6" customHeight="1">
      <c r="A169" s="137"/>
      <c r="B169" s="661"/>
      <c r="C169" s="661"/>
      <c r="D169" s="661"/>
      <c r="E169" s="661"/>
      <c r="F169" s="661"/>
      <c r="G169" s="661"/>
      <c r="H169" s="661"/>
      <c r="I169" s="656"/>
      <c r="J169" s="664"/>
      <c r="K169" s="656"/>
      <c r="L169" s="663"/>
      <c r="M169" s="656"/>
      <c r="N169" s="663"/>
      <c r="O169" s="656"/>
      <c r="P169" s="663"/>
      <c r="Q169" s="656"/>
      <c r="R169" s="663"/>
      <c r="S169" s="656"/>
      <c r="T169" s="663"/>
      <c r="U169" s="656"/>
      <c r="V169" s="663"/>
      <c r="W169" s="844"/>
      <c r="X169" s="898"/>
      <c r="Y169" s="899"/>
      <c r="Z169" s="900"/>
      <c r="AA169" s="2"/>
      <c r="AB169" s="898"/>
      <c r="AC169" s="899"/>
      <c r="AD169" s="900"/>
      <c r="AE169" s="2"/>
      <c r="AF169" s="901"/>
      <c r="AG169" s="902"/>
    </row>
    <row r="170" spans="1:33" ht="14.1" customHeight="1">
      <c r="A170" s="137" t="s">
        <v>178</v>
      </c>
      <c r="B170" s="668">
        <v>0</v>
      </c>
      <c r="C170" s="661"/>
      <c r="D170" s="668">
        <v>0</v>
      </c>
      <c r="E170" s="661"/>
      <c r="F170" s="668">
        <f>ROUND('Reconcil YE'!$K$43*Y170,9)+ROUND('Reconcil YE'!$J$43*AC170,9)</f>
        <v>0</v>
      </c>
      <c r="G170" s="661"/>
      <c r="H170" s="668">
        <f>B170+D170+F170</f>
        <v>0</v>
      </c>
      <c r="I170" s="656"/>
      <c r="J170" s="669">
        <f>ROUND(H170/$H$171,4)</f>
        <v>0</v>
      </c>
      <c r="K170" s="656"/>
      <c r="L170" s="663"/>
      <c r="M170" s="656"/>
      <c r="N170" s="670"/>
      <c r="O170" s="656"/>
      <c r="P170" s="663"/>
      <c r="Q170" s="656"/>
      <c r="R170" s="670"/>
      <c r="S170" s="656"/>
      <c r="T170" s="663"/>
      <c r="U170" s="656"/>
      <c r="V170" s="670"/>
      <c r="W170" s="844"/>
      <c r="X170" s="903">
        <v>0</v>
      </c>
      <c r="Y170" s="899">
        <f>X170/$X$171</f>
        <v>0</v>
      </c>
      <c r="Z170" s="900"/>
      <c r="AA170" s="2"/>
      <c r="AB170" s="898">
        <f>B170+D170</f>
        <v>0</v>
      </c>
      <c r="AC170" s="899">
        <f>AB170/$AB$171</f>
        <v>0</v>
      </c>
      <c r="AD170" s="900"/>
      <c r="AE170" s="2"/>
      <c r="AF170" s="901"/>
      <c r="AG170" s="902"/>
    </row>
    <row r="171" spans="1:33" ht="15.95" customHeight="1" thickBot="1">
      <c r="A171" s="137" t="s">
        <v>1</v>
      </c>
      <c r="B171" s="671">
        <f>SUM(B160:B170)</f>
        <v>1762033.3362700001</v>
      </c>
      <c r="C171" s="656"/>
      <c r="D171" s="671">
        <f>SUM(D160:D170)</f>
        <v>-19523.442771165377</v>
      </c>
      <c r="E171" s="656"/>
      <c r="F171" s="671">
        <f>ROUND(('Reconcil YE'!K43+'Reconcil YE'!J43),9)</f>
        <v>-146051.5081337</v>
      </c>
      <c r="G171" s="656"/>
      <c r="H171" s="671">
        <f>T92</f>
        <v>1596458.3853651336</v>
      </c>
      <c r="I171" s="656"/>
      <c r="J171" s="808">
        <f>SUM(J160:J170)</f>
        <v>1.0001000000000002</v>
      </c>
      <c r="K171" s="656"/>
      <c r="L171" s="663"/>
      <c r="M171" s="663"/>
      <c r="N171" s="672">
        <f>SUM(N160:N166)</f>
        <v>5.29</v>
      </c>
      <c r="O171" s="663"/>
      <c r="P171" s="663"/>
      <c r="Q171" s="663"/>
      <c r="R171" s="672">
        <f>SUM(R160:R166)</f>
        <v>5.75</v>
      </c>
      <c r="S171" s="663"/>
      <c r="T171" s="663"/>
      <c r="U171" s="663"/>
      <c r="V171" s="672">
        <f>SUM(V160:V166)</f>
        <v>6.2700000000000005</v>
      </c>
      <c r="W171" s="844"/>
      <c r="X171" s="898">
        <f>SUM(X160:X170)</f>
        <v>1486271.5422773028</v>
      </c>
      <c r="Y171" s="899">
        <f>SUM(Y160:Y170)</f>
        <v>1</v>
      </c>
      <c r="Z171" s="900"/>
      <c r="AA171" s="2"/>
      <c r="AB171" s="898">
        <f>SUM(AB160:AB170)</f>
        <v>1742509.8934988347</v>
      </c>
      <c r="AC171" s="899">
        <f>SUM(AC160:AC170)</f>
        <v>1.0000000000000002</v>
      </c>
      <c r="AD171" s="900"/>
      <c r="AE171" s="2"/>
      <c r="AF171" s="901">
        <f>SUM(AF160:AF170)</f>
        <v>1357122.301007393</v>
      </c>
      <c r="AG171" s="902">
        <f>SUM(AG160:AG170)</f>
        <v>1</v>
      </c>
    </row>
    <row r="172" spans="1:33" ht="9" customHeight="1" thickTop="1" thickBot="1">
      <c r="A172" s="137"/>
      <c r="B172" s="883"/>
      <c r="C172" s="883"/>
      <c r="D172" s="883"/>
      <c r="E172" s="883"/>
      <c r="F172" s="883"/>
      <c r="G172" s="883"/>
      <c r="H172" s="883"/>
      <c r="I172" s="883"/>
      <c r="J172" s="883"/>
      <c r="K172" s="883"/>
      <c r="L172" s="883"/>
      <c r="M172" s="883"/>
      <c r="N172" s="883"/>
      <c r="O172" s="883"/>
      <c r="P172" s="883"/>
      <c r="Q172" s="883"/>
      <c r="R172" s="883"/>
      <c r="S172" s="883"/>
      <c r="T172" s="883"/>
      <c r="U172" s="883"/>
      <c r="V172" s="883"/>
      <c r="W172" s="844"/>
      <c r="X172" s="904"/>
      <c r="Y172" s="905"/>
      <c r="Z172" s="906"/>
      <c r="AA172" s="2"/>
      <c r="AB172" s="904"/>
      <c r="AC172" s="905"/>
      <c r="AD172" s="906"/>
      <c r="AE172" s="2"/>
      <c r="AF172" s="907"/>
      <c r="AG172" s="907"/>
    </row>
    <row r="173" spans="1:33">
      <c r="A173" s="137"/>
      <c r="B173" s="882">
        <f>+B171-T55</f>
        <v>0</v>
      </c>
      <c r="C173" s="883"/>
      <c r="D173" s="882">
        <f>+D171-SUM('Reconcil YE'!D43:I43)</f>
        <v>0</v>
      </c>
      <c r="E173" s="883"/>
      <c r="F173" s="882">
        <f>+F171-'Reconcil YE'!J43-'Reconcil YE'!K43</f>
        <v>5.0204107537865639E-10</v>
      </c>
      <c r="G173" s="883"/>
      <c r="H173" s="882">
        <f>H171-T92</f>
        <v>0</v>
      </c>
      <c r="I173" s="883"/>
      <c r="J173" s="908">
        <f>1-J171</f>
        <v>-1.0000000000021103E-4</v>
      </c>
      <c r="K173" s="883"/>
      <c r="L173" s="883"/>
      <c r="M173" s="883"/>
      <c r="N173" s="883"/>
      <c r="O173" s="883"/>
      <c r="P173" s="883"/>
      <c r="Q173" s="883"/>
      <c r="R173" s="883"/>
      <c r="S173" s="883"/>
      <c r="T173" s="883"/>
      <c r="U173" s="883"/>
      <c r="V173" s="883"/>
      <c r="W173" s="2"/>
      <c r="X173" s="882">
        <f>+B160+B162+B166+D160+D166-X171</f>
        <v>0</v>
      </c>
      <c r="Y173" s="2"/>
      <c r="Z173" s="2"/>
      <c r="AA173" s="2"/>
      <c r="AB173" s="882">
        <f>+AB171-B171-D171</f>
        <v>0</v>
      </c>
      <c r="AC173" s="2"/>
      <c r="AD173" s="2"/>
      <c r="AE173" s="2"/>
      <c r="AF173" s="2"/>
      <c r="AG173" s="2"/>
    </row>
    <row r="174" spans="1:33">
      <c r="A174" s="137"/>
      <c r="B174" s="883"/>
      <c r="C174" s="883"/>
      <c r="D174" s="883"/>
      <c r="E174" s="883"/>
      <c r="F174" s="882">
        <f>SUM(F160:F170)-F171</f>
        <v>9.8953023552894592E-10</v>
      </c>
      <c r="G174" s="883"/>
      <c r="H174" s="883"/>
      <c r="I174" s="883"/>
      <c r="J174" s="883"/>
      <c r="K174" s="883"/>
      <c r="L174" s="883"/>
      <c r="M174" s="883"/>
      <c r="N174" s="883"/>
      <c r="O174" s="883"/>
      <c r="P174" s="883"/>
      <c r="Q174" s="883"/>
      <c r="R174" s="883"/>
      <c r="S174" s="883"/>
      <c r="T174" s="883"/>
      <c r="U174" s="883"/>
      <c r="V174" s="883"/>
      <c r="W174" s="2"/>
      <c r="X174" s="2"/>
      <c r="Y174" s="2"/>
      <c r="Z174" s="2"/>
      <c r="AA174" s="2"/>
      <c r="AB174" s="2"/>
      <c r="AC174" s="2"/>
    </row>
    <row r="175" spans="1:33">
      <c r="A175" s="137"/>
      <c r="B175" s="883"/>
      <c r="C175" s="883"/>
      <c r="D175" s="883"/>
      <c r="E175" s="883"/>
      <c r="F175" s="883"/>
      <c r="G175" s="883"/>
      <c r="H175" s="883"/>
      <c r="I175" s="883"/>
      <c r="J175" s="883"/>
      <c r="K175" s="883"/>
      <c r="L175" s="883"/>
      <c r="M175" s="883"/>
      <c r="N175" s="883"/>
      <c r="O175" s="883"/>
      <c r="P175" s="883"/>
      <c r="Q175" s="883"/>
      <c r="R175" s="883"/>
      <c r="S175" s="883"/>
      <c r="T175" s="883"/>
      <c r="U175" s="883"/>
      <c r="V175" s="883"/>
      <c r="W175" s="2"/>
      <c r="X175" s="2"/>
      <c r="Y175" s="2"/>
      <c r="Z175" s="2"/>
      <c r="AA175" s="2"/>
      <c r="AB175" s="2"/>
      <c r="AC175" s="2"/>
    </row>
    <row r="176" spans="1:33" ht="15">
      <c r="A176" s="909" t="str">
        <f>+Report!A176</f>
        <v>PEOPLES GAS SYSTEM</v>
      </c>
      <c r="B176" s="910"/>
      <c r="C176" s="837"/>
      <c r="D176" s="5"/>
      <c r="E176" s="910"/>
      <c r="F176" s="910"/>
      <c r="G176" s="910"/>
      <c r="H176" s="910"/>
      <c r="I176" s="873"/>
      <c r="J176" s="5"/>
      <c r="K176" s="910"/>
      <c r="L176" s="844" t="s">
        <v>179</v>
      </c>
      <c r="M176" s="881"/>
      <c r="N176" s="911"/>
      <c r="O176" s="911"/>
      <c r="P176" s="912"/>
      <c r="Q176" s="2"/>
      <c r="R176" s="912"/>
      <c r="S176" s="2"/>
      <c r="T176" s="913"/>
      <c r="U176" s="2"/>
      <c r="V176" s="913"/>
      <c r="W176" s="2"/>
      <c r="X176" s="2"/>
      <c r="Y176" s="2"/>
      <c r="Z176" s="2"/>
      <c r="AA176" s="2"/>
      <c r="AB176" s="2"/>
      <c r="AC176" s="2"/>
    </row>
    <row r="177" spans="1:29" ht="15">
      <c r="A177" s="909" t="str">
        <f>+Report!A177</f>
        <v>EARNED RETURN ON COMMON EQUITY</v>
      </c>
      <c r="B177" s="910"/>
      <c r="C177" s="910"/>
      <c r="D177" s="910"/>
      <c r="E177" s="910"/>
      <c r="F177" s="910"/>
      <c r="G177" s="910"/>
      <c r="H177" s="910"/>
      <c r="I177" s="910"/>
      <c r="J177" s="910"/>
      <c r="K177" s="910"/>
      <c r="L177" s="914"/>
      <c r="M177" s="875"/>
      <c r="N177" s="911"/>
      <c r="O177" s="911"/>
      <c r="P177" s="912"/>
      <c r="Q177" s="2"/>
      <c r="R177" s="912"/>
      <c r="S177" s="2"/>
      <c r="T177" s="913"/>
      <c r="U177" s="2"/>
      <c r="V177" s="913"/>
      <c r="W177" s="2"/>
      <c r="X177" s="2"/>
      <c r="Y177" s="2"/>
      <c r="Z177" s="2"/>
      <c r="AA177" s="2"/>
      <c r="AB177" s="2"/>
      <c r="AC177" s="2"/>
    </row>
    <row r="178" spans="1:29" ht="15">
      <c r="A178" s="909" t="str">
        <f>+Report!A178</f>
        <v>FPSC ADJUSTED BASIS</v>
      </c>
      <c r="B178" s="910"/>
      <c r="C178" s="910"/>
      <c r="D178" s="910"/>
      <c r="E178" s="910"/>
      <c r="F178" s="910"/>
      <c r="G178" s="910"/>
      <c r="H178" s="910"/>
      <c r="I178" s="910"/>
      <c r="J178" s="910"/>
      <c r="K178" s="910"/>
      <c r="L178" s="914"/>
      <c r="M178" s="875"/>
      <c r="N178" s="911"/>
      <c r="O178" s="911"/>
      <c r="P178" s="912"/>
      <c r="Q178" s="2"/>
      <c r="R178" s="912"/>
      <c r="S178" s="2"/>
      <c r="T178" s="913"/>
      <c r="U178" s="2"/>
      <c r="V178" s="913"/>
      <c r="W178" s="2"/>
      <c r="X178" s="2"/>
      <c r="Y178" s="2"/>
      <c r="Z178" s="2"/>
      <c r="AA178" s="2"/>
      <c r="AB178" s="2"/>
      <c r="AC178" s="2"/>
    </row>
    <row r="179" spans="1:29" ht="15">
      <c r="A179" s="909" t="str">
        <f>+Report!A179</f>
        <v>December 2022</v>
      </c>
      <c r="B179" s="910"/>
      <c r="C179" s="910"/>
      <c r="D179" s="910"/>
      <c r="E179" s="910"/>
      <c r="F179" s="910"/>
      <c r="G179" s="910"/>
      <c r="H179" s="910"/>
      <c r="I179" s="910"/>
      <c r="J179" s="910"/>
      <c r="K179" s="910"/>
      <c r="L179" s="914"/>
      <c r="M179" s="875"/>
      <c r="N179" s="911"/>
      <c r="O179" s="911"/>
      <c r="P179" s="912"/>
      <c r="Q179" s="2"/>
      <c r="R179" s="912"/>
      <c r="S179" s="2"/>
      <c r="T179" s="913"/>
      <c r="U179" s="2"/>
      <c r="V179" s="913"/>
      <c r="W179" s="2"/>
      <c r="X179" s="2"/>
      <c r="Y179" s="2"/>
      <c r="Z179" s="2"/>
      <c r="AA179" s="2"/>
      <c r="AB179" s="2"/>
      <c r="AC179" s="2"/>
    </row>
    <row r="180" spans="1:29" ht="15">
      <c r="A180" s="909" t="str">
        <f>+Report!A180</f>
        <v>(In $ Thousands)</v>
      </c>
      <c r="B180" s="910"/>
      <c r="C180" s="910"/>
      <c r="D180" s="910"/>
      <c r="E180" s="910"/>
      <c r="F180" s="910"/>
      <c r="G180" s="910"/>
      <c r="H180" s="910"/>
      <c r="I180" s="910"/>
      <c r="J180" s="910"/>
      <c r="K180" s="910"/>
      <c r="L180" s="914"/>
      <c r="M180" s="875"/>
      <c r="N180" s="2"/>
      <c r="O180" s="2"/>
      <c r="P180" s="912"/>
      <c r="Q180" s="2"/>
      <c r="R180" s="912"/>
      <c r="S180" s="2"/>
      <c r="T180" s="913"/>
      <c r="U180" s="2"/>
      <c r="V180" s="913"/>
      <c r="W180" s="2"/>
      <c r="X180" s="2"/>
      <c r="Y180" s="2"/>
      <c r="Z180" s="2"/>
      <c r="AA180" s="2"/>
      <c r="AB180" s="2"/>
      <c r="AC180" s="2"/>
    </row>
    <row r="181" spans="1:29">
      <c r="A181" s="1"/>
      <c r="B181" s="2"/>
      <c r="C181" s="2"/>
      <c r="D181" s="2"/>
      <c r="E181" s="2"/>
      <c r="F181" s="2"/>
      <c r="G181" s="2"/>
      <c r="H181" s="2"/>
      <c r="I181" s="2"/>
      <c r="J181" s="2"/>
      <c r="K181" s="2"/>
      <c r="L181" s="2"/>
      <c r="M181" s="2"/>
      <c r="N181" s="915"/>
      <c r="O181" s="2"/>
      <c r="P181" s="879"/>
      <c r="Q181" s="2"/>
      <c r="R181" s="912"/>
      <c r="S181" s="2"/>
      <c r="T181" s="2"/>
      <c r="U181" s="2"/>
      <c r="V181" s="2"/>
      <c r="W181" s="2"/>
      <c r="X181" s="2"/>
      <c r="Y181" s="2"/>
      <c r="Z181" s="2"/>
      <c r="AA181" s="2"/>
      <c r="AB181" s="2"/>
      <c r="AC181" s="2"/>
    </row>
    <row r="182" spans="1:29">
      <c r="A182" s="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c r="A183" s="1"/>
      <c r="B183" s="2"/>
      <c r="C183" s="2"/>
      <c r="D183" s="2"/>
      <c r="E183" s="2"/>
      <c r="F183" s="2"/>
      <c r="G183" s="2"/>
      <c r="H183" s="2"/>
      <c r="I183" s="2"/>
      <c r="J183" s="2"/>
      <c r="K183" s="2"/>
      <c r="L183" s="2"/>
      <c r="M183" s="2"/>
      <c r="N183" s="2"/>
      <c r="O183" s="2"/>
      <c r="P183" s="879"/>
      <c r="Q183" s="2"/>
      <c r="R183" s="2"/>
      <c r="S183" s="2"/>
      <c r="T183" s="916"/>
      <c r="U183" s="2"/>
      <c r="V183" s="2"/>
      <c r="W183" s="2"/>
      <c r="X183" s="2"/>
      <c r="Y183" s="2"/>
      <c r="Z183" s="2"/>
      <c r="AA183" s="2"/>
      <c r="AB183" s="2"/>
      <c r="AC183" s="2"/>
    </row>
    <row r="184" spans="1:29" ht="12.95" customHeight="1">
      <c r="A184" s="1"/>
      <c r="B184" s="2"/>
      <c r="C184" s="2"/>
      <c r="D184" s="2"/>
      <c r="E184" s="2"/>
      <c r="F184" s="2"/>
      <c r="G184" s="2"/>
      <c r="H184" s="2"/>
      <c r="I184" s="2"/>
      <c r="J184" s="2"/>
      <c r="K184" s="2"/>
      <c r="L184" s="2"/>
      <c r="M184" s="2"/>
      <c r="N184" s="844"/>
      <c r="O184" s="844"/>
      <c r="P184" s="2"/>
      <c r="Q184" s="2"/>
      <c r="R184" s="916"/>
      <c r="S184" s="2"/>
      <c r="T184" s="2"/>
      <c r="U184" s="2"/>
      <c r="V184" s="2"/>
      <c r="W184" s="2"/>
      <c r="X184" s="2"/>
      <c r="Y184" s="2"/>
      <c r="Z184" s="2"/>
      <c r="AA184" s="2"/>
      <c r="AB184" s="2"/>
      <c r="AC184" s="2"/>
    </row>
    <row r="185" spans="1:29" ht="12.95" customHeight="1">
      <c r="A185" s="850" t="s">
        <v>181</v>
      </c>
      <c r="B185" s="844"/>
      <c r="C185" s="844"/>
      <c r="D185" s="844"/>
      <c r="E185" s="844"/>
      <c r="F185" s="844"/>
      <c r="G185" s="844"/>
      <c r="H185" s="844"/>
      <c r="I185" s="844"/>
      <c r="J185" s="844"/>
      <c r="K185" s="844"/>
      <c r="L185" s="844"/>
      <c r="M185" s="844"/>
      <c r="N185" s="844"/>
      <c r="O185" s="844"/>
      <c r="P185" s="879"/>
      <c r="Q185" s="2"/>
      <c r="R185" s="2"/>
      <c r="S185" s="2"/>
      <c r="T185" s="2"/>
      <c r="U185" s="2"/>
      <c r="V185" s="2"/>
      <c r="W185" s="2"/>
      <c r="X185" s="2"/>
      <c r="Y185" s="2"/>
      <c r="Z185" s="2"/>
      <c r="AA185" s="2"/>
      <c r="AB185" s="2"/>
      <c r="AC185" s="2"/>
    </row>
    <row r="186" spans="1:29" ht="12.95" customHeight="1">
      <c r="A186" s="850" t="s">
        <v>182</v>
      </c>
      <c r="B186" s="844"/>
      <c r="C186" s="844"/>
      <c r="D186" s="844"/>
      <c r="E186" s="844"/>
      <c r="F186" s="844"/>
      <c r="G186" s="844"/>
      <c r="H186" s="844"/>
      <c r="I186" s="844"/>
      <c r="J186" s="844"/>
      <c r="K186" s="844"/>
      <c r="L186" s="844"/>
      <c r="M186" s="844"/>
      <c r="N186" s="844"/>
      <c r="O186" s="844"/>
      <c r="P186" s="2"/>
      <c r="Q186" s="2"/>
      <c r="R186" s="2"/>
      <c r="S186" s="2"/>
      <c r="T186" s="2"/>
      <c r="U186" s="2"/>
      <c r="V186" s="2"/>
      <c r="W186" s="2"/>
      <c r="X186" s="2"/>
      <c r="Y186" s="2"/>
      <c r="Z186" s="2"/>
      <c r="AA186" s="2"/>
      <c r="AB186" s="2"/>
      <c r="AC186" s="2"/>
    </row>
    <row r="187" spans="1:29" ht="12.95" customHeight="1">
      <c r="A187" s="839"/>
      <c r="B187" s="844"/>
      <c r="C187" s="844"/>
      <c r="D187" s="844"/>
      <c r="E187" s="844"/>
      <c r="F187" s="844"/>
      <c r="G187" s="844"/>
      <c r="H187" s="592"/>
      <c r="I187" s="844"/>
      <c r="J187" s="844"/>
      <c r="K187" s="844"/>
      <c r="L187" s="844"/>
      <c r="M187" s="844"/>
      <c r="N187" s="844"/>
      <c r="O187" s="844"/>
      <c r="P187" s="2"/>
      <c r="Q187" s="2"/>
      <c r="R187" s="2"/>
      <c r="S187" s="2"/>
      <c r="T187" s="2"/>
      <c r="U187" s="2"/>
      <c r="V187" s="2"/>
      <c r="W187" s="2"/>
      <c r="X187" s="2"/>
      <c r="Y187" s="2"/>
      <c r="Z187" s="2"/>
      <c r="AA187" s="2"/>
      <c r="AB187" s="2"/>
      <c r="AC187" s="2"/>
    </row>
    <row r="188" spans="1:29" ht="12.95" customHeight="1">
      <c r="A188" s="839"/>
      <c r="B188" s="844"/>
      <c r="C188" s="844"/>
      <c r="D188" s="844"/>
      <c r="E188" s="844"/>
      <c r="F188" s="844"/>
      <c r="G188" s="844"/>
      <c r="H188" s="592"/>
      <c r="I188" s="844"/>
      <c r="J188" s="844"/>
      <c r="K188" s="844"/>
      <c r="L188" s="844"/>
      <c r="M188" s="844"/>
      <c r="N188" s="844"/>
      <c r="O188" s="844"/>
      <c r="P188" s="2"/>
      <c r="Q188" s="2"/>
      <c r="R188" s="2"/>
      <c r="S188" s="2"/>
      <c r="T188" s="2"/>
      <c r="U188" s="2"/>
      <c r="V188" s="2"/>
      <c r="W188" s="2"/>
      <c r="X188" s="2"/>
      <c r="Y188" s="2"/>
      <c r="Z188" s="2"/>
      <c r="AA188" s="2"/>
      <c r="AB188" s="2"/>
      <c r="AC188" s="2"/>
    </row>
    <row r="189" spans="1:29" ht="12.95" customHeight="1">
      <c r="A189" s="839" t="s">
        <v>183</v>
      </c>
      <c r="B189" s="844"/>
      <c r="C189" s="844"/>
      <c r="D189" s="844"/>
      <c r="E189" s="844"/>
      <c r="F189" s="844"/>
      <c r="G189" s="844"/>
      <c r="H189" s="593">
        <f>J16</f>
        <v>6.3827999999999996</v>
      </c>
      <c r="I189" s="844" t="s">
        <v>108</v>
      </c>
      <c r="J189" s="844" t="s">
        <v>184</v>
      </c>
      <c r="K189" s="844"/>
      <c r="L189" s="844"/>
      <c r="M189" s="844"/>
      <c r="N189" s="844"/>
      <c r="O189" s="844"/>
      <c r="P189" s="2"/>
      <c r="Q189" s="2"/>
      <c r="R189" s="2"/>
      <c r="S189" s="2"/>
      <c r="T189" s="2"/>
      <c r="U189" s="2"/>
      <c r="V189" s="2"/>
      <c r="W189" s="2"/>
      <c r="X189" s="2"/>
      <c r="Y189" s="2"/>
      <c r="Z189" s="2"/>
      <c r="AA189" s="2"/>
      <c r="AB189" s="2"/>
      <c r="AC189" s="2"/>
    </row>
    <row r="190" spans="1:29" ht="12.95" customHeight="1">
      <c r="A190" s="839" t="s">
        <v>185</v>
      </c>
      <c r="B190" s="844"/>
      <c r="C190" s="844"/>
      <c r="D190" s="844"/>
      <c r="E190" s="844"/>
      <c r="F190" s="844"/>
      <c r="G190" s="844"/>
      <c r="H190" s="592"/>
      <c r="I190" s="844"/>
      <c r="J190" s="844"/>
      <c r="K190" s="844"/>
      <c r="L190" s="844"/>
      <c r="M190" s="844"/>
      <c r="N190" s="844"/>
      <c r="O190" s="844"/>
      <c r="P190" s="2"/>
      <c r="Q190" s="2"/>
      <c r="R190" s="2"/>
      <c r="S190" s="2"/>
      <c r="T190" s="2"/>
      <c r="U190" s="2"/>
      <c r="V190" s="2"/>
      <c r="W190" s="2"/>
      <c r="X190" s="2"/>
      <c r="Y190" s="2"/>
      <c r="Z190" s="2"/>
      <c r="AA190" s="2"/>
      <c r="AB190" s="2"/>
      <c r="AC190" s="2"/>
    </row>
    <row r="191" spans="1:29" ht="12.95" customHeight="1">
      <c r="A191" s="839" t="s">
        <v>186</v>
      </c>
      <c r="B191" s="844"/>
      <c r="C191" s="844"/>
      <c r="D191" s="844"/>
      <c r="E191" s="844"/>
      <c r="F191" s="844"/>
      <c r="G191" s="844"/>
      <c r="H191" s="592"/>
      <c r="I191" s="844"/>
      <c r="J191" s="844"/>
      <c r="K191" s="844"/>
      <c r="L191" s="844"/>
      <c r="M191" s="844"/>
      <c r="N191" s="844"/>
      <c r="O191" s="844"/>
      <c r="P191" s="2"/>
      <c r="Q191" s="2"/>
      <c r="R191" s="2"/>
      <c r="S191" s="2"/>
      <c r="T191" s="2"/>
      <c r="U191" s="2"/>
      <c r="V191" s="2"/>
      <c r="W191" s="2"/>
      <c r="X191" s="2"/>
      <c r="Y191" s="2"/>
      <c r="Z191" s="2"/>
      <c r="AA191" s="2"/>
      <c r="AB191" s="2"/>
      <c r="AC191" s="2"/>
    </row>
    <row r="192" spans="1:29" ht="12.95" customHeight="1">
      <c r="A192" s="839" t="s">
        <v>174</v>
      </c>
      <c r="B192" s="844"/>
      <c r="C192" s="844"/>
      <c r="D192" s="844"/>
      <c r="E192" s="844"/>
      <c r="F192" s="844"/>
      <c r="G192" s="844"/>
      <c r="H192" s="680">
        <f>-R160</f>
        <v>-1.07</v>
      </c>
      <c r="I192" s="844" t="s">
        <v>108</v>
      </c>
      <c r="J192" s="844"/>
      <c r="K192" s="844"/>
      <c r="L192" s="844"/>
      <c r="M192" s="844"/>
      <c r="N192" s="844"/>
      <c r="O192" s="844"/>
      <c r="P192" s="2"/>
      <c r="Q192" s="2"/>
      <c r="R192" s="2"/>
      <c r="S192" s="2"/>
      <c r="T192" s="2"/>
      <c r="U192" s="2"/>
      <c r="V192" s="2"/>
      <c r="W192" s="2"/>
      <c r="X192" s="2"/>
      <c r="Y192" s="2"/>
      <c r="Z192" s="2"/>
      <c r="AA192" s="2"/>
      <c r="AB192" s="2"/>
      <c r="AC192" s="2"/>
    </row>
    <row r="193" spans="1:29" ht="12.95" customHeight="1">
      <c r="A193" s="839" t="s">
        <v>175</v>
      </c>
      <c r="B193" s="844"/>
      <c r="C193" s="844"/>
      <c r="D193" s="844"/>
      <c r="E193" s="844"/>
      <c r="F193" s="844"/>
      <c r="G193" s="844"/>
      <c r="H193" s="680">
        <f>-R162</f>
        <v>-0.04</v>
      </c>
      <c r="I193" s="844" t="s">
        <v>108</v>
      </c>
      <c r="J193" s="844"/>
      <c r="K193" s="844"/>
      <c r="L193" s="844"/>
      <c r="M193" s="844"/>
      <c r="N193" s="844"/>
      <c r="O193" s="844"/>
      <c r="P193" s="2"/>
      <c r="Q193" s="2"/>
      <c r="R193" s="2"/>
      <c r="S193" s="2"/>
      <c r="T193" s="2"/>
      <c r="U193" s="2"/>
      <c r="V193" s="2"/>
      <c r="W193" s="2"/>
      <c r="X193" s="2"/>
      <c r="Y193" s="2"/>
      <c r="Z193" s="2"/>
      <c r="AA193" s="2"/>
      <c r="AB193" s="2"/>
      <c r="AC193" s="2"/>
    </row>
    <row r="194" spans="1:29" ht="12.95" customHeight="1">
      <c r="A194" s="839" t="s">
        <v>187</v>
      </c>
      <c r="B194" s="844"/>
      <c r="C194" s="844"/>
      <c r="D194" s="844"/>
      <c r="E194" s="844"/>
      <c r="F194" s="844"/>
      <c r="G194" s="844"/>
      <c r="H194" s="681">
        <v>0</v>
      </c>
      <c r="I194" s="844" t="s">
        <v>108</v>
      </c>
      <c r="J194" s="844"/>
      <c r="K194" s="844"/>
      <c r="L194" s="844"/>
      <c r="M194" s="844"/>
      <c r="N194" s="844"/>
      <c r="O194" s="844"/>
      <c r="P194" s="2"/>
      <c r="Q194" s="2"/>
      <c r="R194" s="2"/>
      <c r="S194" s="2"/>
      <c r="T194" s="2"/>
      <c r="U194" s="2"/>
      <c r="V194" s="2"/>
      <c r="W194" s="2"/>
      <c r="X194" s="2"/>
      <c r="Y194" s="2"/>
      <c r="Z194" s="2"/>
      <c r="AA194" s="2"/>
      <c r="AB194" s="2"/>
      <c r="AC194" s="2"/>
    </row>
    <row r="195" spans="1:29" ht="12.95" customHeight="1">
      <c r="A195" s="839" t="s">
        <v>17</v>
      </c>
      <c r="B195" s="844"/>
      <c r="C195" s="844"/>
      <c r="D195" s="844"/>
      <c r="E195" s="844"/>
      <c r="F195" s="844"/>
      <c r="G195" s="844"/>
      <c r="H195" s="680">
        <f>-R164</f>
        <v>-0.04</v>
      </c>
      <c r="I195" s="844" t="s">
        <v>108</v>
      </c>
      <c r="J195" s="844"/>
      <c r="K195" s="844"/>
      <c r="L195" s="844"/>
      <c r="M195" s="844"/>
      <c r="N195" s="844"/>
      <c r="O195" s="844"/>
      <c r="P195" s="2"/>
      <c r="Q195" s="2"/>
      <c r="R195" s="2"/>
      <c r="S195" s="2"/>
      <c r="T195" s="2"/>
      <c r="U195" s="2"/>
      <c r="V195" s="2"/>
      <c r="W195" s="2"/>
      <c r="X195" s="2"/>
      <c r="Y195" s="2"/>
      <c r="Z195" s="2"/>
      <c r="AA195" s="2"/>
      <c r="AB195" s="2"/>
      <c r="AC195" s="2"/>
    </row>
    <row r="196" spans="1:29" ht="12.95" customHeight="1">
      <c r="A196" s="839" t="s">
        <v>188</v>
      </c>
      <c r="B196" s="844"/>
      <c r="C196" s="844"/>
      <c r="D196" s="844"/>
      <c r="E196" s="844"/>
      <c r="F196" s="844"/>
      <c r="G196" s="844"/>
      <c r="H196" s="681">
        <v>0</v>
      </c>
      <c r="I196" s="844" t="s">
        <v>108</v>
      </c>
      <c r="J196" s="844"/>
      <c r="K196" s="844"/>
      <c r="L196" s="844"/>
      <c r="M196" s="844"/>
      <c r="N196" s="844"/>
      <c r="O196" s="844"/>
      <c r="P196" s="2"/>
      <c r="Q196" s="2"/>
      <c r="R196" s="2"/>
      <c r="S196" s="2"/>
      <c r="T196" s="2"/>
      <c r="U196" s="2"/>
      <c r="V196" s="2"/>
      <c r="W196" s="2"/>
      <c r="X196" s="2"/>
      <c r="Y196" s="2"/>
      <c r="Z196" s="2"/>
      <c r="AA196" s="2"/>
      <c r="AB196" s="2"/>
      <c r="AC196" s="2"/>
    </row>
    <row r="197" spans="1:29" ht="12.95" customHeight="1">
      <c r="A197" s="839" t="s">
        <v>189</v>
      </c>
      <c r="B197" s="844"/>
      <c r="C197" s="844"/>
      <c r="D197" s="844"/>
      <c r="E197" s="844"/>
      <c r="F197" s="844"/>
      <c r="G197" s="844"/>
      <c r="H197" s="682">
        <f>SUM(H192:H196)</f>
        <v>-1.1500000000000001</v>
      </c>
      <c r="I197" s="844" t="s">
        <v>108</v>
      </c>
      <c r="J197" s="844"/>
      <c r="K197" s="844"/>
      <c r="L197" s="844"/>
      <c r="M197" s="844"/>
      <c r="N197" s="844"/>
      <c r="O197" s="844"/>
      <c r="P197" s="2"/>
      <c r="Q197" s="2"/>
      <c r="R197" s="2"/>
      <c r="S197" s="2"/>
      <c r="T197" s="2"/>
      <c r="U197" s="2"/>
      <c r="V197" s="2"/>
      <c r="W197" s="2"/>
      <c r="X197" s="2"/>
      <c r="Y197" s="2"/>
      <c r="Z197" s="2"/>
      <c r="AA197" s="2"/>
      <c r="AB197" s="2"/>
      <c r="AC197" s="2"/>
    </row>
    <row r="198" spans="1:29" ht="12.95" customHeight="1">
      <c r="A198" s="839"/>
      <c r="B198" s="844"/>
      <c r="C198" s="844"/>
      <c r="D198" s="844"/>
      <c r="E198" s="844"/>
      <c r="F198" s="844"/>
      <c r="G198" s="844"/>
      <c r="H198" s="592"/>
      <c r="I198" s="844"/>
      <c r="J198" s="844"/>
      <c r="K198" s="844"/>
      <c r="L198" s="844"/>
      <c r="M198" s="844"/>
      <c r="N198" s="844"/>
      <c r="O198" s="844"/>
      <c r="P198" s="2"/>
      <c r="Q198" s="2"/>
      <c r="R198" s="2"/>
      <c r="S198" s="2"/>
      <c r="T198" s="2"/>
      <c r="U198" s="2"/>
      <c r="V198" s="2"/>
      <c r="W198" s="2"/>
      <c r="X198" s="2"/>
      <c r="Y198" s="2"/>
      <c r="Z198" s="2"/>
      <c r="AA198" s="2"/>
      <c r="AB198" s="2"/>
      <c r="AC198" s="2"/>
    </row>
    <row r="199" spans="1:29" ht="12.95" customHeight="1">
      <c r="A199" s="839" t="s">
        <v>1</v>
      </c>
      <c r="B199" s="844"/>
      <c r="C199" s="844"/>
      <c r="D199" s="844"/>
      <c r="E199" s="844"/>
      <c r="F199" s="844"/>
      <c r="G199" s="844"/>
      <c r="H199" s="680">
        <f>ROUND(H189+H197,4)</f>
        <v>5.2328000000000001</v>
      </c>
      <c r="I199" s="844" t="s">
        <v>108</v>
      </c>
      <c r="J199" s="844"/>
      <c r="K199" s="844"/>
      <c r="L199" s="844"/>
      <c r="M199" s="844"/>
      <c r="N199" s="844"/>
      <c r="O199" s="844"/>
      <c r="P199" s="2"/>
      <c r="Q199" s="2"/>
      <c r="R199" s="2"/>
      <c r="S199" s="2"/>
      <c r="T199" s="2"/>
      <c r="U199" s="2"/>
      <c r="V199" s="2"/>
      <c r="W199" s="2"/>
      <c r="X199" s="2"/>
      <c r="Y199" s="2"/>
      <c r="Z199" s="2"/>
      <c r="AA199" s="2"/>
      <c r="AB199" s="2"/>
      <c r="AC199" s="2"/>
    </row>
    <row r="200" spans="1:29" ht="12.95" customHeight="1">
      <c r="A200" s="839"/>
      <c r="B200" s="844"/>
      <c r="C200" s="844"/>
      <c r="D200" s="844"/>
      <c r="E200" s="844"/>
      <c r="F200" s="844"/>
      <c r="G200" s="844"/>
      <c r="H200" s="592"/>
      <c r="I200" s="844"/>
      <c r="J200" s="844"/>
      <c r="K200" s="844"/>
      <c r="L200" s="844"/>
      <c r="M200" s="844"/>
      <c r="N200" s="844"/>
      <c r="O200" s="844"/>
      <c r="P200" s="2"/>
      <c r="Q200" s="2"/>
      <c r="R200" s="2"/>
      <c r="S200" s="2"/>
      <c r="T200" s="2"/>
      <c r="U200" s="2"/>
      <c r="V200" s="2"/>
      <c r="W200" s="2"/>
      <c r="X200" s="2"/>
      <c r="Y200" s="2"/>
      <c r="Z200" s="2"/>
      <c r="AA200" s="2"/>
      <c r="AB200" s="2"/>
      <c r="AC200" s="2"/>
    </row>
    <row r="201" spans="1:29" ht="12.95" customHeight="1">
      <c r="A201" s="839" t="s">
        <v>190</v>
      </c>
      <c r="B201" s="844"/>
      <c r="C201" s="844"/>
      <c r="D201" s="844"/>
      <c r="E201" s="844"/>
      <c r="F201" s="844"/>
      <c r="G201" s="844"/>
      <c r="H201" s="683">
        <f>ROUND(J166*100,4)</f>
        <v>46.5</v>
      </c>
      <c r="I201" s="844" t="s">
        <v>108</v>
      </c>
      <c r="J201" s="844"/>
      <c r="K201" s="844"/>
      <c r="L201" s="844"/>
      <c r="M201" s="844"/>
      <c r="N201" s="844"/>
      <c r="O201" s="844"/>
      <c r="P201" s="2"/>
      <c r="Q201" s="2"/>
      <c r="R201" s="2"/>
      <c r="S201" s="2"/>
      <c r="T201" s="2"/>
      <c r="U201" s="2"/>
      <c r="V201" s="2"/>
      <c r="W201" s="2"/>
      <c r="X201" s="2"/>
      <c r="Y201" s="2"/>
      <c r="Z201" s="2"/>
      <c r="AA201" s="2"/>
      <c r="AB201" s="2"/>
      <c r="AC201" s="2"/>
    </row>
    <row r="202" spans="1:29" ht="12.95" customHeight="1">
      <c r="A202" s="839"/>
      <c r="B202" s="844"/>
      <c r="C202" s="844"/>
      <c r="D202" s="844"/>
      <c r="E202" s="844"/>
      <c r="F202" s="844"/>
      <c r="G202" s="844"/>
      <c r="H202" s="592"/>
      <c r="I202" s="844"/>
      <c r="J202" s="844"/>
      <c r="K202" s="844"/>
      <c r="L202" s="844"/>
      <c r="M202" s="844"/>
      <c r="N202" s="844"/>
      <c r="O202" s="844"/>
      <c r="P202" s="2"/>
      <c r="Q202" s="2"/>
      <c r="R202" s="2"/>
      <c r="S202" s="2"/>
      <c r="T202" s="2"/>
      <c r="U202" s="2"/>
      <c r="V202" s="2"/>
      <c r="W202" s="2"/>
      <c r="X202" s="2"/>
      <c r="Y202" s="2"/>
      <c r="Z202" s="2"/>
      <c r="AA202" s="2"/>
      <c r="AB202" s="2"/>
      <c r="AC202" s="2"/>
    </row>
    <row r="203" spans="1:29" ht="12.95" customHeight="1" thickBot="1">
      <c r="A203" s="839" t="s">
        <v>191</v>
      </c>
      <c r="B203" s="844"/>
      <c r="C203" s="844"/>
      <c r="D203" s="844"/>
      <c r="E203" s="844"/>
      <c r="F203" s="844"/>
      <c r="G203" s="844"/>
      <c r="H203" s="684">
        <f>ROUND((H199)/(H201/100),4)</f>
        <v>11.253299999999999</v>
      </c>
      <c r="I203" s="844" t="s">
        <v>108</v>
      </c>
      <c r="J203" s="844"/>
      <c r="K203" s="844"/>
      <c r="L203" s="844"/>
      <c r="M203" s="844"/>
      <c r="N203" s="844"/>
      <c r="O203" s="844"/>
      <c r="P203" s="2"/>
      <c r="Q203" s="2"/>
      <c r="R203" s="2"/>
      <c r="S203" s="2"/>
      <c r="T203" s="2"/>
      <c r="U203" s="2"/>
      <c r="V203" s="2"/>
      <c r="W203" s="2"/>
      <c r="X203" s="2"/>
      <c r="Y203" s="2"/>
      <c r="Z203" s="2"/>
      <c r="AA203" s="2"/>
      <c r="AB203" s="2"/>
      <c r="AC203" s="2"/>
    </row>
    <row r="204" spans="1:29" ht="12.95" customHeight="1" thickTop="1">
      <c r="A204" s="839"/>
      <c r="B204" s="844"/>
      <c r="C204" s="844"/>
      <c r="D204" s="844"/>
      <c r="E204" s="844"/>
      <c r="F204" s="844"/>
      <c r="G204" s="844"/>
      <c r="H204" s="592"/>
      <c r="I204" s="844"/>
      <c r="J204" s="844"/>
      <c r="K204" s="844"/>
      <c r="L204" s="844"/>
      <c r="M204" s="844"/>
      <c r="N204" s="844"/>
      <c r="O204" s="844"/>
      <c r="P204" s="2"/>
      <c r="Q204" s="2"/>
      <c r="R204" s="2"/>
      <c r="S204" s="2"/>
      <c r="T204" s="2"/>
      <c r="U204" s="2"/>
      <c r="V204" s="2"/>
      <c r="W204" s="2"/>
      <c r="X204" s="2"/>
      <c r="Y204" s="2"/>
      <c r="Z204" s="2"/>
      <c r="AA204" s="2"/>
      <c r="AB204" s="2"/>
      <c r="AC204" s="2"/>
    </row>
    <row r="205" spans="1:29">
      <c r="A205" s="839"/>
      <c r="B205" s="844"/>
      <c r="C205" s="844"/>
      <c r="D205" s="844"/>
      <c r="E205" s="844"/>
      <c r="F205" s="844"/>
      <c r="G205" s="844"/>
      <c r="H205" s="592"/>
      <c r="I205" s="844"/>
      <c r="J205" s="844"/>
      <c r="K205" s="844"/>
      <c r="L205" s="844"/>
      <c r="M205" s="844"/>
      <c r="N205" s="844"/>
      <c r="O205" s="844"/>
      <c r="P205" s="2"/>
      <c r="Q205" s="2"/>
      <c r="R205" s="2"/>
      <c r="S205" s="2"/>
      <c r="T205" s="2"/>
      <c r="U205" s="2"/>
      <c r="V205" s="2"/>
      <c r="W205" s="2"/>
      <c r="X205" s="2"/>
      <c r="Y205" s="2"/>
      <c r="Z205" s="2"/>
      <c r="AA205" s="2"/>
      <c r="AB205" s="2"/>
      <c r="AC205" s="2"/>
    </row>
    <row r="206" spans="1:29" ht="12.95" customHeight="1">
      <c r="A206" s="839"/>
      <c r="B206" s="844"/>
      <c r="C206" s="844"/>
      <c r="D206" s="844"/>
      <c r="E206" s="844"/>
      <c r="F206" s="844"/>
      <c r="G206" s="844"/>
      <c r="H206" s="592"/>
      <c r="I206" s="844"/>
      <c r="J206" s="844"/>
      <c r="K206" s="844"/>
      <c r="L206" s="844"/>
      <c r="M206" s="844"/>
      <c r="N206" s="844"/>
      <c r="O206" s="844"/>
      <c r="P206" s="2"/>
      <c r="Q206" s="2"/>
      <c r="R206" s="2"/>
      <c r="S206" s="2"/>
      <c r="T206" s="2"/>
      <c r="U206" s="2"/>
      <c r="V206" s="2"/>
      <c r="W206" s="2"/>
      <c r="X206" s="2"/>
      <c r="Y206" s="2"/>
      <c r="Z206" s="2"/>
      <c r="AA206" s="2"/>
      <c r="AB206" s="2"/>
      <c r="AC206" s="2"/>
    </row>
    <row r="207" spans="1:29" ht="12.95" customHeight="1">
      <c r="A207" s="839"/>
      <c r="B207" s="844"/>
      <c r="C207" s="844"/>
      <c r="D207" s="844"/>
      <c r="E207" s="844"/>
      <c r="F207" s="844"/>
      <c r="G207" s="844"/>
      <c r="H207" s="592"/>
      <c r="I207" s="844"/>
      <c r="J207" s="844"/>
      <c r="K207" s="844"/>
      <c r="L207" s="844"/>
      <c r="M207" s="844"/>
      <c r="N207" s="844"/>
      <c r="O207" s="844"/>
      <c r="P207" s="2"/>
      <c r="Q207" s="2"/>
      <c r="R207" s="2"/>
      <c r="S207" s="2"/>
      <c r="T207" s="2"/>
      <c r="U207" s="2"/>
      <c r="V207" s="2"/>
      <c r="W207" s="2"/>
      <c r="X207" s="2"/>
      <c r="Y207" s="2"/>
      <c r="Z207" s="2"/>
      <c r="AA207" s="2"/>
      <c r="AB207" s="2"/>
      <c r="AC207" s="2"/>
    </row>
    <row r="208" spans="1:29" ht="12.95" customHeight="1">
      <c r="A208" s="850" t="s">
        <v>192</v>
      </c>
      <c r="B208" s="844"/>
      <c r="C208" s="844"/>
      <c r="D208" s="844"/>
      <c r="E208" s="844"/>
      <c r="F208" s="844"/>
      <c r="G208" s="844"/>
      <c r="H208" s="592"/>
      <c r="I208" s="844"/>
      <c r="J208" s="844"/>
      <c r="K208" s="844"/>
      <c r="L208" s="844"/>
      <c r="M208" s="844"/>
      <c r="N208" s="844"/>
      <c r="O208" s="844"/>
      <c r="P208" s="2"/>
      <c r="Q208" s="2"/>
      <c r="R208" s="2"/>
      <c r="S208" s="2"/>
      <c r="T208" s="2"/>
      <c r="U208" s="2"/>
      <c r="V208" s="2"/>
      <c r="W208" s="2"/>
      <c r="X208" s="2"/>
      <c r="Y208" s="2"/>
      <c r="Z208" s="2"/>
      <c r="AA208" s="2"/>
      <c r="AB208" s="2"/>
      <c r="AC208" s="2"/>
    </row>
    <row r="209" spans="1:29" ht="12.95" customHeight="1">
      <c r="A209" s="850" t="s">
        <v>193</v>
      </c>
      <c r="B209" s="844"/>
      <c r="C209" s="844"/>
      <c r="D209" s="844"/>
      <c r="E209" s="844"/>
      <c r="F209" s="844"/>
      <c r="G209" s="844"/>
      <c r="H209" s="592"/>
      <c r="I209" s="844"/>
      <c r="J209" s="844"/>
      <c r="K209" s="844"/>
      <c r="L209" s="844"/>
      <c r="M209" s="844"/>
      <c r="N209" s="844"/>
      <c r="O209" s="844"/>
      <c r="P209" s="2"/>
      <c r="Q209" s="2"/>
      <c r="R209" s="2"/>
      <c r="S209" s="2"/>
      <c r="T209" s="2"/>
      <c r="U209" s="2"/>
      <c r="V209" s="2"/>
      <c r="W209" s="2"/>
      <c r="X209" s="2"/>
      <c r="Y209" s="2"/>
      <c r="Z209" s="2"/>
      <c r="AA209" s="2"/>
      <c r="AB209" s="2"/>
      <c r="AC209" s="2"/>
    </row>
    <row r="210" spans="1:29" ht="12.95" customHeight="1">
      <c r="A210" s="839"/>
      <c r="B210" s="844"/>
      <c r="C210" s="844"/>
      <c r="D210" s="844"/>
      <c r="E210" s="844"/>
      <c r="F210" s="844"/>
      <c r="G210" s="844"/>
      <c r="H210" s="592"/>
      <c r="I210" s="844"/>
      <c r="J210" s="844"/>
      <c r="K210" s="844"/>
      <c r="L210" s="844"/>
      <c r="M210" s="844"/>
      <c r="N210" s="844"/>
      <c r="O210" s="844"/>
      <c r="P210" s="2"/>
      <c r="Q210" s="2"/>
      <c r="R210" s="2"/>
      <c r="S210" s="2"/>
      <c r="T210" s="2"/>
      <c r="U210" s="2"/>
      <c r="V210" s="2"/>
      <c r="W210" s="2"/>
      <c r="X210" s="2"/>
      <c r="Y210" s="2"/>
      <c r="Z210" s="2"/>
      <c r="AA210" s="2"/>
      <c r="AB210" s="2"/>
      <c r="AC210" s="2"/>
    </row>
    <row r="211" spans="1:29" ht="12.95" customHeight="1">
      <c r="A211" s="839"/>
      <c r="B211" s="844"/>
      <c r="C211" s="844"/>
      <c r="D211" s="844"/>
      <c r="E211" s="844"/>
      <c r="F211" s="844"/>
      <c r="G211" s="844"/>
      <c r="H211" s="592"/>
      <c r="I211" s="844"/>
      <c r="J211" s="844"/>
      <c r="K211" s="844"/>
      <c r="L211" s="844"/>
      <c r="M211" s="844"/>
      <c r="N211" s="844"/>
      <c r="O211" s="844"/>
      <c r="P211" s="2"/>
      <c r="Q211" s="2"/>
      <c r="R211" s="2"/>
      <c r="S211" s="2"/>
      <c r="T211" s="2"/>
      <c r="U211" s="2"/>
      <c r="V211" s="2"/>
      <c r="W211" s="2"/>
      <c r="X211" s="2"/>
      <c r="Y211" s="2"/>
      <c r="Z211" s="2"/>
      <c r="AA211" s="2"/>
      <c r="AB211" s="2"/>
      <c r="AC211" s="2"/>
    </row>
    <row r="212" spans="1:29" ht="12.95" customHeight="1">
      <c r="A212" s="839" t="s">
        <v>194</v>
      </c>
      <c r="B212" s="844"/>
      <c r="C212" s="844"/>
      <c r="D212" s="844"/>
      <c r="E212" s="844"/>
      <c r="F212" s="844"/>
      <c r="G212" s="844" t="s">
        <v>105</v>
      </c>
      <c r="H212" s="592">
        <f>V132</f>
        <v>99115.941264781402</v>
      </c>
      <c r="I212" s="844"/>
      <c r="J212" s="844" t="s">
        <v>430</v>
      </c>
      <c r="K212" s="844"/>
      <c r="L212" s="844"/>
      <c r="M212" s="844"/>
      <c r="N212" s="844"/>
      <c r="O212" s="844"/>
      <c r="P212" s="2"/>
      <c r="Q212" s="2"/>
      <c r="R212" s="2"/>
      <c r="S212" s="2"/>
      <c r="T212" s="2"/>
      <c r="U212" s="2"/>
      <c r="V212" s="2"/>
      <c r="W212" s="2"/>
      <c r="X212" s="2"/>
      <c r="Y212" s="2"/>
      <c r="Z212" s="2"/>
      <c r="AA212" s="2"/>
      <c r="AB212" s="2"/>
      <c r="AC212" s="2"/>
    </row>
    <row r="213" spans="1:29" ht="12.95" customHeight="1">
      <c r="A213" s="839"/>
      <c r="B213" s="844"/>
      <c r="C213" s="844"/>
      <c r="D213" s="844"/>
      <c r="E213" s="844"/>
      <c r="F213" s="844"/>
      <c r="G213" s="844"/>
      <c r="H213" s="592"/>
      <c r="I213" s="844"/>
      <c r="J213" s="917"/>
      <c r="K213" s="844"/>
      <c r="L213" s="844"/>
      <c r="M213" s="844"/>
      <c r="N213" s="844"/>
      <c r="O213" s="844"/>
      <c r="P213" s="2"/>
      <c r="Q213" s="2"/>
      <c r="R213" s="2"/>
      <c r="S213" s="2"/>
      <c r="T213" s="2"/>
      <c r="U213" s="2"/>
      <c r="V213" s="2"/>
      <c r="W213" s="2"/>
      <c r="X213" s="2"/>
      <c r="Y213" s="2"/>
      <c r="Z213" s="2"/>
      <c r="AA213" s="2"/>
      <c r="AB213" s="2"/>
      <c r="AC213" s="2"/>
    </row>
    <row r="214" spans="1:29" ht="12.95" customHeight="1">
      <c r="A214" s="839" t="s">
        <v>196</v>
      </c>
      <c r="B214" s="844"/>
      <c r="C214" s="844"/>
      <c r="D214" s="844"/>
      <c r="E214" s="844"/>
      <c r="F214" s="844"/>
      <c r="G214" s="844" t="s">
        <v>105</v>
      </c>
      <c r="H214" s="591">
        <f>T83</f>
        <v>1596458.3853651336</v>
      </c>
      <c r="I214" s="844"/>
      <c r="J214" s="844" t="s">
        <v>431</v>
      </c>
      <c r="K214" s="844"/>
      <c r="L214" s="844"/>
      <c r="M214" s="844"/>
      <c r="N214" s="844"/>
      <c r="O214" s="844"/>
      <c r="P214" s="2"/>
      <c r="Q214" s="2"/>
      <c r="R214" s="2"/>
      <c r="S214" s="2"/>
      <c r="T214" s="2"/>
      <c r="U214" s="2"/>
      <c r="V214" s="2"/>
      <c r="W214" s="2"/>
      <c r="X214" s="2"/>
      <c r="Y214" s="2"/>
      <c r="Z214" s="2"/>
      <c r="AA214" s="2"/>
      <c r="AB214" s="2"/>
      <c r="AC214" s="2"/>
    </row>
    <row r="215" spans="1:29" ht="12.95" customHeight="1">
      <c r="A215" s="839"/>
      <c r="B215" s="844"/>
      <c r="C215" s="844"/>
      <c r="D215" s="844"/>
      <c r="E215" s="844"/>
      <c r="F215" s="844"/>
      <c r="G215" s="844"/>
      <c r="H215" s="592"/>
      <c r="I215" s="844"/>
      <c r="J215" s="844"/>
      <c r="K215" s="844"/>
      <c r="L215" s="844"/>
      <c r="M215" s="844"/>
      <c r="N215" s="844"/>
      <c r="O215" s="844"/>
      <c r="P215" s="2"/>
      <c r="Q215" s="2"/>
      <c r="R215" s="2"/>
      <c r="S215" s="2"/>
      <c r="T215" s="2"/>
      <c r="U215" s="2"/>
      <c r="V215" s="2"/>
      <c r="W215" s="2"/>
      <c r="X215" s="2"/>
      <c r="Y215" s="2"/>
      <c r="Z215" s="2"/>
      <c r="AA215" s="2"/>
      <c r="AB215" s="2"/>
      <c r="AC215" s="2"/>
    </row>
    <row r="216" spans="1:29" ht="12.95" customHeight="1">
      <c r="A216" s="839" t="s">
        <v>183</v>
      </c>
      <c r="B216" s="844"/>
      <c r="C216" s="844"/>
      <c r="D216" s="844"/>
      <c r="E216" s="844"/>
      <c r="F216" s="844"/>
      <c r="G216" s="844"/>
      <c r="H216" s="683">
        <f>(H212/H214)*100</f>
        <v>6.2084888759635355</v>
      </c>
      <c r="I216" s="844" t="s">
        <v>108</v>
      </c>
      <c r="J216" s="844"/>
      <c r="K216" s="844"/>
      <c r="L216" s="844"/>
      <c r="M216" s="844"/>
      <c r="N216" s="844"/>
      <c r="O216" s="844"/>
      <c r="P216" s="2"/>
      <c r="Q216" s="2"/>
      <c r="R216" s="2"/>
      <c r="S216" s="2"/>
      <c r="T216" s="2"/>
      <c r="U216" s="2"/>
      <c r="V216" s="2"/>
      <c r="W216" s="2"/>
      <c r="X216" s="2"/>
      <c r="Y216" s="2"/>
      <c r="Z216" s="2"/>
      <c r="AA216" s="2"/>
      <c r="AB216" s="2"/>
      <c r="AC216" s="2"/>
    </row>
    <row r="217" spans="1:29" ht="12.95" customHeight="1">
      <c r="A217" s="839" t="s">
        <v>185</v>
      </c>
      <c r="B217" s="844"/>
      <c r="C217" s="844"/>
      <c r="D217" s="844"/>
      <c r="E217" s="844"/>
      <c r="F217" s="844"/>
      <c r="G217" s="844"/>
      <c r="H217" s="592"/>
      <c r="I217" s="844"/>
      <c r="J217" s="844"/>
      <c r="K217" s="844"/>
      <c r="L217" s="844"/>
      <c r="M217" s="844"/>
      <c r="N217" s="844"/>
      <c r="O217" s="844"/>
      <c r="P217" s="2"/>
      <c r="Q217" s="2"/>
      <c r="R217" s="2"/>
      <c r="S217" s="2"/>
      <c r="T217" s="2"/>
      <c r="U217" s="2"/>
      <c r="V217" s="2"/>
      <c r="W217" s="2"/>
      <c r="X217" s="2"/>
      <c r="Y217" s="2"/>
      <c r="Z217" s="2"/>
      <c r="AA217" s="2"/>
      <c r="AB217" s="2"/>
      <c r="AC217" s="2"/>
    </row>
    <row r="218" spans="1:29" ht="12.95" customHeight="1">
      <c r="A218" s="839" t="s">
        <v>186</v>
      </c>
      <c r="B218" s="844"/>
      <c r="C218" s="844"/>
      <c r="D218" s="844"/>
      <c r="E218" s="844"/>
      <c r="F218" s="844"/>
      <c r="G218" s="844"/>
      <c r="H218" s="592"/>
      <c r="I218" s="844"/>
      <c r="J218" s="844"/>
      <c r="K218" s="844"/>
      <c r="L218" s="844"/>
      <c r="M218" s="844"/>
      <c r="N218" s="844"/>
      <c r="O218" s="844"/>
      <c r="P218" s="2"/>
      <c r="Q218" s="2"/>
      <c r="R218" s="2"/>
      <c r="S218" s="2"/>
      <c r="T218" s="2"/>
      <c r="U218" s="2"/>
      <c r="V218" s="2"/>
      <c r="W218" s="2"/>
      <c r="X218" s="2"/>
      <c r="Y218" s="2"/>
      <c r="Z218" s="2"/>
      <c r="AA218" s="2"/>
      <c r="AB218" s="2"/>
      <c r="AC218" s="2"/>
    </row>
    <row r="219" spans="1:29" ht="12.95" customHeight="1">
      <c r="A219" s="839" t="s">
        <v>174</v>
      </c>
      <c r="B219" s="844"/>
      <c r="C219" s="844"/>
      <c r="D219" s="844"/>
      <c r="E219" s="844"/>
      <c r="F219" s="844"/>
      <c r="G219" s="844"/>
      <c r="H219" s="680">
        <f>H192</f>
        <v>-1.07</v>
      </c>
      <c r="I219" s="844" t="s">
        <v>108</v>
      </c>
      <c r="J219" s="844"/>
      <c r="K219" s="844"/>
      <c r="L219" s="844"/>
      <c r="M219" s="844"/>
      <c r="N219" s="844"/>
      <c r="O219" s="844"/>
      <c r="P219" s="2"/>
      <c r="Q219" s="2"/>
      <c r="R219" s="2"/>
      <c r="S219" s="2"/>
      <c r="T219" s="2"/>
      <c r="U219" s="2"/>
      <c r="V219" s="2"/>
      <c r="W219" s="2"/>
      <c r="X219" s="2"/>
      <c r="Y219" s="2"/>
      <c r="Z219" s="2"/>
      <c r="AA219" s="2"/>
      <c r="AB219" s="2"/>
      <c r="AC219" s="2"/>
    </row>
    <row r="220" spans="1:29" ht="12.95" customHeight="1">
      <c r="A220" s="839" t="s">
        <v>175</v>
      </c>
      <c r="B220" s="844"/>
      <c r="C220" s="844"/>
      <c r="D220" s="844"/>
      <c r="E220" s="844"/>
      <c r="F220" s="844"/>
      <c r="G220" s="844"/>
      <c r="H220" s="680">
        <f>H193</f>
        <v>-0.04</v>
      </c>
      <c r="I220" s="844" t="s">
        <v>108</v>
      </c>
      <c r="J220" s="844"/>
      <c r="K220" s="844"/>
      <c r="L220" s="844"/>
      <c r="M220" s="844"/>
      <c r="N220" s="844"/>
      <c r="O220" s="844"/>
      <c r="P220" s="2"/>
      <c r="Q220" s="2"/>
      <c r="R220" s="2"/>
      <c r="S220" s="2"/>
      <c r="T220" s="2"/>
      <c r="U220" s="2"/>
      <c r="V220" s="2"/>
      <c r="W220" s="2"/>
      <c r="X220" s="2"/>
      <c r="Y220" s="2"/>
      <c r="Z220" s="2"/>
      <c r="AA220" s="2"/>
      <c r="AB220" s="2"/>
      <c r="AC220" s="2"/>
    </row>
    <row r="221" spans="1:29" ht="12.95" customHeight="1">
      <c r="A221" s="839" t="s">
        <v>187</v>
      </c>
      <c r="B221" s="844"/>
      <c r="C221" s="844"/>
      <c r="D221" s="844"/>
      <c r="E221" s="844"/>
      <c r="F221" s="844"/>
      <c r="G221" s="844"/>
      <c r="H221" s="680">
        <f>H194</f>
        <v>0</v>
      </c>
      <c r="I221" s="844" t="s">
        <v>108</v>
      </c>
      <c r="J221" s="844"/>
      <c r="K221" s="844"/>
      <c r="L221" s="844"/>
      <c r="M221" s="844"/>
      <c r="N221" s="844"/>
      <c r="O221" s="844"/>
      <c r="P221" s="2"/>
      <c r="Q221" s="2"/>
      <c r="R221" s="2"/>
      <c r="S221" s="2"/>
      <c r="T221" s="2"/>
      <c r="U221" s="2"/>
      <c r="V221" s="2"/>
      <c r="W221" s="2"/>
      <c r="X221" s="2"/>
      <c r="Y221" s="2"/>
      <c r="Z221" s="2"/>
      <c r="AA221" s="2"/>
      <c r="AB221" s="2"/>
      <c r="AC221" s="2"/>
    </row>
    <row r="222" spans="1:29" ht="12.95" customHeight="1">
      <c r="A222" s="839" t="s">
        <v>17</v>
      </c>
      <c r="B222" s="844"/>
      <c r="C222" s="844"/>
      <c r="D222" s="844"/>
      <c r="E222" s="844"/>
      <c r="F222" s="844"/>
      <c r="G222" s="844"/>
      <c r="H222" s="680">
        <f>H195</f>
        <v>-0.04</v>
      </c>
      <c r="I222" s="844" t="s">
        <v>108</v>
      </c>
      <c r="J222" s="844"/>
      <c r="K222" s="844"/>
      <c r="L222" s="844"/>
      <c r="M222" s="844"/>
      <c r="N222" s="844"/>
      <c r="O222" s="844"/>
      <c r="P222" s="2"/>
      <c r="Q222" s="2"/>
      <c r="R222" s="2"/>
      <c r="S222" s="2"/>
      <c r="T222" s="2"/>
      <c r="U222" s="2"/>
      <c r="V222" s="2"/>
      <c r="W222" s="2"/>
      <c r="X222" s="2"/>
      <c r="Y222" s="2"/>
      <c r="Z222" s="2"/>
      <c r="AA222" s="2"/>
      <c r="AB222" s="2"/>
      <c r="AC222" s="2"/>
    </row>
    <row r="223" spans="1:29" ht="12.95" customHeight="1">
      <c r="A223" s="839" t="s">
        <v>188</v>
      </c>
      <c r="B223" s="844"/>
      <c r="C223" s="844"/>
      <c r="D223" s="844"/>
      <c r="E223" s="844"/>
      <c r="F223" s="844"/>
      <c r="G223" s="844"/>
      <c r="H223" s="680">
        <f>H196</f>
        <v>0</v>
      </c>
      <c r="I223" s="844" t="s">
        <v>108</v>
      </c>
      <c r="J223" s="844"/>
      <c r="K223" s="844"/>
      <c r="L223" s="844"/>
      <c r="M223" s="844"/>
      <c r="N223" s="844"/>
      <c r="O223" s="844"/>
      <c r="P223" s="2"/>
      <c r="Q223" s="2"/>
      <c r="R223" s="2"/>
      <c r="S223" s="2"/>
      <c r="T223" s="2"/>
      <c r="U223" s="2"/>
      <c r="V223" s="2"/>
      <c r="W223" s="2"/>
      <c r="X223" s="2"/>
      <c r="Y223" s="2"/>
      <c r="Z223" s="2"/>
      <c r="AA223" s="2"/>
      <c r="AB223" s="2"/>
      <c r="AC223" s="2"/>
    </row>
    <row r="224" spans="1:29" ht="12.95" customHeight="1">
      <c r="A224" s="839" t="s">
        <v>189</v>
      </c>
      <c r="B224" s="844"/>
      <c r="C224" s="844"/>
      <c r="D224" s="844"/>
      <c r="E224" s="844"/>
      <c r="F224" s="844"/>
      <c r="G224" s="844"/>
      <c r="H224" s="682">
        <f>SUM(H219:H223)</f>
        <v>-1.1500000000000001</v>
      </c>
      <c r="I224" s="844" t="s">
        <v>108</v>
      </c>
      <c r="J224" s="844"/>
      <c r="K224" s="844"/>
      <c r="L224" s="844"/>
      <c r="M224" s="844"/>
      <c r="N224" s="844"/>
      <c r="O224" s="844"/>
      <c r="P224" s="2"/>
      <c r="Q224" s="2"/>
      <c r="R224" s="2"/>
      <c r="S224" s="2"/>
      <c r="T224" s="2"/>
      <c r="U224" s="2"/>
      <c r="V224" s="2"/>
      <c r="W224" s="2"/>
      <c r="X224" s="2"/>
      <c r="Y224" s="2"/>
      <c r="Z224" s="2"/>
      <c r="AA224" s="2"/>
      <c r="AB224" s="2"/>
      <c r="AC224" s="2"/>
    </row>
    <row r="225" spans="1:29" ht="12.95" customHeight="1">
      <c r="A225" s="839"/>
      <c r="B225" s="844"/>
      <c r="C225" s="844"/>
      <c r="D225" s="844"/>
      <c r="E225" s="844"/>
      <c r="F225" s="844"/>
      <c r="G225" s="844"/>
      <c r="H225" s="592"/>
      <c r="I225" s="844"/>
      <c r="J225" s="844"/>
      <c r="K225" s="844"/>
      <c r="L225" s="844"/>
      <c r="M225" s="844"/>
      <c r="N225" s="844"/>
      <c r="O225" s="844"/>
      <c r="P225" s="2"/>
      <c r="Q225" s="2"/>
      <c r="R225" s="2"/>
      <c r="S225" s="2"/>
      <c r="T225" s="2"/>
      <c r="U225" s="2"/>
      <c r="V225" s="2"/>
      <c r="W225" s="2"/>
      <c r="X225" s="2"/>
      <c r="Y225" s="2"/>
      <c r="Z225" s="2"/>
      <c r="AA225" s="2"/>
      <c r="AB225" s="2"/>
      <c r="AC225" s="2"/>
    </row>
    <row r="226" spans="1:29" ht="12.95" customHeight="1">
      <c r="A226" s="839" t="s">
        <v>1</v>
      </c>
      <c r="B226" s="844"/>
      <c r="C226" s="844"/>
      <c r="D226" s="844"/>
      <c r="E226" s="844"/>
      <c r="F226" s="844"/>
      <c r="G226" s="844"/>
      <c r="H226" s="680">
        <f>H216+H224</f>
        <v>5.0584888759635351</v>
      </c>
      <c r="I226" s="844" t="s">
        <v>108</v>
      </c>
      <c r="J226" s="844"/>
      <c r="K226" s="844"/>
      <c r="L226" s="844"/>
      <c r="M226" s="844"/>
      <c r="N226" s="844"/>
      <c r="O226" s="844"/>
      <c r="P226" s="2"/>
      <c r="Q226" s="2"/>
      <c r="R226" s="2"/>
      <c r="S226" s="2"/>
      <c r="T226" s="2"/>
      <c r="U226" s="2"/>
      <c r="V226" s="2"/>
      <c r="W226" s="2"/>
      <c r="X226" s="2"/>
      <c r="Y226" s="2"/>
      <c r="Z226" s="2"/>
      <c r="AA226" s="2"/>
      <c r="AB226" s="2"/>
      <c r="AC226" s="2"/>
    </row>
    <row r="227" spans="1:29" ht="12.95" customHeight="1">
      <c r="A227" s="839"/>
      <c r="B227" s="844"/>
      <c r="C227" s="844"/>
      <c r="D227" s="844"/>
      <c r="E227" s="844"/>
      <c r="F227" s="844"/>
      <c r="G227" s="844"/>
      <c r="H227" s="592"/>
      <c r="I227" s="844"/>
      <c r="J227" s="844"/>
      <c r="K227" s="844"/>
      <c r="L227" s="844"/>
      <c r="M227" s="844"/>
      <c r="N227" s="844"/>
      <c r="O227" s="844"/>
      <c r="P227" s="2"/>
      <c r="Q227" s="2"/>
      <c r="R227" s="2"/>
      <c r="S227" s="2"/>
      <c r="T227" s="2"/>
      <c r="U227" s="2"/>
      <c r="V227" s="2"/>
      <c r="W227" s="2"/>
      <c r="X227" s="2"/>
      <c r="Y227" s="2"/>
      <c r="Z227" s="2"/>
      <c r="AA227" s="2"/>
      <c r="AB227" s="2"/>
      <c r="AC227" s="2"/>
    </row>
    <row r="228" spans="1:29" ht="12.95" customHeight="1">
      <c r="A228" s="839" t="s">
        <v>190</v>
      </c>
      <c r="B228" s="844"/>
      <c r="C228" s="844"/>
      <c r="D228" s="844"/>
      <c r="E228" s="844"/>
      <c r="F228" s="844"/>
      <c r="G228" s="844"/>
      <c r="H228" s="683">
        <f>H201</f>
        <v>46.5</v>
      </c>
      <c r="I228" s="844" t="s">
        <v>108</v>
      </c>
      <c r="J228" s="844"/>
      <c r="K228" s="844"/>
      <c r="L228" s="844"/>
      <c r="M228" s="844"/>
      <c r="N228" s="844"/>
      <c r="O228" s="844"/>
      <c r="P228" s="2"/>
      <c r="Q228" s="2"/>
      <c r="R228" s="2"/>
      <c r="S228" s="2"/>
      <c r="T228" s="2"/>
      <c r="U228" s="2"/>
      <c r="V228" s="2"/>
      <c r="W228" s="2"/>
      <c r="X228" s="2"/>
      <c r="Y228" s="2"/>
      <c r="Z228" s="2"/>
      <c r="AA228" s="2"/>
      <c r="AB228" s="2"/>
      <c r="AC228" s="2"/>
    </row>
    <row r="229" spans="1:29" ht="12.95" customHeight="1">
      <c r="A229" s="839"/>
      <c r="B229" s="844"/>
      <c r="C229" s="844"/>
      <c r="D229" s="844"/>
      <c r="E229" s="844"/>
      <c r="F229" s="844"/>
      <c r="G229" s="844"/>
      <c r="H229" s="592"/>
      <c r="I229" s="844"/>
      <c r="J229" s="844"/>
      <c r="K229" s="844"/>
      <c r="L229" s="844"/>
      <c r="M229" s="844"/>
      <c r="N229" s="844"/>
      <c r="O229" s="844"/>
      <c r="P229" s="2"/>
      <c r="Q229" s="2"/>
      <c r="R229" s="2"/>
      <c r="S229" s="2"/>
      <c r="T229" s="2"/>
      <c r="U229" s="2"/>
      <c r="V229" s="2"/>
      <c r="W229" s="2"/>
      <c r="X229" s="2"/>
      <c r="Y229" s="2"/>
      <c r="Z229" s="2"/>
      <c r="AA229" s="2"/>
      <c r="AB229" s="2"/>
      <c r="AC229" s="2"/>
    </row>
    <row r="230" spans="1:29" ht="12.95" customHeight="1" thickBot="1">
      <c r="A230" s="839" t="s">
        <v>191</v>
      </c>
      <c r="B230" s="844"/>
      <c r="C230" s="844"/>
      <c r="D230" s="844"/>
      <c r="E230" s="844"/>
      <c r="F230" s="844"/>
      <c r="G230" s="844"/>
      <c r="H230" s="684">
        <f>(H226)/(H228/100)</f>
        <v>10.87847070099685</v>
      </c>
      <c r="I230" s="844" t="s">
        <v>108</v>
      </c>
      <c r="J230" s="844"/>
      <c r="K230" s="844"/>
      <c r="L230" s="844"/>
      <c r="M230" s="844"/>
      <c r="N230" s="844"/>
      <c r="O230" s="844"/>
      <c r="P230" s="2"/>
      <c r="Q230" s="2"/>
      <c r="R230" s="2"/>
      <c r="S230" s="2"/>
      <c r="T230" s="2"/>
      <c r="U230" s="2"/>
      <c r="V230" s="2"/>
      <c r="W230" s="2"/>
      <c r="X230" s="2"/>
      <c r="Y230" s="2"/>
      <c r="Z230" s="2"/>
      <c r="AA230" s="2"/>
      <c r="AB230" s="2"/>
      <c r="AC230" s="2"/>
    </row>
    <row r="231" spans="1:29" ht="13.5" thickTop="1">
      <c r="A231" s="839"/>
      <c r="B231" s="844"/>
      <c r="C231" s="844"/>
      <c r="D231" s="844"/>
      <c r="E231" s="844"/>
      <c r="F231" s="844"/>
      <c r="G231" s="844"/>
      <c r="H231" s="592"/>
      <c r="I231" s="844"/>
      <c r="J231" s="844"/>
      <c r="K231" s="844"/>
      <c r="L231" s="844"/>
      <c r="M231" s="844"/>
      <c r="N231" s="2"/>
      <c r="O231" s="2"/>
      <c r="P231" s="2"/>
      <c r="Q231" s="2"/>
      <c r="R231" s="2"/>
      <c r="S231" s="2"/>
      <c r="T231" s="2"/>
      <c r="U231" s="2"/>
      <c r="V231" s="2"/>
      <c r="W231" s="2"/>
      <c r="X231" s="2"/>
      <c r="Y231" s="2"/>
      <c r="Z231" s="2"/>
      <c r="AA231" s="2"/>
      <c r="AB231" s="2"/>
      <c r="AC231" s="2"/>
    </row>
    <row r="232" spans="1:29">
      <c r="A232" s="870"/>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c r="A233" s="870"/>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c r="A234" s="1"/>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8" spans="1:29">
      <c r="A238" s="835" t="s">
        <v>204</v>
      </c>
      <c r="B238" s="910"/>
      <c r="C238" s="910"/>
      <c r="D238" s="910"/>
      <c r="E238" s="910"/>
      <c r="F238" s="910"/>
      <c r="G238" s="910"/>
      <c r="H238" s="910"/>
      <c r="I238" s="5"/>
      <c r="J238" s="837"/>
      <c r="K238" s="910"/>
      <c r="L238" s="914" t="s">
        <v>198</v>
      </c>
      <c r="M238" s="1"/>
      <c r="N238" s="1"/>
      <c r="O238" s="1"/>
      <c r="P238" s="1"/>
      <c r="Q238" s="1"/>
      <c r="R238" s="1"/>
      <c r="S238" s="1"/>
      <c r="T238" s="1"/>
      <c r="U238" s="1"/>
      <c r="V238" s="1"/>
      <c r="W238" s="1"/>
      <c r="X238" s="1"/>
      <c r="Y238" s="1"/>
      <c r="Z238" s="1"/>
      <c r="AA238" s="1"/>
      <c r="AB238" s="1"/>
      <c r="AC238" s="1"/>
    </row>
    <row r="239" spans="1:29">
      <c r="A239" s="835" t="s">
        <v>180</v>
      </c>
      <c r="B239" s="910"/>
      <c r="C239" s="910"/>
      <c r="D239" s="910"/>
      <c r="E239" s="910"/>
      <c r="F239" s="910"/>
      <c r="G239" s="910"/>
      <c r="H239" s="910"/>
      <c r="I239" s="910"/>
      <c r="J239" s="910"/>
      <c r="K239" s="910"/>
      <c r="L239" s="865"/>
      <c r="M239" s="865"/>
      <c r="N239" s="1"/>
      <c r="O239" s="1"/>
      <c r="P239" s="1"/>
      <c r="Q239" s="1"/>
      <c r="R239" s="1"/>
      <c r="S239" s="1"/>
      <c r="T239" s="1"/>
      <c r="U239" s="1"/>
      <c r="V239" s="1"/>
      <c r="W239" s="1"/>
      <c r="X239" s="1"/>
      <c r="Y239" s="1"/>
      <c r="Z239" s="1"/>
      <c r="AA239" s="1"/>
      <c r="AB239" s="1"/>
      <c r="AC239" s="1"/>
    </row>
    <row r="240" spans="1:29">
      <c r="A240" s="835" t="s">
        <v>199</v>
      </c>
      <c r="B240" s="910"/>
      <c r="C240" s="910"/>
      <c r="D240" s="910"/>
      <c r="E240" s="910"/>
      <c r="F240" s="910"/>
      <c r="G240" s="910"/>
      <c r="H240" s="910"/>
      <c r="I240" s="910"/>
      <c r="J240" s="910"/>
      <c r="K240" s="910"/>
      <c r="L240" s="865"/>
      <c r="M240" s="865"/>
      <c r="N240" s="1"/>
      <c r="O240" s="1"/>
      <c r="P240" s="1"/>
      <c r="Q240" s="1"/>
      <c r="R240" s="1"/>
      <c r="S240" s="1"/>
      <c r="T240" s="1"/>
      <c r="U240" s="1"/>
      <c r="V240" s="1"/>
      <c r="W240" s="1"/>
      <c r="X240" s="1"/>
      <c r="Y240" s="1"/>
      <c r="Z240" s="1"/>
      <c r="AA240" s="1"/>
      <c r="AB240" s="1"/>
      <c r="AC240" s="1"/>
    </row>
    <row r="241" spans="1:29">
      <c r="A241" s="864" t="str">
        <f>A4</f>
        <v>(In $ Thousands)</v>
      </c>
      <c r="B241" s="910"/>
      <c r="C241" s="910"/>
      <c r="D241" s="910"/>
      <c r="E241" s="910"/>
      <c r="F241" s="910"/>
      <c r="G241" s="910"/>
      <c r="H241" s="910"/>
      <c r="I241" s="910"/>
      <c r="J241" s="910"/>
      <c r="K241" s="910"/>
      <c r="L241" s="865"/>
      <c r="M241" s="865"/>
      <c r="N241" s="1"/>
      <c r="O241" s="1"/>
      <c r="P241" s="1"/>
      <c r="Q241" s="1"/>
      <c r="R241" s="1"/>
      <c r="S241" s="1"/>
      <c r="T241" s="1"/>
      <c r="U241" s="1"/>
      <c r="V241" s="1"/>
      <c r="W241" s="1"/>
      <c r="X241" s="1"/>
      <c r="Y241" s="1"/>
      <c r="Z241" s="1"/>
      <c r="AA241" s="1"/>
      <c r="AB241" s="1"/>
      <c r="AC241" s="1"/>
    </row>
    <row r="242" spans="1:29">
      <c r="A242" s="1"/>
      <c r="B242" s="2"/>
      <c r="C242" s="2"/>
      <c r="D242" s="2"/>
      <c r="E242" s="2"/>
      <c r="F242" s="2"/>
      <c r="G242" s="2"/>
      <c r="H242" s="2"/>
      <c r="I242" s="2"/>
      <c r="J242" s="2"/>
      <c r="K242" s="2"/>
      <c r="L242" s="1"/>
      <c r="M242" s="1"/>
      <c r="N242" s="1"/>
      <c r="O242" s="1"/>
      <c r="P242" s="1"/>
      <c r="Q242" s="1"/>
      <c r="R242" s="1"/>
      <c r="S242" s="1"/>
      <c r="T242" s="1"/>
      <c r="U242" s="1"/>
      <c r="V242" s="1"/>
      <c r="W242" s="1"/>
      <c r="X242" s="1"/>
      <c r="Y242" s="1"/>
      <c r="Z242" s="1"/>
      <c r="AA242" s="1"/>
      <c r="AB242" s="1"/>
      <c r="AC242" s="1"/>
    </row>
    <row r="243" spans="1:29">
      <c r="A243" s="1"/>
      <c r="B243" s="2"/>
      <c r="C243" s="2"/>
      <c r="D243" s="2"/>
      <c r="E243" s="2"/>
      <c r="F243" s="2"/>
      <c r="G243" s="2"/>
      <c r="H243" s="2"/>
      <c r="I243" s="2"/>
      <c r="J243" s="2"/>
      <c r="K243" s="2"/>
      <c r="L243" s="1"/>
      <c r="M243" s="1"/>
      <c r="N243" s="1"/>
      <c r="O243" s="1"/>
      <c r="P243" s="1"/>
      <c r="Q243" s="1"/>
      <c r="R243" s="1"/>
      <c r="S243" s="1"/>
      <c r="T243" s="1"/>
      <c r="U243" s="1"/>
      <c r="V243" s="1"/>
      <c r="W243" s="1"/>
      <c r="X243" s="1"/>
      <c r="Y243" s="1"/>
      <c r="Z243" s="1"/>
      <c r="AA243" s="1"/>
      <c r="AB243" s="1"/>
      <c r="AC243" s="1"/>
    </row>
    <row r="244" spans="1:29">
      <c r="A244" s="1"/>
      <c r="B244" s="2"/>
      <c r="C244" s="2"/>
      <c r="D244" s="2"/>
      <c r="E244" s="2"/>
      <c r="F244" s="2"/>
      <c r="G244" s="2"/>
      <c r="H244" s="2"/>
      <c r="I244" s="2"/>
      <c r="J244" s="2"/>
      <c r="K244" s="2"/>
      <c r="L244" s="1"/>
      <c r="M244" s="1"/>
      <c r="N244" s="1"/>
      <c r="O244" s="1"/>
      <c r="P244" s="1"/>
      <c r="Q244" s="1"/>
      <c r="R244" s="1"/>
      <c r="S244" s="1"/>
      <c r="T244" s="1"/>
      <c r="U244" s="1"/>
      <c r="V244" s="1"/>
      <c r="W244" s="1"/>
      <c r="X244" s="1"/>
      <c r="Y244" s="1"/>
      <c r="Z244" s="1"/>
      <c r="AA244" s="1"/>
      <c r="AB244" s="1"/>
      <c r="AC244" s="1"/>
    </row>
    <row r="245" spans="1:29">
      <c r="A245" s="1"/>
      <c r="B245" s="2"/>
      <c r="C245" s="2"/>
      <c r="D245" s="2"/>
      <c r="E245" s="2"/>
      <c r="F245" s="2"/>
      <c r="G245" s="2"/>
      <c r="H245" s="2"/>
      <c r="I245" s="2"/>
      <c r="J245" s="2"/>
      <c r="K245" s="2"/>
      <c r="L245" s="1"/>
      <c r="M245" s="1"/>
      <c r="N245" s="1"/>
      <c r="O245" s="1"/>
      <c r="P245" s="1"/>
      <c r="Q245" s="1"/>
      <c r="R245" s="1"/>
      <c r="S245" s="1"/>
      <c r="T245" s="1"/>
      <c r="U245" s="1"/>
      <c r="V245" s="1"/>
      <c r="W245" s="1"/>
      <c r="X245" s="1"/>
      <c r="Y245" s="1"/>
      <c r="Z245" s="1"/>
      <c r="AA245" s="1"/>
      <c r="AB245" s="1"/>
      <c r="AC245" s="1"/>
    </row>
    <row r="246" spans="1:29">
      <c r="A246" s="850" t="s">
        <v>200</v>
      </c>
      <c r="B246" s="844"/>
      <c r="C246" s="844"/>
      <c r="D246" s="844"/>
      <c r="E246" s="844"/>
      <c r="F246" s="844"/>
      <c r="G246" s="844"/>
      <c r="H246" s="844"/>
      <c r="I246" s="844"/>
      <c r="J246" s="844"/>
      <c r="K246" s="844"/>
      <c r="L246" s="1"/>
      <c r="M246" s="1"/>
      <c r="N246" s="1"/>
      <c r="O246" s="1"/>
      <c r="P246" s="1"/>
      <c r="Q246" s="1"/>
      <c r="R246" s="1"/>
      <c r="S246" s="1"/>
      <c r="T246" s="1"/>
      <c r="U246" s="1"/>
      <c r="V246" s="1"/>
      <c r="W246" s="1"/>
      <c r="X246" s="1"/>
      <c r="Y246" s="1"/>
      <c r="Z246" s="1"/>
      <c r="AA246" s="1"/>
      <c r="AB246" s="1"/>
      <c r="AC246" s="1"/>
    </row>
    <row r="247" spans="1:29">
      <c r="A247" s="850" t="s">
        <v>182</v>
      </c>
      <c r="B247" s="844"/>
      <c r="C247" s="844"/>
      <c r="D247" s="844"/>
      <c r="E247" s="844"/>
      <c r="F247" s="844"/>
      <c r="G247" s="844"/>
      <c r="H247" s="844"/>
      <c r="I247" s="844"/>
      <c r="J247" s="844"/>
      <c r="K247" s="844"/>
      <c r="L247" s="1"/>
      <c r="M247" s="1"/>
      <c r="N247" s="1"/>
      <c r="O247" s="1"/>
      <c r="P247" s="1"/>
      <c r="Q247" s="1"/>
      <c r="R247" s="1"/>
      <c r="S247" s="1"/>
      <c r="T247" s="1"/>
      <c r="U247" s="1"/>
      <c r="V247" s="1"/>
      <c r="W247" s="1"/>
      <c r="X247" s="1"/>
      <c r="Y247" s="1"/>
      <c r="Z247" s="1"/>
      <c r="AA247" s="1"/>
      <c r="AB247" s="1"/>
      <c r="AC247" s="1"/>
    </row>
    <row r="248" spans="1:29">
      <c r="A248" s="839"/>
      <c r="B248" s="844"/>
      <c r="C248" s="844"/>
      <c r="D248" s="844"/>
      <c r="E248" s="844"/>
      <c r="F248" s="844"/>
      <c r="G248" s="844"/>
      <c r="H248" s="844"/>
      <c r="I248" s="844"/>
      <c r="J248" s="844"/>
      <c r="K248" s="844"/>
      <c r="L248" s="1"/>
      <c r="M248" s="1"/>
      <c r="N248" s="1"/>
      <c r="O248" s="1"/>
      <c r="P248" s="1"/>
      <c r="Q248" s="1"/>
      <c r="R248" s="1"/>
      <c r="S248" s="1"/>
      <c r="T248" s="1"/>
      <c r="U248" s="1"/>
      <c r="V248" s="1"/>
      <c r="W248" s="1"/>
      <c r="X248" s="1"/>
      <c r="Y248" s="1"/>
      <c r="Z248" s="1"/>
      <c r="AA248" s="1"/>
      <c r="AB248" s="1"/>
      <c r="AC248" s="1"/>
    </row>
    <row r="249" spans="1:29">
      <c r="A249" s="839"/>
      <c r="B249" s="844"/>
      <c r="C249" s="844"/>
      <c r="D249" s="844"/>
      <c r="E249" s="844"/>
      <c r="F249" s="844"/>
      <c r="G249" s="844"/>
      <c r="H249" s="844"/>
      <c r="I249" s="844"/>
      <c r="J249" s="844"/>
      <c r="K249" s="844"/>
      <c r="L249" s="1"/>
      <c r="M249" s="1"/>
      <c r="N249" s="1"/>
      <c r="O249" s="1"/>
      <c r="P249" s="1"/>
      <c r="Q249" s="1"/>
      <c r="R249" s="1"/>
      <c r="S249" s="1"/>
      <c r="T249" s="1"/>
      <c r="U249" s="1"/>
      <c r="V249" s="1"/>
      <c r="W249" s="1"/>
      <c r="X249" s="1"/>
      <c r="Y249" s="1"/>
      <c r="Z249" s="1"/>
      <c r="AA249" s="1"/>
      <c r="AB249" s="1"/>
      <c r="AC249" s="1"/>
    </row>
    <row r="250" spans="1:29">
      <c r="A250" s="839" t="s">
        <v>201</v>
      </c>
      <c r="B250" s="844"/>
      <c r="C250" s="844"/>
      <c r="D250" s="844"/>
      <c r="E250" s="844"/>
      <c r="F250" s="844"/>
      <c r="G250" s="844"/>
      <c r="H250" s="593">
        <f>ROUND(N16,4)</f>
        <v>6.3827999999999996</v>
      </c>
      <c r="I250" s="844" t="s">
        <v>108</v>
      </c>
      <c r="J250" s="844" t="s">
        <v>184</v>
      </c>
      <c r="K250" s="844"/>
      <c r="L250" s="1"/>
      <c r="M250" s="1"/>
      <c r="N250" s="1"/>
      <c r="O250" s="1"/>
      <c r="P250" s="1"/>
      <c r="Q250" s="1"/>
      <c r="R250" s="1"/>
      <c r="S250" s="1"/>
      <c r="T250" s="1"/>
      <c r="U250" s="1"/>
      <c r="V250" s="1"/>
      <c r="W250" s="1"/>
      <c r="X250" s="1"/>
      <c r="Y250" s="1"/>
      <c r="Z250" s="1"/>
      <c r="AA250" s="1"/>
      <c r="AB250" s="1"/>
      <c r="AC250" s="1"/>
    </row>
    <row r="251" spans="1:29">
      <c r="A251" s="839" t="s">
        <v>185</v>
      </c>
      <c r="B251" s="844"/>
      <c r="C251" s="844"/>
      <c r="D251" s="844"/>
      <c r="E251" s="844"/>
      <c r="F251" s="844"/>
      <c r="G251" s="844"/>
      <c r="H251" s="592"/>
      <c r="I251" s="844"/>
      <c r="J251" s="844"/>
      <c r="K251" s="844"/>
      <c r="L251" s="1"/>
      <c r="M251" s="1"/>
      <c r="N251" s="1"/>
      <c r="O251" s="1"/>
      <c r="P251" s="1"/>
      <c r="Q251" s="1"/>
      <c r="R251" s="1"/>
      <c r="S251" s="1"/>
      <c r="T251" s="1"/>
      <c r="U251" s="1"/>
      <c r="V251" s="1"/>
      <c r="W251" s="1"/>
      <c r="X251" s="1"/>
      <c r="Y251" s="1"/>
      <c r="Z251" s="1"/>
      <c r="AA251" s="1"/>
      <c r="AB251" s="1"/>
      <c r="AC251" s="1"/>
    </row>
    <row r="252" spans="1:29">
      <c r="A252" s="839" t="s">
        <v>186</v>
      </c>
      <c r="B252" s="844"/>
      <c r="C252" s="844"/>
      <c r="D252" s="844"/>
      <c r="E252" s="844"/>
      <c r="F252" s="844"/>
      <c r="G252" s="844"/>
      <c r="H252" s="592"/>
      <c r="I252" s="844"/>
      <c r="J252" s="844"/>
      <c r="K252" s="844"/>
      <c r="L252" s="1"/>
      <c r="M252" s="1"/>
      <c r="N252" s="1"/>
      <c r="O252" s="1"/>
      <c r="P252" s="1"/>
      <c r="Q252" s="1"/>
      <c r="R252" s="1"/>
      <c r="S252" s="1"/>
      <c r="T252" s="1"/>
      <c r="U252" s="1"/>
      <c r="V252" s="1"/>
      <c r="W252" s="1"/>
      <c r="X252" s="1"/>
      <c r="Y252" s="1"/>
      <c r="Z252" s="1"/>
      <c r="AA252" s="1"/>
      <c r="AB252" s="1"/>
      <c r="AC252" s="1"/>
    </row>
    <row r="253" spans="1:29">
      <c r="A253" s="839" t="s">
        <v>174</v>
      </c>
      <c r="B253" s="844"/>
      <c r="C253" s="844"/>
      <c r="D253" s="844"/>
      <c r="E253" s="844"/>
      <c r="F253" s="844"/>
      <c r="G253" s="844"/>
      <c r="H253" s="680">
        <f>-R160</f>
        <v>-1.07</v>
      </c>
      <c r="I253" s="844" t="s">
        <v>108</v>
      </c>
      <c r="J253" s="844"/>
      <c r="K253" s="844"/>
      <c r="L253" s="1"/>
      <c r="M253" s="1"/>
      <c r="N253" s="1"/>
      <c r="O253" s="1"/>
      <c r="P253" s="1"/>
      <c r="Q253" s="1"/>
      <c r="R253" s="1"/>
      <c r="S253" s="1"/>
      <c r="T253" s="1"/>
      <c r="U253" s="1"/>
      <c r="V253" s="1"/>
      <c r="W253" s="1"/>
      <c r="X253" s="1"/>
      <c r="Y253" s="1"/>
      <c r="Z253" s="1"/>
      <c r="AA253" s="1"/>
      <c r="AB253" s="1"/>
      <c r="AC253" s="1"/>
    </row>
    <row r="254" spans="1:29">
      <c r="A254" s="839" t="s">
        <v>175</v>
      </c>
      <c r="B254" s="844"/>
      <c r="C254" s="844"/>
      <c r="D254" s="844"/>
      <c r="E254" s="844"/>
      <c r="F254" s="844"/>
      <c r="G254" s="844"/>
      <c r="H254" s="680">
        <f>-R162</f>
        <v>-0.04</v>
      </c>
      <c r="I254" s="844" t="s">
        <v>108</v>
      </c>
      <c r="J254" s="844"/>
      <c r="K254" s="844"/>
      <c r="L254" s="1"/>
      <c r="M254" s="1"/>
      <c r="N254" s="1"/>
      <c r="O254" s="1"/>
      <c r="P254" s="1"/>
      <c r="Q254" s="1"/>
      <c r="R254" s="1"/>
      <c r="S254" s="1"/>
      <c r="T254" s="1"/>
      <c r="U254" s="1"/>
      <c r="V254" s="1"/>
      <c r="W254" s="1"/>
      <c r="X254" s="1"/>
      <c r="Y254" s="1"/>
      <c r="Z254" s="1"/>
      <c r="AA254" s="1"/>
      <c r="AB254" s="1"/>
      <c r="AC254" s="1"/>
    </row>
    <row r="255" spans="1:29">
      <c r="A255" s="839" t="s">
        <v>187</v>
      </c>
      <c r="B255" s="844"/>
      <c r="C255" s="844"/>
      <c r="D255" s="844"/>
      <c r="E255" s="844"/>
      <c r="F255" s="844"/>
      <c r="G255" s="844"/>
      <c r="H255" s="681">
        <v>0</v>
      </c>
      <c r="I255" s="844" t="s">
        <v>108</v>
      </c>
      <c r="J255" s="844"/>
      <c r="K255" s="844"/>
      <c r="L255" s="1"/>
      <c r="M255" s="1"/>
      <c r="N255" s="1"/>
      <c r="O255" s="1"/>
      <c r="P255" s="1"/>
      <c r="Q255" s="1"/>
      <c r="R255" s="1"/>
      <c r="S255" s="1"/>
      <c r="T255" s="1"/>
      <c r="U255" s="1"/>
      <c r="V255" s="1"/>
      <c r="W255" s="1"/>
      <c r="X255" s="1"/>
      <c r="Y255" s="1"/>
      <c r="Z255" s="1"/>
      <c r="AA255" s="1"/>
      <c r="AB255" s="1"/>
      <c r="AC255" s="1"/>
    </row>
    <row r="256" spans="1:29">
      <c r="A256" s="839" t="s">
        <v>17</v>
      </c>
      <c r="B256" s="844"/>
      <c r="C256" s="844"/>
      <c r="D256" s="844"/>
      <c r="E256" s="844"/>
      <c r="F256" s="844"/>
      <c r="G256" s="844"/>
      <c r="H256" s="680">
        <f>ROUND(-R164,4)</f>
        <v>-0.04</v>
      </c>
      <c r="I256" s="844" t="s">
        <v>108</v>
      </c>
      <c r="J256" s="844"/>
      <c r="K256" s="844"/>
      <c r="L256" s="1"/>
      <c r="M256" s="1"/>
      <c r="N256" s="1"/>
      <c r="O256" s="1"/>
      <c r="P256" s="1"/>
      <c r="Q256" s="1"/>
      <c r="R256" s="1"/>
      <c r="S256" s="1"/>
      <c r="T256" s="1"/>
      <c r="U256" s="1"/>
      <c r="V256" s="1"/>
      <c r="W256" s="1"/>
      <c r="X256" s="1"/>
      <c r="Y256" s="1"/>
      <c r="Z256" s="1"/>
      <c r="AA256" s="1"/>
      <c r="AB256" s="1"/>
      <c r="AC256" s="1"/>
    </row>
    <row r="257" spans="1:29">
      <c r="A257" s="839" t="s">
        <v>188</v>
      </c>
      <c r="B257" s="844"/>
      <c r="C257" s="844"/>
      <c r="D257" s="844"/>
      <c r="E257" s="844"/>
      <c r="F257" s="844"/>
      <c r="G257" s="844"/>
      <c r="H257" s="681">
        <v>0</v>
      </c>
      <c r="I257" s="844" t="s">
        <v>108</v>
      </c>
      <c r="J257" s="844"/>
      <c r="K257" s="844"/>
      <c r="L257" s="1"/>
      <c r="M257" s="1"/>
      <c r="N257" s="1"/>
      <c r="O257" s="1"/>
      <c r="P257" s="1"/>
      <c r="Q257" s="1"/>
      <c r="R257" s="1"/>
      <c r="S257" s="1"/>
      <c r="T257" s="1"/>
      <c r="U257" s="1"/>
      <c r="V257" s="1"/>
      <c r="W257" s="1"/>
      <c r="X257" s="1"/>
      <c r="Y257" s="1"/>
      <c r="Z257" s="1"/>
      <c r="AA257" s="1"/>
      <c r="AB257" s="1"/>
      <c r="AC257" s="1"/>
    </row>
    <row r="258" spans="1:29">
      <c r="A258" s="839" t="s">
        <v>189</v>
      </c>
      <c r="B258" s="844"/>
      <c r="C258" s="844"/>
      <c r="D258" s="844"/>
      <c r="E258" s="844"/>
      <c r="F258" s="844"/>
      <c r="G258" s="844"/>
      <c r="H258" s="682">
        <f>ROUND(SUM(H253:H257),4)</f>
        <v>-1.1499999999999999</v>
      </c>
      <c r="I258" s="844" t="s">
        <v>108</v>
      </c>
      <c r="J258" s="844"/>
      <c r="K258" s="844"/>
      <c r="L258" s="1"/>
      <c r="M258" s="1"/>
      <c r="N258" s="1"/>
      <c r="O258" s="1"/>
      <c r="P258" s="1"/>
      <c r="Q258" s="1"/>
      <c r="R258" s="1"/>
      <c r="S258" s="1"/>
      <c r="T258" s="1"/>
      <c r="U258" s="1"/>
      <c r="V258" s="1"/>
      <c r="W258" s="1"/>
      <c r="X258" s="1"/>
      <c r="Y258" s="1"/>
      <c r="Z258" s="1"/>
      <c r="AA258" s="1"/>
      <c r="AB258" s="1"/>
      <c r="AC258" s="1"/>
    </row>
    <row r="259" spans="1:29">
      <c r="A259" s="839"/>
      <c r="B259" s="844"/>
      <c r="C259" s="844"/>
      <c r="D259" s="844"/>
      <c r="E259" s="844"/>
      <c r="F259" s="844"/>
      <c r="G259" s="844"/>
      <c r="H259" s="592"/>
      <c r="I259" s="844"/>
      <c r="J259" s="844"/>
      <c r="K259" s="844"/>
      <c r="L259" s="1"/>
      <c r="M259" s="1"/>
      <c r="N259" s="1"/>
      <c r="O259" s="1"/>
      <c r="P259" s="1"/>
      <c r="Q259" s="1"/>
      <c r="R259" s="1"/>
      <c r="S259" s="1"/>
      <c r="T259" s="1"/>
      <c r="U259" s="1"/>
      <c r="V259" s="1"/>
      <c r="W259" s="1"/>
      <c r="X259" s="1"/>
      <c r="Y259" s="1"/>
      <c r="Z259" s="1"/>
      <c r="AA259" s="1"/>
      <c r="AB259" s="1"/>
      <c r="AC259" s="1"/>
    </row>
    <row r="260" spans="1:29">
      <c r="A260" s="839" t="s">
        <v>1</v>
      </c>
      <c r="B260" s="844"/>
      <c r="C260" s="844"/>
      <c r="D260" s="844"/>
      <c r="E260" s="844"/>
      <c r="F260" s="844"/>
      <c r="G260" s="844"/>
      <c r="H260" s="680">
        <f>ROUND(H250+H258,4)</f>
        <v>5.2328000000000001</v>
      </c>
      <c r="I260" s="844" t="s">
        <v>108</v>
      </c>
      <c r="J260" s="844"/>
      <c r="K260" s="844"/>
      <c r="L260" s="1"/>
      <c r="M260" s="1"/>
      <c r="N260" s="1"/>
      <c r="O260" s="1"/>
      <c r="P260" s="1"/>
      <c r="Q260" s="1"/>
      <c r="R260" s="1"/>
      <c r="S260" s="1"/>
      <c r="T260" s="1"/>
      <c r="U260" s="1"/>
      <c r="V260" s="1"/>
      <c r="W260" s="1"/>
      <c r="X260" s="1"/>
      <c r="Y260" s="1"/>
      <c r="Z260" s="1"/>
      <c r="AA260" s="1"/>
      <c r="AB260" s="1"/>
      <c r="AC260" s="1"/>
    </row>
    <row r="261" spans="1:29">
      <c r="A261" s="839"/>
      <c r="B261" s="844"/>
      <c r="C261" s="844"/>
      <c r="D261" s="844"/>
      <c r="E261" s="844"/>
      <c r="F261" s="844"/>
      <c r="G261" s="844"/>
      <c r="H261" s="592"/>
      <c r="I261" s="844"/>
      <c r="J261" s="844"/>
      <c r="K261" s="844"/>
      <c r="L261" s="1"/>
      <c r="M261" s="1"/>
      <c r="N261" s="1"/>
      <c r="O261" s="1"/>
      <c r="P261" s="1"/>
      <c r="Q261" s="1"/>
      <c r="R261" s="1"/>
      <c r="S261" s="1"/>
      <c r="T261" s="1"/>
      <c r="U261" s="1"/>
      <c r="V261" s="1"/>
      <c r="W261" s="1"/>
      <c r="X261" s="1"/>
      <c r="Y261" s="1"/>
      <c r="Z261" s="1"/>
      <c r="AA261" s="1"/>
      <c r="AB261" s="1"/>
      <c r="AC261" s="1"/>
    </row>
    <row r="262" spans="1:29">
      <c r="A262" s="839" t="s">
        <v>190</v>
      </c>
      <c r="B262" s="844"/>
      <c r="C262" s="844"/>
      <c r="D262" s="844"/>
      <c r="E262" s="844"/>
      <c r="F262" s="844"/>
      <c r="G262" s="844"/>
      <c r="H262" s="683">
        <f>ROUND(J166*100,4)</f>
        <v>46.5</v>
      </c>
      <c r="I262" s="844" t="s">
        <v>108</v>
      </c>
      <c r="J262" s="844"/>
      <c r="K262" s="844"/>
      <c r="L262" s="1"/>
      <c r="M262" s="1"/>
      <c r="N262" s="1"/>
      <c r="O262" s="1"/>
      <c r="P262" s="1"/>
      <c r="Q262" s="1"/>
      <c r="R262" s="1"/>
      <c r="S262" s="1"/>
      <c r="T262" s="1"/>
      <c r="U262" s="1"/>
      <c r="V262" s="1"/>
      <c r="W262" s="1"/>
      <c r="X262" s="1"/>
      <c r="Y262" s="1"/>
      <c r="Z262" s="1"/>
      <c r="AA262" s="1"/>
      <c r="AB262" s="1"/>
      <c r="AC262" s="1"/>
    </row>
    <row r="263" spans="1:29">
      <c r="A263" s="839"/>
      <c r="B263" s="844"/>
      <c r="C263" s="844"/>
      <c r="D263" s="844"/>
      <c r="E263" s="844"/>
      <c r="F263" s="844"/>
      <c r="G263" s="844"/>
      <c r="H263" s="592"/>
      <c r="I263" s="844"/>
      <c r="J263" s="844"/>
      <c r="K263" s="844"/>
      <c r="L263" s="1"/>
      <c r="M263" s="1"/>
      <c r="N263" s="1"/>
      <c r="O263" s="1"/>
      <c r="P263" s="1"/>
      <c r="Q263" s="1"/>
      <c r="R263" s="1"/>
      <c r="S263" s="1"/>
      <c r="T263" s="1"/>
      <c r="U263" s="1"/>
      <c r="V263" s="1"/>
      <c r="W263" s="1"/>
      <c r="X263" s="1"/>
      <c r="Y263" s="1"/>
      <c r="Z263" s="1"/>
      <c r="AA263" s="1"/>
      <c r="AB263" s="1"/>
      <c r="AC263" s="1"/>
    </row>
    <row r="264" spans="1:29" ht="13.5" thickBot="1">
      <c r="A264" s="839" t="s">
        <v>191</v>
      </c>
      <c r="B264" s="844"/>
      <c r="C264" s="844"/>
      <c r="D264" s="844"/>
      <c r="E264" s="844"/>
      <c r="F264" s="844"/>
      <c r="G264" s="844"/>
      <c r="H264" s="684">
        <f>ROUND((H260)/(H262/100),4)</f>
        <v>11.253299999999999</v>
      </c>
      <c r="I264" s="844" t="s">
        <v>108</v>
      </c>
      <c r="J264" s="844"/>
      <c r="K264" s="844"/>
      <c r="L264" s="1"/>
      <c r="M264" s="1"/>
      <c r="N264" s="1"/>
      <c r="O264" s="1"/>
      <c r="P264" s="1"/>
      <c r="Q264" s="1"/>
      <c r="R264" s="1"/>
      <c r="S264" s="1"/>
      <c r="T264" s="1"/>
      <c r="U264" s="1"/>
      <c r="V264" s="1"/>
      <c r="W264" s="1"/>
      <c r="X264" s="1"/>
      <c r="Y264" s="1"/>
      <c r="Z264" s="1"/>
      <c r="AA264" s="1"/>
      <c r="AB264" s="1"/>
      <c r="AC264" s="1"/>
    </row>
    <row r="265" spans="1:29" ht="13.5" thickTop="1">
      <c r="A265" s="839"/>
      <c r="B265" s="844"/>
      <c r="C265" s="844"/>
      <c r="D265" s="844"/>
      <c r="E265" s="844"/>
      <c r="F265" s="844"/>
      <c r="G265" s="844"/>
      <c r="H265" s="592"/>
      <c r="I265" s="844"/>
      <c r="J265" s="844"/>
      <c r="K265" s="844"/>
      <c r="L265" s="1"/>
      <c r="M265" s="1"/>
      <c r="N265" s="1"/>
      <c r="O265" s="1"/>
      <c r="P265" s="1"/>
      <c r="Q265" s="1"/>
      <c r="R265" s="1"/>
      <c r="S265" s="1"/>
      <c r="T265" s="1"/>
      <c r="U265" s="1"/>
      <c r="V265" s="1"/>
      <c r="W265" s="1"/>
      <c r="X265" s="1"/>
      <c r="Y265" s="1"/>
      <c r="Z265" s="1"/>
      <c r="AA265" s="1"/>
      <c r="AB265" s="1"/>
      <c r="AC265" s="1"/>
    </row>
    <row r="266" spans="1:29">
      <c r="A266" s="839"/>
      <c r="B266" s="844"/>
      <c r="C266" s="844"/>
      <c r="D266" s="844"/>
      <c r="E266" s="844"/>
      <c r="F266" s="844"/>
      <c r="G266" s="844"/>
      <c r="H266" s="592"/>
      <c r="I266" s="844"/>
      <c r="J266" s="844"/>
      <c r="K266" s="844"/>
      <c r="L266" s="1"/>
      <c r="M266" s="1"/>
      <c r="N266" s="1"/>
      <c r="O266" s="1"/>
      <c r="P266" s="1"/>
      <c r="Q266" s="1"/>
      <c r="R266" s="1"/>
      <c r="S266" s="1"/>
      <c r="T266" s="1"/>
      <c r="U266" s="1"/>
      <c r="V266" s="1"/>
      <c r="W266" s="1"/>
      <c r="X266" s="1"/>
      <c r="Y266" s="1"/>
      <c r="Z266" s="1"/>
      <c r="AA266" s="1"/>
      <c r="AB266" s="1"/>
      <c r="AC266" s="1"/>
    </row>
    <row r="267" spans="1:29">
      <c r="A267" s="839"/>
      <c r="B267" s="844"/>
      <c r="C267" s="844"/>
      <c r="D267" s="844"/>
      <c r="E267" s="844"/>
      <c r="F267" s="844"/>
      <c r="G267" s="844"/>
      <c r="H267" s="592"/>
      <c r="I267" s="844"/>
      <c r="J267" s="844"/>
      <c r="K267" s="844"/>
      <c r="L267" s="1"/>
      <c r="M267" s="1"/>
      <c r="N267" s="1"/>
      <c r="O267" s="1"/>
      <c r="P267" s="1"/>
      <c r="Q267" s="1"/>
      <c r="R267" s="1"/>
      <c r="S267" s="1"/>
      <c r="T267" s="1"/>
      <c r="U267" s="1"/>
      <c r="V267" s="1"/>
      <c r="W267" s="1"/>
      <c r="X267" s="1"/>
      <c r="Y267" s="1"/>
      <c r="Z267" s="1"/>
      <c r="AA267" s="1"/>
      <c r="AB267" s="1"/>
      <c r="AC267" s="1"/>
    </row>
    <row r="268" spans="1:29">
      <c r="A268" s="839"/>
      <c r="B268" s="844"/>
      <c r="C268" s="844"/>
      <c r="D268" s="844"/>
      <c r="E268" s="844"/>
      <c r="F268" s="844"/>
      <c r="G268" s="844"/>
      <c r="H268" s="592"/>
      <c r="I268" s="844"/>
      <c r="J268" s="844"/>
      <c r="K268" s="844"/>
      <c r="L268" s="1"/>
      <c r="M268" s="1"/>
      <c r="N268" s="1"/>
      <c r="O268" s="1"/>
      <c r="P268" s="1"/>
      <c r="Q268" s="1"/>
      <c r="R268" s="1"/>
      <c r="S268" s="1"/>
      <c r="T268" s="1"/>
      <c r="U268" s="1"/>
      <c r="V268" s="1"/>
      <c r="W268" s="1"/>
      <c r="X268" s="1"/>
      <c r="Y268" s="1"/>
      <c r="Z268" s="1"/>
      <c r="AA268" s="1"/>
      <c r="AB268" s="1"/>
      <c r="AC268" s="1"/>
    </row>
    <row r="269" spans="1:29">
      <c r="A269" s="850" t="s">
        <v>202</v>
      </c>
      <c r="B269" s="844"/>
      <c r="C269" s="844"/>
      <c r="D269" s="844"/>
      <c r="E269" s="844"/>
      <c r="F269" s="844"/>
      <c r="G269" s="844"/>
      <c r="H269" s="592"/>
      <c r="I269" s="844"/>
      <c r="J269" s="844"/>
      <c r="K269" s="844"/>
      <c r="L269" s="1"/>
      <c r="M269" s="1"/>
      <c r="N269" s="1"/>
      <c r="O269" s="1"/>
      <c r="P269" s="1"/>
      <c r="Q269" s="1"/>
      <c r="R269" s="1"/>
      <c r="S269" s="1"/>
      <c r="T269" s="1"/>
      <c r="U269" s="1"/>
      <c r="V269" s="1"/>
      <c r="W269" s="1"/>
      <c r="X269" s="1"/>
      <c r="Y269" s="1"/>
      <c r="Z269" s="1"/>
      <c r="AA269" s="1"/>
      <c r="AB269" s="1"/>
      <c r="AC269" s="1"/>
    </row>
    <row r="270" spans="1:29">
      <c r="A270" s="850" t="s">
        <v>193</v>
      </c>
      <c r="B270" s="844"/>
      <c r="C270" s="844"/>
      <c r="D270" s="844"/>
      <c r="E270" s="844"/>
      <c r="F270" s="844"/>
      <c r="G270" s="844"/>
      <c r="H270" s="592"/>
      <c r="I270" s="844"/>
      <c r="J270" s="844"/>
      <c r="K270" s="844"/>
      <c r="L270" s="1"/>
      <c r="M270" s="1"/>
      <c r="N270" s="1"/>
      <c r="O270" s="1"/>
      <c r="P270" s="1"/>
      <c r="Q270" s="1"/>
      <c r="R270" s="1"/>
      <c r="S270" s="1"/>
      <c r="T270" s="1"/>
      <c r="U270" s="1"/>
      <c r="V270" s="1"/>
      <c r="W270" s="1"/>
      <c r="X270" s="1"/>
      <c r="Y270" s="1"/>
      <c r="Z270" s="1"/>
      <c r="AA270" s="1"/>
      <c r="AB270" s="1"/>
      <c r="AC270" s="1"/>
    </row>
    <row r="271" spans="1:29">
      <c r="A271" s="839"/>
      <c r="B271" s="844"/>
      <c r="C271" s="844"/>
      <c r="D271" s="844"/>
      <c r="E271" s="844"/>
      <c r="F271" s="844"/>
      <c r="G271" s="844"/>
      <c r="H271" s="592"/>
      <c r="I271" s="844"/>
      <c r="J271" s="844"/>
      <c r="K271" s="844"/>
      <c r="L271" s="1"/>
      <c r="M271" s="1"/>
      <c r="N271" s="1"/>
      <c r="O271" s="1"/>
      <c r="P271" s="1"/>
      <c r="Q271" s="1"/>
      <c r="R271" s="1"/>
      <c r="S271" s="1"/>
      <c r="T271" s="1"/>
      <c r="U271" s="1"/>
      <c r="V271" s="1"/>
      <c r="W271" s="1"/>
      <c r="X271" s="1"/>
      <c r="Y271" s="1"/>
      <c r="Z271" s="1"/>
      <c r="AA271" s="1"/>
      <c r="AB271" s="1"/>
      <c r="AC271" s="1"/>
    </row>
    <row r="272" spans="1:29">
      <c r="A272" s="839"/>
      <c r="B272" s="844"/>
      <c r="C272" s="844"/>
      <c r="D272" s="844"/>
      <c r="E272" s="844"/>
      <c r="F272" s="844"/>
      <c r="G272" s="844"/>
      <c r="H272" s="592"/>
      <c r="I272" s="844"/>
      <c r="J272" s="844"/>
      <c r="K272" s="844"/>
      <c r="L272" s="1"/>
      <c r="M272" s="1"/>
      <c r="N272" s="1"/>
      <c r="O272" s="1"/>
      <c r="P272" s="1"/>
      <c r="Q272" s="1"/>
      <c r="R272" s="1"/>
      <c r="S272" s="1"/>
      <c r="T272" s="1"/>
      <c r="U272" s="1"/>
      <c r="V272" s="1"/>
      <c r="W272" s="1"/>
      <c r="X272" s="1"/>
      <c r="Y272" s="1"/>
      <c r="Z272" s="1"/>
      <c r="AA272" s="1"/>
      <c r="AB272" s="1"/>
      <c r="AC272" s="1"/>
    </row>
    <row r="273" spans="1:29">
      <c r="A273" s="839" t="s">
        <v>194</v>
      </c>
      <c r="B273" s="844"/>
      <c r="C273" s="844"/>
      <c r="D273" s="844"/>
      <c r="E273" s="844"/>
      <c r="F273" s="844"/>
      <c r="G273" s="844" t="s">
        <v>105</v>
      </c>
      <c r="H273" s="592">
        <f>V141+V130</f>
        <v>99115.941264781402</v>
      </c>
      <c r="I273" s="844"/>
      <c r="J273" s="844" t="s">
        <v>195</v>
      </c>
      <c r="K273" s="844"/>
      <c r="L273" s="1"/>
      <c r="M273" s="1"/>
      <c r="N273" s="1"/>
      <c r="O273" s="1"/>
      <c r="P273" s="1"/>
      <c r="Q273" s="1"/>
      <c r="R273" s="1"/>
      <c r="S273" s="1"/>
      <c r="T273" s="1"/>
      <c r="U273" s="1"/>
      <c r="V273" s="1"/>
      <c r="W273" s="1"/>
      <c r="X273" s="1"/>
      <c r="Y273" s="1"/>
      <c r="Z273" s="1"/>
      <c r="AA273" s="1"/>
      <c r="AB273" s="1"/>
      <c r="AC273" s="1"/>
    </row>
    <row r="274" spans="1:29">
      <c r="A274" s="839"/>
      <c r="B274" s="844"/>
      <c r="C274" s="844"/>
      <c r="D274" s="844"/>
      <c r="E274" s="844"/>
      <c r="F274" s="844"/>
      <c r="G274" s="844"/>
      <c r="H274" s="592"/>
      <c r="I274" s="844"/>
      <c r="J274" s="917"/>
      <c r="K274" s="844"/>
      <c r="L274" s="1"/>
      <c r="M274" s="1"/>
      <c r="N274" s="1"/>
      <c r="O274" s="1"/>
      <c r="P274" s="1"/>
      <c r="Q274" s="1"/>
      <c r="R274" s="1"/>
      <c r="S274" s="1"/>
      <c r="T274" s="1"/>
      <c r="U274" s="1"/>
      <c r="V274" s="1"/>
      <c r="W274" s="1"/>
      <c r="X274" s="1"/>
      <c r="Y274" s="1"/>
      <c r="Z274" s="1"/>
      <c r="AA274" s="1"/>
      <c r="AB274" s="1"/>
      <c r="AC274" s="1"/>
    </row>
    <row r="275" spans="1:29">
      <c r="A275" s="839" t="s">
        <v>196</v>
      </c>
      <c r="B275" s="844"/>
      <c r="C275" s="844"/>
      <c r="D275" s="844"/>
      <c r="E275" s="844"/>
      <c r="F275" s="844"/>
      <c r="G275" s="844" t="s">
        <v>105</v>
      </c>
      <c r="H275" s="591">
        <f>T92</f>
        <v>1596458.3853651336</v>
      </c>
      <c r="I275" s="844"/>
      <c r="J275" s="844" t="s">
        <v>197</v>
      </c>
      <c r="K275" s="844"/>
      <c r="L275" s="1"/>
      <c r="M275" s="1"/>
      <c r="N275" s="1"/>
      <c r="O275" s="1"/>
      <c r="P275" s="1"/>
      <c r="Q275" s="1"/>
      <c r="R275" s="1"/>
      <c r="S275" s="1"/>
      <c r="T275" s="1"/>
      <c r="U275" s="1"/>
      <c r="V275" s="1"/>
      <c r="W275" s="1"/>
      <c r="X275" s="1"/>
      <c r="Y275" s="1"/>
      <c r="Z275" s="1"/>
      <c r="AA275" s="1"/>
      <c r="AB275" s="1"/>
      <c r="AC275" s="1"/>
    </row>
    <row r="276" spans="1:29">
      <c r="A276" s="839"/>
      <c r="B276" s="844"/>
      <c r="C276" s="844"/>
      <c r="D276" s="844"/>
      <c r="E276" s="844"/>
      <c r="F276" s="844"/>
      <c r="G276" s="844"/>
      <c r="H276" s="592"/>
      <c r="I276" s="844"/>
      <c r="J276" s="844"/>
      <c r="K276" s="844"/>
      <c r="L276" s="1"/>
      <c r="M276" s="1"/>
      <c r="N276" s="1"/>
      <c r="O276" s="1"/>
      <c r="P276" s="1"/>
      <c r="Q276" s="1"/>
      <c r="R276" s="1"/>
      <c r="S276" s="1"/>
      <c r="T276" s="1"/>
      <c r="U276" s="1"/>
      <c r="V276" s="1"/>
      <c r="W276" s="1"/>
      <c r="X276" s="1"/>
      <c r="Y276" s="1"/>
      <c r="Z276" s="1"/>
      <c r="AA276" s="1"/>
      <c r="AB276" s="1"/>
      <c r="AC276" s="1"/>
    </row>
    <row r="277" spans="1:29">
      <c r="A277" s="839" t="s">
        <v>183</v>
      </c>
      <c r="B277" s="844"/>
      <c r="C277" s="844"/>
      <c r="D277" s="844"/>
      <c r="E277" s="844"/>
      <c r="F277" s="844"/>
      <c r="G277" s="844"/>
      <c r="H277" s="683">
        <f>(H273/H275)*100</f>
        <v>6.2084888759635355</v>
      </c>
      <c r="I277" s="844" t="s">
        <v>108</v>
      </c>
      <c r="J277" s="844"/>
      <c r="K277" s="844"/>
      <c r="L277" s="1"/>
      <c r="M277" s="1"/>
      <c r="N277" s="1"/>
      <c r="O277" s="1"/>
      <c r="P277" s="1"/>
      <c r="Q277" s="1"/>
      <c r="R277" s="1"/>
      <c r="S277" s="1"/>
      <c r="T277" s="1"/>
      <c r="U277" s="1"/>
      <c r="V277" s="1"/>
      <c r="W277" s="1"/>
      <c r="X277" s="1"/>
      <c r="Y277" s="1"/>
      <c r="Z277" s="1"/>
      <c r="AA277" s="1"/>
      <c r="AB277" s="1"/>
      <c r="AC277" s="1"/>
    </row>
    <row r="278" spans="1:29">
      <c r="A278" s="839" t="s">
        <v>185</v>
      </c>
      <c r="B278" s="844"/>
      <c r="C278" s="844"/>
      <c r="D278" s="844"/>
      <c r="E278" s="844"/>
      <c r="F278" s="844"/>
      <c r="G278" s="844"/>
      <c r="H278" s="592"/>
      <c r="I278" s="844"/>
      <c r="J278" s="844"/>
      <c r="K278" s="844"/>
      <c r="L278" s="1"/>
      <c r="M278" s="1"/>
      <c r="N278" s="1"/>
      <c r="O278" s="1"/>
      <c r="P278" s="1"/>
      <c r="Q278" s="1"/>
      <c r="R278" s="1"/>
      <c r="S278" s="1"/>
      <c r="T278" s="1"/>
      <c r="U278" s="1"/>
      <c r="V278" s="1"/>
      <c r="W278" s="1"/>
      <c r="X278" s="1"/>
      <c r="Y278" s="1"/>
      <c r="Z278" s="1"/>
      <c r="AA278" s="1"/>
      <c r="AB278" s="1"/>
      <c r="AC278" s="1"/>
    </row>
    <row r="279" spans="1:29">
      <c r="A279" s="839" t="s">
        <v>186</v>
      </c>
      <c r="B279" s="844"/>
      <c r="C279" s="844"/>
      <c r="D279" s="844"/>
      <c r="E279" s="844"/>
      <c r="F279" s="844"/>
      <c r="G279" s="844"/>
      <c r="H279" s="592"/>
      <c r="I279" s="844"/>
      <c r="J279" s="844"/>
      <c r="K279" s="844"/>
      <c r="L279" s="1"/>
      <c r="M279" s="1"/>
      <c r="N279" s="1"/>
      <c r="O279" s="1"/>
      <c r="P279" s="1"/>
      <c r="Q279" s="1"/>
      <c r="R279" s="1"/>
      <c r="S279" s="1"/>
      <c r="T279" s="1"/>
      <c r="U279" s="1"/>
      <c r="V279" s="1"/>
      <c r="W279" s="1"/>
      <c r="X279" s="1"/>
      <c r="Y279" s="1"/>
      <c r="Z279" s="1"/>
      <c r="AA279" s="1"/>
      <c r="AB279" s="1"/>
      <c r="AC279" s="1"/>
    </row>
    <row r="280" spans="1:29">
      <c r="A280" s="839" t="s">
        <v>174</v>
      </c>
      <c r="B280" s="844"/>
      <c r="C280" s="844"/>
      <c r="D280" s="844"/>
      <c r="E280" s="844"/>
      <c r="F280" s="844"/>
      <c r="G280" s="844"/>
      <c r="H280" s="680">
        <f>H253</f>
        <v>-1.07</v>
      </c>
      <c r="I280" s="844" t="s">
        <v>108</v>
      </c>
      <c r="J280" s="844"/>
      <c r="K280" s="844"/>
      <c r="L280" s="1"/>
      <c r="M280" s="1"/>
      <c r="N280" s="1"/>
      <c r="O280" s="1"/>
      <c r="P280" s="1"/>
      <c r="Q280" s="1"/>
      <c r="R280" s="1"/>
      <c r="S280" s="1"/>
      <c r="T280" s="1"/>
      <c r="U280" s="1"/>
      <c r="V280" s="1"/>
      <c r="W280" s="1"/>
      <c r="X280" s="1"/>
      <c r="Y280" s="1"/>
      <c r="Z280" s="1"/>
      <c r="AA280" s="1"/>
      <c r="AB280" s="1"/>
      <c r="AC280" s="1"/>
    </row>
    <row r="281" spans="1:29">
      <c r="A281" s="839" t="s">
        <v>175</v>
      </c>
      <c r="B281" s="844"/>
      <c r="C281" s="844"/>
      <c r="D281" s="844"/>
      <c r="E281" s="844"/>
      <c r="F281" s="844"/>
      <c r="G281" s="844"/>
      <c r="H281" s="680">
        <f>H254</f>
        <v>-0.04</v>
      </c>
      <c r="I281" s="844" t="s">
        <v>108</v>
      </c>
      <c r="J281" s="844"/>
      <c r="K281" s="844"/>
      <c r="L281" s="1"/>
      <c r="M281" s="1"/>
      <c r="N281" s="1"/>
      <c r="O281" s="1"/>
      <c r="P281" s="1"/>
      <c r="Q281" s="1"/>
      <c r="R281" s="1"/>
      <c r="S281" s="1"/>
      <c r="T281" s="1"/>
      <c r="U281" s="1"/>
      <c r="V281" s="1"/>
      <c r="W281" s="1"/>
      <c r="X281" s="1"/>
      <c r="Y281" s="1"/>
      <c r="Z281" s="1"/>
      <c r="AA281" s="1"/>
      <c r="AB281" s="1"/>
      <c r="AC281" s="1"/>
    </row>
    <row r="282" spans="1:29">
      <c r="A282" s="839" t="s">
        <v>187</v>
      </c>
      <c r="B282" s="844"/>
      <c r="C282" s="844"/>
      <c r="D282" s="844"/>
      <c r="E282" s="844"/>
      <c r="F282" s="844"/>
      <c r="G282" s="844"/>
      <c r="H282" s="680">
        <f>H255</f>
        <v>0</v>
      </c>
      <c r="I282" s="844" t="s">
        <v>108</v>
      </c>
      <c r="J282" s="844"/>
      <c r="K282" s="844"/>
      <c r="L282" s="1"/>
      <c r="M282" s="1"/>
      <c r="N282" s="1"/>
      <c r="O282" s="1"/>
      <c r="P282" s="1"/>
      <c r="Q282" s="1"/>
      <c r="R282" s="1"/>
      <c r="S282" s="1"/>
      <c r="T282" s="1"/>
      <c r="U282" s="1"/>
      <c r="V282" s="1"/>
      <c r="W282" s="1"/>
      <c r="X282" s="1"/>
      <c r="Y282" s="1"/>
      <c r="Z282" s="1"/>
      <c r="AA282" s="1"/>
      <c r="AB282" s="1"/>
      <c r="AC282" s="1"/>
    </row>
    <row r="283" spans="1:29">
      <c r="A283" s="839" t="s">
        <v>17</v>
      </c>
      <c r="B283" s="844"/>
      <c r="C283" s="844"/>
      <c r="D283" s="844"/>
      <c r="E283" s="844"/>
      <c r="F283" s="844"/>
      <c r="G283" s="844"/>
      <c r="H283" s="680">
        <f>H256</f>
        <v>-0.04</v>
      </c>
      <c r="I283" s="844" t="s">
        <v>108</v>
      </c>
      <c r="J283" s="844"/>
      <c r="K283" s="844"/>
      <c r="L283" s="1"/>
      <c r="M283" s="1"/>
      <c r="N283" s="1"/>
      <c r="O283" s="1"/>
      <c r="P283" s="1"/>
      <c r="Q283" s="1"/>
      <c r="R283" s="1"/>
      <c r="S283" s="1"/>
      <c r="T283" s="1"/>
      <c r="U283" s="1"/>
      <c r="V283" s="1"/>
      <c r="W283" s="1"/>
      <c r="X283" s="1"/>
      <c r="Y283" s="1"/>
      <c r="Z283" s="1"/>
      <c r="AA283" s="1"/>
      <c r="AB283" s="1"/>
      <c r="AC283" s="1"/>
    </row>
    <row r="284" spans="1:29">
      <c r="A284" s="839" t="s">
        <v>188</v>
      </c>
      <c r="B284" s="844"/>
      <c r="C284" s="844"/>
      <c r="D284" s="844"/>
      <c r="E284" s="844"/>
      <c r="F284" s="844"/>
      <c r="G284" s="844"/>
      <c r="H284" s="680">
        <f>H257</f>
        <v>0</v>
      </c>
      <c r="I284" s="844" t="s">
        <v>108</v>
      </c>
      <c r="J284" s="844"/>
      <c r="K284" s="844"/>
      <c r="L284" s="1"/>
      <c r="M284" s="1"/>
      <c r="N284" s="1"/>
      <c r="O284" s="1"/>
      <c r="P284" s="1"/>
      <c r="Q284" s="1"/>
      <c r="R284" s="1"/>
      <c r="S284" s="1"/>
      <c r="T284" s="1"/>
      <c r="U284" s="1"/>
      <c r="V284" s="1"/>
      <c r="W284" s="1"/>
      <c r="X284" s="1"/>
      <c r="Y284" s="1"/>
      <c r="Z284" s="1"/>
      <c r="AA284" s="1"/>
      <c r="AB284" s="1"/>
      <c r="AC284" s="1"/>
    </row>
    <row r="285" spans="1:29">
      <c r="A285" s="839" t="s">
        <v>189</v>
      </c>
      <c r="B285" s="844"/>
      <c r="C285" s="844"/>
      <c r="D285" s="844"/>
      <c r="E285" s="844"/>
      <c r="F285" s="844"/>
      <c r="G285" s="844"/>
      <c r="H285" s="682">
        <f>SUM(H280:H284)</f>
        <v>-1.1500000000000001</v>
      </c>
      <c r="I285" s="844" t="s">
        <v>108</v>
      </c>
      <c r="J285" s="844"/>
      <c r="K285" s="844"/>
      <c r="L285" s="1"/>
      <c r="M285" s="1"/>
      <c r="N285" s="1"/>
      <c r="O285" s="1"/>
      <c r="P285" s="1"/>
      <c r="Q285" s="1"/>
      <c r="R285" s="1"/>
      <c r="S285" s="1"/>
      <c r="T285" s="1"/>
      <c r="U285" s="1"/>
      <c r="V285" s="1"/>
      <c r="W285" s="1"/>
      <c r="X285" s="1"/>
      <c r="Y285" s="1"/>
      <c r="Z285" s="1"/>
      <c r="AA285" s="1"/>
      <c r="AB285" s="1"/>
      <c r="AC285" s="1"/>
    </row>
    <row r="286" spans="1:29">
      <c r="A286" s="839"/>
      <c r="B286" s="844"/>
      <c r="C286" s="844"/>
      <c r="D286" s="844"/>
      <c r="E286" s="844"/>
      <c r="F286" s="844"/>
      <c r="G286" s="844"/>
      <c r="H286" s="592"/>
      <c r="I286" s="844"/>
      <c r="J286" s="844"/>
      <c r="K286" s="844"/>
      <c r="L286" s="1"/>
      <c r="M286" s="1"/>
      <c r="N286" s="1"/>
      <c r="O286" s="1"/>
      <c r="P286" s="1"/>
      <c r="Q286" s="1"/>
      <c r="R286" s="1"/>
      <c r="S286" s="1"/>
      <c r="T286" s="1"/>
      <c r="U286" s="1"/>
      <c r="V286" s="1"/>
      <c r="W286" s="1"/>
      <c r="X286" s="1"/>
      <c r="Y286" s="1"/>
      <c r="Z286" s="1"/>
      <c r="AA286" s="1"/>
      <c r="AB286" s="1"/>
      <c r="AC286" s="1"/>
    </row>
    <row r="287" spans="1:29">
      <c r="A287" s="839" t="s">
        <v>1</v>
      </c>
      <c r="B287" s="844"/>
      <c r="C287" s="844"/>
      <c r="D287" s="844"/>
      <c r="E287" s="844"/>
      <c r="F287" s="844"/>
      <c r="G287" s="844"/>
      <c r="H287" s="680">
        <f>H277+H285</f>
        <v>5.0584888759635351</v>
      </c>
      <c r="I287" s="844" t="s">
        <v>108</v>
      </c>
      <c r="J287" s="844"/>
      <c r="K287" s="844"/>
      <c r="L287" s="1"/>
      <c r="M287" s="1"/>
      <c r="N287" s="1"/>
      <c r="O287" s="1"/>
      <c r="P287" s="1"/>
      <c r="Q287" s="1"/>
      <c r="R287" s="1"/>
      <c r="S287" s="1"/>
      <c r="T287" s="1"/>
      <c r="U287" s="1"/>
      <c r="V287" s="1"/>
      <c r="W287" s="1"/>
      <c r="X287" s="1"/>
      <c r="Y287" s="1"/>
      <c r="Z287" s="1"/>
      <c r="AA287" s="1"/>
      <c r="AB287" s="1"/>
      <c r="AC287" s="1"/>
    </row>
    <row r="288" spans="1:29">
      <c r="A288" s="839"/>
      <c r="B288" s="844"/>
      <c r="C288" s="844"/>
      <c r="D288" s="844"/>
      <c r="E288" s="844"/>
      <c r="F288" s="844"/>
      <c r="G288" s="844"/>
      <c r="H288" s="592"/>
      <c r="I288" s="844"/>
      <c r="J288" s="844"/>
      <c r="K288" s="844"/>
      <c r="L288" s="1"/>
      <c r="M288" s="1"/>
      <c r="N288" s="1"/>
      <c r="O288" s="1"/>
      <c r="P288" s="1"/>
      <c r="Q288" s="1"/>
      <c r="R288" s="1"/>
      <c r="S288" s="1"/>
      <c r="T288" s="1"/>
      <c r="U288" s="1"/>
      <c r="V288" s="1"/>
      <c r="W288" s="1"/>
      <c r="X288" s="1"/>
      <c r="Y288" s="1"/>
      <c r="Z288" s="1"/>
      <c r="AA288" s="1"/>
      <c r="AB288" s="1"/>
      <c r="AC288" s="1"/>
    </row>
    <row r="289" spans="1:29">
      <c r="A289" s="839" t="s">
        <v>190</v>
      </c>
      <c r="B289" s="844"/>
      <c r="C289" s="844"/>
      <c r="D289" s="844"/>
      <c r="E289" s="844"/>
      <c r="F289" s="844"/>
      <c r="G289" s="844"/>
      <c r="H289" s="683">
        <f>H262</f>
        <v>46.5</v>
      </c>
      <c r="I289" s="844" t="s">
        <v>108</v>
      </c>
      <c r="J289" s="844"/>
      <c r="K289" s="844"/>
      <c r="L289" s="1"/>
      <c r="M289" s="1"/>
      <c r="N289" s="1"/>
      <c r="O289" s="1"/>
      <c r="P289" s="1"/>
      <c r="Q289" s="1"/>
      <c r="R289" s="1"/>
      <c r="S289" s="1"/>
      <c r="T289" s="1"/>
      <c r="U289" s="1"/>
      <c r="V289" s="1"/>
      <c r="W289" s="1"/>
      <c r="X289" s="1"/>
      <c r="Y289" s="1"/>
      <c r="Z289" s="1"/>
      <c r="AA289" s="1"/>
      <c r="AB289" s="1"/>
      <c r="AC289" s="1"/>
    </row>
    <row r="290" spans="1:29">
      <c r="A290" s="839"/>
      <c r="B290" s="844"/>
      <c r="C290" s="844"/>
      <c r="D290" s="844"/>
      <c r="E290" s="844"/>
      <c r="F290" s="844"/>
      <c r="G290" s="844"/>
      <c r="H290" s="592"/>
      <c r="I290" s="844"/>
      <c r="J290" s="844"/>
      <c r="K290" s="844"/>
      <c r="L290" s="1"/>
      <c r="M290" s="1"/>
      <c r="N290" s="1"/>
      <c r="O290" s="1"/>
      <c r="P290" s="1"/>
      <c r="Q290" s="1"/>
      <c r="R290" s="1"/>
      <c r="S290" s="1"/>
      <c r="T290" s="1"/>
      <c r="U290" s="1"/>
      <c r="V290" s="1"/>
      <c r="W290" s="1"/>
      <c r="X290" s="1"/>
      <c r="Y290" s="1"/>
      <c r="Z290" s="1"/>
      <c r="AA290" s="1"/>
      <c r="AB290" s="1"/>
      <c r="AC290" s="1"/>
    </row>
    <row r="291" spans="1:29" ht="13.5" thickBot="1">
      <c r="A291" s="839" t="s">
        <v>191</v>
      </c>
      <c r="B291" s="844"/>
      <c r="C291" s="844"/>
      <c r="D291" s="844"/>
      <c r="E291" s="844"/>
      <c r="F291" s="844"/>
      <c r="G291" s="844"/>
      <c r="H291" s="684">
        <f>(H287)/(H289/100)</f>
        <v>10.87847070099685</v>
      </c>
      <c r="I291" s="844" t="s">
        <v>108</v>
      </c>
      <c r="J291" s="844"/>
      <c r="K291" s="844"/>
      <c r="L291" s="1"/>
      <c r="M291" s="1"/>
      <c r="N291" s="1"/>
      <c r="O291" s="1"/>
      <c r="P291" s="1"/>
      <c r="Q291" s="1"/>
      <c r="R291" s="1"/>
      <c r="S291" s="1"/>
      <c r="T291" s="1"/>
      <c r="U291" s="1"/>
      <c r="V291" s="1"/>
      <c r="W291" s="1"/>
      <c r="X291" s="1"/>
      <c r="Y291" s="1"/>
      <c r="Z291" s="1"/>
      <c r="AA291" s="1"/>
      <c r="AB291" s="1"/>
      <c r="AC291" s="1"/>
    </row>
    <row r="292" spans="1:29" ht="13.5" thickTop="1"/>
    <row r="363" spans="1:15">
      <c r="A363" s="839"/>
      <c r="B363" s="1"/>
      <c r="C363" s="1"/>
      <c r="D363" s="1"/>
      <c r="E363" s="1"/>
      <c r="F363" s="1"/>
      <c r="G363" s="1"/>
      <c r="H363" s="1"/>
      <c r="I363" s="1"/>
      <c r="J363" s="1"/>
      <c r="K363" s="1"/>
      <c r="L363" s="1"/>
      <c r="M363" s="1"/>
      <c r="N363" s="1"/>
      <c r="O363" s="1"/>
    </row>
    <row r="364" spans="1:15">
      <c r="A364" s="839"/>
      <c r="B364" s="1"/>
      <c r="C364" s="1"/>
      <c r="D364" s="1"/>
      <c r="E364" s="1"/>
      <c r="F364" s="1"/>
      <c r="G364" s="1"/>
      <c r="H364" s="1"/>
      <c r="I364" s="1"/>
      <c r="J364" s="1"/>
      <c r="K364" s="1"/>
      <c r="L364" s="1"/>
      <c r="M364" s="1"/>
      <c r="N364" s="1"/>
      <c r="O364" s="1"/>
    </row>
    <row r="365" spans="1:15">
      <c r="A365" s="839"/>
      <c r="B365" s="1"/>
      <c r="C365" s="1"/>
      <c r="D365" s="1"/>
      <c r="E365" s="1"/>
      <c r="F365" s="1"/>
      <c r="G365" s="1"/>
      <c r="H365" s="1"/>
      <c r="I365" s="1"/>
      <c r="J365" s="1"/>
      <c r="K365" s="1"/>
      <c r="L365" s="1"/>
      <c r="M365" s="1"/>
      <c r="N365" s="1"/>
      <c r="O365" s="1"/>
    </row>
    <row r="366" spans="1:15">
      <c r="A366" s="839"/>
      <c r="B366" s="1"/>
      <c r="C366" s="1"/>
      <c r="D366" s="1"/>
      <c r="E366" s="1"/>
      <c r="F366" s="1"/>
      <c r="G366" s="1"/>
      <c r="H366" s="1"/>
      <c r="I366" s="1"/>
      <c r="J366" s="1"/>
      <c r="K366" s="1"/>
      <c r="L366" s="1"/>
      <c r="M366" s="1"/>
      <c r="N366" s="1"/>
      <c r="O366" s="1"/>
    </row>
    <row r="367" spans="1:15">
      <c r="A367" s="839"/>
      <c r="B367" s="1"/>
      <c r="C367" s="1"/>
      <c r="D367" s="1"/>
      <c r="E367" s="1"/>
      <c r="F367" s="1"/>
      <c r="G367" s="1"/>
      <c r="H367" s="1"/>
      <c r="I367" s="1"/>
      <c r="J367" s="1"/>
      <c r="K367" s="1"/>
      <c r="L367" s="1"/>
      <c r="M367" s="1"/>
      <c r="N367" s="1"/>
      <c r="O367" s="1"/>
    </row>
    <row r="368" spans="1:15">
      <c r="A368" s="839"/>
      <c r="B368" s="1"/>
      <c r="C368" s="1"/>
      <c r="D368" s="1"/>
      <c r="E368" s="1"/>
      <c r="F368" s="1"/>
      <c r="G368" s="1"/>
      <c r="H368" s="1"/>
      <c r="I368" s="1"/>
      <c r="J368" s="1"/>
      <c r="K368" s="1"/>
      <c r="L368" s="1"/>
      <c r="M368" s="1"/>
      <c r="N368" s="1"/>
      <c r="O368" s="1"/>
    </row>
    <row r="369" spans="1:15">
      <c r="A369" s="839"/>
      <c r="B369" s="1"/>
      <c r="C369" s="1"/>
      <c r="D369" s="1"/>
      <c r="E369" s="1"/>
      <c r="F369" s="1"/>
      <c r="G369" s="1"/>
      <c r="H369" s="1"/>
      <c r="I369" s="1"/>
      <c r="J369" s="1"/>
      <c r="K369" s="1"/>
      <c r="L369" s="1"/>
      <c r="M369" s="1"/>
      <c r="N369" s="1"/>
      <c r="O369" s="1"/>
    </row>
    <row r="370" spans="1:15">
      <c r="A370" s="839"/>
      <c r="B370" s="1"/>
      <c r="C370" s="1"/>
      <c r="D370" s="1"/>
      <c r="E370" s="1"/>
      <c r="F370" s="1"/>
      <c r="G370" s="1"/>
      <c r="H370" s="1"/>
      <c r="I370" s="1"/>
      <c r="J370" s="1"/>
      <c r="K370" s="1"/>
      <c r="L370" s="1"/>
      <c r="M370" s="1"/>
      <c r="N370" s="1"/>
      <c r="O370" s="1"/>
    </row>
    <row r="371" spans="1:15">
      <c r="A371" s="839"/>
      <c r="B371" s="1"/>
      <c r="C371" s="1"/>
      <c r="D371" s="1"/>
      <c r="E371" s="1"/>
      <c r="F371" s="1"/>
      <c r="G371" s="1"/>
      <c r="H371" s="1"/>
      <c r="I371" s="1"/>
      <c r="J371" s="1"/>
      <c r="K371" s="1"/>
      <c r="L371" s="1"/>
      <c r="M371" s="1"/>
      <c r="N371" s="1"/>
      <c r="O371" s="1"/>
    </row>
  </sheetData>
  <printOptions horizontalCentered="1"/>
  <pageMargins left="0.25" right="0.25" top="0.75" bottom="0.75" header="0.3" footer="0.3"/>
  <pageSetup scale="73" orientation="landscape" blackAndWhite="1" r:id="rId1"/>
  <headerFooter alignWithMargins="0"/>
  <customProperties>
    <customPr name="EpmWorksheetKeyString_GUID" r:id="rId2"/>
  </customPropertie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
  <sheetViews>
    <sheetView workbookViewId="0"/>
  </sheetViews>
  <sheetFormatPr defaultRowHeight="12.75"/>
  <sheetData/>
  <pageMargins left="0.7" right="0.7" top="0.75" bottom="0.75" header="0.3" footer="0.3"/>
  <pageSetup orientation="portrait" r:id="rId1"/>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Q48"/>
  <sheetViews>
    <sheetView workbookViewId="0">
      <selection activeCell="F114" sqref="F114"/>
    </sheetView>
  </sheetViews>
  <sheetFormatPr defaultColWidth="8.42578125" defaultRowHeight="12.75"/>
  <cols>
    <col min="1" max="1" width="36" customWidth="1"/>
    <col min="2" max="2" width="14.5703125" customWidth="1"/>
    <col min="3" max="3" width="13.85546875" customWidth="1"/>
    <col min="4" max="4" width="10.5703125" customWidth="1"/>
    <col min="5" max="5" width="12.5703125" customWidth="1"/>
    <col min="6" max="12" width="10.5703125" customWidth="1"/>
    <col min="14" max="14" width="9.85546875" bestFit="1" customWidth="1"/>
    <col min="15" max="15" width="24.85546875" bestFit="1" customWidth="1"/>
    <col min="20" max="20" width="31.5703125" bestFit="1" customWidth="1"/>
    <col min="22" max="22" width="23.42578125" bestFit="1" customWidth="1"/>
    <col min="25" max="25" width="16.42578125" bestFit="1" customWidth="1"/>
  </cols>
  <sheetData>
    <row r="1" spans="1:14">
      <c r="A1" t="s">
        <v>468</v>
      </c>
    </row>
    <row r="2" spans="1:14">
      <c r="A2" t="s">
        <v>60</v>
      </c>
    </row>
    <row r="3" spans="1:14">
      <c r="A3" s="918" t="s">
        <v>205</v>
      </c>
      <c r="B3" s="36" t="str">
        <f>+Report!A3</f>
        <v>December 2022</v>
      </c>
      <c r="C3" s="1"/>
      <c r="D3" s="1"/>
      <c r="E3" s="1"/>
      <c r="F3" s="1"/>
      <c r="G3" s="1"/>
      <c r="H3" s="1"/>
      <c r="I3" s="1"/>
      <c r="J3" s="1"/>
      <c r="K3" s="1"/>
      <c r="L3" s="1"/>
      <c r="M3" s="1"/>
      <c r="N3" s="1"/>
    </row>
    <row r="5" spans="1:14" ht="13.5" thickBot="1"/>
    <row r="6" spans="1:14" ht="16.5" thickBot="1">
      <c r="A6" s="1"/>
      <c r="B6" s="1"/>
      <c r="C6" s="1"/>
      <c r="D6" s="919" t="s">
        <v>206</v>
      </c>
      <c r="E6" s="920"/>
      <c r="F6" s="920"/>
      <c r="G6" s="920"/>
      <c r="H6" s="920"/>
      <c r="I6" s="920"/>
      <c r="J6" s="921"/>
      <c r="K6" s="921"/>
      <c r="L6" s="1"/>
      <c r="M6" s="1"/>
      <c r="N6" s="1"/>
    </row>
    <row r="7" spans="1:14">
      <c r="D7" s="922"/>
      <c r="E7" s="922"/>
      <c r="F7" s="922"/>
      <c r="G7" s="922"/>
      <c r="H7" s="922"/>
      <c r="I7" s="922"/>
      <c r="J7" s="210" t="s">
        <v>2333</v>
      </c>
      <c r="K7" s="210" t="s">
        <v>2334</v>
      </c>
    </row>
    <row r="8" spans="1:14">
      <c r="A8" s="1"/>
      <c r="B8" s="923" t="s">
        <v>22</v>
      </c>
      <c r="C8" s="1"/>
      <c r="D8" s="923" t="s">
        <v>62</v>
      </c>
      <c r="E8" s="923" t="s">
        <v>63</v>
      </c>
      <c r="F8" s="923" t="s">
        <v>64</v>
      </c>
      <c r="G8" s="923" t="s">
        <v>65</v>
      </c>
      <c r="H8" s="923" t="s">
        <v>66</v>
      </c>
      <c r="I8" s="923" t="s">
        <v>67</v>
      </c>
      <c r="J8" s="923" t="s">
        <v>68</v>
      </c>
      <c r="K8" s="923" t="s">
        <v>68</v>
      </c>
      <c r="L8" s="923" t="s">
        <v>69</v>
      </c>
      <c r="M8" s="1"/>
      <c r="N8" s="1"/>
    </row>
    <row r="9" spans="1:14">
      <c r="A9" s="1"/>
      <c r="B9" s="924"/>
      <c r="C9" s="1"/>
      <c r="D9" s="488"/>
      <c r="E9" s="488"/>
      <c r="F9" s="488"/>
      <c r="G9" s="488"/>
      <c r="H9" s="488"/>
      <c r="I9" s="488"/>
      <c r="J9" s="488"/>
      <c r="K9" s="488"/>
      <c r="L9" s="488"/>
      <c r="M9" s="1"/>
      <c r="N9" s="1"/>
    </row>
    <row r="10" spans="1:14">
      <c r="A10" s="925" t="s">
        <v>2509</v>
      </c>
      <c r="B10" s="1"/>
      <c r="C10" s="1"/>
      <c r="D10" s="481"/>
      <c r="E10" s="481"/>
      <c r="F10" s="481"/>
      <c r="G10" s="481"/>
      <c r="H10" s="481"/>
      <c r="I10" s="481"/>
      <c r="J10" s="481"/>
      <c r="K10" s="481"/>
      <c r="L10" s="490">
        <f>+'Report YE'!B171</f>
        <v>1762033.3362700001</v>
      </c>
      <c r="M10" s="481"/>
      <c r="N10" s="481"/>
    </row>
    <row r="11" spans="1:14">
      <c r="D11" s="478"/>
      <c r="E11" s="478"/>
      <c r="F11" s="478"/>
      <c r="G11" s="478"/>
      <c r="H11" s="478"/>
      <c r="I11" s="478"/>
      <c r="J11" s="478"/>
      <c r="K11" s="478"/>
      <c r="L11" s="478"/>
      <c r="M11" s="478"/>
      <c r="N11" s="478"/>
    </row>
    <row r="12" spans="1:14">
      <c r="A12" s="4" t="s">
        <v>70</v>
      </c>
      <c r="D12" s="478"/>
      <c r="E12" s="478"/>
      <c r="F12" s="478"/>
      <c r="G12" s="478"/>
      <c r="H12" s="478"/>
      <c r="I12" s="478"/>
      <c r="J12" s="478"/>
      <c r="K12" s="478"/>
      <c r="L12" s="478"/>
      <c r="M12" s="478"/>
      <c r="N12" s="478"/>
    </row>
    <row r="13" spans="1:14">
      <c r="D13" s="478"/>
      <c r="E13" s="478"/>
      <c r="F13" s="478"/>
      <c r="G13" s="478"/>
      <c r="H13" s="478"/>
      <c r="I13" s="478"/>
      <c r="J13" s="478"/>
      <c r="K13" s="478"/>
      <c r="L13" s="478"/>
      <c r="M13" s="478"/>
      <c r="N13" s="478"/>
    </row>
    <row r="14" spans="1:14">
      <c r="A14" s="1" t="s">
        <v>5</v>
      </c>
      <c r="B14" s="1"/>
      <c r="C14" s="1"/>
      <c r="D14" s="492">
        <f>-Reconcil!B68</f>
        <v>0</v>
      </c>
      <c r="E14" s="492"/>
      <c r="F14" s="492"/>
      <c r="G14" s="492"/>
      <c r="H14" s="492"/>
      <c r="I14" s="492"/>
      <c r="J14" s="492"/>
      <c r="K14" s="492"/>
      <c r="L14" s="492">
        <f t="shared" ref="L14:L41" si="0">SUM(D14:K14)</f>
        <v>0</v>
      </c>
      <c r="M14" s="492"/>
      <c r="N14" s="492"/>
    </row>
    <row r="15" spans="1:14">
      <c r="A15" s="1" t="s">
        <v>71</v>
      </c>
      <c r="B15" s="1"/>
      <c r="C15" s="1"/>
      <c r="D15" s="493"/>
      <c r="E15" s="493"/>
      <c r="F15" s="493"/>
      <c r="G15" s="493">
        <f>-Reconcil!B67</f>
        <v>-1027.7767200000001</v>
      </c>
      <c r="H15" s="493"/>
      <c r="I15" s="493"/>
      <c r="J15" s="493"/>
      <c r="K15" s="493"/>
      <c r="L15" s="493">
        <f t="shared" si="0"/>
        <v>-1027.7767200000001</v>
      </c>
      <c r="M15" s="492"/>
      <c r="N15" s="492"/>
    </row>
    <row r="16" spans="1:14">
      <c r="A16" s="1" t="s">
        <v>72</v>
      </c>
      <c r="B16" s="1"/>
      <c r="C16" s="1"/>
      <c r="D16" s="493"/>
      <c r="E16" s="493"/>
      <c r="F16" s="493"/>
      <c r="G16" s="493"/>
      <c r="H16" s="493"/>
      <c r="I16" s="493"/>
      <c r="J16" s="493"/>
      <c r="K16" s="493"/>
      <c r="L16" s="493">
        <f t="shared" si="0"/>
        <v>0</v>
      </c>
      <c r="M16" s="492"/>
      <c r="N16" s="492"/>
    </row>
    <row r="17" spans="1:17">
      <c r="A17" s="1" t="s">
        <v>73</v>
      </c>
      <c r="B17" s="1"/>
      <c r="C17" s="1"/>
      <c r="D17" s="493"/>
      <c r="E17" s="493"/>
      <c r="F17" s="493"/>
      <c r="G17" s="493"/>
      <c r="H17" s="493"/>
      <c r="I17" s="493"/>
      <c r="J17" s="493"/>
      <c r="K17" s="493">
        <f>-Reconcil!$B$76</f>
        <v>-2.95</v>
      </c>
      <c r="L17" s="493">
        <f t="shared" si="0"/>
        <v>-2.95</v>
      </c>
      <c r="M17" s="492"/>
      <c r="N17" s="492"/>
    </row>
    <row r="18" spans="1:17">
      <c r="A18" s="1" t="s">
        <v>6</v>
      </c>
      <c r="B18" s="1"/>
      <c r="C18" s="1"/>
      <c r="D18" s="493"/>
      <c r="E18" s="493"/>
      <c r="F18" s="493"/>
      <c r="G18" s="493">
        <f>-Reconcil!B77</f>
        <v>0</v>
      </c>
      <c r="H18" s="493"/>
      <c r="I18" s="493"/>
      <c r="J18" s="493"/>
      <c r="K18" s="493"/>
      <c r="L18" s="493">
        <f t="shared" si="0"/>
        <v>0</v>
      </c>
      <c r="M18" s="492"/>
      <c r="N18" s="492"/>
    </row>
    <row r="19" spans="1:17">
      <c r="A19" s="1" t="s">
        <v>74</v>
      </c>
      <c r="B19" s="1"/>
      <c r="C19" s="1"/>
      <c r="D19" s="493"/>
      <c r="E19" s="493"/>
      <c r="F19" s="493"/>
      <c r="G19" s="493"/>
      <c r="H19" s="493"/>
      <c r="I19" s="493"/>
      <c r="J19" s="493"/>
      <c r="K19" s="493">
        <f>-Reconcil!B79</f>
        <v>-4473.6198099999992</v>
      </c>
      <c r="L19" s="493">
        <f t="shared" si="0"/>
        <v>-4473.6198099999992</v>
      </c>
      <c r="M19" s="492"/>
      <c r="N19" s="492"/>
    </row>
    <row r="20" spans="1:17">
      <c r="A20" s="1" t="s">
        <v>75</v>
      </c>
      <c r="B20" s="1"/>
      <c r="C20" s="1"/>
      <c r="D20" s="493"/>
      <c r="E20" s="493"/>
      <c r="F20" s="493"/>
      <c r="G20" s="493"/>
      <c r="H20" s="493"/>
      <c r="I20" s="493"/>
      <c r="J20" s="493"/>
      <c r="K20" s="493"/>
      <c r="L20" s="493">
        <f t="shared" si="0"/>
        <v>0</v>
      </c>
      <c r="M20" s="492"/>
      <c r="N20" s="492"/>
    </row>
    <row r="21" spans="1:17">
      <c r="A21" s="1" t="s">
        <v>76</v>
      </c>
      <c r="B21" s="1"/>
      <c r="C21" s="1"/>
      <c r="D21" s="493"/>
      <c r="E21" s="493"/>
      <c r="F21" s="493"/>
      <c r="G21" s="493"/>
      <c r="H21" s="493"/>
      <c r="I21" s="493"/>
      <c r="J21" s="493"/>
      <c r="K21" s="493">
        <f>-Reconcil!B81</f>
        <v>-9985.2147299999997</v>
      </c>
      <c r="L21" s="493">
        <f t="shared" si="0"/>
        <v>-9985.2147299999997</v>
      </c>
      <c r="M21" s="492"/>
      <c r="N21" s="492"/>
    </row>
    <row r="22" spans="1:17">
      <c r="A22" s="1" t="s">
        <v>77</v>
      </c>
      <c r="B22" s="1"/>
      <c r="C22" s="1"/>
      <c r="D22" s="493"/>
      <c r="E22" s="493"/>
      <c r="F22" s="493"/>
      <c r="G22" s="493"/>
      <c r="H22" s="493"/>
      <c r="I22" s="493"/>
      <c r="J22" s="493"/>
      <c r="K22" s="493"/>
      <c r="L22" s="493">
        <f t="shared" si="0"/>
        <v>0</v>
      </c>
      <c r="M22" s="492"/>
      <c r="N22" s="492"/>
    </row>
    <row r="23" spans="1:17">
      <c r="A23" s="1" t="s">
        <v>78</v>
      </c>
      <c r="B23" s="1"/>
      <c r="C23" s="1"/>
      <c r="D23" s="493">
        <f>-Reconcil!B92</f>
        <v>-4248.9452799999999</v>
      </c>
      <c r="E23" s="493"/>
      <c r="F23" s="493"/>
      <c r="G23" s="493"/>
      <c r="H23" s="493"/>
      <c r="I23" s="493"/>
      <c r="J23" s="493"/>
      <c r="K23" s="493"/>
      <c r="L23" s="493">
        <f t="shared" si="0"/>
        <v>-4248.9452799999999</v>
      </c>
      <c r="M23" s="492"/>
      <c r="N23" s="492"/>
    </row>
    <row r="24" spans="1:17">
      <c r="A24" s="1" t="s">
        <v>79</v>
      </c>
      <c r="B24" s="1"/>
      <c r="C24" s="1"/>
      <c r="D24" s="493"/>
      <c r="E24" s="493"/>
      <c r="F24" s="493"/>
      <c r="G24" s="493"/>
      <c r="H24" s="719">
        <f>-Reconcil!B99*'Input Tax Rate'!$B$36</f>
        <v>-214.66019729799999</v>
      </c>
      <c r="I24" s="493"/>
      <c r="J24" s="493"/>
      <c r="K24" s="721">
        <f>-Reconcil!B99*'Input Tax Rate'!$B$37</f>
        <v>-632.29264270199997</v>
      </c>
      <c r="L24" s="493">
        <f t="shared" si="0"/>
        <v>-846.95283999999992</v>
      </c>
      <c r="M24" s="492"/>
      <c r="N24" s="492"/>
    </row>
    <row r="25" spans="1:17">
      <c r="A25" s="690" t="s">
        <v>80</v>
      </c>
      <c r="B25" s="1"/>
      <c r="C25" s="1"/>
      <c r="D25" s="493"/>
      <c r="E25" s="493"/>
      <c r="F25" s="493"/>
      <c r="G25" s="493"/>
      <c r="H25" s="493"/>
      <c r="I25" s="493"/>
      <c r="J25" s="493"/>
      <c r="K25" s="493">
        <f>IF(Reconcil!$B$100&gt;0,Reconcil!$B$100*-1,0)</f>
        <v>-12048.953949999999</v>
      </c>
      <c r="L25" s="493">
        <f t="shared" si="0"/>
        <v>-12048.953949999999</v>
      </c>
      <c r="M25" s="492"/>
      <c r="N25" s="492"/>
    </row>
    <row r="26" spans="1:17">
      <c r="A26" s="1" t="s">
        <v>81</v>
      </c>
      <c r="B26" s="1"/>
      <c r="C26" s="1"/>
      <c r="D26" s="493"/>
      <c r="E26" s="493"/>
      <c r="F26" s="493"/>
      <c r="G26" s="493"/>
      <c r="H26" s="719">
        <f>'Report YE'!T69*'Input Tax Rate'!$B$36</f>
        <v>-951.14031431550018</v>
      </c>
      <c r="I26" s="493"/>
      <c r="J26" s="493"/>
      <c r="K26" s="721">
        <f>'Report YE'!T69*'Input Tax Rate'!$B$37</f>
        <v>-2801.6326756845006</v>
      </c>
      <c r="L26" s="493">
        <f t="shared" si="0"/>
        <v>-3752.7729900000008</v>
      </c>
      <c r="M26" s="492"/>
      <c r="N26" s="492"/>
      <c r="O26" s="749"/>
      <c r="Q26" s="749"/>
    </row>
    <row r="27" spans="1:17">
      <c r="A27" s="1" t="s">
        <v>82</v>
      </c>
      <c r="B27" s="1"/>
      <c r="C27" s="1"/>
      <c r="D27" s="493"/>
      <c r="E27" s="493"/>
      <c r="F27" s="493"/>
      <c r="G27" s="493"/>
      <c r="H27" s="493"/>
      <c r="I27" s="493"/>
      <c r="J27" s="493"/>
      <c r="K27" s="493">
        <f>Reconcil!B129</f>
        <v>0</v>
      </c>
      <c r="L27" s="493">
        <f t="shared" si="0"/>
        <v>0</v>
      </c>
      <c r="M27" s="492"/>
      <c r="N27" s="492"/>
      <c r="O27" s="926"/>
    </row>
    <row r="28" spans="1:17">
      <c r="A28" s="1" t="s">
        <v>13</v>
      </c>
      <c r="B28" s="1"/>
      <c r="C28" s="1"/>
      <c r="D28" s="493"/>
      <c r="E28" s="493"/>
      <c r="F28" s="493"/>
      <c r="G28" s="493">
        <f>Reconcil!B135</f>
        <v>0</v>
      </c>
      <c r="H28" s="493"/>
      <c r="I28" s="493"/>
      <c r="J28" s="493"/>
      <c r="K28" s="493"/>
      <c r="L28" s="493">
        <f t="shared" si="0"/>
        <v>0</v>
      </c>
      <c r="M28" s="492"/>
      <c r="N28" s="492"/>
      <c r="P28" s="1"/>
    </row>
    <row r="29" spans="1:17">
      <c r="A29" s="690" t="s">
        <v>83</v>
      </c>
      <c r="B29" s="1"/>
      <c r="C29" s="1"/>
      <c r="D29" s="493"/>
      <c r="E29" s="493"/>
      <c r="F29" s="493"/>
      <c r="G29" s="493"/>
      <c r="H29" s="493"/>
      <c r="I29" s="493"/>
      <c r="J29" s="493"/>
      <c r="K29" s="493">
        <f>IF((Reconcil!$B$138-Reconcil!$B$96)&lt;0,(Reconcil!$B$138-Reconcil!$B$96),0)</f>
        <v>-601.75800000000004</v>
      </c>
      <c r="L29" s="493">
        <f t="shared" si="0"/>
        <v>-601.75800000000004</v>
      </c>
      <c r="M29" s="492"/>
      <c r="N29" s="492"/>
      <c r="P29" s="1"/>
    </row>
    <row r="30" spans="1:17">
      <c r="A30" s="690" t="s">
        <v>1703</v>
      </c>
      <c r="B30" s="1"/>
      <c r="C30" s="1"/>
      <c r="D30" s="493"/>
      <c r="E30" s="493"/>
      <c r="F30" s="493"/>
      <c r="G30" s="493"/>
      <c r="H30" s="493"/>
      <c r="I30" s="493"/>
      <c r="J30" s="493"/>
      <c r="K30" s="493">
        <f>IF((Reconcil!$B$139-Reconcil!$B$97)&lt;0,(Reconcil!$B$139-Reconcil!$B$97),0)</f>
        <v>-563.79399999999998</v>
      </c>
      <c r="L30" s="493">
        <f t="shared" si="0"/>
        <v>-563.79399999999998</v>
      </c>
      <c r="M30" s="492"/>
      <c r="N30" s="492"/>
      <c r="P30" s="1"/>
    </row>
    <row r="31" spans="1:17">
      <c r="A31" s="1" t="s">
        <v>18</v>
      </c>
      <c r="B31" s="1"/>
      <c r="C31" s="1"/>
      <c r="D31" s="493"/>
      <c r="E31" s="493"/>
      <c r="F31" s="493"/>
      <c r="G31" s="493"/>
      <c r="H31" s="493"/>
      <c r="I31" s="493"/>
      <c r="J31" s="493"/>
      <c r="K31" s="496">
        <f>+N36</f>
        <v>0</v>
      </c>
      <c r="L31" s="493">
        <f t="shared" si="0"/>
        <v>0</v>
      </c>
      <c r="M31" s="492"/>
      <c r="N31" s="492"/>
      <c r="P31" s="1"/>
    </row>
    <row r="32" spans="1:17">
      <c r="A32" s="1" t="s">
        <v>472</v>
      </c>
      <c r="B32" s="1"/>
      <c r="C32" s="1"/>
      <c r="D32" s="493"/>
      <c r="E32" s="493"/>
      <c r="F32" s="493"/>
      <c r="G32" s="493"/>
      <c r="H32" s="493"/>
      <c r="I32" s="493"/>
      <c r="J32" s="493"/>
      <c r="K32" s="805">
        <v>0</v>
      </c>
      <c r="L32" s="493">
        <f t="shared" si="0"/>
        <v>0</v>
      </c>
      <c r="M32" s="492"/>
      <c r="N32" s="492"/>
      <c r="P32" s="1"/>
    </row>
    <row r="33" spans="1:16">
      <c r="A33" s="1" t="s">
        <v>84</v>
      </c>
      <c r="B33" s="1"/>
      <c r="C33" s="1"/>
      <c r="D33" s="493"/>
      <c r="E33" s="493"/>
      <c r="F33" s="493"/>
      <c r="G33" s="493">
        <f>-Reconcil!B58</f>
        <v>-1939.5515500000001</v>
      </c>
      <c r="H33" s="493"/>
      <c r="I33" s="493"/>
      <c r="J33" s="493"/>
      <c r="K33" s="493"/>
      <c r="L33" s="493">
        <f t="shared" si="0"/>
        <v>-1939.5515500000001</v>
      </c>
      <c r="M33" s="492"/>
      <c r="N33" s="492" t="s">
        <v>85</v>
      </c>
      <c r="P33" s="497"/>
    </row>
    <row r="34" spans="1:16">
      <c r="A34" s="1" t="s">
        <v>86</v>
      </c>
      <c r="B34" s="1"/>
      <c r="C34" s="1"/>
      <c r="D34" s="493"/>
      <c r="E34" s="493"/>
      <c r="F34" s="493"/>
      <c r="G34" s="721">
        <f>'Report YE'!J63*'Input Tax Rate'!$B$37</f>
        <v>-514.2594257741199</v>
      </c>
      <c r="H34" s="719">
        <f>'Report YE'!J63*'Input Tax Rate'!$B$36</f>
        <v>-174.58850909175632</v>
      </c>
      <c r="I34" s="493"/>
      <c r="J34" s="493"/>
      <c r="K34" s="493"/>
      <c r="L34" s="493">
        <f t="shared" si="0"/>
        <v>-688.84793486587625</v>
      </c>
      <c r="M34" s="492"/>
      <c r="N34" s="492" t="s">
        <v>87</v>
      </c>
      <c r="P34" s="1"/>
    </row>
    <row r="35" spans="1:16" ht="13.5" thickBot="1">
      <c r="A35" s="1" t="s">
        <v>474</v>
      </c>
      <c r="B35" s="1"/>
      <c r="C35" s="1"/>
      <c r="D35" s="493"/>
      <c r="E35" s="493"/>
      <c r="F35" s="493"/>
      <c r="G35" s="493"/>
      <c r="H35" s="493"/>
      <c r="I35" s="493"/>
      <c r="J35" s="493"/>
      <c r="K35" s="493">
        <f>+'Report YE'!R71</f>
        <v>0</v>
      </c>
      <c r="L35" s="493">
        <f t="shared" si="0"/>
        <v>0</v>
      </c>
      <c r="M35" s="493"/>
      <c r="N35" s="492" t="s">
        <v>88</v>
      </c>
      <c r="P35" s="1"/>
    </row>
    <row r="36" spans="1:16" ht="13.5" thickBot="1">
      <c r="A36" s="1" t="s">
        <v>408</v>
      </c>
      <c r="B36" s="1"/>
      <c r="C36" s="1"/>
      <c r="D36" s="493"/>
      <c r="E36" s="493"/>
      <c r="F36" s="493"/>
      <c r="G36" s="493"/>
      <c r="H36" s="719">
        <f>'Report YE'!J72*'Input Tax Rate'!$B$36</f>
        <v>0</v>
      </c>
      <c r="I36" s="493"/>
      <c r="J36" s="493"/>
      <c r="K36" s="721">
        <f>'Report YE'!J72*'Input Tax Rate'!$B$37</f>
        <v>0</v>
      </c>
      <c r="L36" s="493">
        <f t="shared" si="0"/>
        <v>0</v>
      </c>
      <c r="M36" s="493"/>
      <c r="N36" s="498">
        <v>0</v>
      </c>
      <c r="P36" s="1"/>
    </row>
    <row r="37" spans="1:16">
      <c r="A37" s="1" t="s">
        <v>89</v>
      </c>
      <c r="B37" s="1"/>
      <c r="C37" s="1"/>
      <c r="D37" s="493"/>
      <c r="E37" s="493"/>
      <c r="F37" s="493"/>
      <c r="G37" s="493">
        <v>0</v>
      </c>
      <c r="H37" s="493"/>
      <c r="I37" s="493">
        <f>-G37</f>
        <v>0</v>
      </c>
      <c r="J37" s="493"/>
      <c r="K37" s="493"/>
      <c r="L37" s="493">
        <f t="shared" si="0"/>
        <v>0</v>
      </c>
      <c r="M37" s="492"/>
      <c r="N37" s="492"/>
    </row>
    <row r="38" spans="1:16">
      <c r="A38" s="1" t="s">
        <v>2336</v>
      </c>
      <c r="B38" s="1"/>
      <c r="C38" s="1"/>
      <c r="D38" s="493"/>
      <c r="E38" s="493"/>
      <c r="F38" s="493"/>
      <c r="G38" s="493"/>
      <c r="H38" s="493"/>
      <c r="I38" s="493"/>
      <c r="J38" s="721">
        <f>+'Report YE'!T75</f>
        <v>-84152.855219999998</v>
      </c>
      <c r="K38" s="493"/>
      <c r="L38" s="493">
        <f t="shared" si="0"/>
        <v>-84152.855219999998</v>
      </c>
      <c r="M38" s="492"/>
      <c r="N38" s="492"/>
    </row>
    <row r="39" spans="1:16">
      <c r="A39" s="1" t="s">
        <v>480</v>
      </c>
      <c r="B39" s="1"/>
      <c r="C39" s="1"/>
      <c r="D39" s="493"/>
      <c r="E39" s="493"/>
      <c r="F39" s="493"/>
      <c r="G39" s="499"/>
      <c r="H39" s="493"/>
      <c r="I39" s="493"/>
      <c r="J39" s="493"/>
      <c r="K39" s="493"/>
      <c r="L39" s="493">
        <f t="shared" si="0"/>
        <v>0</v>
      </c>
      <c r="M39" s="492"/>
      <c r="N39" s="492"/>
    </row>
    <row r="40" spans="1:16">
      <c r="A40" s="1" t="s">
        <v>479</v>
      </c>
      <c r="D40" s="493">
        <f>(-G40-H40)</f>
        <v>-405.17047692317999</v>
      </c>
      <c r="E40" s="493"/>
      <c r="F40" s="493"/>
      <c r="G40" s="1038">
        <f>-Input!EP39/1000</f>
        <v>299.3582100000001</v>
      </c>
      <c r="H40" s="1038">
        <f>-Input!EP41/1000</f>
        <v>105.81226692317991</v>
      </c>
      <c r="I40" s="493"/>
      <c r="J40" s="493"/>
      <c r="K40" s="493"/>
      <c r="L40" s="493">
        <f t="shared" si="0"/>
        <v>0</v>
      </c>
      <c r="M40" s="492"/>
      <c r="N40" s="492"/>
    </row>
    <row r="41" spans="1:16">
      <c r="A41" s="497" t="s">
        <v>534</v>
      </c>
      <c r="B41" s="1"/>
      <c r="C41" s="1"/>
      <c r="D41" s="500"/>
      <c r="E41" s="501"/>
      <c r="F41" s="501"/>
      <c r="G41" s="501"/>
      <c r="H41" s="741">
        <f>'Report YE'!T74*'Input Tax Rate'!$B$36</f>
        <v>-10452.520774686001</v>
      </c>
      <c r="I41" s="502"/>
      <c r="J41" s="742">
        <f>'Report YE'!T74*'Input Tax Rate'!$B$37</f>
        <v>-30788.437105314002</v>
      </c>
      <c r="K41" s="502"/>
      <c r="L41" s="502">
        <f t="shared" si="0"/>
        <v>-41240.957880000002</v>
      </c>
      <c r="M41" s="494"/>
      <c r="N41" s="494"/>
    </row>
    <row r="42" spans="1:16">
      <c r="A42" s="1" t="s">
        <v>90</v>
      </c>
      <c r="B42" s="1"/>
      <c r="C42" s="1"/>
      <c r="D42" s="503"/>
      <c r="E42" s="503"/>
      <c r="F42" s="503"/>
      <c r="G42" s="503"/>
      <c r="H42" s="503"/>
      <c r="I42" s="503"/>
      <c r="J42" s="503"/>
      <c r="K42" s="503"/>
      <c r="L42" s="503"/>
      <c r="M42" s="492"/>
      <c r="N42" s="492"/>
    </row>
    <row r="43" spans="1:16">
      <c r="D43" s="492">
        <f t="shared" ref="D43:K43" si="1">SUM(D14:D41)</f>
        <v>-4654.11575692318</v>
      </c>
      <c r="E43" s="492">
        <f t="shared" si="1"/>
        <v>0</v>
      </c>
      <c r="F43" s="492">
        <f t="shared" si="1"/>
        <v>0</v>
      </c>
      <c r="G43" s="492">
        <f t="shared" si="1"/>
        <v>-3182.2294857741199</v>
      </c>
      <c r="H43" s="492">
        <f t="shared" si="1"/>
        <v>-11687.097528468079</v>
      </c>
      <c r="I43" s="492">
        <f t="shared" si="1"/>
        <v>0</v>
      </c>
      <c r="J43" s="492">
        <f>SUM(J14:J41)</f>
        <v>-114941.292325314</v>
      </c>
      <c r="K43" s="492">
        <f t="shared" si="1"/>
        <v>-31110.2158083865</v>
      </c>
      <c r="L43" s="492">
        <f>SUM(L14:L41)</f>
        <v>-165574.95090486587</v>
      </c>
      <c r="M43" s="492"/>
      <c r="N43" s="492"/>
    </row>
    <row r="44" spans="1:16">
      <c r="A44" s="1" t="s">
        <v>91</v>
      </c>
      <c r="B44" s="1"/>
      <c r="C44" s="1"/>
      <c r="D44" s="494"/>
      <c r="E44" s="494"/>
      <c r="F44" s="494"/>
      <c r="G44" s="494"/>
      <c r="H44" s="494"/>
      <c r="I44" s="494"/>
      <c r="J44" s="494"/>
      <c r="K44" s="494"/>
      <c r="L44" s="494"/>
      <c r="M44" s="494"/>
      <c r="N44" s="494"/>
      <c r="O44" t="s">
        <v>2547</v>
      </c>
    </row>
    <row r="45" spans="1:16" ht="13.5" thickBot="1">
      <c r="A45" s="1"/>
      <c r="B45" s="1"/>
      <c r="C45" s="1"/>
      <c r="D45" s="492"/>
      <c r="E45" s="492"/>
      <c r="F45" s="492"/>
      <c r="G45" s="492"/>
      <c r="H45" s="492"/>
      <c r="I45" s="492"/>
      <c r="J45" s="492"/>
      <c r="K45" s="492"/>
      <c r="L45" s="504">
        <f>SUM(L10:L42)</f>
        <v>1596458.3853651346</v>
      </c>
      <c r="M45" s="492"/>
      <c r="N45" s="492">
        <f>+'Report YE'!T83</f>
        <v>1596458.3853651336</v>
      </c>
      <c r="O45" t="s">
        <v>325</v>
      </c>
    </row>
    <row r="46" spans="1:16" ht="14.25" thickTop="1" thickBot="1">
      <c r="D46" s="492"/>
      <c r="E46" s="492"/>
      <c r="F46" s="492"/>
      <c r="G46" s="492"/>
      <c r="H46" s="492"/>
      <c r="I46" s="492"/>
      <c r="J46" s="492"/>
      <c r="K46" s="492"/>
      <c r="L46" s="503"/>
      <c r="M46" s="492"/>
      <c r="N46" s="505">
        <f>+L45-N45</f>
        <v>0</v>
      </c>
    </row>
    <row r="48" spans="1:16">
      <c r="A48" s="927"/>
      <c r="B48" s="927"/>
      <c r="C48" s="927"/>
      <c r="D48" s="927"/>
      <c r="E48" s="927"/>
      <c r="F48" s="927"/>
      <c r="G48" s="927"/>
      <c r="H48" s="927"/>
      <c r="I48" s="927"/>
      <c r="J48" s="927"/>
      <c r="K48" s="927"/>
      <c r="L48" s="927"/>
      <c r="M48" s="927"/>
      <c r="N48" s="927"/>
    </row>
  </sheetData>
  <pageMargins left="0.7" right="0.7" top="0.75" bottom="0.75" header="0.3" footer="0.3"/>
  <pageSetup orientation="portrait" r:id="rId1"/>
  <customProperties>
    <customPr name="EpmWorksheetKeyString_GUID" r:id="rId2"/>
  </customProperties>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tint="0.59999389629810485"/>
    <pageSetUpPr fitToPage="1"/>
  </sheetPr>
  <dimension ref="A1:I74"/>
  <sheetViews>
    <sheetView workbookViewId="0">
      <selection activeCell="C20" sqref="C20"/>
    </sheetView>
  </sheetViews>
  <sheetFormatPr defaultColWidth="27.85546875" defaultRowHeight="15"/>
  <cols>
    <col min="1" max="1" width="33.5703125" style="762" customWidth="1"/>
    <col min="2" max="2" width="1.85546875" style="762" customWidth="1"/>
    <col min="3" max="3" width="17.42578125" style="762" bestFit="1" customWidth="1"/>
    <col min="4" max="4" width="1.85546875" style="762" customWidth="1"/>
    <col min="5" max="5" width="15.5703125" style="762" bestFit="1" customWidth="1"/>
    <col min="6" max="6" width="1.85546875" style="762" customWidth="1"/>
    <col min="7" max="7" width="17.42578125" style="762" bestFit="1" customWidth="1"/>
    <col min="8" max="8" width="1.85546875" style="762" customWidth="1"/>
    <col min="9" max="9" width="19.42578125" style="762" customWidth="1"/>
    <col min="10" max="16384" width="27.85546875" style="762"/>
  </cols>
  <sheetData>
    <row r="1" spans="1:9" ht="18" customHeight="1">
      <c r="A1" s="1302" t="s">
        <v>2393</v>
      </c>
      <c r="B1" s="1302"/>
      <c r="C1" s="1302"/>
      <c r="D1" s="1302"/>
      <c r="E1" s="1302"/>
      <c r="F1" s="1302"/>
      <c r="G1" s="1302"/>
      <c r="H1" s="1302"/>
      <c r="I1" s="1302"/>
    </row>
    <row r="2" spans="1:9" s="789" customFormat="1" ht="18" customHeight="1">
      <c r="A2" s="1302" t="s">
        <v>2423</v>
      </c>
      <c r="B2" s="1302"/>
      <c r="C2" s="1302"/>
      <c r="D2" s="1302"/>
      <c r="E2" s="1302"/>
      <c r="F2" s="1302"/>
      <c r="G2" s="1302"/>
      <c r="H2" s="1302"/>
      <c r="I2" s="1302"/>
    </row>
    <row r="3" spans="1:9" ht="18" customHeight="1">
      <c r="A3" s="1301" t="s">
        <v>2690</v>
      </c>
      <c r="B3" s="1302"/>
      <c r="C3" s="1302"/>
      <c r="D3" s="1302"/>
      <c r="E3" s="1302"/>
      <c r="F3" s="1302"/>
      <c r="G3" s="1302"/>
      <c r="H3" s="1302"/>
      <c r="I3" s="1302"/>
    </row>
    <row r="4" spans="1:9" ht="18" customHeight="1">
      <c r="A4" s="1303" t="s">
        <v>1857</v>
      </c>
      <c r="B4" s="1303"/>
      <c r="C4" s="1303"/>
      <c r="D4" s="1303"/>
      <c r="E4" s="1303"/>
      <c r="F4" s="1303"/>
      <c r="G4" s="1303"/>
      <c r="H4" s="1303"/>
      <c r="I4" s="1303"/>
    </row>
    <row r="5" spans="1:9" ht="18" customHeight="1">
      <c r="A5" s="759"/>
      <c r="B5" s="760"/>
      <c r="C5" s="760"/>
      <c r="D5" s="760"/>
      <c r="E5" s="760"/>
      <c r="F5" s="760"/>
      <c r="G5" s="1304" t="s">
        <v>2394</v>
      </c>
      <c r="H5" s="1304"/>
      <c r="I5" s="1304"/>
    </row>
    <row r="6" spans="1:9" ht="18" customHeight="1">
      <c r="A6" s="759"/>
      <c r="B6" s="760"/>
      <c r="C6" s="760"/>
      <c r="D6" s="760"/>
      <c r="E6" s="760"/>
      <c r="F6" s="760"/>
      <c r="G6" s="760"/>
      <c r="H6" s="760"/>
      <c r="I6" s="760"/>
    </row>
    <row r="7" spans="1:9" ht="18" customHeight="1">
      <c r="E7" s="763"/>
      <c r="G7" s="763"/>
      <c r="I7" s="764"/>
    </row>
    <row r="8" spans="1:9" ht="18" customHeight="1">
      <c r="C8" s="765" t="s">
        <v>172</v>
      </c>
      <c r="G8" s="765"/>
      <c r="I8" s="764" t="s">
        <v>167</v>
      </c>
    </row>
    <row r="9" spans="1:9" ht="18" customHeight="1">
      <c r="A9" s="766"/>
      <c r="C9" s="765" t="s">
        <v>2395</v>
      </c>
      <c r="D9" s="765"/>
      <c r="E9" s="765" t="s">
        <v>2396</v>
      </c>
      <c r="F9" s="765"/>
      <c r="G9" s="765" t="s">
        <v>2397</v>
      </c>
      <c r="H9" s="765"/>
      <c r="I9" s="764" t="s">
        <v>2397</v>
      </c>
    </row>
    <row r="10" spans="1:9" ht="18" customHeight="1">
      <c r="A10" s="767" t="s">
        <v>2398</v>
      </c>
      <c r="C10" s="768" t="s">
        <v>2399</v>
      </c>
      <c r="D10" s="765"/>
      <c r="E10" s="767" t="s">
        <v>168</v>
      </c>
      <c r="F10" s="765"/>
      <c r="G10" s="767" t="s">
        <v>2396</v>
      </c>
      <c r="H10" s="765"/>
      <c r="I10" s="767" t="s">
        <v>2396</v>
      </c>
    </row>
    <row r="11" spans="1:9" ht="18" customHeight="1"/>
    <row r="12" spans="1:9" ht="18" customHeight="1">
      <c r="A12" s="762" t="s">
        <v>174</v>
      </c>
      <c r="B12" s="769"/>
      <c r="C12" s="781">
        <f>+'AFUDC Sch B'!G12</f>
        <v>514059.25215609063</v>
      </c>
      <c r="E12" s="770">
        <f>ROUND(C12/$C$24*100,2)/100</f>
        <v>0.29649999999999999</v>
      </c>
      <c r="F12" s="763"/>
      <c r="G12" s="770">
        <f>+'Debt &amp; Cust Dep'!DR35</f>
        <v>3.7900000000000003E-2</v>
      </c>
      <c r="I12" s="770">
        <f>ROUND(E12*G12,4)</f>
        <v>1.12E-2</v>
      </c>
    </row>
    <row r="13" spans="1:9" ht="18" customHeight="1">
      <c r="B13" s="769"/>
      <c r="E13" s="770"/>
      <c r="F13" s="763"/>
      <c r="G13" s="770"/>
      <c r="H13" s="763"/>
      <c r="I13" s="770"/>
    </row>
    <row r="14" spans="1:9" ht="18" customHeight="1">
      <c r="A14" s="762" t="s">
        <v>175</v>
      </c>
      <c r="B14" s="771"/>
      <c r="C14" s="762">
        <f>+'AFUDC Sch B'!G14</f>
        <v>159284.24210044733</v>
      </c>
      <c r="E14" s="1182">
        <f>ROUND(C14/$C$24*100,2)/100+0.0001</f>
        <v>9.1999999999999998E-2</v>
      </c>
      <c r="F14" s="763"/>
      <c r="G14" s="770">
        <f>+Report!P162/100</f>
        <v>2.203211836688913E-2</v>
      </c>
      <c r="H14" s="763" t="s">
        <v>2425</v>
      </c>
      <c r="I14" s="770">
        <f>ROUND(E14*G14,4)</f>
        <v>2E-3</v>
      </c>
    </row>
    <row r="15" spans="1:9" ht="18" customHeight="1">
      <c r="B15" s="771"/>
      <c r="E15" s="770"/>
      <c r="F15" s="763"/>
      <c r="G15" s="770"/>
      <c r="H15" s="763"/>
      <c r="I15" s="770"/>
    </row>
    <row r="16" spans="1:9" ht="18" customHeight="1">
      <c r="A16" s="762" t="s">
        <v>17</v>
      </c>
      <c r="B16" s="771"/>
      <c r="C16" s="762">
        <f>+'AFUDC Sch B'!G16</f>
        <v>26701.639116913611</v>
      </c>
      <c r="E16" s="770">
        <f>ROUND(C16/$C$24*100,2)/100</f>
        <v>1.54E-2</v>
      </c>
      <c r="F16" s="763"/>
      <c r="G16" s="770">
        <f>+Report!P164/100</f>
        <v>2.4799999999999999E-2</v>
      </c>
      <c r="H16" s="763" t="s">
        <v>2425</v>
      </c>
      <c r="I16" s="770">
        <f>ROUND(E16*G16,4)</f>
        <v>4.0000000000000002E-4</v>
      </c>
    </row>
    <row r="17" spans="1:9" ht="18" customHeight="1">
      <c r="B17" s="771"/>
      <c r="E17" s="770"/>
      <c r="F17" s="763"/>
      <c r="G17" s="770"/>
      <c r="H17" s="763"/>
      <c r="I17" s="770"/>
    </row>
    <row r="18" spans="1:9" ht="18" customHeight="1">
      <c r="A18" s="762" t="s">
        <v>176</v>
      </c>
      <c r="B18" s="771"/>
      <c r="C18" s="762">
        <f>+'AFUDC Sch B'!G18</f>
        <v>813065.98533846857</v>
      </c>
      <c r="E18" s="770">
        <f>ROUND(C18/$C$24*100,2)/100</f>
        <v>0.46889999999999998</v>
      </c>
      <c r="F18" s="763"/>
      <c r="G18" s="770">
        <f>+Report!P166/100</f>
        <v>9.9000000000000005E-2</v>
      </c>
      <c r="H18" s="763"/>
      <c r="I18" s="770">
        <f>ROUND(E18*G18,4)</f>
        <v>4.6399999999999997E-2</v>
      </c>
    </row>
    <row r="19" spans="1:9" ht="18" customHeight="1">
      <c r="B19" s="771"/>
      <c r="E19" s="770"/>
      <c r="F19" s="763"/>
      <c r="G19" s="772"/>
      <c r="H19" s="763"/>
      <c r="I19" s="770"/>
    </row>
    <row r="20" spans="1:9" ht="18" customHeight="1">
      <c r="A20" s="762" t="s">
        <v>177</v>
      </c>
      <c r="B20" s="771"/>
      <c r="C20" s="762">
        <f>+'AFUDC Sch B'!G20</f>
        <v>220848.24725636435</v>
      </c>
      <c r="E20" s="770">
        <f>ROUND(C20/$C$24*100,2)/100</f>
        <v>0.12740000000000001</v>
      </c>
      <c r="F20" s="763"/>
      <c r="G20" s="770">
        <v>0</v>
      </c>
      <c r="H20" s="763"/>
      <c r="I20" s="773">
        <f>ROUND(E20*G20,4)</f>
        <v>0</v>
      </c>
    </row>
    <row r="21" spans="1:9" ht="18" customHeight="1">
      <c r="B21" s="771"/>
      <c r="E21" s="770"/>
      <c r="F21" s="763"/>
      <c r="G21" s="770"/>
      <c r="H21" s="763"/>
      <c r="I21" s="773"/>
    </row>
    <row r="22" spans="1:9" ht="18" customHeight="1">
      <c r="A22" s="762" t="s">
        <v>2400</v>
      </c>
      <c r="B22" s="771"/>
      <c r="C22" s="775">
        <f>+'AFUDC Sch B'!G22</f>
        <v>0</v>
      </c>
      <c r="E22" s="774">
        <f>ROUND(C22/$C$24*100,2)/100</f>
        <v>0</v>
      </c>
      <c r="F22" s="763"/>
      <c r="G22" s="770">
        <v>0</v>
      </c>
      <c r="H22" s="763"/>
      <c r="I22" s="775">
        <f>ROUND(E22*G22,4)</f>
        <v>0</v>
      </c>
    </row>
    <row r="23" spans="1:9" ht="18" customHeight="1">
      <c r="B23" s="771"/>
      <c r="E23" s="776"/>
      <c r="F23" s="763"/>
      <c r="G23" s="770"/>
      <c r="H23" s="763"/>
      <c r="I23" s="777"/>
    </row>
    <row r="24" spans="1:9" ht="18" customHeight="1">
      <c r="A24" s="765" t="s">
        <v>1</v>
      </c>
      <c r="B24" s="769"/>
      <c r="C24" s="781">
        <f>SUM(C12:C22)</f>
        <v>1733959.3659682847</v>
      </c>
      <c r="E24" s="770">
        <f>SUM(E12:E22)</f>
        <v>1.0002</v>
      </c>
      <c r="F24" s="763"/>
      <c r="G24" s="763"/>
      <c r="H24" s="763"/>
      <c r="I24" s="770">
        <f>SUM(I12:I22)</f>
        <v>0.06</v>
      </c>
    </row>
    <row r="25" spans="1:9" ht="18" customHeight="1"/>
    <row r="26" spans="1:9" ht="18" customHeight="1"/>
    <row r="27" spans="1:9" ht="18" customHeight="1">
      <c r="A27" s="762" t="s">
        <v>2426</v>
      </c>
    </row>
    <row r="28" spans="1:9" ht="18" customHeight="1"/>
    <row r="29" spans="1:9" ht="18" customHeight="1">
      <c r="A29" s="1299" t="s">
        <v>2763</v>
      </c>
      <c r="B29" s="1300"/>
      <c r="C29" s="1300"/>
      <c r="D29" s="1300"/>
      <c r="E29" s="1300"/>
      <c r="F29" s="1300"/>
      <c r="G29" s="1300"/>
      <c r="H29" s="1300"/>
      <c r="I29" s="1300"/>
    </row>
    <row r="30" spans="1:9" ht="18" customHeight="1">
      <c r="A30" s="1300"/>
      <c r="B30" s="1300"/>
      <c r="C30" s="1300"/>
      <c r="D30" s="1300"/>
      <c r="E30" s="1300"/>
      <c r="F30" s="1300"/>
      <c r="G30" s="1300"/>
      <c r="H30" s="1300"/>
      <c r="I30" s="1300"/>
    </row>
    <row r="31" spans="1:9" ht="18" customHeight="1"/>
    <row r="32" spans="1:9" ht="18" customHeight="1">
      <c r="H32" s="790"/>
      <c r="I32" s="1178" t="s">
        <v>2770</v>
      </c>
    </row>
    <row r="33" spans="7:9" ht="18" customHeight="1">
      <c r="H33" s="790"/>
      <c r="I33" s="1178" t="s">
        <v>2769</v>
      </c>
    </row>
    <row r="34" spans="7:9" ht="18" customHeight="1">
      <c r="H34" s="796"/>
      <c r="I34" s="796"/>
    </row>
    <row r="35" spans="7:9" ht="18" customHeight="1">
      <c r="G35" s="762" t="s">
        <v>2764</v>
      </c>
      <c r="H35" s="761"/>
      <c r="I35" s="1179">
        <f>1-I36</f>
        <v>0.22666666666666668</v>
      </c>
    </row>
    <row r="36" spans="7:9" ht="18" customHeight="1">
      <c r="G36" s="762" t="s">
        <v>2765</v>
      </c>
      <c r="H36" s="761"/>
      <c r="I36" s="1179">
        <f>+I18/I24</f>
        <v>0.77333333333333332</v>
      </c>
    </row>
    <row r="37" spans="7:9" ht="18" customHeight="1">
      <c r="H37" s="761"/>
      <c r="I37" s="761"/>
    </row>
    <row r="38" spans="7:9" ht="18" customHeight="1">
      <c r="H38" s="761"/>
      <c r="I38" s="761"/>
    </row>
    <row r="39" spans="7:9" ht="18" customHeight="1">
      <c r="H39" s="761"/>
      <c r="I39" s="761"/>
    </row>
    <row r="40" spans="7:9" ht="18" customHeight="1">
      <c r="H40" s="761"/>
      <c r="I40" s="761"/>
    </row>
    <row r="41" spans="7:9" ht="18" customHeight="1"/>
    <row r="42" spans="7:9" ht="18" customHeight="1"/>
    <row r="43" spans="7:9" ht="18" customHeight="1"/>
    <row r="44" spans="7:9" ht="18" customHeight="1"/>
    <row r="45" spans="7:9" ht="18" customHeight="1"/>
    <row r="46" spans="7:9" ht="18" customHeight="1">
      <c r="I46" s="765"/>
    </row>
    <row r="47" spans="7:9" ht="18" customHeight="1">
      <c r="I47" s="765"/>
    </row>
    <row r="48" spans="7:9" ht="18" customHeight="1">
      <c r="I48" s="765"/>
    </row>
    <row r="49" spans="9:9" ht="18" customHeight="1"/>
    <row r="50" spans="9:9" ht="18" customHeight="1">
      <c r="I50" s="797"/>
    </row>
    <row r="51" spans="9:9" ht="18" customHeight="1">
      <c r="I51" s="797"/>
    </row>
    <row r="52" spans="9:9" ht="18" customHeight="1">
      <c r="I52" s="797"/>
    </row>
    <row r="53" spans="9:9" ht="18" customHeight="1">
      <c r="I53" s="797"/>
    </row>
    <row r="54" spans="9:9" ht="18" customHeight="1">
      <c r="I54" s="797"/>
    </row>
    <row r="55" spans="9:9" ht="18" customHeight="1">
      <c r="I55" s="797"/>
    </row>
    <row r="56" spans="9:9" ht="18" customHeight="1">
      <c r="I56" s="797"/>
    </row>
    <row r="57" spans="9:9" ht="18" customHeight="1">
      <c r="I57" s="797"/>
    </row>
    <row r="58" spans="9:9" ht="18" customHeight="1">
      <c r="I58" s="797"/>
    </row>
    <row r="59" spans="9:9" ht="18" customHeight="1">
      <c r="I59" s="797"/>
    </row>
    <row r="60" spans="9:9" ht="18" customHeight="1">
      <c r="I60" s="797"/>
    </row>
    <row r="61" spans="9:9" ht="18" customHeight="1">
      <c r="I61" s="797"/>
    </row>
    <row r="62" spans="9:9" ht="18" customHeight="1">
      <c r="I62" s="797"/>
    </row>
    <row r="69" spans="1:7">
      <c r="A69" s="791" t="s">
        <v>2404</v>
      </c>
    </row>
    <row r="70" spans="1:7">
      <c r="A70" s="791" t="s">
        <v>2405</v>
      </c>
    </row>
    <row r="72" spans="1:7">
      <c r="A72" s="798">
        <v>5.9699999999999998E-4</v>
      </c>
      <c r="C72" s="762" t="s">
        <v>2406</v>
      </c>
    </row>
    <row r="73" spans="1:7">
      <c r="A73" s="798">
        <v>4.5199999999999998E-4</v>
      </c>
      <c r="C73" s="762" t="s">
        <v>2407</v>
      </c>
      <c r="E73" s="799">
        <v>0.75711892797319935</v>
      </c>
      <c r="G73" s="762" t="s">
        <v>2408</v>
      </c>
    </row>
    <row r="74" spans="1:7">
      <c r="A74" s="798">
        <v>1.45E-4</v>
      </c>
      <c r="C74" s="762" t="s">
        <v>2409</v>
      </c>
      <c r="E74" s="799">
        <v>0.24288107202680065</v>
      </c>
      <c r="G74" s="762" t="s">
        <v>2410</v>
      </c>
    </row>
  </sheetData>
  <mergeCells count="6">
    <mergeCell ref="A29:I30"/>
    <mergeCell ref="A3:I3"/>
    <mergeCell ref="A4:I4"/>
    <mergeCell ref="G5:I5"/>
    <mergeCell ref="A1:I1"/>
    <mergeCell ref="A2:I2"/>
  </mergeCells>
  <printOptions horizontalCentered="1"/>
  <pageMargins left="0.7" right="0.7" top="0.75" bottom="0.75" header="0.3" footer="0.3"/>
  <pageSetup scale="99" orientation="landscape" r:id="rId1"/>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7" tint="0.59999389629810485"/>
    <pageSetUpPr fitToPage="1"/>
  </sheetPr>
  <dimension ref="A1:K45"/>
  <sheetViews>
    <sheetView workbookViewId="0">
      <selection activeCell="C12" sqref="C12"/>
    </sheetView>
  </sheetViews>
  <sheetFormatPr defaultColWidth="2.42578125" defaultRowHeight="15"/>
  <cols>
    <col min="1" max="1" width="35" style="105" customWidth="1"/>
    <col min="2" max="2" width="2.140625" style="105" customWidth="1"/>
    <col min="3" max="3" width="20" style="105" customWidth="1"/>
    <col min="4" max="4" width="2.140625" style="105" customWidth="1"/>
    <col min="5" max="5" width="20" style="105" customWidth="1"/>
    <col min="6" max="6" width="2.140625" style="105" customWidth="1"/>
    <col min="7" max="7" width="20" style="105" customWidth="1"/>
    <col min="8" max="8" width="2.42578125" style="105" customWidth="1"/>
    <col min="9" max="9" width="9.5703125" style="105" customWidth="1"/>
    <col min="10" max="10" width="2.42578125" style="105" customWidth="1"/>
    <col min="11" max="11" width="9.5703125" style="105" customWidth="1"/>
    <col min="12" max="215" width="13.5703125" style="105" customWidth="1"/>
    <col min="216" max="216" width="31.140625" style="105" customWidth="1"/>
    <col min="217" max="217" width="14.140625" style="105" customWidth="1"/>
    <col min="218" max="218" width="2.42578125" style="105" customWidth="1"/>
    <col min="219" max="219" width="9.5703125" style="105" customWidth="1"/>
    <col min="220" max="220" width="2.42578125" style="105" customWidth="1"/>
    <col min="221" max="221" width="9.5703125" style="105" customWidth="1"/>
    <col min="222" max="222" width="2.42578125" style="105" customWidth="1"/>
    <col min="223" max="223" width="9.5703125" style="105" customWidth="1"/>
    <col min="224" max="224" width="2.42578125" style="105" customWidth="1"/>
    <col min="225" max="225" width="11" style="105" customWidth="1"/>
    <col min="226" max="226" width="2.42578125" style="105" customWidth="1"/>
    <col min="227" max="227" width="9.5703125" style="105" customWidth="1"/>
    <col min="228" max="228" width="4.42578125" style="105" customWidth="1"/>
    <col min="229" max="229" width="12.42578125" style="105" customWidth="1"/>
    <col min="230" max="230" width="2.42578125" style="105" customWidth="1"/>
    <col min="231" max="231" width="9.5703125" style="105" customWidth="1"/>
    <col min="232" max="232" width="2.42578125" style="105" customWidth="1"/>
    <col min="233" max="233" width="9.5703125" style="105" customWidth="1"/>
    <col min="234" max="234" width="2.42578125" style="105" customWidth="1"/>
    <col min="235" max="235" width="9.5703125" style="105" customWidth="1"/>
    <col min="236" max="236" width="2.42578125" style="105" customWidth="1"/>
    <col min="237" max="237" width="9.5703125" style="105" customWidth="1"/>
    <col min="238" max="238" width="13.42578125" style="105" bestFit="1" customWidth="1"/>
    <col min="239" max="239" width="14" style="105" customWidth="1"/>
    <col min="240" max="241" width="13.5703125" style="105" customWidth="1"/>
    <col min="242" max="242" width="2.85546875" style="105" customWidth="1"/>
    <col min="243" max="243" width="19.42578125" style="105" bestFit="1" customWidth="1"/>
    <col min="244" max="244" width="8.85546875" style="105" bestFit="1" customWidth="1"/>
    <col min="245" max="245" width="13.5703125" style="105" customWidth="1"/>
    <col min="246" max="246" width="31.140625" style="105" customWidth="1"/>
    <col min="247" max="247" width="14.140625" style="105" customWidth="1"/>
    <col min="248" max="248" width="2.42578125" style="105" customWidth="1"/>
    <col min="249" max="249" width="9.5703125" style="105" customWidth="1"/>
    <col min="250" max="250" width="2.42578125" style="105" customWidth="1"/>
    <col min="251" max="251" width="9.5703125" style="105" customWidth="1"/>
    <col min="252" max="252" width="2.42578125" style="105" customWidth="1"/>
    <col min="253" max="253" width="9.5703125" style="105" customWidth="1"/>
    <col min="254" max="254" width="2.42578125" style="105" customWidth="1"/>
    <col min="255" max="255" width="11" style="105" customWidth="1"/>
    <col min="256" max="16384" width="2.42578125" style="105"/>
  </cols>
  <sheetData>
    <row r="1" spans="1:11" ht="16.5" customHeight="1">
      <c r="A1" s="1306" t="s">
        <v>204</v>
      </c>
      <c r="B1" s="1306"/>
      <c r="C1" s="1306"/>
      <c r="D1" s="1306"/>
      <c r="E1" s="1306"/>
      <c r="F1" s="1306"/>
      <c r="G1" s="1306"/>
      <c r="H1" s="785"/>
      <c r="I1" s="786"/>
      <c r="J1" s="786"/>
      <c r="K1" s="786"/>
    </row>
    <row r="2" spans="1:11" ht="15.75">
      <c r="A2" s="1306" t="s">
        <v>2423</v>
      </c>
      <c r="B2" s="1306"/>
      <c r="C2" s="1306"/>
      <c r="D2" s="1306"/>
      <c r="E2" s="1306"/>
      <c r="F2" s="1306"/>
      <c r="G2" s="1306"/>
      <c r="H2" s="785"/>
      <c r="I2" s="786"/>
      <c r="J2" s="786"/>
      <c r="K2" s="786"/>
    </row>
    <row r="3" spans="1:11" ht="15.75">
      <c r="A3" s="1307" t="s">
        <v>2690</v>
      </c>
      <c r="B3" s="1307"/>
      <c r="C3" s="1303"/>
      <c r="D3" s="1303"/>
      <c r="E3" s="1303"/>
      <c r="F3" s="1303"/>
      <c r="G3" s="1303"/>
      <c r="H3" s="785"/>
      <c r="I3" s="786"/>
      <c r="J3" s="786"/>
      <c r="K3" s="786"/>
    </row>
    <row r="4" spans="1:11" ht="15.75">
      <c r="A4" s="1303" t="s">
        <v>1857</v>
      </c>
      <c r="B4" s="1303"/>
      <c r="C4" s="1303"/>
      <c r="D4" s="1303"/>
      <c r="E4" s="1303"/>
      <c r="F4" s="1303"/>
      <c r="G4" s="1303"/>
      <c r="H4" s="785"/>
      <c r="I4" s="786"/>
      <c r="J4" s="786"/>
      <c r="K4" s="786"/>
    </row>
    <row r="5" spans="1:11" ht="18" customHeight="1">
      <c r="C5" s="432"/>
      <c r="D5" s="432"/>
      <c r="E5" s="1304" t="s">
        <v>2401</v>
      </c>
      <c r="F5" s="1304"/>
      <c r="G5" s="1304"/>
      <c r="H5" s="432"/>
      <c r="I5" s="432"/>
      <c r="J5" s="432"/>
      <c r="K5" s="432"/>
    </row>
    <row r="6" spans="1:11" ht="18" customHeight="1">
      <c r="C6" s="432"/>
      <c r="D6" s="432"/>
      <c r="E6" s="432"/>
      <c r="F6" s="432"/>
      <c r="G6" s="432"/>
      <c r="H6" s="432"/>
      <c r="I6" s="432"/>
      <c r="J6" s="432"/>
      <c r="K6" s="432"/>
    </row>
    <row r="7" spans="1:11" ht="18" customHeight="1">
      <c r="C7" s="432"/>
      <c r="D7" s="432"/>
      <c r="E7" s="432"/>
      <c r="F7" s="432"/>
      <c r="G7" s="432"/>
      <c r="H7" s="432"/>
      <c r="I7" s="432"/>
      <c r="J7" s="432"/>
      <c r="K7" s="432"/>
    </row>
    <row r="8" spans="1:11" ht="18" customHeight="1">
      <c r="C8" s="432"/>
      <c r="D8" s="432"/>
      <c r="F8" s="432"/>
      <c r="G8" s="778" t="s">
        <v>172</v>
      </c>
      <c r="H8" s="432"/>
      <c r="I8" s="432"/>
      <c r="J8" s="432"/>
      <c r="K8" s="432"/>
    </row>
    <row r="9" spans="1:11" ht="18" customHeight="1">
      <c r="C9" s="432"/>
      <c r="D9" s="432"/>
      <c r="E9" s="778" t="s">
        <v>2402</v>
      </c>
      <c r="F9" s="432"/>
      <c r="G9" s="778" t="s">
        <v>3</v>
      </c>
      <c r="H9" s="432"/>
      <c r="I9" s="432"/>
      <c r="J9" s="432"/>
      <c r="K9" s="432"/>
    </row>
    <row r="10" spans="1:11" ht="18" customHeight="1">
      <c r="A10" s="780" t="s">
        <v>2398</v>
      </c>
      <c r="C10" s="780" t="s">
        <v>101</v>
      </c>
      <c r="D10" s="432"/>
      <c r="E10" s="780" t="s">
        <v>2403</v>
      </c>
      <c r="F10" s="432"/>
      <c r="G10" s="780" t="s">
        <v>2399</v>
      </c>
      <c r="H10" s="432"/>
      <c r="I10" s="432"/>
      <c r="J10" s="432"/>
      <c r="K10" s="432"/>
    </row>
    <row r="11" spans="1:11" ht="18" customHeight="1">
      <c r="A11" s="779"/>
      <c r="C11" s="778"/>
      <c r="D11" s="432"/>
      <c r="E11" s="778"/>
      <c r="F11" s="432"/>
      <c r="G11" s="778"/>
      <c r="H11" s="432"/>
      <c r="I11" s="432"/>
      <c r="J11" s="432"/>
      <c r="K11" s="432"/>
    </row>
    <row r="12" spans="1:11" ht="18" customHeight="1">
      <c r="A12" s="105" t="s">
        <v>174</v>
      </c>
      <c r="C12" s="781">
        <f>+Report!B160</f>
        <v>545294.27248153847</v>
      </c>
      <c r="D12" s="782"/>
      <c r="E12" s="781">
        <f>+Report!D160+Report!F160</f>
        <v>-42522.287831649723</v>
      </c>
      <c r="F12" s="782"/>
      <c r="G12" s="781">
        <f>+Report!H160</f>
        <v>514059.25215609063</v>
      </c>
      <c r="H12" s="432"/>
      <c r="I12" s="432"/>
      <c r="J12" s="432"/>
      <c r="K12" s="432"/>
    </row>
    <row r="13" spans="1:11" ht="18" customHeight="1">
      <c r="C13" s="782"/>
      <c r="D13" s="782"/>
      <c r="E13" s="782"/>
      <c r="F13" s="782"/>
      <c r="G13" s="782"/>
      <c r="H13" s="432"/>
      <c r="I13" s="432"/>
      <c r="J13" s="432"/>
      <c r="K13" s="432"/>
    </row>
    <row r="14" spans="1:11" ht="18" customHeight="1">
      <c r="A14" s="105" t="s">
        <v>175</v>
      </c>
      <c r="C14" s="782">
        <f>+Report!B162</f>
        <v>167682.70811538462</v>
      </c>
      <c r="D14" s="782"/>
      <c r="E14" s="782">
        <f>+Report!D162+Report!F162</f>
        <v>-11895.891345907614</v>
      </c>
      <c r="F14" s="782"/>
      <c r="G14" s="782">
        <f>+Report!H162</f>
        <v>159284.24210044733</v>
      </c>
      <c r="H14" s="432"/>
      <c r="I14" s="432"/>
      <c r="J14" s="432"/>
      <c r="K14" s="432"/>
    </row>
    <row r="15" spans="1:11" ht="18" customHeight="1">
      <c r="C15" s="782"/>
      <c r="D15" s="782"/>
      <c r="E15" s="782"/>
      <c r="F15" s="782"/>
      <c r="G15" s="782"/>
      <c r="H15" s="432"/>
      <c r="I15" s="432"/>
      <c r="J15" s="432"/>
      <c r="K15" s="432"/>
    </row>
    <row r="16" spans="1:11" ht="18" customHeight="1">
      <c r="A16" s="762" t="s">
        <v>17</v>
      </c>
      <c r="C16" s="782">
        <f>+Report!B164</f>
        <v>28428.894845384613</v>
      </c>
      <c r="D16" s="782"/>
      <c r="E16" s="782">
        <f>+Report!D164+Report!F164</f>
        <v>-1727.2557284710001</v>
      </c>
      <c r="F16" s="782"/>
      <c r="G16" s="782">
        <f>+C16+E16</f>
        <v>26701.639116913611</v>
      </c>
      <c r="H16" s="432"/>
      <c r="I16" s="787"/>
      <c r="J16" s="432"/>
      <c r="K16" s="787"/>
    </row>
    <row r="17" spans="1:11" ht="18" customHeight="1">
      <c r="C17" s="782"/>
      <c r="D17" s="782"/>
      <c r="E17" s="782"/>
      <c r="F17" s="782"/>
      <c r="G17" s="782"/>
      <c r="H17" s="432"/>
      <c r="I17" s="787"/>
      <c r="J17" s="432"/>
      <c r="K17" s="787"/>
    </row>
    <row r="18" spans="1:11" ht="18" customHeight="1">
      <c r="A18" s="105" t="s">
        <v>176</v>
      </c>
      <c r="C18" s="782">
        <f>+Report!B166</f>
        <v>889661.61620384629</v>
      </c>
      <c r="D18" s="782"/>
      <c r="E18" s="782">
        <f>+Report!D166+Report!F166</f>
        <v>-61810.93802820547</v>
      </c>
      <c r="F18" s="782"/>
      <c r="G18" s="782">
        <f>+Report!H166</f>
        <v>813065.98533846857</v>
      </c>
      <c r="H18" s="432"/>
      <c r="I18" s="787"/>
      <c r="J18" s="432"/>
      <c r="K18" s="787"/>
    </row>
    <row r="19" spans="1:11" ht="18" customHeight="1">
      <c r="C19" s="782"/>
      <c r="D19" s="782"/>
      <c r="E19" s="782"/>
      <c r="F19" s="782"/>
      <c r="G19" s="782"/>
      <c r="H19" s="432"/>
      <c r="I19" s="787"/>
      <c r="J19" s="432"/>
      <c r="K19" s="787"/>
    </row>
    <row r="20" spans="1:11" ht="18" customHeight="1">
      <c r="A20" s="105" t="s">
        <v>177</v>
      </c>
      <c r="C20" s="782">
        <f>+Report!B168</f>
        <v>250165.93678384618</v>
      </c>
      <c r="D20" s="782"/>
      <c r="E20" s="782">
        <f>+Report!D168+Report!F168</f>
        <v>-29317.689527481816</v>
      </c>
      <c r="F20" s="782"/>
      <c r="G20" s="782">
        <f>+C20+E20</f>
        <v>220848.24725636435</v>
      </c>
      <c r="H20" s="432"/>
      <c r="I20" s="787"/>
      <c r="J20" s="432"/>
      <c r="K20" s="787"/>
    </row>
    <row r="21" spans="1:11" ht="18" customHeight="1">
      <c r="C21" s="782"/>
      <c r="D21" s="782"/>
      <c r="E21" s="782"/>
      <c r="F21" s="782"/>
      <c r="G21" s="782"/>
      <c r="H21" s="432"/>
      <c r="I21" s="787"/>
      <c r="J21" s="432"/>
      <c r="K21" s="787"/>
    </row>
    <row r="22" spans="1:11" ht="18" customHeight="1">
      <c r="A22" s="105" t="s">
        <v>2400</v>
      </c>
      <c r="C22" s="783">
        <f>+Report!B170</f>
        <v>0</v>
      </c>
      <c r="D22" s="782"/>
      <c r="E22" s="783">
        <f>+Report!D170+Report!F170</f>
        <v>0</v>
      </c>
      <c r="F22" s="782"/>
      <c r="G22" s="783">
        <f>+C22+E22</f>
        <v>0</v>
      </c>
      <c r="H22" s="432"/>
      <c r="I22" s="787"/>
      <c r="J22" s="432"/>
      <c r="K22" s="787"/>
    </row>
    <row r="23" spans="1:11" ht="18" customHeight="1">
      <c r="H23" s="787"/>
      <c r="I23" s="787"/>
      <c r="J23" s="787"/>
      <c r="K23" s="787"/>
    </row>
    <row r="24" spans="1:11" ht="18" customHeight="1">
      <c r="A24" s="105" t="s">
        <v>1</v>
      </c>
      <c r="C24" s="784">
        <f>SUM(C12:C22)</f>
        <v>1881233.4284300001</v>
      </c>
      <c r="D24" s="784"/>
      <c r="E24" s="784">
        <f>SUM(E12:E22)</f>
        <v>-147274.06246171563</v>
      </c>
      <c r="F24" s="784"/>
      <c r="G24" s="784">
        <f>SUM(G12:G22)</f>
        <v>1733959.3659682847</v>
      </c>
      <c r="H24" s="432"/>
      <c r="I24" s="432"/>
      <c r="J24" s="432"/>
      <c r="K24" s="787"/>
    </row>
    <row r="25" spans="1:11" ht="18" customHeight="1">
      <c r="C25" s="432"/>
      <c r="D25" s="432"/>
      <c r="E25" s="432"/>
      <c r="F25" s="432"/>
      <c r="G25" s="782"/>
      <c r="H25" s="432"/>
      <c r="I25" s="432"/>
      <c r="J25" s="432"/>
      <c r="K25" s="787"/>
    </row>
    <row r="26" spans="1:11" ht="18" customHeight="1">
      <c r="C26" s="432"/>
      <c r="D26" s="432"/>
      <c r="E26" s="432"/>
      <c r="F26" s="432"/>
      <c r="G26" s="782"/>
      <c r="H26" s="432"/>
      <c r="I26" s="432"/>
      <c r="J26" s="432"/>
      <c r="K26" s="787"/>
    </row>
    <row r="27" spans="1:11" ht="18" customHeight="1">
      <c r="A27" s="1299" t="s">
        <v>2424</v>
      </c>
      <c r="B27" s="1299"/>
      <c r="C27" s="1299"/>
      <c r="D27" s="1299"/>
      <c r="E27" s="1299"/>
      <c r="F27" s="1299"/>
      <c r="G27" s="1299"/>
      <c r="H27" s="432"/>
      <c r="I27" s="432"/>
      <c r="J27" s="432"/>
      <c r="K27" s="787"/>
    </row>
    <row r="28" spans="1:11" ht="18" customHeight="1">
      <c r="A28" s="1299"/>
      <c r="B28" s="1299"/>
      <c r="C28" s="1299"/>
      <c r="D28" s="1299"/>
      <c r="E28" s="1299"/>
      <c r="F28" s="1299"/>
      <c r="G28" s="1299"/>
      <c r="H28" s="432"/>
      <c r="I28" s="432"/>
      <c r="J28" s="432"/>
      <c r="K28" s="787"/>
    </row>
    <row r="29" spans="1:11">
      <c r="C29" s="432"/>
      <c r="D29" s="432"/>
      <c r="E29" s="432"/>
      <c r="F29" s="432"/>
      <c r="G29" s="432"/>
      <c r="H29" s="432"/>
      <c r="I29" s="432"/>
      <c r="J29" s="432"/>
      <c r="K29" s="432"/>
    </row>
    <row r="30" spans="1:11">
      <c r="A30" s="1305" t="s">
        <v>2766</v>
      </c>
      <c r="B30" s="1305"/>
      <c r="C30" s="1305"/>
      <c r="D30" s="1305"/>
      <c r="E30" s="1305"/>
      <c r="F30" s="1305"/>
      <c r="G30" s="1305"/>
      <c r="H30" s="432"/>
      <c r="I30" s="432"/>
      <c r="J30" s="432"/>
      <c r="K30" s="432"/>
    </row>
    <row r="31" spans="1:11">
      <c r="A31" s="1305"/>
      <c r="B31" s="1305"/>
      <c r="C31" s="1305"/>
      <c r="D31" s="1305"/>
      <c r="E31" s="1305"/>
      <c r="F31" s="1305"/>
      <c r="G31" s="1305"/>
      <c r="H31" s="432"/>
      <c r="I31" s="432"/>
      <c r="J31" s="432"/>
      <c r="K31" s="432"/>
    </row>
    <row r="32" spans="1:11">
      <c r="A32" s="1305"/>
      <c r="B32" s="1305"/>
      <c r="C32" s="1305"/>
      <c r="D32" s="1305"/>
      <c r="E32" s="1305"/>
      <c r="F32" s="1305"/>
      <c r="G32" s="1305"/>
      <c r="H32" s="432"/>
      <c r="I32" s="432"/>
      <c r="J32" s="432"/>
      <c r="K32" s="432"/>
    </row>
    <row r="33" spans="2:11">
      <c r="B33" s="802"/>
      <c r="C33" s="432"/>
      <c r="D33" s="432"/>
      <c r="E33" s="432"/>
      <c r="F33" s="432"/>
      <c r="G33" s="788"/>
      <c r="H33" s="432"/>
      <c r="I33" s="432"/>
      <c r="J33" s="432"/>
      <c r="K33" s="432"/>
    </row>
    <row r="34" spans="2:11">
      <c r="C34" s="432"/>
      <c r="D34" s="432"/>
      <c r="E34" s="432"/>
      <c r="F34" s="432"/>
      <c r="G34" s="432"/>
      <c r="H34" s="432"/>
      <c r="I34" s="432"/>
      <c r="J34" s="432"/>
      <c r="K34" s="432"/>
    </row>
    <row r="35" spans="2:11">
      <c r="C35" s="432"/>
      <c r="D35" s="432"/>
      <c r="E35" s="432"/>
      <c r="F35" s="432"/>
      <c r="G35" s="432"/>
      <c r="H35" s="432"/>
      <c r="I35" s="432"/>
      <c r="J35" s="432"/>
      <c r="K35" s="432"/>
    </row>
    <row r="36" spans="2:11">
      <c r="C36" s="432"/>
      <c r="D36" s="432"/>
      <c r="E36" s="432"/>
      <c r="F36" s="432"/>
      <c r="G36" s="432"/>
      <c r="H36" s="432"/>
      <c r="I36" s="432"/>
      <c r="J36" s="432"/>
      <c r="K36" s="432"/>
    </row>
    <row r="37" spans="2:11">
      <c r="C37" s="432"/>
      <c r="D37" s="432"/>
      <c r="E37" s="432"/>
      <c r="F37" s="432"/>
      <c r="G37" s="432"/>
      <c r="H37" s="432"/>
      <c r="I37" s="432"/>
      <c r="J37" s="432"/>
      <c r="K37" s="432"/>
    </row>
    <row r="38" spans="2:11">
      <c r="C38" s="432"/>
      <c r="D38" s="432"/>
      <c r="E38" s="432"/>
      <c r="F38" s="432"/>
      <c r="G38" s="432"/>
      <c r="H38" s="432"/>
      <c r="I38" s="432"/>
      <c r="J38" s="432"/>
      <c r="K38" s="432"/>
    </row>
    <row r="39" spans="2:11">
      <c r="C39" s="432"/>
      <c r="D39" s="432"/>
      <c r="E39" s="432"/>
      <c r="F39" s="432"/>
      <c r="G39" s="432"/>
      <c r="H39" s="432"/>
      <c r="I39" s="432"/>
      <c r="J39" s="432"/>
      <c r="K39" s="432"/>
    </row>
    <row r="40" spans="2:11">
      <c r="C40" s="432"/>
      <c r="D40" s="432"/>
      <c r="E40" s="432"/>
      <c r="F40" s="432"/>
      <c r="G40" s="432"/>
      <c r="H40" s="432"/>
      <c r="I40" s="432"/>
      <c r="J40" s="432"/>
      <c r="K40" s="432"/>
    </row>
    <row r="41" spans="2:11">
      <c r="C41" s="432"/>
      <c r="D41" s="432"/>
      <c r="E41" s="432"/>
      <c r="F41" s="432"/>
      <c r="G41" s="432"/>
      <c r="H41" s="432"/>
      <c r="I41" s="432"/>
      <c r="J41" s="432"/>
      <c r="K41" s="432"/>
    </row>
    <row r="42" spans="2:11">
      <c r="C42" s="432"/>
      <c r="D42" s="432"/>
      <c r="E42" s="432"/>
      <c r="F42" s="432"/>
      <c r="G42" s="432"/>
      <c r="H42" s="432"/>
      <c r="I42" s="432"/>
      <c r="J42" s="432"/>
      <c r="K42" s="432"/>
    </row>
    <row r="43" spans="2:11">
      <c r="C43" s="432"/>
      <c r="D43" s="432"/>
      <c r="E43" s="432"/>
      <c r="F43" s="432"/>
      <c r="G43" s="432"/>
      <c r="H43" s="432"/>
      <c r="I43" s="432"/>
      <c r="J43" s="432"/>
      <c r="K43" s="432"/>
    </row>
    <row r="44" spans="2:11">
      <c r="C44" s="432"/>
      <c r="D44" s="432"/>
      <c r="E44" s="432"/>
      <c r="F44" s="432"/>
      <c r="G44" s="432"/>
      <c r="H44" s="432"/>
      <c r="I44" s="432"/>
      <c r="J44" s="432"/>
      <c r="K44" s="432"/>
    </row>
    <row r="45" spans="2:11">
      <c r="C45" s="432"/>
      <c r="D45" s="432"/>
      <c r="E45" s="432"/>
      <c r="F45" s="432"/>
      <c r="G45" s="432"/>
      <c r="H45" s="432"/>
      <c r="I45" s="432"/>
      <c r="J45" s="432"/>
      <c r="K45" s="432"/>
    </row>
  </sheetData>
  <mergeCells count="7">
    <mergeCell ref="A30:G32"/>
    <mergeCell ref="A1:G1"/>
    <mergeCell ref="A2:G2"/>
    <mergeCell ref="A3:G3"/>
    <mergeCell ref="A4:G4"/>
    <mergeCell ref="E5:G5"/>
    <mergeCell ref="A27:G28"/>
  </mergeCells>
  <printOptions horizontalCentered="1"/>
  <pageMargins left="0.7" right="0.7" top="0.75" bottom="0.75" header="0.3" footer="0.3"/>
  <pageSetup scale="97" orientation="landscape" r:id="rId1"/>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tint="0.59999389629810485"/>
    <pageSetUpPr fitToPage="1"/>
  </sheetPr>
  <dimension ref="A1:R107"/>
  <sheetViews>
    <sheetView workbookViewId="0">
      <selection activeCell="C11" sqref="C11"/>
    </sheetView>
  </sheetViews>
  <sheetFormatPr defaultColWidth="27.85546875" defaultRowHeight="15"/>
  <cols>
    <col min="1" max="1" width="17.42578125" style="762" customWidth="1"/>
    <col min="2" max="2" width="2.42578125" style="762" customWidth="1"/>
    <col min="3" max="3" width="17.42578125" style="762" customWidth="1"/>
    <col min="4" max="4" width="2.42578125" style="762" customWidth="1"/>
    <col min="5" max="5" width="15.5703125" style="762" bestFit="1" customWidth="1"/>
    <col min="6" max="6" width="2.42578125" style="762" customWidth="1"/>
    <col min="7" max="7" width="17.42578125" style="762" bestFit="1" customWidth="1"/>
    <col min="8" max="8" width="2.42578125" style="762" customWidth="1"/>
    <col min="9" max="9" width="19.42578125" style="762" customWidth="1"/>
    <col min="10" max="10" width="4.140625" style="762" customWidth="1"/>
    <col min="11" max="11" width="19.42578125" style="762" customWidth="1"/>
    <col min="12" max="12" width="4.140625" style="762" customWidth="1"/>
    <col min="13" max="13" width="20" style="762" customWidth="1"/>
    <col min="14" max="14" width="16.5703125" style="762" customWidth="1"/>
    <col min="15" max="15" width="27.85546875" style="762" customWidth="1"/>
    <col min="16" max="16" width="20.5703125" style="762" customWidth="1"/>
    <col min="17" max="17" width="14.42578125" style="762" customWidth="1"/>
    <col min="18" max="18" width="10.140625" style="762" customWidth="1"/>
    <col min="19" max="19" width="15.5703125" style="762" customWidth="1"/>
    <col min="20" max="20" width="3.140625" style="762" customWidth="1"/>
    <col min="21" max="21" width="2.42578125" style="762" customWidth="1"/>
    <col min="22" max="45" width="18.85546875" style="762" customWidth="1"/>
    <col min="46" max="46" width="47.42578125" style="762" bestFit="1" customWidth="1"/>
    <col min="47" max="47" width="20.42578125" style="762" customWidth="1"/>
    <col min="48" max="48" width="18.5703125" style="762" customWidth="1"/>
    <col min="49" max="49" width="19.42578125" style="762" customWidth="1"/>
    <col min="50" max="50" width="18.5703125" style="762" customWidth="1"/>
    <col min="51" max="51" width="3.5703125" style="762" customWidth="1"/>
    <col min="52" max="52" width="18.5703125" style="762" customWidth="1"/>
    <col min="53" max="53" width="43" style="762" customWidth="1"/>
    <col min="54" max="55" width="18.5703125" style="762" customWidth="1"/>
    <col min="56" max="56" width="3.5703125" style="762" customWidth="1"/>
    <col min="57" max="16384" width="27.85546875" style="762"/>
  </cols>
  <sheetData>
    <row r="1" spans="1:18" ht="18" customHeight="1">
      <c r="A1" s="1302" t="s">
        <v>2393</v>
      </c>
      <c r="B1" s="1302"/>
      <c r="C1" s="1302"/>
      <c r="D1" s="1302"/>
      <c r="E1" s="1302"/>
      <c r="F1" s="1302"/>
      <c r="G1" s="1302"/>
      <c r="H1" s="790"/>
      <c r="I1" s="790"/>
    </row>
    <row r="2" spans="1:18" ht="18" customHeight="1">
      <c r="A2" s="1302" t="s">
        <v>2411</v>
      </c>
      <c r="B2" s="1302"/>
      <c r="C2" s="1302"/>
      <c r="D2" s="1302"/>
      <c r="E2" s="1302"/>
      <c r="F2" s="1302"/>
      <c r="G2" s="1302"/>
      <c r="H2" s="790"/>
      <c r="I2" s="790"/>
    </row>
    <row r="3" spans="1:18" ht="18" customHeight="1">
      <c r="A3" s="1302" t="s">
        <v>2412</v>
      </c>
      <c r="B3" s="1302"/>
      <c r="C3" s="1302"/>
      <c r="D3" s="1302"/>
      <c r="E3" s="1302"/>
      <c r="F3" s="1302"/>
      <c r="G3" s="1302"/>
      <c r="H3" s="790"/>
      <c r="I3" s="790"/>
    </row>
    <row r="4" spans="1:18" ht="18" customHeight="1">
      <c r="A4" s="1301" t="s">
        <v>2690</v>
      </c>
      <c r="B4" s="1301"/>
      <c r="C4" s="1301"/>
      <c r="D4" s="1301"/>
      <c r="E4" s="1301"/>
      <c r="F4" s="1301"/>
      <c r="G4" s="1301"/>
      <c r="H4" s="796"/>
      <c r="I4" s="796"/>
    </row>
    <row r="5" spans="1:18" ht="18" customHeight="1">
      <c r="A5" s="759"/>
      <c r="B5" s="760"/>
      <c r="C5" s="760"/>
      <c r="D5" s="760"/>
      <c r="E5" s="760"/>
      <c r="F5" s="760"/>
      <c r="G5" s="761" t="s">
        <v>2413</v>
      </c>
    </row>
    <row r="6" spans="1:18" ht="18" customHeight="1">
      <c r="A6" s="759"/>
      <c r="B6" s="760"/>
      <c r="C6" s="760"/>
      <c r="D6" s="760"/>
      <c r="E6" s="760"/>
      <c r="F6" s="760"/>
      <c r="G6" s="761"/>
      <c r="H6" s="761"/>
      <c r="I6" s="761"/>
    </row>
    <row r="7" spans="1:18" ht="18" customHeight="1">
      <c r="A7" s="759"/>
      <c r="B7" s="760"/>
      <c r="C7" s="760"/>
      <c r="D7" s="760"/>
      <c r="E7" s="760"/>
      <c r="F7" s="760"/>
      <c r="G7" s="761"/>
      <c r="H7" s="761"/>
      <c r="I7" s="761"/>
    </row>
    <row r="8" spans="1:18" ht="18" customHeight="1">
      <c r="A8" s="765"/>
      <c r="B8" s="765"/>
      <c r="C8" s="765" t="s">
        <v>2414</v>
      </c>
      <c r="D8" s="765"/>
      <c r="E8" s="765" t="s">
        <v>2415</v>
      </c>
      <c r="F8" s="765"/>
      <c r="G8" s="765" t="s">
        <v>2416</v>
      </c>
      <c r="I8" s="765"/>
    </row>
    <row r="9" spans="1:18" ht="18" customHeight="1">
      <c r="A9" s="767" t="s">
        <v>2417</v>
      </c>
      <c r="B9" s="765"/>
      <c r="C9" s="767" t="s">
        <v>2418</v>
      </c>
      <c r="D9" s="765"/>
      <c r="E9" s="767" t="s">
        <v>2414</v>
      </c>
      <c r="F9" s="765"/>
      <c r="G9" s="767" t="s">
        <v>2414</v>
      </c>
      <c r="I9" s="765"/>
    </row>
    <row r="10" spans="1:18" ht="18" customHeight="1"/>
    <row r="11" spans="1:18" ht="18" customHeight="1">
      <c r="A11" s="794" t="s">
        <v>2308</v>
      </c>
      <c r="C11" s="800">
        <v>1</v>
      </c>
      <c r="E11" s="801">
        <f>((1+'AFUDC Sch A '!I24)^(1/12))-1</f>
        <v>4.8675505653430484E-3</v>
      </c>
      <c r="G11" s="797">
        <f>E11</f>
        <v>4.8675505653430484E-3</v>
      </c>
      <c r="I11" s="797"/>
      <c r="R11" s="795"/>
    </row>
    <row r="12" spans="1:18" ht="18" customHeight="1">
      <c r="A12" s="792" t="s">
        <v>2309</v>
      </c>
      <c r="C12" s="800">
        <f>1+G11</f>
        <v>1.004867550565343</v>
      </c>
      <c r="E12" s="797">
        <f>E11*(1+E$11)</f>
        <v>4.8912436138492197E-3</v>
      </c>
      <c r="G12" s="797">
        <f>G11+E12</f>
        <v>9.7587941791922681E-3</v>
      </c>
      <c r="I12" s="797"/>
      <c r="R12" s="795"/>
    </row>
    <row r="13" spans="1:18" ht="18" customHeight="1">
      <c r="A13" s="794" t="s">
        <v>2310</v>
      </c>
      <c r="C13" s="800">
        <f t="shared" ref="C13:C22" si="0">1+G12</f>
        <v>1.0097587941791923</v>
      </c>
      <c r="E13" s="797">
        <f>E12*(1+E$11)</f>
        <v>4.9150519894670423E-3</v>
      </c>
      <c r="G13" s="797">
        <f t="shared" ref="G13:G22" si="1">G12+E13</f>
        <v>1.467384616865931E-2</v>
      </c>
      <c r="I13" s="797"/>
    </row>
    <row r="14" spans="1:18" ht="18" customHeight="1">
      <c r="A14" s="792" t="s">
        <v>2311</v>
      </c>
      <c r="C14" s="800">
        <f t="shared" si="0"/>
        <v>1.0146738461686593</v>
      </c>
      <c r="E14" s="797">
        <f t="shared" ref="E14:E22" si="2">E13*(1+E$11)</f>
        <v>4.9389762535570628E-3</v>
      </c>
      <c r="G14" s="797">
        <f t="shared" si="1"/>
        <v>1.9612822422216371E-2</v>
      </c>
      <c r="I14" s="797"/>
      <c r="J14" s="793"/>
    </row>
    <row r="15" spans="1:18" ht="18" customHeight="1">
      <c r="A15" s="794" t="s">
        <v>296</v>
      </c>
      <c r="C15" s="800">
        <f t="shared" si="0"/>
        <v>1.0196128224222163</v>
      </c>
      <c r="E15" s="797">
        <f t="shared" si="2"/>
        <v>4.9630169702122801E-3</v>
      </c>
      <c r="G15" s="797">
        <f t="shared" si="1"/>
        <v>2.4575839392428651E-2</v>
      </c>
      <c r="I15" s="797"/>
      <c r="Q15" s="765"/>
    </row>
    <row r="16" spans="1:18" ht="18" customHeight="1">
      <c r="A16" s="792" t="s">
        <v>2312</v>
      </c>
      <c r="C16" s="800">
        <f t="shared" si="0"/>
        <v>1.0245758393924287</v>
      </c>
      <c r="E16" s="797">
        <f t="shared" si="2"/>
        <v>4.9871747062714437E-3</v>
      </c>
      <c r="G16" s="797">
        <f t="shared" si="1"/>
        <v>2.9563014098700095E-2</v>
      </c>
      <c r="I16" s="797"/>
      <c r="O16" s="793"/>
      <c r="Q16" s="793"/>
    </row>
    <row r="17" spans="1:17" ht="18" customHeight="1">
      <c r="A17" s="794" t="s">
        <v>2313</v>
      </c>
      <c r="C17" s="800">
        <f t="shared" si="0"/>
        <v>1.0295630140987</v>
      </c>
      <c r="E17" s="797">
        <f t="shared" si="2"/>
        <v>5.0114500313324199E-3</v>
      </c>
      <c r="G17" s="797">
        <f t="shared" si="1"/>
        <v>3.4574464130032512E-2</v>
      </c>
      <c r="I17" s="797"/>
    </row>
    <row r="18" spans="1:17" ht="18" customHeight="1">
      <c r="A18" s="792" t="s">
        <v>2314</v>
      </c>
      <c r="C18" s="800">
        <f t="shared" si="0"/>
        <v>1.0345744641300325</v>
      </c>
      <c r="E18" s="797">
        <f t="shared" si="2"/>
        <v>5.0358435177656202E-3</v>
      </c>
      <c r="G18" s="797">
        <f t="shared" si="1"/>
        <v>3.9610307647798132E-2</v>
      </c>
      <c r="I18" s="797"/>
    </row>
    <row r="19" spans="1:17" ht="18" customHeight="1">
      <c r="A19" s="794" t="s">
        <v>2315</v>
      </c>
      <c r="C19" s="800">
        <f t="shared" si="0"/>
        <v>1.039610307647798</v>
      </c>
      <c r="E19" s="797">
        <f t="shared" si="2"/>
        <v>5.0603557407274992E-3</v>
      </c>
      <c r="G19" s="797">
        <f t="shared" si="1"/>
        <v>4.4670663388525628E-2</v>
      </c>
      <c r="I19" s="797"/>
    </row>
    <row r="20" spans="1:17" ht="18" customHeight="1">
      <c r="A20" s="792" t="s">
        <v>2323</v>
      </c>
      <c r="C20" s="800">
        <f t="shared" si="0"/>
        <v>1.0446706633885257</v>
      </c>
      <c r="E20" s="797">
        <f t="shared" si="2"/>
        <v>5.084987278174114E-3</v>
      </c>
      <c r="G20" s="797">
        <f t="shared" si="1"/>
        <v>4.9755650666699743E-2</v>
      </c>
      <c r="I20" s="797"/>
    </row>
    <row r="21" spans="1:17" ht="18" customHeight="1">
      <c r="A21" s="794" t="s">
        <v>2324</v>
      </c>
      <c r="C21" s="800">
        <f t="shared" si="0"/>
        <v>1.0497556506666998</v>
      </c>
      <c r="E21" s="797">
        <f t="shared" si="2"/>
        <v>5.1097387108747522E-3</v>
      </c>
      <c r="G21" s="797">
        <f t="shared" si="1"/>
        <v>5.4865389377574493E-2</v>
      </c>
      <c r="I21" s="797"/>
    </row>
    <row r="22" spans="1:17" ht="18" customHeight="1">
      <c r="A22" s="792" t="s">
        <v>2307</v>
      </c>
      <c r="C22" s="800">
        <f t="shared" si="0"/>
        <v>1.0548653893775746</v>
      </c>
      <c r="E22" s="797">
        <f t="shared" si="2"/>
        <v>5.1346106224256262E-3</v>
      </c>
      <c r="G22" s="797">
        <f t="shared" si="1"/>
        <v>6.0000000000000123E-2</v>
      </c>
      <c r="I22" s="797"/>
    </row>
    <row r="23" spans="1:17" ht="18" customHeight="1">
      <c r="I23" s="797"/>
    </row>
    <row r="24" spans="1:17">
      <c r="A24" s="762" t="s">
        <v>2767</v>
      </c>
    </row>
    <row r="25" spans="1:17">
      <c r="A25" s="762" t="s">
        <v>2768</v>
      </c>
    </row>
    <row r="30" spans="1:17">
      <c r="O30" s="793"/>
      <c r="Q30" s="793"/>
    </row>
    <row r="31" spans="1:17">
      <c r="A31" s="1180">
        <f>+((1+C31)^(1/12))-1</f>
        <v>4.8675505653430484E-3</v>
      </c>
      <c r="C31" s="1181">
        <f>+G22</f>
        <v>6.0000000000000123E-2</v>
      </c>
    </row>
    <row r="32" spans="1:17">
      <c r="Q32" s="793"/>
    </row>
    <row r="33" spans="1:5">
      <c r="A33" s="798"/>
    </row>
    <row r="34" spans="1:5">
      <c r="A34" s="798"/>
      <c r="E34" s="799"/>
    </row>
    <row r="35" spans="1:5">
      <c r="A35" s="798"/>
      <c r="E35" s="799"/>
    </row>
    <row r="93" spans="13:13">
      <c r="M93" s="761"/>
    </row>
    <row r="94" spans="13:13">
      <c r="M94" s="761"/>
    </row>
    <row r="95" spans="13:13">
      <c r="M95" s="793"/>
    </row>
    <row r="100" spans="13:13">
      <c r="M100" s="761"/>
    </row>
    <row r="102" spans="13:13">
      <c r="M102" s="761"/>
    </row>
    <row r="103" spans="13:13">
      <c r="M103" s="761"/>
    </row>
    <row r="105" spans="13:13">
      <c r="M105" s="761"/>
    </row>
    <row r="107" spans="13:13">
      <c r="M107" s="761"/>
    </row>
  </sheetData>
  <mergeCells count="4">
    <mergeCell ref="A1:G1"/>
    <mergeCell ref="A2:G2"/>
    <mergeCell ref="A3:G3"/>
    <mergeCell ref="A4:G4"/>
  </mergeCells>
  <printOptions horizontalCentered="1"/>
  <pageMargins left="0.7" right="0.7" top="0.75" bottom="0.75" header="0.3" footer="0.3"/>
  <pageSetup orientation="landscape" r:id="rId1"/>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2:O89"/>
  <sheetViews>
    <sheetView workbookViewId="0"/>
  </sheetViews>
  <sheetFormatPr defaultRowHeight="12.75"/>
  <cols>
    <col min="8" max="8" width="13.42578125" customWidth="1"/>
    <col min="9" max="9" width="2.5703125" bestFit="1" customWidth="1"/>
    <col min="10" max="10" width="2.5703125" customWidth="1"/>
    <col min="11" max="11" width="13.42578125" customWidth="1"/>
    <col min="12" max="12" width="2.5703125" bestFit="1" customWidth="1"/>
    <col min="13" max="13" width="2.5703125" customWidth="1"/>
    <col min="14" max="14" width="13.42578125" customWidth="1"/>
    <col min="15" max="15" width="2.5703125" bestFit="1" customWidth="1"/>
  </cols>
  <sheetData>
    <row r="2" spans="1:15">
      <c r="A2" s="1297" t="s">
        <v>204</v>
      </c>
      <c r="B2" s="1297"/>
      <c r="C2" s="1297"/>
      <c r="D2" s="1297"/>
      <c r="E2" s="1297"/>
      <c r="F2" s="1297"/>
      <c r="G2" s="1297"/>
      <c r="H2" s="1297"/>
      <c r="I2" s="1297"/>
      <c r="J2" s="1297"/>
      <c r="K2" s="1297"/>
      <c r="L2" s="1297"/>
      <c r="M2" s="1297"/>
      <c r="N2" s="1297"/>
      <c r="O2" s="1297"/>
    </row>
    <row r="3" spans="1:15">
      <c r="A3" s="1309" t="s">
        <v>180</v>
      </c>
      <c r="B3" s="1309"/>
      <c r="C3" s="1309"/>
      <c r="D3" s="1309"/>
      <c r="E3" s="1309"/>
      <c r="F3" s="1309"/>
      <c r="G3" s="1309"/>
      <c r="H3" s="1309"/>
      <c r="I3" s="1309"/>
      <c r="J3" s="1309"/>
      <c r="K3" s="1309"/>
      <c r="L3" s="1309"/>
      <c r="M3" s="1309"/>
      <c r="N3" s="1309"/>
      <c r="O3" s="1309"/>
    </row>
    <row r="4" spans="1:15">
      <c r="A4" s="1309" t="s">
        <v>162</v>
      </c>
      <c r="B4" s="1309"/>
      <c r="C4" s="1309"/>
      <c r="D4" s="1309"/>
      <c r="E4" s="1309"/>
      <c r="F4" s="1309"/>
      <c r="G4" s="1309"/>
      <c r="H4" s="1309"/>
      <c r="I4" s="1309"/>
      <c r="J4" s="1309"/>
      <c r="K4" s="1309"/>
      <c r="L4" s="1309"/>
      <c r="M4" s="1309"/>
      <c r="N4" s="1309"/>
      <c r="O4" s="1309"/>
    </row>
    <row r="5" spans="1:15">
      <c r="A5" s="1295" t="str">
        <f>Report!A180</f>
        <v>(In $ Thousands)</v>
      </c>
      <c r="B5" s="1295"/>
      <c r="C5" s="1295"/>
      <c r="D5" s="1295"/>
      <c r="E5" s="1295"/>
      <c r="F5" s="1295"/>
      <c r="G5" s="1295"/>
      <c r="H5" s="1295"/>
      <c r="I5" s="1295"/>
      <c r="J5" s="1295"/>
      <c r="K5" s="1295"/>
      <c r="L5" s="1295"/>
      <c r="M5" s="1295"/>
      <c r="N5" s="1295"/>
      <c r="O5" s="1295"/>
    </row>
    <row r="6" spans="1:15">
      <c r="A6" s="583"/>
      <c r="B6" s="621"/>
      <c r="C6" s="621"/>
      <c r="D6" s="621"/>
      <c r="E6" s="621"/>
      <c r="F6" s="621"/>
      <c r="G6" s="621"/>
      <c r="H6" s="621"/>
      <c r="I6" s="621"/>
    </row>
    <row r="7" spans="1:15">
      <c r="A7" s="583"/>
      <c r="B7" s="621"/>
      <c r="C7" s="621"/>
      <c r="D7" s="621"/>
      <c r="E7" s="621"/>
      <c r="F7" s="621"/>
      <c r="G7" s="621"/>
      <c r="H7" s="1308" t="s">
        <v>2754</v>
      </c>
      <c r="I7" s="621"/>
      <c r="K7" s="1308" t="s">
        <v>2755</v>
      </c>
      <c r="L7" s="621"/>
      <c r="N7" s="1308" t="s">
        <v>2690</v>
      </c>
      <c r="O7" s="621"/>
    </row>
    <row r="8" spans="1:15">
      <c r="A8" s="583"/>
      <c r="B8" s="621"/>
      <c r="C8" s="621"/>
      <c r="D8" s="621"/>
      <c r="E8" s="621"/>
      <c r="F8" s="621"/>
      <c r="G8" s="621"/>
      <c r="H8" s="1308"/>
      <c r="I8" s="621"/>
      <c r="K8" s="1308"/>
      <c r="L8" s="621"/>
      <c r="N8" s="1308"/>
      <c r="O8" s="621"/>
    </row>
    <row r="9" spans="1:15">
      <c r="A9" s="583"/>
      <c r="B9" s="621"/>
      <c r="C9" s="621"/>
      <c r="D9" s="621"/>
      <c r="E9" s="621"/>
      <c r="F9" s="621"/>
      <c r="G9" s="621"/>
      <c r="H9" s="621"/>
      <c r="I9" s="621"/>
      <c r="K9" s="621"/>
      <c r="L9" s="621"/>
      <c r="N9" s="621"/>
      <c r="O9" s="621"/>
    </row>
    <row r="10" spans="1:15">
      <c r="A10" s="599" t="s">
        <v>181</v>
      </c>
      <c r="B10" s="592"/>
      <c r="C10" s="592"/>
      <c r="D10" s="592"/>
      <c r="E10" s="592"/>
      <c r="F10" s="592"/>
      <c r="G10" s="592"/>
      <c r="H10" s="592"/>
      <c r="I10" s="592"/>
      <c r="K10" s="592"/>
      <c r="L10" s="592"/>
      <c r="N10" s="592"/>
      <c r="O10" s="592"/>
    </row>
    <row r="11" spans="1:15">
      <c r="A11" s="599" t="s">
        <v>182</v>
      </c>
      <c r="B11" s="592"/>
      <c r="C11" s="592"/>
      <c r="D11" s="592"/>
      <c r="E11" s="592"/>
      <c r="F11" s="592"/>
      <c r="G11" s="592"/>
      <c r="H11" s="592"/>
      <c r="I11" s="592"/>
      <c r="K11" s="592"/>
      <c r="L11" s="592"/>
      <c r="N11" s="592"/>
      <c r="O11" s="592"/>
    </row>
    <row r="12" spans="1:15">
      <c r="A12" s="587"/>
      <c r="B12" s="592"/>
      <c r="C12" s="592"/>
      <c r="D12" s="592"/>
      <c r="E12" s="592"/>
      <c r="F12" s="592"/>
      <c r="G12" s="592"/>
      <c r="H12" s="592"/>
      <c r="I12" s="592"/>
      <c r="K12" s="592"/>
      <c r="L12" s="592"/>
      <c r="N12" s="592"/>
      <c r="O12" s="592"/>
    </row>
    <row r="13" spans="1:15">
      <c r="A13" s="587"/>
      <c r="B13" s="592"/>
      <c r="C13" s="592"/>
      <c r="D13" s="592"/>
      <c r="E13" s="592"/>
      <c r="F13" s="592"/>
      <c r="G13" s="592"/>
      <c r="H13" s="592"/>
      <c r="I13" s="592"/>
      <c r="K13" s="592"/>
      <c r="L13" s="592"/>
      <c r="N13" s="592"/>
      <c r="O13" s="592"/>
    </row>
    <row r="14" spans="1:15">
      <c r="A14" s="587" t="s">
        <v>183</v>
      </c>
      <c r="B14" s="592"/>
      <c r="C14" s="592"/>
      <c r="D14" s="592"/>
      <c r="E14" s="592"/>
      <c r="F14" s="592"/>
      <c r="G14" s="592"/>
      <c r="H14" s="593">
        <v>6.2606000000000002</v>
      </c>
      <c r="I14" s="592" t="s">
        <v>108</v>
      </c>
      <c r="K14" s="593">
        <v>4.8982999999999999</v>
      </c>
      <c r="L14" s="592" t="s">
        <v>108</v>
      </c>
      <c r="N14" s="593">
        <f>Report!H189</f>
        <v>5.7572000000000001</v>
      </c>
      <c r="O14" s="592" t="s">
        <v>108</v>
      </c>
    </row>
    <row r="15" spans="1:15">
      <c r="A15" s="587" t="s">
        <v>185</v>
      </c>
      <c r="B15" s="592"/>
      <c r="C15" s="592"/>
      <c r="D15" s="592"/>
      <c r="E15" s="592"/>
      <c r="F15" s="592"/>
      <c r="G15" s="592"/>
      <c r="H15" s="592"/>
      <c r="I15" s="592"/>
      <c r="K15" s="592"/>
      <c r="L15" s="592"/>
      <c r="N15" s="592"/>
      <c r="O15" s="592"/>
    </row>
    <row r="16" spans="1:15">
      <c r="A16" s="587" t="s">
        <v>186</v>
      </c>
      <c r="B16" s="592"/>
      <c r="C16" s="592"/>
      <c r="D16" s="592"/>
      <c r="E16" s="592"/>
      <c r="F16" s="592"/>
      <c r="G16" s="592"/>
      <c r="H16" s="592"/>
      <c r="I16" s="592"/>
      <c r="K16" s="592"/>
      <c r="L16" s="592"/>
      <c r="N16" s="592"/>
      <c r="O16" s="592"/>
    </row>
    <row r="17" spans="1:15">
      <c r="A17" s="587" t="s">
        <v>174</v>
      </c>
      <c r="B17" s="592"/>
      <c r="C17" s="592"/>
      <c r="D17" s="592"/>
      <c r="E17" s="592"/>
      <c r="F17" s="592"/>
      <c r="G17" s="592"/>
      <c r="H17" s="680">
        <v>-1.42</v>
      </c>
      <c r="I17" s="592" t="s">
        <v>108</v>
      </c>
      <c r="K17" s="680">
        <v>-1.23</v>
      </c>
      <c r="L17" s="592" t="s">
        <v>108</v>
      </c>
      <c r="N17" s="680">
        <f>Report!H192</f>
        <v>-1.18</v>
      </c>
      <c r="O17" s="592" t="s">
        <v>108</v>
      </c>
    </row>
    <row r="18" spans="1:15">
      <c r="A18" s="587" t="s">
        <v>175</v>
      </c>
      <c r="B18" s="592"/>
      <c r="C18" s="592"/>
      <c r="D18" s="592"/>
      <c r="E18" s="592"/>
      <c r="F18" s="592"/>
      <c r="G18" s="592"/>
      <c r="H18" s="680">
        <v>-0.15</v>
      </c>
      <c r="I18" s="592" t="s">
        <v>108</v>
      </c>
      <c r="K18" s="680">
        <v>-0.12</v>
      </c>
      <c r="L18" s="592" t="s">
        <v>108</v>
      </c>
      <c r="N18" s="680">
        <f>Report!H193</f>
        <v>-0.2</v>
      </c>
      <c r="O18" s="592" t="s">
        <v>108</v>
      </c>
    </row>
    <row r="19" spans="1:15">
      <c r="A19" s="587" t="s">
        <v>187</v>
      </c>
      <c r="B19" s="592"/>
      <c r="C19" s="592"/>
      <c r="D19" s="592"/>
      <c r="E19" s="592"/>
      <c r="F19" s="592"/>
      <c r="G19" s="592"/>
      <c r="H19" s="1171">
        <v>0</v>
      </c>
      <c r="I19" s="1172" t="s">
        <v>108</v>
      </c>
      <c r="J19" s="1173"/>
      <c r="K19" s="1171">
        <v>0</v>
      </c>
      <c r="L19" s="1172" t="s">
        <v>108</v>
      </c>
      <c r="M19" s="1173"/>
      <c r="N19" s="1171">
        <v>0</v>
      </c>
      <c r="O19" s="592" t="s">
        <v>108</v>
      </c>
    </row>
    <row r="20" spans="1:15">
      <c r="A20" s="587" t="s">
        <v>17</v>
      </c>
      <c r="B20" s="592"/>
      <c r="C20" s="592"/>
      <c r="D20" s="592"/>
      <c r="E20" s="592"/>
      <c r="F20" s="592"/>
      <c r="G20" s="592"/>
      <c r="H20" s="1171">
        <v>-0.06</v>
      </c>
      <c r="I20" s="1172" t="s">
        <v>108</v>
      </c>
      <c r="J20" s="1173"/>
      <c r="K20" s="1171">
        <v>-0.05</v>
      </c>
      <c r="L20" s="1172" t="s">
        <v>108</v>
      </c>
      <c r="M20" s="1173"/>
      <c r="N20" s="1171">
        <f>Report!H195</f>
        <v>-0.04</v>
      </c>
      <c r="O20" s="592" t="s">
        <v>108</v>
      </c>
    </row>
    <row r="21" spans="1:15">
      <c r="A21" s="587" t="s">
        <v>188</v>
      </c>
      <c r="B21" s="592"/>
      <c r="C21" s="592"/>
      <c r="D21" s="592"/>
      <c r="E21" s="592"/>
      <c r="F21" s="592"/>
      <c r="G21" s="592"/>
      <c r="H21" s="1171">
        <v>0</v>
      </c>
      <c r="I21" s="1172" t="s">
        <v>108</v>
      </c>
      <c r="J21" s="1173"/>
      <c r="K21" s="1171">
        <v>0</v>
      </c>
      <c r="L21" s="1172" t="s">
        <v>108</v>
      </c>
      <c r="M21" s="1173"/>
      <c r="N21" s="1171">
        <v>0</v>
      </c>
      <c r="O21" s="592" t="s">
        <v>108</v>
      </c>
    </row>
    <row r="22" spans="1:15">
      <c r="A22" s="587" t="s">
        <v>189</v>
      </c>
      <c r="B22" s="592"/>
      <c r="C22" s="592"/>
      <c r="D22" s="592"/>
      <c r="E22" s="592"/>
      <c r="F22" s="592"/>
      <c r="G22" s="592"/>
      <c r="H22" s="682">
        <v>-1.63</v>
      </c>
      <c r="I22" s="592" t="s">
        <v>108</v>
      </c>
      <c r="K22" s="682">
        <v>-1.4000000000000001</v>
      </c>
      <c r="L22" s="592" t="s">
        <v>108</v>
      </c>
      <c r="N22" s="682">
        <f>SUM(N17:N21)</f>
        <v>-1.42</v>
      </c>
      <c r="O22" s="592" t="s">
        <v>108</v>
      </c>
    </row>
    <row r="23" spans="1:15">
      <c r="A23" s="587"/>
      <c r="B23" s="592"/>
      <c r="C23" s="592"/>
      <c r="D23" s="592"/>
      <c r="E23" s="592"/>
      <c r="F23" s="592"/>
      <c r="G23" s="592"/>
      <c r="H23" s="592"/>
      <c r="I23" s="592"/>
      <c r="K23" s="592"/>
      <c r="L23" s="592"/>
      <c r="N23" s="592"/>
      <c r="O23" s="592"/>
    </row>
    <row r="24" spans="1:15">
      <c r="A24" s="587" t="s">
        <v>1</v>
      </c>
      <c r="B24" s="592"/>
      <c r="C24" s="592"/>
      <c r="D24" s="592"/>
      <c r="E24" s="592"/>
      <c r="F24" s="592"/>
      <c r="G24" s="592"/>
      <c r="H24" s="680">
        <v>4.6306000000000003</v>
      </c>
      <c r="I24" s="592" t="s">
        <v>108</v>
      </c>
      <c r="K24" s="680">
        <v>3.4983</v>
      </c>
      <c r="L24" s="592" t="s">
        <v>108</v>
      </c>
      <c r="N24" s="680">
        <f>ROUND(N14+N22,4)</f>
        <v>4.3372000000000002</v>
      </c>
      <c r="O24" s="592" t="s">
        <v>108</v>
      </c>
    </row>
    <row r="25" spans="1:15">
      <c r="A25" s="587"/>
      <c r="B25" s="592"/>
      <c r="C25" s="592"/>
      <c r="D25" s="592"/>
      <c r="E25" s="592"/>
      <c r="F25" s="592"/>
      <c r="G25" s="592"/>
      <c r="H25" s="592"/>
      <c r="I25" s="592"/>
      <c r="K25" s="592"/>
      <c r="L25" s="592"/>
      <c r="N25" s="592"/>
      <c r="O25" s="592"/>
    </row>
    <row r="26" spans="1:15">
      <c r="A26" s="587" t="s">
        <v>190</v>
      </c>
      <c r="B26" s="592"/>
      <c r="C26" s="592"/>
      <c r="D26" s="592"/>
      <c r="E26" s="592"/>
      <c r="F26" s="592"/>
      <c r="G26" s="592"/>
      <c r="H26" s="683">
        <v>46.31</v>
      </c>
      <c r="I26" s="592" t="s">
        <v>108</v>
      </c>
      <c r="K26" s="683">
        <v>47.46</v>
      </c>
      <c r="L26" s="592" t="s">
        <v>108</v>
      </c>
      <c r="N26" s="683">
        <f>Report!H201</f>
        <v>46.89</v>
      </c>
      <c r="O26" s="592" t="s">
        <v>108</v>
      </c>
    </row>
    <row r="27" spans="1:15">
      <c r="A27" s="587"/>
      <c r="B27" s="592"/>
      <c r="C27" s="592"/>
      <c r="D27" s="592"/>
      <c r="E27" s="592"/>
      <c r="F27" s="592"/>
      <c r="G27" s="592"/>
      <c r="H27" s="592"/>
      <c r="I27" s="592"/>
      <c r="K27" s="592"/>
      <c r="L27" s="592"/>
      <c r="N27" s="592"/>
      <c r="O27" s="592"/>
    </row>
    <row r="28" spans="1:15" ht="13.5" thickBot="1">
      <c r="A28" s="587" t="s">
        <v>191</v>
      </c>
      <c r="B28" s="592"/>
      <c r="C28" s="592"/>
      <c r="D28" s="592"/>
      <c r="E28" s="592"/>
      <c r="F28" s="592"/>
      <c r="G28" s="592"/>
      <c r="H28" s="684">
        <v>9.9991000000000003</v>
      </c>
      <c r="I28" s="592" t="s">
        <v>108</v>
      </c>
      <c r="K28" s="684">
        <v>7.3710000000000004</v>
      </c>
      <c r="L28" s="592" t="s">
        <v>108</v>
      </c>
      <c r="N28" s="684">
        <f>ROUND((N24)/(N26/100),4)</f>
        <v>9.2497000000000007</v>
      </c>
      <c r="O28" s="592" t="s">
        <v>108</v>
      </c>
    </row>
    <row r="29" spans="1:15" ht="13.5" thickTop="1">
      <c r="A29" s="587"/>
      <c r="B29" s="592"/>
      <c r="C29" s="592"/>
      <c r="D29" s="592"/>
      <c r="E29" s="592"/>
      <c r="F29" s="592"/>
      <c r="G29" s="592"/>
      <c r="H29" s="592"/>
      <c r="I29" s="592"/>
    </row>
    <row r="30" spans="1:15">
      <c r="A30" s="587"/>
      <c r="B30" s="592"/>
      <c r="C30" s="592"/>
      <c r="D30" s="592"/>
      <c r="E30" s="592"/>
      <c r="F30" s="592"/>
      <c r="G30" s="592"/>
      <c r="H30" s="592"/>
      <c r="I30" s="592"/>
    </row>
    <row r="31" spans="1:15">
      <c r="A31" s="587"/>
      <c r="B31" s="592"/>
      <c r="C31" s="592"/>
      <c r="D31" s="592"/>
      <c r="E31" s="592"/>
      <c r="F31" s="592"/>
      <c r="G31" s="592"/>
      <c r="H31" s="592"/>
      <c r="I31" s="592"/>
    </row>
    <row r="32" spans="1:15">
      <c r="A32" s="587"/>
      <c r="B32" s="592"/>
      <c r="C32" s="592"/>
      <c r="D32" s="592"/>
      <c r="E32" s="592"/>
      <c r="F32" s="592"/>
      <c r="G32" s="592"/>
      <c r="H32" s="592"/>
      <c r="I32" s="592"/>
    </row>
    <row r="33" spans="1:15">
      <c r="A33" s="599" t="s">
        <v>192</v>
      </c>
      <c r="B33" s="592"/>
      <c r="C33" s="592"/>
      <c r="D33" s="592"/>
      <c r="E33" s="592"/>
      <c r="F33" s="592"/>
      <c r="G33" s="592"/>
      <c r="H33" s="592"/>
      <c r="I33" s="592"/>
    </row>
    <row r="34" spans="1:15">
      <c r="A34" s="599" t="s">
        <v>193</v>
      </c>
      <c r="B34" s="592"/>
      <c r="C34" s="592"/>
      <c r="D34" s="592"/>
      <c r="E34" s="592"/>
      <c r="F34" s="592"/>
      <c r="G34" s="592"/>
      <c r="H34" s="592"/>
      <c r="I34" s="592"/>
    </row>
    <row r="35" spans="1:15">
      <c r="A35" s="587"/>
      <c r="B35" s="592"/>
      <c r="C35" s="592"/>
      <c r="D35" s="592"/>
      <c r="E35" s="592"/>
      <c r="F35" s="592"/>
      <c r="G35" s="592"/>
      <c r="H35" s="592"/>
      <c r="I35" s="592"/>
    </row>
    <row r="36" spans="1:15">
      <c r="A36" s="587"/>
      <c r="B36" s="592"/>
      <c r="C36" s="592"/>
      <c r="D36" s="592"/>
      <c r="E36" s="592"/>
      <c r="F36" s="592"/>
      <c r="G36" s="592"/>
      <c r="H36" s="592"/>
      <c r="I36" s="592"/>
      <c r="K36" s="592"/>
      <c r="L36" s="592"/>
      <c r="N36" s="592"/>
      <c r="O36" s="592"/>
    </row>
    <row r="37" spans="1:15">
      <c r="A37" s="587" t="s">
        <v>194</v>
      </c>
      <c r="B37" s="592"/>
      <c r="C37" s="592"/>
      <c r="D37" s="592"/>
      <c r="E37" s="592"/>
      <c r="F37" s="592"/>
      <c r="G37" s="592" t="s">
        <v>105</v>
      </c>
      <c r="H37" s="592">
        <v>57368.857582828132</v>
      </c>
      <c r="I37" s="592"/>
      <c r="K37" s="592">
        <v>49375.844209565665</v>
      </c>
      <c r="L37" s="592"/>
      <c r="N37" s="592">
        <f>Report!H212</f>
        <v>97058.196663375886</v>
      </c>
      <c r="O37" s="592"/>
    </row>
    <row r="38" spans="1:15">
      <c r="A38" s="587"/>
      <c r="B38" s="592"/>
      <c r="C38" s="592"/>
      <c r="D38" s="592"/>
      <c r="E38" s="592"/>
      <c r="F38" s="592"/>
      <c r="G38" s="592"/>
      <c r="H38" s="592"/>
      <c r="I38" s="592"/>
      <c r="K38" s="592"/>
      <c r="L38" s="592"/>
      <c r="N38" s="592"/>
      <c r="O38" s="592"/>
    </row>
    <row r="39" spans="1:15">
      <c r="A39" s="587" t="s">
        <v>196</v>
      </c>
      <c r="B39" s="592"/>
      <c r="C39" s="592"/>
      <c r="D39" s="592"/>
      <c r="E39" s="592"/>
      <c r="F39" s="592"/>
      <c r="G39" s="592" t="s">
        <v>105</v>
      </c>
      <c r="H39" s="591">
        <v>946695.63414302876</v>
      </c>
      <c r="I39" s="592"/>
      <c r="K39" s="591">
        <v>1051466.2929325602</v>
      </c>
      <c r="L39" s="592"/>
      <c r="N39" s="591">
        <f>Report!H214</f>
        <v>1733959.3659682842</v>
      </c>
      <c r="O39" s="592"/>
    </row>
    <row r="40" spans="1:15">
      <c r="A40" s="587"/>
      <c r="B40" s="592"/>
      <c r="C40" s="592"/>
      <c r="D40" s="592"/>
      <c r="E40" s="592"/>
      <c r="F40" s="592"/>
      <c r="G40" s="592"/>
      <c r="H40" s="592"/>
      <c r="I40" s="592"/>
      <c r="K40" s="592"/>
      <c r="L40" s="592"/>
      <c r="N40" s="592"/>
      <c r="O40" s="592"/>
    </row>
    <row r="41" spans="1:15">
      <c r="A41" s="587" t="s">
        <v>183</v>
      </c>
      <c r="B41" s="592"/>
      <c r="C41" s="592"/>
      <c r="D41" s="592"/>
      <c r="E41" s="592"/>
      <c r="F41" s="592"/>
      <c r="G41" s="592"/>
      <c r="H41" s="683">
        <v>6.0599051599894382</v>
      </c>
      <c r="I41" s="592" t="s">
        <v>108</v>
      </c>
      <c r="K41" s="683">
        <v>4.6959036672355383</v>
      </c>
      <c r="L41" s="592" t="s">
        <v>108</v>
      </c>
      <c r="N41" s="683">
        <f>(N37/N39)*100</f>
        <v>5.5974896856464849</v>
      </c>
      <c r="O41" s="592" t="s">
        <v>108</v>
      </c>
    </row>
    <row r="42" spans="1:15">
      <c r="A42" s="587" t="s">
        <v>185</v>
      </c>
      <c r="B42" s="592"/>
      <c r="C42" s="592"/>
      <c r="D42" s="592"/>
      <c r="E42" s="592"/>
      <c r="F42" s="592"/>
      <c r="G42" s="592"/>
      <c r="H42" s="592"/>
      <c r="I42" s="592"/>
      <c r="K42" s="592"/>
      <c r="L42" s="592"/>
      <c r="N42" s="592"/>
      <c r="O42" s="592"/>
    </row>
    <row r="43" spans="1:15">
      <c r="A43" s="587" t="s">
        <v>186</v>
      </c>
      <c r="B43" s="592"/>
      <c r="C43" s="592"/>
      <c r="D43" s="592"/>
      <c r="E43" s="592"/>
      <c r="F43" s="592"/>
      <c r="G43" s="592"/>
      <c r="H43" s="592"/>
      <c r="I43" s="592"/>
      <c r="K43" s="592"/>
      <c r="L43" s="592"/>
      <c r="N43" s="592"/>
      <c r="O43" s="592"/>
    </row>
    <row r="44" spans="1:15">
      <c r="A44" s="587" t="s">
        <v>174</v>
      </c>
      <c r="B44" s="592"/>
      <c r="C44" s="592"/>
      <c r="D44" s="592"/>
      <c r="E44" s="592"/>
      <c r="F44" s="592"/>
      <c r="G44" s="592"/>
      <c r="H44" s="680">
        <v>-1.42</v>
      </c>
      <c r="I44" s="592" t="s">
        <v>108</v>
      </c>
      <c r="K44" s="680">
        <v>-1.23</v>
      </c>
      <c r="L44" s="592" t="s">
        <v>108</v>
      </c>
      <c r="N44" s="680">
        <f>N17</f>
        <v>-1.18</v>
      </c>
      <c r="O44" s="592" t="s">
        <v>108</v>
      </c>
    </row>
    <row r="45" spans="1:15">
      <c r="A45" s="587" t="s">
        <v>175</v>
      </c>
      <c r="B45" s="592"/>
      <c r="C45" s="592"/>
      <c r="D45" s="592"/>
      <c r="E45" s="592"/>
      <c r="F45" s="592"/>
      <c r="G45" s="592"/>
      <c r="H45" s="680">
        <v>-0.15</v>
      </c>
      <c r="I45" s="592" t="s">
        <v>108</v>
      </c>
      <c r="K45" s="680">
        <v>-0.12</v>
      </c>
      <c r="L45" s="592" t="s">
        <v>108</v>
      </c>
      <c r="N45" s="680">
        <f>N18</f>
        <v>-0.2</v>
      </c>
      <c r="O45" s="592" t="s">
        <v>108</v>
      </c>
    </row>
    <row r="46" spans="1:15">
      <c r="A46" s="587" t="s">
        <v>187</v>
      </c>
      <c r="B46" s="592"/>
      <c r="C46" s="592"/>
      <c r="D46" s="592"/>
      <c r="E46" s="592"/>
      <c r="F46" s="592"/>
      <c r="G46" s="592"/>
      <c r="H46" s="680">
        <v>0</v>
      </c>
      <c r="I46" s="592" t="s">
        <v>108</v>
      </c>
      <c r="K46" s="680">
        <v>0</v>
      </c>
      <c r="L46" s="592" t="s">
        <v>108</v>
      </c>
      <c r="N46" s="680">
        <f>N19</f>
        <v>0</v>
      </c>
      <c r="O46" s="592" t="s">
        <v>108</v>
      </c>
    </row>
    <row r="47" spans="1:15">
      <c r="A47" s="587" t="s">
        <v>17</v>
      </c>
      <c r="B47" s="592"/>
      <c r="C47" s="592"/>
      <c r="D47" s="592"/>
      <c r="E47" s="592"/>
      <c r="F47" s="592"/>
      <c r="G47" s="592"/>
      <c r="H47" s="680">
        <v>-0.06</v>
      </c>
      <c r="I47" s="592" t="s">
        <v>108</v>
      </c>
      <c r="K47" s="680">
        <v>-0.05</v>
      </c>
      <c r="L47" s="592" t="s">
        <v>108</v>
      </c>
      <c r="N47" s="680">
        <f>N20</f>
        <v>-0.04</v>
      </c>
      <c r="O47" s="592" t="s">
        <v>108</v>
      </c>
    </row>
    <row r="48" spans="1:15">
      <c r="A48" s="587" t="s">
        <v>188</v>
      </c>
      <c r="B48" s="592"/>
      <c r="C48" s="592"/>
      <c r="D48" s="592"/>
      <c r="E48" s="592"/>
      <c r="F48" s="592"/>
      <c r="G48" s="592"/>
      <c r="H48" s="680">
        <v>0</v>
      </c>
      <c r="I48" s="592" t="s">
        <v>108</v>
      </c>
      <c r="K48" s="680">
        <v>0</v>
      </c>
      <c r="L48" s="592" t="s">
        <v>108</v>
      </c>
      <c r="N48" s="680">
        <f>N21</f>
        <v>0</v>
      </c>
      <c r="O48" s="592" t="s">
        <v>108</v>
      </c>
    </row>
    <row r="49" spans="1:15">
      <c r="A49" s="587" t="s">
        <v>189</v>
      </c>
      <c r="B49" s="592"/>
      <c r="C49" s="592"/>
      <c r="D49" s="592"/>
      <c r="E49" s="592"/>
      <c r="F49" s="592"/>
      <c r="G49" s="592"/>
      <c r="H49" s="682">
        <v>-1.63</v>
      </c>
      <c r="I49" s="592" t="s">
        <v>108</v>
      </c>
      <c r="K49" s="682">
        <v>-1.4000000000000001</v>
      </c>
      <c r="L49" s="592" t="s">
        <v>108</v>
      </c>
      <c r="N49" s="682">
        <f>SUM(N44:N48)</f>
        <v>-1.42</v>
      </c>
      <c r="O49" s="592" t="s">
        <v>108</v>
      </c>
    </row>
    <row r="50" spans="1:15">
      <c r="A50" s="587"/>
      <c r="B50" s="592"/>
      <c r="C50" s="592"/>
      <c r="D50" s="592"/>
      <c r="E50" s="592"/>
      <c r="F50" s="592"/>
      <c r="G50" s="592"/>
      <c r="H50" s="592"/>
      <c r="I50" s="592"/>
      <c r="K50" s="592"/>
      <c r="L50" s="592"/>
      <c r="N50" s="592"/>
      <c r="O50" s="592"/>
    </row>
    <row r="51" spans="1:15">
      <c r="A51" s="587" t="s">
        <v>1</v>
      </c>
      <c r="B51" s="592"/>
      <c r="C51" s="592"/>
      <c r="D51" s="592"/>
      <c r="E51" s="592"/>
      <c r="F51" s="592"/>
      <c r="G51" s="592"/>
      <c r="H51" s="680">
        <v>4.4299051599894383</v>
      </c>
      <c r="I51" s="592" t="s">
        <v>108</v>
      </c>
      <c r="K51" s="680">
        <v>3.295903667235538</v>
      </c>
      <c r="L51" s="592" t="s">
        <v>108</v>
      </c>
      <c r="N51" s="680">
        <f>N41+N49</f>
        <v>4.1774896856464849</v>
      </c>
      <c r="O51" s="592" t="s">
        <v>108</v>
      </c>
    </row>
    <row r="52" spans="1:15">
      <c r="A52" s="587"/>
      <c r="B52" s="592"/>
      <c r="C52" s="592"/>
      <c r="D52" s="592"/>
      <c r="E52" s="592"/>
      <c r="F52" s="592"/>
      <c r="G52" s="592"/>
      <c r="H52" s="592"/>
      <c r="I52" s="592"/>
      <c r="K52" s="592"/>
      <c r="L52" s="592"/>
      <c r="N52" s="592"/>
      <c r="O52" s="592"/>
    </row>
    <row r="53" spans="1:15">
      <c r="A53" s="587" t="s">
        <v>190</v>
      </c>
      <c r="B53" s="592"/>
      <c r="C53" s="592"/>
      <c r="D53" s="592"/>
      <c r="E53" s="592"/>
      <c r="F53" s="592"/>
      <c r="G53" s="592"/>
      <c r="H53" s="683">
        <v>46.31</v>
      </c>
      <c r="I53" s="592" t="s">
        <v>108</v>
      </c>
      <c r="K53" s="683">
        <v>47.46</v>
      </c>
      <c r="L53" s="592" t="s">
        <v>108</v>
      </c>
      <c r="N53" s="683">
        <f>N26</f>
        <v>46.89</v>
      </c>
      <c r="O53" s="592" t="s">
        <v>108</v>
      </c>
    </row>
    <row r="54" spans="1:15">
      <c r="A54" s="587"/>
      <c r="B54" s="592"/>
      <c r="C54" s="592"/>
      <c r="D54" s="592"/>
      <c r="E54" s="592"/>
      <c r="F54" s="592"/>
      <c r="G54" s="592"/>
      <c r="H54" s="592"/>
      <c r="I54" s="592"/>
      <c r="K54" s="592"/>
      <c r="L54" s="592"/>
      <c r="N54" s="592"/>
      <c r="O54" s="592"/>
    </row>
    <row r="55" spans="1:15" ht="13.5" thickBot="1">
      <c r="A55" s="587" t="s">
        <v>191</v>
      </c>
      <c r="B55" s="592"/>
      <c r="C55" s="592"/>
      <c r="D55" s="592"/>
      <c r="E55" s="592"/>
      <c r="F55" s="592"/>
      <c r="G55" s="592"/>
      <c r="H55" s="684">
        <v>9.5657636795280467</v>
      </c>
      <c r="I55" s="592" t="s">
        <v>108</v>
      </c>
      <c r="K55" s="684">
        <v>6.9445926406142808</v>
      </c>
      <c r="L55" s="592" t="s">
        <v>108</v>
      </c>
      <c r="N55" s="684">
        <f>(N51)/(N53/100)</f>
        <v>8.9091270753817131</v>
      </c>
      <c r="O55" s="592" t="s">
        <v>108</v>
      </c>
    </row>
    <row r="56" spans="1:15" ht="13.5" thickTop="1"/>
    <row r="75" spans="11:11">
      <c r="K75">
        <v>4.8982999999999999</v>
      </c>
    </row>
    <row r="78" spans="11:11">
      <c r="K78">
        <v>-1.23</v>
      </c>
    </row>
    <row r="79" spans="11:11">
      <c r="K79">
        <v>-0.12</v>
      </c>
    </row>
    <row r="80" spans="11:11">
      <c r="K80">
        <v>0</v>
      </c>
    </row>
    <row r="81" spans="11:11">
      <c r="K81">
        <v>-0.05</v>
      </c>
    </row>
    <row r="82" spans="11:11">
      <c r="K82">
        <v>0</v>
      </c>
    </row>
    <row r="83" spans="11:11">
      <c r="K83">
        <v>-1.4</v>
      </c>
    </row>
    <row r="85" spans="11:11">
      <c r="K85">
        <v>3.4983</v>
      </c>
    </row>
    <row r="87" spans="11:11">
      <c r="K87">
        <v>47.46</v>
      </c>
    </row>
    <row r="89" spans="11:11">
      <c r="K89">
        <v>7.3710000000000004</v>
      </c>
    </row>
  </sheetData>
  <mergeCells count="7">
    <mergeCell ref="H7:H8"/>
    <mergeCell ref="K7:K8"/>
    <mergeCell ref="N7:N8"/>
    <mergeCell ref="A2:O2"/>
    <mergeCell ref="A3:O3"/>
    <mergeCell ref="A4:O4"/>
    <mergeCell ref="A5:O5"/>
  </mergeCells>
  <pageMargins left="0.7" right="0.7" top="0.75" bottom="0.75" header="0.3" footer="0.3"/>
  <pageSetup scale="78" orientation="portrait" r:id="rId1"/>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3" tint="0.39997558519241921"/>
    <pageSetUpPr fitToPage="1"/>
  </sheetPr>
  <dimension ref="A1:X58"/>
  <sheetViews>
    <sheetView workbookViewId="0">
      <selection activeCell="B10" sqref="B10"/>
    </sheetView>
  </sheetViews>
  <sheetFormatPr defaultColWidth="9.140625" defaultRowHeight="15"/>
  <cols>
    <col min="1" max="1" width="47" style="54" bestFit="1" customWidth="1"/>
    <col min="2" max="2" width="21.42578125" style="54" bestFit="1" customWidth="1"/>
    <col min="3" max="3" width="1.85546875" style="54" bestFit="1" customWidth="1"/>
    <col min="4" max="4" width="21.42578125" style="54" bestFit="1" customWidth="1"/>
    <col min="5" max="5" width="1.5703125" style="54" customWidth="1"/>
    <col min="6" max="6" width="12.42578125" style="54" bestFit="1" customWidth="1"/>
    <col min="7" max="7" width="1.5703125" style="54" customWidth="1"/>
    <col min="8" max="8" width="11.5703125" style="56" customWidth="1"/>
    <col min="9" max="9" width="14.5703125" style="54" bestFit="1" customWidth="1"/>
    <col min="10" max="10" width="7.5703125" style="54" customWidth="1"/>
    <col min="11" max="11" width="10.85546875" style="54" customWidth="1"/>
    <col min="12" max="14" width="9.140625" style="54"/>
    <col min="15" max="15" width="30.5703125" style="54" customWidth="1"/>
    <col min="16" max="16" width="7.140625" style="54" customWidth="1"/>
    <col min="17" max="17" width="8.140625" style="54" customWidth="1"/>
    <col min="18" max="18" width="1.5703125" style="54" customWidth="1"/>
    <col min="19" max="19" width="7.5703125" style="54" customWidth="1"/>
    <col min="20" max="20" width="13" style="54" customWidth="1"/>
    <col min="21" max="21" width="1.5703125" style="54" customWidth="1"/>
    <col min="22" max="22" width="9.140625" style="54"/>
    <col min="23" max="23" width="1.42578125" style="54" customWidth="1"/>
    <col min="24" max="24" width="8.5703125" style="57" customWidth="1"/>
    <col min="25" max="25" width="6.85546875" style="54" customWidth="1"/>
    <col min="26" max="26" width="6.42578125" style="54" customWidth="1"/>
    <col min="27" max="16384" width="9.140625" style="54"/>
  </cols>
  <sheetData>
    <row r="1" spans="1:24" ht="17.45" customHeight="1">
      <c r="A1" s="1293" t="s">
        <v>204</v>
      </c>
      <c r="B1" s="1293"/>
      <c r="C1" s="1293"/>
      <c r="D1" s="1293"/>
      <c r="E1" s="1293"/>
      <c r="F1" s="1293"/>
      <c r="G1" s="1293"/>
      <c r="H1" s="1293"/>
    </row>
    <row r="2" spans="1:24" ht="17.45" customHeight="1">
      <c r="A2" s="1293" t="s">
        <v>1855</v>
      </c>
      <c r="B2" s="1293"/>
      <c r="C2" s="1293"/>
      <c r="D2" s="1293"/>
      <c r="E2" s="1293"/>
      <c r="F2" s="1293"/>
      <c r="G2" s="1293"/>
      <c r="H2" s="1293"/>
    </row>
    <row r="3" spans="1:24" ht="17.45" customHeight="1">
      <c r="A3" s="1293" t="s">
        <v>1856</v>
      </c>
      <c r="B3" s="1293"/>
      <c r="C3" s="1293"/>
      <c r="D3" s="1293"/>
      <c r="E3" s="1293"/>
      <c r="F3" s="1293"/>
      <c r="G3" s="1293"/>
      <c r="H3" s="1293"/>
    </row>
    <row r="4" spans="1:24" ht="18" customHeight="1">
      <c r="A4" s="1293" t="s">
        <v>1857</v>
      </c>
      <c r="B4" s="1293"/>
      <c r="C4" s="1293"/>
      <c r="D4" s="1293"/>
      <c r="E4" s="1293"/>
      <c r="F4" s="1293"/>
      <c r="G4" s="1293"/>
      <c r="H4" s="1293"/>
    </row>
    <row r="5" spans="1:24" ht="28.35" customHeight="1">
      <c r="A5" s="17"/>
      <c r="B5" s="227"/>
      <c r="C5" s="695"/>
      <c r="D5" s="227"/>
      <c r="E5" s="696"/>
      <c r="K5" s="58"/>
    </row>
    <row r="6" spans="1:24" s="61" customFormat="1" ht="15.75">
      <c r="A6" s="59"/>
      <c r="B6" s="60" t="s">
        <v>2560</v>
      </c>
      <c r="C6" s="54"/>
      <c r="D6" s="60" t="str">
        <f>+'COMP Q1F Qrtly'!D6</f>
        <v>December 2022</v>
      </c>
      <c r="H6" s="62" t="s">
        <v>487</v>
      </c>
      <c r="X6" s="63"/>
    </row>
    <row r="7" spans="1:24" s="61" customFormat="1" ht="15.75">
      <c r="A7" s="64"/>
      <c r="B7" s="65" t="str">
        <f>+'COMP Q1F Qrtly'!B7</f>
        <v>2022 Q3</v>
      </c>
      <c r="C7" s="55"/>
      <c r="D7" s="65" t="str">
        <f>+'COMP Q1F Qrtly'!D7</f>
        <v>2022 Q3</v>
      </c>
      <c r="F7" s="66" t="s">
        <v>489</v>
      </c>
      <c r="G7" s="64"/>
      <c r="H7" s="67" t="s">
        <v>490</v>
      </c>
      <c r="K7" s="68"/>
      <c r="X7" s="63"/>
    </row>
    <row r="8" spans="1:24" ht="15.75">
      <c r="A8" s="61"/>
    </row>
    <row r="9" spans="1:24">
      <c r="A9" s="54" t="s">
        <v>223</v>
      </c>
      <c r="B9" s="199">
        <v>1202493.8759019664</v>
      </c>
      <c r="D9" s="199">
        <f>+'COMP Prior Yr'!D9</f>
        <v>1661056.812737515</v>
      </c>
      <c r="F9" s="68">
        <f>D9-B9</f>
        <v>458562.93683554861</v>
      </c>
      <c r="G9" s="68"/>
      <c r="H9" s="56">
        <f>ROUND((((B17/(D9+D10+D11+D13))-B20)/B23)-(((B17/(B9+D10+D11+D13))-B20)/B23),4)*10000</f>
        <v>-280</v>
      </c>
      <c r="J9" s="69"/>
    </row>
    <row r="10" spans="1:24">
      <c r="A10" s="54" t="s">
        <v>4</v>
      </c>
      <c r="B10" s="200">
        <v>111438.97968307689</v>
      </c>
      <c r="D10" s="200">
        <f>+'COMP Prior Yr'!D10</f>
        <v>98720.05334769233</v>
      </c>
      <c r="F10" s="68">
        <f>D10-B10</f>
        <v>-12718.92633538456</v>
      </c>
      <c r="G10" s="68"/>
      <c r="H10" s="56">
        <f>ROUND((((B17/(D9+D11+D13+D10))-B20)/B23)-(((B17/(B10+D9+D11+D13))-B20)/B23),4)*10000</f>
        <v>5.9999999999999991</v>
      </c>
    </row>
    <row r="11" spans="1:24">
      <c r="A11" s="54" t="s">
        <v>491</v>
      </c>
      <c r="B11" s="200">
        <v>0</v>
      </c>
      <c r="D11" s="200">
        <f>+'COMP Prior Yr'!D11</f>
        <v>0</v>
      </c>
      <c r="F11" s="68">
        <f>D11-B11</f>
        <v>0</v>
      </c>
      <c r="G11" s="70"/>
      <c r="H11" s="56">
        <f>ROUND((((B17/(D9+D10+D11+D13))-B20)/B23)-(((B17/(B11+D9+D10+D13))-B20)/B23),4)*10000</f>
        <v>0</v>
      </c>
    </row>
    <row r="12" spans="1:24">
      <c r="A12" s="105" t="s">
        <v>229</v>
      </c>
      <c r="B12" s="200">
        <v>9275.1531130769217</v>
      </c>
      <c r="D12" s="200">
        <f>+'COMP Prior Yr'!D12</f>
        <v>3209.9291492307693</v>
      </c>
      <c r="F12" s="332">
        <f>D12-B12</f>
        <v>-6065.2239638461524</v>
      </c>
      <c r="G12" s="432"/>
      <c r="H12" s="333">
        <f>ROUND((((B17/(D9+D10+D11+D12+D13))-B20)/B23)-(((B17/(B12+D9+D10+D11+D13))-B20)/B23),4)*10000</f>
        <v>2.9999999999999996</v>
      </c>
    </row>
    <row r="13" spans="1:24" ht="15.75">
      <c r="A13" s="54" t="s">
        <v>492</v>
      </c>
      <c r="B13" s="331">
        <v>-41091.317530701817</v>
      </c>
      <c r="C13" s="70"/>
      <c r="D13" s="331">
        <f>+'COMP Prior Yr'!D13</f>
        <v>-29027.429266153893</v>
      </c>
      <c r="F13" s="68">
        <f>D13-B13</f>
        <v>12063.888264547924</v>
      </c>
      <c r="G13" s="70"/>
      <c r="H13" s="56">
        <f>ROUND((((B17/(D9+D10+D11+D13))-B20)/B23)-(((B17/(B13+D9+D10+D11))-B20)/B23),4)*10000</f>
        <v>-5</v>
      </c>
      <c r="I13" s="72" t="s">
        <v>493</v>
      </c>
      <c r="K13" s="73" t="s">
        <v>494</v>
      </c>
    </row>
    <row r="14" spans="1:24" ht="8.1" customHeight="1">
      <c r="B14" s="201"/>
      <c r="D14" s="201"/>
      <c r="F14" s="68"/>
      <c r="I14" s="72"/>
      <c r="K14" s="73"/>
    </row>
    <row r="15" spans="1:24" ht="15.75">
      <c r="A15" s="61" t="s">
        <v>348</v>
      </c>
      <c r="B15" s="202">
        <v>1282116.6912</v>
      </c>
      <c r="C15" s="61"/>
      <c r="D15" s="202">
        <f>+'COMP Prior Yr'!D15</f>
        <v>1733959.3659999999</v>
      </c>
      <c r="E15" s="61"/>
      <c r="F15" s="58">
        <f>D15-B15</f>
        <v>451842.67479999992</v>
      </c>
      <c r="G15" s="58"/>
      <c r="H15" s="62">
        <f>ROUND((((B17/D15)-B20)/B23)-(((B17/B15)-B20)/B23),4)*10000</f>
        <v>-273</v>
      </c>
      <c r="I15" s="62">
        <f>SUM(H9:H13)</f>
        <v>-276</v>
      </c>
      <c r="J15" s="56"/>
      <c r="K15" s="62">
        <f>H15-I15</f>
        <v>3</v>
      </c>
      <c r="O15" s="75">
        <f>+F15/H15</f>
        <v>-1655.1013728937726</v>
      </c>
    </row>
    <row r="16" spans="1:24" ht="8.1" customHeight="1">
      <c r="B16" s="200"/>
      <c r="D16" s="200"/>
      <c r="F16" s="68"/>
      <c r="I16" s="62"/>
      <c r="J16" s="56"/>
      <c r="K16" s="62"/>
    </row>
    <row r="17" spans="1:24" s="61" customFormat="1" ht="15.75">
      <c r="A17" s="61" t="s">
        <v>495</v>
      </c>
      <c r="B17" s="203">
        <v>62920.734199999999</v>
      </c>
      <c r="D17" s="203">
        <f>+'COMP Prior Yr'!D17</f>
        <v>99827.7448</v>
      </c>
      <c r="F17" s="58">
        <f>D17-B17</f>
        <v>36907.010600000001</v>
      </c>
      <c r="G17" s="698"/>
      <c r="H17" s="76">
        <f>ROUND((((D17/B15)-B20)/B23)-(((B17/B15)-B20)/B23),4)*10000</f>
        <v>616</v>
      </c>
      <c r="I17" s="62"/>
      <c r="J17" s="62"/>
      <c r="K17" s="62"/>
      <c r="L17" s="76"/>
      <c r="O17" s="75">
        <f>+F17/H17</f>
        <v>59.913978246753246</v>
      </c>
      <c r="X17" s="63"/>
    </row>
    <row r="18" spans="1:24" ht="8.1" customHeight="1">
      <c r="I18" s="62"/>
      <c r="J18" s="56"/>
      <c r="K18" s="62"/>
    </row>
    <row r="19" spans="1:24" ht="15.75">
      <c r="A19" s="54" t="s">
        <v>496</v>
      </c>
      <c r="B19" s="77">
        <v>4.9099999999999998E-2</v>
      </c>
      <c r="D19" s="77">
        <f>+'COMP Prior Yr'!D19</f>
        <v>5.7599999999999998E-2</v>
      </c>
      <c r="F19" s="77">
        <f>D19-B19</f>
        <v>8.5000000000000006E-3</v>
      </c>
      <c r="G19" s="77"/>
      <c r="H19" s="56">
        <f>ROUND((F19/$B$23)*10000,0)</f>
        <v>182</v>
      </c>
      <c r="I19" s="62">
        <f>H15+H17</f>
        <v>343</v>
      </c>
      <c r="J19" s="56"/>
      <c r="K19" s="62">
        <f>H19-I19</f>
        <v>-161</v>
      </c>
    </row>
    <row r="20" spans="1:24" ht="15.75">
      <c r="A20" s="54" t="s">
        <v>1858</v>
      </c>
      <c r="B20" s="78">
        <v>0.01</v>
      </c>
      <c r="D20" s="78">
        <f>+'COMP Prior Yr'!D20</f>
        <v>1.4200000000000001E-2</v>
      </c>
      <c r="F20" s="77">
        <f>D20-B20</f>
        <v>4.2000000000000006E-3</v>
      </c>
      <c r="G20" s="77"/>
      <c r="H20" s="56">
        <f>-ROUND((F20/$B$23)*10000,0)</f>
        <v>-90</v>
      </c>
      <c r="I20" s="62"/>
      <c r="J20" s="56"/>
      <c r="K20" s="62"/>
    </row>
    <row r="21" spans="1:24" ht="8.1" customHeight="1">
      <c r="B21" s="74"/>
      <c r="D21" s="74"/>
      <c r="F21" s="77"/>
      <c r="G21" s="77"/>
      <c r="I21" s="62"/>
      <c r="J21" s="56"/>
      <c r="K21" s="62"/>
    </row>
    <row r="22" spans="1:24" ht="15.75">
      <c r="A22" s="54" t="s">
        <v>497</v>
      </c>
      <c r="B22" s="77">
        <v>3.9100000000000003E-2</v>
      </c>
      <c r="D22" s="77">
        <f>+'COMP Prior Yr'!D22</f>
        <v>4.3400000000000001E-2</v>
      </c>
      <c r="F22" s="77">
        <f>D22-B22</f>
        <v>4.2999999999999983E-3</v>
      </c>
      <c r="G22" s="77"/>
      <c r="H22" s="56">
        <f>ROUND((F22/$B$23)*10000,0)</f>
        <v>92</v>
      </c>
      <c r="I22" s="62">
        <f>H19+H20</f>
        <v>92</v>
      </c>
      <c r="J22" s="56"/>
      <c r="K22" s="62">
        <f>H22-I22</f>
        <v>0</v>
      </c>
    </row>
    <row r="23" spans="1:24" ht="15.75">
      <c r="A23" s="54" t="s">
        <v>483</v>
      </c>
      <c r="B23" s="78">
        <v>0.46760000000000002</v>
      </c>
      <c r="D23" s="78">
        <f>+'COMP Prior Yr'!D23</f>
        <v>0.46889999999999998</v>
      </c>
      <c r="F23" s="77">
        <f>D23-B23</f>
        <v>1.2999999999999678E-3</v>
      </c>
      <c r="G23" s="77"/>
      <c r="H23" s="56">
        <f>ROUND((B22/D23)-(B22/B23),4)*10000</f>
        <v>-2</v>
      </c>
      <c r="I23" s="62"/>
      <c r="J23" s="56"/>
      <c r="K23" s="62"/>
    </row>
    <row r="24" spans="1:24" ht="15.75">
      <c r="B24" s="74"/>
      <c r="D24" s="74"/>
      <c r="F24" s="77"/>
      <c r="G24" s="77"/>
      <c r="H24" s="79"/>
      <c r="I24" s="62"/>
      <c r="J24" s="56"/>
      <c r="K24" s="62"/>
    </row>
    <row r="25" spans="1:24" s="61" customFormat="1" ht="15.75">
      <c r="A25" s="61" t="s">
        <v>498</v>
      </c>
      <c r="B25" s="252">
        <v>8.3599999999999994E-2</v>
      </c>
      <c r="D25" s="252">
        <f>+'COMP Prior Yr'!D25</f>
        <v>9.2499999999999999E-2</v>
      </c>
      <c r="F25" s="80">
        <f>D25-B25</f>
        <v>8.9000000000000051E-3</v>
      </c>
      <c r="G25" s="80"/>
      <c r="H25" s="62">
        <f>(D25-B25)*10000</f>
        <v>89.000000000000057</v>
      </c>
      <c r="I25" s="62">
        <f>H22+H23</f>
        <v>90</v>
      </c>
      <c r="J25" s="62"/>
      <c r="K25" s="62">
        <f>H25-I25</f>
        <v>-0.99999999999994316</v>
      </c>
      <c r="L25" s="80"/>
      <c r="X25" s="63"/>
    </row>
    <row r="26" spans="1:24" s="81" customFormat="1" ht="4.5" customHeight="1">
      <c r="A26" s="54"/>
      <c r="B26" s="82"/>
      <c r="C26" s="54"/>
      <c r="D26" s="82"/>
      <c r="E26" s="54"/>
      <c r="G26" s="54"/>
      <c r="H26" s="83"/>
      <c r="X26" s="84"/>
    </row>
    <row r="27" spans="1:24" ht="4.5" customHeight="1">
      <c r="J27" s="57"/>
    </row>
    <row r="28" spans="1:24">
      <c r="A28" s="54" t="s">
        <v>499</v>
      </c>
      <c r="B28" s="459">
        <v>88999.468720000121</v>
      </c>
      <c r="D28" s="459">
        <f>+'COMP Prior Yr'!D28</f>
        <v>127065.09198000013</v>
      </c>
      <c r="E28" s="70"/>
      <c r="F28" s="68">
        <f>D28-B28</f>
        <v>38065.623260000008</v>
      </c>
      <c r="G28" s="68"/>
      <c r="H28" s="85">
        <f>ROUND((((D28/B15)-B20)/B23)-(((B28/B15)-B20)/B23),4)*10000</f>
        <v>635</v>
      </c>
    </row>
    <row r="29" spans="1:24">
      <c r="A29" s="54" t="s">
        <v>500</v>
      </c>
      <c r="B29" s="86">
        <v>16618.129355278805</v>
      </c>
      <c r="C29" s="70"/>
      <c r="D29" s="86">
        <f>+'COMP Prior Yr'!D29</f>
        <v>25897.961240000001</v>
      </c>
      <c r="E29" s="70"/>
      <c r="F29" s="68">
        <f>B29-D29</f>
        <v>-9279.8318847211958</v>
      </c>
      <c r="G29" s="68"/>
      <c r="H29" s="85">
        <f>-ROUND((((D29/B15)-B20)/B23)-(((B29/B15)-B20)/B23),4)*10000</f>
        <v>-155</v>
      </c>
    </row>
    <row r="30" spans="1:24" ht="15.75">
      <c r="A30" s="693" t="s">
        <v>501</v>
      </c>
      <c r="B30" s="71">
        <v>0</v>
      </c>
      <c r="C30" s="70"/>
      <c r="D30" s="71">
        <f>+'COMP Prior Yr'!D30</f>
        <v>0</v>
      </c>
      <c r="E30" s="70"/>
      <c r="F30" s="68">
        <f>B30-D30</f>
        <v>0</v>
      </c>
      <c r="G30" s="70"/>
      <c r="H30" s="85">
        <f>-ROUND((((D30/B15)-B20)/B23)-(((B30/B15)-B20)/B23),4)*10000</f>
        <v>0</v>
      </c>
      <c r="I30" s="55" t="s">
        <v>493</v>
      </c>
      <c r="K30" s="73" t="s">
        <v>494</v>
      </c>
    </row>
    <row r="31" spans="1:24" ht="15.75">
      <c r="A31" s="74" t="s">
        <v>502</v>
      </c>
      <c r="B31" s="71">
        <v>16618.129355278805</v>
      </c>
      <c r="D31" s="71">
        <f>+'COMP Prior Yr'!D31</f>
        <v>25897.961240000001</v>
      </c>
      <c r="E31" s="70"/>
      <c r="F31" s="68">
        <f>D31-B31</f>
        <v>9279.8318847211958</v>
      </c>
      <c r="G31" s="70"/>
      <c r="H31" s="85">
        <f>-ROUND((((D31/B15)-B20)/B23)-(((B31/B15)-B20)/B23),4)*10000</f>
        <v>-155</v>
      </c>
      <c r="I31" s="56"/>
      <c r="K31" s="62"/>
    </row>
    <row r="32" spans="1:24" ht="8.1" customHeight="1">
      <c r="B32" s="87"/>
      <c r="D32" s="87"/>
      <c r="E32" s="70"/>
      <c r="F32" s="68"/>
      <c r="H32" s="85"/>
      <c r="I32" s="62"/>
      <c r="K32" s="62"/>
    </row>
    <row r="33" spans="1:24" ht="15.75">
      <c r="A33" s="54" t="s">
        <v>503</v>
      </c>
      <c r="B33" s="71">
        <v>72381.339364721323</v>
      </c>
      <c r="D33" s="71">
        <f>+'COMP Prior Yr'!D33</f>
        <v>101167.13074000012</v>
      </c>
      <c r="E33" s="70"/>
      <c r="F33" s="68">
        <f>D33-B33</f>
        <v>28785.791375278801</v>
      </c>
      <c r="G33" s="68"/>
      <c r="H33" s="85">
        <f>ROUND((((D33/B15)-B20)/B23)-(((B33/B15)-B20)/B23),4)*10000</f>
        <v>480</v>
      </c>
      <c r="I33" s="56">
        <f>H28+H29+H30</f>
        <v>480</v>
      </c>
      <c r="K33" s="62">
        <f>I33-H33</f>
        <v>0</v>
      </c>
    </row>
    <row r="34" spans="1:24" ht="15.75">
      <c r="B34" s="70"/>
      <c r="D34" s="70"/>
      <c r="E34" s="70"/>
      <c r="F34" s="68"/>
      <c r="G34" s="68"/>
      <c r="H34" s="85"/>
      <c r="I34" s="56"/>
      <c r="K34" s="62"/>
    </row>
    <row r="35" spans="1:24" ht="15.75">
      <c r="A35" s="54" t="s">
        <v>504</v>
      </c>
      <c r="B35" s="70">
        <v>0</v>
      </c>
      <c r="D35" s="70">
        <f>+'COMP Prior Yr'!D35</f>
        <v>0</v>
      </c>
      <c r="E35" s="70"/>
      <c r="F35" s="68"/>
      <c r="G35" s="68"/>
      <c r="H35" s="85"/>
      <c r="I35" s="56"/>
      <c r="K35" s="62"/>
    </row>
    <row r="36" spans="1:24" ht="15.75">
      <c r="A36" s="693" t="s">
        <v>505</v>
      </c>
      <c r="B36" s="71">
        <v>-9460.6052043690543</v>
      </c>
      <c r="D36" s="71">
        <f>+'COMP Prior Yr'!D36</f>
        <v>-1339.3859250827747</v>
      </c>
      <c r="E36" s="70"/>
      <c r="F36" s="68">
        <f>D36-B36</f>
        <v>8121.2192792862797</v>
      </c>
      <c r="H36" s="85">
        <f>ROUND((((D36/B15)-B20)/B23)-(((B36/B15)-B20)/B23),4)*10000</f>
        <v>135</v>
      </c>
      <c r="I36" s="56">
        <f>H36</f>
        <v>135</v>
      </c>
      <c r="K36" s="62">
        <f>H36-I36</f>
        <v>0</v>
      </c>
    </row>
    <row r="37" spans="1:24" s="61" customFormat="1" ht="15.75">
      <c r="A37" s="61" t="s">
        <v>495</v>
      </c>
      <c r="B37" s="88">
        <v>62920.734160352265</v>
      </c>
      <c r="D37" s="88">
        <f>+'COMP Prior Yr'!D37</f>
        <v>99827.744814917343</v>
      </c>
      <c r="E37" s="697"/>
      <c r="F37" s="58">
        <f>D37-B37</f>
        <v>36907.010654565078</v>
      </c>
      <c r="G37" s="698"/>
      <c r="H37" s="89">
        <f>ROUND((((D37/B15)-B20)/B23)-(((B37/B15)-B20)/B23),4)*10000</f>
        <v>616</v>
      </c>
      <c r="I37" s="62">
        <f>H33+H36</f>
        <v>615</v>
      </c>
      <c r="K37" s="62">
        <f>H37-I37</f>
        <v>1</v>
      </c>
      <c r="X37" s="63"/>
    </row>
    <row r="38" spans="1:24" s="81" customFormat="1" ht="14.1" customHeight="1">
      <c r="A38" s="54"/>
      <c r="B38" s="90"/>
      <c r="C38" s="54"/>
      <c r="D38" s="90"/>
      <c r="E38" s="70"/>
      <c r="F38" s="71"/>
      <c r="G38" s="93"/>
      <c r="H38" s="106">
        <f>D37-D17</f>
        <v>1.49173429235816E-5</v>
      </c>
      <c r="I38" s="91" t="s">
        <v>506</v>
      </c>
      <c r="J38" s="78"/>
      <c r="X38" s="84"/>
    </row>
    <row r="39" spans="1:24" ht="4.5" customHeight="1">
      <c r="B39" s="92"/>
      <c r="D39" s="92"/>
      <c r="E39" s="70"/>
      <c r="F39" s="70"/>
      <c r="G39" s="93"/>
      <c r="H39" s="94"/>
      <c r="I39" s="95"/>
      <c r="J39" s="77"/>
      <c r="X39" s="96"/>
    </row>
    <row r="40" spans="1:24" ht="15.75">
      <c r="A40" s="64" t="s">
        <v>507</v>
      </c>
      <c r="B40" s="87"/>
      <c r="C40" s="87"/>
      <c r="D40" s="87"/>
      <c r="E40" s="70"/>
      <c r="F40" s="87"/>
      <c r="G40" s="70"/>
      <c r="I40" s="77"/>
      <c r="J40" s="57"/>
    </row>
    <row r="41" spans="1:24">
      <c r="A41" s="54" t="s">
        <v>150</v>
      </c>
      <c r="B41" s="97">
        <v>0</v>
      </c>
      <c r="D41" s="97">
        <f>+'COMP Prior Yr'!D41</f>
        <v>-5.0765400010277517E-4</v>
      </c>
      <c r="E41" s="70"/>
      <c r="F41" s="68">
        <f>D41-B41</f>
        <v>-5.0765400010277517E-4</v>
      </c>
      <c r="G41" s="77"/>
      <c r="H41" s="85">
        <f>ROUND((((D41/$B$15)-$B$20)/$B$23)-(((B41/$B$15)-$B$20)/$B$23),4)*10000</f>
        <v>0</v>
      </c>
    </row>
    <row r="42" spans="1:24">
      <c r="A42" s="54" t="s">
        <v>151</v>
      </c>
      <c r="B42" s="97">
        <v>33.154318024395749</v>
      </c>
      <c r="D42" s="97">
        <f>+'COMP Prior Yr'!D42</f>
        <v>29.265119278181093</v>
      </c>
      <c r="E42" s="70"/>
      <c r="F42" s="68">
        <f>D42-B42</f>
        <v>-3.8891987462146567</v>
      </c>
      <c r="G42" s="77"/>
      <c r="H42" s="85">
        <f>ROUND((((D42/$B$15)-$B$20)/$B$23)-(((B42/$B$15)-$B$20)/$B$23),4)*10000</f>
        <v>0</v>
      </c>
    </row>
    <row r="43" spans="1:24">
      <c r="A43" s="54" t="s">
        <v>152</v>
      </c>
      <c r="B43" s="97">
        <v>-1653.7130014456873</v>
      </c>
      <c r="D43" s="97">
        <f>+'COMP Prior Yr'!D43</f>
        <v>-117.20289195672966</v>
      </c>
      <c r="E43" s="70"/>
      <c r="F43" s="68">
        <f t="shared" ref="F43:F58" si="0">D43-B43</f>
        <v>1536.5101094889576</v>
      </c>
      <c r="G43" s="77"/>
      <c r="H43" s="85">
        <f t="shared" ref="H43:H58" si="1">ROUND((((D43/$B$15)-$B$20)/$B$23)-(((B43/$B$15)-$B$20)/$B$23),4)*10000</f>
        <v>26</v>
      </c>
    </row>
    <row r="44" spans="1:24">
      <c r="A44" s="54" t="s">
        <v>481</v>
      </c>
      <c r="B44" s="97">
        <v>0</v>
      </c>
      <c r="D44" s="97">
        <f>+'COMP Prior Yr'!D44</f>
        <v>2099</v>
      </c>
      <c r="E44" s="70"/>
      <c r="F44" s="68">
        <f t="shared" si="0"/>
        <v>2099</v>
      </c>
      <c r="G44" s="77"/>
      <c r="H44" s="85">
        <f t="shared" si="1"/>
        <v>35</v>
      </c>
      <c r="O44" s="75"/>
    </row>
    <row r="45" spans="1:24">
      <c r="A45" s="54" t="s">
        <v>153</v>
      </c>
      <c r="B45" s="97">
        <v>0</v>
      </c>
      <c r="D45" s="97">
        <f>+'COMP Prior Yr'!D45</f>
        <v>0</v>
      </c>
      <c r="E45" s="70"/>
      <c r="F45" s="68">
        <f t="shared" si="0"/>
        <v>0</v>
      </c>
      <c r="G45" s="77"/>
      <c r="H45" s="85">
        <f t="shared" si="1"/>
        <v>0</v>
      </c>
    </row>
    <row r="46" spans="1:24">
      <c r="A46" s="54" t="s">
        <v>410</v>
      </c>
      <c r="B46" s="97">
        <v>26.224893640999998</v>
      </c>
      <c r="D46" s="97">
        <f>+'COMP Prior Yr'!D46</f>
        <v>12.004970063624999</v>
      </c>
      <c r="E46" s="70"/>
      <c r="F46" s="68">
        <f t="shared" si="0"/>
        <v>-14.219923577374999</v>
      </c>
      <c r="G46" s="77"/>
      <c r="H46" s="85">
        <f t="shared" si="1"/>
        <v>0</v>
      </c>
      <c r="O46" s="145"/>
    </row>
    <row r="47" spans="1:24">
      <c r="A47" s="54" t="s">
        <v>154</v>
      </c>
      <c r="B47" s="70">
        <v>65.982534347830011</v>
      </c>
      <c r="D47" s="70">
        <f>+'COMP Prior Yr'!D47</f>
        <v>59.108476990499994</v>
      </c>
      <c r="E47" s="70"/>
      <c r="F47" s="68">
        <f t="shared" si="0"/>
        <v>-6.8740573573300168</v>
      </c>
      <c r="G47" s="77"/>
      <c r="H47" s="85">
        <f t="shared" si="1"/>
        <v>0</v>
      </c>
      <c r="O47" s="144"/>
    </row>
    <row r="48" spans="1:24">
      <c r="A48" s="54" t="s">
        <v>409</v>
      </c>
      <c r="B48" s="70">
        <v>-13.887985119999939</v>
      </c>
      <c r="D48" s="70">
        <f>+'COMP Prior Yr'!D48</f>
        <v>-219.16715458049293</v>
      </c>
      <c r="E48" s="70"/>
      <c r="F48" s="68">
        <f t="shared" si="0"/>
        <v>-205.27916946049299</v>
      </c>
      <c r="G48" s="77"/>
      <c r="H48" s="85">
        <f t="shared" si="1"/>
        <v>-2.9999999999999996</v>
      </c>
      <c r="O48" s="145"/>
    </row>
    <row r="49" spans="1:15">
      <c r="A49" s="54" t="s">
        <v>155</v>
      </c>
      <c r="B49" s="70">
        <v>41.787580165283842</v>
      </c>
      <c r="D49" s="70">
        <f>+'COMP Prior Yr'!D49</f>
        <v>43.829762775523193</v>
      </c>
      <c r="E49" s="70"/>
      <c r="F49" s="68">
        <f t="shared" si="0"/>
        <v>2.042182610239351</v>
      </c>
      <c r="G49" s="77"/>
      <c r="H49" s="85">
        <f t="shared" si="1"/>
        <v>0</v>
      </c>
      <c r="O49" s="145"/>
    </row>
    <row r="50" spans="1:15">
      <c r="A50" s="54" t="s">
        <v>156</v>
      </c>
      <c r="B50" s="70">
        <v>5.4249511649373998</v>
      </c>
      <c r="D50" s="70">
        <f>+'COMP Prior Yr'!D50</f>
        <v>5.7199476001184992</v>
      </c>
      <c r="E50" s="70"/>
      <c r="F50" s="68">
        <f t="shared" si="0"/>
        <v>0.29499643518109941</v>
      </c>
      <c r="G50" s="77"/>
      <c r="H50" s="85">
        <f t="shared" si="1"/>
        <v>0</v>
      </c>
      <c r="O50" s="144"/>
    </row>
    <row r="51" spans="1:15">
      <c r="A51" s="54" t="s">
        <v>411</v>
      </c>
      <c r="B51" s="70">
        <v>60.114596460999998</v>
      </c>
      <c r="D51" s="70">
        <f>+'COMP Prior Yr'!D51</f>
        <v>0</v>
      </c>
      <c r="E51" s="70"/>
      <c r="F51" s="68">
        <f t="shared" si="0"/>
        <v>-60.114596460999998</v>
      </c>
      <c r="G51" s="77"/>
      <c r="H51" s="85">
        <f t="shared" si="1"/>
        <v>-1</v>
      </c>
    </row>
    <row r="52" spans="1:15">
      <c r="A52" s="105" t="s">
        <v>412</v>
      </c>
      <c r="B52" s="70">
        <v>0</v>
      </c>
      <c r="D52" s="70">
        <f>+'COMP Prior Yr'!D52</f>
        <v>0</v>
      </c>
      <c r="E52" s="70"/>
      <c r="F52" s="68">
        <f t="shared" si="0"/>
        <v>0</v>
      </c>
      <c r="G52" s="77"/>
      <c r="H52" s="85">
        <f t="shared" si="1"/>
        <v>0</v>
      </c>
    </row>
    <row r="53" spans="1:15">
      <c r="A53" s="694" t="s">
        <v>536</v>
      </c>
      <c r="B53" s="70">
        <v>-80.415622883790007</v>
      </c>
      <c r="D53" s="70">
        <f>+'COMP Prior Yr'!D53</f>
        <v>-87.940603800000005</v>
      </c>
      <c r="E53" s="70"/>
      <c r="F53" s="68">
        <f>D53-B53</f>
        <v>-7.5249809162099979</v>
      </c>
      <c r="G53" s="77"/>
      <c r="H53" s="85">
        <f>ROUND((((D53/$B$15)-$B$20)/$B$23)-(((B53/$B$15)-$B$20)/$B$23),4)*10000</f>
        <v>0</v>
      </c>
    </row>
    <row r="54" spans="1:15">
      <c r="A54" s="105" t="s">
        <v>157</v>
      </c>
      <c r="B54" s="70">
        <v>0</v>
      </c>
      <c r="D54" s="70">
        <f>+'COMP Prior Yr'!D54</f>
        <v>0</v>
      </c>
      <c r="E54" s="70"/>
      <c r="F54" s="68">
        <f t="shared" si="0"/>
        <v>0</v>
      </c>
      <c r="G54" s="77"/>
      <c r="H54" s="85">
        <f t="shared" si="1"/>
        <v>0</v>
      </c>
    </row>
    <row r="55" spans="1:15">
      <c r="A55" s="54" t="s">
        <v>532</v>
      </c>
      <c r="B55" s="70">
        <v>-4.3022562476835446E-4</v>
      </c>
      <c r="D55" s="70">
        <f>+'COMP Prior Yr'!D55</f>
        <v>-2.1649950008395535E-4</v>
      </c>
      <c r="E55" s="70"/>
      <c r="F55" s="68">
        <f t="shared" si="0"/>
        <v>2.1372612468439911E-4</v>
      </c>
      <c r="G55" s="77"/>
      <c r="H55" s="85">
        <f t="shared" si="1"/>
        <v>0</v>
      </c>
    </row>
    <row r="56" spans="1:15">
      <c r="A56" s="54" t="s">
        <v>533</v>
      </c>
      <c r="B56" s="70">
        <v>-7945.2770384983996</v>
      </c>
      <c r="D56" s="70">
        <f>+'COMP Prior Yr'!D56</f>
        <v>-3164.0028272999998</v>
      </c>
      <c r="E56" s="70"/>
      <c r="F56" s="68">
        <f t="shared" si="0"/>
        <v>4781.2742111983998</v>
      </c>
      <c r="G56" s="77"/>
      <c r="H56" s="85">
        <f t="shared" si="1"/>
        <v>80</v>
      </c>
    </row>
    <row r="57" spans="1:15" ht="15.2" customHeight="1">
      <c r="A57" s="54" t="s">
        <v>510</v>
      </c>
      <c r="B57" s="71">
        <v>0</v>
      </c>
      <c r="D57" s="71">
        <f>+'COMP Prior Yr'!D57</f>
        <v>0</v>
      </c>
      <c r="E57" s="70"/>
      <c r="F57" s="99">
        <f t="shared" si="0"/>
        <v>0</v>
      </c>
      <c r="H57" s="85">
        <f t="shared" si="1"/>
        <v>0</v>
      </c>
    </row>
    <row r="58" spans="1:15" ht="15.2" customHeight="1">
      <c r="A58" s="54" t="s">
        <v>508</v>
      </c>
      <c r="B58" s="70">
        <v>-9460.6052043690543</v>
      </c>
      <c r="D58" s="70">
        <f>+'COMP Prior Yr'!D58</f>
        <v>-1339.3859250827747</v>
      </c>
      <c r="E58" s="70"/>
      <c r="F58" s="68">
        <f t="shared" si="0"/>
        <v>8121.2192792862797</v>
      </c>
      <c r="H58" s="85">
        <f t="shared" si="1"/>
        <v>135</v>
      </c>
    </row>
  </sheetData>
  <mergeCells count="4">
    <mergeCell ref="A1:H1"/>
    <mergeCell ref="A2:H2"/>
    <mergeCell ref="A3:H3"/>
    <mergeCell ref="A4:H4"/>
  </mergeCells>
  <conditionalFormatting sqref="K31:K37 K15:K25">
    <cfRule type="cellIs" dxfId="7" priority="1" stopIfTrue="1" operator="equal">
      <formula>0</formula>
    </cfRule>
    <cfRule type="cellIs" dxfId="6" priority="2" stopIfTrue="1" operator="notEqual">
      <formula>0</formula>
    </cfRule>
  </conditionalFormatting>
  <printOptions horizontalCentered="1"/>
  <pageMargins left="0.5" right="0.5" top="0.5" bottom="0.5" header="0.5" footer="0.25"/>
  <pageSetup scale="82" orientation="portrait" r:id="rId1"/>
  <headerFooter>
    <oddFooter>&amp;Z&amp;F</oddFooter>
  </headerFooter>
  <customProperties>
    <customPr name="_pios_id" r:id="rId2"/>
    <customPr name="EpmWorksheetKeyString_GUID" r:id="rId3"/>
  </customProperties>
  <legacyDrawing r:id="rId4"/>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3" tint="0.39997558519241921"/>
    <pageSetUpPr fitToPage="1"/>
  </sheetPr>
  <dimension ref="A1:X59"/>
  <sheetViews>
    <sheetView workbookViewId="0">
      <selection sqref="A1:H1"/>
    </sheetView>
  </sheetViews>
  <sheetFormatPr defaultColWidth="9.140625" defaultRowHeight="15"/>
  <cols>
    <col min="1" max="1" width="47" style="54" bestFit="1" customWidth="1"/>
    <col min="2" max="2" width="21.42578125" style="54" bestFit="1" customWidth="1"/>
    <col min="3" max="3" width="1.85546875" style="54" bestFit="1" customWidth="1"/>
    <col min="4" max="4" width="21.42578125" style="54" bestFit="1" customWidth="1"/>
    <col min="5" max="5" width="1.5703125" style="54" customWidth="1"/>
    <col min="6" max="6" width="12.42578125" style="54" bestFit="1" customWidth="1"/>
    <col min="7" max="7" width="1.5703125" style="54" customWidth="1"/>
    <col min="8" max="8" width="11.5703125" style="56" customWidth="1"/>
    <col min="9" max="9" width="14.5703125" style="54" bestFit="1" customWidth="1"/>
    <col min="10" max="10" width="7.5703125" style="54" customWidth="1"/>
    <col min="11" max="11" width="10.85546875" style="54" customWidth="1"/>
    <col min="12" max="14" width="9.140625" style="54"/>
    <col min="15" max="15" width="30.5703125" style="54" customWidth="1"/>
    <col min="16" max="16" width="7.140625" style="54" customWidth="1"/>
    <col min="17" max="17" width="8.140625" style="54" customWidth="1"/>
    <col min="18" max="18" width="1.5703125" style="54" customWidth="1"/>
    <col min="19" max="19" width="7.5703125" style="54" customWidth="1"/>
    <col min="20" max="20" width="13" style="54" customWidth="1"/>
    <col min="21" max="21" width="1.5703125" style="54" customWidth="1"/>
    <col min="22" max="22" width="9.140625" style="54"/>
    <col min="23" max="23" width="1.42578125" style="54" customWidth="1"/>
    <col min="24" max="24" width="8.5703125" style="57" customWidth="1"/>
    <col min="25" max="25" width="6.85546875" style="54" customWidth="1"/>
    <col min="26" max="26" width="6.42578125" style="54" customWidth="1"/>
    <col min="27" max="16384" width="9.140625" style="54"/>
  </cols>
  <sheetData>
    <row r="1" spans="1:24" ht="17.45" customHeight="1">
      <c r="A1" s="1293" t="s">
        <v>204</v>
      </c>
      <c r="B1" s="1293"/>
      <c r="C1" s="1293"/>
      <c r="D1" s="1293"/>
      <c r="E1" s="1293"/>
      <c r="F1" s="1293"/>
      <c r="G1" s="1293"/>
      <c r="H1" s="1293"/>
    </row>
    <row r="2" spans="1:24" ht="17.45" customHeight="1">
      <c r="A2" s="1293" t="s">
        <v>1855</v>
      </c>
      <c r="B2" s="1293"/>
      <c r="C2" s="1293"/>
      <c r="D2" s="1293"/>
      <c r="E2" s="1293"/>
      <c r="F2" s="1293"/>
      <c r="G2" s="1293"/>
      <c r="H2" s="1293"/>
    </row>
    <row r="3" spans="1:24" ht="17.45" customHeight="1">
      <c r="A3" s="1293" t="s">
        <v>1856</v>
      </c>
      <c r="B3" s="1293"/>
      <c r="C3" s="1293"/>
      <c r="D3" s="1293"/>
      <c r="E3" s="1293"/>
      <c r="F3" s="1293"/>
      <c r="G3" s="1293"/>
      <c r="H3" s="1293"/>
    </row>
    <row r="4" spans="1:24" ht="18" customHeight="1">
      <c r="A4" s="1293" t="s">
        <v>1857</v>
      </c>
      <c r="B4" s="1293"/>
      <c r="C4" s="1293"/>
      <c r="D4" s="1293"/>
      <c r="E4" s="1293"/>
      <c r="F4" s="1293"/>
      <c r="G4" s="1293"/>
      <c r="H4" s="1293"/>
    </row>
    <row r="5" spans="1:24" ht="28.35" customHeight="1">
      <c r="A5" s="17"/>
      <c r="B5" s="392"/>
      <c r="C5" s="695"/>
      <c r="D5" s="227"/>
      <c r="E5" s="696"/>
      <c r="K5" s="58"/>
    </row>
    <row r="6" spans="1:24" ht="28.35" customHeight="1">
      <c r="A6" s="17"/>
      <c r="B6" s="60">
        <v>44561</v>
      </c>
      <c r="C6" s="695"/>
      <c r="D6" s="227"/>
      <c r="E6" s="696"/>
      <c r="K6" s="58"/>
    </row>
    <row r="7" spans="1:24" s="61" customFormat="1" ht="15.75">
      <c r="A7" s="59"/>
      <c r="B7" s="55" t="s">
        <v>2559</v>
      </c>
      <c r="C7" s="54"/>
      <c r="D7" s="60" t="str">
        <f>'COMP Prior Yr'!D6</f>
        <v>December 2022</v>
      </c>
      <c r="H7" s="62" t="s">
        <v>487</v>
      </c>
      <c r="X7" s="63"/>
    </row>
    <row r="8" spans="1:24" s="61" customFormat="1" ht="15.75">
      <c r="A8" s="64"/>
      <c r="B8" s="65" t="s">
        <v>509</v>
      </c>
      <c r="C8" s="55"/>
      <c r="D8" s="65" t="str">
        <f>'COMP Prior Yr'!D7</f>
        <v>Actuals</v>
      </c>
      <c r="F8" s="66" t="s">
        <v>489</v>
      </c>
      <c r="G8" s="64"/>
      <c r="H8" s="67" t="s">
        <v>490</v>
      </c>
      <c r="K8" s="68"/>
      <c r="X8" s="63"/>
    </row>
    <row r="9" spans="1:24" ht="15.75">
      <c r="A9" s="61"/>
    </row>
    <row r="10" spans="1:24">
      <c r="A10" s="54" t="s">
        <v>223</v>
      </c>
      <c r="B10" s="199">
        <v>1384548.7608419436</v>
      </c>
      <c r="D10" s="199">
        <f>+'COMP Prior Yr'!D9</f>
        <v>1661056.812737515</v>
      </c>
      <c r="F10" s="332">
        <f>D10-B10</f>
        <v>276508.05189557141</v>
      </c>
      <c r="G10" s="332"/>
      <c r="H10" s="333">
        <f>ROUND((((B18/(D10+D11+D12+D14))-B21)/B24)-(((B18/(B10+D11+D12+D14))-B21)/B24),4)*10000</f>
        <v>-205</v>
      </c>
      <c r="I10" s="105"/>
      <c r="J10" s="69"/>
      <c r="K10" s="105"/>
    </row>
    <row r="11" spans="1:24">
      <c r="A11" s="54" t="s">
        <v>4</v>
      </c>
      <c r="B11" s="200">
        <v>156425.54822076924</v>
      </c>
      <c r="D11" s="200">
        <f>+'COMP Prior Yr'!D10</f>
        <v>98720.05334769233</v>
      </c>
      <c r="F11" s="332">
        <f>D11-B11</f>
        <v>-57705.49487307691</v>
      </c>
      <c r="G11" s="332"/>
      <c r="H11" s="333">
        <f>ROUND((((B18/(D10+D12+D14+D11))-B21)/B24)-(((B18/(B11+D10+D12+D14))-B21)/B24),4)*10000</f>
        <v>35</v>
      </c>
      <c r="I11" s="105"/>
      <c r="J11" s="105"/>
      <c r="K11" s="105"/>
    </row>
    <row r="12" spans="1:24">
      <c r="A12" s="54" t="s">
        <v>491</v>
      </c>
      <c r="B12" s="200">
        <v>0</v>
      </c>
      <c r="D12" s="200">
        <f>+'COMP Prior Yr'!D11</f>
        <v>0</v>
      </c>
      <c r="F12" s="332">
        <f>D12-B12</f>
        <v>0</v>
      </c>
      <c r="G12" s="432"/>
      <c r="H12" s="333">
        <f>ROUND((((B18/(D10+D11+D12+D14))-B21)/B24)-(((B18/(B12+D10+D11+D14))-B21)/B24),4)*10000</f>
        <v>0</v>
      </c>
      <c r="I12" s="105"/>
      <c r="J12" s="105"/>
      <c r="K12" s="105"/>
    </row>
    <row r="13" spans="1:24">
      <c r="A13" s="105" t="s">
        <v>229</v>
      </c>
      <c r="B13" s="200">
        <v>9345.3153846153855</v>
      </c>
      <c r="D13" s="200">
        <f>+'COMP Prior Yr'!D12</f>
        <v>3209.9291492307693</v>
      </c>
      <c r="F13" s="332">
        <f>D13-B13</f>
        <v>-6135.3862353846162</v>
      </c>
      <c r="G13" s="432"/>
      <c r="H13" s="333">
        <f>ROUND((((B18/(D10+D11+D12+D13+D14))-B21)/B24)-(((B18/(B13+D10+D11+D12+D14))-B21)/B24),4)*10000</f>
        <v>4</v>
      </c>
      <c r="I13" s="105"/>
      <c r="J13" s="105"/>
      <c r="K13" s="105"/>
    </row>
    <row r="14" spans="1:24" ht="15.75">
      <c r="A14" s="54" t="s">
        <v>492</v>
      </c>
      <c r="B14" s="331">
        <v>-31512.577589663422</v>
      </c>
      <c r="C14" s="70"/>
      <c r="D14" s="331">
        <f>+'COMP Prior Yr'!D13</f>
        <v>-29027.429266153893</v>
      </c>
      <c r="F14" s="332">
        <f>D14-B14</f>
        <v>2485.1483235095293</v>
      </c>
      <c r="G14" s="432"/>
      <c r="H14" s="333">
        <f>ROUND((((B18/(D10+D11+D12+D14))-B21)/B24)-(((B18/(B14+D10+D11+D12))-B21)/B24),4)*10000</f>
        <v>-2</v>
      </c>
      <c r="I14" s="72" t="s">
        <v>493</v>
      </c>
      <c r="J14" s="105"/>
      <c r="K14" s="73" t="s">
        <v>494</v>
      </c>
    </row>
    <row r="15" spans="1:24" ht="8.1" customHeight="1">
      <c r="B15" s="201"/>
      <c r="D15" s="201"/>
      <c r="F15" s="332"/>
      <c r="G15" s="105"/>
      <c r="H15" s="333"/>
      <c r="I15" s="72"/>
      <c r="J15" s="105"/>
      <c r="K15" s="73"/>
    </row>
    <row r="16" spans="1:24" ht="15.75">
      <c r="A16" s="61" t="s">
        <v>348</v>
      </c>
      <c r="B16" s="202">
        <v>1518807.0469</v>
      </c>
      <c r="C16" s="61"/>
      <c r="D16" s="202">
        <f>+'COMP Prior Yr'!D15</f>
        <v>1733959.3659999999</v>
      </c>
      <c r="E16" s="61"/>
      <c r="F16" s="58">
        <f>D16-B16</f>
        <v>215152.31909999996</v>
      </c>
      <c r="G16" s="58"/>
      <c r="H16" s="62">
        <f>ROUND((((B18/D16)-B21)/B24)-(((B18/B16)-B21)/B24),4)*10000</f>
        <v>-153</v>
      </c>
      <c r="I16" s="62">
        <f>SUM(H10:H14)</f>
        <v>-168</v>
      </c>
      <c r="J16" s="333"/>
      <c r="K16" s="62">
        <f>H16-I16</f>
        <v>15</v>
      </c>
      <c r="O16" s="75">
        <f>+F16/H16</f>
        <v>-1406.224307843137</v>
      </c>
    </row>
    <row r="17" spans="1:24" ht="8.1" customHeight="1">
      <c r="B17" s="200"/>
      <c r="D17" s="200"/>
      <c r="F17" s="332"/>
      <c r="G17" s="105"/>
      <c r="H17" s="333"/>
      <c r="I17" s="62"/>
      <c r="J17" s="333"/>
      <c r="K17" s="62"/>
    </row>
    <row r="18" spans="1:24" s="61" customFormat="1" ht="15.75">
      <c r="A18" s="61" t="s">
        <v>495</v>
      </c>
      <c r="B18" s="203">
        <v>86782.474600000001</v>
      </c>
      <c r="D18" s="203">
        <f>+'COMP Prior Yr'!D17</f>
        <v>99827.7448</v>
      </c>
      <c r="F18" s="58">
        <f>D18-B18</f>
        <v>13045.270199999999</v>
      </c>
      <c r="G18" s="698"/>
      <c r="H18" s="76">
        <f>ROUND((((D18/B16)-B21)/B24)-(((B18/B16)-B21)/B24),4)*10000</f>
        <v>185</v>
      </c>
      <c r="I18" s="62"/>
      <c r="J18" s="62"/>
      <c r="K18" s="62"/>
      <c r="L18" s="76"/>
      <c r="O18" s="75">
        <f>+F18/H18</f>
        <v>70.514974054054051</v>
      </c>
      <c r="X18" s="63"/>
    </row>
    <row r="19" spans="1:24" ht="8.1" customHeight="1">
      <c r="F19" s="105"/>
      <c r="G19" s="105"/>
      <c r="H19" s="333"/>
      <c r="I19" s="62"/>
      <c r="J19" s="333"/>
      <c r="K19" s="62"/>
    </row>
    <row r="20" spans="1:24" ht="15.75">
      <c r="A20" s="54" t="s">
        <v>496</v>
      </c>
      <c r="B20" s="77">
        <v>5.7099999999999998E-2</v>
      </c>
      <c r="D20" s="77">
        <f>+'COMP Prior Yr'!D19</f>
        <v>5.7599999999999998E-2</v>
      </c>
      <c r="F20" s="423">
        <f>D20-B20</f>
        <v>5.0000000000000044E-4</v>
      </c>
      <c r="G20" s="423"/>
      <c r="H20" s="333">
        <f>ROUND((F20/$B$24)*10000,0)</f>
        <v>11</v>
      </c>
      <c r="I20" s="62">
        <f>H16+H18</f>
        <v>32</v>
      </c>
      <c r="J20" s="333"/>
      <c r="K20" s="62">
        <f>H20-I20</f>
        <v>-21</v>
      </c>
    </row>
    <row r="21" spans="1:24" ht="15.75">
      <c r="A21" s="54" t="s">
        <v>1858</v>
      </c>
      <c r="B21" s="78">
        <v>1.37E-2</v>
      </c>
      <c r="D21" s="78">
        <f>+'COMP Prior Yr'!D20</f>
        <v>1.4200000000000001E-2</v>
      </c>
      <c r="F21" s="423">
        <f>D21-B21</f>
        <v>5.0000000000000044E-4</v>
      </c>
      <c r="G21" s="423"/>
      <c r="H21" s="333">
        <f>-ROUND((F21/$B$24)*10000,0)</f>
        <v>-11</v>
      </c>
      <c r="I21" s="62"/>
      <c r="J21" s="333"/>
      <c r="K21" s="62"/>
    </row>
    <row r="22" spans="1:24" ht="8.1" customHeight="1">
      <c r="B22" s="74"/>
      <c r="D22" s="74"/>
      <c r="F22" s="423"/>
      <c r="G22" s="423"/>
      <c r="H22" s="333"/>
      <c r="I22" s="62"/>
      <c r="J22" s="333"/>
      <c r="K22" s="62"/>
    </row>
    <row r="23" spans="1:24" ht="15.75">
      <c r="A23" s="54" t="s">
        <v>497</v>
      </c>
      <c r="B23" s="77">
        <v>4.3400000000000001E-2</v>
      </c>
      <c r="D23" s="77">
        <f>+'COMP Prior Yr'!D22</f>
        <v>4.3400000000000001E-2</v>
      </c>
      <c r="F23" s="423">
        <f>D23-B23</f>
        <v>0</v>
      </c>
      <c r="G23" s="423"/>
      <c r="H23" s="333">
        <f>ROUND((F23/$B$24)*10000,0)</f>
        <v>0</v>
      </c>
      <c r="I23" s="62">
        <f>H20+H21</f>
        <v>0</v>
      </c>
      <c r="J23" s="333"/>
      <c r="K23" s="62">
        <f>H23-I23</f>
        <v>0</v>
      </c>
    </row>
    <row r="24" spans="1:24" ht="15.75">
      <c r="A24" s="54" t="s">
        <v>483</v>
      </c>
      <c r="B24" s="78">
        <v>0.46400000000000002</v>
      </c>
      <c r="D24" s="78">
        <f>+'COMP Prior Yr'!D23</f>
        <v>0.46889999999999998</v>
      </c>
      <c r="F24" s="423">
        <f>D24-B24</f>
        <v>4.8999999999999599E-3</v>
      </c>
      <c r="G24" s="423"/>
      <c r="H24" s="333">
        <f>ROUND((B23/D24)-(B23/B24),4)*10000</f>
        <v>-10</v>
      </c>
      <c r="I24" s="62"/>
      <c r="J24" s="333"/>
      <c r="K24" s="62"/>
    </row>
    <row r="25" spans="1:24" ht="15.75">
      <c r="B25" s="74"/>
      <c r="D25" s="74"/>
      <c r="F25" s="423"/>
      <c r="G25" s="423"/>
      <c r="H25" s="424"/>
      <c r="I25" s="62"/>
      <c r="J25" s="333"/>
      <c r="K25" s="62"/>
    </row>
    <row r="26" spans="1:24" s="61" customFormat="1" ht="15.75">
      <c r="A26" s="61" t="s">
        <v>498</v>
      </c>
      <c r="B26" s="252">
        <v>9.3600000000000003E-2</v>
      </c>
      <c r="D26" s="252">
        <f>+'COMP Prior Yr'!D25</f>
        <v>9.2499999999999999E-2</v>
      </c>
      <c r="F26" s="80">
        <f>D26-B26</f>
        <v>-1.1000000000000038E-3</v>
      </c>
      <c r="G26" s="80"/>
      <c r="H26" s="62">
        <f>(D26-B26)*10000</f>
        <v>-11.000000000000037</v>
      </c>
      <c r="I26" s="62">
        <f>H23+H24</f>
        <v>-10</v>
      </c>
      <c r="J26" s="62"/>
      <c r="K26" s="62">
        <f>H26-I26</f>
        <v>-1.0000000000000373</v>
      </c>
      <c r="L26" s="80"/>
      <c r="X26" s="63"/>
    </row>
    <row r="27" spans="1:24" s="81" customFormat="1" ht="4.5" customHeight="1">
      <c r="A27" s="54"/>
      <c r="B27" s="82"/>
      <c r="C27" s="54"/>
      <c r="D27" s="82"/>
      <c r="E27" s="54"/>
      <c r="F27" s="425"/>
      <c r="G27" s="105"/>
      <c r="H27" s="426"/>
      <c r="I27" s="425"/>
      <c r="J27" s="425"/>
      <c r="K27" s="425"/>
      <c r="X27" s="84"/>
    </row>
    <row r="28" spans="1:24" ht="4.5" customHeight="1">
      <c r="F28" s="105"/>
      <c r="G28" s="105"/>
      <c r="H28" s="333"/>
      <c r="I28" s="105"/>
      <c r="J28" s="427"/>
      <c r="K28" s="105"/>
    </row>
    <row r="29" spans="1:24">
      <c r="A29" s="54" t="s">
        <v>499</v>
      </c>
      <c r="B29" s="459">
        <v>111975.06022000004</v>
      </c>
      <c r="D29" s="459">
        <f>+'COMP Prior Yr'!D28</f>
        <v>127065.09198000013</v>
      </c>
      <c r="E29" s="70"/>
      <c r="F29" s="332">
        <f>D29-B29</f>
        <v>15090.031760000085</v>
      </c>
      <c r="G29" s="332"/>
      <c r="H29" s="428">
        <f>ROUND((((D29/B16)-B21)/B24)-(((B29/B16)-B21)/B24),4)*10000</f>
        <v>214</v>
      </c>
      <c r="I29" s="105"/>
      <c r="J29" s="105"/>
      <c r="K29" s="105"/>
    </row>
    <row r="30" spans="1:24">
      <c r="A30" s="54" t="s">
        <v>500</v>
      </c>
      <c r="B30" s="86">
        <v>22124.717384339507</v>
      </c>
      <c r="C30" s="70"/>
      <c r="D30" s="86">
        <f>+'COMP Prior Yr'!D29</f>
        <v>25897.961240000001</v>
      </c>
      <c r="E30" s="70"/>
      <c r="F30" s="332">
        <f>B30-D30</f>
        <v>-3773.2438556604939</v>
      </c>
      <c r="G30" s="332"/>
      <c r="H30" s="428">
        <f>-ROUND((((D30/B16)-B21)/B24)-(((B30/B16)-B21)/B24),4)*10000</f>
        <v>-54</v>
      </c>
      <c r="I30" s="105"/>
      <c r="J30" s="105"/>
      <c r="K30" s="105"/>
    </row>
    <row r="31" spans="1:24" ht="15.75">
      <c r="A31" s="693" t="s">
        <v>501</v>
      </c>
      <c r="B31" s="71">
        <v>0</v>
      </c>
      <c r="C31" s="70"/>
      <c r="D31" s="71">
        <f>+'COMP Prior Yr'!D30</f>
        <v>0</v>
      </c>
      <c r="E31" s="70"/>
      <c r="F31" s="332">
        <f>B31-D31</f>
        <v>0</v>
      </c>
      <c r="G31" s="432"/>
      <c r="H31" s="428">
        <f>-ROUND((((D31/B16)-B21)/B24)-(((B31/B16)-B21)/B24),4)*10000</f>
        <v>0</v>
      </c>
      <c r="I31" s="55" t="s">
        <v>493</v>
      </c>
      <c r="J31" s="105"/>
      <c r="K31" s="73" t="s">
        <v>494</v>
      </c>
    </row>
    <row r="32" spans="1:24" ht="15.75">
      <c r="A32" s="74" t="s">
        <v>502</v>
      </c>
      <c r="B32" s="71">
        <v>22124.717384339507</v>
      </c>
      <c r="D32" s="71">
        <f>+'COMP Prior Yr'!D31</f>
        <v>25897.961240000001</v>
      </c>
      <c r="E32" s="70"/>
      <c r="F32" s="332">
        <f>D32-B32</f>
        <v>3773.2438556604939</v>
      </c>
      <c r="G32" s="432"/>
      <c r="H32" s="428">
        <f>-ROUND((((D32/B16)-B21)/B24)-(((B32/B16)-B21)/B24),4)*10000</f>
        <v>-54</v>
      </c>
      <c r="I32" s="333"/>
      <c r="J32" s="105"/>
      <c r="K32" s="62"/>
    </row>
    <row r="33" spans="1:24" ht="8.1" customHeight="1">
      <c r="B33" s="87"/>
      <c r="D33" s="87"/>
      <c r="E33" s="70"/>
      <c r="F33" s="332"/>
      <c r="G33" s="105"/>
      <c r="H33" s="428"/>
      <c r="I33" s="62"/>
      <c r="J33" s="105"/>
      <c r="K33" s="62"/>
    </row>
    <row r="34" spans="1:24" ht="15.75">
      <c r="A34" s="54" t="s">
        <v>503</v>
      </c>
      <c r="B34" s="71">
        <v>89850.342835660529</v>
      </c>
      <c r="D34" s="71">
        <f>+'COMP Prior Yr'!D33</f>
        <v>101167.13074000012</v>
      </c>
      <c r="E34" s="70"/>
      <c r="F34" s="332">
        <f>D34-B34</f>
        <v>11316.787904339595</v>
      </c>
      <c r="G34" s="332"/>
      <c r="H34" s="428">
        <f>ROUND((((D34/B16)-B21)/B24)-(((B34/B16)-B21)/B24),4)*10000</f>
        <v>161</v>
      </c>
      <c r="I34" s="333">
        <f>H29+H30+H31</f>
        <v>160</v>
      </c>
      <c r="J34" s="105"/>
      <c r="K34" s="62">
        <f>I34-H34</f>
        <v>-1</v>
      </c>
    </row>
    <row r="35" spans="1:24" ht="15.75">
      <c r="B35" s="70"/>
      <c r="D35" s="70"/>
      <c r="E35" s="70"/>
      <c r="F35" s="332"/>
      <c r="G35" s="332"/>
      <c r="H35" s="428"/>
      <c r="I35" s="333"/>
      <c r="J35" s="105"/>
      <c r="K35" s="62"/>
    </row>
    <row r="36" spans="1:24" ht="15.75">
      <c r="A36" s="54" t="s">
        <v>504</v>
      </c>
      <c r="B36" s="70">
        <v>0</v>
      </c>
      <c r="D36" s="70">
        <f>+'COMP Prior Yr'!D35</f>
        <v>0</v>
      </c>
      <c r="E36" s="70"/>
      <c r="F36" s="332"/>
      <c r="G36" s="332"/>
      <c r="H36" s="428"/>
      <c r="I36" s="333"/>
      <c r="J36" s="105"/>
      <c r="K36" s="62"/>
    </row>
    <row r="37" spans="1:24" ht="15.75">
      <c r="A37" s="693" t="s">
        <v>505</v>
      </c>
      <c r="B37" s="71">
        <v>-3067.8682650313758</v>
      </c>
      <c r="D37" s="71">
        <f>+'COMP Prior Yr'!D36</f>
        <v>-1339.3859250827747</v>
      </c>
      <c r="E37" s="70"/>
      <c r="F37" s="332">
        <f>D37-B37</f>
        <v>1728.4823399486011</v>
      </c>
      <c r="G37" s="105"/>
      <c r="H37" s="428">
        <f>ROUND((((D37/B16)-B21)/B24)-(((B37/B16)-B21)/B24),4)*10000</f>
        <v>25</v>
      </c>
      <c r="I37" s="333">
        <f>H37</f>
        <v>25</v>
      </c>
      <c r="J37" s="105"/>
      <c r="K37" s="62">
        <f>H37-I37</f>
        <v>0</v>
      </c>
    </row>
    <row r="38" spans="1:24" s="61" customFormat="1" ht="15.75">
      <c r="A38" s="61" t="s">
        <v>495</v>
      </c>
      <c r="B38" s="88">
        <v>86782.474570629158</v>
      </c>
      <c r="D38" s="88">
        <f>+'COMP Prior Yr'!D37</f>
        <v>99827.744814917343</v>
      </c>
      <c r="E38" s="697"/>
      <c r="F38" s="58">
        <f>D38-B38</f>
        <v>13045.270244288185</v>
      </c>
      <c r="G38" s="698"/>
      <c r="H38" s="429">
        <f>ROUND((((D38/B16)-B21)/B24)-(((B38/B16)-B21)/B24),4)*10000</f>
        <v>185</v>
      </c>
      <c r="I38" s="62">
        <f>H34+H37</f>
        <v>186</v>
      </c>
      <c r="K38" s="62">
        <f>H38-I38</f>
        <v>-1</v>
      </c>
      <c r="X38" s="63"/>
    </row>
    <row r="39" spans="1:24" s="81" customFormat="1" ht="14.1" customHeight="1">
      <c r="A39" s="54"/>
      <c r="B39" s="90"/>
      <c r="C39" s="54"/>
      <c r="D39" s="90"/>
      <c r="E39" s="70"/>
      <c r="F39" s="430"/>
      <c r="G39" s="433"/>
      <c r="H39" s="106">
        <f>D38-D18</f>
        <v>1.49173429235816E-5</v>
      </c>
      <c r="I39" s="91" t="s">
        <v>506</v>
      </c>
      <c r="J39" s="431"/>
      <c r="K39" s="425"/>
      <c r="X39" s="84"/>
    </row>
    <row r="40" spans="1:24" ht="4.5" customHeight="1">
      <c r="B40" s="92"/>
      <c r="D40" s="92"/>
      <c r="E40" s="70"/>
      <c r="F40" s="432"/>
      <c r="G40" s="433"/>
      <c r="H40" s="94"/>
      <c r="I40" s="95"/>
      <c r="J40" s="423"/>
      <c r="K40" s="105"/>
      <c r="X40" s="96"/>
    </row>
    <row r="41" spans="1:24" ht="15.75">
      <c r="A41" s="64" t="s">
        <v>507</v>
      </c>
      <c r="B41" s="87"/>
      <c r="C41" s="87"/>
      <c r="D41" s="87"/>
      <c r="E41" s="70"/>
      <c r="F41" s="434"/>
      <c r="G41" s="432"/>
      <c r="H41" s="333"/>
      <c r="I41" s="423"/>
      <c r="J41" s="427"/>
      <c r="K41" s="105"/>
    </row>
    <row r="42" spans="1:24">
      <c r="A42" s="54" t="s">
        <v>150</v>
      </c>
      <c r="B42" s="97">
        <v>0</v>
      </c>
      <c r="D42" s="97">
        <f>+'COMP Prior Yr'!D41</f>
        <v>-5.0765400010277517E-4</v>
      </c>
      <c r="E42" s="70"/>
      <c r="F42" s="332">
        <f>D42-B42</f>
        <v>-5.0765400010277517E-4</v>
      </c>
      <c r="G42" s="423"/>
      <c r="H42" s="428">
        <f>ROUND((((D42/$B$16)-$B$21)/$B$24)-(((B42/$B$16)-$B$21)/$B$24),4)*10000</f>
        <v>0</v>
      </c>
      <c r="I42" s="105"/>
      <c r="J42" s="105"/>
      <c r="K42" s="105"/>
    </row>
    <row r="43" spans="1:24">
      <c r="A43" s="54" t="s">
        <v>151</v>
      </c>
      <c r="B43" s="97">
        <v>35.580587243576055</v>
      </c>
      <c r="D43" s="97">
        <f>+'COMP Prior Yr'!D42</f>
        <v>29.265119278181093</v>
      </c>
      <c r="E43" s="70"/>
      <c r="F43" s="332">
        <f>D43-B43</f>
        <v>-6.3154679653949621</v>
      </c>
      <c r="G43" s="423"/>
      <c r="H43" s="428">
        <f>ROUND((((D43/$B$16)-$B$21)/$B$24)-(((B43/$B$16)-$B$21)/$B$24),4)*10000</f>
        <v>0</v>
      </c>
      <c r="I43" s="105"/>
      <c r="J43" s="105"/>
      <c r="K43" s="105"/>
    </row>
    <row r="44" spans="1:24">
      <c r="A44" s="54" t="s">
        <v>152</v>
      </c>
      <c r="B44" s="97">
        <v>-191.36519344827676</v>
      </c>
      <c r="D44" s="97">
        <f>+'COMP Prior Yr'!D43</f>
        <v>-117.20289195672966</v>
      </c>
      <c r="E44" s="70"/>
      <c r="F44" s="332">
        <f t="shared" ref="F44:F59" si="0">D44-B44</f>
        <v>74.162301491547097</v>
      </c>
      <c r="G44" s="423"/>
      <c r="H44" s="428">
        <f t="shared" ref="H44:H59" si="1">ROUND((((D44/$B$16)-$B$21)/$B$24)-(((B44/$B$16)-$B$21)/$B$24),4)*10000</f>
        <v>1</v>
      </c>
      <c r="I44" s="105"/>
      <c r="J44" s="105"/>
      <c r="K44" s="105"/>
    </row>
    <row r="45" spans="1:24">
      <c r="A45" s="54" t="s">
        <v>481</v>
      </c>
      <c r="B45" s="97">
        <v>0</v>
      </c>
      <c r="D45" s="97">
        <f>+'COMP Prior Yr'!D44</f>
        <v>2099</v>
      </c>
      <c r="E45" s="70"/>
      <c r="F45" s="332">
        <f t="shared" si="0"/>
        <v>2099</v>
      </c>
      <c r="G45" s="423"/>
      <c r="H45" s="428">
        <f t="shared" si="1"/>
        <v>30</v>
      </c>
      <c r="I45" s="105"/>
      <c r="J45" s="105"/>
      <c r="K45" s="105"/>
      <c r="O45" s="75"/>
    </row>
    <row r="46" spans="1:24">
      <c r="A46" s="54" t="s">
        <v>153</v>
      </c>
      <c r="B46" s="97">
        <v>0</v>
      </c>
      <c r="D46" s="97">
        <f>+'COMP Prior Yr'!D45</f>
        <v>0</v>
      </c>
      <c r="E46" s="70"/>
      <c r="F46" s="332">
        <f t="shared" si="0"/>
        <v>0</v>
      </c>
      <c r="G46" s="423"/>
      <c r="H46" s="428">
        <f t="shared" si="1"/>
        <v>0</v>
      </c>
      <c r="I46" s="105"/>
      <c r="J46" s="105"/>
      <c r="K46" s="105"/>
    </row>
    <row r="47" spans="1:24">
      <c r="A47" s="54" t="s">
        <v>410</v>
      </c>
      <c r="B47" s="97">
        <v>28.3043175</v>
      </c>
      <c r="D47" s="97">
        <f>+'COMP Prior Yr'!D46</f>
        <v>12.004970063624999</v>
      </c>
      <c r="E47" s="70"/>
      <c r="F47" s="332">
        <f t="shared" si="0"/>
        <v>-16.299347436375001</v>
      </c>
      <c r="G47" s="423"/>
      <c r="H47" s="428">
        <f t="shared" si="1"/>
        <v>0</v>
      </c>
      <c r="I47" s="105"/>
      <c r="J47" s="105"/>
      <c r="K47" s="105"/>
      <c r="O47" s="145"/>
    </row>
    <row r="48" spans="1:24">
      <c r="A48" s="54" t="s">
        <v>154</v>
      </c>
      <c r="B48" s="70">
        <v>65.982534347830011</v>
      </c>
      <c r="D48" s="70">
        <f>+'COMP Prior Yr'!D47</f>
        <v>59.108476990499994</v>
      </c>
      <c r="E48" s="70"/>
      <c r="F48" s="332">
        <f t="shared" si="0"/>
        <v>-6.8740573573300168</v>
      </c>
      <c r="G48" s="423"/>
      <c r="H48" s="428">
        <f t="shared" si="1"/>
        <v>0</v>
      </c>
      <c r="I48" s="105"/>
      <c r="J48" s="105"/>
      <c r="K48" s="105"/>
      <c r="O48" s="144"/>
    </row>
    <row r="49" spans="1:15">
      <c r="A49" s="54" t="s">
        <v>409</v>
      </c>
      <c r="B49" s="70">
        <v>0</v>
      </c>
      <c r="D49" s="70">
        <f>+'COMP Prior Yr'!D48</f>
        <v>-219.16715458049293</v>
      </c>
      <c r="E49" s="70"/>
      <c r="F49" s="332">
        <f t="shared" si="0"/>
        <v>-219.16715458049293</v>
      </c>
      <c r="G49" s="423"/>
      <c r="H49" s="428">
        <f t="shared" si="1"/>
        <v>-2.9999999999999996</v>
      </c>
      <c r="I49" s="105"/>
      <c r="J49" s="105"/>
      <c r="K49" s="105"/>
      <c r="O49" s="145"/>
    </row>
    <row r="50" spans="1:15">
      <c r="A50" s="54" t="s">
        <v>155</v>
      </c>
      <c r="B50" s="70">
        <v>41.787580165283842</v>
      </c>
      <c r="D50" s="70">
        <f>+'COMP Prior Yr'!D49</f>
        <v>43.829762775523193</v>
      </c>
      <c r="E50" s="70"/>
      <c r="F50" s="332">
        <f t="shared" si="0"/>
        <v>2.042182610239351</v>
      </c>
      <c r="G50" s="423"/>
      <c r="H50" s="428">
        <f t="shared" si="1"/>
        <v>0</v>
      </c>
      <c r="I50" s="105"/>
      <c r="J50" s="105"/>
      <c r="K50" s="105"/>
      <c r="O50" s="145"/>
    </row>
    <row r="51" spans="1:15">
      <c r="A51" s="54" t="s">
        <v>156</v>
      </c>
      <c r="B51" s="70">
        <v>5.4249511649373998</v>
      </c>
      <c r="D51" s="70">
        <f>+'COMP Prior Yr'!D50</f>
        <v>5.7199476001184992</v>
      </c>
      <c r="E51" s="70"/>
      <c r="F51" s="332">
        <f t="shared" si="0"/>
        <v>0.29499643518109941</v>
      </c>
      <c r="G51" s="423"/>
      <c r="H51" s="428">
        <f t="shared" si="1"/>
        <v>0</v>
      </c>
      <c r="I51" s="105"/>
      <c r="J51" s="105"/>
      <c r="K51" s="105"/>
      <c r="O51" s="144"/>
    </row>
    <row r="52" spans="1:15">
      <c r="A52" s="54" t="s">
        <v>411</v>
      </c>
      <c r="B52" s="70">
        <v>60.114596460999998</v>
      </c>
      <c r="D52" s="70">
        <f>+'COMP Prior Yr'!D51</f>
        <v>0</v>
      </c>
      <c r="E52" s="70"/>
      <c r="F52" s="332">
        <f t="shared" si="0"/>
        <v>-60.114596460999998</v>
      </c>
      <c r="G52" s="423"/>
      <c r="H52" s="428">
        <f t="shared" si="1"/>
        <v>-1</v>
      </c>
      <c r="I52" s="105"/>
      <c r="J52" s="105"/>
      <c r="K52" s="105"/>
    </row>
    <row r="53" spans="1:15">
      <c r="A53" s="105" t="s">
        <v>412</v>
      </c>
      <c r="B53" s="70">
        <v>0</v>
      </c>
      <c r="D53" s="70">
        <f>+'COMP Prior Yr'!D52</f>
        <v>0</v>
      </c>
      <c r="E53" s="70"/>
      <c r="F53" s="332">
        <f t="shared" si="0"/>
        <v>0</v>
      </c>
      <c r="G53" s="423"/>
      <c r="H53" s="428">
        <f t="shared" si="1"/>
        <v>0</v>
      </c>
      <c r="I53" s="105"/>
      <c r="J53" s="105"/>
      <c r="K53" s="105"/>
    </row>
    <row r="54" spans="1:15">
      <c r="A54" s="694" t="s">
        <v>536</v>
      </c>
      <c r="B54" s="70">
        <v>-80.415622883790007</v>
      </c>
      <c r="D54" s="70">
        <f>+'COMP Prior Yr'!D53</f>
        <v>-87.940603800000005</v>
      </c>
      <c r="E54" s="70"/>
      <c r="F54" s="332">
        <f>D54-B54</f>
        <v>-7.5249809162099979</v>
      </c>
      <c r="G54" s="423"/>
      <c r="H54" s="428">
        <f>ROUND((((D54/$B$16)-$B$21)/$B$24)-(((B54/$B$16)-$B$21)/$B$24),4)*10000</f>
        <v>0</v>
      </c>
      <c r="I54" s="105"/>
      <c r="J54" s="105"/>
      <c r="K54" s="105"/>
    </row>
    <row r="55" spans="1:15">
      <c r="A55" s="105" t="s">
        <v>157</v>
      </c>
      <c r="B55" s="70">
        <v>0</v>
      </c>
      <c r="D55" s="70">
        <f>+'COMP Prior Yr'!D54</f>
        <v>0</v>
      </c>
      <c r="E55" s="70"/>
      <c r="F55" s="332">
        <f t="shared" si="0"/>
        <v>0</v>
      </c>
      <c r="G55" s="423"/>
      <c r="H55" s="428">
        <f t="shared" si="1"/>
        <v>0</v>
      </c>
      <c r="I55" s="105"/>
      <c r="J55" s="105"/>
      <c r="K55" s="105"/>
    </row>
    <row r="56" spans="1:15">
      <c r="A56" s="54" t="s">
        <v>532</v>
      </c>
      <c r="B56" s="70">
        <v>3.6229526358511066E-4</v>
      </c>
      <c r="D56" s="70">
        <f>+'COMP Prior Yr'!D55</f>
        <v>-2.1649950008395535E-4</v>
      </c>
      <c r="E56" s="70"/>
      <c r="F56" s="332">
        <f t="shared" si="0"/>
        <v>-5.7879476366906601E-4</v>
      </c>
      <c r="G56" s="423"/>
      <c r="H56" s="428">
        <f t="shared" si="1"/>
        <v>0</v>
      </c>
      <c r="I56" s="105"/>
      <c r="J56" s="105"/>
      <c r="K56" s="105"/>
    </row>
    <row r="57" spans="1:15">
      <c r="A57" s="54" t="s">
        <v>533</v>
      </c>
      <c r="B57" s="70">
        <v>-3033.2823778771999</v>
      </c>
      <c r="D57" s="70">
        <f>+'COMP Prior Yr'!D56</f>
        <v>-3164.0028272999998</v>
      </c>
      <c r="E57" s="70"/>
      <c r="F57" s="332">
        <f t="shared" si="0"/>
        <v>-130.7204494227999</v>
      </c>
      <c r="G57" s="423"/>
      <c r="H57" s="428">
        <f t="shared" si="1"/>
        <v>-2</v>
      </c>
      <c r="I57" s="105"/>
      <c r="J57" s="105"/>
      <c r="K57" s="105"/>
    </row>
    <row r="58" spans="1:15" ht="15.2" customHeight="1">
      <c r="A58" s="54" t="s">
        <v>510</v>
      </c>
      <c r="B58" s="71">
        <v>0</v>
      </c>
      <c r="D58" s="71">
        <f>+'COMP Prior Yr'!D57</f>
        <v>0</v>
      </c>
      <c r="E58" s="70"/>
      <c r="F58" s="435">
        <f t="shared" si="0"/>
        <v>0</v>
      </c>
      <c r="G58" s="105"/>
      <c r="H58" s="428">
        <f t="shared" si="1"/>
        <v>0</v>
      </c>
      <c r="I58" s="105"/>
      <c r="J58" s="105"/>
      <c r="K58" s="105"/>
    </row>
    <row r="59" spans="1:15" ht="15.2" customHeight="1">
      <c r="A59" s="54" t="s">
        <v>508</v>
      </c>
      <c r="B59" s="70">
        <v>-3067.8682650313758</v>
      </c>
      <c r="D59" s="70">
        <f>+'COMP Prior Yr'!D58</f>
        <v>-1339.3859250827747</v>
      </c>
      <c r="E59" s="70"/>
      <c r="F59" s="332">
        <f t="shared" si="0"/>
        <v>1728.4823399486011</v>
      </c>
      <c r="G59" s="105"/>
      <c r="H59" s="428">
        <f t="shared" si="1"/>
        <v>25</v>
      </c>
      <c r="I59" s="105"/>
      <c r="J59" s="105"/>
      <c r="K59" s="105"/>
    </row>
  </sheetData>
  <mergeCells count="4">
    <mergeCell ref="A1:H1"/>
    <mergeCell ref="A2:H2"/>
    <mergeCell ref="A3:H3"/>
    <mergeCell ref="A4:H4"/>
  </mergeCells>
  <conditionalFormatting sqref="K32:K38 K16:K26">
    <cfRule type="cellIs" dxfId="5" priority="1" stopIfTrue="1" operator="equal">
      <formula>0</formula>
    </cfRule>
    <cfRule type="cellIs" dxfId="4" priority="2" stopIfTrue="1" operator="notEqual">
      <formula>0</formula>
    </cfRule>
  </conditionalFormatting>
  <printOptions horizontalCentered="1"/>
  <pageMargins left="0.5" right="0.5" top="0.5" bottom="0.5" header="0.5" footer="0.25"/>
  <pageSetup scale="82" orientation="portrait" r:id="rId1"/>
  <headerFooter>
    <oddFooter>&amp;Z&amp;F</oddFooter>
  </headerFooter>
  <customProperties>
    <customPr name="EpmWorksheetKeyString_GUID" r:id="rId2"/>
  </customProperties>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3" tint="0.39997558519241921"/>
    <pageSetUpPr fitToPage="1"/>
  </sheetPr>
  <dimension ref="A1:X58"/>
  <sheetViews>
    <sheetView workbookViewId="0">
      <selection sqref="A1:H1"/>
    </sheetView>
  </sheetViews>
  <sheetFormatPr defaultColWidth="9.140625" defaultRowHeight="15"/>
  <cols>
    <col min="1" max="1" width="47" style="54" bestFit="1" customWidth="1"/>
    <col min="2" max="2" width="21.42578125" style="54" bestFit="1" customWidth="1"/>
    <col min="3" max="3" width="1.85546875" style="54" bestFit="1" customWidth="1"/>
    <col min="4" max="4" width="21.42578125" style="54" bestFit="1" customWidth="1"/>
    <col min="5" max="5" width="1.5703125" style="54" customWidth="1"/>
    <col min="6" max="6" width="12.42578125" style="54" bestFit="1" customWidth="1"/>
    <col min="7" max="7" width="1.5703125" style="54" customWidth="1"/>
    <col min="8" max="8" width="11.5703125" style="56" customWidth="1"/>
    <col min="9" max="9" width="14.5703125" style="54" bestFit="1" customWidth="1"/>
    <col min="10" max="10" width="7.5703125" style="54" customWidth="1"/>
    <col min="11" max="11" width="10.85546875" style="54" customWidth="1"/>
    <col min="12" max="14" width="9.140625" style="54"/>
    <col min="15" max="15" width="30.5703125" style="54" customWidth="1"/>
    <col min="16" max="16" width="7.140625" style="54" customWidth="1"/>
    <col min="17" max="17" width="8.140625" style="54" customWidth="1"/>
    <col min="18" max="18" width="1.5703125" style="54" customWidth="1"/>
    <col min="19" max="19" width="7.5703125" style="54" customWidth="1"/>
    <col min="20" max="20" width="13" style="54" customWidth="1"/>
    <col min="21" max="21" width="1.5703125" style="54" customWidth="1"/>
    <col min="22" max="22" width="9.140625" style="54"/>
    <col min="23" max="23" width="1.42578125" style="54" customWidth="1"/>
    <col min="24" max="24" width="8.5703125" style="57" customWidth="1"/>
    <col min="25" max="25" width="6.85546875" style="54" customWidth="1"/>
    <col min="26" max="26" width="6.42578125" style="54" customWidth="1"/>
    <col min="27" max="16384" width="9.140625" style="54"/>
  </cols>
  <sheetData>
    <row r="1" spans="1:24" ht="17.45" customHeight="1">
      <c r="A1" s="1293" t="s">
        <v>204</v>
      </c>
      <c r="B1" s="1293"/>
      <c r="C1" s="1293"/>
      <c r="D1" s="1293"/>
      <c r="E1" s="1293"/>
      <c r="F1" s="1293"/>
      <c r="G1" s="1293"/>
      <c r="H1" s="1293"/>
    </row>
    <row r="2" spans="1:24" ht="17.45" customHeight="1">
      <c r="A2" s="1293" t="s">
        <v>1855</v>
      </c>
      <c r="B2" s="1293"/>
      <c r="C2" s="1293"/>
      <c r="D2" s="1293"/>
      <c r="E2" s="1293"/>
      <c r="F2" s="1293"/>
      <c r="G2" s="1293"/>
      <c r="H2" s="1293"/>
    </row>
    <row r="3" spans="1:24" ht="17.45" customHeight="1">
      <c r="A3" s="1293" t="s">
        <v>1856</v>
      </c>
      <c r="B3" s="1293"/>
      <c r="C3" s="1293"/>
      <c r="D3" s="1293"/>
      <c r="E3" s="1293"/>
      <c r="F3" s="1293"/>
      <c r="G3" s="1293"/>
      <c r="H3" s="1293"/>
    </row>
    <row r="4" spans="1:24" ht="18" customHeight="1">
      <c r="A4" s="1293" t="s">
        <v>1857</v>
      </c>
      <c r="B4" s="1293"/>
      <c r="C4" s="1293"/>
      <c r="D4" s="1293"/>
      <c r="E4" s="1293"/>
      <c r="F4" s="1293"/>
      <c r="G4" s="1293"/>
      <c r="H4" s="1293"/>
    </row>
    <row r="5" spans="1:24" ht="28.35" customHeight="1">
      <c r="A5" s="17"/>
      <c r="B5" s="227"/>
      <c r="C5" s="695"/>
      <c r="D5" s="227"/>
      <c r="E5" s="696"/>
      <c r="K5" s="58"/>
    </row>
    <row r="6" spans="1:24" s="61" customFormat="1" ht="15.75">
      <c r="A6" s="59"/>
      <c r="B6" s="60" t="s">
        <v>2561</v>
      </c>
      <c r="C6" s="54"/>
      <c r="D6" s="60" t="str">
        <f>+'COMP Q1F Qrtly'!D6</f>
        <v>December 2022</v>
      </c>
      <c r="H6" s="62" t="s">
        <v>487</v>
      </c>
      <c r="X6" s="63"/>
    </row>
    <row r="7" spans="1:24" s="61" customFormat="1" ht="15.75">
      <c r="A7" s="64"/>
      <c r="B7" s="66" t="s">
        <v>2684</v>
      </c>
      <c r="C7" s="55"/>
      <c r="D7" s="65" t="str">
        <f>+'COMP Q1F Qrtly'!D7</f>
        <v>2022 Q3</v>
      </c>
      <c r="F7" s="66" t="s">
        <v>489</v>
      </c>
      <c r="G7" s="64"/>
      <c r="H7" s="67" t="s">
        <v>490</v>
      </c>
      <c r="K7" s="68"/>
      <c r="X7" s="63"/>
    </row>
    <row r="8" spans="1:24" ht="15.75">
      <c r="A8" s="61"/>
    </row>
    <row r="9" spans="1:24">
      <c r="A9" s="54" t="s">
        <v>223</v>
      </c>
      <c r="B9" s="199">
        <v>996470.33223813586</v>
      </c>
      <c r="D9" s="199">
        <f>+'COMP Prior Yr'!D9</f>
        <v>1661056.812737515</v>
      </c>
      <c r="F9" s="68">
        <f>D9-B9</f>
        <v>664586.4804993791</v>
      </c>
      <c r="G9" s="68"/>
      <c r="H9" s="56">
        <f>ROUND((((B17/(D9+D10+D11+D13))-B20)/B23)-(((B17/(B9+D10+D11+D13))-B20)/B23),4)*10000</f>
        <v>-417</v>
      </c>
      <c r="J9" s="69"/>
    </row>
    <row r="10" spans="1:24">
      <c r="A10" s="54" t="s">
        <v>4</v>
      </c>
      <c r="B10" s="200">
        <v>31397.736529226735</v>
      </c>
      <c r="D10" s="200">
        <f>+'COMP Prior Yr'!D10</f>
        <v>98720.05334769233</v>
      </c>
      <c r="F10" s="68">
        <f>D10-B10</f>
        <v>67322.316818465595</v>
      </c>
      <c r="G10" s="68"/>
      <c r="H10" s="56">
        <f>ROUND((((B17/(D9+D11+D13+D10))-B20)/B23)-(((B17/(B10+D9+D11+D13))-B20)/B23),4)*10000</f>
        <v>-27</v>
      </c>
    </row>
    <row r="11" spans="1:24">
      <c r="A11" s="54" t="s">
        <v>491</v>
      </c>
      <c r="B11" s="200">
        <v>0</v>
      </c>
      <c r="D11" s="200">
        <f>+'COMP Prior Yr'!D11</f>
        <v>0</v>
      </c>
      <c r="F11" s="68">
        <f>D11-B11</f>
        <v>0</v>
      </c>
      <c r="G11" s="70"/>
      <c r="H11" s="56">
        <f>ROUND((((B17/(D9+D10+D11+D13))-B20)/B23)-(((B17/(B11+D9+D10+D13))-B20)/B23),4)*10000</f>
        <v>0</v>
      </c>
    </row>
    <row r="12" spans="1:24">
      <c r="A12" s="105" t="s">
        <v>229</v>
      </c>
      <c r="B12" s="200">
        <v>8145.8810815384631</v>
      </c>
      <c r="D12" s="200">
        <f>+'COMP Prior Yr'!D12</f>
        <v>3209.9291492307693</v>
      </c>
      <c r="F12" s="332">
        <f>D12-B12</f>
        <v>-4935.9519323076938</v>
      </c>
      <c r="G12" s="432"/>
      <c r="H12" s="333">
        <f>ROUND((((B17/(D9+D10+D11+D12+D13))-B20)/B23)-(((B17/(B12+D9+D10+D11+D13))-B20)/B23),4)*10000</f>
        <v>2</v>
      </c>
    </row>
    <row r="13" spans="1:24" ht="15.75">
      <c r="A13" s="54" t="s">
        <v>492</v>
      </c>
      <c r="B13" s="331">
        <v>-47402.772058461516</v>
      </c>
      <c r="C13" s="70"/>
      <c r="D13" s="331">
        <f>+'COMP Prior Yr'!D13</f>
        <v>-29027.429266153893</v>
      </c>
      <c r="F13" s="68">
        <f>D13-B13</f>
        <v>18375.342792307623</v>
      </c>
      <c r="G13" s="70"/>
      <c r="H13" s="56">
        <f>ROUND((((B17/(D9+D10+D11+D13))-B20)/B23)-(((B17/(B13+D9+D10+D11))-B20)/B23),4)*10000</f>
        <v>-7</v>
      </c>
      <c r="I13" s="72" t="s">
        <v>493</v>
      </c>
      <c r="K13" s="73" t="s">
        <v>494</v>
      </c>
    </row>
    <row r="14" spans="1:24" ht="8.1" customHeight="1">
      <c r="B14" s="201"/>
      <c r="D14" s="201"/>
      <c r="F14" s="68"/>
      <c r="I14" s="72"/>
      <c r="K14" s="73"/>
    </row>
    <row r="15" spans="1:24" ht="15.75">
      <c r="A15" s="61" t="s">
        <v>348</v>
      </c>
      <c r="B15" s="202">
        <v>988611.17779999995</v>
      </c>
      <c r="C15" s="61"/>
      <c r="D15" s="202">
        <f>+'COMP Prior Yr'!D15</f>
        <v>1733959.3659999999</v>
      </c>
      <c r="E15" s="61"/>
      <c r="F15" s="58">
        <f>D15-B15</f>
        <v>745348.18819999998</v>
      </c>
      <c r="G15" s="58"/>
      <c r="H15" s="62">
        <f>ROUND((((B17/D15)-B20)/B23)-(((B17/B15)-B20)/B23),4)*10000</f>
        <v>-504</v>
      </c>
      <c r="I15" s="62">
        <f>SUM(H9:H13)</f>
        <v>-449</v>
      </c>
      <c r="J15" s="56"/>
      <c r="K15" s="62">
        <f>H15-I15</f>
        <v>-55</v>
      </c>
      <c r="O15" s="75"/>
    </row>
    <row r="16" spans="1:24" ht="8.1" customHeight="1">
      <c r="B16" s="200"/>
      <c r="D16" s="200"/>
      <c r="F16" s="68"/>
      <c r="I16" s="62"/>
      <c r="J16" s="56"/>
      <c r="K16" s="62"/>
    </row>
    <row r="17" spans="1:24" s="61" customFormat="1" ht="15.75">
      <c r="A17" s="61" t="s">
        <v>495</v>
      </c>
      <c r="B17" s="203">
        <v>54693.674500000001</v>
      </c>
      <c r="D17" s="203">
        <f>+'COMP Prior Yr'!D17</f>
        <v>99827.7448</v>
      </c>
      <c r="F17" s="58">
        <f>D17-B17</f>
        <v>45134.070299999999</v>
      </c>
      <c r="G17" s="698"/>
      <c r="H17" s="76">
        <f>ROUND((((D17/B15)-B20)/B23)-(((B17/B15)-B20)/B23),4)*10000</f>
        <v>966.99999999999989</v>
      </c>
      <c r="I17" s="62"/>
      <c r="J17" s="62"/>
      <c r="K17" s="62"/>
      <c r="L17" s="76"/>
      <c r="X17" s="63"/>
    </row>
    <row r="18" spans="1:24" ht="8.1" customHeight="1">
      <c r="I18" s="62"/>
      <c r="J18" s="56"/>
      <c r="K18" s="62"/>
    </row>
    <row r="19" spans="1:24" ht="15.75">
      <c r="A19" s="54" t="s">
        <v>496</v>
      </c>
      <c r="B19" s="77">
        <v>5.5300000000000002E-2</v>
      </c>
      <c r="D19" s="77">
        <f>+'COMP Prior Yr'!D19</f>
        <v>5.7599999999999998E-2</v>
      </c>
      <c r="F19" s="77">
        <f>D19-B19</f>
        <v>2.2999999999999965E-3</v>
      </c>
      <c r="G19" s="77"/>
      <c r="H19" s="56">
        <f>ROUND((F19/$B$23)*10000,0)</f>
        <v>49</v>
      </c>
      <c r="I19" s="62">
        <f>H15+H17</f>
        <v>462.99999999999989</v>
      </c>
      <c r="J19" s="56"/>
      <c r="K19" s="62">
        <f>H19-I19</f>
        <v>-413.99999999999989</v>
      </c>
    </row>
    <row r="20" spans="1:24" ht="15.75">
      <c r="A20" s="105" t="s">
        <v>1858</v>
      </c>
      <c r="B20" s="78">
        <v>1.54E-2</v>
      </c>
      <c r="D20" s="78">
        <f>+'COMP Prior Yr'!D20</f>
        <v>1.4200000000000001E-2</v>
      </c>
      <c r="F20" s="77">
        <f>D20-B20</f>
        <v>-1.1999999999999997E-3</v>
      </c>
      <c r="G20" s="77"/>
      <c r="H20" s="56">
        <f>-ROUND((F20/$B$23)*10000,0)</f>
        <v>25</v>
      </c>
      <c r="I20" s="62"/>
      <c r="J20" s="56"/>
      <c r="K20" s="62"/>
    </row>
    <row r="21" spans="1:24" ht="8.1" customHeight="1">
      <c r="B21" s="74"/>
      <c r="D21" s="74"/>
      <c r="F21" s="77"/>
      <c r="G21" s="77"/>
      <c r="I21" s="62"/>
      <c r="J21" s="56"/>
      <c r="K21" s="62"/>
    </row>
    <row r="22" spans="1:24" ht="15.75">
      <c r="A22" s="54" t="s">
        <v>497</v>
      </c>
      <c r="B22" s="77">
        <v>3.9899999999999998E-2</v>
      </c>
      <c r="D22" s="77">
        <f>+'COMP Prior Yr'!D22</f>
        <v>4.3400000000000001E-2</v>
      </c>
      <c r="F22" s="77">
        <f>D22-B22</f>
        <v>3.5000000000000031E-3</v>
      </c>
      <c r="G22" s="77"/>
      <c r="H22" s="56">
        <f>ROUND((F22/$B$23)*10000,0)</f>
        <v>74</v>
      </c>
      <c r="I22" s="62">
        <f>H19+H20</f>
        <v>74</v>
      </c>
      <c r="J22" s="56"/>
      <c r="K22" s="62">
        <f>H22-I22</f>
        <v>0</v>
      </c>
    </row>
    <row r="23" spans="1:24" ht="15.75">
      <c r="A23" s="54" t="s">
        <v>483</v>
      </c>
      <c r="B23" s="78">
        <v>0.47199999999999998</v>
      </c>
      <c r="D23" s="78">
        <f>+'COMP Prior Yr'!D23</f>
        <v>0.46889999999999998</v>
      </c>
      <c r="F23" s="77">
        <f>D23-B23</f>
        <v>-3.0999999999999917E-3</v>
      </c>
      <c r="G23" s="77"/>
      <c r="H23" s="56">
        <f>ROUND((B22/D23)-(B22/B23),4)*10000</f>
        <v>5.9999999999999991</v>
      </c>
      <c r="I23" s="62"/>
      <c r="J23" s="56"/>
      <c r="K23" s="62"/>
    </row>
    <row r="24" spans="1:24" ht="15.75">
      <c r="B24" s="74"/>
      <c r="D24" s="74"/>
      <c r="F24" s="77"/>
      <c r="G24" s="77"/>
      <c r="H24" s="79"/>
      <c r="I24" s="62"/>
      <c r="J24" s="56"/>
      <c r="K24" s="62"/>
    </row>
    <row r="25" spans="1:24" s="61" customFormat="1" ht="15.75">
      <c r="A25" s="61" t="s">
        <v>498</v>
      </c>
      <c r="B25" s="252">
        <v>8.4600000000000009E-2</v>
      </c>
      <c r="D25" s="252">
        <f>+'COMP Prior Yr'!D25</f>
        <v>9.2499999999999999E-2</v>
      </c>
      <c r="F25" s="80">
        <f>D25-B25</f>
        <v>7.8999999999999904E-3</v>
      </c>
      <c r="G25" s="80"/>
      <c r="H25" s="62">
        <f>(D25-B25)*10000</f>
        <v>78.999999999999901</v>
      </c>
      <c r="I25" s="62">
        <f>H22+H23</f>
        <v>80</v>
      </c>
      <c r="J25" s="62"/>
      <c r="K25" s="62">
        <f>H25-I25</f>
        <v>-1.0000000000000995</v>
      </c>
      <c r="L25" s="80"/>
      <c r="X25" s="63"/>
    </row>
    <row r="26" spans="1:24" s="81" customFormat="1" ht="4.5" customHeight="1">
      <c r="A26" s="54"/>
      <c r="B26" s="82"/>
      <c r="C26" s="54"/>
      <c r="D26" s="82"/>
      <c r="E26" s="54"/>
      <c r="G26" s="54"/>
      <c r="H26" s="83"/>
      <c r="X26" s="84"/>
    </row>
    <row r="27" spans="1:24" ht="4.5" customHeight="1">
      <c r="J27" s="57"/>
    </row>
    <row r="28" spans="1:24">
      <c r="A28" s="54" t="s">
        <v>499</v>
      </c>
      <c r="B28" s="459">
        <v>79572.28959999996</v>
      </c>
      <c r="D28" s="459">
        <f>+'COMP Prior Yr'!D28</f>
        <v>127065.09198000013</v>
      </c>
      <c r="E28" s="70"/>
      <c r="F28" s="68">
        <f>D28-B28</f>
        <v>47492.802380000168</v>
      </c>
      <c r="G28" s="68"/>
      <c r="H28" s="85">
        <f>ROUND((((D28/B15)-B20)/B23)-(((B28/B15)-B20)/B23),4)*10000</f>
        <v>1018</v>
      </c>
    </row>
    <row r="29" spans="1:24">
      <c r="A29" s="54" t="s">
        <v>500</v>
      </c>
      <c r="B29" s="86">
        <v>14988.315989999997</v>
      </c>
      <c r="C29" s="70"/>
      <c r="D29" s="86">
        <f>+'COMP Prior Yr'!D29</f>
        <v>25897.961240000001</v>
      </c>
      <c r="E29" s="70"/>
      <c r="F29" s="68">
        <f>B29-D29</f>
        <v>-10909.645250000003</v>
      </c>
      <c r="G29" s="68"/>
      <c r="H29" s="85">
        <f>-ROUND((((D29/B15)-B20)/B23)-(((B29/B15)-B20)/B23),4)*10000</f>
        <v>-234</v>
      </c>
    </row>
    <row r="30" spans="1:24" ht="15.75">
      <c r="A30" s="693" t="s">
        <v>501</v>
      </c>
      <c r="B30" s="71">
        <v>0</v>
      </c>
      <c r="C30" s="70"/>
      <c r="D30" s="71">
        <f>+'COMP Prior Yr'!D30</f>
        <v>0</v>
      </c>
      <c r="E30" s="70"/>
      <c r="F30" s="68">
        <f>B30-D30</f>
        <v>0</v>
      </c>
      <c r="G30" s="70"/>
      <c r="H30" s="85">
        <f>-ROUND((((D30/B15)-B20)/B23)-(((B30/B15)-B20)/B23),4)*10000</f>
        <v>0</v>
      </c>
      <c r="I30" s="55" t="s">
        <v>493</v>
      </c>
      <c r="K30" s="73" t="s">
        <v>494</v>
      </c>
    </row>
    <row r="31" spans="1:24" ht="15.75">
      <c r="A31" s="74" t="s">
        <v>502</v>
      </c>
      <c r="B31" s="71">
        <v>14988.315989999997</v>
      </c>
      <c r="D31" s="71">
        <f>+'COMP Prior Yr'!D31</f>
        <v>25897.961240000001</v>
      </c>
      <c r="E31" s="70"/>
      <c r="F31" s="68">
        <f>D31-B31</f>
        <v>10909.645250000003</v>
      </c>
      <c r="G31" s="70"/>
      <c r="H31" s="85">
        <f>-ROUND((((D31/B15)-B20)/B23)-(((B31/B15)-B20)/B23),4)*10000</f>
        <v>-234</v>
      </c>
      <c r="I31" s="56"/>
      <c r="K31" s="62"/>
    </row>
    <row r="32" spans="1:24" ht="8.1" customHeight="1">
      <c r="B32" s="87"/>
      <c r="D32" s="87"/>
      <c r="E32" s="70"/>
      <c r="F32" s="68"/>
      <c r="H32" s="85"/>
      <c r="I32" s="62"/>
      <c r="K32" s="62"/>
    </row>
    <row r="33" spans="1:24" ht="15.75">
      <c r="A33" s="54" t="s">
        <v>503</v>
      </c>
      <c r="B33" s="71">
        <v>64583.973609999965</v>
      </c>
      <c r="D33" s="71">
        <f>+'COMP Prior Yr'!D33</f>
        <v>101167.13074000012</v>
      </c>
      <c r="E33" s="70"/>
      <c r="F33" s="68">
        <f>D33-B33</f>
        <v>36583.15713000016</v>
      </c>
      <c r="G33" s="68"/>
      <c r="H33" s="85">
        <f>ROUND((((D33/B15)-B20)/B23)-(((B33/B15)-B20)/B23),4)*10000</f>
        <v>784</v>
      </c>
      <c r="I33" s="56">
        <f>H28+H29+H30</f>
        <v>784</v>
      </c>
      <c r="K33" s="62">
        <f>I33-H33</f>
        <v>0</v>
      </c>
    </row>
    <row r="34" spans="1:24" ht="15.75">
      <c r="B34" s="70"/>
      <c r="D34" s="70"/>
      <c r="E34" s="70"/>
      <c r="F34" s="68"/>
      <c r="G34" s="68"/>
      <c r="H34" s="85"/>
      <c r="I34" s="56"/>
      <c r="K34" s="62"/>
    </row>
    <row r="35" spans="1:24" ht="15.75">
      <c r="A35" s="54" t="s">
        <v>504</v>
      </c>
      <c r="B35" s="70">
        <v>0</v>
      </c>
      <c r="D35" s="70">
        <f>+'COMP Prior Yr'!D35</f>
        <v>0</v>
      </c>
      <c r="E35" s="70"/>
      <c r="F35" s="68"/>
      <c r="G35" s="68"/>
      <c r="H35" s="85"/>
      <c r="I35" s="56"/>
      <c r="K35" s="62"/>
    </row>
    <row r="36" spans="1:24" ht="15.75">
      <c r="A36" s="693" t="s">
        <v>505</v>
      </c>
      <c r="B36" s="71">
        <v>-9890.2991543076369</v>
      </c>
      <c r="D36" s="71">
        <f>+'COMP Prior Yr'!D36</f>
        <v>-1339.3859250827747</v>
      </c>
      <c r="E36" s="70"/>
      <c r="F36" s="68">
        <f>D36-B36</f>
        <v>8550.9132292248614</v>
      </c>
      <c r="H36" s="85">
        <f>ROUND((((D36/B15)-B20)/B23)-(((B36/B15)-B20)/B23),4)*10000</f>
        <v>183</v>
      </c>
      <c r="I36" s="56">
        <f>H36</f>
        <v>183</v>
      </c>
      <c r="K36" s="62">
        <f>H36-I36</f>
        <v>0</v>
      </c>
    </row>
    <row r="37" spans="1:24" s="61" customFormat="1" ht="15.75">
      <c r="A37" s="61" t="s">
        <v>495</v>
      </c>
      <c r="B37" s="88">
        <v>54693.67445569233</v>
      </c>
      <c r="D37" s="88">
        <f>+'COMP Prior Yr'!D37</f>
        <v>99827.744814917343</v>
      </c>
      <c r="E37" s="697"/>
      <c r="F37" s="58">
        <f>D37-B37</f>
        <v>45134.070359225014</v>
      </c>
      <c r="G37" s="698"/>
      <c r="H37" s="89">
        <f>ROUND((((D37/B15)-B20)/B23)-(((B37/B15)-B20)/B23),4)*10000</f>
        <v>966.99999999999989</v>
      </c>
      <c r="I37" s="62">
        <f>H33+H36</f>
        <v>967</v>
      </c>
      <c r="K37" s="62">
        <f>H37-I37</f>
        <v>0</v>
      </c>
      <c r="X37" s="63"/>
    </row>
    <row r="38" spans="1:24" s="81" customFormat="1" ht="14.1" customHeight="1">
      <c r="A38" s="54"/>
      <c r="B38" s="90"/>
      <c r="C38" s="54"/>
      <c r="D38" s="90"/>
      <c r="E38" s="70"/>
      <c r="F38" s="71"/>
      <c r="G38" s="93"/>
      <c r="H38" s="106">
        <f>D37-D17</f>
        <v>1.49173429235816E-5</v>
      </c>
      <c r="I38" s="91" t="s">
        <v>506</v>
      </c>
      <c r="J38" s="78"/>
      <c r="X38" s="84"/>
    </row>
    <row r="39" spans="1:24" ht="4.5" customHeight="1">
      <c r="B39" s="92"/>
      <c r="D39" s="92"/>
      <c r="E39" s="70"/>
      <c r="F39" s="70"/>
      <c r="G39" s="93"/>
      <c r="H39" s="94"/>
      <c r="I39" s="95"/>
      <c r="J39" s="77"/>
      <c r="X39" s="96"/>
    </row>
    <row r="40" spans="1:24" ht="15.75">
      <c r="A40" s="64" t="s">
        <v>507</v>
      </c>
      <c r="B40" s="87"/>
      <c r="C40" s="87"/>
      <c r="D40" s="87"/>
      <c r="E40" s="70"/>
      <c r="F40" s="87"/>
      <c r="G40" s="70"/>
      <c r="I40" s="77"/>
      <c r="J40" s="57"/>
    </row>
    <row r="41" spans="1:24">
      <c r="A41" s="54" t="s">
        <v>150</v>
      </c>
      <c r="B41" s="97">
        <v>1.0307841002941132E-3</v>
      </c>
      <c r="D41" s="97">
        <f>+'COMP Prior Yr'!D41</f>
        <v>-5.0765400010277517E-4</v>
      </c>
      <c r="E41" s="70"/>
      <c r="F41" s="68">
        <f>D41-B41</f>
        <v>-1.5384381003968883E-3</v>
      </c>
      <c r="G41" s="77"/>
      <c r="H41" s="85">
        <f>ROUND((((D41/$B$15)-$B$20)/$B$23)-(((B41/$B$15)-$B$20)/$B$23),4)*10000</f>
        <v>0</v>
      </c>
    </row>
    <row r="42" spans="1:24">
      <c r="A42" s="54" t="s">
        <v>151</v>
      </c>
      <c r="B42" s="97">
        <v>31.782128463607457</v>
      </c>
      <c r="D42" s="97">
        <f>+'COMP Prior Yr'!D42</f>
        <v>29.265119278181093</v>
      </c>
      <c r="E42" s="70"/>
      <c r="F42" s="68">
        <f>D42-B42</f>
        <v>-2.5170091854263639</v>
      </c>
      <c r="G42" s="77"/>
      <c r="H42" s="85">
        <f>ROUND((((D42/$B$15)-$B$20)/$B$23)-(((B42/$B$15)-$B$20)/$B$23),4)*10000</f>
        <v>0</v>
      </c>
    </row>
    <row r="43" spans="1:24">
      <c r="A43" s="54" t="s">
        <v>152</v>
      </c>
      <c r="B43" s="97">
        <v>-505.07978605724099</v>
      </c>
      <c r="D43" s="97">
        <f>+'COMP Prior Yr'!D43</f>
        <v>-117.20289195672966</v>
      </c>
      <c r="E43" s="70"/>
      <c r="F43" s="68">
        <f t="shared" ref="F43:F58" si="0">D43-B43</f>
        <v>387.87689410051132</v>
      </c>
      <c r="G43" s="77"/>
      <c r="H43" s="85">
        <f t="shared" ref="H43:H58" si="1">ROUND((((D43/$B$15)-$B$20)/$B$23)-(((B43/$B$15)-$B$20)/$B$23),4)*10000</f>
        <v>8</v>
      </c>
    </row>
    <row r="44" spans="1:24">
      <c r="A44" s="54" t="s">
        <v>481</v>
      </c>
      <c r="B44" s="97">
        <v>0</v>
      </c>
      <c r="D44" s="97">
        <f>+'COMP Prior Yr'!D44</f>
        <v>2099</v>
      </c>
      <c r="E44" s="70"/>
      <c r="F44" s="68">
        <f t="shared" si="0"/>
        <v>2099</v>
      </c>
      <c r="G44" s="77"/>
      <c r="H44" s="85">
        <f t="shared" si="1"/>
        <v>45</v>
      </c>
      <c r="O44" s="75"/>
    </row>
    <row r="45" spans="1:24">
      <c r="A45" s="54" t="s">
        <v>153</v>
      </c>
      <c r="B45" s="97">
        <v>0</v>
      </c>
      <c r="D45" s="97">
        <f>+'COMP Prior Yr'!D45</f>
        <v>0</v>
      </c>
      <c r="E45" s="70"/>
      <c r="F45" s="68">
        <f t="shared" si="0"/>
        <v>0</v>
      </c>
      <c r="G45" s="77"/>
      <c r="H45" s="85">
        <f t="shared" si="1"/>
        <v>0</v>
      </c>
    </row>
    <row r="46" spans="1:24">
      <c r="A46" s="54" t="s">
        <v>410</v>
      </c>
      <c r="B46" s="97">
        <v>8.4052886186718005</v>
      </c>
      <c r="D46" s="97">
        <f>+'COMP Prior Yr'!D46</f>
        <v>12.004970063624999</v>
      </c>
      <c r="E46" s="70"/>
      <c r="F46" s="68">
        <f t="shared" si="0"/>
        <v>3.5996814449531982</v>
      </c>
      <c r="G46" s="77"/>
      <c r="H46" s="85">
        <f t="shared" si="1"/>
        <v>0</v>
      </c>
      <c r="O46" s="145"/>
    </row>
    <row r="47" spans="1:24">
      <c r="A47" s="54" t="s">
        <v>154</v>
      </c>
      <c r="B47" s="70">
        <v>65.077633995628005</v>
      </c>
      <c r="D47" s="70">
        <f>+'COMP Prior Yr'!D47</f>
        <v>59.108476990499994</v>
      </c>
      <c r="E47" s="70"/>
      <c r="F47" s="68">
        <f t="shared" si="0"/>
        <v>-5.969157005128011</v>
      </c>
      <c r="G47" s="77"/>
      <c r="H47" s="85">
        <f t="shared" si="1"/>
        <v>0</v>
      </c>
      <c r="O47" s="144"/>
    </row>
    <row r="48" spans="1:24">
      <c r="A48" s="54" t="s">
        <v>409</v>
      </c>
      <c r="B48" s="70">
        <v>-123.03988712792852</v>
      </c>
      <c r="D48" s="70">
        <f>+'COMP Prior Yr'!D48</f>
        <v>-219.16715458049293</v>
      </c>
      <c r="E48" s="70"/>
      <c r="F48" s="68">
        <f t="shared" si="0"/>
        <v>-96.127267452564411</v>
      </c>
      <c r="G48" s="77"/>
      <c r="H48" s="85">
        <f t="shared" si="1"/>
        <v>-2</v>
      </c>
      <c r="O48" s="145"/>
    </row>
    <row r="49" spans="1:15">
      <c r="A49" s="54" t="s">
        <v>155</v>
      </c>
      <c r="B49" s="70">
        <v>30.888956947978745</v>
      </c>
      <c r="D49" s="70">
        <f>+'COMP Prior Yr'!D49</f>
        <v>43.829762775523193</v>
      </c>
      <c r="E49" s="70"/>
      <c r="F49" s="68">
        <f t="shared" si="0"/>
        <v>12.940805827544448</v>
      </c>
      <c r="G49" s="77"/>
      <c r="H49" s="85">
        <f t="shared" si="1"/>
        <v>0</v>
      </c>
      <c r="O49" s="145"/>
    </row>
    <row r="50" spans="1:15">
      <c r="A50" s="54" t="s">
        <v>156</v>
      </c>
      <c r="B50" s="70">
        <v>4.719580695057501</v>
      </c>
      <c r="D50" s="70">
        <f>+'COMP Prior Yr'!D50</f>
        <v>5.7199476001184992</v>
      </c>
      <c r="E50" s="70"/>
      <c r="F50" s="68">
        <f t="shared" si="0"/>
        <v>1.0003669050609982</v>
      </c>
      <c r="G50" s="77"/>
      <c r="H50" s="85">
        <f t="shared" si="1"/>
        <v>0</v>
      </c>
      <c r="O50" s="144"/>
    </row>
    <row r="51" spans="1:15">
      <c r="A51" s="54" t="s">
        <v>411</v>
      </c>
      <c r="B51" s="70">
        <v>60.114596460999998</v>
      </c>
      <c r="D51" s="70">
        <f>+'COMP Prior Yr'!D51</f>
        <v>0</v>
      </c>
      <c r="E51" s="70"/>
      <c r="F51" s="68">
        <f t="shared" si="0"/>
        <v>-60.114596460999998</v>
      </c>
      <c r="G51" s="77"/>
      <c r="H51" s="85">
        <f t="shared" si="1"/>
        <v>-1</v>
      </c>
    </row>
    <row r="52" spans="1:15">
      <c r="A52" s="105" t="s">
        <v>412</v>
      </c>
      <c r="B52" s="70">
        <v>0</v>
      </c>
      <c r="D52" s="70">
        <f>+'COMP Prior Yr'!D52</f>
        <v>0</v>
      </c>
      <c r="E52" s="70"/>
      <c r="F52" s="68">
        <f t="shared" si="0"/>
        <v>0</v>
      </c>
      <c r="G52" s="77"/>
      <c r="H52" s="85">
        <f t="shared" si="1"/>
        <v>0</v>
      </c>
    </row>
    <row r="53" spans="1:15">
      <c r="A53" s="694" t="s">
        <v>536</v>
      </c>
      <c r="B53" s="70">
        <v>-80.415622883790007</v>
      </c>
      <c r="D53" s="70">
        <f>+'COMP Prior Yr'!D53</f>
        <v>-87.940603800000005</v>
      </c>
      <c r="E53" s="70"/>
      <c r="F53" s="68">
        <f>D53-B53</f>
        <v>-7.5249809162099979</v>
      </c>
      <c r="G53" s="77"/>
      <c r="H53" s="85">
        <f>ROUND((((D53/$B$15)-$B$20)/$B$23)-(((B53/$B$15)-$B$20)/$B$23),4)*10000</f>
        <v>0</v>
      </c>
    </row>
    <row r="54" spans="1:15">
      <c r="A54" s="105" t="s">
        <v>157</v>
      </c>
      <c r="B54" s="70">
        <v>0</v>
      </c>
      <c r="D54" s="70">
        <f>+'COMP Prior Yr'!D54</f>
        <v>0</v>
      </c>
      <c r="E54" s="70"/>
      <c r="F54" s="68">
        <f t="shared" si="0"/>
        <v>0</v>
      </c>
      <c r="G54" s="77"/>
      <c r="H54" s="85">
        <f t="shared" si="1"/>
        <v>0</v>
      </c>
    </row>
    <row r="55" spans="1:15">
      <c r="A55" s="54" t="s">
        <v>532</v>
      </c>
      <c r="B55" s="70">
        <v>6.1892107805761043E-4</v>
      </c>
      <c r="D55" s="70">
        <f>+'COMP Prior Yr'!D55</f>
        <v>-2.1649950008395535E-4</v>
      </c>
      <c r="E55" s="70"/>
      <c r="F55" s="68">
        <f t="shared" si="0"/>
        <v>-8.3542057814156578E-4</v>
      </c>
      <c r="G55" s="77"/>
      <c r="H55" s="85">
        <f t="shared" si="1"/>
        <v>0</v>
      </c>
    </row>
    <row r="56" spans="1:15">
      <c r="A56" s="54" t="s">
        <v>533</v>
      </c>
      <c r="B56" s="70">
        <v>-9382.7536931258001</v>
      </c>
      <c r="D56" s="70">
        <f>+'COMP Prior Yr'!D56</f>
        <v>-3164.0028272999998</v>
      </c>
      <c r="E56" s="70"/>
      <c r="F56" s="68">
        <f t="shared" si="0"/>
        <v>6218.7508658258002</v>
      </c>
      <c r="G56" s="77"/>
      <c r="H56" s="85">
        <f t="shared" si="1"/>
        <v>133</v>
      </c>
    </row>
    <row r="57" spans="1:15" ht="15.2" customHeight="1">
      <c r="A57" s="54" t="s">
        <v>510</v>
      </c>
      <c r="B57" s="71">
        <v>0</v>
      </c>
      <c r="D57" s="71">
        <f>+'COMP Prior Yr'!D57</f>
        <v>0</v>
      </c>
      <c r="E57" s="70"/>
      <c r="F57" s="99">
        <f t="shared" si="0"/>
        <v>0</v>
      </c>
      <c r="H57" s="85">
        <f t="shared" si="1"/>
        <v>0</v>
      </c>
    </row>
    <row r="58" spans="1:15" ht="15.2" customHeight="1">
      <c r="A58" s="54" t="s">
        <v>508</v>
      </c>
      <c r="B58" s="70">
        <v>-9890.2991543076369</v>
      </c>
      <c r="D58" s="70">
        <f>+'COMP Prior Yr'!D58</f>
        <v>-1339.3859250827747</v>
      </c>
      <c r="E58" s="70"/>
      <c r="F58" s="68">
        <f t="shared" si="0"/>
        <v>8550.9132292248614</v>
      </c>
      <c r="H58" s="85">
        <f t="shared" si="1"/>
        <v>183</v>
      </c>
    </row>
  </sheetData>
  <mergeCells count="4">
    <mergeCell ref="A1:H1"/>
    <mergeCell ref="A2:H2"/>
    <mergeCell ref="A3:H3"/>
    <mergeCell ref="A4:H4"/>
  </mergeCells>
  <conditionalFormatting sqref="K31:K37 K15:K25">
    <cfRule type="cellIs" dxfId="3" priority="1" stopIfTrue="1" operator="equal">
      <formula>0</formula>
    </cfRule>
    <cfRule type="cellIs" dxfId="2" priority="2" stopIfTrue="1" operator="notEqual">
      <formula>0</formula>
    </cfRule>
  </conditionalFormatting>
  <printOptions horizontalCentered="1"/>
  <pageMargins left="0.5" right="0.5" top="0.5" bottom="0.5" header="0.5" footer="0.25"/>
  <pageSetup scale="82" orientation="portrait" r:id="rId1"/>
  <headerFooter>
    <oddFooter>&amp;Z&amp;F</oddFooter>
  </headerFooter>
  <customProperties>
    <customPr name="_pios_id" r:id="rId2"/>
    <customPr name="EpmWorksheetKeyString_GUID" r:id="rId3"/>
  </customProperties>
  <legacyDrawing r:id="rId4"/>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3" tint="0.39997558519241921"/>
    <pageSetUpPr fitToPage="1"/>
  </sheetPr>
  <dimension ref="A1:X58"/>
  <sheetViews>
    <sheetView workbookViewId="0">
      <selection sqref="A1:H1"/>
    </sheetView>
  </sheetViews>
  <sheetFormatPr defaultColWidth="9.140625" defaultRowHeight="15"/>
  <cols>
    <col min="1" max="1" width="47" style="54" bestFit="1" customWidth="1"/>
    <col min="2" max="2" width="21.42578125" style="54" bestFit="1" customWidth="1"/>
    <col min="3" max="3" width="1.85546875" style="54" bestFit="1" customWidth="1"/>
    <col min="4" max="4" width="21.42578125" style="54" bestFit="1" customWidth="1"/>
    <col min="5" max="5" width="1.5703125" style="54" customWidth="1"/>
    <col min="6" max="6" width="12.42578125" style="54" bestFit="1" customWidth="1"/>
    <col min="7" max="7" width="1.5703125" style="54" customWidth="1"/>
    <col min="8" max="8" width="11.5703125" style="56" customWidth="1"/>
    <col min="9" max="9" width="14.5703125" style="54" bestFit="1" customWidth="1"/>
    <col min="10" max="10" width="7.5703125" style="54" customWidth="1"/>
    <col min="11" max="11" width="10.85546875" style="54" customWidth="1"/>
    <col min="12" max="14" width="9.140625" style="54"/>
    <col min="15" max="15" width="30.5703125" style="54" customWidth="1"/>
    <col min="16" max="16" width="7.140625" style="54" customWidth="1"/>
    <col min="17" max="17" width="8.140625" style="54" customWidth="1"/>
    <col min="18" max="18" width="1.5703125" style="54" customWidth="1"/>
    <col min="19" max="19" width="7.5703125" style="54" customWidth="1"/>
    <col min="20" max="20" width="13" style="54" customWidth="1"/>
    <col min="21" max="21" width="1.5703125" style="54" customWidth="1"/>
    <col min="22" max="22" width="9.140625" style="54"/>
    <col min="23" max="23" width="1.42578125" style="54" customWidth="1"/>
    <col min="24" max="24" width="8.5703125" style="57" customWidth="1"/>
    <col min="25" max="25" width="6.85546875" style="54" customWidth="1"/>
    <col min="26" max="26" width="6.42578125" style="54" customWidth="1"/>
    <col min="27" max="16384" width="9.140625" style="54"/>
  </cols>
  <sheetData>
    <row r="1" spans="1:24" ht="17.45" customHeight="1">
      <c r="A1" s="1293" t="s">
        <v>204</v>
      </c>
      <c r="B1" s="1293"/>
      <c r="C1" s="1293"/>
      <c r="D1" s="1293"/>
      <c r="E1" s="1293"/>
      <c r="F1" s="1293"/>
      <c r="G1" s="1293"/>
      <c r="H1" s="1293"/>
    </row>
    <row r="2" spans="1:24" ht="17.45" customHeight="1">
      <c r="A2" s="1293" t="s">
        <v>1855</v>
      </c>
      <c r="B2" s="1293"/>
      <c r="C2" s="1293"/>
      <c r="D2" s="1293"/>
      <c r="E2" s="1293"/>
      <c r="F2" s="1293"/>
      <c r="G2" s="1293"/>
      <c r="H2" s="1293"/>
    </row>
    <row r="3" spans="1:24" ht="17.45" customHeight="1">
      <c r="A3" s="1293" t="s">
        <v>1856</v>
      </c>
      <c r="B3" s="1293"/>
      <c r="C3" s="1293"/>
      <c r="D3" s="1293"/>
      <c r="E3" s="1293"/>
      <c r="F3" s="1293"/>
      <c r="G3" s="1293"/>
      <c r="H3" s="1293"/>
    </row>
    <row r="4" spans="1:24" ht="18" customHeight="1">
      <c r="A4" s="1293" t="s">
        <v>1857</v>
      </c>
      <c r="B4" s="1293"/>
      <c r="C4" s="1293"/>
      <c r="D4" s="1293"/>
      <c r="E4" s="1293"/>
      <c r="F4" s="1293"/>
      <c r="G4" s="1293"/>
      <c r="H4" s="1293"/>
    </row>
    <row r="5" spans="1:24" ht="28.35" customHeight="1">
      <c r="A5" s="17"/>
      <c r="B5" s="392"/>
      <c r="C5" s="695"/>
      <c r="D5" s="227"/>
      <c r="E5" s="696"/>
      <c r="K5" s="58"/>
    </row>
    <row r="6" spans="1:24" s="61" customFormat="1" ht="15.75">
      <c r="A6" s="59"/>
      <c r="B6" s="60" t="s">
        <v>2685</v>
      </c>
      <c r="C6" s="54"/>
      <c r="D6" s="60" t="str">
        <f>'COMP Prior Yr'!D6</f>
        <v>December 2022</v>
      </c>
      <c r="H6" s="62" t="s">
        <v>487</v>
      </c>
      <c r="X6" s="63"/>
    </row>
    <row r="7" spans="1:24" s="61" customFormat="1" ht="15.75">
      <c r="A7" s="64"/>
      <c r="B7" s="65" t="str">
        <f>+'COMP Org Bud Qrtly'!B7</f>
        <v>2022 Q3</v>
      </c>
      <c r="C7" s="55"/>
      <c r="D7" s="65" t="str">
        <f>'COMP Prior Yr'!D7</f>
        <v>Actuals</v>
      </c>
      <c r="F7" s="66" t="s">
        <v>489</v>
      </c>
      <c r="G7" s="64"/>
      <c r="H7" s="67" t="s">
        <v>490</v>
      </c>
      <c r="K7" s="68"/>
      <c r="X7" s="63"/>
    </row>
    <row r="8" spans="1:24" ht="15.75">
      <c r="A8" s="61"/>
    </row>
    <row r="9" spans="1:24">
      <c r="A9" s="54" t="s">
        <v>223</v>
      </c>
      <c r="B9" s="199">
        <v>1274769.5023749745</v>
      </c>
      <c r="D9" s="199">
        <f>+'COMP Prior Yr'!D9</f>
        <v>1661056.812737515</v>
      </c>
      <c r="F9" s="68">
        <f>D9-B9</f>
        <v>386287.31036254042</v>
      </c>
      <c r="G9" s="68"/>
      <c r="H9" s="56">
        <f>ROUND((((B17/(D9+D10+D11+D13))-B20)/B23)-(((B17/(B9+D10+D11+D13))-B20)/B23),4)*10000</f>
        <v>-275</v>
      </c>
      <c r="J9" s="69"/>
    </row>
    <row r="10" spans="1:24">
      <c r="A10" s="54" t="s">
        <v>4</v>
      </c>
      <c r="B10" s="200">
        <v>56422.829689230799</v>
      </c>
      <c r="D10" s="200">
        <f>+'COMP Prior Yr'!D10</f>
        <v>98720.05334769233</v>
      </c>
      <c r="F10" s="68">
        <f>D10-B10</f>
        <v>42297.223658461531</v>
      </c>
      <c r="G10" s="68"/>
      <c r="H10" s="56">
        <f>ROUND((((B17/(D9+D11+D13+D10))-B20)/B23)-(((B17/(B10+D9+D11+D13))-B20)/B23),4)*10000</f>
        <v>-23.999999999999996</v>
      </c>
    </row>
    <row r="11" spans="1:24">
      <c r="A11" s="54" t="s">
        <v>491</v>
      </c>
      <c r="B11" s="200">
        <v>0</v>
      </c>
      <c r="D11" s="200">
        <f>+'COMP Prior Yr'!D11</f>
        <v>0</v>
      </c>
      <c r="F11" s="68">
        <f>D11-B11</f>
        <v>0</v>
      </c>
      <c r="G11" s="70"/>
      <c r="H11" s="56">
        <f>ROUND((((B17/(D9+D10+D11+D13))-B20)/B23)-(((B17/(B11+D9+D10+D13))-B20)/B23),4)*10000</f>
        <v>0</v>
      </c>
    </row>
    <row r="12" spans="1:24">
      <c r="A12" s="105" t="s">
        <v>229</v>
      </c>
      <c r="B12" s="200">
        <v>737.76340076923054</v>
      </c>
      <c r="D12" s="200">
        <f>+'COMP Prior Yr'!D12</f>
        <v>3209.9291492307693</v>
      </c>
      <c r="F12" s="332">
        <f>D12-B12</f>
        <v>2472.1657484615389</v>
      </c>
      <c r="G12" s="432"/>
      <c r="H12" s="333">
        <f>ROUND((((B17/(D9+D10+D11+D12+D13))-B20)/B23)-(((B17/(B12+D9+D10+D11+D13))-B20)/B23),4)*10000</f>
        <v>-1</v>
      </c>
    </row>
    <row r="13" spans="1:24" ht="15.75">
      <c r="A13" s="54" t="s">
        <v>492</v>
      </c>
      <c r="B13" s="331">
        <v>-56832.140823298119</v>
      </c>
      <c r="C13" s="70"/>
      <c r="D13" s="331">
        <f>+'COMP Prior Yr'!D13</f>
        <v>-29027.429266153893</v>
      </c>
      <c r="F13" s="68">
        <f>D13-B13</f>
        <v>27804.711557144226</v>
      </c>
      <c r="G13" s="70"/>
      <c r="H13" s="56">
        <f>ROUND((((B17/(D9+D10+D11+D13))-B20)/B23)-(((B17/(B13+D9+D10+D11))-B20)/B23),4)*10000</f>
        <v>-16</v>
      </c>
      <c r="I13" s="72" t="s">
        <v>493</v>
      </c>
      <c r="K13" s="73" t="s">
        <v>494</v>
      </c>
    </row>
    <row r="14" spans="1:24" ht="8.1" customHeight="1">
      <c r="B14" s="201"/>
      <c r="D14" s="201"/>
      <c r="F14" s="68"/>
      <c r="I14" s="72"/>
      <c r="K14" s="73"/>
    </row>
    <row r="15" spans="1:24" ht="15.75">
      <c r="A15" s="61" t="s">
        <v>348</v>
      </c>
      <c r="B15" s="202">
        <v>1275097.9546000001</v>
      </c>
      <c r="C15" s="61"/>
      <c r="D15" s="202">
        <f>+'COMP Prior Yr'!D15</f>
        <v>1733959.3659999999</v>
      </c>
      <c r="E15" s="61"/>
      <c r="F15" s="58">
        <f>D15-B15</f>
        <v>458861.41139999987</v>
      </c>
      <c r="G15" s="58"/>
      <c r="H15" s="62">
        <f>ROUND((((B17/D15)-B20)/B23)-(((B17/B15)-B20)/B23),4)*10000</f>
        <v>-344</v>
      </c>
      <c r="I15" s="62">
        <f>SUM(H9:H13)</f>
        <v>-316</v>
      </c>
      <c r="J15" s="56"/>
      <c r="K15" s="62">
        <f>H15-I15</f>
        <v>-28</v>
      </c>
      <c r="O15" s="98">
        <f>+F15/H15</f>
        <v>-1333.8994517441856</v>
      </c>
    </row>
    <row r="16" spans="1:24" ht="8.1" customHeight="1">
      <c r="B16" s="200"/>
      <c r="D16" s="200"/>
      <c r="F16" s="68"/>
      <c r="I16" s="62"/>
      <c r="J16" s="56"/>
      <c r="K16" s="62"/>
      <c r="O16" s="937"/>
    </row>
    <row r="17" spans="1:24" s="61" customFormat="1" ht="15.75">
      <c r="A17" s="61" t="s">
        <v>495</v>
      </c>
      <c r="B17" s="203">
        <v>76085.6054</v>
      </c>
      <c r="D17" s="203">
        <f>+'COMP Prior Yr'!D17</f>
        <v>99827.7448</v>
      </c>
      <c r="F17" s="58">
        <f>D17-B17</f>
        <v>23742.1394</v>
      </c>
      <c r="G17" s="698"/>
      <c r="H17" s="76">
        <f>ROUND((((D17/B15)-B20)/B23)-(((B17/B15)-B20)/B23),4)*10000</f>
        <v>406</v>
      </c>
      <c r="I17" s="62"/>
      <c r="J17" s="62"/>
      <c r="K17" s="62"/>
      <c r="L17" s="76"/>
      <c r="O17" s="98">
        <f>+F17/H17</f>
        <v>58.478175862068966</v>
      </c>
      <c r="X17" s="63"/>
    </row>
    <row r="18" spans="1:24" ht="8.1" customHeight="1">
      <c r="I18" s="62"/>
      <c r="J18" s="56"/>
      <c r="K18" s="62"/>
      <c r="O18" s="937"/>
    </row>
    <row r="19" spans="1:24" ht="15.75">
      <c r="A19" s="54" t="s">
        <v>496</v>
      </c>
      <c r="B19" s="77">
        <v>5.9700000000000003E-2</v>
      </c>
      <c r="D19" s="77">
        <f>+'COMP Prior Yr'!D19</f>
        <v>5.7599999999999998E-2</v>
      </c>
      <c r="F19" s="77">
        <f>D19-B19</f>
        <v>-2.1000000000000046E-3</v>
      </c>
      <c r="G19" s="77"/>
      <c r="H19" s="56">
        <f>ROUND((F19/$B$23)*10000,0)</f>
        <v>-46</v>
      </c>
      <c r="I19" s="62">
        <f>H15+H17</f>
        <v>62</v>
      </c>
      <c r="J19" s="56"/>
      <c r="K19" s="62">
        <f>H19-I19</f>
        <v>-108</v>
      </c>
    </row>
    <row r="20" spans="1:24" ht="15.75">
      <c r="A20" s="54" t="s">
        <v>1858</v>
      </c>
      <c r="B20" s="78">
        <v>1.38E-2</v>
      </c>
      <c r="D20" s="78">
        <f>+'COMP Prior Yr'!D20</f>
        <v>1.4200000000000001E-2</v>
      </c>
      <c r="F20" s="77">
        <f>D20-B20</f>
        <v>4.0000000000000105E-4</v>
      </c>
      <c r="G20" s="77"/>
      <c r="H20" s="56">
        <f>-ROUND((F20/$B$23)*10000,0)</f>
        <v>-9</v>
      </c>
      <c r="I20" s="62"/>
      <c r="J20" s="56"/>
      <c r="K20" s="62"/>
    </row>
    <row r="21" spans="1:24" ht="8.1" customHeight="1">
      <c r="B21" s="74"/>
      <c r="D21" s="74"/>
      <c r="F21" s="77"/>
      <c r="G21" s="77"/>
      <c r="I21" s="62"/>
      <c r="J21" s="56"/>
      <c r="K21" s="62"/>
    </row>
    <row r="22" spans="1:24" ht="15.75">
      <c r="A22" s="54" t="s">
        <v>497</v>
      </c>
      <c r="B22" s="77">
        <v>4.5900000000000003E-2</v>
      </c>
      <c r="D22" s="77">
        <f>+'COMP Prior Yr'!D22</f>
        <v>4.3400000000000001E-2</v>
      </c>
      <c r="F22" s="77">
        <f>D22-B22</f>
        <v>-2.5000000000000022E-3</v>
      </c>
      <c r="G22" s="77"/>
      <c r="H22" s="56">
        <f>ROUND((F22/$B$23)*10000,0)</f>
        <v>-55</v>
      </c>
      <c r="I22" s="62">
        <f>H19+H20</f>
        <v>-55</v>
      </c>
      <c r="J22" s="56"/>
      <c r="K22" s="62">
        <f>H22-I22</f>
        <v>0</v>
      </c>
    </row>
    <row r="23" spans="1:24" ht="15.75">
      <c r="A23" s="54" t="s">
        <v>483</v>
      </c>
      <c r="B23" s="78">
        <v>0.45860000000000001</v>
      </c>
      <c r="D23" s="78">
        <f>+'COMP Prior Yr'!D23</f>
        <v>0.46889999999999998</v>
      </c>
      <c r="F23" s="77">
        <f>D23-B23</f>
        <v>1.0299999999999976E-2</v>
      </c>
      <c r="G23" s="77"/>
      <c r="H23" s="56">
        <f>ROUND((B22/D23)-(B22/B23),4)*10000</f>
        <v>-22</v>
      </c>
      <c r="I23" s="62"/>
      <c r="J23" s="56"/>
      <c r="K23" s="62"/>
    </row>
    <row r="24" spans="1:24" ht="15.75">
      <c r="B24" s="74"/>
      <c r="D24" s="74"/>
      <c r="F24" s="77"/>
      <c r="G24" s="77"/>
      <c r="H24" s="79"/>
      <c r="I24" s="62"/>
      <c r="J24" s="56"/>
      <c r="K24" s="62"/>
    </row>
    <row r="25" spans="1:24" s="61" customFormat="1" ht="15.75">
      <c r="A25" s="61" t="s">
        <v>498</v>
      </c>
      <c r="B25" s="252">
        <v>9.9999999999999992E-2</v>
      </c>
      <c r="D25" s="252">
        <f>+'COMP Prior Yr'!D25</f>
        <v>9.2499999999999999E-2</v>
      </c>
      <c r="F25" s="80">
        <f>D25-B25</f>
        <v>-7.4999999999999928E-3</v>
      </c>
      <c r="G25" s="80"/>
      <c r="H25" s="62">
        <f>(D25-B25)*10000</f>
        <v>-74.999999999999929</v>
      </c>
      <c r="I25" s="62">
        <f>H22+H23</f>
        <v>-77</v>
      </c>
      <c r="J25" s="62"/>
      <c r="K25" s="62">
        <f>H25-I25</f>
        <v>2.0000000000000711</v>
      </c>
      <c r="L25" s="80"/>
      <c r="X25" s="63"/>
    </row>
    <row r="26" spans="1:24" s="81" customFormat="1" ht="4.5" customHeight="1">
      <c r="A26" s="54"/>
      <c r="B26" s="82"/>
      <c r="C26" s="54"/>
      <c r="D26" s="82"/>
      <c r="E26" s="54"/>
      <c r="G26" s="54"/>
      <c r="H26" s="83"/>
      <c r="X26" s="84"/>
    </row>
    <row r="27" spans="1:24" ht="4.5" customHeight="1">
      <c r="J27" s="57"/>
    </row>
    <row r="28" spans="1:24">
      <c r="A28" s="54" t="s">
        <v>499</v>
      </c>
      <c r="B28" s="459">
        <v>99721.377559999935</v>
      </c>
      <c r="D28" s="459">
        <f>+'COMP Prior Yr'!D28</f>
        <v>127065.09198000013</v>
      </c>
      <c r="E28" s="70"/>
      <c r="F28" s="68">
        <f>D28-B28</f>
        <v>27343.714420000193</v>
      </c>
      <c r="G28" s="68"/>
      <c r="H28" s="85">
        <f>ROUND((((D28/B15)-B20)/B23)-(((B28/B15)-B20)/B23),4)*10000</f>
        <v>468</v>
      </c>
    </row>
    <row r="29" spans="1:24">
      <c r="A29" s="54" t="s">
        <v>500</v>
      </c>
      <c r="B29" s="86">
        <v>19665.771763382159</v>
      </c>
      <c r="C29" s="70"/>
      <c r="D29" s="86">
        <f>+'COMP Prior Yr'!D29</f>
        <v>25897.961240000001</v>
      </c>
      <c r="E29" s="70"/>
      <c r="F29" s="68">
        <f>B29-D29</f>
        <v>-6232.1894766178411</v>
      </c>
      <c r="G29" s="68"/>
      <c r="H29" s="85">
        <f>-ROUND((((D29/B15)-B20)/B23)-(((B29/B15)-B20)/B23),4)*10000</f>
        <v>-107</v>
      </c>
    </row>
    <row r="30" spans="1:24" ht="15.75">
      <c r="A30" s="693" t="s">
        <v>501</v>
      </c>
      <c r="B30" s="71">
        <v>0</v>
      </c>
      <c r="C30" s="70"/>
      <c r="D30" s="71">
        <f>+'COMP Prior Yr'!D30</f>
        <v>0</v>
      </c>
      <c r="E30" s="70"/>
      <c r="F30" s="68">
        <f>B30-D30</f>
        <v>0</v>
      </c>
      <c r="G30" s="70"/>
      <c r="H30" s="85">
        <f>-ROUND((((D30/B15)-B20)/B23)-(((B30/B15)-B20)/B23),4)*10000</f>
        <v>0</v>
      </c>
      <c r="I30" s="55" t="s">
        <v>493</v>
      </c>
      <c r="K30" s="73" t="s">
        <v>494</v>
      </c>
    </row>
    <row r="31" spans="1:24" ht="15.75">
      <c r="A31" s="74" t="s">
        <v>502</v>
      </c>
      <c r="B31" s="71">
        <v>19665.771763382159</v>
      </c>
      <c r="D31" s="71">
        <f>+'COMP Prior Yr'!D31</f>
        <v>25897.961240000001</v>
      </c>
      <c r="E31" s="70"/>
      <c r="F31" s="68">
        <f>D31-B31</f>
        <v>6232.1894766178411</v>
      </c>
      <c r="G31" s="70"/>
      <c r="H31" s="85">
        <f>-ROUND((((D31/B15)-B20)/B23)-(((B31/B15)-B20)/B23),4)*10000</f>
        <v>-107</v>
      </c>
      <c r="I31" s="56"/>
      <c r="K31" s="62"/>
    </row>
    <row r="32" spans="1:24" ht="8.1" customHeight="1">
      <c r="B32" s="87"/>
      <c r="D32" s="87"/>
      <c r="E32" s="70"/>
      <c r="F32" s="68"/>
      <c r="H32" s="85"/>
      <c r="I32" s="62"/>
      <c r="K32" s="62"/>
    </row>
    <row r="33" spans="1:24" ht="15.75">
      <c r="A33" s="54" t="s">
        <v>503</v>
      </c>
      <c r="B33" s="71">
        <v>80055.605796617776</v>
      </c>
      <c r="D33" s="71">
        <f>+'COMP Prior Yr'!D33</f>
        <v>101167.13074000012</v>
      </c>
      <c r="E33" s="70"/>
      <c r="F33" s="68">
        <f>D33-B33</f>
        <v>21111.524943382348</v>
      </c>
      <c r="G33" s="68"/>
      <c r="H33" s="85">
        <f>ROUND((((D33/B15)-B20)/B23)-(((B33/B15)-B20)/B23),4)*10000</f>
        <v>361</v>
      </c>
      <c r="I33" s="56">
        <f>H28+H29+H30</f>
        <v>361</v>
      </c>
      <c r="K33" s="62">
        <f>I33-H33</f>
        <v>0</v>
      </c>
    </row>
    <row r="34" spans="1:24" ht="15.75">
      <c r="B34" s="70"/>
      <c r="D34" s="70"/>
      <c r="E34" s="70"/>
      <c r="F34" s="68"/>
      <c r="G34" s="68"/>
      <c r="H34" s="85"/>
      <c r="I34" s="56"/>
      <c r="K34" s="62"/>
    </row>
    <row r="35" spans="1:24" ht="15.75">
      <c r="A35" s="54" t="s">
        <v>504</v>
      </c>
      <c r="B35" s="70">
        <v>0</v>
      </c>
      <c r="D35" s="70">
        <f>+'COMP Prior Yr'!D35</f>
        <v>0</v>
      </c>
      <c r="E35" s="70"/>
      <c r="F35" s="68"/>
      <c r="G35" s="68"/>
      <c r="H35" s="85"/>
      <c r="I35" s="56"/>
      <c r="K35" s="62"/>
    </row>
    <row r="36" spans="1:24" ht="15.75">
      <c r="A36" s="693" t="s">
        <v>505</v>
      </c>
      <c r="B36" s="71">
        <v>-3970.000441326747</v>
      </c>
      <c r="D36" s="71">
        <f>+'COMP Prior Yr'!D36</f>
        <v>-1339.3859250827747</v>
      </c>
      <c r="E36" s="70"/>
      <c r="F36" s="68">
        <f>D36-B36</f>
        <v>2630.6145162439725</v>
      </c>
      <c r="H36" s="85">
        <f>ROUND((((D36/B15)-B20)/B23)-(((B36/B15)-B20)/B23),4)*10000</f>
        <v>45</v>
      </c>
      <c r="I36" s="56">
        <f>H36</f>
        <v>45</v>
      </c>
      <c r="K36" s="62">
        <f>H36-I36</f>
        <v>0</v>
      </c>
    </row>
    <row r="37" spans="1:24" s="61" customFormat="1" ht="15.75">
      <c r="A37" s="61" t="s">
        <v>495</v>
      </c>
      <c r="B37" s="88">
        <v>76085.605355291031</v>
      </c>
      <c r="D37" s="88">
        <f>+'COMP Prior Yr'!D37</f>
        <v>99827.744814917343</v>
      </c>
      <c r="E37" s="697"/>
      <c r="F37" s="58">
        <f>D37-B37</f>
        <v>23742.139459626313</v>
      </c>
      <c r="G37" s="698"/>
      <c r="H37" s="89">
        <f>ROUND((((D37/B15)-B20)/B23)-(((B37/B15)-B20)/B23),4)*10000</f>
        <v>406</v>
      </c>
      <c r="I37" s="62">
        <f>H33+H36</f>
        <v>406</v>
      </c>
      <c r="K37" s="62">
        <f>H37-I37</f>
        <v>0</v>
      </c>
      <c r="X37" s="63"/>
    </row>
    <row r="38" spans="1:24" s="81" customFormat="1" ht="14.1" customHeight="1">
      <c r="A38" s="54"/>
      <c r="B38" s="90"/>
      <c r="C38" s="54"/>
      <c r="D38" s="90"/>
      <c r="E38" s="70"/>
      <c r="F38" s="71"/>
      <c r="G38" s="93"/>
      <c r="H38" s="106">
        <f>D37-D17</f>
        <v>1.49173429235816E-5</v>
      </c>
      <c r="I38" s="91" t="s">
        <v>506</v>
      </c>
      <c r="J38" s="78"/>
      <c r="X38" s="84"/>
    </row>
    <row r="39" spans="1:24" ht="4.5" customHeight="1">
      <c r="B39" s="92"/>
      <c r="D39" s="92"/>
      <c r="E39" s="70"/>
      <c r="F39" s="70"/>
      <c r="G39" s="93"/>
      <c r="H39" s="94"/>
      <c r="I39" s="95"/>
      <c r="J39" s="77"/>
      <c r="X39" s="96"/>
    </row>
    <row r="40" spans="1:24" ht="15.75">
      <c r="A40" s="64" t="s">
        <v>507</v>
      </c>
      <c r="B40" s="87"/>
      <c r="C40" s="87"/>
      <c r="D40" s="87"/>
      <c r="E40" s="70"/>
      <c r="F40" s="87"/>
      <c r="G40" s="70"/>
      <c r="I40" s="77"/>
      <c r="J40" s="57"/>
    </row>
    <row r="41" spans="1:24">
      <c r="A41" s="54" t="s">
        <v>150</v>
      </c>
      <c r="B41" s="97">
        <v>0</v>
      </c>
      <c r="D41" s="97">
        <f>+'COMP Prior Yr'!D41</f>
        <v>-5.0765400010277517E-4</v>
      </c>
      <c r="E41" s="70"/>
      <c r="F41" s="68">
        <f>D41-B41</f>
        <v>-5.0765400010277517E-4</v>
      </c>
      <c r="G41" s="77"/>
      <c r="H41" s="85">
        <f>ROUND((((D41/$B$15)-$B$20)/$B$23)-(((B41/$B$15)-$B$20)/$B$23),4)*10000</f>
        <v>0</v>
      </c>
    </row>
    <row r="42" spans="1:24">
      <c r="A42" s="54" t="s">
        <v>151</v>
      </c>
      <c r="B42" s="97">
        <v>31.792772581601326</v>
      </c>
      <c r="D42" s="97">
        <f>+'COMP Prior Yr'!D42</f>
        <v>29.265119278181093</v>
      </c>
      <c r="E42" s="70"/>
      <c r="F42" s="68">
        <f>D42-B42</f>
        <v>-2.5276533034202338</v>
      </c>
      <c r="G42" s="77"/>
      <c r="H42" s="85">
        <f>ROUND((((D42/$B$15)-$B$20)/$B$23)-(((B42/$B$15)-$B$20)/$B$23),4)*10000</f>
        <v>0</v>
      </c>
    </row>
    <row r="43" spans="1:24">
      <c r="A43" s="54" t="s">
        <v>152</v>
      </c>
      <c r="B43" s="97">
        <v>-211.19159179388885</v>
      </c>
      <c r="D43" s="97">
        <f>+'COMP Prior Yr'!D43</f>
        <v>-117.20289195672966</v>
      </c>
      <c r="E43" s="70"/>
      <c r="F43" s="68">
        <f t="shared" ref="F43:F58" si="0">D43-B43</f>
        <v>93.988699837159189</v>
      </c>
      <c r="G43" s="77"/>
      <c r="H43" s="85">
        <f t="shared" ref="H43:H58" si="1">ROUND((((D43/$B$15)-$B$20)/$B$23)-(((B43/$B$15)-$B$20)/$B$23),4)*10000</f>
        <v>2</v>
      </c>
    </row>
    <row r="44" spans="1:24">
      <c r="A44" s="54" t="s">
        <v>481</v>
      </c>
      <c r="B44" s="97">
        <v>2099</v>
      </c>
      <c r="D44" s="97">
        <f>+'COMP Prior Yr'!D44</f>
        <v>2099</v>
      </c>
      <c r="E44" s="70"/>
      <c r="F44" s="68">
        <f t="shared" si="0"/>
        <v>0</v>
      </c>
      <c r="G44" s="77"/>
      <c r="H44" s="85">
        <f t="shared" si="1"/>
        <v>0</v>
      </c>
      <c r="O44" s="75"/>
    </row>
    <row r="45" spans="1:24">
      <c r="A45" s="54" t="s">
        <v>153</v>
      </c>
      <c r="B45" s="97">
        <v>0</v>
      </c>
      <c r="D45" s="97">
        <f>+'COMP Prior Yr'!D45</f>
        <v>0</v>
      </c>
      <c r="E45" s="70"/>
      <c r="F45" s="68">
        <f t="shared" si="0"/>
        <v>0</v>
      </c>
      <c r="G45" s="77"/>
      <c r="H45" s="85">
        <f t="shared" si="1"/>
        <v>0</v>
      </c>
    </row>
    <row r="46" spans="1:24">
      <c r="A46" s="54" t="s">
        <v>410</v>
      </c>
      <c r="B46" s="97">
        <v>13.49380032495</v>
      </c>
      <c r="D46" s="97">
        <f>+'COMP Prior Yr'!D46</f>
        <v>12.004970063624999</v>
      </c>
      <c r="E46" s="70"/>
      <c r="F46" s="68">
        <f t="shared" si="0"/>
        <v>-1.4888302613250008</v>
      </c>
      <c r="G46" s="77"/>
      <c r="H46" s="85">
        <f t="shared" si="1"/>
        <v>0</v>
      </c>
      <c r="O46" s="145"/>
    </row>
    <row r="47" spans="1:24">
      <c r="A47" s="54" t="s">
        <v>154</v>
      </c>
      <c r="B47" s="70">
        <v>55.440549781956001</v>
      </c>
      <c r="D47" s="70">
        <f>+'COMP Prior Yr'!D47</f>
        <v>59.108476990499994</v>
      </c>
      <c r="E47" s="70"/>
      <c r="F47" s="68">
        <f t="shared" si="0"/>
        <v>3.6679272085439933</v>
      </c>
      <c r="G47" s="77"/>
      <c r="H47" s="85">
        <f t="shared" si="1"/>
        <v>0</v>
      </c>
      <c r="O47" s="144"/>
    </row>
    <row r="48" spans="1:24">
      <c r="A48" s="54" t="s">
        <v>409</v>
      </c>
      <c r="B48" s="70">
        <v>-124.49270623220218</v>
      </c>
      <c r="D48" s="70">
        <f>+'COMP Prior Yr'!D48</f>
        <v>-219.16715458049293</v>
      </c>
      <c r="E48" s="70"/>
      <c r="F48" s="68">
        <f t="shared" si="0"/>
        <v>-94.674448348290753</v>
      </c>
      <c r="G48" s="77"/>
      <c r="H48" s="85">
        <f t="shared" si="1"/>
        <v>-2</v>
      </c>
      <c r="O48" s="145"/>
    </row>
    <row r="49" spans="1:15">
      <c r="A49" s="54" t="s">
        <v>155</v>
      </c>
      <c r="B49" s="70">
        <v>28.161336442258509</v>
      </c>
      <c r="D49" s="70">
        <f>+'COMP Prior Yr'!D49</f>
        <v>43.829762775523193</v>
      </c>
      <c r="E49" s="70"/>
      <c r="F49" s="68">
        <f t="shared" si="0"/>
        <v>15.668426333264684</v>
      </c>
      <c r="G49" s="77"/>
      <c r="H49" s="85">
        <f t="shared" si="1"/>
        <v>0</v>
      </c>
      <c r="O49" s="145"/>
    </row>
    <row r="50" spans="1:15">
      <c r="A50" s="54" t="s">
        <v>156</v>
      </c>
      <c r="B50" s="70">
        <v>4.0233488741340109</v>
      </c>
      <c r="D50" s="70">
        <f>+'COMP Prior Yr'!D50</f>
        <v>5.7199476001184992</v>
      </c>
      <c r="E50" s="70"/>
      <c r="F50" s="68">
        <f t="shared" si="0"/>
        <v>1.6965987259844884</v>
      </c>
      <c r="G50" s="77"/>
      <c r="H50" s="85">
        <f t="shared" si="1"/>
        <v>0</v>
      </c>
      <c r="O50" s="144"/>
    </row>
    <row r="51" spans="1:15">
      <c r="A51" s="54" t="s">
        <v>411</v>
      </c>
      <c r="B51" s="70">
        <v>60.114596460999998</v>
      </c>
      <c r="D51" s="70">
        <f>+'COMP Prior Yr'!D51</f>
        <v>0</v>
      </c>
      <c r="E51" s="70"/>
      <c r="F51" s="68">
        <f t="shared" si="0"/>
        <v>-60.114596460999998</v>
      </c>
      <c r="G51" s="77"/>
      <c r="H51" s="85">
        <f t="shared" si="1"/>
        <v>-1</v>
      </c>
    </row>
    <row r="52" spans="1:15">
      <c r="A52" s="105" t="s">
        <v>412</v>
      </c>
      <c r="B52" s="70">
        <v>0</v>
      </c>
      <c r="D52" s="70">
        <f>+'COMP Prior Yr'!D52</f>
        <v>0</v>
      </c>
      <c r="E52" s="70"/>
      <c r="F52" s="68">
        <f t="shared" si="0"/>
        <v>0</v>
      </c>
      <c r="G52" s="77"/>
      <c r="H52" s="85">
        <f t="shared" si="1"/>
        <v>0</v>
      </c>
    </row>
    <row r="53" spans="1:15">
      <c r="A53" s="694" t="s">
        <v>536</v>
      </c>
      <c r="B53" s="70">
        <v>-81.917834909058001</v>
      </c>
      <c r="D53" s="70">
        <f>+'COMP Prior Yr'!D53</f>
        <v>-87.940603800000005</v>
      </c>
      <c r="E53" s="70"/>
      <c r="F53" s="68">
        <f>D53-B53</f>
        <v>-6.0227688909420038</v>
      </c>
      <c r="G53" s="77"/>
      <c r="H53" s="85">
        <f>ROUND((((D53/$B$15)-$B$20)/$B$23)-(((B53/$B$15)-$B$20)/$B$23),4)*10000</f>
        <v>0</v>
      </c>
    </row>
    <row r="54" spans="1:15">
      <c r="A54" s="105" t="s">
        <v>157</v>
      </c>
      <c r="B54" s="70">
        <v>0</v>
      </c>
      <c r="D54" s="70">
        <f>+'COMP Prior Yr'!D54</f>
        <v>0</v>
      </c>
      <c r="E54" s="70"/>
      <c r="F54" s="68">
        <f t="shared" si="0"/>
        <v>0</v>
      </c>
      <c r="G54" s="77"/>
      <c r="H54" s="85">
        <f t="shared" si="1"/>
        <v>0</v>
      </c>
    </row>
    <row r="55" spans="1:15">
      <c r="A55" s="54" t="s">
        <v>532</v>
      </c>
      <c r="B55" s="70">
        <v>2.1133890277269529E-4</v>
      </c>
      <c r="D55" s="70">
        <f>+'COMP Prior Yr'!D55</f>
        <v>-2.1649950008395535E-4</v>
      </c>
      <c r="E55" s="70"/>
      <c r="F55" s="68">
        <f t="shared" si="0"/>
        <v>-4.2783840285665065E-4</v>
      </c>
      <c r="G55" s="77"/>
      <c r="H55" s="85">
        <f t="shared" si="1"/>
        <v>0</v>
      </c>
    </row>
    <row r="56" spans="1:15">
      <c r="A56" s="54" t="s">
        <v>533</v>
      </c>
      <c r="B56" s="70">
        <v>-5844.4249241964008</v>
      </c>
      <c r="D56" s="70">
        <f>+'COMP Prior Yr'!D56</f>
        <v>-3164.0028272999998</v>
      </c>
      <c r="E56" s="70"/>
      <c r="F56" s="68">
        <f t="shared" si="0"/>
        <v>2680.4220968964009</v>
      </c>
      <c r="G56" s="77"/>
      <c r="H56" s="85">
        <f t="shared" si="1"/>
        <v>46</v>
      </c>
    </row>
    <row r="57" spans="1:15" ht="15.2" customHeight="1">
      <c r="A57" s="54" t="s">
        <v>510</v>
      </c>
      <c r="B57" s="71">
        <v>0</v>
      </c>
      <c r="D57" s="71">
        <f>+'COMP Prior Yr'!D57</f>
        <v>0</v>
      </c>
      <c r="E57" s="70"/>
      <c r="F57" s="99">
        <f t="shared" si="0"/>
        <v>0</v>
      </c>
      <c r="H57" s="85">
        <f t="shared" si="1"/>
        <v>0</v>
      </c>
    </row>
    <row r="58" spans="1:15" ht="15.2" customHeight="1">
      <c r="A58" s="54" t="s">
        <v>508</v>
      </c>
      <c r="B58" s="70">
        <v>-3970.000441326747</v>
      </c>
      <c r="D58" s="70">
        <f>+'COMP Prior Yr'!D58</f>
        <v>-1339.3859250827747</v>
      </c>
      <c r="E58" s="70"/>
      <c r="F58" s="68">
        <f t="shared" si="0"/>
        <v>2630.6145162439725</v>
      </c>
      <c r="H58" s="85">
        <f t="shared" si="1"/>
        <v>45</v>
      </c>
    </row>
  </sheetData>
  <mergeCells count="4">
    <mergeCell ref="A1:H1"/>
    <mergeCell ref="A2:H2"/>
    <mergeCell ref="A3:H3"/>
    <mergeCell ref="A4:H4"/>
  </mergeCells>
  <conditionalFormatting sqref="K31:K37 K15:K25">
    <cfRule type="cellIs" dxfId="1" priority="1" stopIfTrue="1" operator="equal">
      <formula>0</formula>
    </cfRule>
    <cfRule type="cellIs" dxfId="0" priority="2" stopIfTrue="1" operator="notEqual">
      <formula>0</formula>
    </cfRule>
  </conditionalFormatting>
  <printOptions horizontalCentered="1"/>
  <pageMargins left="0.5" right="0.5" top="0.5" bottom="0.5" header="0.5" footer="0.25"/>
  <pageSetup scale="82" orientation="portrait" r:id="rId1"/>
  <headerFooter>
    <oddFooter>&amp;Z&amp;F</oddFooter>
  </headerFooter>
  <customProperties>
    <customPr name="_pios_id" r:id="rId2"/>
    <customPr name="EpmWorksheetKeyString_GUID" r:id="rId3"/>
  </customPropertie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002060"/>
    <pageSetUpPr fitToPage="1"/>
  </sheetPr>
  <dimension ref="A1:FG131"/>
  <sheetViews>
    <sheetView zoomScale="85" zoomScaleNormal="85" workbookViewId="0">
      <pane xSplit="136" ySplit="9" topLeftCell="EL51" activePane="bottomRight" state="frozen"/>
      <selection pane="topRight" activeCell="EG1" sqref="EG1"/>
      <selection pane="bottomLeft" activeCell="A10" sqref="A10"/>
      <selection pane="bottomRight" activeCell="FA41" sqref="FA41"/>
    </sheetView>
  </sheetViews>
  <sheetFormatPr defaultRowHeight="12.75"/>
  <cols>
    <col min="1" max="1" width="66.5703125" bestFit="1" customWidth="1"/>
    <col min="2" max="2" width="11.42578125" hidden="1" customWidth="1"/>
    <col min="3" max="5" width="14.42578125" hidden="1" customWidth="1"/>
    <col min="6" max="12" width="13.5703125" hidden="1" customWidth="1"/>
    <col min="13" max="13" width="11.85546875" hidden="1" customWidth="1"/>
    <col min="14" max="14" width="13.5703125" hidden="1" customWidth="1"/>
    <col min="15" max="15" width="11.5703125" hidden="1" customWidth="1"/>
    <col min="16" max="16" width="12.85546875" hidden="1" customWidth="1"/>
    <col min="17" max="19" width="11.5703125" hidden="1" customWidth="1"/>
    <col min="20" max="20" width="12.85546875" hidden="1" customWidth="1"/>
    <col min="21" max="30" width="11.5703125" hidden="1" customWidth="1"/>
    <col min="31" max="31" width="12.5703125" hidden="1" customWidth="1"/>
    <col min="32" max="32" width="12.42578125" hidden="1" customWidth="1"/>
    <col min="33" max="35" width="11.5703125" hidden="1" customWidth="1"/>
    <col min="36" max="36" width="14" hidden="1" customWidth="1"/>
    <col min="37" max="38" width="10.5703125" hidden="1" customWidth="1"/>
    <col min="39" max="118" width="11.42578125" hidden="1" customWidth="1"/>
    <col min="119" max="126" width="12.42578125" hidden="1" customWidth="1"/>
    <col min="127" max="141" width="14.5703125" hidden="1" customWidth="1"/>
    <col min="142" max="145" width="12.28515625" hidden="1" customWidth="1"/>
    <col min="146" max="158" width="14.5703125" customWidth="1"/>
    <col min="160" max="160" width="12.28515625" bestFit="1" customWidth="1"/>
    <col min="164" max="164" width="11.5703125" bestFit="1" customWidth="1"/>
  </cols>
  <sheetData>
    <row r="1" spans="1:160">
      <c r="A1" s="979" t="s">
        <v>2608</v>
      </c>
      <c r="C1" s="28"/>
    </row>
    <row r="2" spans="1:160">
      <c r="A2" s="980" t="s">
        <v>2893</v>
      </c>
      <c r="C2" s="28"/>
    </row>
    <row r="3" spans="1:160">
      <c r="A3" s="17" t="s">
        <v>2609</v>
      </c>
      <c r="C3" s="28"/>
    </row>
    <row r="4" spans="1:160">
      <c r="A4" s="980" t="s">
        <v>2894</v>
      </c>
      <c r="C4" s="28"/>
    </row>
    <row r="5" spans="1:160" ht="12.75" customHeight="1">
      <c r="A5" s="17" t="s">
        <v>2610</v>
      </c>
    </row>
    <row r="6" spans="1:160" ht="12.75" customHeight="1">
      <c r="A6" s="980">
        <v>44926</v>
      </c>
    </row>
    <row r="7" spans="1:160">
      <c r="A7" s="940"/>
      <c r="B7" s="941"/>
      <c r="C7" s="941"/>
      <c r="D7" s="941"/>
      <c r="E7" s="941"/>
      <c r="F7" s="941"/>
      <c r="G7" s="941"/>
      <c r="H7" s="941"/>
      <c r="I7" s="941"/>
      <c r="J7" s="941"/>
      <c r="K7" s="941"/>
      <c r="L7" s="941"/>
      <c r="M7" s="941"/>
      <c r="N7" s="941"/>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4"/>
      <c r="CD7" s="104"/>
      <c r="CE7" s="104"/>
      <c r="CF7" s="104"/>
      <c r="CG7" s="104"/>
      <c r="CH7" s="104"/>
      <c r="CI7" s="104"/>
      <c r="CJ7" s="104"/>
      <c r="CK7" s="104"/>
      <c r="CL7" s="104"/>
      <c r="CM7" s="104"/>
      <c r="CN7" s="104"/>
      <c r="CO7" s="104"/>
      <c r="CP7" s="104"/>
      <c r="CQ7" s="104"/>
      <c r="CR7" s="104"/>
      <c r="CS7" s="104"/>
      <c r="CT7" s="104"/>
      <c r="CU7" s="104"/>
      <c r="CV7" s="104"/>
      <c r="CW7" s="104"/>
      <c r="CX7" s="104"/>
      <c r="CY7" s="104"/>
      <c r="CZ7" s="104"/>
      <c r="DA7" s="104"/>
      <c r="DB7" s="104"/>
      <c r="DC7" s="104"/>
      <c r="DD7" s="104"/>
      <c r="DE7" s="104"/>
      <c r="DF7" s="104"/>
      <c r="DG7" s="104"/>
      <c r="DH7" s="104"/>
      <c r="DI7" s="104"/>
      <c r="DJ7" s="104"/>
      <c r="DK7" s="104"/>
      <c r="DL7" s="104"/>
      <c r="DM7" s="104"/>
      <c r="DN7" s="104"/>
      <c r="DO7" s="104"/>
      <c r="DP7" s="104"/>
      <c r="DQ7" s="104"/>
      <c r="DR7" s="104"/>
      <c r="DS7" s="104"/>
      <c r="DT7" s="104"/>
      <c r="DU7" s="104"/>
      <c r="DV7" s="104"/>
      <c r="DW7" s="104"/>
      <c r="DX7" s="104"/>
      <c r="DY7" s="104"/>
      <c r="DZ7" s="104"/>
      <c r="EA7" s="104"/>
      <c r="EB7" s="104"/>
      <c r="EC7" s="104"/>
      <c r="ED7" s="104"/>
      <c r="EE7" s="104"/>
      <c r="EF7" s="104"/>
      <c r="EG7" s="104"/>
      <c r="EH7" s="104"/>
      <c r="EI7" s="104"/>
      <c r="EJ7" s="104"/>
      <c r="EK7" s="104"/>
      <c r="EL7" s="104"/>
      <c r="EM7" s="104"/>
      <c r="EN7" s="104"/>
      <c r="EO7" s="104"/>
      <c r="EP7" s="104"/>
      <c r="EQ7" s="104"/>
      <c r="ER7" s="104"/>
      <c r="ES7" s="104"/>
      <c r="ET7" s="104"/>
      <c r="EU7" s="104"/>
      <c r="EV7" s="104"/>
      <c r="EW7" s="104"/>
      <c r="EX7" s="104"/>
      <c r="EY7" s="104"/>
      <c r="EZ7" s="104"/>
      <c r="FA7" s="104"/>
      <c r="FB7" s="104"/>
    </row>
    <row r="8" spans="1:160">
      <c r="A8" s="981" t="s">
        <v>2612</v>
      </c>
      <c r="B8" s="982" t="s">
        <v>2611</v>
      </c>
      <c r="C8" s="982" t="s">
        <v>2611</v>
      </c>
      <c r="D8" s="983"/>
      <c r="E8" s="983"/>
      <c r="F8" s="983"/>
      <c r="G8" s="983"/>
      <c r="H8" s="983"/>
      <c r="I8" s="983"/>
      <c r="J8" s="983"/>
      <c r="K8" s="983"/>
      <c r="L8" s="983"/>
      <c r="M8" s="983"/>
      <c r="N8" s="983"/>
      <c r="O8" s="983"/>
      <c r="P8" s="983"/>
      <c r="Q8" s="983"/>
      <c r="R8" s="983"/>
      <c r="S8" s="983"/>
      <c r="T8" s="983"/>
      <c r="U8" s="983"/>
      <c r="V8" s="983"/>
      <c r="W8" s="983"/>
      <c r="X8" s="983"/>
      <c r="Y8" s="983"/>
      <c r="Z8" s="983"/>
      <c r="AA8" s="983"/>
      <c r="AB8" s="983"/>
      <c r="AC8" s="983"/>
      <c r="AD8" s="983"/>
      <c r="AE8" s="983"/>
      <c r="AF8" s="983"/>
      <c r="AG8" s="983"/>
      <c r="AH8" s="983"/>
      <c r="AI8" s="983"/>
      <c r="AJ8" s="983"/>
      <c r="AK8" s="983"/>
      <c r="AL8" s="983"/>
      <c r="AM8" s="983"/>
      <c r="AN8" s="983"/>
      <c r="AO8" s="983"/>
      <c r="AP8" s="983"/>
      <c r="AQ8" s="983"/>
      <c r="AR8" s="983"/>
      <c r="AS8" s="983"/>
      <c r="AT8" s="983"/>
      <c r="AU8" s="983"/>
      <c r="AV8" s="983"/>
      <c r="AW8" s="983"/>
      <c r="AX8" s="983"/>
      <c r="AY8" s="983"/>
      <c r="AZ8" s="983"/>
      <c r="BA8" s="984"/>
      <c r="BB8" s="984"/>
      <c r="BC8" s="984"/>
      <c r="BD8" s="984"/>
      <c r="BE8" s="984"/>
      <c r="BF8" s="984"/>
      <c r="BG8" s="984"/>
      <c r="BH8" s="984"/>
      <c r="BI8" s="984"/>
      <c r="BJ8" s="984"/>
      <c r="BK8" s="984"/>
      <c r="BL8" s="984"/>
      <c r="BM8" s="984"/>
      <c r="BN8" s="984"/>
      <c r="BO8" s="984"/>
      <c r="BP8" s="984"/>
      <c r="BQ8" s="984"/>
      <c r="BR8" s="984"/>
      <c r="BS8" s="984"/>
      <c r="BT8" s="984"/>
      <c r="BU8" s="984"/>
      <c r="BV8" s="984"/>
      <c r="BW8" s="984"/>
      <c r="BX8" s="984"/>
      <c r="BY8" s="984"/>
      <c r="BZ8" s="984"/>
      <c r="CA8" s="984"/>
      <c r="CB8" s="984"/>
      <c r="CC8" s="984"/>
      <c r="CD8" s="984"/>
      <c r="CE8" s="984"/>
      <c r="CF8" s="984"/>
      <c r="CG8" s="984"/>
      <c r="CH8" s="984"/>
      <c r="CI8" s="984"/>
      <c r="CJ8" s="984"/>
      <c r="CK8" s="984"/>
      <c r="CL8" s="984"/>
      <c r="CM8" s="984"/>
      <c r="CN8" s="984"/>
      <c r="CO8" s="984"/>
      <c r="CP8" s="984"/>
      <c r="CQ8" s="984"/>
      <c r="CR8" s="984"/>
      <c r="CS8" s="984"/>
      <c r="CT8" s="984"/>
      <c r="CU8" s="984"/>
      <c r="CV8" s="984"/>
      <c r="CW8" s="984"/>
      <c r="CX8" s="984"/>
      <c r="CY8" s="984"/>
      <c r="CZ8" s="984"/>
      <c r="DA8" s="984"/>
      <c r="DB8" s="984"/>
      <c r="DC8" s="984"/>
      <c r="DD8" s="984"/>
      <c r="DE8" s="984"/>
      <c r="DF8" s="984"/>
      <c r="DG8" s="984"/>
      <c r="DH8" s="984"/>
      <c r="DI8" s="984"/>
      <c r="DJ8" s="984"/>
      <c r="DK8" s="984"/>
      <c r="DL8" s="984"/>
      <c r="DM8" s="984"/>
      <c r="DN8" s="984"/>
      <c r="DO8" s="984"/>
      <c r="DP8" s="984"/>
      <c r="DQ8" s="984"/>
      <c r="DR8" s="984"/>
      <c r="DS8" s="984"/>
      <c r="DT8" s="984"/>
      <c r="DU8" s="984"/>
      <c r="DV8" s="984"/>
      <c r="DW8" s="984"/>
      <c r="DX8" s="981"/>
      <c r="DY8" s="981"/>
      <c r="DZ8" s="981"/>
      <c r="EA8" s="981"/>
      <c r="EB8" s="981"/>
      <c r="EC8" s="981"/>
      <c r="ED8" s="981"/>
      <c r="EE8" s="981"/>
      <c r="EF8" s="981"/>
      <c r="EG8" s="981"/>
      <c r="EH8" s="981"/>
      <c r="EI8" s="981"/>
      <c r="EJ8" s="981"/>
      <c r="EK8" s="981"/>
      <c r="EL8" s="981"/>
      <c r="EM8" s="981"/>
      <c r="EN8" s="981"/>
      <c r="EO8" s="981"/>
      <c r="EP8" s="981"/>
      <c r="EQ8" s="981"/>
      <c r="ER8" s="981"/>
      <c r="ES8" s="981"/>
      <c r="ET8" s="981"/>
      <c r="EU8" s="981"/>
      <c r="EV8" s="981"/>
      <c r="EW8" s="981"/>
      <c r="EX8" s="981"/>
      <c r="EY8" s="981"/>
      <c r="EZ8" s="981"/>
      <c r="FA8" s="981"/>
      <c r="FB8" s="981"/>
    </row>
    <row r="9" spans="1:160">
      <c r="A9" s="985"/>
      <c r="B9" s="986"/>
      <c r="C9" s="986"/>
      <c r="D9" s="987"/>
      <c r="E9" s="987"/>
      <c r="F9" s="987"/>
      <c r="G9" s="987"/>
      <c r="H9" s="987"/>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8"/>
      <c r="BB9" s="988"/>
      <c r="BC9" s="988"/>
      <c r="BD9" s="988"/>
      <c r="BE9" s="988"/>
      <c r="BF9" s="988"/>
      <c r="BG9" s="988"/>
      <c r="BH9" s="988"/>
      <c r="BI9" s="988"/>
      <c r="BJ9" s="988"/>
      <c r="BK9" s="988"/>
      <c r="BL9" s="988"/>
      <c r="BM9" s="988"/>
      <c r="BN9" s="988"/>
      <c r="BO9" s="988"/>
      <c r="BP9" s="988"/>
      <c r="BQ9" s="988"/>
      <c r="BR9" s="988"/>
      <c r="BS9" s="988"/>
      <c r="BT9" s="988"/>
      <c r="BU9" s="988"/>
      <c r="BV9" s="988"/>
      <c r="BW9" s="988"/>
      <c r="BX9" s="988"/>
      <c r="BY9" s="988"/>
      <c r="BZ9" s="988"/>
      <c r="CA9" s="988"/>
      <c r="CB9" s="988"/>
      <c r="CC9" s="988"/>
      <c r="CD9" s="988"/>
      <c r="CE9" s="988"/>
      <c r="CF9" s="988"/>
      <c r="CG9" s="988"/>
      <c r="CH9" s="988"/>
      <c r="CI9" s="988"/>
      <c r="CJ9" s="988"/>
      <c r="CK9" s="988"/>
      <c r="CL9" s="988"/>
      <c r="CM9" s="988"/>
      <c r="CN9" s="988"/>
      <c r="CO9" s="988"/>
      <c r="CP9" s="988"/>
      <c r="CQ9" s="988"/>
      <c r="CR9" s="988"/>
      <c r="CS9" s="988"/>
      <c r="CT9" s="988"/>
      <c r="CU9" s="988"/>
      <c r="CV9" s="988"/>
      <c r="CW9" s="988"/>
      <c r="CX9" s="988"/>
      <c r="CY9" s="988"/>
      <c r="CZ9" s="988"/>
      <c r="DA9" s="988"/>
      <c r="DB9" s="988"/>
      <c r="DC9" s="988"/>
      <c r="DD9" s="988"/>
      <c r="DE9" s="988"/>
      <c r="DF9" s="988"/>
      <c r="DG9" s="988"/>
      <c r="DH9" s="988"/>
      <c r="DI9" s="988"/>
      <c r="DJ9" s="988"/>
      <c r="DK9" s="988"/>
      <c r="DL9" s="988"/>
      <c r="DM9" s="988"/>
      <c r="DN9" s="988"/>
      <c r="DO9" s="988"/>
      <c r="DP9" s="988"/>
      <c r="DQ9" s="988"/>
      <c r="DR9" s="988"/>
      <c r="DS9" s="988"/>
      <c r="DT9" s="988"/>
      <c r="DU9" s="988"/>
      <c r="DV9" s="988"/>
      <c r="DW9" s="988"/>
      <c r="DX9" s="989" t="s">
        <v>2504</v>
      </c>
      <c r="DY9" s="989" t="s">
        <v>2519</v>
      </c>
      <c r="DZ9" s="989" t="s">
        <v>2520</v>
      </c>
      <c r="EA9" s="989" t="s">
        <v>2521</v>
      </c>
      <c r="EB9" s="989" t="s">
        <v>2542</v>
      </c>
      <c r="EC9" s="989" t="s">
        <v>2543</v>
      </c>
      <c r="ED9" s="989" t="s">
        <v>2544</v>
      </c>
      <c r="EE9" s="989" t="s">
        <v>2568</v>
      </c>
      <c r="EF9" s="989" t="s">
        <v>2569</v>
      </c>
      <c r="EG9" s="989" t="s">
        <v>2570</v>
      </c>
      <c r="EH9" s="989" t="s">
        <v>2658</v>
      </c>
      <c r="EI9" s="989" t="s">
        <v>2659</v>
      </c>
      <c r="EJ9" s="989" t="s">
        <v>2660</v>
      </c>
      <c r="EK9" s="989" t="s">
        <v>2692</v>
      </c>
      <c r="EL9" s="989" t="s">
        <v>2691</v>
      </c>
      <c r="EM9" s="989" t="s">
        <v>2693</v>
      </c>
      <c r="EN9" s="989" t="s">
        <v>2707</v>
      </c>
      <c r="EO9" s="989" t="s">
        <v>2708</v>
      </c>
      <c r="EP9" s="989" t="s">
        <v>2709</v>
      </c>
      <c r="EQ9" s="989" t="s">
        <v>2836</v>
      </c>
      <c r="ER9" s="989" t="s">
        <v>2837</v>
      </c>
      <c r="ES9" s="989" t="s">
        <v>2838</v>
      </c>
      <c r="ET9" s="989" t="s">
        <v>2860</v>
      </c>
      <c r="EU9" s="989" t="s">
        <v>2861</v>
      </c>
      <c r="EV9" s="989" t="s">
        <v>2862</v>
      </c>
      <c r="EW9" s="989" t="s">
        <v>2880</v>
      </c>
      <c r="EX9" s="989" t="s">
        <v>2881</v>
      </c>
      <c r="EY9" s="989" t="s">
        <v>2882</v>
      </c>
      <c r="EZ9" s="989" t="s">
        <v>2895</v>
      </c>
      <c r="FA9" s="989" t="s">
        <v>2896</v>
      </c>
      <c r="FB9" s="989" t="s">
        <v>2897</v>
      </c>
    </row>
    <row r="10" spans="1:160">
      <c r="A10" s="993" t="s">
        <v>2620</v>
      </c>
      <c r="B10" s="40">
        <v>3065031</v>
      </c>
      <c r="C10" s="40">
        <v>2970123</v>
      </c>
      <c r="D10" s="102">
        <v>2885478</v>
      </c>
      <c r="E10" s="102">
        <v>2932233</v>
      </c>
      <c r="F10" s="102">
        <v>2952298</v>
      </c>
      <c r="G10" s="102">
        <v>2955399</v>
      </c>
      <c r="H10" s="102">
        <v>3007865</v>
      </c>
      <c r="I10" s="102">
        <v>3070451</v>
      </c>
      <c r="J10" s="102">
        <v>3121258</v>
      </c>
      <c r="K10" s="102">
        <v>3153533</v>
      </c>
      <c r="L10" s="102">
        <v>3345743</v>
      </c>
      <c r="M10" s="102">
        <v>3345164</v>
      </c>
      <c r="N10" s="102">
        <v>3278567.71</v>
      </c>
      <c r="O10" s="102">
        <v>3174497</v>
      </c>
      <c r="P10" s="102">
        <v>3116853</v>
      </c>
      <c r="Q10" s="102">
        <v>3212529</v>
      </c>
      <c r="R10" s="102">
        <v>3212097</v>
      </c>
      <c r="S10" s="102">
        <v>3215571</v>
      </c>
      <c r="T10" s="102">
        <v>3214735</v>
      </c>
      <c r="U10" s="102">
        <v>3200403.86</v>
      </c>
      <c r="V10" s="102">
        <v>3208317</v>
      </c>
      <c r="W10" s="102">
        <v>3210660.57</v>
      </c>
      <c r="X10" s="156">
        <v>3485440.54</v>
      </c>
      <c r="Y10" s="156">
        <v>3572887.12</v>
      </c>
      <c r="Z10" s="156">
        <v>3535378.56</v>
      </c>
      <c r="AA10" s="156">
        <v>3464644.48</v>
      </c>
      <c r="AB10" s="156">
        <v>3431812.21</v>
      </c>
      <c r="AC10" s="156">
        <v>3414517.53</v>
      </c>
      <c r="AD10" s="156">
        <v>3491014.32</v>
      </c>
      <c r="AE10" s="156">
        <v>3481535.36</v>
      </c>
      <c r="AF10" s="156">
        <v>3480772.62</v>
      </c>
      <c r="AG10" s="156">
        <v>3501815.52</v>
      </c>
      <c r="AH10" s="156">
        <v>3551366.49</v>
      </c>
      <c r="AI10" s="231">
        <v>3549325.2</v>
      </c>
      <c r="AJ10" s="231">
        <v>3849020.39</v>
      </c>
      <c r="AK10" s="231">
        <v>3951345.78</v>
      </c>
      <c r="AL10" s="231">
        <v>4106799.3</v>
      </c>
      <c r="AM10" s="231">
        <v>4242795.42</v>
      </c>
      <c r="AN10" s="231">
        <v>4355862.8099999996</v>
      </c>
      <c r="AO10" s="231">
        <v>4420155.7</v>
      </c>
      <c r="AP10" s="231">
        <v>4020256.73</v>
      </c>
      <c r="AQ10" s="231">
        <v>4117695.46</v>
      </c>
      <c r="AR10" s="231">
        <v>4177535.79</v>
      </c>
      <c r="AS10" s="231">
        <v>4253126.66</v>
      </c>
      <c r="AT10" s="231">
        <v>4231796.75</v>
      </c>
      <c r="AU10" s="231">
        <v>4195265.03</v>
      </c>
      <c r="AV10" s="231">
        <v>4454688.67</v>
      </c>
      <c r="AW10" s="231">
        <v>4327185.0599999996</v>
      </c>
      <c r="AX10" s="231">
        <v>4149218.8399999994</v>
      </c>
      <c r="AY10" s="379">
        <v>3881649.9</v>
      </c>
      <c r="AZ10" s="379">
        <v>3595984.45</v>
      </c>
      <c r="BA10" s="379">
        <v>3356242.61</v>
      </c>
      <c r="BB10" s="379">
        <v>3153815.07</v>
      </c>
      <c r="BC10" s="379">
        <v>2998600.52</v>
      </c>
      <c r="BD10" s="379">
        <v>2846062.38</v>
      </c>
      <c r="BE10" s="379">
        <v>2754013.64</v>
      </c>
      <c r="BF10" s="379">
        <v>2695425.26</v>
      </c>
      <c r="BG10" s="379">
        <v>2593528.2999999998</v>
      </c>
      <c r="BH10" s="379">
        <v>2832302.36</v>
      </c>
      <c r="BI10" s="379">
        <v>2822611.69</v>
      </c>
      <c r="BJ10" s="379">
        <v>2791257.34</v>
      </c>
      <c r="BK10" s="379">
        <v>2733301.01</v>
      </c>
      <c r="BL10" s="379">
        <v>2656755.98</v>
      </c>
      <c r="BM10" s="379">
        <v>2587102.0099999998</v>
      </c>
      <c r="BN10" s="379">
        <v>2549200.44</v>
      </c>
      <c r="BO10" s="379">
        <v>2538827.5</v>
      </c>
      <c r="BP10" s="379">
        <v>2506040.91</v>
      </c>
      <c r="BQ10" s="379">
        <v>2480624.2599999998</v>
      </c>
      <c r="BR10" s="379">
        <v>2461141.5499999998</v>
      </c>
      <c r="BS10" s="379">
        <v>2444276.2400000002</v>
      </c>
      <c r="BT10" s="379">
        <v>2630639.09</v>
      </c>
      <c r="BU10" s="379">
        <v>2626735.1800000002</v>
      </c>
      <c r="BV10" s="405">
        <v>2616417.9900000002</v>
      </c>
      <c r="BW10" s="405">
        <v>2600383.5099999998</v>
      </c>
      <c r="BX10" s="405">
        <v>2555116.81</v>
      </c>
      <c r="BY10" s="405">
        <v>2543852.42</v>
      </c>
      <c r="BZ10" s="405">
        <v>2534897.92</v>
      </c>
      <c r="CA10" s="405">
        <v>2528328.54</v>
      </c>
      <c r="CB10" s="405">
        <v>2532623.12</v>
      </c>
      <c r="CC10" s="405">
        <v>2517883.4900000002</v>
      </c>
      <c r="CD10" s="405">
        <v>2537883.17</v>
      </c>
      <c r="CE10" s="405">
        <v>2543247.84</v>
      </c>
      <c r="CF10" s="405">
        <v>2725589.12</v>
      </c>
      <c r="CG10" s="405">
        <v>2731782.47</v>
      </c>
      <c r="CH10" s="405">
        <v>2726753.03</v>
      </c>
      <c r="CI10" s="405">
        <v>2715133.36</v>
      </c>
      <c r="CJ10" s="405">
        <v>2685800.75</v>
      </c>
      <c r="CK10" s="405">
        <v>2695731.94</v>
      </c>
      <c r="CL10" s="405">
        <v>2688156.83</v>
      </c>
      <c r="CM10" s="405">
        <v>2698362.17</v>
      </c>
      <c r="CN10" s="405">
        <v>2695538.46</v>
      </c>
      <c r="CO10" s="405">
        <v>2698530.13</v>
      </c>
      <c r="CP10" s="405">
        <v>2712868.69</v>
      </c>
      <c r="CQ10" s="405">
        <v>2678963.89</v>
      </c>
      <c r="CR10" s="405">
        <v>2881127.79</v>
      </c>
      <c r="CS10" s="405">
        <v>2884220.64</v>
      </c>
      <c r="CT10" s="405">
        <v>2885477.71</v>
      </c>
      <c r="CU10" s="405">
        <v>2806305.95</v>
      </c>
      <c r="CV10" s="405">
        <v>2706387.5</v>
      </c>
      <c r="CW10" s="405">
        <v>2727131.46</v>
      </c>
      <c r="CX10" s="405">
        <v>2707613.49</v>
      </c>
      <c r="CY10" s="405">
        <v>2709115.34</v>
      </c>
      <c r="CZ10" s="405">
        <v>2702704.39</v>
      </c>
      <c r="DA10" s="405">
        <v>2704507.73</v>
      </c>
      <c r="DB10" s="405">
        <v>2702358.66</v>
      </c>
      <c r="DC10" s="405">
        <v>2685662.23</v>
      </c>
      <c r="DD10" s="405">
        <v>2884730.31</v>
      </c>
      <c r="DE10" s="405">
        <v>2871545.31</v>
      </c>
      <c r="DF10" s="405">
        <v>3047398.14</v>
      </c>
      <c r="DG10" s="405">
        <v>2968833.26</v>
      </c>
      <c r="DH10" s="405">
        <v>2931366.27</v>
      </c>
      <c r="DI10" s="405">
        <v>2907963.42</v>
      </c>
      <c r="DJ10" s="405">
        <v>2863286.67</v>
      </c>
      <c r="DK10" s="405">
        <v>2868711.93</v>
      </c>
      <c r="DL10" s="405">
        <v>2846804.47</v>
      </c>
      <c r="DM10" s="405">
        <v>2853585.55</v>
      </c>
      <c r="DN10" s="405">
        <v>2785230.28</v>
      </c>
      <c r="DO10" s="405">
        <v>2856522.46</v>
      </c>
      <c r="DP10" s="405">
        <v>3074698.81</v>
      </c>
      <c r="DQ10" s="405">
        <v>3065884.64</v>
      </c>
      <c r="DR10" s="405">
        <v>3035607.81</v>
      </c>
      <c r="DS10" s="405">
        <v>2981636.98</v>
      </c>
      <c r="DT10" s="405">
        <v>2949472.71</v>
      </c>
      <c r="DU10" s="405">
        <v>2914420.77</v>
      </c>
      <c r="DV10" s="405">
        <v>2955122.67</v>
      </c>
      <c r="DW10" s="405">
        <v>3017050.97</v>
      </c>
      <c r="DX10" s="187">
        <v>3017741.43</v>
      </c>
      <c r="DY10" s="187">
        <v>3007112.01</v>
      </c>
      <c r="DZ10" s="187">
        <v>3039422.32</v>
      </c>
      <c r="EA10" s="187">
        <v>3065669.68</v>
      </c>
      <c r="EB10" s="187">
        <v>3290228.97</v>
      </c>
      <c r="EC10" s="187">
        <v>3277817.81</v>
      </c>
      <c r="ED10" s="187">
        <v>3237878.87</v>
      </c>
      <c r="EE10" s="187">
        <v>3208927.07</v>
      </c>
      <c r="EF10" s="187">
        <v>3177923.51</v>
      </c>
      <c r="EG10" s="187">
        <v>3265234.2</v>
      </c>
      <c r="EH10" s="187">
        <v>3289735.79</v>
      </c>
      <c r="EI10" s="187">
        <v>3370157.54</v>
      </c>
      <c r="EJ10" s="187">
        <v>3449867.3</v>
      </c>
      <c r="EK10" s="187">
        <v>3507792.7</v>
      </c>
      <c r="EL10" s="187">
        <v>3572579</v>
      </c>
      <c r="EM10" s="187">
        <v>3613025.2</v>
      </c>
      <c r="EN10" s="187">
        <v>3939284.26</v>
      </c>
      <c r="EO10" s="187">
        <v>3921548.21</v>
      </c>
      <c r="EP10" s="187">
        <v>3752772.99</v>
      </c>
      <c r="EQ10" s="187">
        <v>3769639.75</v>
      </c>
      <c r="ER10" s="187">
        <v>3708831.04</v>
      </c>
      <c r="ES10" s="187">
        <v>3657458.81</v>
      </c>
      <c r="ET10" s="187">
        <v>3633399.35</v>
      </c>
      <c r="EU10" s="187">
        <v>3480527.59</v>
      </c>
      <c r="EV10" s="187">
        <v>3438173.9</v>
      </c>
      <c r="EW10" s="187">
        <v>3436599.49</v>
      </c>
      <c r="EX10" s="187">
        <v>3485938.45</v>
      </c>
      <c r="EY10" s="187">
        <v>3445167.11</v>
      </c>
      <c r="EZ10" s="1043">
        <f>VLOOKUP("1823070",'Input BS ACCTS'!$A$5:GK$397,110,FALSE)</f>
        <v>3873964.36</v>
      </c>
      <c r="FA10" s="1043">
        <f>VLOOKUP("1823070",'Input BS ACCTS'!$A$5:GL$397,111,FALSE)</f>
        <v>3845173.79</v>
      </c>
      <c r="FB10" s="1043">
        <f>VLOOKUP("1823070",'Input BS ACCTS'!$A$5:GM$397,112,FALSE)</f>
        <v>3792773.34</v>
      </c>
      <c r="FD10" s="104">
        <f>SUM(EQ10:FB10)</f>
        <v>43567646.980000004</v>
      </c>
    </row>
    <row r="11" spans="1:160">
      <c r="A11" s="1000" t="s">
        <v>2634</v>
      </c>
      <c r="B11" s="39">
        <v>3478309.461538462</v>
      </c>
      <c r="C11" s="39">
        <v>3364757.923076923</v>
      </c>
      <c r="D11" s="101">
        <v>3244695.230769231</v>
      </c>
      <c r="E11" s="101">
        <v>3159811</v>
      </c>
      <c r="F11" s="101">
        <v>3093021.769230769</v>
      </c>
      <c r="G11" s="101">
        <v>3036521.538461538</v>
      </c>
      <c r="H11" s="101">
        <v>2996280.1538461535</v>
      </c>
      <c r="I11" s="101">
        <v>2978706.3846153845</v>
      </c>
      <c r="J11" s="101">
        <v>2978775.7692307695</v>
      </c>
      <c r="K11" s="101">
        <v>2994178.846153846</v>
      </c>
      <c r="L11" s="101">
        <v>3037432.076923077</v>
      </c>
      <c r="M11" s="101">
        <v>3065906.384615385</v>
      </c>
      <c r="N11" s="101">
        <v>3083318.7469230769</v>
      </c>
      <c r="O11" s="101">
        <v>3091739.2084615384</v>
      </c>
      <c r="P11" s="101">
        <v>3103026.1315384614</v>
      </c>
      <c r="Q11" s="101">
        <v>3128183.9007692309</v>
      </c>
      <c r="R11" s="101">
        <v>3149711.9007692309</v>
      </c>
      <c r="S11" s="101">
        <v>3169963.67</v>
      </c>
      <c r="T11" s="101">
        <v>3189912.5930769229</v>
      </c>
      <c r="U11" s="101">
        <v>3204723.2746153846</v>
      </c>
      <c r="V11" s="101">
        <v>3215328.3515384616</v>
      </c>
      <c r="W11" s="101">
        <v>3222205.4723076923</v>
      </c>
      <c r="X11" s="152">
        <v>3247736.8215384614</v>
      </c>
      <c r="Y11" s="152">
        <v>3265209.4461538461</v>
      </c>
      <c r="Z11" s="152">
        <v>3279841.3353846152</v>
      </c>
      <c r="AA11" s="152">
        <v>3294154.9330769228</v>
      </c>
      <c r="AB11" s="152">
        <v>3313948.4107692307</v>
      </c>
      <c r="AC11" s="152">
        <v>3336845.6823076922</v>
      </c>
      <c r="AD11" s="152">
        <v>3358267.63</v>
      </c>
      <c r="AE11" s="152">
        <v>3378993.6576923076</v>
      </c>
      <c r="AF11" s="152">
        <v>3399393.7823076919</v>
      </c>
      <c r="AG11" s="152">
        <v>3421476.8992307689</v>
      </c>
      <c r="AH11" s="152">
        <v>3448474.0246153851</v>
      </c>
      <c r="AI11" s="274">
        <v>3474705.4246153855</v>
      </c>
      <c r="AJ11" s="274">
        <v>3523810.0261538471</v>
      </c>
      <c r="AK11" s="274">
        <v>3559648.8907692311</v>
      </c>
      <c r="AL11" s="274">
        <v>3600719.0584615385</v>
      </c>
      <c r="AM11" s="274">
        <v>3655135.7399999998</v>
      </c>
      <c r="AN11" s="274">
        <v>3723690.9961538459</v>
      </c>
      <c r="AO11" s="274">
        <v>3799717.4184615389</v>
      </c>
      <c r="AP11" s="274">
        <v>3846312.7415384622</v>
      </c>
      <c r="AQ11" s="274">
        <v>3894518.9830769235</v>
      </c>
      <c r="AR11" s="274">
        <v>3948057.4776923084</v>
      </c>
      <c r="AS11" s="274">
        <v>4007469.326923077</v>
      </c>
      <c r="AT11" s="274">
        <v>4063621.7292307685</v>
      </c>
      <c r="AU11" s="274">
        <v>4113152.386153846</v>
      </c>
      <c r="AV11" s="274">
        <v>4182795.7300000009</v>
      </c>
      <c r="AW11" s="274">
        <v>4219577.6276923083</v>
      </c>
      <c r="AX11" s="274">
        <v>4234798.6323076924</v>
      </c>
      <c r="AY11" s="380">
        <v>4217479.4476923076</v>
      </c>
      <c r="AZ11" s="380">
        <v>4167724.7576923077</v>
      </c>
      <c r="BA11" s="380">
        <v>4090830.8961538458</v>
      </c>
      <c r="BB11" s="380">
        <v>3993420.0784615385</v>
      </c>
      <c r="BC11" s="380">
        <v>3914831.1392307696</v>
      </c>
      <c r="BD11" s="380">
        <v>3817013.2100000004</v>
      </c>
      <c r="BE11" s="380">
        <v>3707511.5061538466</v>
      </c>
      <c r="BF11" s="380">
        <v>3587688.3215384614</v>
      </c>
      <c r="BG11" s="380">
        <v>3461667.6715384615</v>
      </c>
      <c r="BH11" s="380">
        <v>3356824.3892307682</v>
      </c>
      <c r="BI11" s="380">
        <v>3231280.0061538452</v>
      </c>
      <c r="BJ11" s="380">
        <v>3113131.7199999997</v>
      </c>
      <c r="BK11" s="380">
        <f t="shared" ref="BK11:BP11" si="0">SUM(AY10:BK10)/13</f>
        <v>3004214.9638461536</v>
      </c>
      <c r="BL11" s="380">
        <f t="shared" si="0"/>
        <v>2909992.3546153847</v>
      </c>
      <c r="BM11" s="380">
        <f t="shared" si="0"/>
        <v>2832386.0130769229</v>
      </c>
      <c r="BN11" s="380">
        <f t="shared" si="0"/>
        <v>2770305.846153846</v>
      </c>
      <c r="BO11" s="380">
        <f t="shared" si="0"/>
        <v>2722999.1100000003</v>
      </c>
      <c r="BP11" s="380">
        <f t="shared" si="0"/>
        <v>2685109.9092307691</v>
      </c>
      <c r="BQ11" s="380">
        <f t="shared" ref="BQ11:BV11" si="1">SUM(BE10:BQ10)/13</f>
        <v>2656999.2846153849</v>
      </c>
      <c r="BR11" s="380">
        <f t="shared" si="1"/>
        <v>2634470.6623076918</v>
      </c>
      <c r="BS11" s="380">
        <f t="shared" si="1"/>
        <v>2615151.5069230767</v>
      </c>
      <c r="BT11" s="380">
        <f t="shared" si="1"/>
        <v>2618006.1830769228</v>
      </c>
      <c r="BU11" s="380">
        <f t="shared" si="1"/>
        <v>2602193.3230769234</v>
      </c>
      <c r="BV11" s="380">
        <f t="shared" si="1"/>
        <v>2586332.2692307686</v>
      </c>
      <c r="BW11" s="380">
        <f>SUM(BK10:BW10)/13</f>
        <v>2571649.6669230764</v>
      </c>
      <c r="BX11" s="380">
        <f>SUM(BL10:BX10)/13</f>
        <v>2557943.1899999995</v>
      </c>
      <c r="BY11" s="380">
        <f>SUM(BM10:BY10)/13</f>
        <v>2549258.3007692299</v>
      </c>
      <c r="BZ11" s="380">
        <f t="shared" ref="BZ11:CE11" si="2">SUM(BN10:BZ10)/13</f>
        <v>2545242.6015384616</v>
      </c>
      <c r="CA11" s="380">
        <f t="shared" si="2"/>
        <v>2543637.0707692304</v>
      </c>
      <c r="CB11" s="380">
        <f t="shared" si="2"/>
        <v>2543159.8107692306</v>
      </c>
      <c r="CC11" s="380">
        <f t="shared" si="2"/>
        <v>2544070.7784615383</v>
      </c>
      <c r="CD11" s="380">
        <f t="shared" si="2"/>
        <v>2548475.31</v>
      </c>
      <c r="CE11" s="380">
        <f t="shared" si="2"/>
        <v>2554791.1784615386</v>
      </c>
      <c r="CF11" s="380">
        <f t="shared" ref="CF11:CW11" si="3">SUM(BT10:CF10)/13</f>
        <v>2576430.6307692309</v>
      </c>
      <c r="CG11" s="380">
        <f t="shared" si="3"/>
        <v>2584210.8907692311</v>
      </c>
      <c r="CH11" s="380">
        <f t="shared" si="3"/>
        <v>2591904.5715384623</v>
      </c>
      <c r="CI11" s="380">
        <f t="shared" si="3"/>
        <v>2599498.0615384621</v>
      </c>
      <c r="CJ11" s="380">
        <f t="shared" si="3"/>
        <v>2606068.618461539</v>
      </c>
      <c r="CK11" s="380">
        <f t="shared" si="3"/>
        <v>2616885.1669230768</v>
      </c>
      <c r="CL11" s="380">
        <f t="shared" si="3"/>
        <v>2627985.5061538462</v>
      </c>
      <c r="CM11" s="380">
        <f t="shared" si="3"/>
        <v>2640559.6792307696</v>
      </c>
      <c r="CN11" s="380">
        <f t="shared" si="3"/>
        <v>2653421.9807692314</v>
      </c>
      <c r="CO11" s="380">
        <f t="shared" si="3"/>
        <v>2666184.058461539</v>
      </c>
      <c r="CP11" s="380">
        <f t="shared" si="3"/>
        <v>2681182.92</v>
      </c>
      <c r="CQ11" s="380">
        <f t="shared" si="3"/>
        <v>2692035.2830769229</v>
      </c>
      <c r="CR11" s="380">
        <f t="shared" si="3"/>
        <v>2718026.0484615387</v>
      </c>
      <c r="CS11" s="380">
        <f t="shared" si="3"/>
        <v>2730228.4730769228</v>
      </c>
      <c r="CT11" s="380">
        <f t="shared" si="3"/>
        <v>2742051.1838461538</v>
      </c>
      <c r="CU11" s="380">
        <f t="shared" si="3"/>
        <v>2748170.6392307696</v>
      </c>
      <c r="CV11" s="380">
        <f t="shared" si="3"/>
        <v>2747497.8807692309</v>
      </c>
      <c r="CW11" s="380">
        <f t="shared" si="3"/>
        <v>2750677.1661538458</v>
      </c>
      <c r="CX11" s="380">
        <f t="shared" ref="CX11:DK11" si="4">SUM(CL10:CX10)/13</f>
        <v>2751591.1315384614</v>
      </c>
      <c r="CY11" s="380">
        <f t="shared" si="4"/>
        <v>2753203.3246153845</v>
      </c>
      <c r="CZ11" s="380">
        <f t="shared" si="4"/>
        <v>2753537.3415384614</v>
      </c>
      <c r="DA11" s="380">
        <f t="shared" si="4"/>
        <v>2754227.2853846154</v>
      </c>
      <c r="DB11" s="380">
        <f t="shared" si="4"/>
        <v>2754521.7876923075</v>
      </c>
      <c r="DC11" s="380">
        <f t="shared" si="4"/>
        <v>2752428.9830769231</v>
      </c>
      <c r="DD11" s="380">
        <f t="shared" si="4"/>
        <v>2768257.1692307694</v>
      </c>
      <c r="DE11" s="380">
        <f t="shared" si="4"/>
        <v>2767520.0553846159</v>
      </c>
      <c r="DF11" s="380">
        <f t="shared" si="4"/>
        <v>2780072.1707692305</v>
      </c>
      <c r="DG11" s="380">
        <f t="shared" si="4"/>
        <v>2786484.136153846</v>
      </c>
      <c r="DH11" s="380">
        <f t="shared" si="4"/>
        <v>2796104.1607692312</v>
      </c>
      <c r="DI11" s="380">
        <f t="shared" si="4"/>
        <v>2811610.000769231</v>
      </c>
      <c r="DJ11" s="380">
        <f t="shared" si="4"/>
        <v>2822083.4784615384</v>
      </c>
      <c r="DK11" s="380">
        <f t="shared" si="4"/>
        <v>2834475.6661538463</v>
      </c>
      <c r="DL11" s="380">
        <f t="shared" ref="DL11:DR11" si="5">SUM(CZ10:DL10)/13</f>
        <v>2845067.1376923076</v>
      </c>
      <c r="DM11" s="380">
        <f t="shared" si="5"/>
        <v>2856673.3807692304</v>
      </c>
      <c r="DN11" s="380">
        <f t="shared" si="5"/>
        <v>2862882.8076923075</v>
      </c>
      <c r="DO11" s="380">
        <f t="shared" si="5"/>
        <v>2874741.5615384611</v>
      </c>
      <c r="DP11" s="380">
        <f t="shared" si="5"/>
        <v>2904667.4523076927</v>
      </c>
      <c r="DQ11" s="380">
        <f t="shared" si="5"/>
        <v>2918602.4007692309</v>
      </c>
      <c r="DR11" s="380">
        <f t="shared" si="5"/>
        <v>2931222.5930769229</v>
      </c>
      <c r="DS11" s="380">
        <f t="shared" ref="DS11:EJ11" si="6">SUM(DG10:DS10)/13</f>
        <v>2926164.0423076921</v>
      </c>
      <c r="DT11" s="380">
        <f t="shared" si="6"/>
        <v>2924674.769230769</v>
      </c>
      <c r="DU11" s="380">
        <f t="shared" si="6"/>
        <v>2923371.269230769</v>
      </c>
      <c r="DV11" s="380">
        <f t="shared" si="6"/>
        <v>2926998.903846154</v>
      </c>
      <c r="DW11" s="380">
        <f t="shared" si="6"/>
        <v>2938826.9269230766</v>
      </c>
      <c r="DX11" s="380">
        <f t="shared" si="6"/>
        <v>2950290.7346153846</v>
      </c>
      <c r="DY11" s="380">
        <f t="shared" si="6"/>
        <v>2962622.0838461537</v>
      </c>
      <c r="DZ11" s="380">
        <f t="shared" si="6"/>
        <v>2976917.2199999997</v>
      </c>
      <c r="EA11" s="380">
        <f t="shared" si="6"/>
        <v>2998489.4815384615</v>
      </c>
      <c r="EB11" s="380">
        <f t="shared" si="6"/>
        <v>3031851.5207692306</v>
      </c>
      <c r="EC11" s="380">
        <f t="shared" si="6"/>
        <v>3047476.0592307691</v>
      </c>
      <c r="ED11" s="380">
        <f t="shared" si="6"/>
        <v>3060706.3846153845</v>
      </c>
      <c r="EE11" s="380">
        <f t="shared" si="6"/>
        <v>3074038.635384615</v>
      </c>
      <c r="EF11" s="380">
        <f t="shared" si="6"/>
        <v>3089137.5992307691</v>
      </c>
      <c r="EG11" s="380">
        <f t="shared" si="6"/>
        <v>3113426.9446153841</v>
      </c>
      <c r="EH11" s="380">
        <f t="shared" si="6"/>
        <v>3142297.3307692311</v>
      </c>
      <c r="EI11" s="380">
        <f t="shared" si="6"/>
        <v>3174223.0900000003</v>
      </c>
      <c r="EJ11" s="380">
        <f t="shared" si="6"/>
        <v>3207516.653846154</v>
      </c>
      <c r="EK11" s="380">
        <f t="shared" ref="EK11:EY11" si="7">SUM(DY10:EK10)/13</f>
        <v>3245212.9053846155</v>
      </c>
      <c r="EL11" s="380">
        <f t="shared" si="7"/>
        <v>3288710.3661538465</v>
      </c>
      <c r="EM11" s="380">
        <f t="shared" si="7"/>
        <v>3332833.6646153852</v>
      </c>
      <c r="EN11" s="380">
        <f t="shared" si="7"/>
        <v>3400034.786153846</v>
      </c>
      <c r="EO11" s="380">
        <f t="shared" si="7"/>
        <v>3448597.8046153849</v>
      </c>
      <c r="EP11" s="380">
        <f t="shared" si="7"/>
        <v>3485132.8184615383</v>
      </c>
      <c r="EQ11" s="380">
        <f t="shared" si="7"/>
        <v>3526037.501538462</v>
      </c>
      <c r="ER11" s="380">
        <f t="shared" si="7"/>
        <v>3564491.6530769235</v>
      </c>
      <c r="ES11" s="380">
        <f t="shared" si="7"/>
        <v>3601378.9838461545</v>
      </c>
      <c r="ET11" s="380">
        <f t="shared" si="7"/>
        <v>3629699.3800000004</v>
      </c>
      <c r="EU11" s="380">
        <f t="shared" si="7"/>
        <v>3644375.6723076929</v>
      </c>
      <c r="EV11" s="380">
        <f t="shared" si="7"/>
        <v>3649607.7</v>
      </c>
      <c r="EW11" s="380">
        <f t="shared" si="7"/>
        <v>3648587.0992307686</v>
      </c>
      <c r="EX11" s="380">
        <f t="shared" si="7"/>
        <v>3646906.0030769235</v>
      </c>
      <c r="EY11" s="380">
        <f t="shared" si="7"/>
        <v>3637105.0884615388</v>
      </c>
      <c r="EZ11" s="380">
        <f t="shared" ref="EZ11" si="8">SUM(EN10:EZ10)/13</f>
        <v>3657177.3315384616</v>
      </c>
      <c r="FA11" s="380">
        <f t="shared" ref="FA11" si="9">SUM(EO10:FA10)/13</f>
        <v>3649938.0646153842</v>
      </c>
      <c r="FB11" s="380">
        <f t="shared" ref="FB11" si="10">SUM(EP10:FB10)/13</f>
        <v>3640032.3053846154</v>
      </c>
    </row>
    <row r="13" spans="1:160">
      <c r="A13" s="993" t="s">
        <v>2615</v>
      </c>
      <c r="B13" s="130"/>
      <c r="C13" s="40"/>
      <c r="D13" s="40"/>
      <c r="E13" s="40"/>
      <c r="F13" s="40"/>
      <c r="G13" s="40"/>
      <c r="H13" s="40"/>
      <c r="I13" s="40"/>
      <c r="J13" s="40"/>
      <c r="K13" s="40"/>
      <c r="L13" s="40"/>
      <c r="M13" s="40"/>
      <c r="N13" s="40"/>
      <c r="O13" s="40"/>
      <c r="P13" s="40"/>
      <c r="Q13" s="40"/>
      <c r="R13" s="40"/>
      <c r="S13" s="40"/>
      <c r="T13" s="40"/>
      <c r="U13" s="40"/>
      <c r="V13" s="40"/>
      <c r="W13" s="40"/>
      <c r="X13" s="133"/>
      <c r="Y13" s="133"/>
      <c r="Z13" s="133"/>
      <c r="AA13" s="133"/>
      <c r="AB13" s="133"/>
      <c r="AC13" s="133"/>
      <c r="AD13" s="133"/>
      <c r="AE13" s="133"/>
      <c r="AF13" s="133"/>
      <c r="AG13" s="133"/>
      <c r="AH13" s="133"/>
      <c r="AI13" s="275"/>
      <c r="AJ13" s="275"/>
      <c r="AK13" s="275"/>
      <c r="AL13" s="275"/>
      <c r="AM13" s="275"/>
      <c r="AN13" s="275"/>
      <c r="AO13" s="275"/>
      <c r="AP13" s="275"/>
      <c r="AQ13" s="275"/>
      <c r="AR13" s="275"/>
      <c r="AS13" s="275"/>
      <c r="AT13" s="275"/>
      <c r="AU13" s="275"/>
      <c r="AV13" s="275"/>
      <c r="AW13" s="275"/>
      <c r="AX13" s="275"/>
      <c r="AY13" s="382">
        <v>504151</v>
      </c>
      <c r="AZ13" s="382">
        <v>824850</v>
      </c>
      <c r="BA13" s="382">
        <v>614473</v>
      </c>
      <c r="BB13" s="382">
        <v>360330</v>
      </c>
      <c r="BC13" s="382">
        <v>136686</v>
      </c>
      <c r="BD13" s="382">
        <v>102776</v>
      </c>
      <c r="BE13" s="382">
        <v>0</v>
      </c>
      <c r="BF13" s="382">
        <v>0</v>
      </c>
      <c r="BG13" s="382">
        <v>0</v>
      </c>
      <c r="BH13" s="382">
        <v>0</v>
      </c>
      <c r="BI13" s="382">
        <v>30078</v>
      </c>
      <c r="BJ13" s="382">
        <v>552794</v>
      </c>
      <c r="BK13" s="382">
        <v>349897</v>
      </c>
      <c r="BL13" s="382">
        <v>816229</v>
      </c>
      <c r="BM13" s="382">
        <v>565834</v>
      </c>
      <c r="BN13" s="382">
        <v>423875</v>
      </c>
      <c r="BO13" s="382">
        <v>-25795</v>
      </c>
      <c r="BP13" s="382">
        <v>38548</v>
      </c>
      <c r="BQ13" s="382">
        <v>-25795</v>
      </c>
      <c r="BR13" s="382">
        <v>-25795</v>
      </c>
      <c r="BS13" s="382">
        <v>-25795</v>
      </c>
      <c r="BT13" s="382">
        <v>-25795</v>
      </c>
      <c r="BU13" s="382">
        <v>153431</v>
      </c>
      <c r="BV13" s="419">
        <v>370630</v>
      </c>
      <c r="BW13" s="419">
        <v>157400</v>
      </c>
      <c r="BX13" s="419">
        <v>408524</v>
      </c>
      <c r="BY13" s="419">
        <v>134163</v>
      </c>
      <c r="BZ13" s="419">
        <v>93399</v>
      </c>
      <c r="CA13" s="419">
        <v>-178038</v>
      </c>
      <c r="CB13" s="419">
        <v>-178038</v>
      </c>
      <c r="CC13" s="419">
        <v>-178038</v>
      </c>
      <c r="CD13" s="419">
        <v>-178038</v>
      </c>
      <c r="CE13" s="419">
        <v>-178038</v>
      </c>
      <c r="CF13" s="419">
        <v>-178038</v>
      </c>
      <c r="CG13" s="419">
        <v>-21668</v>
      </c>
      <c r="CH13" s="419">
        <v>-178042</v>
      </c>
      <c r="CI13" s="419">
        <v>945491</v>
      </c>
      <c r="CJ13" s="419">
        <v>534613</v>
      </c>
      <c r="CK13" s="419">
        <v>275023</v>
      </c>
      <c r="CL13" s="419">
        <v>267436</v>
      </c>
      <c r="CM13" s="419">
        <v>0</v>
      </c>
      <c r="CN13" s="419">
        <v>0</v>
      </c>
      <c r="CO13" s="419">
        <v>0</v>
      </c>
      <c r="CP13" s="419">
        <v>0</v>
      </c>
      <c r="CQ13" s="419">
        <v>0</v>
      </c>
      <c r="CR13" s="419">
        <v>0</v>
      </c>
      <c r="CS13" s="419">
        <v>0</v>
      </c>
      <c r="CT13" s="419">
        <v>126390</v>
      </c>
      <c r="CU13" s="419">
        <v>720522</v>
      </c>
      <c r="CV13" s="419">
        <v>187450</v>
      </c>
      <c r="CW13" s="419">
        <v>0</v>
      </c>
      <c r="CX13" s="419">
        <v>0</v>
      </c>
      <c r="CY13" s="419">
        <v>73123</v>
      </c>
      <c r="CZ13" s="419">
        <v>181164</v>
      </c>
      <c r="DA13" s="419">
        <v>181164</v>
      </c>
      <c r="DB13" s="419">
        <v>181164</v>
      </c>
      <c r="DC13" s="419">
        <v>229744</v>
      </c>
      <c r="DD13" s="419">
        <v>181164</v>
      </c>
      <c r="DE13" s="419">
        <v>181164</v>
      </c>
      <c r="DF13" s="419">
        <v>220034</v>
      </c>
      <c r="DG13" s="419">
        <v>406812</v>
      </c>
      <c r="DH13" s="419">
        <v>1331316</v>
      </c>
      <c r="DI13" s="419">
        <v>667481</v>
      </c>
      <c r="DJ13" s="419">
        <v>249491</v>
      </c>
      <c r="DK13" s="419">
        <v>365876</v>
      </c>
      <c r="DL13" s="419">
        <v>119556</v>
      </c>
      <c r="DM13" s="419">
        <v>119556</v>
      </c>
      <c r="DN13" s="419">
        <v>119556</v>
      </c>
      <c r="DO13" s="419">
        <v>201614</v>
      </c>
      <c r="DP13" s="419">
        <v>119556</v>
      </c>
      <c r="DQ13" s="419">
        <v>119556</v>
      </c>
      <c r="DR13" s="756">
        <v>368404</v>
      </c>
      <c r="DS13" s="756">
        <v>472182</v>
      </c>
      <c r="DT13" s="419">
        <v>920964</v>
      </c>
      <c r="DU13" s="419">
        <v>839526</v>
      </c>
      <c r="DV13" s="419">
        <v>229896</v>
      </c>
      <c r="DW13" s="419">
        <v>229896</v>
      </c>
      <c r="DX13" s="327">
        <v>229896</v>
      </c>
      <c r="DY13" s="327">
        <v>229896</v>
      </c>
      <c r="DZ13" s="327">
        <v>229896</v>
      </c>
      <c r="EA13" s="327">
        <v>229896</v>
      </c>
      <c r="EB13" s="327">
        <v>229896</v>
      </c>
      <c r="EC13" s="327">
        <v>229896</v>
      </c>
      <c r="ED13" s="327">
        <v>387771</v>
      </c>
      <c r="EE13" s="327">
        <v>995543</v>
      </c>
      <c r="EF13" s="327">
        <v>239233</v>
      </c>
      <c r="EG13" s="327">
        <v>167487</v>
      </c>
      <c r="EH13" s="327">
        <v>286530</v>
      </c>
      <c r="EI13" s="327">
        <v>105895</v>
      </c>
      <c r="EJ13" s="327">
        <v>95892</v>
      </c>
      <c r="EK13" s="327">
        <v>95892</v>
      </c>
      <c r="EL13" s="327">
        <v>149500</v>
      </c>
      <c r="EM13" s="327">
        <v>95892</v>
      </c>
      <c r="EN13" s="327">
        <v>95892</v>
      </c>
      <c r="EO13" s="327">
        <v>95892</v>
      </c>
      <c r="EP13" s="327">
        <v>207131</v>
      </c>
      <c r="EQ13" s="327">
        <v>1113113</v>
      </c>
      <c r="ER13" s="327">
        <v>1637970</v>
      </c>
      <c r="ES13" s="327">
        <v>234232</v>
      </c>
      <c r="ET13" s="327">
        <v>775798</v>
      </c>
      <c r="EU13" s="327">
        <v>719781</v>
      </c>
      <c r="EV13" s="327">
        <v>938269</v>
      </c>
      <c r="EW13" s="327">
        <v>234232</v>
      </c>
      <c r="EX13" s="327">
        <v>234232</v>
      </c>
      <c r="EY13" s="327">
        <v>234232</v>
      </c>
      <c r="EZ13" s="994">
        <f>(VLOOKUP("4073140",'Input IS ACCTS'!$A$6:GO$513,109,FALSE))+(VLOOKUP("4073141",'Input IS ACCTS'!$A$6:GO$513,109,FALSE))</f>
        <v>234232</v>
      </c>
      <c r="FA13" s="994">
        <f>(VLOOKUP("4073140",'Input IS ACCTS'!$A$6:GP$513,110,FALSE))+(VLOOKUP("4073141",'Input IS ACCTS'!$A$6:GP$513,110,FALSE))</f>
        <v>234232</v>
      </c>
      <c r="FB13" s="994">
        <f>(VLOOKUP("4073140",'Input IS ACCTS'!$A$6:GQ$513,111,FALSE))+(VLOOKUP("4073141",'Input IS ACCTS'!$A$6:GQ$513,111,FALSE))</f>
        <v>234226</v>
      </c>
      <c r="FD13" s="104">
        <f t="shared" ref="FD13:FD14" si="11">SUM(EQ13:FB13)</f>
        <v>6824549</v>
      </c>
    </row>
    <row r="14" spans="1:160">
      <c r="A14" s="993" t="s">
        <v>2643</v>
      </c>
      <c r="B14" s="130"/>
      <c r="C14" s="40">
        <v>408016</v>
      </c>
      <c r="D14" s="40">
        <v>340634</v>
      </c>
      <c r="E14" s="40">
        <v>397522</v>
      </c>
      <c r="F14" s="40">
        <v>492485.03</v>
      </c>
      <c r="G14" s="40">
        <v>464603.13</v>
      </c>
      <c r="H14" s="40">
        <v>400671</v>
      </c>
      <c r="I14" s="40">
        <v>432562</v>
      </c>
      <c r="J14" s="40">
        <v>552285</v>
      </c>
      <c r="K14" s="40">
        <v>617121</v>
      </c>
      <c r="L14" s="40">
        <v>387542</v>
      </c>
      <c r="M14" s="40">
        <v>594748.28</v>
      </c>
      <c r="N14" s="40">
        <v>632814.36</v>
      </c>
      <c r="O14" s="40">
        <v>589619</v>
      </c>
      <c r="P14" s="40">
        <v>556587</v>
      </c>
      <c r="Q14" s="40">
        <v>477704</v>
      </c>
      <c r="R14" s="40">
        <v>419984</v>
      </c>
      <c r="S14" s="40">
        <v>503853</v>
      </c>
      <c r="T14" s="40">
        <v>404079</v>
      </c>
      <c r="U14" s="40">
        <v>697592</v>
      </c>
      <c r="V14" s="40">
        <v>613537</v>
      </c>
      <c r="W14" s="40">
        <v>496511</v>
      </c>
      <c r="X14" s="133">
        <v>499202</v>
      </c>
      <c r="Y14" s="133">
        <v>857308</v>
      </c>
      <c r="Z14" s="133">
        <v>790692</v>
      </c>
      <c r="AA14" s="133">
        <v>613238</v>
      </c>
      <c r="AB14" s="133">
        <v>575436</v>
      </c>
      <c r="AC14" s="133">
        <v>538367</v>
      </c>
      <c r="AD14" s="133">
        <v>521595.53</v>
      </c>
      <c r="AE14" s="133">
        <v>525927.81000000006</v>
      </c>
      <c r="AF14" s="133">
        <v>648490</v>
      </c>
      <c r="AG14" s="133">
        <v>545521.69000000006</v>
      </c>
      <c r="AH14" s="133">
        <v>665352</v>
      </c>
      <c r="AI14" s="275">
        <v>461751.65</v>
      </c>
      <c r="AJ14" s="275">
        <v>844399.39</v>
      </c>
      <c r="AK14" s="275">
        <v>711289</v>
      </c>
      <c r="AL14" s="275">
        <v>663572</v>
      </c>
      <c r="AM14" s="275">
        <v>1035933</v>
      </c>
      <c r="AN14" s="275">
        <v>748151</v>
      </c>
      <c r="AO14" s="275">
        <v>790490</v>
      </c>
      <c r="AP14" s="275">
        <v>752871</v>
      </c>
      <c r="AQ14" s="275">
        <v>860471</v>
      </c>
      <c r="AR14" s="275">
        <v>687014</v>
      </c>
      <c r="AS14" s="275">
        <v>819361</v>
      </c>
      <c r="AT14" s="275">
        <v>731225</v>
      </c>
      <c r="AU14" s="275">
        <v>888041</v>
      </c>
      <c r="AV14" s="275">
        <v>869994</v>
      </c>
      <c r="AW14" s="275">
        <v>641615</v>
      </c>
      <c r="AX14" s="275">
        <v>607385</v>
      </c>
      <c r="AY14" s="381">
        <v>1045099</v>
      </c>
      <c r="AZ14" s="381">
        <v>798410</v>
      </c>
      <c r="BA14" s="381">
        <v>720743</v>
      </c>
      <c r="BB14" s="381">
        <v>828407</v>
      </c>
      <c r="BC14" s="381">
        <v>840109</v>
      </c>
      <c r="BD14" s="381">
        <v>830010</v>
      </c>
      <c r="BE14" s="381">
        <v>1359474.28</v>
      </c>
      <c r="BF14" s="381">
        <v>977984.76</v>
      </c>
      <c r="BG14" s="381">
        <v>1122942</v>
      </c>
      <c r="BH14" s="381">
        <v>977920.8</v>
      </c>
      <c r="BI14" s="381">
        <v>965710</v>
      </c>
      <c r="BJ14" s="381">
        <v>762401</v>
      </c>
      <c r="BK14" s="381">
        <v>1314333</v>
      </c>
      <c r="BL14" s="381">
        <v>909548</v>
      </c>
      <c r="BM14" s="381">
        <v>1107457</v>
      </c>
      <c r="BN14" s="381">
        <v>805242</v>
      </c>
      <c r="BO14" s="381">
        <v>1066527</v>
      </c>
      <c r="BP14" s="381">
        <v>963658</v>
      </c>
      <c r="BQ14" s="381">
        <v>958301</v>
      </c>
      <c r="BR14" s="381">
        <v>1162861</v>
      </c>
      <c r="BS14" s="381">
        <v>1007541</v>
      </c>
      <c r="BT14" s="381">
        <v>1333401</v>
      </c>
      <c r="BU14" s="381">
        <v>868384</v>
      </c>
      <c r="BV14" s="133">
        <v>837994</v>
      </c>
      <c r="BW14" s="133">
        <v>1040943</v>
      </c>
      <c r="BX14" s="133">
        <v>942809</v>
      </c>
      <c r="BY14" s="133">
        <v>1031733</v>
      </c>
      <c r="BZ14" s="133">
        <v>901161</v>
      </c>
      <c r="CA14" s="133">
        <v>1189948</v>
      </c>
      <c r="CB14" s="133">
        <v>1148668</v>
      </c>
      <c r="CC14" s="133">
        <v>1029314</v>
      </c>
      <c r="CD14" s="133">
        <v>1465582</v>
      </c>
      <c r="CE14" s="133">
        <v>929023</v>
      </c>
      <c r="CF14" s="133">
        <v>1317106</v>
      </c>
      <c r="CG14" s="133">
        <v>857489</v>
      </c>
      <c r="CH14" s="133">
        <v>1491939</v>
      </c>
      <c r="CI14" s="133">
        <v>386723</v>
      </c>
      <c r="CJ14" s="133">
        <v>721418</v>
      </c>
      <c r="CK14" s="133">
        <v>888434</v>
      </c>
      <c r="CL14" s="133">
        <v>867950</v>
      </c>
      <c r="CM14" s="133">
        <v>1444351</v>
      </c>
      <c r="CN14" s="133">
        <v>1502585</v>
      </c>
      <c r="CO14" s="133">
        <v>1464894</v>
      </c>
      <c r="CP14" s="133">
        <v>1607800</v>
      </c>
      <c r="CQ14" s="133">
        <v>1269739</v>
      </c>
      <c r="CR14" s="133">
        <v>1982089</v>
      </c>
      <c r="CS14" s="133">
        <v>1355161</v>
      </c>
      <c r="CT14" s="133">
        <v>1052411</v>
      </c>
      <c r="CU14" s="133">
        <v>1319793</v>
      </c>
      <c r="CV14" s="133">
        <v>1576852</v>
      </c>
      <c r="CW14" s="133">
        <v>1847295</v>
      </c>
      <c r="CX14" s="133">
        <v>2612466</v>
      </c>
      <c r="CY14" s="133">
        <v>1025022</v>
      </c>
      <c r="CZ14" s="133">
        <v>1135987</v>
      </c>
      <c r="DA14" s="133">
        <v>2161695</v>
      </c>
      <c r="DB14" s="133">
        <v>1557022</v>
      </c>
      <c r="DC14" s="133">
        <v>894741</v>
      </c>
      <c r="DD14" s="133">
        <v>2074720</v>
      </c>
      <c r="DE14" s="133">
        <v>1027197</v>
      </c>
      <c r="DF14" s="133">
        <v>1372741</v>
      </c>
      <c r="DG14" s="133">
        <v>1682827</v>
      </c>
      <c r="DH14" s="133">
        <v>783426</v>
      </c>
      <c r="DI14" s="133">
        <v>1059598</v>
      </c>
      <c r="DJ14" s="133">
        <v>1363500</v>
      </c>
      <c r="DK14" s="133">
        <v>1061024</v>
      </c>
      <c r="DL14" s="133">
        <v>1772348</v>
      </c>
      <c r="DM14" s="724">
        <v>2123810</v>
      </c>
      <c r="DN14" s="724">
        <v>1362601</v>
      </c>
      <c r="DO14" s="724">
        <v>955467.08</v>
      </c>
      <c r="DP14" s="724">
        <v>1600939.1399999994</v>
      </c>
      <c r="DQ14" s="724">
        <v>1400855.94</v>
      </c>
      <c r="DR14" s="755">
        <v>1452939.19</v>
      </c>
      <c r="DS14" s="755">
        <v>1632643.1199999999</v>
      </c>
      <c r="DT14" s="724">
        <v>1153259.31</v>
      </c>
      <c r="DU14" s="724">
        <v>1086342.77</v>
      </c>
      <c r="DV14" s="724">
        <v>1506872.45</v>
      </c>
      <c r="DW14" s="724">
        <v>1344235.79</v>
      </c>
      <c r="DX14" s="997">
        <v>1376350.9399999997</v>
      </c>
      <c r="DY14" s="997">
        <v>1194803.3200000003</v>
      </c>
      <c r="DZ14" s="997">
        <v>1406390.63</v>
      </c>
      <c r="EA14" s="997">
        <v>1689304.23</v>
      </c>
      <c r="EB14" s="997">
        <v>1880673.2599999998</v>
      </c>
      <c r="EC14" s="997">
        <v>1307303.49</v>
      </c>
      <c r="ED14" s="997">
        <v>1455001.1300000001</v>
      </c>
      <c r="EE14" s="327">
        <v>1275601.9199999999</v>
      </c>
      <c r="EF14" s="327">
        <v>1798487.29</v>
      </c>
      <c r="EG14" s="327">
        <v>1567765.76</v>
      </c>
      <c r="EH14" s="327">
        <v>1440542.38</v>
      </c>
      <c r="EI14" s="327">
        <v>1283729.7</v>
      </c>
      <c r="EJ14" s="327">
        <v>1193760.08</v>
      </c>
      <c r="EK14" s="327">
        <v>1424335.41</v>
      </c>
      <c r="EL14" s="327">
        <v>967095.3</v>
      </c>
      <c r="EM14" s="327">
        <v>1590477.13</v>
      </c>
      <c r="EN14" s="327">
        <v>1454114.59</v>
      </c>
      <c r="EO14" s="327">
        <v>1401498.8</v>
      </c>
      <c r="EP14" s="327">
        <v>1600464.1099999999</v>
      </c>
      <c r="EQ14" s="327">
        <v>1635820.37</v>
      </c>
      <c r="ER14" s="327">
        <v>1422113.53</v>
      </c>
      <c r="ES14" s="327">
        <v>2925968.56</v>
      </c>
      <c r="ET14" s="327">
        <v>1473046.76</v>
      </c>
      <c r="EU14" s="327">
        <v>1309274.25</v>
      </c>
      <c r="EV14" s="327">
        <v>797127.32000000007</v>
      </c>
      <c r="EW14" s="327">
        <v>2951000.42</v>
      </c>
      <c r="EX14" s="327">
        <v>1799327.99</v>
      </c>
      <c r="EY14" s="327">
        <v>2223285.83</v>
      </c>
      <c r="EZ14" s="1251">
        <f>(VLOOKUP("9080",'Input IS ACCTS'!$A$6:GO$513,109,FALSE))+(VLOOKUP("9090",'Input IS ACCTS'!$A$6:GO$513,109,FALSE))-5734.29</f>
        <v>2016065.3599999999</v>
      </c>
      <c r="FA14" s="1251">
        <f>(VLOOKUP("9080",'Input IS ACCTS'!$A$6:GP$513,110,FALSE))+(VLOOKUP("9090",'Input IS ACCTS'!$A$6:GP$513,110,FALSE))+5732.49</f>
        <v>2117702.81</v>
      </c>
      <c r="FB14" s="994">
        <f>(VLOOKUP("9080",'Input IS ACCTS'!$A$6:GQ$513,111,FALSE))+(VLOOKUP("9090",'Input IS ACCTS'!$A$6:GQ$513,111,FALSE))</f>
        <v>2153916.08</v>
      </c>
      <c r="FD14" s="104">
        <f t="shared" si="11"/>
        <v>22824649.280000001</v>
      </c>
    </row>
    <row r="15" spans="1:160">
      <c r="A15" s="1000" t="s">
        <v>2616</v>
      </c>
      <c r="B15" s="29"/>
      <c r="C15" s="40">
        <v>5826937</v>
      </c>
      <c r="D15" s="40">
        <v>5760722</v>
      </c>
      <c r="E15" s="40">
        <v>5643078</v>
      </c>
      <c r="F15" s="40">
        <v>5665970</v>
      </c>
      <c r="G15" s="40">
        <v>5775089</v>
      </c>
      <c r="H15" s="40">
        <v>5519948</v>
      </c>
      <c r="I15" s="40">
        <v>5536891</v>
      </c>
      <c r="J15" s="40">
        <v>5728952</v>
      </c>
      <c r="K15" s="40">
        <v>5492204</v>
      </c>
      <c r="L15" s="40">
        <v>5435922</v>
      </c>
      <c r="M15" s="40">
        <v>5540218</v>
      </c>
      <c r="N15" s="40">
        <v>5727561</v>
      </c>
      <c r="O15" s="131">
        <v>5902606.8000000007</v>
      </c>
      <c r="P15" s="131">
        <v>6118559.8000000007</v>
      </c>
      <c r="Q15" s="131">
        <v>6198741.8000000007</v>
      </c>
      <c r="R15" s="131">
        <v>6126240.7699999996</v>
      </c>
      <c r="S15" s="131">
        <v>6165490.6400000006</v>
      </c>
      <c r="T15" s="131">
        <v>6168898.6400000006</v>
      </c>
      <c r="U15" s="131">
        <v>6433928.6400000006</v>
      </c>
      <c r="V15" s="131">
        <v>6495180.6400000006</v>
      </c>
      <c r="W15" s="131">
        <v>6374570.6400000006</v>
      </c>
      <c r="X15" s="126">
        <v>6486230.6400000006</v>
      </c>
      <c r="Y15" s="126">
        <v>6748790.3599999994</v>
      </c>
      <c r="Z15" s="126">
        <v>6906668</v>
      </c>
      <c r="AA15" s="126">
        <v>6930287</v>
      </c>
      <c r="AB15" s="126">
        <v>6949136</v>
      </c>
      <c r="AC15" s="126">
        <v>7009799</v>
      </c>
      <c r="AD15" s="126">
        <v>7111410.5300000003</v>
      </c>
      <c r="AE15" s="126">
        <v>7133485.3399999999</v>
      </c>
      <c r="AF15" s="126">
        <v>7377896.3399999999</v>
      </c>
      <c r="AG15" s="126">
        <v>7225826.0300000003</v>
      </c>
      <c r="AH15" s="126">
        <v>7277641.0300000003</v>
      </c>
      <c r="AI15" s="276">
        <v>7242881.6800000006</v>
      </c>
      <c r="AJ15" s="276">
        <v>7588079.0700000003</v>
      </c>
      <c r="AK15" s="276">
        <v>7442060.0700000003</v>
      </c>
      <c r="AL15" s="276">
        <v>7314940.0700000003</v>
      </c>
      <c r="AM15" s="276">
        <v>7737635.0699999994</v>
      </c>
      <c r="AN15" s="276">
        <v>7910350.0699999994</v>
      </c>
      <c r="AO15" s="276">
        <v>8162473.0700000003</v>
      </c>
      <c r="AP15" s="276">
        <v>8393748.5399999991</v>
      </c>
      <c r="AQ15" s="276">
        <v>8728291.7300000004</v>
      </c>
      <c r="AR15" s="276">
        <v>8766815.7300000004</v>
      </c>
      <c r="AS15" s="276">
        <v>9040655.0399999991</v>
      </c>
      <c r="AT15" s="276">
        <v>9106528.0399999991</v>
      </c>
      <c r="AU15" s="276">
        <v>9532817.3900000006</v>
      </c>
      <c r="AV15" s="276">
        <v>9558412</v>
      </c>
      <c r="AW15" s="276">
        <v>9488738</v>
      </c>
      <c r="AX15" s="276">
        <v>9432551</v>
      </c>
      <c r="AY15" s="322">
        <v>9945868</v>
      </c>
      <c r="AZ15" s="322">
        <v>10820977</v>
      </c>
      <c r="BA15" s="322">
        <v>11365703</v>
      </c>
      <c r="BB15" s="322">
        <v>11801569</v>
      </c>
      <c r="BC15" s="322">
        <v>11917893</v>
      </c>
      <c r="BD15" s="322">
        <v>12163665</v>
      </c>
      <c r="BE15" s="322">
        <v>12703778.279999999</v>
      </c>
      <c r="BF15" s="322">
        <v>12950538.039999999</v>
      </c>
      <c r="BG15" s="322">
        <v>13185439.039999999</v>
      </c>
      <c r="BH15" s="322">
        <v>13293365.840000002</v>
      </c>
      <c r="BI15" s="322">
        <v>13647538.84</v>
      </c>
      <c r="BJ15" s="322">
        <v>14355348.84</v>
      </c>
      <c r="BK15" s="322">
        <f t="shared" ref="BK15:CP15" si="12">SUM(AZ14:BK14)+SUM(AZ13:BK13)</f>
        <v>14470328.84</v>
      </c>
      <c r="BL15" s="322">
        <f t="shared" si="12"/>
        <v>14572845.84</v>
      </c>
      <c r="BM15" s="322">
        <f t="shared" si="12"/>
        <v>14910920.84</v>
      </c>
      <c r="BN15" s="322">
        <f t="shared" si="12"/>
        <v>14951300.84</v>
      </c>
      <c r="BO15" s="322">
        <f t="shared" si="12"/>
        <v>15015237.84</v>
      </c>
      <c r="BP15" s="322">
        <f t="shared" si="12"/>
        <v>15084657.84</v>
      </c>
      <c r="BQ15" s="322">
        <f t="shared" si="12"/>
        <v>14657689.559999999</v>
      </c>
      <c r="BR15" s="322">
        <f t="shared" si="12"/>
        <v>14816770.800000001</v>
      </c>
      <c r="BS15" s="322">
        <f t="shared" si="12"/>
        <v>14675574.800000001</v>
      </c>
      <c r="BT15" s="322">
        <f t="shared" si="12"/>
        <v>15005260</v>
      </c>
      <c r="BU15" s="322">
        <f t="shared" si="12"/>
        <v>15031287</v>
      </c>
      <c r="BV15" s="322">
        <f t="shared" si="12"/>
        <v>14924716</v>
      </c>
      <c r="BW15" s="322">
        <f t="shared" si="12"/>
        <v>14458829</v>
      </c>
      <c r="BX15" s="322">
        <f t="shared" si="12"/>
        <v>14084385</v>
      </c>
      <c r="BY15" s="322">
        <f t="shared" si="12"/>
        <v>13576990</v>
      </c>
      <c r="BZ15" s="322">
        <f t="shared" si="12"/>
        <v>13342433</v>
      </c>
      <c r="CA15" s="322">
        <f t="shared" si="12"/>
        <v>13313611</v>
      </c>
      <c r="CB15" s="322">
        <f t="shared" si="12"/>
        <v>13282035</v>
      </c>
      <c r="CC15" s="322">
        <f t="shared" si="12"/>
        <v>13200805</v>
      </c>
      <c r="CD15" s="322">
        <f t="shared" si="12"/>
        <v>13351283</v>
      </c>
      <c r="CE15" s="322">
        <f t="shared" si="12"/>
        <v>13120522</v>
      </c>
      <c r="CF15" s="322">
        <f t="shared" si="12"/>
        <v>12951984</v>
      </c>
      <c r="CG15" s="322">
        <f t="shared" si="12"/>
        <v>12765990</v>
      </c>
      <c r="CH15" s="322">
        <f t="shared" si="12"/>
        <v>12871263</v>
      </c>
      <c r="CI15" s="322">
        <f t="shared" si="12"/>
        <v>13005134</v>
      </c>
      <c r="CJ15" s="322">
        <f t="shared" si="12"/>
        <v>12909832</v>
      </c>
      <c r="CK15" s="322">
        <f t="shared" si="12"/>
        <v>12907393</v>
      </c>
      <c r="CL15" s="322">
        <f t="shared" si="12"/>
        <v>13048219</v>
      </c>
      <c r="CM15" s="322">
        <f t="shared" si="12"/>
        <v>13480660</v>
      </c>
      <c r="CN15" s="322">
        <f t="shared" si="12"/>
        <v>14012615</v>
      </c>
      <c r="CO15" s="322">
        <f t="shared" si="12"/>
        <v>14626233</v>
      </c>
      <c r="CP15" s="322">
        <f t="shared" si="12"/>
        <v>14946489</v>
      </c>
      <c r="CQ15" s="322">
        <f t="shared" ref="CQ15:DV15" si="13">SUM(CF14:CQ14)+SUM(CF13:CQ13)</f>
        <v>15465243</v>
      </c>
      <c r="CR15" s="322">
        <f t="shared" si="13"/>
        <v>16308264</v>
      </c>
      <c r="CS15" s="322">
        <f t="shared" si="13"/>
        <v>16827604</v>
      </c>
      <c r="CT15" s="322">
        <f t="shared" si="13"/>
        <v>16692508</v>
      </c>
      <c r="CU15" s="322">
        <f t="shared" si="13"/>
        <v>17400609</v>
      </c>
      <c r="CV15" s="322">
        <f t="shared" si="13"/>
        <v>17908880</v>
      </c>
      <c r="CW15" s="322">
        <f t="shared" si="13"/>
        <v>18592718</v>
      </c>
      <c r="CX15" s="322">
        <f t="shared" si="13"/>
        <v>20069798</v>
      </c>
      <c r="CY15" s="322">
        <f t="shared" si="13"/>
        <v>19723592</v>
      </c>
      <c r="CZ15" s="322">
        <f t="shared" si="13"/>
        <v>19538158</v>
      </c>
      <c r="DA15" s="322">
        <f t="shared" si="13"/>
        <v>20416123</v>
      </c>
      <c r="DB15" s="322">
        <f t="shared" si="13"/>
        <v>20546509</v>
      </c>
      <c r="DC15" s="322">
        <f t="shared" si="13"/>
        <v>20401255</v>
      </c>
      <c r="DD15" s="322">
        <f t="shared" si="13"/>
        <v>20675050</v>
      </c>
      <c r="DE15" s="322">
        <f t="shared" si="13"/>
        <v>20528250</v>
      </c>
      <c r="DF15" s="322">
        <f t="shared" si="13"/>
        <v>20942224</v>
      </c>
      <c r="DG15" s="322">
        <f t="shared" si="13"/>
        <v>20991548</v>
      </c>
      <c r="DH15" s="322">
        <f t="shared" si="13"/>
        <v>21341988</v>
      </c>
      <c r="DI15" s="322">
        <f t="shared" si="13"/>
        <v>21221772</v>
      </c>
      <c r="DJ15" s="322">
        <f t="shared" si="13"/>
        <v>20222297</v>
      </c>
      <c r="DK15" s="322">
        <f t="shared" si="13"/>
        <v>20551052</v>
      </c>
      <c r="DL15" s="322">
        <f t="shared" si="13"/>
        <v>21125805</v>
      </c>
      <c r="DM15" s="322">
        <f t="shared" si="13"/>
        <v>21026312</v>
      </c>
      <c r="DN15" s="322">
        <f t="shared" si="13"/>
        <v>20770283</v>
      </c>
      <c r="DO15" s="322">
        <f t="shared" si="13"/>
        <v>20802879.079999998</v>
      </c>
      <c r="DP15" s="322">
        <f t="shared" si="13"/>
        <v>20267490.219999999</v>
      </c>
      <c r="DQ15" s="322">
        <f t="shared" si="13"/>
        <v>20579541.159999996</v>
      </c>
      <c r="DR15" s="322">
        <f t="shared" si="13"/>
        <v>20808109.349999998</v>
      </c>
      <c r="DS15" s="322">
        <f t="shared" si="13"/>
        <v>20823295.469999999</v>
      </c>
      <c r="DT15" s="322">
        <f t="shared" si="13"/>
        <v>20782776.779999997</v>
      </c>
      <c r="DU15" s="322">
        <f t="shared" si="13"/>
        <v>20981566.549999997</v>
      </c>
      <c r="DV15" s="322">
        <f t="shared" si="13"/>
        <v>21105343.999999996</v>
      </c>
      <c r="DW15" s="322">
        <f t="shared" ref="DW15:EJ15" si="14">SUM(DL14:DW14)+SUM(DL13:DW13)</f>
        <v>21252575.789999999</v>
      </c>
      <c r="DX15" s="322">
        <f t="shared" si="14"/>
        <v>20966918.73</v>
      </c>
      <c r="DY15" s="322">
        <f t="shared" si="14"/>
        <v>20148252.049999997</v>
      </c>
      <c r="DZ15" s="322">
        <f t="shared" si="14"/>
        <v>20302381.68</v>
      </c>
      <c r="EA15" s="322">
        <f t="shared" si="14"/>
        <v>21064500.829999998</v>
      </c>
      <c r="EB15" s="322">
        <f t="shared" si="14"/>
        <v>21454574.950000003</v>
      </c>
      <c r="EC15" s="322">
        <f t="shared" si="14"/>
        <v>21471362.5</v>
      </c>
      <c r="ED15" s="322">
        <f t="shared" si="14"/>
        <v>21492791.439999998</v>
      </c>
      <c r="EE15" s="322">
        <f t="shared" si="14"/>
        <v>21659111.240000002</v>
      </c>
      <c r="EF15" s="322">
        <f t="shared" si="14"/>
        <v>21622608.219999999</v>
      </c>
      <c r="EG15" s="322">
        <f t="shared" si="14"/>
        <v>21431992.210000001</v>
      </c>
      <c r="EH15" s="322">
        <f t="shared" si="14"/>
        <v>21422296.140000001</v>
      </c>
      <c r="EI15" s="322">
        <f t="shared" si="14"/>
        <v>21237789.050000001</v>
      </c>
      <c r="EJ15" s="322">
        <f t="shared" si="14"/>
        <v>20921194.189999998</v>
      </c>
      <c r="EK15" s="322">
        <f t="shared" ref="EK15:EY15" si="15">SUM(DZ14:EK14)+SUM(DZ13:EK13)</f>
        <v>21016722.279999997</v>
      </c>
      <c r="EL15" s="322">
        <f t="shared" si="15"/>
        <v>20497030.949999999</v>
      </c>
      <c r="EM15" s="322">
        <f t="shared" si="15"/>
        <v>20264199.850000001</v>
      </c>
      <c r="EN15" s="322">
        <f t="shared" si="15"/>
        <v>19703637.18</v>
      </c>
      <c r="EO15" s="322">
        <f t="shared" si="15"/>
        <v>19663828.490000002</v>
      </c>
      <c r="EP15" s="322">
        <f t="shared" si="15"/>
        <v>19628651.469999999</v>
      </c>
      <c r="EQ15" s="322">
        <f t="shared" si="15"/>
        <v>20106439.920000002</v>
      </c>
      <c r="ER15" s="322">
        <f t="shared" si="15"/>
        <v>21128803.16</v>
      </c>
      <c r="ES15" s="322">
        <f t="shared" si="15"/>
        <v>22553750.960000001</v>
      </c>
      <c r="ET15" s="322">
        <f t="shared" si="15"/>
        <v>23075523.34</v>
      </c>
      <c r="EU15" s="322">
        <f t="shared" si="15"/>
        <v>23714953.890000001</v>
      </c>
      <c r="EV15" s="322">
        <f t="shared" si="15"/>
        <v>24160698.130000003</v>
      </c>
      <c r="EW15" s="322">
        <f t="shared" si="15"/>
        <v>25825703.140000001</v>
      </c>
      <c r="EX15" s="322">
        <f t="shared" si="15"/>
        <v>26742667.829999998</v>
      </c>
      <c r="EY15" s="322">
        <f t="shared" si="15"/>
        <v>27513816.530000001</v>
      </c>
      <c r="EZ15" s="322">
        <f t="shared" ref="EZ15" si="16">SUM(EO14:EZ14)+SUM(EO13:EZ13)</f>
        <v>28214107.299999997</v>
      </c>
      <c r="FA15" s="322">
        <f t="shared" ref="FA15" si="17">SUM(EP14:FA14)+SUM(EP13:FA13)</f>
        <v>29068651.309999999</v>
      </c>
      <c r="FB15" s="322">
        <f t="shared" ref="FB15" si="18">SUM(EQ14:FB14)+SUM(EQ13:FB13)</f>
        <v>29649198.280000001</v>
      </c>
    </row>
    <row r="17" spans="1:160">
      <c r="A17" s="993" t="s">
        <v>2617</v>
      </c>
      <c r="B17" s="29"/>
      <c r="C17" s="40"/>
      <c r="D17" s="40"/>
      <c r="E17" s="40"/>
      <c r="F17" s="40"/>
      <c r="G17" s="40"/>
      <c r="H17" s="40"/>
      <c r="I17" s="40"/>
      <c r="J17" s="40"/>
      <c r="K17" s="40"/>
      <c r="L17" s="40"/>
      <c r="M17" s="40"/>
      <c r="N17" s="40"/>
      <c r="O17" s="131"/>
      <c r="P17" s="131"/>
      <c r="Q17" s="131"/>
      <c r="R17" s="131"/>
      <c r="S17" s="131"/>
      <c r="T17" s="131"/>
      <c r="U17" s="131"/>
      <c r="V17" s="131"/>
      <c r="W17" s="131"/>
      <c r="X17" s="126"/>
      <c r="Y17" s="126"/>
      <c r="Z17" s="126"/>
      <c r="AA17" s="126"/>
      <c r="AB17" s="126"/>
      <c r="AC17" s="126"/>
      <c r="AD17" s="126"/>
      <c r="AE17" s="126"/>
      <c r="AF17" s="126"/>
      <c r="AG17" s="126"/>
      <c r="AH17" s="126"/>
      <c r="AI17" s="276"/>
      <c r="AJ17" s="276"/>
      <c r="AK17" s="276"/>
      <c r="AL17" s="276"/>
      <c r="AM17" s="276"/>
      <c r="AN17" s="276"/>
      <c r="AO17" s="276"/>
      <c r="AP17" s="276"/>
      <c r="AQ17" s="276"/>
      <c r="AR17" s="276"/>
      <c r="AS17" s="276"/>
      <c r="AT17" s="276"/>
      <c r="AU17" s="276"/>
      <c r="AV17" s="276"/>
      <c r="AW17" s="276"/>
      <c r="AX17" s="276"/>
      <c r="AY17" s="382">
        <v>0</v>
      </c>
      <c r="AZ17" s="382">
        <v>0</v>
      </c>
      <c r="BA17" s="382">
        <v>0</v>
      </c>
      <c r="BB17" s="382">
        <v>0</v>
      </c>
      <c r="BC17" s="382">
        <v>0</v>
      </c>
      <c r="BD17" s="382">
        <v>0</v>
      </c>
      <c r="BE17" s="382">
        <v>512011</v>
      </c>
      <c r="BF17" s="382">
        <v>202925</v>
      </c>
      <c r="BG17" s="382">
        <v>291582</v>
      </c>
      <c r="BH17" s="382">
        <v>108285</v>
      </c>
      <c r="BI17" s="382">
        <v>0</v>
      </c>
      <c r="BJ17" s="382">
        <v>0</v>
      </c>
      <c r="BK17" s="382">
        <v>0</v>
      </c>
      <c r="BL17" s="382">
        <v>0</v>
      </c>
      <c r="BM17" s="382">
        <v>0</v>
      </c>
      <c r="BN17" s="382">
        <v>0</v>
      </c>
      <c r="BO17" s="382">
        <v>65065</v>
      </c>
      <c r="BP17" s="382">
        <v>0</v>
      </c>
      <c r="BQ17" s="382">
        <v>19797</v>
      </c>
      <c r="BR17" s="382">
        <v>208974</v>
      </c>
      <c r="BS17" s="382">
        <v>90502</v>
      </c>
      <c r="BT17" s="382">
        <v>380393</v>
      </c>
      <c r="BU17" s="382">
        <v>0</v>
      </c>
      <c r="BV17" s="419">
        <v>0</v>
      </c>
      <c r="BW17" s="419">
        <v>0</v>
      </c>
      <c r="BX17" s="419">
        <v>0</v>
      </c>
      <c r="BY17" s="419">
        <v>0</v>
      </c>
      <c r="BZ17" s="419">
        <v>0</v>
      </c>
      <c r="CA17" s="419">
        <v>144189</v>
      </c>
      <c r="CB17" s="419">
        <v>195014</v>
      </c>
      <c r="CC17" s="419">
        <v>128184</v>
      </c>
      <c r="CD17" s="419">
        <v>619807</v>
      </c>
      <c r="CE17" s="419">
        <v>41764</v>
      </c>
      <c r="CF17" s="419">
        <v>427683</v>
      </c>
      <c r="CG17" s="419">
        <v>0</v>
      </c>
      <c r="CH17" s="419">
        <v>302247</v>
      </c>
      <c r="CI17" s="419">
        <v>-15801</v>
      </c>
      <c r="CJ17" s="419">
        <v>-15801</v>
      </c>
      <c r="CK17" s="419">
        <v>-15801</v>
      </c>
      <c r="CL17" s="419">
        <v>-15801</v>
      </c>
      <c r="CM17" s="419">
        <v>438293</v>
      </c>
      <c r="CN17" s="419">
        <v>624623</v>
      </c>
      <c r="CO17" s="419">
        <v>656389</v>
      </c>
      <c r="CP17" s="419">
        <v>826590</v>
      </c>
      <c r="CQ17" s="419">
        <v>399027</v>
      </c>
      <c r="CR17" s="419">
        <v>1197956</v>
      </c>
      <c r="CS17" s="419">
        <v>392075</v>
      </c>
      <c r="CT17" s="419">
        <v>-15801</v>
      </c>
      <c r="CU17" s="419">
        <v>-181164</v>
      </c>
      <c r="CV17" s="419">
        <v>-181164</v>
      </c>
      <c r="CW17" s="419">
        <v>291716</v>
      </c>
      <c r="CX17" s="419">
        <v>997193</v>
      </c>
      <c r="CY17" s="419">
        <v>-181164</v>
      </c>
      <c r="CZ17" s="419">
        <v>111104</v>
      </c>
      <c r="DA17" s="419">
        <v>1268349</v>
      </c>
      <c r="DB17" s="419">
        <v>712465</v>
      </c>
      <c r="DC17" s="419">
        <v>0</v>
      </c>
      <c r="DD17" s="419">
        <v>1217780</v>
      </c>
      <c r="DE17" s="419">
        <v>51668</v>
      </c>
      <c r="DF17" s="419">
        <v>0</v>
      </c>
      <c r="DG17" s="419">
        <v>0</v>
      </c>
      <c r="DH17" s="419">
        <v>0</v>
      </c>
      <c r="DI17" s="419">
        <v>0</v>
      </c>
      <c r="DJ17" s="419">
        <v>0</v>
      </c>
      <c r="DK17" s="419">
        <v>0</v>
      </c>
      <c r="DL17" s="419">
        <v>677865</v>
      </c>
      <c r="DM17" s="419">
        <v>1098139</v>
      </c>
      <c r="DN17" s="419">
        <v>356143</v>
      </c>
      <c r="DO17" s="419">
        <v>0</v>
      </c>
      <c r="DP17" s="419">
        <v>563046</v>
      </c>
      <c r="DQ17" s="419">
        <v>209982</v>
      </c>
      <c r="DR17" s="419">
        <v>0</v>
      </c>
      <c r="DS17" s="419">
        <v>0</v>
      </c>
      <c r="DT17" s="419">
        <v>0</v>
      </c>
      <c r="DU17" s="419">
        <v>0</v>
      </c>
      <c r="DV17" s="419">
        <v>260945</v>
      </c>
      <c r="DW17" s="419">
        <v>254313</v>
      </c>
      <c r="DX17" s="327">
        <v>315452</v>
      </c>
      <c r="DY17" s="327">
        <v>263835</v>
      </c>
      <c r="DZ17" s="327">
        <v>496526</v>
      </c>
      <c r="EA17" s="327">
        <v>790149</v>
      </c>
      <c r="EB17" s="327">
        <v>903910</v>
      </c>
      <c r="EC17" s="327">
        <v>133416</v>
      </c>
      <c r="ED17" s="327">
        <v>0</v>
      </c>
      <c r="EE17" s="327">
        <v>0</v>
      </c>
      <c r="EF17" s="327">
        <v>0</v>
      </c>
      <c r="EG17" s="327">
        <v>0</v>
      </c>
      <c r="EH17" s="327">
        <v>-1900</v>
      </c>
      <c r="EI17" s="327">
        <v>0</v>
      </c>
      <c r="EJ17" s="327">
        <v>12226</v>
      </c>
      <c r="EK17" s="327">
        <v>300183</v>
      </c>
      <c r="EL17" s="327">
        <v>0</v>
      </c>
      <c r="EM17" s="327">
        <v>504358</v>
      </c>
      <c r="EN17" s="327">
        <v>391595</v>
      </c>
      <c r="EO17" s="327">
        <v>140516</v>
      </c>
      <c r="EP17" s="327">
        <v>0</v>
      </c>
      <c r="EQ17" s="327">
        <v>0</v>
      </c>
      <c r="ER17" s="327">
        <v>0</v>
      </c>
      <c r="ES17" s="327">
        <v>627335</v>
      </c>
      <c r="ET17" s="327">
        <v>0</v>
      </c>
      <c r="EU17" s="327">
        <v>0</v>
      </c>
      <c r="EV17" s="327">
        <v>0</v>
      </c>
      <c r="EW17" s="327">
        <v>1622951</v>
      </c>
      <c r="EX17" s="327">
        <v>525365</v>
      </c>
      <c r="EY17" s="327">
        <v>891790</v>
      </c>
      <c r="EZ17" s="994">
        <f>-(VLOOKUP("4074140",'Input IS ACCTS'!$A$6:$EN$513,109,FALSE)+(VLOOKUP("4074141",'Input IS ACCTS'!$A$6:$EN$513,109,FALSE)))</f>
        <v>480159</v>
      </c>
      <c r="FA17" s="994">
        <f>-(VLOOKUP("4074140",'Input IS ACCTS'!$A$6:$EN$513,110,FALSE)+(VLOOKUP("4074141",'Input IS ACCTS'!$A$6:$EN$513,110,FALSE)))</f>
        <v>470477</v>
      </c>
      <c r="FB17" s="994">
        <f>-(VLOOKUP("4074140",'Input IS ACCTS'!$A$6:$EN$513,111,FALSE)+(VLOOKUP("4074141",'Input IS ACCTS'!$A$6:$EN$513,111,FALSE)))</f>
        <v>96049</v>
      </c>
      <c r="FD17" s="104">
        <f>SUM(EQ17:FB17)</f>
        <v>4714126</v>
      </c>
    </row>
    <row r="18" spans="1:160">
      <c r="A18" s="993" t="s">
        <v>2644</v>
      </c>
      <c r="B18" s="29"/>
      <c r="C18" s="40"/>
      <c r="D18" s="40"/>
      <c r="E18" s="40"/>
      <c r="F18" s="40"/>
      <c r="G18" s="40"/>
      <c r="H18" s="40"/>
      <c r="I18" s="40"/>
      <c r="J18" s="40"/>
      <c r="K18" s="40"/>
      <c r="L18" s="40"/>
      <c r="M18" s="40"/>
      <c r="N18" s="40"/>
      <c r="O18" s="131"/>
      <c r="P18" s="131"/>
      <c r="Q18" s="131"/>
      <c r="R18" s="131"/>
      <c r="S18" s="131"/>
      <c r="T18" s="131"/>
      <c r="U18" s="131"/>
      <c r="V18" s="131"/>
      <c r="W18" s="131"/>
      <c r="X18" s="126"/>
      <c r="Y18" s="126"/>
      <c r="Z18" s="126"/>
      <c r="AA18" s="126"/>
      <c r="AB18" s="126"/>
      <c r="AC18" s="126"/>
      <c r="AD18" s="126"/>
      <c r="AE18" s="126"/>
      <c r="AF18" s="126"/>
      <c r="AG18" s="126"/>
      <c r="AH18" s="126"/>
      <c r="AI18" s="276"/>
      <c r="AJ18" s="276"/>
      <c r="AK18" s="276"/>
      <c r="AL18" s="276"/>
      <c r="AM18" s="276"/>
      <c r="AN18" s="276"/>
      <c r="AO18" s="276"/>
      <c r="AP18" s="276"/>
      <c r="AQ18" s="276"/>
      <c r="AR18" s="276"/>
      <c r="AS18" s="276"/>
      <c r="AT18" s="276"/>
      <c r="AU18" s="276"/>
      <c r="AV18" s="276"/>
      <c r="AW18" s="276"/>
      <c r="AX18" s="276"/>
      <c r="AY18" s="381">
        <v>1549250.45</v>
      </c>
      <c r="AZ18" s="381">
        <v>1623259.76</v>
      </c>
      <c r="BA18" s="381">
        <v>1335215.47</v>
      </c>
      <c r="BB18" s="381">
        <v>1188737.49</v>
      </c>
      <c r="BC18" s="381">
        <v>976794.97</v>
      </c>
      <c r="BD18" s="381">
        <v>932785.45</v>
      </c>
      <c r="BE18" s="381">
        <v>847463.24</v>
      </c>
      <c r="BF18" s="381">
        <v>775059.97</v>
      </c>
      <c r="BG18" s="381">
        <v>831360.02</v>
      </c>
      <c r="BH18" s="381">
        <v>869635.27</v>
      </c>
      <c r="BI18" s="381">
        <v>995788.41</v>
      </c>
      <c r="BJ18" s="381">
        <v>1315195.6399999999</v>
      </c>
      <c r="BK18" s="381">
        <v>1664229.92</v>
      </c>
      <c r="BL18" s="381">
        <v>1725776.62</v>
      </c>
      <c r="BM18" s="381">
        <v>1673290.71</v>
      </c>
      <c r="BN18" s="381">
        <v>1229117.07</v>
      </c>
      <c r="BO18" s="381">
        <v>975666.7</v>
      </c>
      <c r="BP18" s="381">
        <v>1002205.77</v>
      </c>
      <c r="BQ18" s="381">
        <v>912709</v>
      </c>
      <c r="BR18" s="381">
        <v>928092</v>
      </c>
      <c r="BS18" s="381">
        <v>891243</v>
      </c>
      <c r="BT18" s="381">
        <v>927213</v>
      </c>
      <c r="BU18" s="381">
        <v>1021816</v>
      </c>
      <c r="BV18" s="133">
        <v>1208624</v>
      </c>
      <c r="BW18" s="133">
        <v>1198343</v>
      </c>
      <c r="BX18" s="133">
        <v>1351333</v>
      </c>
      <c r="BY18" s="133">
        <v>1165896</v>
      </c>
      <c r="BZ18" s="133">
        <v>994560</v>
      </c>
      <c r="CA18" s="133">
        <v>867721</v>
      </c>
      <c r="CB18" s="133">
        <v>775616</v>
      </c>
      <c r="CC18" s="133">
        <v>723092</v>
      </c>
      <c r="CD18" s="133">
        <v>667736</v>
      </c>
      <c r="CE18" s="133">
        <v>709221</v>
      </c>
      <c r="CF18" s="133">
        <v>711384</v>
      </c>
      <c r="CG18" s="133">
        <v>835821</v>
      </c>
      <c r="CH18" s="133">
        <v>1011650</v>
      </c>
      <c r="CI18" s="133">
        <v>1348016</v>
      </c>
      <c r="CJ18" s="133">
        <v>1266415</v>
      </c>
      <c r="CK18" s="133">
        <v>1184675</v>
      </c>
      <c r="CL18" s="133">
        <v>1151187</v>
      </c>
      <c r="CM18" s="133">
        <v>1006057</v>
      </c>
      <c r="CN18" s="133">
        <v>877961</v>
      </c>
      <c r="CO18" s="133">
        <v>808505</v>
      </c>
      <c r="CP18" s="133">
        <v>781210</v>
      </c>
      <c r="CQ18" s="133">
        <v>870712</v>
      </c>
      <c r="CR18" s="133">
        <v>784133</v>
      </c>
      <c r="CS18" s="133">
        <v>963086</v>
      </c>
      <c r="CT18" s="133">
        <v>1194601</v>
      </c>
      <c r="CU18" s="133">
        <v>2221480</v>
      </c>
      <c r="CV18" s="133">
        <v>1945467</v>
      </c>
      <c r="CW18" s="133">
        <v>1555578</v>
      </c>
      <c r="CX18" s="133">
        <v>1615274</v>
      </c>
      <c r="CY18" s="133">
        <v>1279309</v>
      </c>
      <c r="CZ18" s="133">
        <v>1206047</v>
      </c>
      <c r="DA18" s="133">
        <v>1074510</v>
      </c>
      <c r="DB18" s="133">
        <v>1025721</v>
      </c>
      <c r="DC18" s="133">
        <v>1124485</v>
      </c>
      <c r="DD18" s="133">
        <v>1038105</v>
      </c>
      <c r="DE18" s="133">
        <v>1156693</v>
      </c>
      <c r="DF18" s="133">
        <v>1592775</v>
      </c>
      <c r="DG18" s="133">
        <v>2089639.75</v>
      </c>
      <c r="DH18" s="133">
        <v>2114741.98</v>
      </c>
      <c r="DI18" s="133">
        <v>1727079.1</v>
      </c>
      <c r="DJ18" s="133">
        <v>1612990.88</v>
      </c>
      <c r="DK18" s="133">
        <v>1426900.47</v>
      </c>
      <c r="DL18" s="133">
        <v>1214039.6299999999</v>
      </c>
      <c r="DM18" s="724">
        <v>1145227.18</v>
      </c>
      <c r="DN18" s="724">
        <v>1126014.02</v>
      </c>
      <c r="DO18" s="724">
        <v>1157081</v>
      </c>
      <c r="DP18" s="724">
        <v>1157449.17</v>
      </c>
      <c r="DQ18" s="724">
        <v>1310429.8799999999</v>
      </c>
      <c r="DR18" s="724">
        <v>1821342.98</v>
      </c>
      <c r="DS18" s="724">
        <v>2104825.4527363186</v>
      </c>
      <c r="DT18" s="724">
        <v>2074223.393034826</v>
      </c>
      <c r="DU18" s="724">
        <v>1925868.3980099505</v>
      </c>
      <c r="DV18" s="724">
        <v>1475823.064676617</v>
      </c>
      <c r="DW18" s="724">
        <v>1319818.3084577115</v>
      </c>
      <c r="DX18" s="997">
        <v>1290794.5174129354</v>
      </c>
      <c r="DY18" s="997">
        <v>1160864.1890547264</v>
      </c>
      <c r="DZ18" s="997">
        <v>1139760.6368159205</v>
      </c>
      <c r="EA18" s="997">
        <v>1129050.8258706469</v>
      </c>
      <c r="EB18" s="997">
        <v>1206659.721393035</v>
      </c>
      <c r="EC18" s="997">
        <v>1403783.4825870648</v>
      </c>
      <c r="ED18" s="997">
        <v>1842772.288557214</v>
      </c>
      <c r="EE18" s="1031">
        <v>2271144.79</v>
      </c>
      <c r="EF18" s="1031">
        <v>2037720.8</v>
      </c>
      <c r="EG18" s="1031">
        <v>1735252.44</v>
      </c>
      <c r="EH18" s="1031">
        <v>1728972.43</v>
      </c>
      <c r="EI18" s="1031">
        <v>1389625.1</v>
      </c>
      <c r="EJ18" s="1031">
        <v>1277426.24</v>
      </c>
      <c r="EK18" s="1031">
        <v>1220044.76</v>
      </c>
      <c r="EL18" s="1031">
        <v>1116595.76</v>
      </c>
      <c r="EM18" s="1031">
        <v>1182011.53</v>
      </c>
      <c r="EN18" s="1031">
        <v>1158411.58</v>
      </c>
      <c r="EO18" s="1031">
        <v>1356875</v>
      </c>
      <c r="EP18" s="1031">
        <v>1807593.46</v>
      </c>
      <c r="EQ18" s="1031">
        <v>2748932.99</v>
      </c>
      <c r="ER18" s="1031">
        <v>3060083.48</v>
      </c>
      <c r="ES18" s="1031">
        <v>2532865.42</v>
      </c>
      <c r="ET18" s="1031">
        <v>2248845.23</v>
      </c>
      <c r="EU18" s="1031">
        <v>2029055.71</v>
      </c>
      <c r="EV18" s="1031">
        <v>1735395.72</v>
      </c>
      <c r="EW18" s="1031">
        <v>1562281.34</v>
      </c>
      <c r="EX18" s="1031">
        <v>1508194.91</v>
      </c>
      <c r="EY18" s="1031">
        <v>1565727.69</v>
      </c>
      <c r="EZ18" s="1044">
        <f>-(VLOOKUP("4950203",'Input IS ACCTS'!$A$6:GN$513,109,FALSE))</f>
        <v>1770138.56</v>
      </c>
      <c r="FA18" s="1044">
        <f>-(VLOOKUP("4950203",'Input IS ACCTS'!$A$6:GO$513,110,FALSE))</f>
        <v>1881459.29</v>
      </c>
      <c r="FB18" s="1044">
        <f>-(VLOOKUP("4950203",'Input IS ACCTS'!$A$6:GP$513,111,FALSE))</f>
        <v>2292092.62</v>
      </c>
      <c r="FC18" s="42"/>
    </row>
    <row r="19" spans="1:160">
      <c r="A19" s="1000" t="s">
        <v>2618</v>
      </c>
      <c r="B19" s="29"/>
      <c r="C19" s="40"/>
      <c r="D19" s="40"/>
      <c r="E19" s="40"/>
      <c r="F19" s="40"/>
      <c r="G19" s="40"/>
      <c r="H19" s="40"/>
      <c r="I19" s="40"/>
      <c r="J19" s="40"/>
      <c r="K19" s="40"/>
      <c r="L19" s="40"/>
      <c r="M19" s="40"/>
      <c r="N19" s="40"/>
      <c r="O19" s="131"/>
      <c r="P19" s="131"/>
      <c r="Q19" s="131"/>
      <c r="R19" s="131"/>
      <c r="S19" s="131"/>
      <c r="T19" s="131"/>
      <c r="U19" s="131"/>
      <c r="V19" s="131"/>
      <c r="W19" s="131"/>
      <c r="X19" s="126"/>
      <c r="Y19" s="126"/>
      <c r="Z19" s="126"/>
      <c r="AA19" s="126"/>
      <c r="AB19" s="126"/>
      <c r="AC19" s="126"/>
      <c r="AD19" s="126"/>
      <c r="AE19" s="126"/>
      <c r="AF19" s="126"/>
      <c r="AG19" s="126"/>
      <c r="AH19" s="126"/>
      <c r="AI19" s="276"/>
      <c r="AJ19" s="276"/>
      <c r="AK19" s="276"/>
      <c r="AL19" s="276"/>
      <c r="AM19" s="276"/>
      <c r="AN19" s="276"/>
      <c r="AO19" s="276"/>
      <c r="AP19" s="276"/>
      <c r="AQ19" s="276"/>
      <c r="AR19" s="276"/>
      <c r="AS19" s="276"/>
      <c r="AT19" s="276"/>
      <c r="AU19" s="276"/>
      <c r="AV19" s="276"/>
      <c r="AW19" s="276"/>
      <c r="AX19" s="276"/>
      <c r="AY19" s="322">
        <v>1549250.45</v>
      </c>
      <c r="AZ19" s="322">
        <v>3172510.21</v>
      </c>
      <c r="BA19" s="322">
        <v>4507725.68</v>
      </c>
      <c r="BB19" s="322">
        <v>5696463.1699999999</v>
      </c>
      <c r="BC19" s="322">
        <v>6673258.1399999997</v>
      </c>
      <c r="BD19" s="322">
        <v>7606043.5899999999</v>
      </c>
      <c r="BE19" s="322">
        <v>8965517.8300000001</v>
      </c>
      <c r="BF19" s="322">
        <v>9943502.8000000007</v>
      </c>
      <c r="BG19" s="322">
        <v>11066444.82</v>
      </c>
      <c r="BH19" s="322">
        <v>12044365.09</v>
      </c>
      <c r="BI19" s="322">
        <v>13040153.5</v>
      </c>
      <c r="BJ19" s="322">
        <v>14355349.140000001</v>
      </c>
      <c r="BK19" s="322">
        <f t="shared" ref="BK19:CP19" si="19">SUM(AZ18:BK18)+SUM(AZ17:BK17)</f>
        <v>14470328.609999999</v>
      </c>
      <c r="BL19" s="322">
        <f t="shared" si="19"/>
        <v>14572845.469999999</v>
      </c>
      <c r="BM19" s="322">
        <f t="shared" si="19"/>
        <v>14910920.710000001</v>
      </c>
      <c r="BN19" s="322">
        <f t="shared" si="19"/>
        <v>14951300.290000003</v>
      </c>
      <c r="BO19" s="322">
        <f t="shared" si="19"/>
        <v>15015237.02</v>
      </c>
      <c r="BP19" s="322">
        <f t="shared" si="19"/>
        <v>15084657.34</v>
      </c>
      <c r="BQ19" s="322">
        <f t="shared" si="19"/>
        <v>14657689.099999998</v>
      </c>
      <c r="BR19" s="322">
        <f t="shared" si="19"/>
        <v>14816770.129999999</v>
      </c>
      <c r="BS19" s="322">
        <f t="shared" si="19"/>
        <v>14675573.109999999</v>
      </c>
      <c r="BT19" s="322">
        <f t="shared" si="19"/>
        <v>15005258.839999998</v>
      </c>
      <c r="BU19" s="322">
        <f t="shared" si="19"/>
        <v>15031286.43</v>
      </c>
      <c r="BV19" s="322">
        <f t="shared" si="19"/>
        <v>14924714.790000001</v>
      </c>
      <c r="BW19" s="322">
        <f t="shared" si="19"/>
        <v>14458827.870000001</v>
      </c>
      <c r="BX19" s="322">
        <f t="shared" si="19"/>
        <v>14084384.25</v>
      </c>
      <c r="BY19" s="322">
        <f t="shared" si="19"/>
        <v>13576989.539999999</v>
      </c>
      <c r="BZ19" s="322">
        <f t="shared" si="19"/>
        <v>13342432.469999999</v>
      </c>
      <c r="CA19" s="322">
        <f t="shared" si="19"/>
        <v>13313610.77</v>
      </c>
      <c r="CB19" s="322">
        <f t="shared" si="19"/>
        <v>13282035</v>
      </c>
      <c r="CC19" s="322">
        <f t="shared" si="19"/>
        <v>13200805</v>
      </c>
      <c r="CD19" s="322">
        <f t="shared" si="19"/>
        <v>13351282</v>
      </c>
      <c r="CE19" s="322">
        <f t="shared" si="19"/>
        <v>13120522</v>
      </c>
      <c r="CF19" s="322">
        <f t="shared" si="19"/>
        <v>12951983</v>
      </c>
      <c r="CG19" s="322">
        <f t="shared" si="19"/>
        <v>12765988</v>
      </c>
      <c r="CH19" s="322">
        <f t="shared" si="19"/>
        <v>12871261</v>
      </c>
      <c r="CI19" s="322">
        <f t="shared" si="19"/>
        <v>13005133</v>
      </c>
      <c r="CJ19" s="322">
        <f t="shared" si="19"/>
        <v>12904414</v>
      </c>
      <c r="CK19" s="322">
        <f t="shared" si="19"/>
        <v>12907392</v>
      </c>
      <c r="CL19" s="322">
        <f t="shared" si="19"/>
        <v>13048218</v>
      </c>
      <c r="CM19" s="322">
        <f t="shared" si="19"/>
        <v>13480658</v>
      </c>
      <c r="CN19" s="322">
        <f t="shared" si="19"/>
        <v>14012612</v>
      </c>
      <c r="CO19" s="322">
        <f t="shared" si="19"/>
        <v>14626230</v>
      </c>
      <c r="CP19" s="322">
        <f t="shared" si="19"/>
        <v>14946487</v>
      </c>
      <c r="CQ19" s="322">
        <f t="shared" ref="CQ19:DV19" si="20">SUM(CF18:CQ18)+SUM(CF17:CQ17)</f>
        <v>15465241</v>
      </c>
      <c r="CR19" s="322">
        <f t="shared" si="20"/>
        <v>16308263</v>
      </c>
      <c r="CS19" s="322">
        <f t="shared" si="20"/>
        <v>16827603</v>
      </c>
      <c r="CT19" s="322">
        <f t="shared" si="20"/>
        <v>16692506</v>
      </c>
      <c r="CU19" s="322">
        <f t="shared" si="20"/>
        <v>17400607</v>
      </c>
      <c r="CV19" s="322">
        <f t="shared" si="20"/>
        <v>17914296</v>
      </c>
      <c r="CW19" s="322">
        <f t="shared" si="20"/>
        <v>18592716</v>
      </c>
      <c r="CX19" s="322">
        <f t="shared" si="20"/>
        <v>20069797</v>
      </c>
      <c r="CY19" s="322">
        <f t="shared" si="20"/>
        <v>19723592</v>
      </c>
      <c r="CZ19" s="322">
        <f t="shared" si="20"/>
        <v>19538159</v>
      </c>
      <c r="DA19" s="322">
        <f t="shared" si="20"/>
        <v>20416124</v>
      </c>
      <c r="DB19" s="322">
        <f t="shared" si="20"/>
        <v>20546510</v>
      </c>
      <c r="DC19" s="322">
        <f t="shared" si="20"/>
        <v>20401256</v>
      </c>
      <c r="DD19" s="322">
        <f t="shared" si="20"/>
        <v>20675052</v>
      </c>
      <c r="DE19" s="322">
        <f t="shared" si="20"/>
        <v>20528252</v>
      </c>
      <c r="DF19" s="322">
        <f t="shared" si="20"/>
        <v>20942227</v>
      </c>
      <c r="DG19" s="322">
        <f t="shared" si="20"/>
        <v>20991550.75</v>
      </c>
      <c r="DH19" s="322">
        <f t="shared" si="20"/>
        <v>21341989.73</v>
      </c>
      <c r="DI19" s="322">
        <f t="shared" si="20"/>
        <v>21221774.830000002</v>
      </c>
      <c r="DJ19" s="322">
        <f t="shared" si="20"/>
        <v>20222298.710000001</v>
      </c>
      <c r="DK19" s="322">
        <f t="shared" si="20"/>
        <v>20551054.18</v>
      </c>
      <c r="DL19" s="322">
        <f t="shared" si="20"/>
        <v>21125807.810000002</v>
      </c>
      <c r="DM19" s="322">
        <f t="shared" si="20"/>
        <v>21026314.990000002</v>
      </c>
      <c r="DN19" s="322">
        <f t="shared" si="20"/>
        <v>20770286.010000002</v>
      </c>
      <c r="DO19" s="322">
        <f t="shared" si="20"/>
        <v>20802882.010000002</v>
      </c>
      <c r="DP19" s="322">
        <f t="shared" si="20"/>
        <v>20267492.18</v>
      </c>
      <c r="DQ19" s="322">
        <f t="shared" si="20"/>
        <v>20579543.060000002</v>
      </c>
      <c r="DR19" s="322">
        <f t="shared" si="20"/>
        <v>20808111.039999999</v>
      </c>
      <c r="DS19" s="322">
        <f t="shared" si="20"/>
        <v>20823296.742736317</v>
      </c>
      <c r="DT19" s="322">
        <f t="shared" si="20"/>
        <v>20782778.155771144</v>
      </c>
      <c r="DU19" s="322">
        <f t="shared" si="20"/>
        <v>20981567.453781098</v>
      </c>
      <c r="DV19" s="322">
        <f t="shared" si="20"/>
        <v>21105344.638457712</v>
      </c>
      <c r="DW19" s="322">
        <f t="shared" ref="DW19:EJ19" si="21">SUM(DL18:DW18)+SUM(DL17:DW17)</f>
        <v>21252575.476915423</v>
      </c>
      <c r="DX19" s="322">
        <f t="shared" si="21"/>
        <v>20966917.364328358</v>
      </c>
      <c r="DY19" s="322">
        <f t="shared" si="21"/>
        <v>20148250.373383086</v>
      </c>
      <c r="DZ19" s="322">
        <f t="shared" si="21"/>
        <v>20302379.990199003</v>
      </c>
      <c r="EA19" s="322">
        <f t="shared" si="21"/>
        <v>21064498.816069648</v>
      </c>
      <c r="EB19" s="322">
        <f t="shared" si="21"/>
        <v>21454573.367462683</v>
      </c>
      <c r="EC19" s="322">
        <f t="shared" si="21"/>
        <v>21471360.97004975</v>
      </c>
      <c r="ED19" s="322">
        <f t="shared" si="21"/>
        <v>21492790.278606966</v>
      </c>
      <c r="EE19" s="322">
        <f t="shared" si="21"/>
        <v>21659109.615870651</v>
      </c>
      <c r="EF19" s="322">
        <f t="shared" si="21"/>
        <v>21622607.022835825</v>
      </c>
      <c r="EG19" s="322">
        <f t="shared" si="21"/>
        <v>21431991.064825874</v>
      </c>
      <c r="EH19" s="322">
        <f t="shared" si="21"/>
        <v>21422295.430149257</v>
      </c>
      <c r="EI19" s="322">
        <f t="shared" si="21"/>
        <v>21237789.221691545</v>
      </c>
      <c r="EJ19" s="322">
        <f t="shared" si="21"/>
        <v>20921194.944278605</v>
      </c>
      <c r="EK19" s="322">
        <f t="shared" ref="EK19:EY19" si="22">SUM(DZ18:EK18)+SUM(DZ17:EK17)</f>
        <v>21016723.515223879</v>
      </c>
      <c r="EL19" s="322">
        <f t="shared" si="22"/>
        <v>20497032.638407961</v>
      </c>
      <c r="EM19" s="322">
        <f t="shared" si="22"/>
        <v>20264202.342537314</v>
      </c>
      <c r="EN19" s="322">
        <f t="shared" si="22"/>
        <v>19703639.201144278</v>
      </c>
      <c r="EO19" s="322">
        <f t="shared" si="22"/>
        <v>19663830.718557213</v>
      </c>
      <c r="EP19" s="322">
        <f t="shared" si="22"/>
        <v>19628651.889999997</v>
      </c>
      <c r="EQ19" s="322">
        <f t="shared" si="22"/>
        <v>20106440.089999996</v>
      </c>
      <c r="ER19" s="322">
        <f t="shared" si="22"/>
        <v>21128802.77</v>
      </c>
      <c r="ES19" s="322">
        <f t="shared" si="22"/>
        <v>22553750.75</v>
      </c>
      <c r="ET19" s="322">
        <f t="shared" si="22"/>
        <v>23075523.550000001</v>
      </c>
      <c r="EU19" s="322">
        <f t="shared" si="22"/>
        <v>23714954.16</v>
      </c>
      <c r="EV19" s="322">
        <f t="shared" si="22"/>
        <v>24160697.640000001</v>
      </c>
      <c r="EW19" s="322">
        <f t="shared" si="22"/>
        <v>25825702.219999999</v>
      </c>
      <c r="EX19" s="322">
        <f t="shared" si="22"/>
        <v>26742666.370000001</v>
      </c>
      <c r="EY19" s="322">
        <f t="shared" si="22"/>
        <v>27513814.530000001</v>
      </c>
      <c r="EZ19" s="322">
        <f t="shared" ref="EZ19" si="23">SUM(EO18:EZ18)+SUM(EO17:EZ17)</f>
        <v>28214105.509999998</v>
      </c>
      <c r="FA19" s="322">
        <f t="shared" ref="FA19" si="24">SUM(EP18:FA18)+SUM(EP17:FA17)</f>
        <v>29068650.800000001</v>
      </c>
      <c r="FB19" s="322">
        <f t="shared" ref="FB19" si="25">SUM(EQ18:FB18)+SUM(EQ17:FB17)</f>
        <v>29649198.960000001</v>
      </c>
    </row>
    <row r="20" spans="1:160">
      <c r="A20" s="1000" t="s">
        <v>2619</v>
      </c>
      <c r="B20" s="134"/>
      <c r="C20" s="127">
        <v>3049415.35</v>
      </c>
      <c r="D20" s="127">
        <v>3130795.16</v>
      </c>
      <c r="E20" s="127">
        <v>3146422.24</v>
      </c>
      <c r="F20" s="127">
        <v>3147488.09</v>
      </c>
      <c r="G20" s="127">
        <v>3148680.27</v>
      </c>
      <c r="H20" s="127">
        <v>3444367.12</v>
      </c>
      <c r="I20" s="127">
        <v>3636930.23</v>
      </c>
      <c r="J20" s="127">
        <v>4038172.65</v>
      </c>
      <c r="K20" s="127">
        <v>4120721</v>
      </c>
      <c r="L20" s="127">
        <v>3750878.87</v>
      </c>
      <c r="M20" s="127">
        <v>3738658.66</v>
      </c>
      <c r="N20" s="127">
        <v>3957281.96</v>
      </c>
      <c r="O20" s="127"/>
      <c r="P20" s="127"/>
      <c r="Q20" s="127"/>
      <c r="R20" s="127"/>
      <c r="S20" s="127"/>
      <c r="T20" s="127"/>
      <c r="U20" s="127"/>
      <c r="V20" s="127"/>
      <c r="W20" s="127"/>
      <c r="X20" s="127"/>
      <c r="Y20" s="127"/>
      <c r="Z20" s="127"/>
      <c r="AA20" s="127"/>
      <c r="AB20" s="127"/>
      <c r="AC20" s="127"/>
      <c r="AD20" s="127"/>
      <c r="AE20" s="127"/>
      <c r="AF20" s="127"/>
      <c r="AG20" s="127"/>
      <c r="AH20" s="127"/>
      <c r="AI20" s="275"/>
      <c r="AJ20" s="275"/>
      <c r="AK20" s="275"/>
      <c r="AL20" s="275"/>
      <c r="AM20" s="275"/>
      <c r="AN20" s="275"/>
      <c r="AO20" s="275"/>
      <c r="AP20" s="275"/>
      <c r="AQ20" s="275"/>
      <c r="AR20" s="275"/>
      <c r="AS20" s="275"/>
      <c r="AT20" s="275"/>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f t="shared" ref="CZ20:DK20" si="26">+CZ19-CZ15</f>
        <v>1</v>
      </c>
      <c r="DA20" s="40">
        <f t="shared" si="26"/>
        <v>1</v>
      </c>
      <c r="DB20" s="40">
        <f t="shared" si="26"/>
        <v>1</v>
      </c>
      <c r="DC20" s="40">
        <f t="shared" si="26"/>
        <v>1</v>
      </c>
      <c r="DD20" s="40">
        <f t="shared" si="26"/>
        <v>2</v>
      </c>
      <c r="DE20" s="40">
        <f t="shared" si="26"/>
        <v>2</v>
      </c>
      <c r="DF20" s="40">
        <f t="shared" si="26"/>
        <v>3</v>
      </c>
      <c r="DG20" s="40">
        <f t="shared" si="26"/>
        <v>2.75</v>
      </c>
      <c r="DH20" s="40">
        <f t="shared" si="26"/>
        <v>1.7300000004470348</v>
      </c>
      <c r="DI20" s="40">
        <f t="shared" si="26"/>
        <v>2.830000001937151</v>
      </c>
      <c r="DJ20" s="40">
        <f t="shared" si="26"/>
        <v>1.7100000008940697</v>
      </c>
      <c r="DK20" s="40">
        <f t="shared" si="26"/>
        <v>2.1799999997019768</v>
      </c>
      <c r="DL20" s="40">
        <f t="shared" ref="DL20:DR20" si="27">+DL19-DL15</f>
        <v>2.8100000023841858</v>
      </c>
      <c r="DM20" s="40">
        <f t="shared" si="27"/>
        <v>2.9900000020861626</v>
      </c>
      <c r="DN20" s="40">
        <f t="shared" si="27"/>
        <v>3.0100000016391277</v>
      </c>
      <c r="DO20" s="40">
        <f t="shared" si="27"/>
        <v>2.9300000034272671</v>
      </c>
      <c r="DP20" s="40">
        <f t="shared" si="27"/>
        <v>1.9600000008940697</v>
      </c>
      <c r="DQ20" s="40">
        <f>+DQ19-DQ15</f>
        <v>1.9000000059604645</v>
      </c>
      <c r="DR20" s="40">
        <f t="shared" si="27"/>
        <v>1.6900000013411045</v>
      </c>
      <c r="DS20" s="40">
        <f t="shared" ref="DS20:DX20" si="28">+DS19-DS15</f>
        <v>1.2727363184094429</v>
      </c>
      <c r="DT20" s="40">
        <f t="shared" si="28"/>
        <v>1.3757711462676525</v>
      </c>
      <c r="DU20" s="40">
        <f t="shared" si="28"/>
        <v>0.90378110110759735</v>
      </c>
      <c r="DV20" s="40">
        <f t="shared" si="28"/>
        <v>0.63845771551132202</v>
      </c>
      <c r="DW20" s="40">
        <f t="shared" si="28"/>
        <v>-0.31308457627892494</v>
      </c>
      <c r="DX20" s="995">
        <f t="shared" si="28"/>
        <v>-1.3656716421246529</v>
      </c>
      <c r="DY20" s="995">
        <f t="shared" ref="DY20:ED20" si="29">+DY19-DY15</f>
        <v>-1.6766169108450413</v>
      </c>
      <c r="DZ20" s="995">
        <f t="shared" si="29"/>
        <v>-1.6898009963333607</v>
      </c>
      <c r="EA20" s="995">
        <f t="shared" si="29"/>
        <v>-2.0139303505420685</v>
      </c>
      <c r="EB20" s="995">
        <f t="shared" si="29"/>
        <v>-1.5825373195111752</v>
      </c>
      <c r="EC20" s="995">
        <f t="shared" si="29"/>
        <v>-1.5299502499401569</v>
      </c>
      <c r="ED20" s="995">
        <f t="shared" si="29"/>
        <v>-1.1613930314779282</v>
      </c>
      <c r="EE20" s="995">
        <f t="shared" ref="EE20:EJ20" si="30">+EE19-EE15</f>
        <v>-1.6241293512284756</v>
      </c>
      <c r="EF20" s="995">
        <f t="shared" si="30"/>
        <v>-1.197164174169302</v>
      </c>
      <c r="EG20" s="995">
        <f t="shared" si="30"/>
        <v>-1.1451741270720959</v>
      </c>
      <c r="EH20" s="995">
        <f t="shared" si="30"/>
        <v>-0.7098507434129715</v>
      </c>
      <c r="EI20" s="995">
        <f t="shared" si="30"/>
        <v>0.17169154435396194</v>
      </c>
      <c r="EJ20" s="995">
        <f t="shared" si="30"/>
        <v>0.75427860766649246</v>
      </c>
      <c r="EK20" s="995">
        <f t="shared" ref="EK20:EP20" si="31">+EK19-EK15</f>
        <v>1.2352238819003105</v>
      </c>
      <c r="EL20" s="995">
        <f t="shared" si="31"/>
        <v>1.6884079612791538</v>
      </c>
      <c r="EM20" s="995">
        <f t="shared" si="31"/>
        <v>2.4925373122096062</v>
      </c>
      <c r="EN20" s="995">
        <f t="shared" si="31"/>
        <v>2.0211442783474922</v>
      </c>
      <c r="EO20" s="995">
        <f t="shared" si="31"/>
        <v>2.2285572104156017</v>
      </c>
      <c r="EP20" s="995">
        <f t="shared" si="31"/>
        <v>0.41999999806284904</v>
      </c>
      <c r="EQ20" s="995">
        <f t="shared" ref="EQ20:ES20" si="32">+EQ19-EQ15</f>
        <v>0.16999999433755875</v>
      </c>
      <c r="ER20" s="995">
        <f t="shared" si="32"/>
        <v>-0.39000000059604645</v>
      </c>
      <c r="ES20" s="995">
        <f t="shared" si="32"/>
        <v>-0.21000000089406967</v>
      </c>
      <c r="ET20" s="995">
        <f t="shared" ref="ET20:EV20" si="33">+ET19-ET15</f>
        <v>0.21000000089406967</v>
      </c>
      <c r="EU20" s="995">
        <f t="shared" si="33"/>
        <v>0.26999999955296516</v>
      </c>
      <c r="EV20" s="995">
        <f t="shared" si="33"/>
        <v>-0.49000000208616257</v>
      </c>
      <c r="EW20" s="995">
        <f t="shared" ref="EW20:EY20" si="34">+EW19-EW15</f>
        <v>-0.92000000178813934</v>
      </c>
      <c r="EX20" s="995">
        <f t="shared" si="34"/>
        <v>-1.4599999971687794</v>
      </c>
      <c r="EY20" s="995">
        <f t="shared" si="34"/>
        <v>-2</v>
      </c>
      <c r="EZ20" s="995">
        <f t="shared" ref="EZ20:FB20" si="35">+EZ19-EZ15</f>
        <v>-1.7899999991059303</v>
      </c>
      <c r="FA20" s="995">
        <f t="shared" si="35"/>
        <v>-0.50999999791383743</v>
      </c>
      <c r="FB20" s="995">
        <f t="shared" si="35"/>
        <v>0.67999999970197678</v>
      </c>
    </row>
    <row r="21" spans="1:160">
      <c r="P21" s="3"/>
      <c r="Q21" s="3"/>
      <c r="R21" s="3"/>
      <c r="S21" s="3"/>
      <c r="T21" s="3"/>
      <c r="U21" s="3"/>
      <c r="V21" s="3"/>
      <c r="W21" s="3"/>
      <c r="X21" s="3"/>
      <c r="Y21" s="3"/>
      <c r="Z21" s="3"/>
      <c r="AA21" s="3"/>
      <c r="AC21" s="151"/>
      <c r="AD21" s="151"/>
      <c r="AE21" s="151"/>
      <c r="AF21" s="151"/>
      <c r="AG21" s="151"/>
      <c r="AH21" s="151"/>
      <c r="AI21" s="277"/>
      <c r="AJ21" s="277"/>
      <c r="AK21" s="277"/>
      <c r="AL21" s="277"/>
      <c r="AM21" s="277"/>
      <c r="AN21" s="277"/>
      <c r="AO21" s="277"/>
      <c r="AP21" s="277"/>
      <c r="AQ21" s="277"/>
      <c r="AR21" s="277"/>
      <c r="AS21" s="277"/>
      <c r="AT21" s="277"/>
    </row>
    <row r="22" spans="1:160">
      <c r="A22" s="992" t="s">
        <v>2621</v>
      </c>
      <c r="B22" s="143"/>
      <c r="C22" s="40"/>
      <c r="D22" s="40"/>
      <c r="E22" s="40"/>
      <c r="F22" s="40"/>
      <c r="G22" s="40"/>
      <c r="H22" s="40"/>
      <c r="I22" s="40"/>
      <c r="J22" s="40"/>
      <c r="K22" s="40"/>
      <c r="L22" s="40">
        <v>5292.42</v>
      </c>
      <c r="M22" s="40">
        <v>12545</v>
      </c>
      <c r="N22" s="40">
        <v>13981.95</v>
      </c>
      <c r="O22" s="40">
        <v>2175</v>
      </c>
      <c r="P22" s="40">
        <v>49939</v>
      </c>
      <c r="Q22" s="40">
        <v>32465</v>
      </c>
      <c r="R22" s="40">
        <v>7665.82</v>
      </c>
      <c r="S22" s="40">
        <v>11583</v>
      </c>
      <c r="T22" s="40">
        <v>1463</v>
      </c>
      <c r="U22" s="40">
        <v>30638.35</v>
      </c>
      <c r="V22" s="40">
        <v>6120</v>
      </c>
      <c r="W22" s="40">
        <v>2478.09</v>
      </c>
      <c r="X22" s="133">
        <v>12139</v>
      </c>
      <c r="Y22" s="133">
        <v>13191</v>
      </c>
      <c r="Z22" s="133">
        <v>3750</v>
      </c>
      <c r="AA22" s="133">
        <v>150</v>
      </c>
      <c r="AB22" s="133">
        <v>13335</v>
      </c>
      <c r="AC22" s="133">
        <v>11775</v>
      </c>
      <c r="AD22" s="133">
        <v>22051.08</v>
      </c>
      <c r="AE22" s="133">
        <v>43471</v>
      </c>
      <c r="AF22" s="133">
        <v>4485</v>
      </c>
      <c r="AG22" s="133">
        <v>1500</v>
      </c>
      <c r="AH22" s="133">
        <v>7645</v>
      </c>
      <c r="AI22" s="275">
        <v>400</v>
      </c>
      <c r="AJ22" s="275">
        <v>6900</v>
      </c>
      <c r="AK22" s="275">
        <v>9000</v>
      </c>
      <c r="AL22" s="275">
        <v>23470</v>
      </c>
      <c r="AM22" s="273">
        <v>25000</v>
      </c>
      <c r="AN22" s="273">
        <v>5479.95</v>
      </c>
      <c r="AO22" s="273">
        <v>8695</v>
      </c>
      <c r="AP22" s="247">
        <v>9864.92</v>
      </c>
      <c r="AQ22" s="247">
        <v>27105</v>
      </c>
      <c r="AR22" s="247">
        <v>2826.27</v>
      </c>
      <c r="AS22" s="247">
        <v>89348</v>
      </c>
      <c r="AT22" s="247">
        <v>-3400</v>
      </c>
      <c r="AU22" s="247">
        <v>8150</v>
      </c>
      <c r="AV22" s="247">
        <v>6360</v>
      </c>
      <c r="AW22" s="247">
        <v>3000</v>
      </c>
      <c r="AX22" s="247">
        <v>3270</v>
      </c>
      <c r="AY22" s="382">
        <v>20000</v>
      </c>
      <c r="AZ22" s="382">
        <v>40850</v>
      </c>
      <c r="BA22" s="382">
        <v>63684</v>
      </c>
      <c r="BB22" s="382">
        <v>35925</v>
      </c>
      <c r="BC22" s="382">
        <v>51032</v>
      </c>
      <c r="BD22" s="382">
        <v>1675</v>
      </c>
      <c r="BE22" s="382">
        <v>1710</v>
      </c>
      <c r="BF22" s="382">
        <v>11600</v>
      </c>
      <c r="BG22" s="382">
        <v>23320</v>
      </c>
      <c r="BH22" s="382">
        <v>1079.8800000000001</v>
      </c>
      <c r="BI22" s="382">
        <v>995.12</v>
      </c>
      <c r="BJ22" s="382">
        <v>3875</v>
      </c>
      <c r="BK22" s="382">
        <v>25000</v>
      </c>
      <c r="BL22" s="382">
        <v>74625</v>
      </c>
      <c r="BM22" s="382">
        <v>2001.88</v>
      </c>
      <c r="BN22" s="382">
        <v>74620</v>
      </c>
      <c r="BO22" s="382">
        <v>14185</v>
      </c>
      <c r="BP22" s="382">
        <v>7475</v>
      </c>
      <c r="BQ22" s="382">
        <v>16175</v>
      </c>
      <c r="BR22" s="382">
        <v>12276.88</v>
      </c>
      <c r="BS22" s="382">
        <v>15000</v>
      </c>
      <c r="BT22" s="382">
        <v>4859.88</v>
      </c>
      <c r="BU22" s="382">
        <v>1595.12</v>
      </c>
      <c r="BV22" s="419">
        <v>18045</v>
      </c>
      <c r="BW22" s="419">
        <v>135000</v>
      </c>
      <c r="BX22" s="419">
        <v>14000</v>
      </c>
      <c r="BY22" s="419">
        <v>57067</v>
      </c>
      <c r="BZ22" s="419">
        <v>2910</v>
      </c>
      <c r="CA22" s="419">
        <v>4675</v>
      </c>
      <c r="CB22" s="419">
        <v>9135</v>
      </c>
      <c r="CC22" s="419">
        <v>4850</v>
      </c>
      <c r="CD22" s="419">
        <v>5612.59</v>
      </c>
      <c r="CE22" s="419">
        <v>8372.59</v>
      </c>
      <c r="CF22" s="419">
        <v>21940.080000000002</v>
      </c>
      <c r="CG22" s="419">
        <v>26575.119999999999</v>
      </c>
      <c r="CH22" s="419">
        <v>150831</v>
      </c>
      <c r="CI22" s="419">
        <v>20436.32</v>
      </c>
      <c r="CJ22" s="419">
        <v>5436.5</v>
      </c>
      <c r="CK22" s="419">
        <v>12500</v>
      </c>
      <c r="CL22" s="419">
        <v>750</v>
      </c>
      <c r="CM22" s="419">
        <v>3722.11</v>
      </c>
      <c r="CN22" s="419">
        <v>256.89999999999998</v>
      </c>
      <c r="CO22" s="419">
        <v>17073.8</v>
      </c>
      <c r="CP22" s="419">
        <v>5600</v>
      </c>
      <c r="CQ22" s="419">
        <v>5977.33</v>
      </c>
      <c r="CR22" s="419">
        <v>16739.98</v>
      </c>
      <c r="CS22" s="419">
        <v>6000</v>
      </c>
      <c r="CT22" s="419">
        <v>84295</v>
      </c>
      <c r="CU22" s="419">
        <v>47998</v>
      </c>
      <c r="CV22" s="419">
        <v>15045</v>
      </c>
      <c r="CW22" s="419">
        <v>39596.61</v>
      </c>
      <c r="CX22" s="419">
        <v>2853</v>
      </c>
      <c r="CY22" s="419">
        <v>25705</v>
      </c>
      <c r="CZ22" s="419">
        <v>68320</v>
      </c>
      <c r="DA22" s="419">
        <v>39133.199999999997</v>
      </c>
      <c r="DB22" s="419">
        <v>2100</v>
      </c>
      <c r="DC22" s="419">
        <v>5925</v>
      </c>
      <c r="DD22" s="419">
        <v>18600</v>
      </c>
      <c r="DE22" s="419">
        <v>12745</v>
      </c>
      <c r="DF22" s="419">
        <v>35405</v>
      </c>
      <c r="DG22" s="419">
        <v>54941</v>
      </c>
      <c r="DH22" s="419">
        <v>50736.07</v>
      </c>
      <c r="DI22" s="419">
        <v>7845</v>
      </c>
      <c r="DJ22" s="419">
        <v>52038.16</v>
      </c>
      <c r="DK22" s="419">
        <v>26405</v>
      </c>
      <c r="DL22" s="419">
        <v>64332.46</v>
      </c>
      <c r="DM22" s="419">
        <v>2014.94</v>
      </c>
      <c r="DN22" s="419">
        <v>-23445</v>
      </c>
      <c r="DO22" s="419">
        <v>5750</v>
      </c>
      <c r="DP22" s="419">
        <v>14545</v>
      </c>
      <c r="DQ22" s="419">
        <v>8120</v>
      </c>
      <c r="DR22" s="419">
        <v>33923.32</v>
      </c>
      <c r="DS22" s="419">
        <v>65982.100000000006</v>
      </c>
      <c r="DT22" s="419">
        <v>64297.68</v>
      </c>
      <c r="DU22" s="419">
        <v>1057.3</v>
      </c>
      <c r="DV22" s="419">
        <v>6570.68</v>
      </c>
      <c r="DW22" s="419">
        <v>39700</v>
      </c>
      <c r="DX22" s="327">
        <v>4205</v>
      </c>
      <c r="DY22" s="327">
        <v>16900</v>
      </c>
      <c r="DZ22" s="327">
        <v>25000</v>
      </c>
      <c r="EA22" s="327">
        <v>5955</v>
      </c>
      <c r="EB22" s="327">
        <v>6125</v>
      </c>
      <c r="EC22" s="327">
        <v>14500</v>
      </c>
      <c r="ED22" s="327">
        <v>98044.32</v>
      </c>
      <c r="EE22" s="327">
        <v>0</v>
      </c>
      <c r="EF22" s="327">
        <v>109190.5</v>
      </c>
      <c r="EG22" s="327">
        <v>43795</v>
      </c>
      <c r="EH22" s="327">
        <v>28675</v>
      </c>
      <c r="EI22" s="327">
        <v>2320.5300000000002</v>
      </c>
      <c r="EJ22" s="327">
        <v>15057.28</v>
      </c>
      <c r="EK22" s="327">
        <v>2600</v>
      </c>
      <c r="EL22" s="327">
        <v>24545.33</v>
      </c>
      <c r="EM22" s="327">
        <v>12388.44</v>
      </c>
      <c r="EN22" s="327">
        <v>38080.9</v>
      </c>
      <c r="EO22" s="327">
        <v>8239.1</v>
      </c>
      <c r="EP22" s="327">
        <v>87525</v>
      </c>
      <c r="EQ22" s="327">
        <v>85195</v>
      </c>
      <c r="ER22" s="327">
        <v>4091.15</v>
      </c>
      <c r="ES22" s="327">
        <v>16190.92</v>
      </c>
      <c r="ET22" s="327">
        <v>10080</v>
      </c>
      <c r="EU22" s="327">
        <v>58857.96</v>
      </c>
      <c r="EV22" s="327">
        <v>10108.959999999999</v>
      </c>
      <c r="EW22" s="327">
        <v>21943</v>
      </c>
      <c r="EX22" s="327">
        <v>34084.959999999999</v>
      </c>
      <c r="EY22" s="327">
        <v>13450</v>
      </c>
      <c r="EZ22" s="994">
        <f>(VLOOKUP("6790055",'Input IS ACCTS'!$A$6:GO$513,109,FALSE))</f>
        <v>5275</v>
      </c>
      <c r="FA22" s="994">
        <f>(VLOOKUP("6790055",'Input IS ACCTS'!$A$6:GP$513,110,FALSE))</f>
        <v>19250</v>
      </c>
      <c r="FB22" s="994">
        <f>(VLOOKUP("6790055",'Input IS ACCTS'!$A$6:GQ$513,111,FALSE))</f>
        <v>43085</v>
      </c>
      <c r="FD22" s="104">
        <f>SUM(EQ22:FB22)</f>
        <v>321611.94999999995</v>
      </c>
    </row>
    <row r="23" spans="1:160">
      <c r="A23" s="1001" t="s">
        <v>2622</v>
      </c>
      <c r="B23" s="143"/>
      <c r="F23" s="3"/>
      <c r="G23" s="3"/>
      <c r="H23" s="3"/>
      <c r="I23" s="3"/>
      <c r="J23" s="3"/>
      <c r="K23" s="35"/>
      <c r="L23" s="35">
        <v>5292.42</v>
      </c>
      <c r="M23" s="35">
        <v>17837.419999999998</v>
      </c>
      <c r="N23" s="35">
        <v>31819.37</v>
      </c>
      <c r="O23" s="35">
        <v>33994.369999999995</v>
      </c>
      <c r="P23" s="35">
        <v>83933.37</v>
      </c>
      <c r="Q23" s="35">
        <v>116398.37</v>
      </c>
      <c r="R23" s="35">
        <v>124064.19</v>
      </c>
      <c r="S23" s="35">
        <v>135647.19</v>
      </c>
      <c r="T23" s="35">
        <v>137110.19</v>
      </c>
      <c r="U23" s="35">
        <v>167748.54</v>
      </c>
      <c r="V23" s="35">
        <v>173868.54</v>
      </c>
      <c r="W23" s="35">
        <v>176346.63</v>
      </c>
      <c r="X23" s="157">
        <v>183193.21</v>
      </c>
      <c r="Y23" s="157">
        <v>183839.21</v>
      </c>
      <c r="Z23" s="157">
        <v>173607.26</v>
      </c>
      <c r="AA23" s="157">
        <v>171582.26</v>
      </c>
      <c r="AB23" s="157">
        <v>134978.26</v>
      </c>
      <c r="AC23" s="157">
        <v>114288.26</v>
      </c>
      <c r="AD23" s="157">
        <v>128673.52</v>
      </c>
      <c r="AE23" s="157">
        <v>160561.52000000002</v>
      </c>
      <c r="AF23" s="157">
        <v>163583.52000000002</v>
      </c>
      <c r="AG23" s="157">
        <v>134445.16999999998</v>
      </c>
      <c r="AH23" s="157">
        <v>135970.16999999998</v>
      </c>
      <c r="AI23" s="278">
        <v>133892.08000000002</v>
      </c>
      <c r="AJ23" s="278">
        <v>128653.08</v>
      </c>
      <c r="AK23" s="278">
        <v>124462.08</v>
      </c>
      <c r="AL23" s="278">
        <v>144182.08000000002</v>
      </c>
      <c r="AM23" s="278">
        <v>169032.08000000002</v>
      </c>
      <c r="AN23" s="278">
        <v>161177.03000000003</v>
      </c>
      <c r="AO23" s="278">
        <v>158097.03000000003</v>
      </c>
      <c r="AP23" s="278">
        <v>145910.87000000002</v>
      </c>
      <c r="AQ23" s="278">
        <v>129544.87</v>
      </c>
      <c r="AR23" s="278">
        <v>127886.14</v>
      </c>
      <c r="AS23" s="278">
        <v>215734.14</v>
      </c>
      <c r="AT23" s="278">
        <v>204689.14</v>
      </c>
      <c r="AU23" s="278">
        <v>212439.14</v>
      </c>
      <c r="AV23" s="278">
        <v>211899.14</v>
      </c>
      <c r="AW23" s="278">
        <v>205899.14</v>
      </c>
      <c r="AX23" s="278">
        <v>185699.14</v>
      </c>
      <c r="AY23" s="384">
        <v>180699.14</v>
      </c>
      <c r="AZ23" s="384">
        <v>216069.19</v>
      </c>
      <c r="BA23" s="384">
        <v>271058.19</v>
      </c>
      <c r="BB23" s="384">
        <v>297118.27</v>
      </c>
      <c r="BC23" s="384">
        <v>321045.27</v>
      </c>
      <c r="BD23" s="384">
        <v>319894</v>
      </c>
      <c r="BE23" s="384">
        <v>232256</v>
      </c>
      <c r="BF23" s="384">
        <v>247256</v>
      </c>
      <c r="BG23" s="384">
        <v>262426</v>
      </c>
      <c r="BH23" s="384">
        <v>257145.88</v>
      </c>
      <c r="BI23" s="384">
        <v>255141</v>
      </c>
      <c r="BJ23" s="384">
        <v>255746</v>
      </c>
      <c r="BK23" s="384">
        <f t="shared" ref="BK23:BP23" si="36">SUM(AZ22:BK22)</f>
        <v>260746</v>
      </c>
      <c r="BL23" s="384">
        <f t="shared" si="36"/>
        <v>294521</v>
      </c>
      <c r="BM23" s="384">
        <f t="shared" si="36"/>
        <v>232838.88</v>
      </c>
      <c r="BN23" s="384">
        <f t="shared" si="36"/>
        <v>271533.88</v>
      </c>
      <c r="BO23" s="384">
        <f t="shared" si="36"/>
        <v>234686.88</v>
      </c>
      <c r="BP23" s="384">
        <f t="shared" si="36"/>
        <v>240486.88</v>
      </c>
      <c r="BQ23" s="384">
        <f t="shared" ref="BQ23:BV23" si="37">SUM(BF22:BQ22)</f>
        <v>254951.88</v>
      </c>
      <c r="BR23" s="384">
        <f t="shared" si="37"/>
        <v>255628.76</v>
      </c>
      <c r="BS23" s="384">
        <f t="shared" si="37"/>
        <v>247308.76</v>
      </c>
      <c r="BT23" s="384">
        <f t="shared" si="37"/>
        <v>251088.76</v>
      </c>
      <c r="BU23" s="384">
        <f t="shared" si="37"/>
        <v>251688.76</v>
      </c>
      <c r="BV23" s="384">
        <f t="shared" si="37"/>
        <v>265858.76</v>
      </c>
      <c r="BW23" s="384">
        <f>SUM(BL22:BW22)</f>
        <v>375858.76</v>
      </c>
      <c r="BX23" s="384">
        <f>SUM(BM22:BX22)</f>
        <v>315233.76</v>
      </c>
      <c r="BY23" s="384">
        <f>SUM(BN22:BY22)</f>
        <v>370298.88</v>
      </c>
      <c r="BZ23" s="453">
        <f t="shared" ref="BZ23:CE23" si="38">SUM(BO22:BZ22)</f>
        <v>298588.88</v>
      </c>
      <c r="CA23" s="453">
        <f t="shared" si="38"/>
        <v>289078.88</v>
      </c>
      <c r="CB23" s="453">
        <f t="shared" si="38"/>
        <v>290738.88</v>
      </c>
      <c r="CC23" s="453">
        <f t="shared" si="38"/>
        <v>279413.88</v>
      </c>
      <c r="CD23" s="453">
        <f t="shared" si="38"/>
        <v>272749.59000000003</v>
      </c>
      <c r="CE23" s="453">
        <f t="shared" si="38"/>
        <v>266122.18</v>
      </c>
      <c r="CF23" s="453">
        <f t="shared" ref="CF23:CW23" si="39">SUM(BU22:CF22)</f>
        <v>283202.38</v>
      </c>
      <c r="CG23" s="453">
        <f t="shared" si="39"/>
        <v>308182.38</v>
      </c>
      <c r="CH23" s="453">
        <f t="shared" si="39"/>
        <v>440968.38</v>
      </c>
      <c r="CI23" s="453">
        <f t="shared" si="39"/>
        <v>326404.7</v>
      </c>
      <c r="CJ23" s="453">
        <f t="shared" si="39"/>
        <v>317841.2</v>
      </c>
      <c r="CK23" s="453">
        <f t="shared" si="39"/>
        <v>273274.2</v>
      </c>
      <c r="CL23" s="453">
        <f t="shared" si="39"/>
        <v>271114.2</v>
      </c>
      <c r="CM23" s="453">
        <f t="shared" si="39"/>
        <v>270161.31</v>
      </c>
      <c r="CN23" s="453">
        <f t="shared" si="39"/>
        <v>261283.21</v>
      </c>
      <c r="CO23" s="453">
        <f t="shared" si="39"/>
        <v>273507.01</v>
      </c>
      <c r="CP23" s="453">
        <f t="shared" si="39"/>
        <v>273494.42</v>
      </c>
      <c r="CQ23" s="453">
        <f t="shared" si="39"/>
        <v>271099.15999999997</v>
      </c>
      <c r="CR23" s="453">
        <f t="shared" si="39"/>
        <v>265899.05999999994</v>
      </c>
      <c r="CS23" s="453">
        <f t="shared" si="39"/>
        <v>245323.93999999997</v>
      </c>
      <c r="CT23" s="453">
        <f t="shared" si="39"/>
        <v>178787.94</v>
      </c>
      <c r="CU23" s="453">
        <f t="shared" si="39"/>
        <v>206349.62</v>
      </c>
      <c r="CV23" s="453">
        <f t="shared" si="39"/>
        <v>215958.12</v>
      </c>
      <c r="CW23" s="453">
        <f t="shared" si="39"/>
        <v>243054.72999999998</v>
      </c>
      <c r="CX23" s="453">
        <f t="shared" ref="CX23:DN23" si="40">SUM(CM22:CX22)</f>
        <v>245157.72999999998</v>
      </c>
      <c r="CY23" s="453">
        <f t="shared" si="40"/>
        <v>267140.62</v>
      </c>
      <c r="CZ23" s="453">
        <f t="shared" si="40"/>
        <v>335203.71999999997</v>
      </c>
      <c r="DA23" s="453">
        <f t="shared" si="40"/>
        <v>357263.12</v>
      </c>
      <c r="DB23" s="453">
        <f t="shared" si="40"/>
        <v>353763.12</v>
      </c>
      <c r="DC23" s="453">
        <f t="shared" si="40"/>
        <v>353710.79</v>
      </c>
      <c r="DD23" s="453">
        <f t="shared" si="40"/>
        <v>355570.81</v>
      </c>
      <c r="DE23" s="453">
        <f t="shared" si="40"/>
        <v>362315.81</v>
      </c>
      <c r="DF23" s="453">
        <f t="shared" si="40"/>
        <v>313425.81</v>
      </c>
      <c r="DG23" s="453">
        <f t="shared" si="40"/>
        <v>320368.81</v>
      </c>
      <c r="DH23" s="453">
        <f t="shared" si="40"/>
        <v>356059.88</v>
      </c>
      <c r="DI23" s="453">
        <f>SUM(CX22:DI22)</f>
        <v>324308.27</v>
      </c>
      <c r="DJ23" s="453">
        <f t="shared" si="40"/>
        <v>373493.43000000005</v>
      </c>
      <c r="DK23" s="453">
        <f t="shared" si="40"/>
        <v>374193.43000000005</v>
      </c>
      <c r="DL23" s="453">
        <f t="shared" si="40"/>
        <v>370205.89000000007</v>
      </c>
      <c r="DM23" s="453">
        <f t="shared" si="40"/>
        <v>333087.63</v>
      </c>
      <c r="DN23" s="453">
        <f t="shared" si="40"/>
        <v>307542.63</v>
      </c>
      <c r="DO23" s="453">
        <f t="shared" ref="DO23:DT23" si="41">SUM(DD22:DO22)</f>
        <v>307367.63</v>
      </c>
      <c r="DP23" s="453">
        <f t="shared" si="41"/>
        <v>303312.63</v>
      </c>
      <c r="DQ23" s="453">
        <f t="shared" si="41"/>
        <v>298687.63</v>
      </c>
      <c r="DR23" s="453">
        <f t="shared" si="41"/>
        <v>297205.95</v>
      </c>
      <c r="DS23" s="453">
        <f t="shared" si="41"/>
        <v>308247.05000000005</v>
      </c>
      <c r="DT23" s="453">
        <f t="shared" si="41"/>
        <v>321808.66000000003</v>
      </c>
      <c r="DU23" s="453">
        <f t="shared" ref="DU23:EJ23" si="42">SUM(DJ22:DU22)</f>
        <v>315020.96000000002</v>
      </c>
      <c r="DV23" s="453">
        <f t="shared" si="42"/>
        <v>269553.48</v>
      </c>
      <c r="DW23" s="453">
        <f t="shared" si="42"/>
        <v>282848.48</v>
      </c>
      <c r="DX23" s="453">
        <f t="shared" si="42"/>
        <v>222721.02</v>
      </c>
      <c r="DY23" s="453">
        <f t="shared" si="42"/>
        <v>237606.08</v>
      </c>
      <c r="DZ23" s="453">
        <f t="shared" si="42"/>
        <v>286051.07999999996</v>
      </c>
      <c r="EA23" s="453">
        <f t="shared" si="42"/>
        <v>286256.07999999996</v>
      </c>
      <c r="EB23" s="453">
        <f t="shared" si="42"/>
        <v>277836.07999999996</v>
      </c>
      <c r="EC23" s="453">
        <f t="shared" si="42"/>
        <v>284216.07999999996</v>
      </c>
      <c r="ED23" s="453">
        <f t="shared" si="42"/>
        <v>348337.07999999996</v>
      </c>
      <c r="EE23" s="453">
        <f t="shared" si="42"/>
        <v>282354.98</v>
      </c>
      <c r="EF23" s="453">
        <f t="shared" si="42"/>
        <v>327247.80000000005</v>
      </c>
      <c r="EG23" s="453">
        <f t="shared" si="42"/>
        <v>369985.5</v>
      </c>
      <c r="EH23" s="453">
        <f t="shared" si="42"/>
        <v>392089.82</v>
      </c>
      <c r="EI23" s="453">
        <f t="shared" si="42"/>
        <v>354710.35000000003</v>
      </c>
      <c r="EJ23" s="453">
        <f t="shared" si="42"/>
        <v>365562.63000000006</v>
      </c>
      <c r="EK23" s="453">
        <f t="shared" ref="EK23:EY23" si="43">SUM(DZ22:EK22)</f>
        <v>351262.63000000006</v>
      </c>
      <c r="EL23" s="453">
        <f t="shared" si="43"/>
        <v>350807.96000000008</v>
      </c>
      <c r="EM23" s="453">
        <f t="shared" si="43"/>
        <v>357241.40000000008</v>
      </c>
      <c r="EN23" s="453">
        <f t="shared" si="43"/>
        <v>389197.3000000001</v>
      </c>
      <c r="EO23" s="453">
        <f t="shared" si="43"/>
        <v>382936.40000000008</v>
      </c>
      <c r="EP23" s="453">
        <f t="shared" si="43"/>
        <v>372417.08</v>
      </c>
      <c r="EQ23" s="453">
        <f t="shared" si="43"/>
        <v>457612.08</v>
      </c>
      <c r="ER23" s="453">
        <f t="shared" si="43"/>
        <v>352512.73000000004</v>
      </c>
      <c r="ES23" s="453">
        <f t="shared" si="43"/>
        <v>324908.65000000002</v>
      </c>
      <c r="ET23" s="453">
        <f t="shared" si="43"/>
        <v>306313.65000000002</v>
      </c>
      <c r="EU23" s="453">
        <f t="shared" si="43"/>
        <v>362851.08000000007</v>
      </c>
      <c r="EV23" s="453">
        <f t="shared" si="43"/>
        <v>357902.76000000007</v>
      </c>
      <c r="EW23" s="453">
        <f t="shared" si="43"/>
        <v>377245.76000000007</v>
      </c>
      <c r="EX23" s="453">
        <f t="shared" si="43"/>
        <v>386785.39000000007</v>
      </c>
      <c r="EY23" s="453">
        <f t="shared" si="43"/>
        <v>387846.95000000007</v>
      </c>
      <c r="EZ23" s="453">
        <f t="shared" ref="EZ23" si="44">SUM(EO22:EZ22)</f>
        <v>355041.05000000005</v>
      </c>
      <c r="FA23" s="453">
        <f t="shared" ref="FA23" si="45">SUM(EP22:FA22)</f>
        <v>366051.95</v>
      </c>
      <c r="FB23" s="453">
        <f t="shared" ref="FB23" si="46">SUM(EQ22:FB22)</f>
        <v>321611.94999999995</v>
      </c>
    </row>
    <row r="24" spans="1:160" ht="15">
      <c r="A24" s="1002" t="s">
        <v>2623</v>
      </c>
      <c r="D24" s="120"/>
      <c r="E24" s="120"/>
      <c r="F24" s="3"/>
      <c r="G24" s="3"/>
      <c r="H24" s="3"/>
      <c r="I24" s="3"/>
      <c r="J24" s="3"/>
      <c r="K24" s="35"/>
      <c r="L24" s="146">
        <v>264.62100000000004</v>
      </c>
      <c r="M24" s="146">
        <v>891.87099999999998</v>
      </c>
      <c r="N24" s="146">
        <v>1590.9684999999999</v>
      </c>
      <c r="O24" s="146">
        <v>1699.7184999999999</v>
      </c>
      <c r="P24" s="146">
        <v>4196.6684999999998</v>
      </c>
      <c r="Q24" s="146">
        <v>5819.9184999999998</v>
      </c>
      <c r="R24" s="146">
        <v>6203.2095000000008</v>
      </c>
      <c r="S24" s="146">
        <v>6782.3595000000005</v>
      </c>
      <c r="T24" s="146">
        <v>6855.5095000000001</v>
      </c>
      <c r="U24" s="146">
        <v>8387.4270000000015</v>
      </c>
      <c r="V24" s="146">
        <v>8693.4270000000015</v>
      </c>
      <c r="W24" s="146">
        <v>8817.3315000000002</v>
      </c>
      <c r="X24" s="158">
        <v>9159.6605</v>
      </c>
      <c r="Y24" s="158">
        <v>9191.9604999999992</v>
      </c>
      <c r="Z24" s="158">
        <v>8680.3630000000012</v>
      </c>
      <c r="AA24" s="158">
        <v>8579.1130000000012</v>
      </c>
      <c r="AB24" s="158">
        <v>6748.9130000000005</v>
      </c>
      <c r="AC24" s="158">
        <v>5714.4130000000005</v>
      </c>
      <c r="AD24" s="158">
        <v>6433.6760000000004</v>
      </c>
      <c r="AE24" s="158">
        <v>8028.0760000000009</v>
      </c>
      <c r="AF24" s="158">
        <v>8179.1760000000013</v>
      </c>
      <c r="AG24" s="158">
        <v>6722.2584999999999</v>
      </c>
      <c r="AH24" s="158">
        <v>6798.5084999999999</v>
      </c>
      <c r="AI24" s="279">
        <v>6694.6040000000012</v>
      </c>
      <c r="AJ24" s="279">
        <v>6432.6540000000005</v>
      </c>
      <c r="AK24" s="279">
        <v>6223.1040000000003</v>
      </c>
      <c r="AL24" s="279">
        <v>7209.1040000000012</v>
      </c>
      <c r="AM24" s="279">
        <v>8451.6040000000012</v>
      </c>
      <c r="AN24" s="279">
        <v>8058.8515000000016</v>
      </c>
      <c r="AO24" s="279">
        <v>7904.8515000000016</v>
      </c>
      <c r="AP24" s="279">
        <v>7295.5435000000016</v>
      </c>
      <c r="AQ24" s="279">
        <v>6477.2435000000005</v>
      </c>
      <c r="AR24" s="279">
        <v>6394.3070000000007</v>
      </c>
      <c r="AS24" s="279">
        <v>10786.707000000002</v>
      </c>
      <c r="AT24" s="279">
        <v>10234.457000000002</v>
      </c>
      <c r="AU24" s="279">
        <v>10621.957000000002</v>
      </c>
      <c r="AV24" s="279">
        <v>10594.957000000002</v>
      </c>
      <c r="AW24" s="279">
        <v>10294.957000000002</v>
      </c>
      <c r="AX24" s="279">
        <v>9284.9570000000003</v>
      </c>
      <c r="AY24" s="384">
        <v>9034.9570000000003</v>
      </c>
      <c r="AZ24" s="384">
        <v>10803.459500000001</v>
      </c>
      <c r="BA24" s="384">
        <v>13552.909500000002</v>
      </c>
      <c r="BB24" s="384">
        <v>14855.913500000002</v>
      </c>
      <c r="BC24" s="384">
        <v>16052.263500000001</v>
      </c>
      <c r="BD24" s="384">
        <v>15994.7</v>
      </c>
      <c r="BE24" s="384">
        <v>11612.800000000001</v>
      </c>
      <c r="BF24" s="384">
        <v>12362.800000000001</v>
      </c>
      <c r="BG24" s="384">
        <v>13121.300000000001</v>
      </c>
      <c r="BH24" s="384">
        <v>12857.294000000002</v>
      </c>
      <c r="BI24" s="384">
        <v>12757.050000000001</v>
      </c>
      <c r="BJ24" s="384">
        <v>12787.300000000001</v>
      </c>
      <c r="BK24" s="384">
        <f t="shared" ref="BK24:BP24" si="47">BK23*0.05</f>
        <v>13037.300000000001</v>
      </c>
      <c r="BL24" s="384">
        <f t="shared" si="47"/>
        <v>14726.050000000001</v>
      </c>
      <c r="BM24" s="384">
        <f t="shared" si="47"/>
        <v>11641.944000000001</v>
      </c>
      <c r="BN24" s="384">
        <f t="shared" si="47"/>
        <v>13576.694000000001</v>
      </c>
      <c r="BO24" s="384">
        <f t="shared" si="47"/>
        <v>11734.344000000001</v>
      </c>
      <c r="BP24" s="384">
        <f t="shared" si="47"/>
        <v>12024.344000000001</v>
      </c>
      <c r="BQ24" s="384">
        <f t="shared" ref="BQ24:BV24" si="48">BQ23*0.05</f>
        <v>12747.594000000001</v>
      </c>
      <c r="BR24" s="384">
        <f t="shared" si="48"/>
        <v>12781.438000000002</v>
      </c>
      <c r="BS24" s="384">
        <f t="shared" si="48"/>
        <v>12365.438000000002</v>
      </c>
      <c r="BT24" s="384">
        <f t="shared" si="48"/>
        <v>12554.438000000002</v>
      </c>
      <c r="BU24" s="384">
        <f t="shared" si="48"/>
        <v>12584.438000000002</v>
      </c>
      <c r="BV24" s="384">
        <f t="shared" si="48"/>
        <v>13292.938000000002</v>
      </c>
      <c r="BW24" s="384">
        <f t="shared" ref="BW24:CE24" si="49">BW23*0.05</f>
        <v>18792.938000000002</v>
      </c>
      <c r="BX24" s="384">
        <f t="shared" si="49"/>
        <v>15761.688000000002</v>
      </c>
      <c r="BY24" s="384">
        <f t="shared" si="49"/>
        <v>18514.944</v>
      </c>
      <c r="BZ24" s="453">
        <f t="shared" si="49"/>
        <v>14929.444000000001</v>
      </c>
      <c r="CA24" s="453">
        <f t="shared" si="49"/>
        <v>14453.944000000001</v>
      </c>
      <c r="CB24" s="453">
        <f t="shared" si="49"/>
        <v>14536.944000000001</v>
      </c>
      <c r="CC24" s="453">
        <f t="shared" si="49"/>
        <v>13970.694000000001</v>
      </c>
      <c r="CD24" s="453">
        <f t="shared" si="49"/>
        <v>13637.479500000001</v>
      </c>
      <c r="CE24" s="453">
        <f t="shared" si="49"/>
        <v>13306.109</v>
      </c>
      <c r="CF24" s="453">
        <f t="shared" ref="CF24:CK24" si="50">CF23*0.05</f>
        <v>14160.119000000001</v>
      </c>
      <c r="CG24" s="453">
        <f t="shared" si="50"/>
        <v>15409.119000000001</v>
      </c>
      <c r="CH24" s="453">
        <f t="shared" si="50"/>
        <v>22048.419000000002</v>
      </c>
      <c r="CI24" s="453">
        <f t="shared" si="50"/>
        <v>16320.235000000001</v>
      </c>
      <c r="CJ24" s="453">
        <f t="shared" si="50"/>
        <v>15892.060000000001</v>
      </c>
      <c r="CK24" s="453">
        <f t="shared" si="50"/>
        <v>13663.710000000001</v>
      </c>
      <c r="CL24" s="453">
        <f t="shared" ref="CL24:CQ24" si="51">CL23*0.05</f>
        <v>13555.710000000001</v>
      </c>
      <c r="CM24" s="453">
        <f t="shared" si="51"/>
        <v>13508.065500000001</v>
      </c>
      <c r="CN24" s="453">
        <f t="shared" si="51"/>
        <v>13064.1605</v>
      </c>
      <c r="CO24" s="453">
        <f t="shared" si="51"/>
        <v>13675.3505</v>
      </c>
      <c r="CP24" s="453">
        <f t="shared" si="51"/>
        <v>13674.721</v>
      </c>
      <c r="CQ24" s="453">
        <f t="shared" si="51"/>
        <v>13554.957999999999</v>
      </c>
      <c r="CR24" s="453">
        <f t="shared" ref="CR24:CW24" si="52">CR23*0.05</f>
        <v>13294.952999999998</v>
      </c>
      <c r="CS24" s="453">
        <f t="shared" si="52"/>
        <v>12266.197</v>
      </c>
      <c r="CT24" s="453">
        <f t="shared" si="52"/>
        <v>8939.3970000000008</v>
      </c>
      <c r="CU24" s="453">
        <f t="shared" si="52"/>
        <v>10317.481</v>
      </c>
      <c r="CV24" s="453">
        <f t="shared" si="52"/>
        <v>10797.906000000001</v>
      </c>
      <c r="CW24" s="453">
        <f t="shared" si="52"/>
        <v>12152.736499999999</v>
      </c>
      <c r="CX24" s="453">
        <f t="shared" ref="CX24:DF24" si="53">CX23*0.05</f>
        <v>12257.886500000001</v>
      </c>
      <c r="CY24" s="453">
        <f t="shared" si="53"/>
        <v>13357.031000000001</v>
      </c>
      <c r="CZ24" s="722">
        <f t="shared" si="53"/>
        <v>16760.185999999998</v>
      </c>
      <c r="DA24" s="722">
        <f t="shared" si="53"/>
        <v>17863.155999999999</v>
      </c>
      <c r="DB24" s="722">
        <f t="shared" si="53"/>
        <v>17688.155999999999</v>
      </c>
      <c r="DC24" s="722">
        <f t="shared" si="53"/>
        <v>17685.539499999999</v>
      </c>
      <c r="DD24" s="722">
        <f t="shared" si="53"/>
        <v>17778.540499999999</v>
      </c>
      <c r="DE24" s="722">
        <f t="shared" si="53"/>
        <v>18115.790499999999</v>
      </c>
      <c r="DF24" s="722">
        <f t="shared" si="53"/>
        <v>15671.290500000001</v>
      </c>
      <c r="DG24" s="722">
        <f t="shared" ref="DG24:DL24" si="54">DG23*0.05</f>
        <v>16018.440500000001</v>
      </c>
      <c r="DH24" s="722">
        <f t="shared" si="54"/>
        <v>17802.994000000002</v>
      </c>
      <c r="DI24" s="722">
        <f t="shared" si="54"/>
        <v>16215.413500000002</v>
      </c>
      <c r="DJ24" s="722">
        <f t="shared" si="54"/>
        <v>18674.671500000004</v>
      </c>
      <c r="DK24" s="722">
        <f t="shared" si="54"/>
        <v>18709.671500000004</v>
      </c>
      <c r="DL24" s="722">
        <f t="shared" si="54"/>
        <v>18510.294500000004</v>
      </c>
      <c r="DM24" s="722">
        <f t="shared" ref="DM24:DR24" si="55">DM23*0.05</f>
        <v>16654.3815</v>
      </c>
      <c r="DN24" s="722">
        <f t="shared" si="55"/>
        <v>15377.131500000001</v>
      </c>
      <c r="DO24" s="722">
        <f t="shared" si="55"/>
        <v>15368.381500000001</v>
      </c>
      <c r="DP24" s="722">
        <f t="shared" si="55"/>
        <v>15165.631500000001</v>
      </c>
      <c r="DQ24" s="722">
        <f t="shared" si="55"/>
        <v>14934.381500000001</v>
      </c>
      <c r="DR24" s="722">
        <f t="shared" si="55"/>
        <v>14860.297500000001</v>
      </c>
      <c r="DS24" s="722">
        <f t="shared" ref="DS24:DX24" si="56">DS23*0.05</f>
        <v>15412.352500000003</v>
      </c>
      <c r="DT24" s="722">
        <f t="shared" si="56"/>
        <v>16090.433000000003</v>
      </c>
      <c r="DU24" s="722">
        <f t="shared" si="56"/>
        <v>15751.048000000003</v>
      </c>
      <c r="DV24" s="722">
        <f t="shared" si="56"/>
        <v>13477.673999999999</v>
      </c>
      <c r="DW24" s="722">
        <f t="shared" si="56"/>
        <v>14142.423999999999</v>
      </c>
      <c r="DX24" s="322">
        <f t="shared" si="56"/>
        <v>11136.050999999999</v>
      </c>
      <c r="DY24" s="322">
        <f t="shared" ref="DY24:ED24" si="57">DY23*0.05</f>
        <v>11880.304</v>
      </c>
      <c r="DZ24" s="322">
        <f t="shared" si="57"/>
        <v>14302.553999999998</v>
      </c>
      <c r="EA24" s="322">
        <f t="shared" si="57"/>
        <v>14312.803999999998</v>
      </c>
      <c r="EB24" s="322">
        <f t="shared" si="57"/>
        <v>13891.803999999998</v>
      </c>
      <c r="EC24" s="322">
        <f t="shared" si="57"/>
        <v>14210.803999999998</v>
      </c>
      <c r="ED24" s="322">
        <f t="shared" si="57"/>
        <v>17416.853999999999</v>
      </c>
      <c r="EE24" s="322">
        <f t="shared" ref="EE24:EJ24" si="58">EE23*0.05</f>
        <v>14117.749</v>
      </c>
      <c r="EF24" s="322">
        <f t="shared" si="58"/>
        <v>16362.390000000003</v>
      </c>
      <c r="EG24" s="322">
        <f t="shared" si="58"/>
        <v>18499.275000000001</v>
      </c>
      <c r="EH24" s="322">
        <f t="shared" si="58"/>
        <v>19604.491000000002</v>
      </c>
      <c r="EI24" s="322">
        <f t="shared" si="58"/>
        <v>17735.517500000002</v>
      </c>
      <c r="EJ24" s="322">
        <f t="shared" si="58"/>
        <v>18278.131500000003</v>
      </c>
      <c r="EK24" s="322">
        <f t="shared" ref="EK24:EP24" si="59">EK23*0.05</f>
        <v>17563.131500000003</v>
      </c>
      <c r="EL24" s="322">
        <f t="shared" si="59"/>
        <v>17540.398000000005</v>
      </c>
      <c r="EM24" s="322">
        <f t="shared" si="59"/>
        <v>17862.070000000003</v>
      </c>
      <c r="EN24" s="322">
        <f t="shared" si="59"/>
        <v>19459.865000000005</v>
      </c>
      <c r="EO24" s="322">
        <f t="shared" si="59"/>
        <v>19146.820000000003</v>
      </c>
      <c r="EP24" s="322">
        <f t="shared" si="59"/>
        <v>18620.854000000003</v>
      </c>
      <c r="EQ24" s="322">
        <f t="shared" ref="EQ24:ES24" si="60">EQ23*0.05</f>
        <v>22880.604000000003</v>
      </c>
      <c r="ER24" s="322">
        <f t="shared" si="60"/>
        <v>17625.636500000004</v>
      </c>
      <c r="ES24" s="322">
        <f t="shared" si="60"/>
        <v>16245.432500000003</v>
      </c>
      <c r="ET24" s="322">
        <f t="shared" ref="ET24:EV24" si="61">ET23*0.05</f>
        <v>15315.682500000003</v>
      </c>
      <c r="EU24" s="322">
        <f t="shared" si="61"/>
        <v>18142.554000000004</v>
      </c>
      <c r="EV24" s="322">
        <f t="shared" si="61"/>
        <v>17895.138000000003</v>
      </c>
      <c r="EW24" s="322">
        <f t="shared" ref="EW24:EY24" si="62">EW23*0.05</f>
        <v>18862.288000000004</v>
      </c>
      <c r="EX24" s="322">
        <f t="shared" si="62"/>
        <v>19339.269500000006</v>
      </c>
      <c r="EY24" s="322">
        <f t="shared" si="62"/>
        <v>19392.347500000003</v>
      </c>
      <c r="EZ24" s="322">
        <f t="shared" ref="EZ24:FB24" si="63">EZ23*0.05</f>
        <v>17752.052500000002</v>
      </c>
      <c r="FA24" s="322">
        <f t="shared" si="63"/>
        <v>18302.5975</v>
      </c>
      <c r="FB24" s="322">
        <f t="shared" si="63"/>
        <v>16080.597499999998</v>
      </c>
    </row>
    <row r="25" spans="1:160" ht="15">
      <c r="D25" s="120"/>
      <c r="E25" s="120"/>
      <c r="F25" s="3"/>
      <c r="G25" s="3"/>
      <c r="H25" s="3"/>
      <c r="I25" s="3"/>
      <c r="J25" s="3"/>
      <c r="K25" s="52"/>
      <c r="L25" s="146"/>
      <c r="M25" s="146"/>
      <c r="N25" s="146"/>
      <c r="O25" s="146"/>
      <c r="P25" s="146"/>
      <c r="Q25" s="146"/>
      <c r="R25" s="146"/>
      <c r="S25" s="146"/>
      <c r="T25" s="146"/>
      <c r="U25" s="146"/>
      <c r="V25" s="146"/>
      <c r="W25" s="146"/>
      <c r="X25" s="146"/>
      <c r="Y25" s="146"/>
      <c r="Z25" s="146"/>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c r="BI25" s="146"/>
      <c r="BJ25" s="146"/>
      <c r="BK25" s="146"/>
      <c r="BL25" s="146"/>
      <c r="BM25" s="146"/>
      <c r="BN25" s="146"/>
      <c r="BO25" s="146"/>
      <c r="BP25" s="146"/>
      <c r="BQ25" s="146"/>
      <c r="BR25" s="146"/>
      <c r="BS25" s="146"/>
      <c r="BT25" s="146"/>
      <c r="BU25" s="146"/>
      <c r="BV25" s="146"/>
      <c r="BW25" s="146"/>
      <c r="BX25" s="146"/>
      <c r="BY25" s="146"/>
      <c r="BZ25" s="146"/>
      <c r="CA25" s="146"/>
      <c r="CB25" s="146"/>
      <c r="CC25" s="146"/>
      <c r="CD25" s="146"/>
      <c r="CE25" s="146"/>
      <c r="CF25" s="146"/>
      <c r="CG25" s="146"/>
      <c r="CH25" s="146"/>
      <c r="CI25" s="146"/>
      <c r="CJ25" s="146"/>
      <c r="CK25" s="146"/>
      <c r="CL25" s="146"/>
      <c r="CM25" s="146"/>
      <c r="CN25" s="146"/>
      <c r="CO25" s="146"/>
      <c r="CP25" s="146"/>
      <c r="CQ25" s="146"/>
      <c r="CR25" s="146"/>
      <c r="CS25" s="146"/>
      <c r="CT25" s="146"/>
      <c r="CU25" s="146"/>
      <c r="CV25" s="146"/>
      <c r="CW25" s="146"/>
      <c r="CX25" s="146"/>
      <c r="CY25" s="146"/>
      <c r="CZ25" s="146"/>
      <c r="DA25" s="146"/>
      <c r="DB25" s="146"/>
      <c r="DC25" s="146"/>
      <c r="DD25" s="146"/>
      <c r="DE25" s="146"/>
      <c r="DF25" s="146"/>
      <c r="DG25" s="146"/>
      <c r="DH25" s="146"/>
      <c r="DI25" s="146"/>
      <c r="DJ25" s="146"/>
      <c r="DK25" s="146"/>
      <c r="DL25" s="146"/>
      <c r="DM25" s="146"/>
      <c r="DN25" s="146"/>
      <c r="DO25" s="146"/>
      <c r="DP25" s="146"/>
      <c r="DQ25" s="146"/>
      <c r="DR25" s="146"/>
      <c r="DS25" s="146"/>
      <c r="DT25" s="146"/>
      <c r="DU25" s="146"/>
      <c r="DV25" s="146"/>
      <c r="DW25" s="146"/>
      <c r="DX25" s="146"/>
      <c r="DY25" s="146"/>
      <c r="DZ25" s="146"/>
      <c r="EA25" s="146"/>
      <c r="EB25" s="146"/>
      <c r="EC25" s="146"/>
      <c r="ED25" s="146"/>
      <c r="EE25" s="146"/>
      <c r="EF25" s="146"/>
      <c r="EG25" s="146"/>
      <c r="EH25" s="146"/>
      <c r="EI25" s="146"/>
      <c r="EJ25" s="146"/>
      <c r="EK25" s="146"/>
      <c r="EL25" s="146"/>
      <c r="EM25" s="146"/>
      <c r="EN25" s="146"/>
      <c r="EO25" s="146"/>
      <c r="EP25" s="146"/>
      <c r="EQ25" s="146"/>
      <c r="ER25" s="146"/>
      <c r="ES25" s="146"/>
      <c r="ET25" s="146"/>
      <c r="EU25" s="146"/>
      <c r="EV25" s="146"/>
      <c r="EW25" s="146"/>
      <c r="EX25" s="146"/>
      <c r="EY25" s="146"/>
      <c r="EZ25" s="146"/>
      <c r="FA25" s="146"/>
      <c r="FB25" s="146"/>
    </row>
    <row r="26" spans="1:160" ht="12.75" customHeight="1">
      <c r="A26" s="1000" t="s">
        <v>2427</v>
      </c>
      <c r="F26" s="35"/>
      <c r="J26" s="120"/>
      <c r="K26" s="120"/>
      <c r="L26" s="120"/>
      <c r="M26" s="120"/>
      <c r="N26" s="17"/>
      <c r="Q26" s="35"/>
      <c r="R26" s="35"/>
      <c r="S26" s="35"/>
      <c r="T26" s="35"/>
      <c r="U26" s="35"/>
      <c r="DG26" s="419">
        <v>1066822.57</v>
      </c>
      <c r="DH26" s="419">
        <v>1041144.7</v>
      </c>
      <c r="DI26" s="419">
        <v>965206.94</v>
      </c>
      <c r="DJ26" s="419">
        <v>930781.64</v>
      </c>
      <c r="DK26" s="419">
        <v>806809.96</v>
      </c>
      <c r="DL26" s="419">
        <v>775019.29</v>
      </c>
      <c r="DM26" s="419">
        <v>753787.61</v>
      </c>
      <c r="DN26" s="419">
        <v>720129.45</v>
      </c>
      <c r="DO26" s="419">
        <v>756683.05</v>
      </c>
      <c r="DP26" s="419">
        <v>740014.74</v>
      </c>
      <c r="DQ26" s="419">
        <v>823134.47</v>
      </c>
      <c r="DR26" s="419">
        <v>993293.22</v>
      </c>
      <c r="DS26" s="419">
        <v>1099027.43</v>
      </c>
      <c r="DT26" s="419">
        <v>1057497.58</v>
      </c>
      <c r="DU26" s="419">
        <v>995565.97</v>
      </c>
      <c r="DV26" s="419">
        <v>858234.19</v>
      </c>
      <c r="DW26" s="419">
        <v>757404.7</v>
      </c>
      <c r="DX26" s="327">
        <v>703815.08</v>
      </c>
      <c r="DY26" s="327">
        <v>735672.65</v>
      </c>
      <c r="DZ26" s="327">
        <v>728815.39</v>
      </c>
      <c r="EA26" s="327">
        <v>712266.38</v>
      </c>
      <c r="EB26" s="327">
        <v>741461.7</v>
      </c>
      <c r="EC26" s="327">
        <v>845673.32</v>
      </c>
      <c r="ED26" s="327">
        <v>974505.53</v>
      </c>
      <c r="EE26" s="327">
        <v>1339279.8</v>
      </c>
      <c r="EF26" s="327">
        <v>1246435.1200000001</v>
      </c>
      <c r="EG26" s="327">
        <v>1168468.74</v>
      </c>
      <c r="EH26" s="327">
        <v>1172223.43</v>
      </c>
      <c r="EI26" s="327">
        <v>1047174.69</v>
      </c>
      <c r="EJ26" s="327">
        <v>984453.81</v>
      </c>
      <c r="EK26" s="327">
        <v>986918.97</v>
      </c>
      <c r="EL26" s="327">
        <v>919524.78</v>
      </c>
      <c r="EM26" s="327">
        <v>971650.93</v>
      </c>
      <c r="EN26" s="327">
        <v>923528.5</v>
      </c>
      <c r="EO26" s="327">
        <v>1044670.42</v>
      </c>
      <c r="EP26" s="327">
        <v>1264591.1000000001</v>
      </c>
      <c r="EQ26" s="327">
        <v>1438551.14</v>
      </c>
      <c r="ER26" s="327">
        <v>1520736.87</v>
      </c>
      <c r="ES26" s="327">
        <v>1360442.37</v>
      </c>
      <c r="ET26" s="327">
        <v>1250057.25</v>
      </c>
      <c r="EU26" s="327">
        <v>1182465.3400000001</v>
      </c>
      <c r="EV26" s="327">
        <v>1080663.08</v>
      </c>
      <c r="EW26" s="327">
        <v>1009625.02</v>
      </c>
      <c r="EX26" s="327">
        <v>1121007.94</v>
      </c>
      <c r="EY26" s="327">
        <v>1157497.69</v>
      </c>
      <c r="EZ26" s="994">
        <f>(VLOOKUP("6900010",'Input IS ACCTS'!$A$6:GO$513,109,FALSE))</f>
        <v>1217081</v>
      </c>
      <c r="FA26" s="994">
        <f>(VLOOKUP("6900010",'Input IS ACCTS'!$A$6:GP$513,110,FALSE))</f>
        <v>1117482.67</v>
      </c>
      <c r="FB26" s="994">
        <f>(VLOOKUP("6900010",'Input IS ACCTS'!$A$6:GQ$513,111,FALSE))</f>
        <v>1244950.2</v>
      </c>
      <c r="FD26" s="104">
        <f t="shared" ref="FD26:FD27" si="64">SUM(EQ26:FB26)</f>
        <v>14700560.569999998</v>
      </c>
    </row>
    <row r="27" spans="1:160" ht="12.75" customHeight="1">
      <c r="A27" s="1000" t="s">
        <v>2428</v>
      </c>
      <c r="DG27" s="568">
        <v>1655787.55</v>
      </c>
      <c r="DH27" s="568">
        <v>1640421.41</v>
      </c>
      <c r="DI27" s="568">
        <v>1424624.07</v>
      </c>
      <c r="DJ27" s="568">
        <v>1125549.97</v>
      </c>
      <c r="DK27" s="568">
        <v>1177922.3799999999</v>
      </c>
      <c r="DL27" s="568">
        <v>1016378.54</v>
      </c>
      <c r="DM27" s="568">
        <v>984361.68</v>
      </c>
      <c r="DN27" s="568">
        <v>932359.53</v>
      </c>
      <c r="DO27" s="568">
        <v>949375.97</v>
      </c>
      <c r="DP27" s="568">
        <v>936155.2</v>
      </c>
      <c r="DQ27" s="568">
        <v>1112587.07</v>
      </c>
      <c r="DR27" s="568">
        <v>1504303.85</v>
      </c>
      <c r="DS27" s="568">
        <v>1618178.97</v>
      </c>
      <c r="DT27" s="568">
        <v>1572436.88</v>
      </c>
      <c r="DU27" s="568">
        <v>1352878.21</v>
      </c>
      <c r="DV27" s="568">
        <v>1062025.6200000001</v>
      </c>
      <c r="DW27" s="568">
        <v>953525.89</v>
      </c>
      <c r="DX27" s="290">
        <v>967309.63</v>
      </c>
      <c r="DY27" s="290">
        <v>851851.75</v>
      </c>
      <c r="DZ27" s="290">
        <v>911904.78</v>
      </c>
      <c r="EA27" s="290">
        <v>870947.67</v>
      </c>
      <c r="EB27" s="290">
        <v>954992.39</v>
      </c>
      <c r="EC27" s="290">
        <v>1095394.1499999999</v>
      </c>
      <c r="ED27" s="290">
        <v>1396326.38</v>
      </c>
      <c r="EE27" s="290">
        <v>1837558.54</v>
      </c>
      <c r="EF27" s="290">
        <v>1655338.08</v>
      </c>
      <c r="EG27" s="290">
        <v>1457150.65</v>
      </c>
      <c r="EH27" s="290">
        <v>1426996.58</v>
      </c>
      <c r="EI27" s="290">
        <v>1201056.29</v>
      </c>
      <c r="EJ27" s="290">
        <v>1108542.6499999999</v>
      </c>
      <c r="EK27" s="290">
        <v>1134501.22</v>
      </c>
      <c r="EL27" s="290">
        <v>1011208.09</v>
      </c>
      <c r="EM27" s="290">
        <v>1071922.69</v>
      </c>
      <c r="EN27" s="290">
        <v>1072270.76</v>
      </c>
      <c r="EO27" s="290">
        <v>1236232.4099999999</v>
      </c>
      <c r="EP27" s="290">
        <v>1610219.3</v>
      </c>
      <c r="EQ27" s="290">
        <v>1747412.92</v>
      </c>
      <c r="ER27" s="290">
        <v>1727920.15</v>
      </c>
      <c r="ES27" s="290">
        <v>1638802.23</v>
      </c>
      <c r="ET27" s="290">
        <v>1466977.23</v>
      </c>
      <c r="EU27" s="290">
        <v>1329404.5900000001</v>
      </c>
      <c r="EV27" s="290">
        <v>1171609.3500000001</v>
      </c>
      <c r="EW27" s="290">
        <v>1070368.31</v>
      </c>
      <c r="EX27" s="290">
        <v>1017536.8</v>
      </c>
      <c r="EY27" s="290">
        <v>1080019.73</v>
      </c>
      <c r="EZ27" s="1045">
        <f>(VLOOKUP("6900030",'Input IS ACCTS'!$A$6:GO$513,109,FALSE))</f>
        <v>1183729.3700000001</v>
      </c>
      <c r="FA27" s="1045">
        <f>(VLOOKUP("6900030",'Input IS ACCTS'!$A$6:GP$513,110,FALSE))</f>
        <v>1255346.49</v>
      </c>
      <c r="FB27" s="1045">
        <f>(VLOOKUP("6900030",'Input IS ACCTS'!$A$6:GQ$513,111,FALSE))</f>
        <v>1563688.22</v>
      </c>
      <c r="FD27" s="104">
        <f t="shared" si="64"/>
        <v>16252815.390000001</v>
      </c>
    </row>
    <row r="28" spans="1:160" ht="12.75" customHeight="1">
      <c r="A28" s="1000" t="s">
        <v>2429</v>
      </c>
      <c r="DG28" s="722">
        <f t="shared" ref="DG28:DP28" si="65">+DG26+DG27</f>
        <v>2722610.12</v>
      </c>
      <c r="DH28" s="722">
        <f t="shared" si="65"/>
        <v>2681566.11</v>
      </c>
      <c r="DI28" s="722">
        <f t="shared" si="65"/>
        <v>2389831.0099999998</v>
      </c>
      <c r="DJ28" s="722">
        <f t="shared" si="65"/>
        <v>2056331.6099999999</v>
      </c>
      <c r="DK28" s="722">
        <f t="shared" si="65"/>
        <v>1984732.3399999999</v>
      </c>
      <c r="DL28" s="722">
        <f t="shared" si="65"/>
        <v>1791397.83</v>
      </c>
      <c r="DM28" s="722">
        <f t="shared" si="65"/>
        <v>1738149.29</v>
      </c>
      <c r="DN28" s="722">
        <f t="shared" si="65"/>
        <v>1652488.98</v>
      </c>
      <c r="DO28" s="722">
        <f t="shared" si="65"/>
        <v>1706059.02</v>
      </c>
      <c r="DP28" s="722">
        <f t="shared" si="65"/>
        <v>1676169.94</v>
      </c>
      <c r="DQ28" s="722">
        <f t="shared" ref="DQ28:DV28" si="66">+DQ26+DQ27</f>
        <v>1935721.54</v>
      </c>
      <c r="DR28" s="722">
        <f t="shared" si="66"/>
        <v>2497597.0700000003</v>
      </c>
      <c r="DS28" s="722">
        <f t="shared" si="66"/>
        <v>2717206.4</v>
      </c>
      <c r="DT28" s="722">
        <f t="shared" si="66"/>
        <v>2629934.46</v>
      </c>
      <c r="DU28" s="722">
        <f t="shared" si="66"/>
        <v>2348444.1799999997</v>
      </c>
      <c r="DV28" s="722">
        <f t="shared" si="66"/>
        <v>1920259.81</v>
      </c>
      <c r="DW28" s="722">
        <f t="shared" ref="DW28:ED28" si="67">+DW26+DW27</f>
        <v>1710930.5899999999</v>
      </c>
      <c r="DX28" s="116">
        <f t="shared" si="67"/>
        <v>1671124.71</v>
      </c>
      <c r="DY28" s="116">
        <f t="shared" si="67"/>
        <v>1587524.4</v>
      </c>
      <c r="DZ28" s="116">
        <f t="shared" si="67"/>
        <v>1640720.17</v>
      </c>
      <c r="EA28" s="116">
        <f t="shared" si="67"/>
        <v>1583214.05</v>
      </c>
      <c r="EB28" s="116">
        <f t="shared" si="67"/>
        <v>1696454.0899999999</v>
      </c>
      <c r="EC28" s="116">
        <f t="shared" si="67"/>
        <v>1941067.4699999997</v>
      </c>
      <c r="ED28" s="116">
        <f t="shared" si="67"/>
        <v>2370831.91</v>
      </c>
      <c r="EE28" s="116">
        <f t="shared" ref="EE28:EJ28" si="68">+EE26+EE27</f>
        <v>3176838.34</v>
      </c>
      <c r="EF28" s="116">
        <f t="shared" si="68"/>
        <v>2901773.2</v>
      </c>
      <c r="EG28" s="116">
        <f t="shared" si="68"/>
        <v>2625619.3899999997</v>
      </c>
      <c r="EH28" s="116">
        <f t="shared" si="68"/>
        <v>2599220.0099999998</v>
      </c>
      <c r="EI28" s="116">
        <f t="shared" si="68"/>
        <v>2248230.98</v>
      </c>
      <c r="EJ28" s="116">
        <f t="shared" si="68"/>
        <v>2092996.46</v>
      </c>
      <c r="EK28" s="116">
        <f t="shared" ref="EK28:EP28" si="69">+EK26+EK27</f>
        <v>2121420.19</v>
      </c>
      <c r="EL28" s="116">
        <f t="shared" si="69"/>
        <v>1930732.87</v>
      </c>
      <c r="EM28" s="116">
        <f t="shared" si="69"/>
        <v>2043573.62</v>
      </c>
      <c r="EN28" s="116">
        <f t="shared" si="69"/>
        <v>1995799.26</v>
      </c>
      <c r="EO28" s="116">
        <f t="shared" si="69"/>
        <v>2280902.83</v>
      </c>
      <c r="EP28" s="116">
        <f t="shared" si="69"/>
        <v>2874810.4000000004</v>
      </c>
      <c r="EQ28" s="116">
        <f t="shared" ref="EQ28:ES28" si="70">+EQ26+EQ27</f>
        <v>3185964.0599999996</v>
      </c>
      <c r="ER28" s="116">
        <f t="shared" si="70"/>
        <v>3248657.02</v>
      </c>
      <c r="ES28" s="116">
        <f t="shared" si="70"/>
        <v>2999244.6</v>
      </c>
      <c r="ET28" s="116">
        <f t="shared" ref="ET28:EV28" si="71">+ET26+ET27</f>
        <v>2717034.48</v>
      </c>
      <c r="EU28" s="116">
        <f t="shared" si="71"/>
        <v>2511869.9300000002</v>
      </c>
      <c r="EV28" s="116">
        <f t="shared" si="71"/>
        <v>2252272.4300000002</v>
      </c>
      <c r="EW28" s="116">
        <f t="shared" ref="EW28:EY28" si="72">+EW26+EW27</f>
        <v>2079993.33</v>
      </c>
      <c r="EX28" s="116">
        <f t="shared" si="72"/>
        <v>2138544.7400000002</v>
      </c>
      <c r="EY28" s="116">
        <f t="shared" si="72"/>
        <v>2237517.42</v>
      </c>
      <c r="EZ28" s="116">
        <f t="shared" ref="EZ28:FB28" si="73">+EZ26+EZ27</f>
        <v>2400810.37</v>
      </c>
      <c r="FA28" s="116">
        <f t="shared" si="73"/>
        <v>2372829.16</v>
      </c>
      <c r="FB28" s="116">
        <f t="shared" si="73"/>
        <v>2808638.42</v>
      </c>
    </row>
    <row r="29" spans="1:160" ht="12.75" customHeight="1">
      <c r="A29" s="1000" t="s">
        <v>2624</v>
      </c>
      <c r="DG29" s="453"/>
      <c r="DH29" s="453"/>
      <c r="DI29" s="453"/>
      <c r="DJ29" s="453"/>
      <c r="DK29" s="453"/>
      <c r="DL29" s="453"/>
      <c r="DM29" s="453"/>
      <c r="DN29" s="453"/>
      <c r="DO29" s="453"/>
      <c r="DP29" s="453"/>
      <c r="DQ29" s="453"/>
      <c r="DR29" s="453">
        <f t="shared" ref="DR29:EJ29" si="74">SUM(DG28:DR28)</f>
        <v>24832654.859999999</v>
      </c>
      <c r="DS29" s="453">
        <f t="shared" si="74"/>
        <v>24827251.139999997</v>
      </c>
      <c r="DT29" s="453">
        <f t="shared" si="74"/>
        <v>24775619.489999998</v>
      </c>
      <c r="DU29" s="453">
        <f t="shared" si="74"/>
        <v>24734232.659999996</v>
      </c>
      <c r="DV29" s="453">
        <f t="shared" si="74"/>
        <v>24598160.859999996</v>
      </c>
      <c r="DW29" s="453">
        <f t="shared" si="74"/>
        <v>24324359.109999996</v>
      </c>
      <c r="DX29" s="453">
        <f t="shared" si="74"/>
        <v>24204085.989999998</v>
      </c>
      <c r="DY29" s="453">
        <f t="shared" si="74"/>
        <v>24053461.099999998</v>
      </c>
      <c r="DZ29" s="453">
        <f t="shared" si="74"/>
        <v>24041692.289999999</v>
      </c>
      <c r="EA29" s="453">
        <f t="shared" si="74"/>
        <v>23918847.320000004</v>
      </c>
      <c r="EB29" s="453">
        <f t="shared" si="74"/>
        <v>23939131.469999999</v>
      </c>
      <c r="EC29" s="453">
        <f t="shared" si="74"/>
        <v>23944477.399999999</v>
      </c>
      <c r="ED29" s="453">
        <f t="shared" si="74"/>
        <v>23817712.239999998</v>
      </c>
      <c r="EE29" s="453">
        <f t="shared" si="74"/>
        <v>24277344.18</v>
      </c>
      <c r="EF29" s="453">
        <f t="shared" si="74"/>
        <v>24549182.919999998</v>
      </c>
      <c r="EG29" s="453">
        <f t="shared" si="74"/>
        <v>24826358.129999999</v>
      </c>
      <c r="EH29" s="453">
        <f t="shared" si="74"/>
        <v>25505318.329999998</v>
      </c>
      <c r="EI29" s="453">
        <f t="shared" si="74"/>
        <v>26042618.720000003</v>
      </c>
      <c r="EJ29" s="453">
        <f t="shared" si="74"/>
        <v>26464490.470000003</v>
      </c>
      <c r="EK29" s="453">
        <f t="shared" ref="EK29:EY29" si="75">SUM(DZ28:EK28)</f>
        <v>26998386.260000005</v>
      </c>
      <c r="EL29" s="453">
        <f t="shared" si="75"/>
        <v>27288398.960000005</v>
      </c>
      <c r="EM29" s="453">
        <f t="shared" si="75"/>
        <v>27748758.530000001</v>
      </c>
      <c r="EN29" s="453">
        <f t="shared" si="75"/>
        <v>28048103.700000003</v>
      </c>
      <c r="EO29" s="453">
        <f t="shared" si="75"/>
        <v>28387939.060000002</v>
      </c>
      <c r="EP29" s="453">
        <f t="shared" si="75"/>
        <v>28891917.550000004</v>
      </c>
      <c r="EQ29" s="453">
        <f t="shared" si="75"/>
        <v>28901043.27</v>
      </c>
      <c r="ER29" s="453">
        <f t="shared" si="75"/>
        <v>29247927.089999996</v>
      </c>
      <c r="ES29" s="453">
        <f t="shared" si="75"/>
        <v>29621552.300000004</v>
      </c>
      <c r="ET29" s="453">
        <f t="shared" si="75"/>
        <v>29739366.77</v>
      </c>
      <c r="EU29" s="453">
        <f t="shared" si="75"/>
        <v>30003005.720000003</v>
      </c>
      <c r="EV29" s="453">
        <f t="shared" si="75"/>
        <v>30162281.690000001</v>
      </c>
      <c r="EW29" s="453">
        <f t="shared" si="75"/>
        <v>30120854.829999998</v>
      </c>
      <c r="EX29" s="453">
        <f t="shared" si="75"/>
        <v>30328666.700000003</v>
      </c>
      <c r="EY29" s="453">
        <f t="shared" si="75"/>
        <v>30522610.5</v>
      </c>
      <c r="EZ29" s="453">
        <f t="shared" ref="EZ29" si="76">SUM(EO28:EZ28)</f>
        <v>30927621.610000003</v>
      </c>
      <c r="FA29" s="453">
        <f t="shared" ref="FA29" si="77">SUM(EP28:FA28)</f>
        <v>31019547.940000005</v>
      </c>
      <c r="FB29" s="453">
        <f t="shared" ref="FB29" si="78">SUM(EQ28:FB28)</f>
        <v>30953375.960000008</v>
      </c>
    </row>
    <row r="30" spans="1:160" ht="12.75" customHeight="1">
      <c r="AJ30" s="17" t="s">
        <v>523</v>
      </c>
    </row>
    <row r="31" spans="1:160" ht="12.75" customHeight="1">
      <c r="A31" s="1000" t="s">
        <v>2430</v>
      </c>
      <c r="F31" s="35"/>
      <c r="J31" s="120"/>
      <c r="K31" s="120"/>
      <c r="L31" s="120"/>
      <c r="M31" s="120"/>
      <c r="N31" s="17"/>
      <c r="Q31" s="35"/>
      <c r="R31" s="35"/>
      <c r="S31" s="35"/>
      <c r="T31" s="35"/>
      <c r="U31" s="35"/>
      <c r="DG31" s="419">
        <v>-1077455.75</v>
      </c>
      <c r="DH31" s="419">
        <v>-1049655.22</v>
      </c>
      <c r="DI31" s="419">
        <v>-976425.94</v>
      </c>
      <c r="DJ31" s="419">
        <v>-944434.86</v>
      </c>
      <c r="DK31" s="419">
        <v>-814908.7</v>
      </c>
      <c r="DL31" s="419">
        <v>-782183.36</v>
      </c>
      <c r="DM31" s="419">
        <v>-760420.2</v>
      </c>
      <c r="DN31" s="419">
        <v>-726605.6</v>
      </c>
      <c r="DO31" s="419">
        <v>-766395.44</v>
      </c>
      <c r="DP31" s="419">
        <v>-746665.18</v>
      </c>
      <c r="DQ31" s="419">
        <v>-829620.68</v>
      </c>
      <c r="DR31" s="419">
        <v>-1001016.06</v>
      </c>
      <c r="DS31" s="419">
        <v>-1107892.52</v>
      </c>
      <c r="DT31" s="419">
        <v>-1064792.08</v>
      </c>
      <c r="DU31" s="419">
        <v>-1000768.77</v>
      </c>
      <c r="DV31" s="419">
        <v>-861987.17</v>
      </c>
      <c r="DW31" s="419">
        <v>-761201.88</v>
      </c>
      <c r="DX31" s="327">
        <v>-707180.78</v>
      </c>
      <c r="DY31" s="327">
        <v>-739814.08</v>
      </c>
      <c r="DZ31" s="327">
        <v>-732428.55</v>
      </c>
      <c r="EA31" s="327">
        <v>-719516.08</v>
      </c>
      <c r="EB31" s="327">
        <v>-759171.86</v>
      </c>
      <c r="EC31" s="327">
        <v>-852819.9</v>
      </c>
      <c r="ED31" s="327">
        <v>-986412.7</v>
      </c>
      <c r="EE31" s="327">
        <v>-1347921.56</v>
      </c>
      <c r="EF31" s="327">
        <v>-1255574.45</v>
      </c>
      <c r="EG31" s="327">
        <v>-1176632.71</v>
      </c>
      <c r="EH31" s="327">
        <v>-1182701.1299999999</v>
      </c>
      <c r="EI31" s="327">
        <v>-1055107.24</v>
      </c>
      <c r="EJ31" s="327">
        <v>-994597.45</v>
      </c>
      <c r="EK31" s="327">
        <v>-997341.73</v>
      </c>
      <c r="EL31" s="327">
        <v>-928115.15</v>
      </c>
      <c r="EM31" s="327">
        <v>-980203.27</v>
      </c>
      <c r="EN31" s="327">
        <v>-931959.41</v>
      </c>
      <c r="EO31" s="327">
        <v>-1052791.18</v>
      </c>
      <c r="EP31" s="327">
        <v>-1274558.2</v>
      </c>
      <c r="EQ31" s="327">
        <v>-1448910.88</v>
      </c>
      <c r="ER31" s="327">
        <v>-1529552.96</v>
      </c>
      <c r="ES31" s="327">
        <v>-1370392.34</v>
      </c>
      <c r="ET31" s="327">
        <v>-1259490.8799999999</v>
      </c>
      <c r="EU31" s="327">
        <v>-1191620.17</v>
      </c>
      <c r="EV31" s="327">
        <v>-1091400.44</v>
      </c>
      <c r="EW31" s="327">
        <v>-1018216.2</v>
      </c>
      <c r="EX31" s="327">
        <v>-1130553.42</v>
      </c>
      <c r="EY31" s="327">
        <v>-1166932</v>
      </c>
      <c r="EZ31" s="994">
        <f>(VLOOKUP("4950205",'Input IS ACCTS'!$A$6:GO$513,109,FALSE))</f>
        <v>-1226121.8</v>
      </c>
      <c r="FA31" s="994">
        <f>(VLOOKUP("4950205",'Input IS ACCTS'!$A$6:GP$513,110,FALSE))</f>
        <v>-1127298.28</v>
      </c>
      <c r="FB31" s="994">
        <f>(VLOOKUP("4950205",'Input IS ACCTS'!$A$6:GQ$513,111,FALSE))</f>
        <v>-1254323.27</v>
      </c>
      <c r="FD31" s="104">
        <f t="shared" ref="FD31:FD32" si="79">SUM(EQ31:FB31)</f>
        <v>-14814812.639999999</v>
      </c>
    </row>
    <row r="32" spans="1:160" ht="12.75" customHeight="1">
      <c r="A32" s="1000" t="s">
        <v>2431</v>
      </c>
      <c r="DG32" s="568">
        <v>-1665864.94</v>
      </c>
      <c r="DH32" s="568">
        <v>-1640421.41</v>
      </c>
      <c r="DI32" s="568">
        <v>-1434294.15</v>
      </c>
      <c r="DJ32" s="568">
        <v>-1134539.23</v>
      </c>
      <c r="DK32" s="568">
        <v>-1185315.3999999999</v>
      </c>
      <c r="DL32" s="568">
        <v>-1023382.27</v>
      </c>
      <c r="DM32" s="568">
        <v>-990882.96</v>
      </c>
      <c r="DN32" s="568">
        <v>-938493.94</v>
      </c>
      <c r="DO32" s="568">
        <v>-959936.59</v>
      </c>
      <c r="DP32" s="568">
        <v>-942398.3</v>
      </c>
      <c r="DQ32" s="568">
        <v>-1118971.45</v>
      </c>
      <c r="DR32" s="568">
        <v>-1513136.83</v>
      </c>
      <c r="DS32" s="568">
        <v>-1628543.84</v>
      </c>
      <c r="DT32" s="568">
        <v>-1581269.81</v>
      </c>
      <c r="DU32" s="568">
        <v>-1360686.35</v>
      </c>
      <c r="DV32" s="568">
        <v>-1067229.21</v>
      </c>
      <c r="DW32" s="568">
        <v>-959002.58</v>
      </c>
      <c r="DX32" s="290">
        <v>-972001.62</v>
      </c>
      <c r="DY32" s="290">
        <v>-857883.31</v>
      </c>
      <c r="DZ32" s="290">
        <v>-916574.94</v>
      </c>
      <c r="EA32" s="290">
        <v>-877380.33</v>
      </c>
      <c r="EB32" s="290">
        <v>-967926.02</v>
      </c>
      <c r="EC32" s="290">
        <v>-1102359.0900000001</v>
      </c>
      <c r="ED32" s="290">
        <v>-1409825.73</v>
      </c>
      <c r="EE32" s="290">
        <v>-1837558.54</v>
      </c>
      <c r="EF32" s="290">
        <v>-1657676.57</v>
      </c>
      <c r="EG32" s="290">
        <v>-1456490.32</v>
      </c>
      <c r="EH32" s="290">
        <v>-1436211.98</v>
      </c>
      <c r="EI32" s="290">
        <v>-1208611.94</v>
      </c>
      <c r="EJ32" s="290">
        <v>-1116474.1299999999</v>
      </c>
      <c r="EK32" s="290">
        <v>-1142086.17</v>
      </c>
      <c r="EL32" s="290">
        <v>-1017929.49</v>
      </c>
      <c r="EM32" s="290">
        <v>-1078486.3799999999</v>
      </c>
      <c r="EN32" s="327">
        <v>-1080685.17</v>
      </c>
      <c r="EO32" s="327">
        <v>-1242017.5900000001</v>
      </c>
      <c r="EP32" s="327">
        <v>-1619789.26</v>
      </c>
      <c r="EQ32" s="327">
        <v>-1747412.92</v>
      </c>
      <c r="ER32" s="327">
        <v>-1892978.9</v>
      </c>
      <c r="ES32" s="327">
        <v>-1640029.05</v>
      </c>
      <c r="ET32" s="327">
        <v>-1468301.53</v>
      </c>
      <c r="EU32" s="327">
        <v>-1331047.67</v>
      </c>
      <c r="EV32" s="327">
        <v>-1173483.29</v>
      </c>
      <c r="EW32" s="327">
        <v>-1072143.94</v>
      </c>
      <c r="EX32" s="327">
        <v>-1019030.03</v>
      </c>
      <c r="EY32" s="327">
        <v>-1081406.97</v>
      </c>
      <c r="EZ32" s="1045">
        <f>(VLOOKUP("4950206",'Input IS ACCTS'!$A$6:GO$513,109,FALSE))</f>
        <v>-1184872.05</v>
      </c>
      <c r="FA32" s="1045">
        <f>(VLOOKUP("4950206",'Input IS ACCTS'!$A$6:GP$513,110,FALSE))</f>
        <v>-1256626.96</v>
      </c>
      <c r="FB32" s="1045">
        <f>(VLOOKUP("4950206",'Input IS ACCTS'!$A$6:GQ$513,111,FALSE))</f>
        <v>-1564803.32</v>
      </c>
      <c r="FD32" s="104">
        <f t="shared" si="79"/>
        <v>-16432136.629999999</v>
      </c>
    </row>
    <row r="33" spans="1:160" ht="12.75" customHeight="1">
      <c r="A33" s="1000" t="s">
        <v>2432</v>
      </c>
      <c r="DG33" s="722">
        <f>+DG31+DG32</f>
        <v>-2743320.69</v>
      </c>
      <c r="DH33" s="722">
        <f t="shared" ref="DH33:DR33" si="80">+DH31+DH32</f>
        <v>-2690076.63</v>
      </c>
      <c r="DI33" s="722">
        <f t="shared" si="80"/>
        <v>-2410720.09</v>
      </c>
      <c r="DJ33" s="722">
        <f t="shared" si="80"/>
        <v>-2078974.0899999999</v>
      </c>
      <c r="DK33" s="722">
        <f t="shared" si="80"/>
        <v>-2000224.0999999999</v>
      </c>
      <c r="DL33" s="722">
        <f t="shared" si="80"/>
        <v>-1805565.63</v>
      </c>
      <c r="DM33" s="722">
        <f t="shared" si="80"/>
        <v>-1751303.16</v>
      </c>
      <c r="DN33" s="722">
        <f t="shared" si="80"/>
        <v>-1665099.54</v>
      </c>
      <c r="DO33" s="722">
        <f t="shared" si="80"/>
        <v>-1726332.0299999998</v>
      </c>
      <c r="DP33" s="722">
        <f t="shared" si="80"/>
        <v>-1689063.48</v>
      </c>
      <c r="DQ33" s="722">
        <f t="shared" si="80"/>
        <v>-1948592.13</v>
      </c>
      <c r="DR33" s="722">
        <f t="shared" si="80"/>
        <v>-2514152.89</v>
      </c>
      <c r="DS33" s="722">
        <f t="shared" ref="DS33:DX33" si="81">+DS31+DS32</f>
        <v>-2736436.3600000003</v>
      </c>
      <c r="DT33" s="722">
        <f t="shared" si="81"/>
        <v>-2646061.89</v>
      </c>
      <c r="DU33" s="722">
        <f t="shared" si="81"/>
        <v>-2361455.12</v>
      </c>
      <c r="DV33" s="722">
        <f t="shared" si="81"/>
        <v>-1929216.38</v>
      </c>
      <c r="DW33" s="722">
        <f t="shared" si="81"/>
        <v>-1720204.46</v>
      </c>
      <c r="DX33" s="116">
        <f t="shared" si="81"/>
        <v>-1679182.4</v>
      </c>
      <c r="DY33" s="116">
        <f t="shared" ref="DY33:ED33" si="82">+DY31+DY32</f>
        <v>-1597697.3900000001</v>
      </c>
      <c r="DZ33" s="116">
        <f t="shared" si="82"/>
        <v>-1649003.49</v>
      </c>
      <c r="EA33" s="116">
        <f t="shared" si="82"/>
        <v>-1596896.41</v>
      </c>
      <c r="EB33" s="116">
        <f t="shared" si="82"/>
        <v>-1727097.88</v>
      </c>
      <c r="EC33" s="116">
        <f t="shared" si="82"/>
        <v>-1955178.9900000002</v>
      </c>
      <c r="ED33" s="116">
        <f t="shared" si="82"/>
        <v>-2396238.4299999997</v>
      </c>
      <c r="EE33" s="116">
        <f t="shared" ref="EE33:EJ33" si="83">+EE31+EE32</f>
        <v>-3185480.1</v>
      </c>
      <c r="EF33" s="116">
        <f t="shared" si="83"/>
        <v>-2913251.02</v>
      </c>
      <c r="EG33" s="116">
        <f t="shared" si="83"/>
        <v>-2633123.0300000003</v>
      </c>
      <c r="EH33" s="116">
        <f t="shared" si="83"/>
        <v>-2618913.11</v>
      </c>
      <c r="EI33" s="116">
        <f t="shared" si="83"/>
        <v>-2263719.1799999997</v>
      </c>
      <c r="EJ33" s="116">
        <f t="shared" si="83"/>
        <v>-2111071.58</v>
      </c>
      <c r="EK33" s="116">
        <f t="shared" ref="EK33:EP33" si="84">+EK31+EK32</f>
        <v>-2139427.9</v>
      </c>
      <c r="EL33" s="116">
        <f t="shared" si="84"/>
        <v>-1946044.6400000001</v>
      </c>
      <c r="EM33" s="116">
        <f t="shared" si="84"/>
        <v>-2058689.65</v>
      </c>
      <c r="EN33" s="116">
        <f t="shared" si="84"/>
        <v>-2012644.58</v>
      </c>
      <c r="EO33" s="116">
        <f t="shared" si="84"/>
        <v>-2294808.77</v>
      </c>
      <c r="EP33" s="116">
        <f t="shared" si="84"/>
        <v>-2894347.46</v>
      </c>
      <c r="EQ33" s="116">
        <f t="shared" ref="EQ33:ES33" si="85">+EQ31+EQ32</f>
        <v>-3196323.8</v>
      </c>
      <c r="ER33" s="116">
        <f t="shared" si="85"/>
        <v>-3422531.86</v>
      </c>
      <c r="ES33" s="116">
        <f t="shared" si="85"/>
        <v>-3010421.39</v>
      </c>
      <c r="ET33" s="116">
        <f t="shared" ref="ET33:EV33" si="86">+ET31+ET32</f>
        <v>-2727792.41</v>
      </c>
      <c r="EU33" s="116">
        <f t="shared" si="86"/>
        <v>-2522667.84</v>
      </c>
      <c r="EV33" s="116">
        <f t="shared" si="86"/>
        <v>-2264883.73</v>
      </c>
      <c r="EW33" s="116">
        <f t="shared" ref="EW33:EY33" si="87">+EW31+EW32</f>
        <v>-2090360.14</v>
      </c>
      <c r="EX33" s="116">
        <f t="shared" si="87"/>
        <v>-2149583.4500000002</v>
      </c>
      <c r="EY33" s="116">
        <f t="shared" si="87"/>
        <v>-2248338.9699999997</v>
      </c>
      <c r="EZ33" s="116">
        <f t="shared" ref="EZ33:FB33" si="88">+EZ31+EZ32</f>
        <v>-2410993.85</v>
      </c>
      <c r="FA33" s="116">
        <f t="shared" si="88"/>
        <v>-2383925.2400000002</v>
      </c>
      <c r="FB33" s="116">
        <f t="shared" si="88"/>
        <v>-2819126.59</v>
      </c>
    </row>
    <row r="34" spans="1:160" ht="12.75" customHeight="1">
      <c r="A34" s="1000" t="s">
        <v>2625</v>
      </c>
      <c r="DG34" s="453"/>
      <c r="DH34" s="453"/>
      <c r="DI34" s="453"/>
      <c r="DJ34" s="453"/>
      <c r="DK34" s="453"/>
      <c r="DL34" s="453"/>
      <c r="DM34" s="453"/>
      <c r="DN34" s="453"/>
      <c r="DO34" s="453"/>
      <c r="DP34" s="453"/>
      <c r="DQ34" s="453"/>
      <c r="DR34" s="453">
        <f t="shared" ref="DR34:EJ34" si="89">SUM(DG33:DR33)</f>
        <v>-25023424.460000001</v>
      </c>
      <c r="DS34" s="453">
        <f t="shared" si="89"/>
        <v>-25016540.129999995</v>
      </c>
      <c r="DT34" s="453">
        <f t="shared" si="89"/>
        <v>-24972525.390000001</v>
      </c>
      <c r="DU34" s="453">
        <f t="shared" si="89"/>
        <v>-24923260.420000002</v>
      </c>
      <c r="DV34" s="453">
        <f t="shared" si="89"/>
        <v>-24773502.710000001</v>
      </c>
      <c r="DW34" s="453">
        <f t="shared" si="89"/>
        <v>-24493483.07</v>
      </c>
      <c r="DX34" s="453">
        <f t="shared" si="89"/>
        <v>-24367099.84</v>
      </c>
      <c r="DY34" s="453">
        <f t="shared" si="89"/>
        <v>-24213494.07</v>
      </c>
      <c r="DZ34" s="453">
        <f t="shared" si="89"/>
        <v>-24197398.02</v>
      </c>
      <c r="EA34" s="453">
        <f t="shared" si="89"/>
        <v>-24067962.399999999</v>
      </c>
      <c r="EB34" s="453">
        <f t="shared" si="89"/>
        <v>-24105996.799999997</v>
      </c>
      <c r="EC34" s="453">
        <f t="shared" si="89"/>
        <v>-24112583.659999996</v>
      </c>
      <c r="ED34" s="453">
        <f t="shared" si="89"/>
        <v>-23994669.200000003</v>
      </c>
      <c r="EE34" s="453">
        <f t="shared" si="89"/>
        <v>-24443712.940000005</v>
      </c>
      <c r="EF34" s="453">
        <f t="shared" si="89"/>
        <v>-24710902.070000004</v>
      </c>
      <c r="EG34" s="453">
        <f t="shared" si="89"/>
        <v>-24982569.98</v>
      </c>
      <c r="EH34" s="453">
        <f t="shared" si="89"/>
        <v>-25672266.710000001</v>
      </c>
      <c r="EI34" s="453">
        <f t="shared" si="89"/>
        <v>-26215781.43</v>
      </c>
      <c r="EJ34" s="453">
        <f t="shared" si="89"/>
        <v>-26647670.609999999</v>
      </c>
      <c r="EK34" s="453">
        <f t="shared" ref="EK34:EY34" si="90">SUM(DZ33:EK33)</f>
        <v>-27189401.119999997</v>
      </c>
      <c r="EL34" s="453">
        <f t="shared" si="90"/>
        <v>-27486442.269999996</v>
      </c>
      <c r="EM34" s="453">
        <f t="shared" si="90"/>
        <v>-27948235.509999998</v>
      </c>
      <c r="EN34" s="453">
        <f t="shared" si="90"/>
        <v>-28233782.209999993</v>
      </c>
      <c r="EO34" s="453">
        <f t="shared" si="90"/>
        <v>-28573411.989999991</v>
      </c>
      <c r="EP34" s="453">
        <f t="shared" si="90"/>
        <v>-29071521.02</v>
      </c>
      <c r="EQ34" s="453">
        <f t="shared" si="90"/>
        <v>-29082364.719999999</v>
      </c>
      <c r="ER34" s="453">
        <f t="shared" si="90"/>
        <v>-29591645.560000002</v>
      </c>
      <c r="ES34" s="453">
        <f t="shared" si="90"/>
        <v>-29968943.920000002</v>
      </c>
      <c r="ET34" s="453">
        <f t="shared" si="90"/>
        <v>-30077823.220000003</v>
      </c>
      <c r="EU34" s="453">
        <f t="shared" si="90"/>
        <v>-30336771.880000003</v>
      </c>
      <c r="EV34" s="453">
        <f t="shared" si="90"/>
        <v>-30490584.030000001</v>
      </c>
      <c r="EW34" s="453">
        <f t="shared" si="90"/>
        <v>-30441516.270000003</v>
      </c>
      <c r="EX34" s="453">
        <f t="shared" si="90"/>
        <v>-30645055.080000002</v>
      </c>
      <c r="EY34" s="453">
        <f t="shared" si="90"/>
        <v>-30834704.399999999</v>
      </c>
      <c r="EZ34" s="453">
        <f t="shared" ref="EZ34" si="91">SUM(EO33:EZ33)</f>
        <v>-31233053.670000002</v>
      </c>
      <c r="FA34" s="453">
        <f t="shared" ref="FA34" si="92">SUM(EP33:FA33)</f>
        <v>-31322170.140000001</v>
      </c>
      <c r="FB34" s="453">
        <f t="shared" ref="FB34" si="93">SUM(EQ33:FB33)</f>
        <v>-31246949.27</v>
      </c>
    </row>
    <row r="35" spans="1:160" ht="12.75" customHeight="1">
      <c r="A35" s="29"/>
      <c r="DG35" s="116"/>
      <c r="DH35" s="116"/>
      <c r="DI35" s="116"/>
      <c r="DJ35" s="116"/>
      <c r="DK35" s="116"/>
      <c r="DL35" s="116"/>
      <c r="DM35" s="116"/>
      <c r="DN35" s="116"/>
      <c r="DO35" s="116"/>
      <c r="DP35" s="116"/>
      <c r="DQ35" s="116"/>
      <c r="DR35" s="116"/>
      <c r="DS35" s="116"/>
      <c r="DT35" s="116"/>
      <c r="DU35" s="116"/>
      <c r="DV35" s="116"/>
      <c r="DW35" s="116"/>
      <c r="DX35" s="116"/>
      <c r="DY35" s="116"/>
      <c r="DZ35" s="116"/>
      <c r="EA35" s="116"/>
      <c r="EB35" s="116"/>
      <c r="EC35" s="116"/>
      <c r="ED35" s="116"/>
      <c r="EE35" s="116"/>
      <c r="EF35" s="116"/>
      <c r="EG35" s="116"/>
      <c r="EH35" s="116"/>
      <c r="EI35" s="116"/>
      <c r="EJ35" s="116"/>
      <c r="EK35" s="116"/>
      <c r="EL35" s="116"/>
      <c r="EM35" s="116"/>
      <c r="EN35" s="116"/>
      <c r="EO35" s="116"/>
      <c r="EP35" s="116"/>
      <c r="EQ35" s="116"/>
      <c r="ER35" s="116"/>
      <c r="ES35" s="116"/>
      <c r="ET35" s="116"/>
      <c r="EU35" s="116"/>
      <c r="EV35" s="116"/>
      <c r="EW35" s="116"/>
      <c r="EX35" s="116"/>
      <c r="EY35" s="116"/>
      <c r="EZ35" s="116"/>
      <c r="FA35" s="116"/>
      <c r="FB35" s="116"/>
    </row>
    <row r="36" spans="1:160" ht="12.75" customHeight="1">
      <c r="A36" s="1000" t="s">
        <v>2434</v>
      </c>
      <c r="DG36" s="722">
        <f>+DG28+DG33</f>
        <v>-20710.569999999832</v>
      </c>
      <c r="DH36" s="722">
        <f t="shared" ref="DH36:DR36" si="94">+DH28+DH33</f>
        <v>-8510.5200000000186</v>
      </c>
      <c r="DI36" s="722">
        <f t="shared" si="94"/>
        <v>-20889.080000000075</v>
      </c>
      <c r="DJ36" s="722">
        <f t="shared" si="94"/>
        <v>-22642.479999999981</v>
      </c>
      <c r="DK36" s="722">
        <f t="shared" si="94"/>
        <v>-15491.760000000009</v>
      </c>
      <c r="DL36" s="722">
        <f t="shared" si="94"/>
        <v>-14167.799999999814</v>
      </c>
      <c r="DM36" s="722">
        <f t="shared" si="94"/>
        <v>-13153.869999999879</v>
      </c>
      <c r="DN36" s="722">
        <f t="shared" si="94"/>
        <v>-12610.560000000056</v>
      </c>
      <c r="DO36" s="722">
        <f t="shared" si="94"/>
        <v>-20273.009999999776</v>
      </c>
      <c r="DP36" s="722">
        <f t="shared" si="94"/>
        <v>-12893.540000000037</v>
      </c>
      <c r="DQ36" s="722">
        <f t="shared" si="94"/>
        <v>-12870.589999999851</v>
      </c>
      <c r="DR36" s="722">
        <f t="shared" si="94"/>
        <v>-16555.819999999832</v>
      </c>
      <c r="DS36" s="722">
        <f t="shared" ref="DS36:DX36" si="95">+DS28+DS33</f>
        <v>-19229.960000000428</v>
      </c>
      <c r="DT36" s="722">
        <f t="shared" si="95"/>
        <v>-16127.430000000168</v>
      </c>
      <c r="DU36" s="722">
        <f t="shared" si="95"/>
        <v>-13010.94000000041</v>
      </c>
      <c r="DV36" s="722">
        <f t="shared" si="95"/>
        <v>-8956.5699999998324</v>
      </c>
      <c r="DW36" s="722">
        <f t="shared" si="95"/>
        <v>-9273.8700000001118</v>
      </c>
      <c r="DX36" s="116">
        <f t="shared" si="95"/>
        <v>-8057.6899999999441</v>
      </c>
      <c r="DY36" s="116">
        <f t="shared" ref="DY36:ED36" si="96">+DY28+DY33</f>
        <v>-10172.990000000224</v>
      </c>
      <c r="DZ36" s="116">
        <f t="shared" si="96"/>
        <v>-8283.3200000000652</v>
      </c>
      <c r="EA36" s="116">
        <f t="shared" si="96"/>
        <v>-13682.35999999987</v>
      </c>
      <c r="EB36" s="116">
        <f t="shared" si="96"/>
        <v>-30643.790000000037</v>
      </c>
      <c r="EC36" s="116">
        <f t="shared" si="96"/>
        <v>-14111.520000000484</v>
      </c>
      <c r="ED36" s="116">
        <f t="shared" si="96"/>
        <v>-25406.519999999553</v>
      </c>
      <c r="EE36" s="116">
        <f t="shared" ref="EE36:EJ36" si="97">+EE28+EE33</f>
        <v>-8641.7600000002421</v>
      </c>
      <c r="EF36" s="116">
        <f t="shared" si="97"/>
        <v>-11477.819999999832</v>
      </c>
      <c r="EG36" s="116">
        <f t="shared" si="97"/>
        <v>-7503.640000000596</v>
      </c>
      <c r="EH36" s="116">
        <f t="shared" si="97"/>
        <v>-19693.100000000093</v>
      </c>
      <c r="EI36" s="116">
        <f t="shared" si="97"/>
        <v>-15488.199999999721</v>
      </c>
      <c r="EJ36" s="116">
        <f t="shared" si="97"/>
        <v>-18075.120000000112</v>
      </c>
      <c r="EK36" s="116">
        <f t="shared" ref="EK36:EP36" si="98">+EK28+EK33</f>
        <v>-18007.709999999963</v>
      </c>
      <c r="EL36" s="116">
        <f t="shared" si="98"/>
        <v>-15311.770000000019</v>
      </c>
      <c r="EM36" s="116">
        <f t="shared" si="98"/>
        <v>-15116.029999999795</v>
      </c>
      <c r="EN36" s="116">
        <f t="shared" si="98"/>
        <v>-16845.320000000065</v>
      </c>
      <c r="EO36" s="116">
        <f t="shared" si="98"/>
        <v>-13905.939999999944</v>
      </c>
      <c r="EP36" s="116">
        <f t="shared" si="98"/>
        <v>-19537.05999999959</v>
      </c>
      <c r="EQ36" s="116">
        <f t="shared" ref="EQ36:ES36" si="99">+EQ28+EQ33</f>
        <v>-10359.740000000224</v>
      </c>
      <c r="ER36" s="116">
        <f t="shared" si="99"/>
        <v>-173874.83999999985</v>
      </c>
      <c r="ES36" s="116">
        <f t="shared" si="99"/>
        <v>-11176.790000000037</v>
      </c>
      <c r="ET36" s="116">
        <f t="shared" ref="ET36:EV36" si="100">+ET28+ET33</f>
        <v>-10757.930000000168</v>
      </c>
      <c r="EU36" s="116">
        <f t="shared" si="100"/>
        <v>-10797.909999999683</v>
      </c>
      <c r="EV36" s="116">
        <f t="shared" si="100"/>
        <v>-12611.299999999814</v>
      </c>
      <c r="EW36" s="116">
        <f t="shared" ref="EW36:EY36" si="101">+EW28+EW33</f>
        <v>-10366.809999999823</v>
      </c>
      <c r="EX36" s="116">
        <f t="shared" si="101"/>
        <v>-11038.709999999963</v>
      </c>
      <c r="EY36" s="116">
        <f t="shared" si="101"/>
        <v>-10821.549999999814</v>
      </c>
      <c r="EZ36" s="116">
        <f t="shared" ref="EZ36:FB36" si="102">+EZ28+EZ33</f>
        <v>-10183.479999999981</v>
      </c>
      <c r="FA36" s="116">
        <f t="shared" si="102"/>
        <v>-11096.080000000075</v>
      </c>
      <c r="FB36" s="116">
        <f t="shared" si="102"/>
        <v>-10488.169999999925</v>
      </c>
      <c r="FD36" s="104">
        <f t="shared" ref="FD36:FD37" si="103">SUM(EQ36:FB36)</f>
        <v>-293573.30999999936</v>
      </c>
    </row>
    <row r="37" spans="1:160" ht="12.75" customHeight="1">
      <c r="A37" s="1000" t="s">
        <v>2626</v>
      </c>
      <c r="DG37" s="453"/>
      <c r="DH37" s="453"/>
      <c r="DI37" s="453"/>
      <c r="DJ37" s="453"/>
      <c r="DK37" s="453"/>
      <c r="DL37" s="453"/>
      <c r="DM37" s="453"/>
      <c r="DN37" s="453"/>
      <c r="DO37" s="453"/>
      <c r="DP37" s="453"/>
      <c r="DQ37" s="453"/>
      <c r="DR37" s="453">
        <f t="shared" ref="DR37:EJ37" si="104">SUM(DG36:DR36)</f>
        <v>-190769.59999999916</v>
      </c>
      <c r="DS37" s="453">
        <f t="shared" si="104"/>
        <v>-189288.98999999976</v>
      </c>
      <c r="DT37" s="453">
        <f t="shared" si="104"/>
        <v>-196905.89999999991</v>
      </c>
      <c r="DU37" s="453">
        <f t="shared" si="104"/>
        <v>-189027.76000000024</v>
      </c>
      <c r="DV37" s="453">
        <f t="shared" si="104"/>
        <v>-175341.85000000009</v>
      </c>
      <c r="DW37" s="453">
        <f t="shared" si="104"/>
        <v>-169123.9600000002</v>
      </c>
      <c r="DX37" s="116">
        <f t="shared" si="104"/>
        <v>-163013.85000000033</v>
      </c>
      <c r="DY37" s="116">
        <f t="shared" si="104"/>
        <v>-160032.97000000067</v>
      </c>
      <c r="DZ37" s="116">
        <f t="shared" si="104"/>
        <v>-155705.73000000068</v>
      </c>
      <c r="EA37" s="116">
        <f t="shared" si="104"/>
        <v>-149115.08000000077</v>
      </c>
      <c r="EB37" s="116">
        <f t="shared" si="104"/>
        <v>-166865.33000000077</v>
      </c>
      <c r="EC37" s="116">
        <f t="shared" si="104"/>
        <v>-168106.26000000141</v>
      </c>
      <c r="ED37" s="116">
        <f t="shared" si="104"/>
        <v>-176956.96000000113</v>
      </c>
      <c r="EE37" s="116">
        <f t="shared" si="104"/>
        <v>-166368.76000000094</v>
      </c>
      <c r="EF37" s="116">
        <f t="shared" si="104"/>
        <v>-161719.15000000061</v>
      </c>
      <c r="EG37" s="116">
        <f t="shared" si="104"/>
        <v>-156211.85000000079</v>
      </c>
      <c r="EH37" s="116">
        <f t="shared" si="104"/>
        <v>-166948.38000000105</v>
      </c>
      <c r="EI37" s="116">
        <f t="shared" si="104"/>
        <v>-173162.71000000066</v>
      </c>
      <c r="EJ37" s="116">
        <f t="shared" si="104"/>
        <v>-183180.14000000083</v>
      </c>
      <c r="EK37" s="116">
        <f t="shared" ref="EK37:EY37" si="105">SUM(DZ36:EK36)</f>
        <v>-191014.86000000057</v>
      </c>
      <c r="EL37" s="116">
        <f t="shared" si="105"/>
        <v>-198043.31000000052</v>
      </c>
      <c r="EM37" s="116">
        <f t="shared" si="105"/>
        <v>-199476.98000000045</v>
      </c>
      <c r="EN37" s="116">
        <f t="shared" si="105"/>
        <v>-185678.51000000047</v>
      </c>
      <c r="EO37" s="116">
        <f t="shared" si="105"/>
        <v>-185472.92999999993</v>
      </c>
      <c r="EP37" s="116">
        <f t="shared" si="105"/>
        <v>-179603.46999999997</v>
      </c>
      <c r="EQ37" s="116">
        <f t="shared" si="105"/>
        <v>-181321.44999999995</v>
      </c>
      <c r="ER37" s="116">
        <f t="shared" si="105"/>
        <v>-343718.47</v>
      </c>
      <c r="ES37" s="116">
        <f t="shared" si="105"/>
        <v>-347391.61999999941</v>
      </c>
      <c r="ET37" s="116">
        <f t="shared" si="105"/>
        <v>-338456.44999999949</v>
      </c>
      <c r="EU37" s="116">
        <f t="shared" si="105"/>
        <v>-333766.15999999945</v>
      </c>
      <c r="EV37" s="116">
        <f t="shared" si="105"/>
        <v>-328302.33999999915</v>
      </c>
      <c r="EW37" s="116">
        <f t="shared" si="105"/>
        <v>-320661.43999999901</v>
      </c>
      <c r="EX37" s="116">
        <f t="shared" si="105"/>
        <v>-316388.37999999896</v>
      </c>
      <c r="EY37" s="116">
        <f t="shared" si="105"/>
        <v>-312093.89999999898</v>
      </c>
      <c r="EZ37" s="116">
        <f t="shared" ref="EZ37" si="106">SUM(EO36:EZ36)</f>
        <v>-305432.05999999889</v>
      </c>
      <c r="FA37" s="116">
        <f t="shared" ref="FA37" si="107">SUM(EP36:FA36)</f>
        <v>-302622.19999999902</v>
      </c>
      <c r="FB37" s="116">
        <f t="shared" ref="FB37" si="108">SUM(EQ36:FB36)</f>
        <v>-293573.30999999936</v>
      </c>
      <c r="FD37" s="104">
        <f t="shared" si="103"/>
        <v>-3723727.7799999919</v>
      </c>
    </row>
    <row r="38" spans="1:160" ht="12.75" customHeight="1">
      <c r="A38" s="1002"/>
      <c r="DX38" s="998"/>
      <c r="DY38" s="998"/>
      <c r="DZ38" s="998"/>
      <c r="EA38" s="998"/>
      <c r="EB38" s="998"/>
      <c r="EC38" s="998"/>
      <c r="ED38" s="998"/>
    </row>
    <row r="39" spans="1:160" ht="12.75" customHeight="1">
      <c r="A39" s="993" t="s">
        <v>2632</v>
      </c>
      <c r="B39" s="103">
        <v>-2024677</v>
      </c>
      <c r="C39" s="103">
        <v>-2004531</v>
      </c>
      <c r="D39" s="103">
        <v>-1984385</v>
      </c>
      <c r="E39" s="103">
        <v>-1964239</v>
      </c>
      <c r="F39" s="103">
        <v>-1944093</v>
      </c>
      <c r="G39" s="103">
        <v>-1923947</v>
      </c>
      <c r="H39" s="103">
        <v>-1903801</v>
      </c>
      <c r="I39" s="103">
        <v>-1883655</v>
      </c>
      <c r="J39" s="103">
        <v>-1863509</v>
      </c>
      <c r="K39" s="103">
        <v>-1843363</v>
      </c>
      <c r="L39" s="103">
        <v>-1823216</v>
      </c>
      <c r="M39" s="103">
        <v>-1803070</v>
      </c>
      <c r="N39" s="103">
        <v>-1782924</v>
      </c>
      <c r="O39" s="103">
        <v>-1762778</v>
      </c>
      <c r="P39" s="103">
        <v>-1742632</v>
      </c>
      <c r="Q39" s="103">
        <v>-1722486</v>
      </c>
      <c r="R39" s="103">
        <v>-1702340</v>
      </c>
      <c r="S39" s="103">
        <v>-1682194</v>
      </c>
      <c r="T39" s="103">
        <v>-1662048</v>
      </c>
      <c r="U39" s="103">
        <v>-1641902</v>
      </c>
      <c r="V39" s="103">
        <v>-1621755.82</v>
      </c>
      <c r="W39" s="103">
        <v>-1601609.78</v>
      </c>
      <c r="X39" s="159">
        <v>-1581463.74</v>
      </c>
      <c r="Y39" s="159">
        <v>-1561317.7</v>
      </c>
      <c r="Z39" s="159">
        <v>-1541171.66</v>
      </c>
      <c r="AA39" s="159">
        <v>-1521025.62</v>
      </c>
      <c r="AB39" s="159">
        <v>-1500879.58</v>
      </c>
      <c r="AC39" s="159">
        <v>-1480733.54</v>
      </c>
      <c r="AD39" s="159">
        <v>-1537948.61</v>
      </c>
      <c r="AE39" s="159">
        <v>-2255121.23</v>
      </c>
      <c r="AF39" s="159">
        <v>-2232712.1900000004</v>
      </c>
      <c r="AG39" s="159">
        <v>-2210303.15</v>
      </c>
      <c r="AH39" s="159">
        <v>-2187894.1099999994</v>
      </c>
      <c r="AI39" s="280">
        <v>-2165485.0699999998</v>
      </c>
      <c r="AJ39" s="280">
        <v>-2143076.0300000003</v>
      </c>
      <c r="AK39" s="280">
        <v>-2120666.9899999998</v>
      </c>
      <c r="AL39" s="280">
        <v>-2098257.9500000002</v>
      </c>
      <c r="AM39" s="280">
        <v>-2075848.9100000001</v>
      </c>
      <c r="AN39" s="280">
        <v>-2053439.87</v>
      </c>
      <c r="AO39" s="280">
        <v>-2031030.8299999998</v>
      </c>
      <c r="AP39" s="280">
        <v>-2008621.79</v>
      </c>
      <c r="AQ39" s="280">
        <v>-1986212.7500000002</v>
      </c>
      <c r="AR39" s="280">
        <v>-1963803.72</v>
      </c>
      <c r="AS39" s="280">
        <v>-1941394.6900000002</v>
      </c>
      <c r="AT39" s="280">
        <v>-1918985.6500000001</v>
      </c>
      <c r="AU39" s="280">
        <v>-1896576.6099999996</v>
      </c>
      <c r="AV39" s="280">
        <v>-1874167.5700000005</v>
      </c>
      <c r="AW39" s="280">
        <v>-1851758.54</v>
      </c>
      <c r="AX39" s="280">
        <v>-1829349.4999999995</v>
      </c>
      <c r="AY39" s="386">
        <v>-1806940.4600000002</v>
      </c>
      <c r="AZ39" s="386">
        <v>-1784531.42</v>
      </c>
      <c r="BA39" s="386">
        <v>-1762122.3900000001</v>
      </c>
      <c r="BB39" s="386">
        <v>-1738249.18</v>
      </c>
      <c r="BC39" s="386">
        <v>-1723656.3900000001</v>
      </c>
      <c r="BD39" s="386">
        <v>-1701229.69</v>
      </c>
      <c r="BE39" s="386">
        <v>-1678802.9800000002</v>
      </c>
      <c r="BF39" s="386">
        <v>-1656376.27</v>
      </c>
      <c r="BG39" s="386">
        <v>-1633949.56</v>
      </c>
      <c r="BH39" s="386">
        <v>-1611522.85</v>
      </c>
      <c r="BI39" s="386">
        <v>-1589096.1500000004</v>
      </c>
      <c r="BJ39" s="386">
        <v>-1566669.44</v>
      </c>
      <c r="BK39" s="386">
        <v>-1544242.7199999997</v>
      </c>
      <c r="BL39" s="386">
        <v>-1521816.0100000002</v>
      </c>
      <c r="BM39" s="386">
        <v>-1482482.75</v>
      </c>
      <c r="BN39" s="386">
        <v>-1361613.87</v>
      </c>
      <c r="BO39" s="386">
        <v>-1241366.5699999998</v>
      </c>
      <c r="BP39" s="386">
        <v>-1219531.99</v>
      </c>
      <c r="BQ39" s="386">
        <v>-1197697.42</v>
      </c>
      <c r="BR39" s="386">
        <v>-1175862.8500000001</v>
      </c>
      <c r="BS39" s="386">
        <v>-1154028.28</v>
      </c>
      <c r="BT39" s="386">
        <v>-1132193.71</v>
      </c>
      <c r="BU39" s="386">
        <v>-1110359.1300000001</v>
      </c>
      <c r="BV39" s="405">
        <v>-1088524.56</v>
      </c>
      <c r="BW39" s="405">
        <v>-1066689.98</v>
      </c>
      <c r="BX39" s="405">
        <v>-1044855.4199999999</v>
      </c>
      <c r="BY39" s="405">
        <v>-1023020.84</v>
      </c>
      <c r="BZ39" s="405">
        <v>-1001186.26</v>
      </c>
      <c r="CA39" s="405">
        <v>-979351.69000000006</v>
      </c>
      <c r="CB39" s="405">
        <v>-957517.1100000001</v>
      </c>
      <c r="CC39" s="405">
        <v>-935682.55</v>
      </c>
      <c r="CD39" s="405">
        <v>-913847.97000000009</v>
      </c>
      <c r="CE39" s="405">
        <v>-892013.39999999991</v>
      </c>
      <c r="CF39" s="405">
        <v>-870178.82</v>
      </c>
      <c r="CG39" s="405">
        <v>-848344.25</v>
      </c>
      <c r="CH39" s="405">
        <v>-826509.69</v>
      </c>
      <c r="CI39" s="405">
        <v>-804675.1100000001</v>
      </c>
      <c r="CJ39" s="405">
        <v>-782840.54</v>
      </c>
      <c r="CK39" s="405">
        <v>-761005.96000000008</v>
      </c>
      <c r="CL39" s="405">
        <v>-739171.39000000013</v>
      </c>
      <c r="CM39" s="405">
        <v>-717336.81999999983</v>
      </c>
      <c r="CN39" s="405">
        <v>-695502.25</v>
      </c>
      <c r="CO39" s="405">
        <v>-673667.66999999993</v>
      </c>
      <c r="CP39" s="405">
        <v>-651833.1</v>
      </c>
      <c r="CQ39" s="405">
        <v>-629998.53</v>
      </c>
      <c r="CR39" s="405">
        <v>-608163.96</v>
      </c>
      <c r="CS39" s="405">
        <v>-586329.3899999999</v>
      </c>
      <c r="CT39" s="405">
        <v>-508060.83999999997</v>
      </c>
      <c r="CU39" s="405">
        <v>-481523.44</v>
      </c>
      <c r="CV39" s="405">
        <v>-454986.03</v>
      </c>
      <c r="CW39" s="405">
        <v>-428448.62999999995</v>
      </c>
      <c r="CX39" s="405">
        <v>-401911.22</v>
      </c>
      <c r="CY39" s="405">
        <v>-387616.51</v>
      </c>
      <c r="CZ39" s="405">
        <v>-385564.29</v>
      </c>
      <c r="DA39" s="405">
        <v>-383512.08</v>
      </c>
      <c r="DB39" s="405">
        <v>-381459.83999999997</v>
      </c>
      <c r="DC39" s="405">
        <v>-379407.62</v>
      </c>
      <c r="DD39" s="405">
        <v>-377355.39999999997</v>
      </c>
      <c r="DE39" s="405">
        <v>-375303.18</v>
      </c>
      <c r="DF39" s="405">
        <v>-373250.94999999995</v>
      </c>
      <c r="DG39" s="405">
        <v>-371198.73</v>
      </c>
      <c r="DH39" s="405">
        <v>-369146.50000000006</v>
      </c>
      <c r="DI39" s="405">
        <v>-367094.29</v>
      </c>
      <c r="DJ39" s="405">
        <v>-365042.07000000007</v>
      </c>
      <c r="DK39" s="405">
        <v>-362989.85</v>
      </c>
      <c r="DL39" s="405">
        <v>-360937.62000000005</v>
      </c>
      <c r="DM39" s="405">
        <v>-358885.39999999997</v>
      </c>
      <c r="DN39" s="405">
        <v>-356833.18000000005</v>
      </c>
      <c r="DO39" s="405">
        <v>-354780.97</v>
      </c>
      <c r="DP39" s="405">
        <v>-352728.74000000005</v>
      </c>
      <c r="DQ39" s="405">
        <v>-350676.51999999996</v>
      </c>
      <c r="DR39" s="405">
        <v>-348624.30000000005</v>
      </c>
      <c r="DS39" s="405">
        <v>-346572.07999999996</v>
      </c>
      <c r="DT39" s="405">
        <v>-344519.85000000003</v>
      </c>
      <c r="DU39" s="405">
        <v>-342467.63999999996</v>
      </c>
      <c r="DV39" s="405">
        <v>-340415.42000000004</v>
      </c>
      <c r="DW39" s="405">
        <v>-338363.19999999995</v>
      </c>
      <c r="DX39" s="187">
        <v>-336310.97000000003</v>
      </c>
      <c r="DY39" s="187">
        <v>-334258.74999999994</v>
      </c>
      <c r="DZ39" s="187">
        <v>-332206.53000000003</v>
      </c>
      <c r="EA39" s="187">
        <v>-330154.31999999995</v>
      </c>
      <c r="EB39" s="187">
        <v>-328102.09000000003</v>
      </c>
      <c r="EC39" s="187">
        <v>-326049.86999999994</v>
      </c>
      <c r="ED39" s="187">
        <v>-323997.65000000002</v>
      </c>
      <c r="EE39" s="187">
        <v>-321945.42999999993</v>
      </c>
      <c r="EF39" s="187">
        <v>-319893.2</v>
      </c>
      <c r="EG39" s="187">
        <v>-317840.99000000005</v>
      </c>
      <c r="EH39" s="187">
        <v>-315775.98</v>
      </c>
      <c r="EI39" s="187">
        <v>-313723.76</v>
      </c>
      <c r="EJ39" s="187">
        <v>-311671.52999999997</v>
      </c>
      <c r="EK39" s="187">
        <v>-309619.31</v>
      </c>
      <c r="EL39" s="187">
        <v>-307567.08999999997</v>
      </c>
      <c r="EM39" s="187">
        <v>-305514.88</v>
      </c>
      <c r="EN39" s="187">
        <v>-303462.64999999997</v>
      </c>
      <c r="EO39" s="187">
        <v>-301410.43</v>
      </c>
      <c r="EP39" s="187">
        <v>-299358.21000000008</v>
      </c>
      <c r="EQ39" s="187">
        <v>-297305.99</v>
      </c>
      <c r="ER39" s="187">
        <v>-295253.76000000007</v>
      </c>
      <c r="ES39" s="187">
        <v>-293201.55</v>
      </c>
      <c r="ET39" s="187">
        <v>-291149.33000000007</v>
      </c>
      <c r="EU39" s="187">
        <v>-289097.11</v>
      </c>
      <c r="EV39" s="187">
        <v>-287044.88000000006</v>
      </c>
      <c r="EW39" s="187">
        <v>-284992.65999999997</v>
      </c>
      <c r="EX39" s="187">
        <v>-282940.44000000006</v>
      </c>
      <c r="EY39" s="187">
        <v>-280888.23</v>
      </c>
      <c r="EZ39" s="1043">
        <f>-(VLOOKUP("2190040",'Input BS ACCTS'!$A$5:GK$397,110,FALSE)+VLOOKUP("2190041",'Input BS ACCTS'!$A$5:GK$397,110,FALSE))</f>
        <v>-278836.00000000006</v>
      </c>
      <c r="FA39" s="1043">
        <f>-(VLOOKUP("2190040",'Input BS ACCTS'!$A$5:GL$397,111,FALSE)+VLOOKUP("2190041",'Input BS ACCTS'!$A$5:GL$397,111,FALSE))</f>
        <v>-276783.77999999997</v>
      </c>
      <c r="FB39" s="1043">
        <f>-(VLOOKUP("2190040",'Input BS ACCTS'!$A$5:GM$397,112,FALSE)+VLOOKUP("2190041",'Input BS ACCTS'!$A$5:GM$397,112,FALSE))</f>
        <v>-274731.56000000006</v>
      </c>
      <c r="FD39" s="104">
        <f t="shared" ref="FD39:FD41" si="109">SUM(EQ39:FB39)</f>
        <v>-3432225.29</v>
      </c>
    </row>
    <row r="40" spans="1:160" ht="12.75" customHeight="1">
      <c r="A40" s="993" t="s">
        <v>2633</v>
      </c>
      <c r="B40" s="123">
        <v>-1913099.153846154</v>
      </c>
      <c r="C40" s="123">
        <v>-2125407</v>
      </c>
      <c r="D40" s="123">
        <v>-2105261</v>
      </c>
      <c r="E40" s="123">
        <v>-2085115</v>
      </c>
      <c r="F40" s="123">
        <v>-2064969</v>
      </c>
      <c r="G40" s="123">
        <v>-2044823</v>
      </c>
      <c r="H40" s="123">
        <v>-2024677</v>
      </c>
      <c r="I40" s="123">
        <v>-2004531</v>
      </c>
      <c r="J40" s="123">
        <v>-1984385</v>
      </c>
      <c r="K40" s="123">
        <v>-1964239</v>
      </c>
      <c r="L40" s="123"/>
      <c r="M40" s="123"/>
      <c r="N40" s="123">
        <v>-1903800.7692307692</v>
      </c>
      <c r="O40" s="123">
        <v>-1883654.6923076923</v>
      </c>
      <c r="P40" s="123">
        <v>-1863508.6153846155</v>
      </c>
      <c r="Q40" s="123">
        <v>-1843362.5384615385</v>
      </c>
      <c r="R40" s="123">
        <v>-1823216.4615384615</v>
      </c>
      <c r="S40" s="123">
        <v>-1803070.3846153845</v>
      </c>
      <c r="T40" s="123">
        <v>-1782924.3076923077</v>
      </c>
      <c r="U40" s="123">
        <v>-1762778.2307692308</v>
      </c>
      <c r="V40" s="123">
        <v>-1742632.1400000001</v>
      </c>
      <c r="W40" s="123">
        <v>-1722486.0461538462</v>
      </c>
      <c r="X40" s="160">
        <v>-1702339.9492307692</v>
      </c>
      <c r="Y40" s="160">
        <v>-1682193.9261538461</v>
      </c>
      <c r="Z40" s="160">
        <v>-1662047.9</v>
      </c>
      <c r="AA40" s="160">
        <v>-1641901.8707692309</v>
      </c>
      <c r="AB40" s="160">
        <v>-1621755.8384615383</v>
      </c>
      <c r="AC40" s="160">
        <v>-1601609.8030769229</v>
      </c>
      <c r="AD40" s="160">
        <v>-1587414.6192307691</v>
      </c>
      <c r="AE40" s="160">
        <v>-1629936.2523076923</v>
      </c>
      <c r="AF40" s="160">
        <v>-1672283.8053846157</v>
      </c>
      <c r="AG40" s="160">
        <v>-1714457.2784615385</v>
      </c>
      <c r="AH40" s="160">
        <v>-1756456.6715384615</v>
      </c>
      <c r="AI40" s="281">
        <v>-1798281.9984615385</v>
      </c>
      <c r="AJ40" s="281">
        <v>-1839933.2484615385</v>
      </c>
      <c r="AK40" s="281">
        <v>-1881410.4215384615</v>
      </c>
      <c r="AL40" s="281">
        <v>-1922713.5176923075</v>
      </c>
      <c r="AM40" s="281">
        <v>-1963842.5369230767</v>
      </c>
      <c r="AN40" s="281">
        <v>-2004797.4792307692</v>
      </c>
      <c r="AO40" s="281">
        <v>-2045578.3446153845</v>
      </c>
      <c r="AP40" s="281">
        <v>-2086185.1330769227</v>
      </c>
      <c r="AQ40" s="281">
        <v>-2120666.9900000002</v>
      </c>
      <c r="AR40" s="281">
        <v>-2098257.9507692307</v>
      </c>
      <c r="AS40" s="281">
        <v>-2075848.9123076922</v>
      </c>
      <c r="AT40" s="281">
        <v>-2053439.8738461535</v>
      </c>
      <c r="AU40" s="281">
        <v>-2031030.8353846152</v>
      </c>
      <c r="AV40" s="281">
        <v>-2008621.796923077</v>
      </c>
      <c r="AW40" s="281">
        <v>-1986212.759230769</v>
      </c>
      <c r="AX40" s="281">
        <v>-1963803.7215384615</v>
      </c>
      <c r="AY40" s="387">
        <v>-1941394.6838461538</v>
      </c>
      <c r="AZ40" s="387">
        <v>-1918985.6461538461</v>
      </c>
      <c r="BA40" s="387">
        <v>-1896576.6092307693</v>
      </c>
      <c r="BB40" s="387">
        <v>-1874054.943846154</v>
      </c>
      <c r="BC40" s="387">
        <v>-1852134.5284615387</v>
      </c>
      <c r="BD40" s="387">
        <v>-1830212.7546153851</v>
      </c>
      <c r="BE40" s="387">
        <v>-1808289.6207692311</v>
      </c>
      <c r="BF40" s="387">
        <v>-1786365.126923077</v>
      </c>
      <c r="BG40" s="387">
        <v>-1764439.2738461541</v>
      </c>
      <c r="BH40" s="387">
        <v>-1742512.0615384614</v>
      </c>
      <c r="BI40" s="387">
        <v>-1720583.490769231</v>
      </c>
      <c r="BJ40" s="387">
        <v>-1698653.5600000003</v>
      </c>
      <c r="BK40" s="387">
        <f t="shared" ref="BK40:BP40" si="110">SUM(AY39:BK39)/13</f>
        <v>-1676722.2692307695</v>
      </c>
      <c r="BL40" s="387">
        <f t="shared" si="110"/>
        <v>-1654789.6192307696</v>
      </c>
      <c r="BM40" s="387">
        <f t="shared" si="110"/>
        <v>-1631555.1061538463</v>
      </c>
      <c r="BN40" s="387">
        <f t="shared" si="110"/>
        <v>-1600746.7584615387</v>
      </c>
      <c r="BO40" s="387">
        <f t="shared" si="110"/>
        <v>-1562525.0192307695</v>
      </c>
      <c r="BP40" s="387">
        <f t="shared" si="110"/>
        <v>-1523746.219230769</v>
      </c>
      <c r="BQ40" s="387">
        <f t="shared" ref="BQ40:BV40" si="111">SUM(BE39:BQ39)/13</f>
        <v>-1485012.9676923077</v>
      </c>
      <c r="BR40" s="387">
        <f t="shared" si="111"/>
        <v>-1446325.2653846154</v>
      </c>
      <c r="BS40" s="387">
        <f t="shared" si="111"/>
        <v>-1407683.1123076926</v>
      </c>
      <c r="BT40" s="387">
        <f t="shared" si="111"/>
        <v>-1369086.5084615385</v>
      </c>
      <c r="BU40" s="387">
        <f t="shared" si="111"/>
        <v>-1330535.453076923</v>
      </c>
      <c r="BV40" s="387">
        <f t="shared" si="111"/>
        <v>-1292029.9461538461</v>
      </c>
      <c r="BW40" s="387">
        <f>SUM(BK39:BW39)/13</f>
        <v>-1253569.9876923077</v>
      </c>
      <c r="BX40" s="387">
        <f>SUM(BL39:BX39)/13</f>
        <v>-1215155.58</v>
      </c>
      <c r="BY40" s="387">
        <f>SUM(BM39:BY39)/13</f>
        <v>-1176786.7207692307</v>
      </c>
      <c r="BZ40" s="387">
        <f t="shared" ref="BZ40:CE40" si="112">SUM(BN39:BZ39)/13</f>
        <v>-1139763.913846154</v>
      </c>
      <c r="CA40" s="387">
        <f t="shared" si="112"/>
        <v>-1110359.1307692307</v>
      </c>
      <c r="CB40" s="387">
        <f t="shared" si="112"/>
        <v>-1088524.5569230767</v>
      </c>
      <c r="CC40" s="387">
        <f t="shared" si="112"/>
        <v>-1066689.9846153846</v>
      </c>
      <c r="CD40" s="387">
        <f t="shared" si="112"/>
        <v>-1044855.4115384615</v>
      </c>
      <c r="CE40" s="387">
        <f t="shared" si="112"/>
        <v>-1023020.8384615385</v>
      </c>
      <c r="CF40" s="387">
        <f t="shared" ref="CF40:CV40" si="113">SUM(BT39:CF39)/13</f>
        <v>-1001186.2646153847</v>
      </c>
      <c r="CG40" s="387">
        <f t="shared" si="113"/>
        <v>-979351.69076923095</v>
      </c>
      <c r="CH40" s="387">
        <f t="shared" si="113"/>
        <v>-957517.11846153857</v>
      </c>
      <c r="CI40" s="387">
        <f t="shared" si="113"/>
        <v>-935682.54538461543</v>
      </c>
      <c r="CJ40" s="387">
        <f t="shared" si="113"/>
        <v>-913847.97307692294</v>
      </c>
      <c r="CK40" s="387">
        <f t="shared" si="113"/>
        <v>-892013.39923076937</v>
      </c>
      <c r="CL40" s="387">
        <f t="shared" si="113"/>
        <v>-870178.82615384634</v>
      </c>
      <c r="CM40" s="387">
        <f t="shared" si="113"/>
        <v>-848344.25384615408</v>
      </c>
      <c r="CN40" s="387">
        <f t="shared" si="113"/>
        <v>-826509.68153846182</v>
      </c>
      <c r="CO40" s="387">
        <f t="shared" si="113"/>
        <v>-804675.10923076922</v>
      </c>
      <c r="CP40" s="387">
        <f t="shared" si="113"/>
        <v>-782840.53615384619</v>
      </c>
      <c r="CQ40" s="387">
        <f t="shared" si="113"/>
        <v>-761005.96384615381</v>
      </c>
      <c r="CR40" s="387">
        <f t="shared" si="113"/>
        <v>-739171.39153846155</v>
      </c>
      <c r="CS40" s="387">
        <f t="shared" si="113"/>
        <v>-717336.82000000007</v>
      </c>
      <c r="CT40" s="387">
        <f t="shared" si="113"/>
        <v>-691161.17307692312</v>
      </c>
      <c r="CU40" s="387">
        <f t="shared" si="113"/>
        <v>-664623.76923076925</v>
      </c>
      <c r="CV40" s="387">
        <f t="shared" si="113"/>
        <v>-637724.60923076922</v>
      </c>
      <c r="CW40" s="387">
        <f t="shared" ref="CW40:DK40" si="114">SUM(CK39:CW39)/13</f>
        <v>-610463.69307692302</v>
      </c>
      <c r="CX40" s="387">
        <f t="shared" si="114"/>
        <v>-582841.02076923079</v>
      </c>
      <c r="CY40" s="387">
        <f t="shared" si="114"/>
        <v>-555798.33769230766</v>
      </c>
      <c r="CZ40" s="387">
        <f t="shared" si="114"/>
        <v>-530277.37384615385</v>
      </c>
      <c r="DA40" s="387">
        <f t="shared" si="114"/>
        <v>-506278.12999999989</v>
      </c>
      <c r="DB40" s="387">
        <f t="shared" si="114"/>
        <v>-483800.60461538448</v>
      </c>
      <c r="DC40" s="387">
        <f t="shared" si="114"/>
        <v>-462844.79846153839</v>
      </c>
      <c r="DD40" s="387">
        <f t="shared" si="114"/>
        <v>-443410.71153846156</v>
      </c>
      <c r="DE40" s="387">
        <f t="shared" si="114"/>
        <v>-425498.34384615382</v>
      </c>
      <c r="DF40" s="387">
        <f t="shared" si="114"/>
        <v>-409107.69461538462</v>
      </c>
      <c r="DG40" s="387">
        <f t="shared" si="114"/>
        <v>-398579.83999999997</v>
      </c>
      <c r="DH40" s="387">
        <f t="shared" si="114"/>
        <v>-389935.46</v>
      </c>
      <c r="DI40" s="387">
        <f t="shared" si="114"/>
        <v>-383174.55692307686</v>
      </c>
      <c r="DJ40" s="387">
        <f t="shared" si="114"/>
        <v>-378297.12923076923</v>
      </c>
      <c r="DK40" s="387">
        <f t="shared" si="114"/>
        <v>-375303.17769230768</v>
      </c>
      <c r="DL40" s="387">
        <f t="shared" ref="DL40:DR40" si="115">SUM(CZ39:DL39)/13</f>
        <v>-373250.9553846154</v>
      </c>
      <c r="DM40" s="387">
        <f t="shared" si="115"/>
        <v>-371198.73307692312</v>
      </c>
      <c r="DN40" s="387">
        <f t="shared" si="115"/>
        <v>-369146.51</v>
      </c>
      <c r="DO40" s="387">
        <f t="shared" si="115"/>
        <v>-367094.28923076921</v>
      </c>
      <c r="DP40" s="387">
        <f t="shared" si="115"/>
        <v>-365042.06769230776</v>
      </c>
      <c r="DQ40" s="387">
        <f t="shared" si="115"/>
        <v>-362989.84615384613</v>
      </c>
      <c r="DR40" s="387">
        <f t="shared" si="115"/>
        <v>-360937.62461538462</v>
      </c>
      <c r="DS40" s="387">
        <f t="shared" ref="DS40:EJ40" si="116">SUM(DG39:DS39)/13</f>
        <v>-358885.40384615393</v>
      </c>
      <c r="DT40" s="387">
        <f t="shared" si="116"/>
        <v>-356833.1823076923</v>
      </c>
      <c r="DU40" s="387">
        <f t="shared" si="116"/>
        <v>-354780.96230769227</v>
      </c>
      <c r="DV40" s="387">
        <f t="shared" si="116"/>
        <v>-352728.74153846159</v>
      </c>
      <c r="DW40" s="387">
        <f t="shared" si="116"/>
        <v>-350676.52076923079</v>
      </c>
      <c r="DX40" s="387">
        <f t="shared" si="116"/>
        <v>-348624.29923076928</v>
      </c>
      <c r="DY40" s="387">
        <f t="shared" si="116"/>
        <v>-346572.07846153848</v>
      </c>
      <c r="DZ40" s="387">
        <f t="shared" si="116"/>
        <v>-344519.85769230773</v>
      </c>
      <c r="EA40" s="387">
        <f t="shared" si="116"/>
        <v>-342467.6376923077</v>
      </c>
      <c r="EB40" s="387">
        <f t="shared" si="116"/>
        <v>-340415.41615384619</v>
      </c>
      <c r="EC40" s="387">
        <f t="shared" si="116"/>
        <v>-338363.19538461533</v>
      </c>
      <c r="ED40" s="387">
        <f t="shared" si="116"/>
        <v>-336310.97461538459</v>
      </c>
      <c r="EE40" s="387">
        <f t="shared" si="116"/>
        <v>-334258.75384615373</v>
      </c>
      <c r="EF40" s="387">
        <f t="shared" si="116"/>
        <v>-332206.53230769228</v>
      </c>
      <c r="EG40" s="387">
        <f t="shared" si="116"/>
        <v>-330154.31230769237</v>
      </c>
      <c r="EH40" s="387">
        <f t="shared" si="116"/>
        <v>-328101.10769230773</v>
      </c>
      <c r="EI40" s="387">
        <f t="shared" si="116"/>
        <v>-326047.9030769231</v>
      </c>
      <c r="EJ40" s="387">
        <f t="shared" si="116"/>
        <v>-323994.6976923077</v>
      </c>
      <c r="EK40" s="387">
        <f t="shared" ref="EK40:EY40" si="117">SUM(DY39:EK39)/13</f>
        <v>-321941.49307692307</v>
      </c>
      <c r="EL40" s="387">
        <f t="shared" si="117"/>
        <v>-319888.28846153844</v>
      </c>
      <c r="EM40" s="387">
        <f t="shared" si="117"/>
        <v>-317835.08461538458</v>
      </c>
      <c r="EN40" s="387">
        <f t="shared" si="117"/>
        <v>-315781.87923076918</v>
      </c>
      <c r="EO40" s="387">
        <f t="shared" si="117"/>
        <v>-313728.6746153846</v>
      </c>
      <c r="EP40" s="387">
        <f t="shared" si="117"/>
        <v>-311675.46999999997</v>
      </c>
      <c r="EQ40" s="387">
        <f t="shared" si="117"/>
        <v>-309622.26538461534</v>
      </c>
      <c r="ER40" s="387">
        <f t="shared" si="117"/>
        <v>-307569.06000000006</v>
      </c>
      <c r="ES40" s="387">
        <f t="shared" si="117"/>
        <v>-305515.85615384619</v>
      </c>
      <c r="ET40" s="387">
        <f t="shared" si="117"/>
        <v>-303462.65153846156</v>
      </c>
      <c r="EU40" s="387">
        <f t="shared" si="117"/>
        <v>-301410.43076923076</v>
      </c>
      <c r="EV40" s="387">
        <f t="shared" si="117"/>
        <v>-299358.20923076919</v>
      </c>
      <c r="EW40" s="387">
        <f t="shared" si="117"/>
        <v>-297305.98846153845</v>
      </c>
      <c r="EX40" s="387">
        <f t="shared" si="117"/>
        <v>-295253.76769230765</v>
      </c>
      <c r="EY40" s="387">
        <f t="shared" si="117"/>
        <v>-293201.54769230768</v>
      </c>
      <c r="EZ40" s="387">
        <f t="shared" ref="EZ40" si="118">SUM(EN39:EZ39)/13</f>
        <v>-291149.32615384617</v>
      </c>
      <c r="FA40" s="387">
        <f t="shared" ref="FA40" si="119">SUM(EO39:FA39)/13</f>
        <v>-289097.10538461537</v>
      </c>
      <c r="FB40" s="387">
        <f t="shared" ref="FB40" si="120">SUM(EP39:FB39)/13</f>
        <v>-287044.88461538462</v>
      </c>
      <c r="FD40" s="104">
        <f t="shared" si="109"/>
        <v>-3579991.0930769225</v>
      </c>
    </row>
    <row r="41" spans="1:160" ht="12.75" customHeight="1">
      <c r="A41" s="1002" t="s">
        <v>2635</v>
      </c>
      <c r="B41" s="35">
        <v>-1201429.3831439218</v>
      </c>
      <c r="C41" s="35">
        <v>-1334759.0561660565</v>
      </c>
      <c r="D41" s="35">
        <v>-1322107.3353683357</v>
      </c>
      <c r="E41" s="35">
        <v>-1309455.6145706149</v>
      </c>
      <c r="F41" s="35">
        <v>-1296803.8937728941</v>
      </c>
      <c r="G41" s="35">
        <v>-1284152.1729751732</v>
      </c>
      <c r="H41" s="35">
        <v>-1271500.4521774524</v>
      </c>
      <c r="I41" s="35">
        <v>-1258848.7313797316</v>
      </c>
      <c r="J41" s="35">
        <v>-1246197.0105820107</v>
      </c>
      <c r="K41" s="35">
        <v>-1233545.2897842899</v>
      </c>
      <c r="L41" s="35">
        <v>0</v>
      </c>
      <c r="M41" s="35">
        <v>0</v>
      </c>
      <c r="N41" s="35">
        <v>-1195589.9824676749</v>
      </c>
      <c r="O41" s="35">
        <v>-1182938.2133621366</v>
      </c>
      <c r="P41" s="35">
        <v>-1170286.4442565981</v>
      </c>
      <c r="Q41" s="35">
        <v>-1157634.6751510599</v>
      </c>
      <c r="R41" s="35">
        <v>-1144982.9060455216</v>
      </c>
      <c r="S41" s="35">
        <v>-1132331.1369399833</v>
      </c>
      <c r="T41" s="35">
        <v>-1119679.3678344449</v>
      </c>
      <c r="U41" s="35">
        <v>-1107027.5987289066</v>
      </c>
      <c r="V41" s="35">
        <v>-1094375.8209279613</v>
      </c>
      <c r="W41" s="35">
        <v>-1081724.041194703</v>
      </c>
      <c r="X41" s="35">
        <v>-1069072.2595291319</v>
      </c>
      <c r="Y41" s="35">
        <v>-1056420.5242390661</v>
      </c>
      <c r="Z41" s="35">
        <v>-1043768.787016687</v>
      </c>
      <c r="AA41" s="52">
        <v>-1031117.0478619959</v>
      </c>
      <c r="AB41" s="52">
        <v>-1018465.3067749916</v>
      </c>
      <c r="AC41" s="52">
        <v>-1005813.5637556748</v>
      </c>
      <c r="AD41" s="52">
        <v>-996898.96519050747</v>
      </c>
      <c r="AE41" s="52">
        <v>-1023602.6199881032</v>
      </c>
      <c r="AF41" s="52">
        <v>-1050196.9522622966</v>
      </c>
      <c r="AG41" s="52">
        <v>-1076681.962013087</v>
      </c>
      <c r="AH41" s="52">
        <v>-1103057.6492404747</v>
      </c>
      <c r="AI41" s="52">
        <v>-1129324.0226398674</v>
      </c>
      <c r="AJ41" s="52">
        <v>-1155481.0754481703</v>
      </c>
      <c r="AK41" s="52">
        <v>-1181528.807665383</v>
      </c>
      <c r="AL41" s="52">
        <v>-1207467.2192915063</v>
      </c>
      <c r="AM41" s="52">
        <v>-1233296.3103265397</v>
      </c>
      <c r="AN41" s="52">
        <v>-1259016.0807704835</v>
      </c>
      <c r="AO41" s="52">
        <v>-1284626.5306233368</v>
      </c>
      <c r="AP41" s="52">
        <v>-1310127.6598851008</v>
      </c>
      <c r="AQ41" s="52">
        <v>-1331782.3221693127</v>
      </c>
      <c r="AR41" s="52">
        <v>-1317709.4090504367</v>
      </c>
      <c r="AS41" s="52">
        <v>-1303636.4964146395</v>
      </c>
      <c r="AT41" s="52">
        <v>-1289563.5837788421</v>
      </c>
      <c r="AU41" s="52">
        <v>-1275490.6711430452</v>
      </c>
      <c r="AV41" s="52">
        <v>-1261417.7585072478</v>
      </c>
      <c r="AW41" s="52">
        <v>-1247344.8463545286</v>
      </c>
      <c r="AX41" s="52">
        <v>-1233271.9342018098</v>
      </c>
      <c r="AY41" s="388">
        <v>-1219199.0220490908</v>
      </c>
      <c r="AZ41" s="388">
        <v>-1205126.1098963714</v>
      </c>
      <c r="BA41" s="388">
        <v>-1191053.1982267308</v>
      </c>
      <c r="BB41" s="388">
        <v>-1176909.5556998844</v>
      </c>
      <c r="BC41" s="388">
        <v>-1163143.4991518743</v>
      </c>
      <c r="BD41" s="388">
        <v>-1149376.589487806</v>
      </c>
      <c r="BE41" s="388">
        <v>-1135608.8257415239</v>
      </c>
      <c r="BF41" s="388">
        <v>-1121840.2079130274</v>
      </c>
      <c r="BG41" s="388">
        <v>-1108070.7364853951</v>
      </c>
      <c r="BH41" s="388">
        <v>-1094300.4114586271</v>
      </c>
      <c r="BI41" s="388">
        <v>-1080529.2333158015</v>
      </c>
      <c r="BJ41" s="388">
        <v>-1066757.2010907612</v>
      </c>
      <c r="BK41" s="388">
        <f t="shared" ref="BK41:CT41" si="121">(+BK40/0.61425)-BK40</f>
        <v>-1052984.3147835075</v>
      </c>
      <c r="BL41" s="388">
        <f t="shared" si="121"/>
        <v>-1039210.5748771178</v>
      </c>
      <c r="BM41" s="388">
        <f t="shared" si="121"/>
        <v>-1024619.2628389844</v>
      </c>
      <c r="BN41" s="388">
        <f t="shared" si="121"/>
        <v>-1005271.5703321751</v>
      </c>
      <c r="BO41" s="388">
        <f t="shared" si="121"/>
        <v>-981268.25587019837</v>
      </c>
      <c r="BP41" s="388">
        <f t="shared" si="121"/>
        <v>-956915.10633824882</v>
      </c>
      <c r="BQ41" s="388">
        <f t="shared" si="121"/>
        <v>-932590.56131429831</v>
      </c>
      <c r="BR41" s="388">
        <f t="shared" si="121"/>
        <v>-908294.62128142547</v>
      </c>
      <c r="BS41" s="388">
        <f t="shared" si="121"/>
        <v>-884027.28623962984</v>
      </c>
      <c r="BT41" s="388">
        <f t="shared" si="121"/>
        <v>-859788.55618891097</v>
      </c>
      <c r="BU41" s="388">
        <f t="shared" si="121"/>
        <v>-835578.43064619158</v>
      </c>
      <c r="BV41" s="388">
        <f t="shared" si="121"/>
        <v>-811396.90961147146</v>
      </c>
      <c r="BW41" s="388">
        <f t="shared" si="121"/>
        <v>-787243.99308475014</v>
      </c>
      <c r="BX41" s="388">
        <f t="shared" si="121"/>
        <v>-763119.68251526263</v>
      </c>
      <c r="BY41" s="388">
        <f t="shared" si="121"/>
        <v>-739023.97645377414</v>
      </c>
      <c r="BZ41" s="453">
        <f t="shared" si="121"/>
        <v>-715773.59343289211</v>
      </c>
      <c r="CA41" s="453">
        <f t="shared" si="121"/>
        <v>-697307.34178954945</v>
      </c>
      <c r="CB41" s="453">
        <f t="shared" si="121"/>
        <v>-683595.19386744313</v>
      </c>
      <c r="CC41" s="453">
        <f t="shared" si="121"/>
        <v>-669883.04691149318</v>
      </c>
      <c r="CD41" s="453">
        <f t="shared" si="121"/>
        <v>-656170.89947246481</v>
      </c>
      <c r="CE41" s="453">
        <f t="shared" si="121"/>
        <v>-642458.7520334369</v>
      </c>
      <c r="CF41" s="453">
        <f t="shared" si="121"/>
        <v>-628746.60411133047</v>
      </c>
      <c r="CG41" s="453">
        <f t="shared" si="121"/>
        <v>-615034.45618922403</v>
      </c>
      <c r="CH41" s="453">
        <f t="shared" si="121"/>
        <v>-601322.30923327408</v>
      </c>
      <c r="CI41" s="453">
        <f t="shared" si="121"/>
        <v>-587610.16179424571</v>
      </c>
      <c r="CJ41" s="453">
        <f t="shared" si="121"/>
        <v>-573898.01483829564</v>
      </c>
      <c r="CK41" s="453">
        <f t="shared" si="121"/>
        <v>-560185.86691618944</v>
      </c>
      <c r="CL41" s="453">
        <f t="shared" si="121"/>
        <v>-546473.71947716118</v>
      </c>
      <c r="CM41" s="453">
        <f t="shared" si="121"/>
        <v>-532761.57252121111</v>
      </c>
      <c r="CN41" s="453">
        <f t="shared" si="121"/>
        <v>-519049.42556526128</v>
      </c>
      <c r="CO41" s="453">
        <f t="shared" si="121"/>
        <v>-505337.27860931109</v>
      </c>
      <c r="CP41" s="453">
        <f t="shared" si="121"/>
        <v>-491625.13117028284</v>
      </c>
      <c r="CQ41" s="453">
        <f t="shared" si="121"/>
        <v>-477912.98421433265</v>
      </c>
      <c r="CR41" s="453">
        <f t="shared" si="121"/>
        <v>-464200.83725838282</v>
      </c>
      <c r="CS41" s="453">
        <f t="shared" si="121"/>
        <v>-450488.69078551093</v>
      </c>
      <c r="CT41" s="453">
        <f t="shared" si="121"/>
        <v>-434050.34190382285</v>
      </c>
      <c r="CU41" s="722">
        <f>(+CU40/'Input Tax Rate'!C$30)-CU40</f>
        <v>-398315.0719590676</v>
      </c>
      <c r="CV41" s="722">
        <f>(+CV40/'Input Tax Rate'!D$30)-CV40</f>
        <v>-364514.28630713606</v>
      </c>
      <c r="CW41" s="722">
        <f>(+CW40/'Input Tax Rate'!E$30)-CW40</f>
        <v>-332592.25729873509</v>
      </c>
      <c r="CX41" s="722">
        <f>(+CX40/'Input Tax Rate'!F$30)-CX40</f>
        <v>-302464.69924175239</v>
      </c>
      <c r="CY41" s="722">
        <f>(+CY40/'Input Tax Rate'!G$30)-CY40</f>
        <v>-274525.97632047685</v>
      </c>
      <c r="CZ41" s="722">
        <f>(+CZ40/'Input Tax Rate'!H$30)-CZ40</f>
        <v>-249083.84579839895</v>
      </c>
      <c r="DA41" s="722">
        <f>(+DA40/'Input Tax Rate'!I$30)-DA40</f>
        <v>-225946.08810030005</v>
      </c>
      <c r="DB41" s="722">
        <f>(+DB40/'Input Tax Rate'!J$30)-DB40</f>
        <v>-204932.55022180604</v>
      </c>
      <c r="DC41" s="722">
        <f>(+DC40/'Input Tax Rate'!K$30)-DC40</f>
        <v>-185874.21546542237</v>
      </c>
      <c r="DD41" s="722">
        <f>(+DD40/'Input Tax Rate'!L$30)-DD40</f>
        <v>-168612.3547672134</v>
      </c>
      <c r="DE41" s="722">
        <f>(+DE40/'Input Tax Rate'!M$30)-DE40</f>
        <v>-152997.75600926077</v>
      </c>
      <c r="DF41" s="722">
        <f>(+DF40/'Input Tax Rate'!N$30)-DF40</f>
        <v>-138890.02103043225</v>
      </c>
      <c r="DG41" s="722">
        <f>(+DG40/'Input Tax Rate'!$B$37)-DG40</f>
        <v>-135315.86691849167</v>
      </c>
      <c r="DH41" s="722">
        <f>(+DH40/'Input Tax Rate'!$B$37)-DH40</f>
        <v>-132381.14304065367</v>
      </c>
      <c r="DI41" s="722">
        <f>(+DI40/'Input Tax Rate'!$B$37)-DI40</f>
        <v>-130085.85018036811</v>
      </c>
      <c r="DJ41" s="722">
        <f>(+DJ40/'Input Tax Rate'!$B$37)-DJ40</f>
        <v>-128429.9878153351</v>
      </c>
      <c r="DK41" s="722">
        <f>(+DK40/'Input Tax Rate'!$B$37)-DK40</f>
        <v>-127413.55620670464</v>
      </c>
      <c r="DL41" s="722">
        <f>(+DL40/'Input Tax Rate'!$B$37)-DL40</f>
        <v>-126716.83697305038</v>
      </c>
      <c r="DM41" s="722">
        <f>(+DM40/'Input Tax Rate'!$B$37)-DM40</f>
        <v>-126020.11773939605</v>
      </c>
      <c r="DN41" s="722">
        <f>(+DN40/'Input Tax Rate'!$B$37)-DN40</f>
        <v>-125323.39824459178</v>
      </c>
      <c r="DO41" s="722">
        <f>(+DO40/'Input Tax Rate'!$B$37)-DO40</f>
        <v>-124626.67953323747</v>
      </c>
      <c r="DP41" s="722">
        <f>(+DP40/'Input Tax Rate'!$B$37)-DP40</f>
        <v>-123929.96056073322</v>
      </c>
      <c r="DQ41" s="722">
        <f>(+DQ40/'Input Tax Rate'!$B$37)-DQ40</f>
        <v>-123233.24158822891</v>
      </c>
      <c r="DR41" s="722">
        <f>(+DR40/'Input Tax Rate'!$B$37)-DR40</f>
        <v>-122536.52261572459</v>
      </c>
      <c r="DS41" s="722">
        <f>(+DS40/'Input Tax Rate'!$B$37)-DS40</f>
        <v>-121839.80390437035</v>
      </c>
      <c r="DT41" s="722">
        <f>(+DT40/'Input Tax Rate'!$B$37)-DT40</f>
        <v>-121143.08493186603</v>
      </c>
      <c r="DU41" s="722">
        <f>(+DU40/'Input Tax Rate'!$B$37)-DU40</f>
        <v>-120446.36648166174</v>
      </c>
      <c r="DV41" s="722">
        <f>(+DV40/'Input Tax Rate'!$B$37)-DV40</f>
        <v>-119749.64777030749</v>
      </c>
      <c r="DW41" s="722">
        <f>(+DW40/'Input Tax Rate'!$B$37)-DW40</f>
        <v>-119052.92905895319</v>
      </c>
      <c r="DX41" s="387">
        <f>(+DX40/'Input Tax Rate'!$B$37)-DX40</f>
        <v>-118356.21008644893</v>
      </c>
      <c r="DY41" s="387">
        <f>(+DY40/'Input Tax Rate'!$B$37)-DY40</f>
        <v>-117659.49137509463</v>
      </c>
      <c r="DZ41" s="387">
        <f>(+DZ40/'Input Tax Rate'!$B$37)-DZ40</f>
        <v>-116962.77266374038</v>
      </c>
      <c r="EA41" s="387">
        <f>(+EA40/'Input Tax Rate'!$B$37)-EA40</f>
        <v>-116266.05421353609</v>
      </c>
      <c r="EB41" s="387">
        <f>(+EB40/'Input Tax Rate'!$B$37)-EB40</f>
        <v>-115569.33524103183</v>
      </c>
      <c r="EC41" s="387">
        <f>(+EC40/'Input Tax Rate'!$B$37)-EC40</f>
        <v>-114872.61652967747</v>
      </c>
      <c r="ED41" s="387">
        <f>(+ED40/'Input Tax Rate'!$B$37)-ED40</f>
        <v>-114175.89781832322</v>
      </c>
      <c r="EE41" s="387">
        <f>(+EE40/'Input Tax Rate'!$B$37)-EE40</f>
        <v>-113479.17910696892</v>
      </c>
      <c r="EF41" s="387">
        <f>(+EF40/'Input Tax Rate'!$B$37)-EF40</f>
        <v>-112782.46013446467</v>
      </c>
      <c r="EG41" s="387">
        <f>(+EG40/'Input Tax Rate'!$B$37)-EG40</f>
        <v>-112085.74168426043</v>
      </c>
      <c r="EH41" s="387">
        <f>(+EH40/'Input Tax Rate'!$B$37)-EH40</f>
        <v>-111388.68896204588</v>
      </c>
      <c r="EI41" s="387">
        <f>(+EI40/'Input Tax Rate'!$B$37)-EI40</f>
        <v>-110691.63623983139</v>
      </c>
      <c r="EJ41" s="387">
        <f>(+EJ40/'Input Tax Rate'!$B$37)-EJ40</f>
        <v>-109994.5832564669</v>
      </c>
      <c r="EK41" s="387">
        <f>(+EK40/'Input Tax Rate'!$B$37)-EK40</f>
        <v>-109297.53053425241</v>
      </c>
      <c r="EL41" s="387">
        <f>(+EL40/'Input Tax Rate'!$B$37)-EL40</f>
        <v>-108600.47781203792</v>
      </c>
      <c r="EM41" s="387">
        <f>(+EM40/'Input Tax Rate'!$B$37)-EM40</f>
        <v>-107903.42535097344</v>
      </c>
      <c r="EN41" s="387">
        <f>(+EN40/'Input Tax Rate'!$B$37)-EN40</f>
        <v>-107206.37236760888</v>
      </c>
      <c r="EO41" s="387">
        <f>(+EO40/'Input Tax Rate'!$B$37)-EO40</f>
        <v>-106509.3196453944</v>
      </c>
      <c r="EP41" s="387">
        <f>(+EP40/'Input Tax Rate'!$B$37)-EP40</f>
        <v>-105812.26692317991</v>
      </c>
      <c r="EQ41" s="387">
        <f>(+EQ40/'Input Tax Rate'!$B$37)-EQ40</f>
        <v>-105115.21420096542</v>
      </c>
      <c r="ER41" s="387">
        <f>(+ER40/'Input Tax Rate'!$B$37)-ER40</f>
        <v>-104418.16121760098</v>
      </c>
      <c r="ES41" s="387">
        <f>(+ES40/'Input Tax Rate'!$B$37)-ES40</f>
        <v>-103721.10875653644</v>
      </c>
      <c r="ET41" s="387">
        <f>(+ET40/'Input Tax Rate'!$B$37)-ET40</f>
        <v>-103024.05603432195</v>
      </c>
      <c r="EU41" s="387">
        <f>(+EU40/'Input Tax Rate'!$B$37)-EU40</f>
        <v>-102327.33732296765</v>
      </c>
      <c r="EV41" s="387">
        <f>(+EV40/'Input Tax Rate'!$B$37)-EV40</f>
        <v>-101630.6183504634</v>
      </c>
      <c r="EW41" s="387">
        <f>(+EW40/'Input Tax Rate'!$B$37)-EW40</f>
        <v>-100933.89963910909</v>
      </c>
      <c r="EX41" s="387">
        <f>(+EX40/'Input Tax Rate'!$B$37)-EX40</f>
        <v>-100237.18092775479</v>
      </c>
      <c r="EY41" s="387">
        <f>(+EY40/'Input Tax Rate'!$B$37)-EY40</f>
        <v>-99540.462477550551</v>
      </c>
      <c r="EZ41" s="387">
        <f>(+EZ40/'Input Tax Rate'!$B$37)-EZ40</f>
        <v>-98843.743505046295</v>
      </c>
      <c r="FA41" s="387">
        <f>(+FA40/'Input Tax Rate'!$B$37)-FA40</f>
        <v>-98147.024793691991</v>
      </c>
      <c r="FB41" s="387">
        <f>(+FB40/'Input Tax Rate'!$B$37)-FB40</f>
        <v>-97450.306082337687</v>
      </c>
      <c r="FD41" s="104">
        <f t="shared" si="109"/>
        <v>-1215389.1133083461</v>
      </c>
    </row>
    <row r="42" spans="1:160" ht="12.75" customHeight="1"/>
    <row r="43" spans="1:160" ht="12.75" customHeight="1">
      <c r="A43" s="981" t="s">
        <v>2686</v>
      </c>
      <c r="B43" s="982" t="s">
        <v>2611</v>
      </c>
      <c r="C43" s="982" t="s">
        <v>2611</v>
      </c>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c r="AM43" s="983"/>
      <c r="AN43" s="983"/>
      <c r="AO43" s="983"/>
      <c r="AP43" s="983"/>
      <c r="AQ43" s="983"/>
      <c r="AR43" s="983"/>
      <c r="AS43" s="983"/>
      <c r="AT43" s="983"/>
      <c r="AU43" s="983"/>
      <c r="AV43" s="983"/>
      <c r="AW43" s="983"/>
      <c r="AX43" s="983"/>
      <c r="AY43" s="983"/>
      <c r="AZ43" s="983"/>
      <c r="BA43" s="984"/>
      <c r="BB43" s="984"/>
      <c r="BC43" s="984"/>
      <c r="BD43" s="984"/>
      <c r="BE43" s="984"/>
      <c r="BF43" s="984"/>
      <c r="BG43" s="984"/>
      <c r="BH43" s="984"/>
      <c r="BI43" s="984"/>
      <c r="BJ43" s="984"/>
      <c r="BK43" s="984"/>
      <c r="BL43" s="984"/>
      <c r="BM43" s="984"/>
      <c r="BN43" s="984"/>
      <c r="BO43" s="984"/>
      <c r="BP43" s="984"/>
      <c r="BQ43" s="984"/>
      <c r="BR43" s="984"/>
      <c r="BS43" s="984"/>
      <c r="BT43" s="984"/>
      <c r="BU43" s="984"/>
      <c r="BV43" s="984"/>
      <c r="BW43" s="984"/>
      <c r="BX43" s="984"/>
      <c r="BY43" s="984"/>
      <c r="BZ43" s="984"/>
      <c r="CA43" s="984"/>
      <c r="CB43" s="984"/>
      <c r="CC43" s="984"/>
      <c r="CD43" s="984"/>
      <c r="CE43" s="984"/>
      <c r="CF43" s="984"/>
      <c r="CG43" s="984"/>
      <c r="CH43" s="984"/>
      <c r="CI43" s="984"/>
      <c r="CJ43" s="984"/>
      <c r="CK43" s="984"/>
      <c r="CL43" s="984"/>
      <c r="CM43" s="984"/>
      <c r="CN43" s="984"/>
      <c r="CO43" s="984"/>
      <c r="CP43" s="984"/>
      <c r="CQ43" s="984"/>
      <c r="CR43" s="984"/>
      <c r="CS43" s="984"/>
      <c r="CT43" s="984"/>
      <c r="CU43" s="984"/>
      <c r="CV43" s="984"/>
      <c r="CW43" s="984"/>
      <c r="CX43" s="984"/>
      <c r="CY43" s="984"/>
      <c r="CZ43" s="984"/>
      <c r="DA43" s="984"/>
      <c r="DB43" s="984"/>
      <c r="DC43" s="984"/>
      <c r="DD43" s="984"/>
      <c r="DE43" s="984"/>
      <c r="DF43" s="984"/>
      <c r="DG43" s="984"/>
      <c r="DH43" s="984"/>
      <c r="DI43" s="984"/>
      <c r="DJ43" s="984"/>
      <c r="DK43" s="984"/>
      <c r="DL43" s="984"/>
      <c r="DM43" s="984"/>
      <c r="DN43" s="984"/>
      <c r="DO43" s="984"/>
      <c r="DP43" s="984"/>
      <c r="DQ43" s="984"/>
      <c r="DR43" s="984"/>
      <c r="DS43" s="984"/>
      <c r="DT43" s="984"/>
      <c r="DU43" s="984"/>
      <c r="DV43" s="984"/>
      <c r="DW43" s="984"/>
      <c r="DX43" s="981"/>
      <c r="DY43" s="981"/>
      <c r="DZ43" s="981"/>
      <c r="EA43" s="981"/>
      <c r="EB43" s="981"/>
      <c r="EC43" s="981"/>
      <c r="ED43" s="981"/>
      <c r="EE43" s="981"/>
      <c r="EF43" s="981"/>
      <c r="EG43" s="981"/>
      <c r="EH43" s="981"/>
      <c r="EI43" s="981"/>
      <c r="EJ43" s="981"/>
      <c r="EK43" s="981"/>
      <c r="EL43" s="981"/>
      <c r="EM43" s="981"/>
      <c r="EN43" s="981"/>
      <c r="EO43" s="981"/>
      <c r="EP43" s="981"/>
      <c r="EQ43" s="981"/>
      <c r="ER43" s="981"/>
      <c r="ES43" s="981"/>
      <c r="ET43" s="981"/>
      <c r="EU43" s="981"/>
      <c r="EV43" s="981"/>
      <c r="EW43" s="981"/>
      <c r="EX43" s="981"/>
      <c r="EY43" s="981"/>
      <c r="EZ43" s="981"/>
      <c r="FA43" s="981"/>
      <c r="FB43" s="981"/>
    </row>
    <row r="44" spans="1:160" ht="12.75" customHeight="1">
      <c r="A44" s="985"/>
      <c r="B44" s="986"/>
      <c r="C44" s="986"/>
      <c r="D44" s="987"/>
      <c r="E44" s="987"/>
      <c r="F44" s="987"/>
      <c r="G44" s="987"/>
      <c r="H44" s="987"/>
      <c r="I44" s="987"/>
      <c r="J44" s="987"/>
      <c r="K44" s="987"/>
      <c r="L44" s="987"/>
      <c r="M44" s="987"/>
      <c r="N44" s="987"/>
      <c r="O44" s="987"/>
      <c r="P44" s="987"/>
      <c r="Q44" s="987"/>
      <c r="R44" s="987"/>
      <c r="S44" s="987"/>
      <c r="T44" s="987"/>
      <c r="U44" s="987"/>
      <c r="V44" s="987"/>
      <c r="W44" s="987"/>
      <c r="X44" s="987"/>
      <c r="Y44" s="987"/>
      <c r="Z44" s="987"/>
      <c r="AA44" s="987"/>
      <c r="AB44" s="987"/>
      <c r="AC44" s="987"/>
      <c r="AD44" s="987"/>
      <c r="AE44" s="987"/>
      <c r="AF44" s="987"/>
      <c r="AG44" s="987"/>
      <c r="AH44" s="987"/>
      <c r="AI44" s="987"/>
      <c r="AJ44" s="987"/>
      <c r="AK44" s="987"/>
      <c r="AL44" s="987"/>
      <c r="AM44" s="987"/>
      <c r="AN44" s="987"/>
      <c r="AO44" s="987"/>
      <c r="AP44" s="987"/>
      <c r="AQ44" s="987"/>
      <c r="AR44" s="987"/>
      <c r="AS44" s="987"/>
      <c r="AT44" s="987"/>
      <c r="AU44" s="987"/>
      <c r="AV44" s="987"/>
      <c r="AW44" s="987"/>
      <c r="AX44" s="987"/>
      <c r="AY44" s="987"/>
      <c r="AZ44" s="987"/>
      <c r="BA44" s="988"/>
      <c r="BB44" s="988"/>
      <c r="BC44" s="988"/>
      <c r="BD44" s="988"/>
      <c r="BE44" s="988"/>
      <c r="BF44" s="988"/>
      <c r="BG44" s="988"/>
      <c r="BH44" s="988"/>
      <c r="BI44" s="988"/>
      <c r="BJ44" s="988"/>
      <c r="BK44" s="988"/>
      <c r="BL44" s="988"/>
      <c r="BM44" s="988"/>
      <c r="BN44" s="988"/>
      <c r="BO44" s="988"/>
      <c r="BP44" s="988"/>
      <c r="BQ44" s="988"/>
      <c r="BR44" s="988"/>
      <c r="BS44" s="988"/>
      <c r="BT44" s="988"/>
      <c r="BU44" s="988"/>
      <c r="BV44" s="988"/>
      <c r="BW44" s="988"/>
      <c r="BX44" s="988"/>
      <c r="BY44" s="988"/>
      <c r="BZ44" s="988"/>
      <c r="CA44" s="988"/>
      <c r="CB44" s="988"/>
      <c r="CC44" s="988"/>
      <c r="CD44" s="988"/>
      <c r="CE44" s="988"/>
      <c r="CF44" s="988"/>
      <c r="CG44" s="988"/>
      <c r="CH44" s="988"/>
      <c r="CI44" s="988"/>
      <c r="CJ44" s="988"/>
      <c r="CK44" s="988"/>
      <c r="CL44" s="988"/>
      <c r="CM44" s="988"/>
      <c r="CN44" s="988"/>
      <c r="CO44" s="988"/>
      <c r="CP44" s="988"/>
      <c r="CQ44" s="988"/>
      <c r="CR44" s="988"/>
      <c r="CS44" s="988"/>
      <c r="CT44" s="988"/>
      <c r="CU44" s="988"/>
      <c r="CV44" s="988"/>
      <c r="CW44" s="988"/>
      <c r="CX44" s="988"/>
      <c r="CY44" s="988"/>
      <c r="CZ44" s="988"/>
      <c r="DA44" s="988"/>
      <c r="DB44" s="988"/>
      <c r="DC44" s="988"/>
      <c r="DD44" s="988"/>
      <c r="DE44" s="988"/>
      <c r="DF44" s="988"/>
      <c r="DG44" s="988"/>
      <c r="DH44" s="988"/>
      <c r="DI44" s="988"/>
      <c r="DJ44" s="988"/>
      <c r="DK44" s="988"/>
      <c r="DL44" s="988"/>
      <c r="DM44" s="988"/>
      <c r="DN44" s="988"/>
      <c r="DO44" s="988"/>
      <c r="DP44" s="988"/>
      <c r="DQ44" s="988"/>
      <c r="DR44" s="988"/>
      <c r="DS44" s="988"/>
      <c r="DT44" s="988"/>
      <c r="DU44" s="988"/>
      <c r="DV44" s="988"/>
      <c r="DW44" s="988"/>
      <c r="DX44" s="989" t="str">
        <f>+DX9</f>
        <v>Jun 20</v>
      </c>
      <c r="DY44" s="989" t="str">
        <f t="shared" ref="DY44:EJ44" si="122">+DY9</f>
        <v>Jul 20</v>
      </c>
      <c r="DZ44" s="989" t="str">
        <f t="shared" si="122"/>
        <v>Aug 20</v>
      </c>
      <c r="EA44" s="989" t="str">
        <f t="shared" si="122"/>
        <v>Sep 20</v>
      </c>
      <c r="EB44" s="989" t="str">
        <f t="shared" si="122"/>
        <v>Oct 20</v>
      </c>
      <c r="EC44" s="989" t="str">
        <f t="shared" si="122"/>
        <v>Nov 20</v>
      </c>
      <c r="ED44" s="989" t="str">
        <f t="shared" si="122"/>
        <v>Dec 20</v>
      </c>
      <c r="EE44" s="989" t="str">
        <f t="shared" si="122"/>
        <v>Jan 21</v>
      </c>
      <c r="EF44" s="989" t="str">
        <f t="shared" si="122"/>
        <v>Feb 21</v>
      </c>
      <c r="EG44" s="989" t="str">
        <f t="shared" si="122"/>
        <v>Mar 21</v>
      </c>
      <c r="EH44" s="989" t="str">
        <f t="shared" si="122"/>
        <v>Apr 21</v>
      </c>
      <c r="EI44" s="989" t="str">
        <f t="shared" si="122"/>
        <v>May 21</v>
      </c>
      <c r="EJ44" s="989" t="str">
        <f t="shared" si="122"/>
        <v>Jun 21</v>
      </c>
      <c r="EK44" s="989" t="str">
        <f t="shared" ref="EK44:EP44" si="123">+EK9</f>
        <v>Jul 21</v>
      </c>
      <c r="EL44" s="989" t="str">
        <f t="shared" si="123"/>
        <v>Aug 21</v>
      </c>
      <c r="EM44" s="989" t="str">
        <f t="shared" si="123"/>
        <v>Sept 21</v>
      </c>
      <c r="EN44" s="989" t="str">
        <f t="shared" si="123"/>
        <v>Oct 21</v>
      </c>
      <c r="EO44" s="989" t="str">
        <f t="shared" si="123"/>
        <v>Nov 21</v>
      </c>
      <c r="EP44" s="989" t="str">
        <f t="shared" si="123"/>
        <v>Dec 21</v>
      </c>
      <c r="EQ44" s="989" t="str">
        <f t="shared" ref="EQ44:ES44" si="124">+EQ9</f>
        <v>Jan 22</v>
      </c>
      <c r="ER44" s="989" t="str">
        <f t="shared" si="124"/>
        <v>Feb 22</v>
      </c>
      <c r="ES44" s="989" t="str">
        <f t="shared" si="124"/>
        <v>March 22</v>
      </c>
      <c r="ET44" s="989" t="str">
        <f t="shared" ref="ET44:EV44" si="125">+ET9</f>
        <v>April 22</v>
      </c>
      <c r="EU44" s="989" t="str">
        <f t="shared" si="125"/>
        <v>May 22</v>
      </c>
      <c r="EV44" s="989" t="str">
        <f t="shared" si="125"/>
        <v>June 22</v>
      </c>
      <c r="EW44" s="989" t="str">
        <f t="shared" ref="EW44:EY44" si="126">+EW9</f>
        <v>July 22</v>
      </c>
      <c r="EX44" s="989" t="str">
        <f t="shared" si="126"/>
        <v>Aug 22</v>
      </c>
      <c r="EY44" s="989" t="str">
        <f t="shared" si="126"/>
        <v>Sept 22</v>
      </c>
      <c r="EZ44" s="989" t="str">
        <f t="shared" ref="EZ44:FB44" si="127">+EZ9</f>
        <v>Oct 22</v>
      </c>
      <c r="FA44" s="989" t="str">
        <f t="shared" si="127"/>
        <v>Nov 22</v>
      </c>
      <c r="FB44" s="989" t="str">
        <f t="shared" si="127"/>
        <v>Dec 22</v>
      </c>
    </row>
    <row r="45" spans="1:160">
      <c r="A45" s="1000" t="s">
        <v>2636</v>
      </c>
      <c r="B45" s="29"/>
      <c r="C45" s="101"/>
      <c r="D45" s="101"/>
      <c r="E45" s="101"/>
      <c r="F45" s="101"/>
      <c r="G45" s="101"/>
      <c r="H45" s="101"/>
      <c r="I45" s="101"/>
      <c r="J45" s="101"/>
      <c r="K45" s="101"/>
      <c r="L45" s="101"/>
      <c r="M45" s="101"/>
      <c r="N45" s="101"/>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809">
        <v>67800</v>
      </c>
      <c r="DH45" s="809">
        <v>59000</v>
      </c>
      <c r="DI45" s="809">
        <v>53800</v>
      </c>
      <c r="DJ45" s="809">
        <v>53000</v>
      </c>
      <c r="DK45" s="809">
        <v>39100</v>
      </c>
      <c r="DL45" s="809">
        <v>30200</v>
      </c>
      <c r="DM45" s="809">
        <v>31300</v>
      </c>
      <c r="DN45" s="809">
        <v>24500</v>
      </c>
      <c r="DO45" s="809">
        <v>30000</v>
      </c>
      <c r="DP45" s="809">
        <v>26000</v>
      </c>
      <c r="DQ45" s="809">
        <v>41000</v>
      </c>
      <c r="DR45" s="809">
        <v>58600</v>
      </c>
      <c r="DS45" s="809">
        <v>64900.000000000007</v>
      </c>
      <c r="DT45" s="809">
        <v>56100</v>
      </c>
      <c r="DU45" s="809">
        <v>45600</v>
      </c>
      <c r="DV45" s="809">
        <v>37000</v>
      </c>
      <c r="DW45" s="809">
        <v>32200.000000000004</v>
      </c>
      <c r="DX45" s="999">
        <v>30700</v>
      </c>
      <c r="DY45" s="999">
        <v>24500</v>
      </c>
      <c r="DZ45" s="999">
        <v>26500</v>
      </c>
      <c r="EA45" s="999">
        <v>26400</v>
      </c>
      <c r="EB45" s="999">
        <v>31700</v>
      </c>
      <c r="EC45" s="999">
        <v>43200</v>
      </c>
      <c r="ED45" s="999">
        <v>71700</v>
      </c>
      <c r="EE45" s="999">
        <v>93100</v>
      </c>
      <c r="EF45" s="999">
        <v>65400.000000000007</v>
      </c>
      <c r="EG45" s="999">
        <v>73600</v>
      </c>
      <c r="EH45" s="999">
        <v>67500</v>
      </c>
      <c r="EI45" s="999">
        <v>44400</v>
      </c>
      <c r="EJ45" s="999">
        <v>43300</v>
      </c>
      <c r="EK45" s="999">
        <v>41300</v>
      </c>
      <c r="EL45" s="999">
        <v>37600</v>
      </c>
      <c r="EM45" s="999">
        <v>45200</v>
      </c>
      <c r="EN45" s="999">
        <v>40900</v>
      </c>
      <c r="EO45" s="999">
        <v>57500</v>
      </c>
      <c r="EP45" s="999">
        <v>84700</v>
      </c>
      <c r="EQ45" s="999">
        <v>112000</v>
      </c>
      <c r="ER45" s="999">
        <v>102200</v>
      </c>
      <c r="ES45" s="999">
        <v>69500</v>
      </c>
      <c r="ET45" s="999">
        <v>67200</v>
      </c>
      <c r="EU45" s="999">
        <v>57900</v>
      </c>
      <c r="EV45" s="999">
        <v>46000</v>
      </c>
      <c r="EW45" s="999">
        <v>37300</v>
      </c>
      <c r="EX45" s="999">
        <v>67200</v>
      </c>
      <c r="EY45" s="999">
        <v>59300</v>
      </c>
      <c r="EZ45" s="996">
        <f>'[1]IS ACCTS'!$DK$652*1000</f>
        <v>82400</v>
      </c>
      <c r="FA45" s="996">
        <f>'[1]IS ACCTS'!$DL$652*1000</f>
        <v>37700</v>
      </c>
      <c r="FB45" s="996">
        <f>'[1]IS ACCTS'!$DM$652*1000</f>
        <v>68300</v>
      </c>
      <c r="FD45" s="104">
        <f>SUM(EQ45:FB45)</f>
        <v>807000</v>
      </c>
    </row>
    <row r="46" spans="1:160">
      <c r="A46" s="1000" t="s">
        <v>2637</v>
      </c>
      <c r="B46" s="29"/>
      <c r="C46" s="101"/>
      <c r="D46" s="101"/>
      <c r="E46" s="101"/>
      <c r="F46" s="101"/>
      <c r="G46" s="101"/>
      <c r="H46" s="101"/>
      <c r="I46" s="101"/>
      <c r="J46" s="101"/>
      <c r="K46" s="101"/>
      <c r="L46" s="101"/>
      <c r="M46" s="101"/>
      <c r="N46" s="101"/>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83">
        <f t="shared" ref="DR46:EJ46" si="128">SUM(DG45:DR45)</f>
        <v>514300</v>
      </c>
      <c r="DS46" s="383">
        <f t="shared" si="128"/>
        <v>511400</v>
      </c>
      <c r="DT46" s="383">
        <f t="shared" si="128"/>
        <v>508500</v>
      </c>
      <c r="DU46" s="383">
        <f t="shared" si="128"/>
        <v>500300</v>
      </c>
      <c r="DV46" s="383">
        <f t="shared" si="128"/>
        <v>484300</v>
      </c>
      <c r="DW46" s="383">
        <f t="shared" si="128"/>
        <v>477400</v>
      </c>
      <c r="DX46" s="383">
        <f t="shared" si="128"/>
        <v>477900</v>
      </c>
      <c r="DY46" s="383">
        <f t="shared" si="128"/>
        <v>471100</v>
      </c>
      <c r="DZ46" s="383">
        <f t="shared" si="128"/>
        <v>473100</v>
      </c>
      <c r="EA46" s="383">
        <f t="shared" si="128"/>
        <v>469500</v>
      </c>
      <c r="EB46" s="383">
        <f t="shared" si="128"/>
        <v>475200</v>
      </c>
      <c r="EC46" s="383">
        <f t="shared" si="128"/>
        <v>477400</v>
      </c>
      <c r="ED46" s="383">
        <f t="shared" si="128"/>
        <v>490500</v>
      </c>
      <c r="EE46" s="383">
        <f t="shared" si="128"/>
        <v>518700</v>
      </c>
      <c r="EF46" s="383">
        <f t="shared" si="128"/>
        <v>528000</v>
      </c>
      <c r="EG46" s="383">
        <f t="shared" si="128"/>
        <v>556000</v>
      </c>
      <c r="EH46" s="383">
        <f t="shared" si="128"/>
        <v>586500</v>
      </c>
      <c r="EI46" s="383">
        <f t="shared" si="128"/>
        <v>598700</v>
      </c>
      <c r="EJ46" s="383">
        <f t="shared" si="128"/>
        <v>611300</v>
      </c>
      <c r="EK46" s="383">
        <f t="shared" ref="EK46:EY46" si="129">SUM(DZ45:EK45)</f>
        <v>628100</v>
      </c>
      <c r="EL46" s="383">
        <f t="shared" si="129"/>
        <v>639200</v>
      </c>
      <c r="EM46" s="383">
        <f t="shared" si="129"/>
        <v>658000</v>
      </c>
      <c r="EN46" s="383">
        <f t="shared" si="129"/>
        <v>667200</v>
      </c>
      <c r="EO46" s="383">
        <f t="shared" si="129"/>
        <v>681500</v>
      </c>
      <c r="EP46" s="383">
        <f t="shared" si="129"/>
        <v>694500</v>
      </c>
      <c r="EQ46" s="383">
        <f t="shared" si="129"/>
        <v>713400</v>
      </c>
      <c r="ER46" s="383">
        <f t="shared" si="129"/>
        <v>750200</v>
      </c>
      <c r="ES46" s="383">
        <f t="shared" si="129"/>
        <v>746100</v>
      </c>
      <c r="ET46" s="383">
        <f t="shared" si="129"/>
        <v>745800</v>
      </c>
      <c r="EU46" s="383">
        <f t="shared" si="129"/>
        <v>759300</v>
      </c>
      <c r="EV46" s="383">
        <f t="shared" si="129"/>
        <v>762000</v>
      </c>
      <c r="EW46" s="383">
        <f t="shared" si="129"/>
        <v>758000</v>
      </c>
      <c r="EX46" s="383">
        <f t="shared" si="129"/>
        <v>787600</v>
      </c>
      <c r="EY46" s="383">
        <f t="shared" si="129"/>
        <v>801700</v>
      </c>
      <c r="EZ46" s="383">
        <f t="shared" ref="EZ46" si="130">SUM(EO45:EZ45)</f>
        <v>843200</v>
      </c>
      <c r="FA46" s="383">
        <f t="shared" ref="FA46" si="131">SUM(EP45:FA45)</f>
        <v>823400</v>
      </c>
      <c r="FB46" s="383">
        <f t="shared" ref="FB46" si="132">SUM(EQ45:FB45)</f>
        <v>807000</v>
      </c>
    </row>
    <row r="48" spans="1:160" ht="12.75" customHeight="1">
      <c r="A48" s="981" t="s">
        <v>2613</v>
      </c>
      <c r="B48" s="982" t="s">
        <v>2611</v>
      </c>
      <c r="C48" s="982" t="s">
        <v>2611</v>
      </c>
      <c r="D48" s="983"/>
      <c r="E48" s="983"/>
      <c r="F48" s="983"/>
      <c r="G48" s="983"/>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c r="AL48" s="983"/>
      <c r="AM48" s="983"/>
      <c r="AN48" s="983"/>
      <c r="AO48" s="983"/>
      <c r="AP48" s="983"/>
      <c r="AQ48" s="983"/>
      <c r="AR48" s="983"/>
      <c r="AS48" s="983"/>
      <c r="AT48" s="983"/>
      <c r="AU48" s="983"/>
      <c r="AV48" s="983"/>
      <c r="AW48" s="983"/>
      <c r="AX48" s="983"/>
      <c r="AY48" s="983"/>
      <c r="AZ48" s="983"/>
      <c r="BA48" s="984"/>
      <c r="BB48" s="984"/>
      <c r="BC48" s="984"/>
      <c r="BD48" s="984"/>
      <c r="BE48" s="984"/>
      <c r="BF48" s="984"/>
      <c r="BG48" s="984"/>
      <c r="BH48" s="984"/>
      <c r="BI48" s="984"/>
      <c r="BJ48" s="984"/>
      <c r="BK48" s="984"/>
      <c r="BL48" s="984"/>
      <c r="BM48" s="984"/>
      <c r="BN48" s="984"/>
      <c r="BO48" s="984"/>
      <c r="BP48" s="984"/>
      <c r="BQ48" s="984"/>
      <c r="BR48" s="984"/>
      <c r="BS48" s="984"/>
      <c r="BT48" s="984"/>
      <c r="BU48" s="984"/>
      <c r="BV48" s="984"/>
      <c r="BW48" s="984"/>
      <c r="BX48" s="984"/>
      <c r="BY48" s="984"/>
      <c r="BZ48" s="984"/>
      <c r="CA48" s="984"/>
      <c r="CB48" s="984"/>
      <c r="CC48" s="984"/>
      <c r="CD48" s="984"/>
      <c r="CE48" s="984"/>
      <c r="CF48" s="984"/>
      <c r="CG48" s="984"/>
      <c r="CH48" s="984"/>
      <c r="CI48" s="984"/>
      <c r="CJ48" s="984"/>
      <c r="CK48" s="984"/>
      <c r="CL48" s="984"/>
      <c r="CM48" s="984"/>
      <c r="CN48" s="984"/>
      <c r="CO48" s="984"/>
      <c r="CP48" s="984"/>
      <c r="CQ48" s="984"/>
      <c r="CR48" s="984"/>
      <c r="CS48" s="984"/>
      <c r="CT48" s="984"/>
      <c r="CU48" s="984"/>
      <c r="CV48" s="984"/>
      <c r="CW48" s="984"/>
      <c r="CX48" s="984"/>
      <c r="CY48" s="984"/>
      <c r="CZ48" s="984"/>
      <c r="DA48" s="984"/>
      <c r="DB48" s="984"/>
      <c r="DC48" s="984"/>
      <c r="DD48" s="984"/>
      <c r="DE48" s="984"/>
      <c r="DF48" s="984"/>
      <c r="DG48" s="984"/>
      <c r="DH48" s="984"/>
      <c r="DI48" s="984"/>
      <c r="DJ48" s="984"/>
      <c r="DK48" s="984"/>
      <c r="DL48" s="984"/>
      <c r="DM48" s="984"/>
      <c r="DN48" s="984"/>
      <c r="DO48" s="984"/>
      <c r="DP48" s="984"/>
      <c r="DQ48" s="984"/>
      <c r="DR48" s="984"/>
      <c r="DS48" s="984"/>
      <c r="DT48" s="984"/>
      <c r="DU48" s="984"/>
      <c r="DV48" s="984"/>
      <c r="DW48" s="984"/>
      <c r="DX48" s="981"/>
      <c r="DY48" s="981"/>
      <c r="DZ48" s="981"/>
      <c r="EA48" s="981"/>
      <c r="EB48" s="981"/>
      <c r="EC48" s="981"/>
      <c r="ED48" s="981"/>
      <c r="EE48" s="981"/>
      <c r="EF48" s="981"/>
      <c r="EG48" s="981"/>
      <c r="EH48" s="981"/>
      <c r="EI48" s="981"/>
      <c r="EJ48" s="981"/>
      <c r="EK48" s="981"/>
      <c r="EL48" s="981"/>
      <c r="EM48" s="981"/>
      <c r="EN48" s="981"/>
      <c r="EO48" s="981"/>
      <c r="EP48" s="981"/>
      <c r="EQ48" s="981"/>
      <c r="ER48" s="981"/>
      <c r="ES48" s="981"/>
      <c r="ET48" s="981"/>
      <c r="EU48" s="981"/>
      <c r="EV48" s="981"/>
      <c r="EW48" s="981"/>
      <c r="EX48" s="981"/>
      <c r="EY48" s="981"/>
      <c r="EZ48" s="981"/>
      <c r="FA48" s="981"/>
      <c r="FB48" s="981"/>
    </row>
    <row r="49" spans="1:159" ht="12.75" customHeight="1">
      <c r="A49" s="985"/>
      <c r="B49" s="986"/>
      <c r="C49" s="986"/>
      <c r="D49" s="987"/>
      <c r="E49" s="987"/>
      <c r="F49" s="987"/>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c r="AL49" s="987"/>
      <c r="AM49" s="987"/>
      <c r="AN49" s="987"/>
      <c r="AO49" s="987"/>
      <c r="AP49" s="987"/>
      <c r="AQ49" s="987"/>
      <c r="AR49" s="987"/>
      <c r="AS49" s="987"/>
      <c r="AT49" s="987"/>
      <c r="AU49" s="987"/>
      <c r="AV49" s="987"/>
      <c r="AW49" s="987"/>
      <c r="AX49" s="987"/>
      <c r="AY49" s="987"/>
      <c r="AZ49" s="987"/>
      <c r="BA49" s="988"/>
      <c r="BB49" s="988"/>
      <c r="BC49" s="988"/>
      <c r="BD49" s="988"/>
      <c r="BE49" s="988"/>
      <c r="BF49" s="988"/>
      <c r="BG49" s="988"/>
      <c r="BH49" s="988"/>
      <c r="BI49" s="988"/>
      <c r="BJ49" s="988"/>
      <c r="BK49" s="988"/>
      <c r="BL49" s="988"/>
      <c r="BM49" s="988"/>
      <c r="BN49" s="988"/>
      <c r="BO49" s="988"/>
      <c r="BP49" s="988"/>
      <c r="BQ49" s="988"/>
      <c r="BR49" s="988"/>
      <c r="BS49" s="988"/>
      <c r="BT49" s="988"/>
      <c r="BU49" s="988"/>
      <c r="BV49" s="988"/>
      <c r="BW49" s="988"/>
      <c r="BX49" s="988"/>
      <c r="BY49" s="988"/>
      <c r="BZ49" s="988"/>
      <c r="CA49" s="988"/>
      <c r="CB49" s="988"/>
      <c r="CC49" s="988"/>
      <c r="CD49" s="988"/>
      <c r="CE49" s="988"/>
      <c r="CF49" s="988"/>
      <c r="CG49" s="988"/>
      <c r="CH49" s="988"/>
      <c r="CI49" s="988"/>
      <c r="CJ49" s="988"/>
      <c r="CK49" s="988"/>
      <c r="CL49" s="988"/>
      <c r="CM49" s="988"/>
      <c r="CN49" s="988"/>
      <c r="CO49" s="988"/>
      <c r="CP49" s="988"/>
      <c r="CQ49" s="988"/>
      <c r="CR49" s="988"/>
      <c r="CS49" s="988"/>
      <c r="CT49" s="988"/>
      <c r="CU49" s="988"/>
      <c r="CV49" s="988"/>
      <c r="CW49" s="988"/>
      <c r="CX49" s="988"/>
      <c r="CY49" s="988"/>
      <c r="CZ49" s="988"/>
      <c r="DA49" s="988"/>
      <c r="DB49" s="988"/>
      <c r="DC49" s="988"/>
      <c r="DD49" s="988"/>
      <c r="DE49" s="988"/>
      <c r="DF49" s="988"/>
      <c r="DG49" s="988"/>
      <c r="DH49" s="988"/>
      <c r="DI49" s="988"/>
      <c r="DJ49" s="988"/>
      <c r="DK49" s="988"/>
      <c r="DL49" s="988"/>
      <c r="DM49" s="988"/>
      <c r="DN49" s="988"/>
      <c r="DO49" s="988"/>
      <c r="DP49" s="988"/>
      <c r="DQ49" s="988"/>
      <c r="DR49" s="988"/>
      <c r="DS49" s="988"/>
      <c r="DT49" s="988"/>
      <c r="DU49" s="988"/>
      <c r="DV49" s="988"/>
      <c r="DW49" s="988"/>
      <c r="DX49" s="989" t="str">
        <f>+DX9</f>
        <v>Jun 20</v>
      </c>
      <c r="DY49" s="989" t="str">
        <f t="shared" ref="DY49:EJ49" si="133">+DY9</f>
        <v>Jul 20</v>
      </c>
      <c r="DZ49" s="989" t="str">
        <f t="shared" si="133"/>
        <v>Aug 20</v>
      </c>
      <c r="EA49" s="989" t="str">
        <f t="shared" si="133"/>
        <v>Sep 20</v>
      </c>
      <c r="EB49" s="989" t="str">
        <f t="shared" si="133"/>
        <v>Oct 20</v>
      </c>
      <c r="EC49" s="989" t="str">
        <f t="shared" si="133"/>
        <v>Nov 20</v>
      </c>
      <c r="ED49" s="989" t="str">
        <f t="shared" si="133"/>
        <v>Dec 20</v>
      </c>
      <c r="EE49" s="989" t="str">
        <f t="shared" si="133"/>
        <v>Jan 21</v>
      </c>
      <c r="EF49" s="989" t="str">
        <f t="shared" si="133"/>
        <v>Feb 21</v>
      </c>
      <c r="EG49" s="989" t="str">
        <f t="shared" si="133"/>
        <v>Mar 21</v>
      </c>
      <c r="EH49" s="989" t="str">
        <f t="shared" si="133"/>
        <v>Apr 21</v>
      </c>
      <c r="EI49" s="989" t="str">
        <f t="shared" si="133"/>
        <v>May 21</v>
      </c>
      <c r="EJ49" s="989" t="str">
        <f t="shared" si="133"/>
        <v>Jun 21</v>
      </c>
      <c r="EK49" s="989" t="str">
        <f t="shared" ref="EK49:EP49" si="134">+EK9</f>
        <v>Jul 21</v>
      </c>
      <c r="EL49" s="989" t="str">
        <f t="shared" si="134"/>
        <v>Aug 21</v>
      </c>
      <c r="EM49" s="989" t="str">
        <f t="shared" si="134"/>
        <v>Sept 21</v>
      </c>
      <c r="EN49" s="989" t="str">
        <f t="shared" si="134"/>
        <v>Oct 21</v>
      </c>
      <c r="EO49" s="989" t="str">
        <f t="shared" si="134"/>
        <v>Nov 21</v>
      </c>
      <c r="EP49" s="989" t="str">
        <f t="shared" si="134"/>
        <v>Dec 21</v>
      </c>
      <c r="EQ49" s="989" t="str">
        <f t="shared" ref="EQ49:ES49" si="135">+EQ9</f>
        <v>Jan 22</v>
      </c>
      <c r="ER49" s="989" t="str">
        <f t="shared" si="135"/>
        <v>Feb 22</v>
      </c>
      <c r="ES49" s="989" t="str">
        <f t="shared" si="135"/>
        <v>March 22</v>
      </c>
      <c r="ET49" s="989" t="str">
        <f t="shared" ref="ET49:EV49" si="136">+ET9</f>
        <v>April 22</v>
      </c>
      <c r="EU49" s="989" t="str">
        <f t="shared" si="136"/>
        <v>May 22</v>
      </c>
      <c r="EV49" s="989" t="str">
        <f t="shared" si="136"/>
        <v>June 22</v>
      </c>
      <c r="EW49" s="989" t="str">
        <f t="shared" ref="EW49:EY49" si="137">+EW9</f>
        <v>July 22</v>
      </c>
      <c r="EX49" s="989" t="str">
        <f t="shared" si="137"/>
        <v>Aug 22</v>
      </c>
      <c r="EY49" s="989" t="str">
        <f t="shared" si="137"/>
        <v>Sept 22</v>
      </c>
      <c r="EZ49" s="989" t="str">
        <f t="shared" ref="EZ49:FB49" si="138">+EZ9</f>
        <v>Oct 22</v>
      </c>
      <c r="FA49" s="989" t="str">
        <f t="shared" si="138"/>
        <v>Nov 22</v>
      </c>
      <c r="FB49" s="989" t="str">
        <f t="shared" si="138"/>
        <v>Dec 22</v>
      </c>
    </row>
    <row r="50" spans="1:159" ht="12.75" customHeight="1">
      <c r="A50" s="991" t="s">
        <v>2614</v>
      </c>
    </row>
    <row r="51" spans="1:159" ht="12.75" customHeight="1">
      <c r="A51" s="992" t="s">
        <v>2687</v>
      </c>
      <c r="DA51" s="453"/>
      <c r="DB51" s="453"/>
      <c r="DC51" s="453"/>
      <c r="DD51" s="453"/>
      <c r="DE51" s="453"/>
      <c r="DF51" s="453"/>
      <c r="DG51" s="453"/>
      <c r="DH51" s="453"/>
      <c r="DI51" s="453"/>
      <c r="DJ51" s="453"/>
      <c r="DK51" s="453"/>
      <c r="DL51" s="453"/>
      <c r="DX51" s="385">
        <f t="shared" ref="DX51:EH51" si="139">40492.22+66049.33</f>
        <v>106541.55</v>
      </c>
      <c r="DY51" s="385">
        <f t="shared" si="139"/>
        <v>106541.55</v>
      </c>
      <c r="DZ51" s="385">
        <f t="shared" si="139"/>
        <v>106541.55</v>
      </c>
      <c r="EA51" s="385">
        <f t="shared" si="139"/>
        <v>106541.55</v>
      </c>
      <c r="EB51" s="385">
        <f t="shared" si="139"/>
        <v>106541.55</v>
      </c>
      <c r="EC51" s="385">
        <f t="shared" si="139"/>
        <v>106541.55</v>
      </c>
      <c r="ED51" s="385">
        <f t="shared" si="139"/>
        <v>106541.55</v>
      </c>
      <c r="EE51" s="385">
        <f t="shared" si="139"/>
        <v>106541.55</v>
      </c>
      <c r="EF51" s="1075">
        <f t="shared" si="139"/>
        <v>106541.55</v>
      </c>
      <c r="EG51" s="1075">
        <f t="shared" si="139"/>
        <v>106541.55</v>
      </c>
      <c r="EH51" s="1075">
        <f t="shared" si="139"/>
        <v>106541.55</v>
      </c>
      <c r="EI51" s="1075">
        <v>108531.81</v>
      </c>
      <c r="EJ51" s="1075">
        <v>108531.81</v>
      </c>
      <c r="EK51" s="1075">
        <v>108531.81</v>
      </c>
      <c r="EL51" s="1075">
        <v>108531.81</v>
      </c>
      <c r="EM51" s="1075">
        <v>108531.81</v>
      </c>
      <c r="EN51" s="1075">
        <v>108531.81</v>
      </c>
      <c r="EO51" s="1075">
        <v>108531.81</v>
      </c>
      <c r="EP51" s="1075">
        <v>108531.81</v>
      </c>
      <c r="EQ51" s="1075">
        <f>+EP51</f>
        <v>108531.81</v>
      </c>
      <c r="ER51" s="1075">
        <f t="shared" ref="ER51:EY51" si="140">+EQ51</f>
        <v>108531.81</v>
      </c>
      <c r="ES51" s="1075">
        <f t="shared" si="140"/>
        <v>108531.81</v>
      </c>
      <c r="ET51" s="1232">
        <f>+ES51</f>
        <v>108531.81</v>
      </c>
      <c r="EU51" s="1232">
        <v>117796</v>
      </c>
      <c r="EV51" s="1232">
        <f t="shared" si="140"/>
        <v>117796</v>
      </c>
      <c r="EW51" s="1232">
        <f t="shared" si="140"/>
        <v>117796</v>
      </c>
      <c r="EX51" s="1232">
        <f t="shared" si="140"/>
        <v>117796</v>
      </c>
      <c r="EY51" s="1232">
        <f t="shared" si="140"/>
        <v>117796</v>
      </c>
      <c r="EZ51" s="1232">
        <f t="shared" ref="EZ51" si="141">+EY51</f>
        <v>117796</v>
      </c>
      <c r="FA51" s="1232">
        <f t="shared" ref="FA51" si="142">+EZ51</f>
        <v>117796</v>
      </c>
      <c r="FB51" s="1232">
        <f t="shared" ref="FB51" si="143">+FA51</f>
        <v>117796</v>
      </c>
      <c r="FC51" s="42"/>
    </row>
    <row r="52" spans="1:159" ht="12.75" customHeight="1">
      <c r="A52" s="992"/>
    </row>
    <row r="53" spans="1:159" ht="12.75" customHeight="1">
      <c r="A53" s="991" t="s">
        <v>2639</v>
      </c>
    </row>
    <row r="54" spans="1:159" ht="12.75" customHeight="1">
      <c r="A54" s="992" t="s">
        <v>516</v>
      </c>
      <c r="DA54" s="933">
        <v>844.29</v>
      </c>
      <c r="DB54" s="933">
        <v>256.33999999999997</v>
      </c>
      <c r="DC54" s="933">
        <v>268.31</v>
      </c>
      <c r="DD54" s="933">
        <v>452.08</v>
      </c>
      <c r="DE54" s="933">
        <v>299.56</v>
      </c>
      <c r="DF54" s="933">
        <v>4375.58</v>
      </c>
      <c r="DG54" s="933">
        <v>155.68</v>
      </c>
      <c r="DH54" s="933">
        <v>25.74</v>
      </c>
      <c r="DI54" s="933">
        <v>555.08000000000004</v>
      </c>
      <c r="DJ54" s="933">
        <v>647.94000000000005</v>
      </c>
      <c r="DK54" s="933">
        <v>-238.94</v>
      </c>
      <c r="DL54" s="933">
        <v>570.05999999999995</v>
      </c>
      <c r="DM54" s="933">
        <v>400.12</v>
      </c>
      <c r="DN54" s="933">
        <v>164.95</v>
      </c>
      <c r="DO54" s="933">
        <v>-230.67</v>
      </c>
      <c r="DP54" s="933">
        <v>-194.98</v>
      </c>
      <c r="DQ54" s="933">
        <v>2201.27</v>
      </c>
      <c r="DR54" s="933">
        <v>-334.73</v>
      </c>
      <c r="DS54" s="933">
        <v>451.61</v>
      </c>
      <c r="DT54" s="933">
        <v>-178.66</v>
      </c>
      <c r="DU54" s="933">
        <v>312.8</v>
      </c>
      <c r="DV54" s="933">
        <v>-6.48</v>
      </c>
      <c r="DW54" s="933">
        <v>352.15</v>
      </c>
      <c r="DX54" s="990">
        <v>558.20000000000005</v>
      </c>
      <c r="DY54" s="990">
        <v>727.53</v>
      </c>
      <c r="DZ54" s="990">
        <v>870.18</v>
      </c>
      <c r="EA54" s="990">
        <v>516.51</v>
      </c>
      <c r="EB54" s="990">
        <v>485.3</v>
      </c>
      <c r="EC54" s="990">
        <v>454.36</v>
      </c>
      <c r="ED54" s="990">
        <v>368.1</v>
      </c>
      <c r="EE54" s="990">
        <v>771.01</v>
      </c>
      <c r="EF54" s="990">
        <v>-588.51</v>
      </c>
      <c r="EG54" s="990">
        <v>593.38</v>
      </c>
      <c r="EH54" s="990">
        <v>585.64</v>
      </c>
      <c r="EI54" s="990">
        <v>942.88</v>
      </c>
      <c r="EJ54" s="990">
        <v>1026.1400000000001</v>
      </c>
      <c r="EK54" s="990">
        <v>582</v>
      </c>
      <c r="EL54" s="990">
        <v>442.27</v>
      </c>
      <c r="EM54" s="990">
        <v>175.61</v>
      </c>
      <c r="EN54" s="990">
        <v>593.36</v>
      </c>
      <c r="EO54" s="990">
        <v>1007.29</v>
      </c>
      <c r="EP54" s="990">
        <v>293.60000000000002</v>
      </c>
      <c r="EQ54" s="990">
        <v>410.76</v>
      </c>
      <c r="ER54" s="990">
        <v>60.5</v>
      </c>
      <c r="ES54" s="990">
        <v>710.89</v>
      </c>
      <c r="ET54" s="1233">
        <v>541.72</v>
      </c>
      <c r="EU54" s="1233">
        <v>750.44</v>
      </c>
      <c r="EV54" s="1233">
        <v>411.92</v>
      </c>
      <c r="EW54" s="1233">
        <v>418.19</v>
      </c>
      <c r="EX54" s="1233">
        <v>1162.1600000000001</v>
      </c>
      <c r="EY54" s="1233">
        <v>1322.23</v>
      </c>
      <c r="EZ54" s="1233">
        <v>8232.6200000000008</v>
      </c>
      <c r="FA54" s="1233">
        <v>2764.52</v>
      </c>
      <c r="FB54" s="1233">
        <v>2005.35</v>
      </c>
    </row>
    <row r="55" spans="1:159" ht="12.75" customHeight="1">
      <c r="A55" s="992" t="s">
        <v>2512</v>
      </c>
      <c r="DA55" s="933">
        <v>2883.78</v>
      </c>
      <c r="DB55" s="933">
        <v>4570.05</v>
      </c>
      <c r="DC55" s="933">
        <v>8189.4</v>
      </c>
      <c r="DD55" s="933">
        <v>4017.81</v>
      </c>
      <c r="DE55" s="933">
        <v>1114.31</v>
      </c>
      <c r="DF55" s="933">
        <v>5155.66</v>
      </c>
      <c r="DG55" s="933">
        <v>1244.1500000000001</v>
      </c>
      <c r="DH55" s="933">
        <v>111.47</v>
      </c>
      <c r="DI55" s="933">
        <v>4626.6099999999997</v>
      </c>
      <c r="DJ55" s="933">
        <v>206.65</v>
      </c>
      <c r="DK55" s="933">
        <v>8721.06</v>
      </c>
      <c r="DL55" s="933">
        <v>2257.9699999999998</v>
      </c>
      <c r="DM55" s="933">
        <v>923.72</v>
      </c>
      <c r="DN55" s="933">
        <v>8058.34</v>
      </c>
      <c r="DO55" s="933">
        <v>5669.46</v>
      </c>
      <c r="DP55" s="933">
        <v>11073.47</v>
      </c>
      <c r="DQ55" s="933">
        <v>2457.4699999999998</v>
      </c>
      <c r="DR55" s="933">
        <v>8800.61</v>
      </c>
      <c r="DS55" s="933">
        <v>4131.28</v>
      </c>
      <c r="DT55" s="933">
        <v>165.71</v>
      </c>
      <c r="DU55" s="933">
        <v>4035.25</v>
      </c>
      <c r="DV55" s="933">
        <v>530.32000000000005</v>
      </c>
      <c r="DW55" s="933">
        <v>6997.33</v>
      </c>
      <c r="DX55" s="990">
        <v>1499.79</v>
      </c>
      <c r="DY55" s="990">
        <v>7157.37</v>
      </c>
      <c r="DZ55" s="990">
        <v>169.2</v>
      </c>
      <c r="EA55" s="990">
        <v>5616.61</v>
      </c>
      <c r="EB55" s="990">
        <v>7022.11</v>
      </c>
      <c r="EC55" s="990">
        <v>106.45</v>
      </c>
      <c r="ED55" s="990">
        <v>2751.8</v>
      </c>
      <c r="EE55" s="990">
        <v>-19.95</v>
      </c>
      <c r="EF55" s="990">
        <v>2546.84</v>
      </c>
      <c r="EG55" s="990">
        <v>2683.44</v>
      </c>
      <c r="EH55" s="990">
        <v>105.76</v>
      </c>
      <c r="EI55" s="990">
        <v>11626.28</v>
      </c>
      <c r="EJ55" s="990">
        <v>2692.45</v>
      </c>
      <c r="EK55" s="990">
        <v>5992.18</v>
      </c>
      <c r="EL55" s="990">
        <v>1878.62</v>
      </c>
      <c r="EM55" s="990">
        <v>1976.46</v>
      </c>
      <c r="EN55" s="990">
        <v>2852.88</v>
      </c>
      <c r="EO55" s="990">
        <v>584.04999999999995</v>
      </c>
      <c r="EP55" s="990">
        <v>7449.9</v>
      </c>
      <c r="EQ55" s="990">
        <v>5577.96</v>
      </c>
      <c r="ER55" s="990">
        <v>3177.73</v>
      </c>
      <c r="ES55" s="990">
        <v>3094.71</v>
      </c>
      <c r="ET55" s="1233">
        <v>1473.59</v>
      </c>
      <c r="EU55" s="1233">
        <v>6011.71</v>
      </c>
      <c r="EV55" s="1233">
        <v>5950.96</v>
      </c>
      <c r="EW55" s="1233">
        <v>1964.93</v>
      </c>
      <c r="EX55" s="1233">
        <v>3167.45</v>
      </c>
      <c r="EY55" s="1233">
        <v>7091.26</v>
      </c>
      <c r="EZ55" s="1233">
        <v>1143.33</v>
      </c>
      <c r="FA55" s="1233">
        <v>1003.99</v>
      </c>
      <c r="FB55" s="1233">
        <v>815.46</v>
      </c>
    </row>
    <row r="56" spans="1:159" ht="12.75" customHeight="1">
      <c r="A56" s="992" t="s">
        <v>517</v>
      </c>
      <c r="DA56" s="933">
        <v>2005.31</v>
      </c>
      <c r="DB56" s="933">
        <v>165.55</v>
      </c>
      <c r="DC56" s="933">
        <v>3103.85</v>
      </c>
      <c r="DD56" s="933">
        <v>195</v>
      </c>
      <c r="DE56" s="933">
        <v>68.16</v>
      </c>
      <c r="DF56" s="933">
        <v>3773.84</v>
      </c>
      <c r="DG56" s="933">
        <v>-138.79</v>
      </c>
      <c r="DH56" s="933">
        <v>5999.3</v>
      </c>
      <c r="DI56" s="933">
        <v>107.25</v>
      </c>
      <c r="DJ56" s="933">
        <v>2548.44</v>
      </c>
      <c r="DK56" s="933">
        <v>2919.77</v>
      </c>
      <c r="DL56" s="933">
        <v>105.02</v>
      </c>
      <c r="DM56" s="933">
        <v>4795.3500000000004</v>
      </c>
      <c r="DN56" s="933">
        <v>67.89</v>
      </c>
      <c r="DO56" s="933">
        <v>12.91</v>
      </c>
      <c r="DP56" s="933">
        <v>5124.66</v>
      </c>
      <c r="DQ56" s="933">
        <v>1240.4100000000001</v>
      </c>
      <c r="DR56" s="933">
        <v>5623.28</v>
      </c>
      <c r="DS56" s="933">
        <v>161.44</v>
      </c>
      <c r="DT56" s="933">
        <v>4301.0600000000004</v>
      </c>
      <c r="DU56" s="933">
        <v>2227.19</v>
      </c>
      <c r="DV56" s="933">
        <v>255.99</v>
      </c>
      <c r="DW56" s="933">
        <v>0</v>
      </c>
      <c r="DX56" s="990">
        <v>4571.95</v>
      </c>
      <c r="DY56" s="990">
        <v>6622.6</v>
      </c>
      <c r="DZ56" s="990">
        <v>62.38</v>
      </c>
      <c r="EA56" s="990">
        <v>3199.87</v>
      </c>
      <c r="EB56" s="990">
        <v>0</v>
      </c>
      <c r="EC56" s="990">
        <v>3755.61</v>
      </c>
      <c r="ED56" s="990">
        <v>0</v>
      </c>
      <c r="EE56" s="990">
        <v>300</v>
      </c>
      <c r="EF56" s="990">
        <v>1250.67</v>
      </c>
      <c r="EG56" s="990">
        <v>5739.95</v>
      </c>
      <c r="EH56" s="990">
        <v>158.61000000000001</v>
      </c>
      <c r="EI56" s="990">
        <v>240.5</v>
      </c>
      <c r="EJ56" s="990">
        <v>2592.35</v>
      </c>
      <c r="EK56" s="990">
        <v>1167.5899999999999</v>
      </c>
      <c r="EL56" s="990">
        <v>1270.5899999999999</v>
      </c>
      <c r="EM56" s="990">
        <v>4872.62</v>
      </c>
      <c r="EN56" s="990">
        <v>2434.15</v>
      </c>
      <c r="EO56" s="990">
        <v>2137.46</v>
      </c>
      <c r="EP56" s="990">
        <v>898.78</v>
      </c>
      <c r="EQ56" s="990">
        <v>2257.7199999999998</v>
      </c>
      <c r="ER56" s="990">
        <v>440.64</v>
      </c>
      <c r="ES56" s="990">
        <v>2812.15</v>
      </c>
      <c r="ET56" s="1233">
        <v>0</v>
      </c>
      <c r="EU56" s="1233">
        <v>8628.36</v>
      </c>
      <c r="EV56" s="1233">
        <v>2216.25</v>
      </c>
      <c r="EW56" s="1233">
        <v>0</v>
      </c>
      <c r="EX56" s="1233">
        <v>3511.01</v>
      </c>
      <c r="EY56" s="1233">
        <v>25</v>
      </c>
      <c r="EZ56" s="1233">
        <v>0</v>
      </c>
      <c r="FA56" s="1233">
        <v>20</v>
      </c>
      <c r="FB56" s="1233">
        <v>0</v>
      </c>
    </row>
    <row r="57" spans="1:159" ht="12.75" customHeight="1">
      <c r="A57" s="992" t="s">
        <v>2640</v>
      </c>
      <c r="DA57" s="453"/>
      <c r="DB57" s="453"/>
      <c r="DC57" s="453"/>
      <c r="DD57" s="453"/>
      <c r="DE57" s="453"/>
      <c r="DF57" s="453"/>
      <c r="DG57" s="453"/>
      <c r="DH57" s="453"/>
      <c r="DI57" s="453"/>
      <c r="DJ57" s="453"/>
      <c r="DK57" s="453"/>
      <c r="DL57" s="453"/>
      <c r="DM57" s="453">
        <f>SUM(DB54:DM56)</f>
        <v>72549.150000000023</v>
      </c>
      <c r="DN57" s="453">
        <f t="shared" ref="DN57:EJ57" si="144">SUM(DC54:DN56)</f>
        <v>75848.390000000029</v>
      </c>
      <c r="DO57" s="453">
        <f t="shared" si="144"/>
        <v>69738.530000000013</v>
      </c>
      <c r="DP57" s="453">
        <f t="shared" si="144"/>
        <v>81076.790000000023</v>
      </c>
      <c r="DQ57" s="453">
        <f t="shared" si="144"/>
        <v>85493.910000000033</v>
      </c>
      <c r="DR57" s="453">
        <f t="shared" si="144"/>
        <v>86277.990000000034</v>
      </c>
      <c r="DS57" s="453">
        <f t="shared" si="144"/>
        <v>89761.280000000028</v>
      </c>
      <c r="DT57" s="453">
        <f t="shared" si="144"/>
        <v>87912.880000000019</v>
      </c>
      <c r="DU57" s="453">
        <f t="shared" si="144"/>
        <v>89199.180000000022</v>
      </c>
      <c r="DV57" s="453">
        <f t="shared" si="144"/>
        <v>86575.98000000001</v>
      </c>
      <c r="DW57" s="453">
        <f t="shared" si="144"/>
        <v>82523.570000000007</v>
      </c>
      <c r="DX57" s="453">
        <f t="shared" si="144"/>
        <v>86220.46</v>
      </c>
      <c r="DY57" s="453">
        <f t="shared" si="144"/>
        <v>94608.770000000019</v>
      </c>
      <c r="DZ57" s="453">
        <f t="shared" si="144"/>
        <v>87419.35000000002</v>
      </c>
      <c r="EA57" s="453">
        <f t="shared" si="144"/>
        <v>91300.640000000014</v>
      </c>
      <c r="EB57" s="453">
        <f t="shared" si="144"/>
        <v>82804.900000000023</v>
      </c>
      <c r="EC57" s="453">
        <f t="shared" si="144"/>
        <v>81222.17</v>
      </c>
      <c r="ED57" s="453">
        <f t="shared" si="144"/>
        <v>70252.909999999989</v>
      </c>
      <c r="EE57" s="453">
        <f t="shared" si="144"/>
        <v>66559.64</v>
      </c>
      <c r="EF57" s="453">
        <f t="shared" si="144"/>
        <v>65480.53</v>
      </c>
      <c r="EG57" s="453">
        <f t="shared" si="144"/>
        <v>67922.06</v>
      </c>
      <c r="EH57" s="453">
        <f t="shared" si="144"/>
        <v>67992.240000000005</v>
      </c>
      <c r="EI57" s="453">
        <f t="shared" si="144"/>
        <v>73452.42</v>
      </c>
      <c r="EJ57" s="453">
        <f t="shared" si="144"/>
        <v>73133.42</v>
      </c>
      <c r="EK57" s="453">
        <f t="shared" ref="EK57:EY57" si="145">SUM(DZ54:EK56)</f>
        <v>66367.689999999988</v>
      </c>
      <c r="EL57" s="453">
        <f t="shared" si="145"/>
        <v>68857.409999999989</v>
      </c>
      <c r="EM57" s="453">
        <f t="shared" si="145"/>
        <v>66549.109999999986</v>
      </c>
      <c r="EN57" s="453">
        <f t="shared" si="145"/>
        <v>64922.09</v>
      </c>
      <c r="EO57" s="453">
        <f t="shared" si="145"/>
        <v>64334.469999999994</v>
      </c>
      <c r="EP57" s="453">
        <f t="shared" si="145"/>
        <v>69856.849999999991</v>
      </c>
      <c r="EQ57" s="453">
        <f t="shared" si="145"/>
        <v>77052.23</v>
      </c>
      <c r="ER57" s="453">
        <f t="shared" si="145"/>
        <v>77522.099999999991</v>
      </c>
      <c r="ES57" s="453">
        <f t="shared" si="145"/>
        <v>75123.08</v>
      </c>
      <c r="ET57" s="453">
        <f t="shared" si="145"/>
        <v>76288.37999999999</v>
      </c>
      <c r="EU57" s="453">
        <f t="shared" si="145"/>
        <v>78869.229999999981</v>
      </c>
      <c r="EV57" s="453">
        <f t="shared" si="145"/>
        <v>81137.419999999984</v>
      </c>
      <c r="EW57" s="453">
        <f t="shared" si="145"/>
        <v>75778.76999999999</v>
      </c>
      <c r="EX57" s="453">
        <f t="shared" si="145"/>
        <v>80027.909999999989</v>
      </c>
      <c r="EY57" s="453">
        <f t="shared" si="145"/>
        <v>81441.709999999992</v>
      </c>
      <c r="EZ57" s="453">
        <f t="shared" ref="EZ57" si="146">SUM(EO54:EZ56)</f>
        <v>84937.269999999975</v>
      </c>
      <c r="FA57" s="453">
        <f t="shared" ref="FA57" si="147">SUM(EP54:FA56)</f>
        <v>84996.979999999981</v>
      </c>
      <c r="FB57" s="453">
        <f t="shared" ref="FB57" si="148">SUM(EQ54:FB56)</f>
        <v>79175.509999999995</v>
      </c>
    </row>
    <row r="58" spans="1:159" ht="12.75" customHeight="1"/>
    <row r="59" spans="1:159" ht="12.75" customHeight="1">
      <c r="A59" s="991" t="s">
        <v>2638</v>
      </c>
    </row>
    <row r="60" spans="1:159" ht="12.75" customHeight="1">
      <c r="A60" s="1001" t="s">
        <v>2641</v>
      </c>
      <c r="B60" s="177">
        <v>294547.09999999998</v>
      </c>
      <c r="C60" s="177">
        <v>313120.58</v>
      </c>
      <c r="D60" s="177">
        <v>286924.81</v>
      </c>
      <c r="E60" s="177">
        <v>435519.35</v>
      </c>
      <c r="F60" s="177">
        <v>342927.17</v>
      </c>
      <c r="G60" s="177">
        <v>289837.06</v>
      </c>
      <c r="H60" s="177">
        <v>295867.62</v>
      </c>
      <c r="I60" s="177">
        <v>307119.73</v>
      </c>
      <c r="J60" s="177">
        <v>286801.88</v>
      </c>
      <c r="K60" s="177">
        <v>272129.40000000002</v>
      </c>
      <c r="L60" s="177">
        <v>231474.04</v>
      </c>
      <c r="M60" s="177">
        <v>273017.01</v>
      </c>
      <c r="N60" s="177">
        <v>288699.03999999998</v>
      </c>
      <c r="O60" s="177">
        <v>351607.1</v>
      </c>
      <c r="P60" s="177">
        <v>314981.36</v>
      </c>
      <c r="Q60" s="177">
        <v>458198.59</v>
      </c>
      <c r="R60" s="177">
        <v>331286.89</v>
      </c>
      <c r="S60" s="177">
        <v>314647.06</v>
      </c>
      <c r="T60" s="177">
        <v>290096.68</v>
      </c>
      <c r="U60" s="177">
        <v>250453.06</v>
      </c>
      <c r="V60" s="177">
        <v>267978.48</v>
      </c>
      <c r="W60" s="177">
        <v>271088.55</v>
      </c>
      <c r="X60" s="177">
        <v>275467.33</v>
      </c>
      <c r="Y60" s="177">
        <v>311705.13</v>
      </c>
      <c r="Z60" s="177">
        <v>288304.63</v>
      </c>
      <c r="AA60" s="187">
        <v>302840.83</v>
      </c>
      <c r="AB60" s="187">
        <v>295789.34000000003</v>
      </c>
      <c r="AC60" s="187">
        <v>319726.74</v>
      </c>
      <c r="AD60" s="187">
        <v>399644.19</v>
      </c>
      <c r="AE60" s="187">
        <v>290106.89</v>
      </c>
      <c r="AF60" s="187">
        <v>278761.38</v>
      </c>
      <c r="AG60" s="187">
        <v>302395</v>
      </c>
      <c r="AH60" s="187">
        <v>312541.84000000003</v>
      </c>
      <c r="AI60" s="187">
        <v>270304.21000000002</v>
      </c>
      <c r="AJ60" s="177">
        <v>301994.95</v>
      </c>
      <c r="AK60" s="177">
        <v>398285.28</v>
      </c>
      <c r="AL60" s="177">
        <v>489154.46</v>
      </c>
      <c r="AM60" s="177">
        <v>515536.8</v>
      </c>
      <c r="AN60" s="177">
        <v>460265.5</v>
      </c>
      <c r="AO60" s="177">
        <v>431348.87</v>
      </c>
      <c r="AP60" s="177">
        <v>-37526.76</v>
      </c>
      <c r="AQ60" s="177">
        <v>385498.75</v>
      </c>
      <c r="AR60" s="177">
        <v>344753.14</v>
      </c>
      <c r="AS60" s="177">
        <v>352904.14</v>
      </c>
      <c r="AT60" s="177">
        <v>257561.25</v>
      </c>
      <c r="AU60" s="177">
        <v>233770.05</v>
      </c>
      <c r="AV60" s="177">
        <v>257926.97</v>
      </c>
      <c r="AW60" s="177">
        <v>225548.18</v>
      </c>
      <c r="AX60" s="177">
        <v>224868</v>
      </c>
      <c r="AY60" s="389">
        <v>225410.04</v>
      </c>
      <c r="AZ60" s="389">
        <v>185406.43</v>
      </c>
      <c r="BA60" s="389">
        <v>206340.9</v>
      </c>
      <c r="BB60" s="389">
        <v>211864.82</v>
      </c>
      <c r="BC60" s="389">
        <v>218307.72</v>
      </c>
      <c r="BD60" s="389">
        <v>211652.89</v>
      </c>
      <c r="BE60" s="389">
        <v>240887.38</v>
      </c>
      <c r="BF60" s="389">
        <v>245519.64</v>
      </c>
      <c r="BG60" s="389">
        <v>231748.85</v>
      </c>
      <c r="BH60" s="389">
        <v>239043.01</v>
      </c>
      <c r="BI60" s="389">
        <v>200140.07</v>
      </c>
      <c r="BJ60" s="389">
        <v>216618.72</v>
      </c>
      <c r="BK60" s="389">
        <v>223495.07</v>
      </c>
      <c r="BL60" s="389">
        <v>200606.02</v>
      </c>
      <c r="BM60" s="389">
        <v>211579.54</v>
      </c>
      <c r="BN60" s="389">
        <v>203874.41</v>
      </c>
      <c r="BO60" s="389">
        <v>200394.37</v>
      </c>
      <c r="BP60" s="389">
        <v>185387.23</v>
      </c>
      <c r="BQ60" s="389">
        <v>179381.47</v>
      </c>
      <c r="BR60" s="389">
        <v>190560.82</v>
      </c>
      <c r="BS60" s="389">
        <v>185151.5</v>
      </c>
      <c r="BT60" s="389">
        <v>186090.12</v>
      </c>
      <c r="BU60" s="389">
        <v>180551.94</v>
      </c>
      <c r="BV60" s="420">
        <v>196775.4</v>
      </c>
      <c r="BW60" s="420">
        <v>226218.89</v>
      </c>
      <c r="BX60" s="420">
        <v>208381.26</v>
      </c>
      <c r="BY60" s="420">
        <v>226752.64000000001</v>
      </c>
      <c r="BZ60" s="420">
        <v>206431.31</v>
      </c>
      <c r="CA60" s="420">
        <v>193671.52</v>
      </c>
      <c r="CB60" s="420">
        <v>184444.52</v>
      </c>
      <c r="CC60" s="420">
        <v>180864.7</v>
      </c>
      <c r="CD60" s="420">
        <v>188227.38</v>
      </c>
      <c r="CE60" s="420">
        <v>186386.85</v>
      </c>
      <c r="CF60" s="420">
        <v>180705.72</v>
      </c>
      <c r="CG60" s="420">
        <v>190571.35</v>
      </c>
      <c r="CH60" s="420">
        <v>200226.43</v>
      </c>
      <c r="CI60" s="420">
        <v>181419.15</v>
      </c>
      <c r="CJ60" s="420">
        <v>217125.73</v>
      </c>
      <c r="CK60" s="420">
        <v>227033.12</v>
      </c>
      <c r="CL60" s="420">
        <v>202955.68</v>
      </c>
      <c r="CM60" s="420">
        <v>147184.56</v>
      </c>
      <c r="CN60" s="420">
        <v>224523.04</v>
      </c>
      <c r="CO60" s="420">
        <v>172060.58</v>
      </c>
      <c r="CP60" s="420">
        <v>183689.87</v>
      </c>
      <c r="CQ60" s="420">
        <v>147887.04000000001</v>
      </c>
      <c r="CR60" s="420">
        <v>191514.07</v>
      </c>
      <c r="CS60" s="420">
        <v>194060.81</v>
      </c>
      <c r="CT60" s="420">
        <v>220760.74</v>
      </c>
      <c r="CU60" s="420">
        <v>193562.16</v>
      </c>
      <c r="CV60" s="420">
        <v>145888.32999999999</v>
      </c>
      <c r="CW60" s="420">
        <v>243752.23</v>
      </c>
      <c r="CX60" s="420">
        <v>207654.83</v>
      </c>
      <c r="CY60" s="420">
        <v>195218.07</v>
      </c>
      <c r="CZ60" s="420">
        <v>185158.7</v>
      </c>
      <c r="DA60" s="420">
        <v>178746.68</v>
      </c>
      <c r="DB60" s="420">
        <v>170443.61</v>
      </c>
      <c r="DC60" s="420">
        <v>165170.10999999999</v>
      </c>
      <c r="DD60" s="420">
        <v>194745.15</v>
      </c>
      <c r="DE60" s="420">
        <v>175347.68</v>
      </c>
      <c r="DF60" s="420">
        <v>209402.12</v>
      </c>
      <c r="DG60" s="420">
        <v>193433.75</v>
      </c>
      <c r="DH60" s="420">
        <v>223430.42</v>
      </c>
      <c r="DI60" s="420">
        <v>221766.35</v>
      </c>
      <c r="DJ60" s="420">
        <f>216342.94+6814.14</f>
        <v>223157.08000000002</v>
      </c>
      <c r="DK60" s="420">
        <f>233712.16-14273.24</f>
        <v>219438.92</v>
      </c>
      <c r="DL60" s="420">
        <v>170421.74</v>
      </c>
      <c r="DM60" s="420">
        <v>197031.4</v>
      </c>
      <c r="DN60" s="420">
        <v>121725.21</v>
      </c>
      <c r="DO60" s="420">
        <v>262355.59000000003</v>
      </c>
      <c r="DP60" s="420">
        <v>215257.95</v>
      </c>
      <c r="DQ60" s="420">
        <v>220538.86</v>
      </c>
      <c r="DR60" s="420">
        <v>248710.81</v>
      </c>
      <c r="DS60" s="420">
        <f>196712.32+46725.88</f>
        <v>243438.2</v>
      </c>
      <c r="DT60" s="420">
        <f>300068.01-46725.88</f>
        <v>253342.13</v>
      </c>
      <c r="DU60" s="420">
        <f>244577.37-7916.45</f>
        <v>236660.91999999998</v>
      </c>
      <c r="DV60" s="420">
        <f>247482.28+7916.45</f>
        <v>255398.73</v>
      </c>
      <c r="DW60" s="420">
        <v>265764.46999999997</v>
      </c>
      <c r="DX60" s="187">
        <v>202462.96</v>
      </c>
      <c r="DY60" s="187">
        <v>194724.54</v>
      </c>
      <c r="DZ60" s="187">
        <f>223785.62+9448.13</f>
        <v>233233.75</v>
      </c>
      <c r="EA60" s="187">
        <f>226930.76-9448.13+8893.57</f>
        <v>226376.2</v>
      </c>
      <c r="EB60" s="187">
        <f>234204.85-8893.57</f>
        <v>225311.28</v>
      </c>
      <c r="EC60" s="187">
        <v>236659.63</v>
      </c>
      <c r="ED60" s="187">
        <v>246249.31</v>
      </c>
      <c r="EE60" s="187">
        <f>297261.38+19195.83</f>
        <v>316457.21000000002</v>
      </c>
      <c r="EF60" s="187">
        <f>306517.42-19195.83</f>
        <v>287321.58999999997</v>
      </c>
      <c r="EG60" s="187">
        <f>365111.13+18742.5</f>
        <v>383853.63</v>
      </c>
      <c r="EH60" s="187">
        <f>580406.09-18742.5-224649</f>
        <v>337014.58999999997</v>
      </c>
      <c r="EI60" s="187">
        <f>123457.38+224649</f>
        <v>348106.38</v>
      </c>
      <c r="EJ60" s="187">
        <f>339046.36+13422.95-23719.02</f>
        <v>328750.28999999998</v>
      </c>
      <c r="EK60" s="187">
        <f>305165.39-13422.95+23719.02</f>
        <v>315461.46000000002</v>
      </c>
      <c r="EL60" s="187">
        <f>301708.82</f>
        <v>301708.82</v>
      </c>
      <c r="EM60" s="187">
        <f>269824.03+16484.7</f>
        <v>286308.73000000004</v>
      </c>
      <c r="EN60" s="187">
        <f>342486-16484.7</f>
        <v>326001.3</v>
      </c>
      <c r="EO60" s="187">
        <v>294425.11</v>
      </c>
      <c r="EP60" s="187">
        <v>201172.55</v>
      </c>
      <c r="EQ60" s="187">
        <v>433965.86</v>
      </c>
      <c r="ER60" s="187">
        <v>349623.98</v>
      </c>
      <c r="ES60" s="187">
        <v>338447.32</v>
      </c>
      <c r="ET60" s="187">
        <v>334679.53999999998</v>
      </c>
      <c r="EU60" s="187">
        <v>191239.55</v>
      </c>
      <c r="EV60" s="187">
        <f>250554.55+15372.5</f>
        <v>265927.05</v>
      </c>
      <c r="EW60" s="187">
        <f>303653.8-15372.5</f>
        <v>288281.3</v>
      </c>
      <c r="EX60" s="187">
        <v>328771.62</v>
      </c>
      <c r="EY60" s="187">
        <v>243663.88</v>
      </c>
      <c r="EZ60" s="187">
        <v>410007.51</v>
      </c>
      <c r="FA60" s="187">
        <v>247781.65</v>
      </c>
      <c r="FB60" s="187">
        <v>277406.67</v>
      </c>
      <c r="FC60" s="42"/>
    </row>
    <row r="61" spans="1:159" ht="12.75" customHeight="1">
      <c r="A61" s="1001" t="s">
        <v>2642</v>
      </c>
      <c r="N61" s="289">
        <f t="shared" ref="N61:AX61" si="149">SUM(C60:N60)</f>
        <v>3623437.6899999995</v>
      </c>
      <c r="O61" s="289">
        <f t="shared" si="149"/>
        <v>3661924.2099999995</v>
      </c>
      <c r="P61" s="289">
        <f t="shared" si="149"/>
        <v>3689980.76</v>
      </c>
      <c r="Q61" s="289">
        <f t="shared" si="149"/>
        <v>3712660</v>
      </c>
      <c r="R61" s="289">
        <f t="shared" si="149"/>
        <v>3701019.7199999997</v>
      </c>
      <c r="S61" s="289">
        <f t="shared" si="149"/>
        <v>3725829.7199999997</v>
      </c>
      <c r="T61" s="289">
        <f t="shared" si="149"/>
        <v>3720058.7800000003</v>
      </c>
      <c r="U61" s="289">
        <f t="shared" si="149"/>
        <v>3663392.1100000003</v>
      </c>
      <c r="V61" s="289">
        <f t="shared" si="149"/>
        <v>3644568.71</v>
      </c>
      <c r="W61" s="289">
        <f t="shared" si="149"/>
        <v>3643527.86</v>
      </c>
      <c r="X61" s="289">
        <f t="shared" si="149"/>
        <v>3687521.1500000004</v>
      </c>
      <c r="Y61" s="289">
        <f t="shared" si="149"/>
        <v>3726209.27</v>
      </c>
      <c r="Z61" s="289">
        <f t="shared" si="149"/>
        <v>3725814.8599999994</v>
      </c>
      <c r="AA61" s="289">
        <f t="shared" si="149"/>
        <v>3677048.59</v>
      </c>
      <c r="AB61" s="289">
        <f t="shared" si="149"/>
        <v>3657856.57</v>
      </c>
      <c r="AC61" s="289">
        <f t="shared" si="149"/>
        <v>3519384.7199999997</v>
      </c>
      <c r="AD61" s="289">
        <f t="shared" si="149"/>
        <v>3587742.02</v>
      </c>
      <c r="AE61" s="289">
        <f t="shared" si="149"/>
        <v>3563201.8499999996</v>
      </c>
      <c r="AF61" s="289">
        <f t="shared" si="149"/>
        <v>3551866.55</v>
      </c>
      <c r="AG61" s="289">
        <f t="shared" si="149"/>
        <v>3603808.49</v>
      </c>
      <c r="AH61" s="289">
        <f t="shared" si="149"/>
        <v>3648371.85</v>
      </c>
      <c r="AI61" s="289">
        <f t="shared" si="149"/>
        <v>3647587.51</v>
      </c>
      <c r="AJ61" s="289">
        <f t="shared" si="149"/>
        <v>3674115.13</v>
      </c>
      <c r="AK61" s="289">
        <f t="shared" si="149"/>
        <v>3760695.2800000003</v>
      </c>
      <c r="AL61" s="289">
        <f t="shared" si="149"/>
        <v>3961545.1100000003</v>
      </c>
      <c r="AM61" s="289">
        <f t="shared" si="149"/>
        <v>4174241.08</v>
      </c>
      <c r="AN61" s="289">
        <f t="shared" si="149"/>
        <v>4338717.24</v>
      </c>
      <c r="AO61" s="289">
        <f t="shared" si="149"/>
        <v>4450339.37</v>
      </c>
      <c r="AP61" s="289">
        <f t="shared" si="149"/>
        <v>4013168.42</v>
      </c>
      <c r="AQ61" s="289">
        <f t="shared" si="149"/>
        <v>4108560.2800000003</v>
      </c>
      <c r="AR61" s="289">
        <f t="shared" si="149"/>
        <v>4174552.0400000005</v>
      </c>
      <c r="AS61" s="289">
        <f t="shared" si="149"/>
        <v>4225061.1800000006</v>
      </c>
      <c r="AT61" s="289">
        <f t="shared" si="149"/>
        <v>4170080.5900000008</v>
      </c>
      <c r="AU61" s="289">
        <f t="shared" si="149"/>
        <v>4133546.4300000006</v>
      </c>
      <c r="AV61" s="289">
        <f t="shared" si="149"/>
        <v>4089478.4500000007</v>
      </c>
      <c r="AW61" s="289">
        <f t="shared" si="149"/>
        <v>3916741.3500000006</v>
      </c>
      <c r="AX61" s="289">
        <f t="shared" si="149"/>
        <v>3652454.89</v>
      </c>
      <c r="AY61" s="385">
        <v>3362328.1300000004</v>
      </c>
      <c r="AZ61" s="385">
        <v>3087469.0600000005</v>
      </c>
      <c r="BA61" s="385">
        <v>2862461.09</v>
      </c>
      <c r="BB61" s="385">
        <v>3111852.67</v>
      </c>
      <c r="BC61" s="385">
        <v>2944661.64</v>
      </c>
      <c r="BD61" s="385">
        <v>2811561.39</v>
      </c>
      <c r="BE61" s="385">
        <v>2699544.63</v>
      </c>
      <c r="BF61" s="385">
        <v>2687503.02</v>
      </c>
      <c r="BG61" s="385">
        <v>2685481.8200000003</v>
      </c>
      <c r="BH61" s="385">
        <v>2666597.8600000003</v>
      </c>
      <c r="BI61" s="385">
        <v>2641189.7499999995</v>
      </c>
      <c r="BJ61" s="385">
        <v>2632940.4699999997</v>
      </c>
      <c r="BK61" s="385">
        <f>SUM(AZ60:BK60)</f>
        <v>2631025.5</v>
      </c>
      <c r="BL61" s="385">
        <f>SUM(BA60:BL60)</f>
        <v>2646225.0900000003</v>
      </c>
      <c r="BM61" s="385">
        <f>SUM(BB60:BM60)</f>
        <v>2651463.7300000004</v>
      </c>
      <c r="BN61" s="385">
        <f t="shared" ref="BN61:BS61" si="150">SUM(BC60:BN60)</f>
        <v>2643473.3200000003</v>
      </c>
      <c r="BO61" s="385">
        <f t="shared" si="150"/>
        <v>2625559.9700000002</v>
      </c>
      <c r="BP61" s="385">
        <f t="shared" si="150"/>
        <v>2599294.31</v>
      </c>
      <c r="BQ61" s="385">
        <f t="shared" si="150"/>
        <v>2537788.4000000004</v>
      </c>
      <c r="BR61" s="385">
        <f t="shared" si="150"/>
        <v>2482829.58</v>
      </c>
      <c r="BS61" s="385">
        <f t="shared" si="150"/>
        <v>2436232.23</v>
      </c>
      <c r="BT61" s="385">
        <f t="shared" ref="BT61:BY61" si="151">SUM(BI60:BT60)</f>
        <v>2383279.3400000003</v>
      </c>
      <c r="BU61" s="385">
        <f t="shared" si="151"/>
        <v>2363691.21</v>
      </c>
      <c r="BV61" s="385">
        <f t="shared" si="151"/>
        <v>2343847.89</v>
      </c>
      <c r="BW61" s="385">
        <f t="shared" si="151"/>
        <v>2346571.71</v>
      </c>
      <c r="BX61" s="385">
        <f t="shared" si="151"/>
        <v>2354346.9500000002</v>
      </c>
      <c r="BY61" s="385">
        <f t="shared" si="151"/>
        <v>2369520.0500000003</v>
      </c>
      <c r="BZ61" s="385">
        <f t="shared" ref="BZ61:CE61" si="152">SUM(BO60:BZ60)</f>
        <v>2372076.9499999997</v>
      </c>
      <c r="CA61" s="385">
        <f t="shared" si="152"/>
        <v>2365354.1</v>
      </c>
      <c r="CB61" s="385">
        <f t="shared" si="152"/>
        <v>2364411.39</v>
      </c>
      <c r="CC61" s="385">
        <f t="shared" si="152"/>
        <v>2365894.62</v>
      </c>
      <c r="CD61" s="385">
        <f t="shared" si="152"/>
        <v>2363561.1800000002</v>
      </c>
      <c r="CE61" s="385">
        <f t="shared" si="152"/>
        <v>2364796.5300000003</v>
      </c>
      <c r="CF61" s="385">
        <f t="shared" ref="CF61:CW61" si="153">SUM(BU60:CF60)</f>
        <v>2359412.1300000004</v>
      </c>
      <c r="CG61" s="385">
        <f t="shared" si="153"/>
        <v>2369431.5400000005</v>
      </c>
      <c r="CH61" s="385">
        <f t="shared" si="153"/>
        <v>2372882.5700000003</v>
      </c>
      <c r="CI61" s="385">
        <f t="shared" si="153"/>
        <v>2328082.83</v>
      </c>
      <c r="CJ61" s="385">
        <f t="shared" si="153"/>
        <v>2336827.2999999998</v>
      </c>
      <c r="CK61" s="385">
        <f t="shared" si="153"/>
        <v>2337107.7800000003</v>
      </c>
      <c r="CL61" s="385">
        <f t="shared" si="153"/>
        <v>2333632.15</v>
      </c>
      <c r="CM61" s="385">
        <f t="shared" si="153"/>
        <v>2287145.19</v>
      </c>
      <c r="CN61" s="385">
        <f t="shared" si="153"/>
        <v>2327223.7099999995</v>
      </c>
      <c r="CO61" s="385">
        <f t="shared" si="153"/>
        <v>2318419.59</v>
      </c>
      <c r="CP61" s="385">
        <f t="shared" si="153"/>
        <v>2313882.08</v>
      </c>
      <c r="CQ61" s="385">
        <f t="shared" si="153"/>
        <v>2275382.27</v>
      </c>
      <c r="CR61" s="385">
        <f t="shared" si="153"/>
        <v>2286190.62</v>
      </c>
      <c r="CS61" s="385">
        <f t="shared" si="153"/>
        <v>2289680.08</v>
      </c>
      <c r="CT61" s="385">
        <f t="shared" si="153"/>
        <v>2310214.39</v>
      </c>
      <c r="CU61" s="385">
        <f t="shared" si="153"/>
        <v>2322357.4000000004</v>
      </c>
      <c r="CV61" s="385">
        <f t="shared" si="153"/>
        <v>2251120.0000000005</v>
      </c>
      <c r="CW61" s="385">
        <f t="shared" si="153"/>
        <v>2267839.1100000003</v>
      </c>
      <c r="CX61" s="385">
        <f t="shared" ref="CX61:DE61" si="154">SUM(CM60:CX60)</f>
        <v>2272538.2599999998</v>
      </c>
      <c r="CY61" s="385">
        <f t="shared" si="154"/>
        <v>2320571.77</v>
      </c>
      <c r="CZ61" s="385">
        <f t="shared" si="154"/>
        <v>2281207.4300000002</v>
      </c>
      <c r="DA61" s="385">
        <f t="shared" si="154"/>
        <v>2287893.5300000003</v>
      </c>
      <c r="DB61" s="385">
        <f t="shared" si="154"/>
        <v>2274647.27</v>
      </c>
      <c r="DC61" s="385">
        <f t="shared" si="154"/>
        <v>2291930.34</v>
      </c>
      <c r="DD61" s="385">
        <f t="shared" si="154"/>
        <v>2295161.4199999995</v>
      </c>
      <c r="DE61" s="385">
        <f t="shared" si="154"/>
        <v>2276448.2899999996</v>
      </c>
      <c r="DF61" s="385">
        <f t="shared" ref="DF61:DK61" si="155">SUM(CU60:DF60)</f>
        <v>2265089.6699999995</v>
      </c>
      <c r="DG61" s="385">
        <f t="shared" si="155"/>
        <v>2264961.2599999993</v>
      </c>
      <c r="DH61" s="385">
        <f t="shared" si="155"/>
        <v>2342503.3499999996</v>
      </c>
      <c r="DI61" s="385">
        <f t="shared" si="155"/>
        <v>2320517.4699999997</v>
      </c>
      <c r="DJ61" s="385">
        <f t="shared" si="155"/>
        <v>2336019.7199999997</v>
      </c>
      <c r="DK61" s="385">
        <f t="shared" si="155"/>
        <v>2360240.5699999998</v>
      </c>
      <c r="DL61" s="385">
        <f t="shared" ref="DL61:DR61" si="156">SUM(DA60:DL60)</f>
        <v>2345503.6100000003</v>
      </c>
      <c r="DM61" s="385">
        <f t="shared" si="156"/>
        <v>2363788.3299999996</v>
      </c>
      <c r="DN61" s="385">
        <f t="shared" si="156"/>
        <v>2315069.9300000002</v>
      </c>
      <c r="DO61" s="385">
        <f t="shared" si="156"/>
        <v>2412255.4099999997</v>
      </c>
      <c r="DP61" s="385">
        <f t="shared" si="156"/>
        <v>2432768.21</v>
      </c>
      <c r="DQ61" s="385">
        <f t="shared" si="156"/>
        <v>2477959.3899999997</v>
      </c>
      <c r="DR61" s="385">
        <f t="shared" si="156"/>
        <v>2517268.08</v>
      </c>
      <c r="DS61" s="385">
        <f t="shared" ref="DS61:EJ61" si="157">SUM(DH60:DS60)</f>
        <v>2567272.5300000003</v>
      </c>
      <c r="DT61" s="385">
        <f t="shared" si="157"/>
        <v>2597184.2400000002</v>
      </c>
      <c r="DU61" s="385">
        <f t="shared" si="157"/>
        <v>2612078.81</v>
      </c>
      <c r="DV61" s="385">
        <f t="shared" si="157"/>
        <v>2644320.46</v>
      </c>
      <c r="DW61" s="385">
        <f t="shared" si="157"/>
        <v>2690646.01</v>
      </c>
      <c r="DX61" s="385">
        <f t="shared" si="157"/>
        <v>2722687.2299999995</v>
      </c>
      <c r="DY61" s="385">
        <f t="shared" si="157"/>
        <v>2720380.37</v>
      </c>
      <c r="DZ61" s="385">
        <f t="shared" si="157"/>
        <v>2831888.91</v>
      </c>
      <c r="EA61" s="385">
        <f t="shared" si="157"/>
        <v>2795909.5200000005</v>
      </c>
      <c r="EB61" s="385">
        <f t="shared" si="157"/>
        <v>2805962.8499999996</v>
      </c>
      <c r="EC61" s="385">
        <f t="shared" si="157"/>
        <v>2822083.6199999996</v>
      </c>
      <c r="ED61" s="385">
        <f t="shared" si="157"/>
        <v>2819622.1199999996</v>
      </c>
      <c r="EE61" s="385">
        <f t="shared" si="157"/>
        <v>2892641.13</v>
      </c>
      <c r="EF61" s="385">
        <f t="shared" si="157"/>
        <v>2926620.59</v>
      </c>
      <c r="EG61" s="385">
        <f t="shared" si="157"/>
        <v>3073813.3</v>
      </c>
      <c r="EH61" s="385">
        <f t="shared" si="157"/>
        <v>3155429.1599999997</v>
      </c>
      <c r="EI61" s="385">
        <f t="shared" si="157"/>
        <v>3237771.0699999994</v>
      </c>
      <c r="EJ61" s="385">
        <f t="shared" si="157"/>
        <v>3364058.3999999994</v>
      </c>
      <c r="EK61" s="385">
        <f t="shared" ref="EK61:EY61" si="158">SUM(DZ60:EK60)</f>
        <v>3484795.3199999994</v>
      </c>
      <c r="EL61" s="385">
        <f t="shared" si="158"/>
        <v>3553270.3899999992</v>
      </c>
      <c r="EM61" s="385">
        <f t="shared" si="158"/>
        <v>3613202.9199999995</v>
      </c>
      <c r="EN61" s="385">
        <f t="shared" si="158"/>
        <v>3713892.9399999995</v>
      </c>
      <c r="EO61" s="385">
        <f t="shared" si="158"/>
        <v>3771658.4199999995</v>
      </c>
      <c r="EP61" s="385">
        <f t="shared" si="158"/>
        <v>3726581.6599999992</v>
      </c>
      <c r="EQ61" s="385">
        <f t="shared" si="158"/>
        <v>3844090.3099999991</v>
      </c>
      <c r="ER61" s="385">
        <f t="shared" si="158"/>
        <v>3906392.6999999997</v>
      </c>
      <c r="ES61" s="385">
        <f t="shared" si="158"/>
        <v>3860986.3899999992</v>
      </c>
      <c r="ET61" s="385">
        <f t="shared" si="158"/>
        <v>3858651.3399999994</v>
      </c>
      <c r="EU61" s="385">
        <f t="shared" si="158"/>
        <v>3701784.51</v>
      </c>
      <c r="EV61" s="385">
        <f t="shared" si="158"/>
        <v>3638961.2699999996</v>
      </c>
      <c r="EW61" s="385">
        <f t="shared" si="158"/>
        <v>3611781.1099999994</v>
      </c>
      <c r="EX61" s="385">
        <f t="shared" si="158"/>
        <v>3638843.9099999992</v>
      </c>
      <c r="EY61" s="385">
        <f t="shared" si="158"/>
        <v>3596199.0599999991</v>
      </c>
      <c r="EZ61" s="385">
        <f t="shared" ref="EZ61" si="159">SUM(EO60:EZ60)</f>
        <v>3680205.2699999996</v>
      </c>
      <c r="FA61" s="385">
        <f t="shared" ref="FA61" si="160">SUM(EP60:FA60)</f>
        <v>3633561.81</v>
      </c>
      <c r="FB61" s="385">
        <f t="shared" ref="FB61" si="161">SUM(EQ60:FB60)</f>
        <v>3709795.93</v>
      </c>
    </row>
    <row r="62" spans="1:159" ht="12.75" customHeight="1">
      <c r="A62" s="1001"/>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c r="AO62" s="135"/>
      <c r="AP62" s="135"/>
      <c r="AQ62" s="135"/>
      <c r="AR62" s="135"/>
      <c r="AS62" s="135"/>
      <c r="AT62" s="135"/>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c r="DF62" s="135"/>
      <c r="DG62" s="135"/>
      <c r="DH62" s="135"/>
      <c r="DI62" s="135"/>
      <c r="DJ62" s="135"/>
      <c r="DK62" s="135"/>
      <c r="DL62" s="135"/>
      <c r="DM62" s="135"/>
      <c r="DN62" s="135"/>
      <c r="DO62" s="135"/>
      <c r="DP62" s="135"/>
      <c r="DQ62" s="135"/>
      <c r="DR62" s="135"/>
      <c r="DS62" s="135"/>
      <c r="DT62" s="135"/>
      <c r="DU62" s="135"/>
      <c r="DV62" s="135"/>
      <c r="DW62" s="135"/>
      <c r="DX62" s="135"/>
      <c r="DY62" s="135"/>
      <c r="DZ62" s="135"/>
      <c r="EA62" s="135"/>
      <c r="EB62" s="135"/>
      <c r="EC62" s="135"/>
      <c r="ED62" s="135"/>
      <c r="EE62" s="135"/>
      <c r="EF62" s="135"/>
      <c r="EG62" s="135"/>
      <c r="EH62" s="135"/>
      <c r="EI62" s="135"/>
      <c r="EJ62" s="135"/>
      <c r="EK62" s="135"/>
      <c r="EL62" s="135"/>
      <c r="EM62" s="135"/>
      <c r="EN62" s="135"/>
      <c r="EO62" s="135"/>
      <c r="EP62" s="135"/>
      <c r="EQ62" s="135"/>
      <c r="ER62" s="135"/>
      <c r="ES62" s="135"/>
      <c r="ET62" s="135"/>
      <c r="EU62" s="135"/>
      <c r="EV62" s="135"/>
      <c r="EW62" s="135"/>
      <c r="EX62" s="135"/>
      <c r="EY62" s="135"/>
      <c r="EZ62" s="135"/>
      <c r="FA62" s="135"/>
      <c r="FB62" s="135"/>
    </row>
    <row r="63" spans="1:159" ht="12.75" customHeight="1">
      <c r="A63" s="991" t="s">
        <v>2677</v>
      </c>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c r="DF63" s="135"/>
      <c r="DG63" s="135"/>
      <c r="DH63" s="135"/>
      <c r="DI63" s="135"/>
      <c r="DJ63" s="135"/>
      <c r="DK63" s="135"/>
      <c r="DL63" s="135"/>
      <c r="DM63" s="135"/>
      <c r="DN63" s="135"/>
      <c r="DO63" s="135"/>
      <c r="DP63" s="135"/>
      <c r="DQ63" s="135"/>
      <c r="DR63" s="135"/>
      <c r="DS63" s="135"/>
      <c r="DT63" s="135"/>
      <c r="DU63" s="135"/>
      <c r="DV63" s="135"/>
      <c r="DW63" s="135"/>
      <c r="DX63" s="135"/>
      <c r="DY63" s="135"/>
      <c r="DZ63" s="135"/>
      <c r="EA63" s="135"/>
      <c r="EB63" s="135"/>
      <c r="EC63" s="135"/>
      <c r="ED63" s="135"/>
      <c r="EE63" s="135"/>
      <c r="EF63" s="135"/>
      <c r="EG63" s="135"/>
      <c r="EH63" s="135"/>
      <c r="EI63" s="135"/>
      <c r="EJ63" s="135"/>
      <c r="EK63" s="135"/>
      <c r="EL63" s="135"/>
      <c r="EM63" s="135"/>
      <c r="EN63" s="135"/>
      <c r="EO63" s="135"/>
      <c r="EP63" s="135"/>
      <c r="EQ63" s="135"/>
      <c r="ER63" s="135"/>
      <c r="ES63" s="135"/>
      <c r="ET63" s="135"/>
      <c r="EU63" s="135"/>
      <c r="EV63" s="135"/>
      <c r="EW63" s="135"/>
      <c r="EX63" s="135"/>
      <c r="EY63" s="135"/>
      <c r="EZ63" s="135"/>
      <c r="FA63" s="135"/>
      <c r="FB63" s="135"/>
    </row>
    <row r="64" spans="1:159" ht="12.75" customHeight="1">
      <c r="A64" s="385" t="s">
        <v>2676</v>
      </c>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5"/>
      <c r="EA64" s="135"/>
      <c r="EB64" s="135"/>
      <c r="EC64" s="135"/>
      <c r="ED64" s="135"/>
      <c r="EE64" s="135"/>
      <c r="EF64" s="135"/>
      <c r="EG64" s="135"/>
      <c r="EH64" s="135"/>
      <c r="EI64" s="135"/>
      <c r="EJ64" s="135"/>
      <c r="EK64" s="135"/>
      <c r="EL64" s="135"/>
      <c r="EM64" s="135"/>
      <c r="EN64" s="135"/>
      <c r="EO64" s="135"/>
      <c r="EP64" s="135"/>
      <c r="EQ64" s="135"/>
      <c r="ER64" s="135"/>
      <c r="ES64" s="135"/>
      <c r="ET64" s="135"/>
      <c r="EU64" s="135"/>
      <c r="EV64" s="135"/>
      <c r="EW64" s="135"/>
      <c r="EX64" s="135"/>
      <c r="EY64" s="135"/>
      <c r="EZ64" s="135"/>
      <c r="FA64" s="135"/>
      <c r="FB64" s="135"/>
    </row>
    <row r="65" spans="1:159">
      <c r="A65" s="1001"/>
    </row>
    <row r="66" spans="1:159" ht="12.75" customHeight="1">
      <c r="A66" s="981" t="s">
        <v>2631</v>
      </c>
      <c r="B66" s="982" t="s">
        <v>2611</v>
      </c>
      <c r="C66" s="982" t="s">
        <v>2611</v>
      </c>
      <c r="D66" s="983"/>
      <c r="E66" s="983"/>
      <c r="F66" s="983"/>
      <c r="G66" s="983"/>
      <c r="H66" s="983"/>
      <c r="I66" s="983"/>
      <c r="J66" s="983"/>
      <c r="K66" s="983"/>
      <c r="L66" s="983"/>
      <c r="M66" s="983"/>
      <c r="N66" s="983"/>
      <c r="O66" s="983"/>
      <c r="P66" s="983"/>
      <c r="Q66" s="983"/>
      <c r="R66" s="983"/>
      <c r="S66" s="983"/>
      <c r="T66" s="983"/>
      <c r="U66" s="983"/>
      <c r="V66" s="983"/>
      <c r="W66" s="983"/>
      <c r="X66" s="983"/>
      <c r="Y66" s="983"/>
      <c r="Z66" s="983"/>
      <c r="AA66" s="983"/>
      <c r="AB66" s="983"/>
      <c r="AC66" s="983"/>
      <c r="AD66" s="983"/>
      <c r="AE66" s="983"/>
      <c r="AF66" s="983"/>
      <c r="AG66" s="983"/>
      <c r="AH66" s="983"/>
      <c r="AI66" s="983"/>
      <c r="AJ66" s="983"/>
      <c r="AK66" s="983"/>
      <c r="AL66" s="983"/>
      <c r="AM66" s="983"/>
      <c r="AN66" s="983"/>
      <c r="AO66" s="983"/>
      <c r="AP66" s="983"/>
      <c r="AQ66" s="983"/>
      <c r="AR66" s="983"/>
      <c r="AS66" s="983"/>
      <c r="AT66" s="983"/>
      <c r="AU66" s="983"/>
      <c r="AV66" s="983"/>
      <c r="AW66" s="983"/>
      <c r="AX66" s="983"/>
      <c r="AY66" s="983"/>
      <c r="AZ66" s="983"/>
      <c r="BA66" s="984"/>
      <c r="BB66" s="984"/>
      <c r="BC66" s="984"/>
      <c r="BD66" s="984"/>
      <c r="BE66" s="984"/>
      <c r="BF66" s="984"/>
      <c r="BG66" s="984"/>
      <c r="BH66" s="984"/>
      <c r="BI66" s="984"/>
      <c r="BJ66" s="984"/>
      <c r="BK66" s="984"/>
      <c r="BL66" s="984"/>
      <c r="BM66" s="984"/>
      <c r="BN66" s="984"/>
      <c r="BO66" s="984"/>
      <c r="BP66" s="984"/>
      <c r="BQ66" s="984"/>
      <c r="BR66" s="984"/>
      <c r="BS66" s="984"/>
      <c r="BT66" s="984"/>
      <c r="BU66" s="984"/>
      <c r="BV66" s="984"/>
      <c r="BW66" s="984"/>
      <c r="BX66" s="984"/>
      <c r="BY66" s="984"/>
      <c r="BZ66" s="984"/>
      <c r="CA66" s="984"/>
      <c r="CB66" s="984"/>
      <c r="CC66" s="984"/>
      <c r="CD66" s="984"/>
      <c r="CE66" s="984"/>
      <c r="CF66" s="984"/>
      <c r="CG66" s="984"/>
      <c r="CH66" s="984"/>
      <c r="CI66" s="984"/>
      <c r="CJ66" s="984"/>
      <c r="CK66" s="984"/>
      <c r="CL66" s="984"/>
      <c r="CM66" s="984"/>
      <c r="CN66" s="984"/>
      <c r="CO66" s="984"/>
      <c r="CP66" s="984"/>
      <c r="CQ66" s="984"/>
      <c r="CR66" s="984"/>
      <c r="CS66" s="984"/>
      <c r="CT66" s="984"/>
      <c r="CU66" s="984"/>
      <c r="CV66" s="984"/>
      <c r="CW66" s="984"/>
      <c r="CX66" s="984"/>
      <c r="CY66" s="984"/>
      <c r="CZ66" s="984"/>
      <c r="DA66" s="984"/>
      <c r="DB66" s="984"/>
      <c r="DC66" s="984"/>
      <c r="DD66" s="984"/>
      <c r="DE66" s="984"/>
      <c r="DF66" s="984"/>
      <c r="DG66" s="984"/>
      <c r="DH66" s="984"/>
      <c r="DI66" s="984"/>
      <c r="DJ66" s="984"/>
      <c r="DK66" s="984"/>
      <c r="DL66" s="984"/>
      <c r="DM66" s="984"/>
      <c r="DN66" s="984"/>
      <c r="DO66" s="984"/>
      <c r="DP66" s="984"/>
      <c r="DQ66" s="984"/>
      <c r="DR66" s="984"/>
      <c r="DS66" s="984"/>
      <c r="DT66" s="984"/>
      <c r="DU66" s="984"/>
      <c r="DV66" s="984"/>
      <c r="DW66" s="984"/>
      <c r="DX66" s="981"/>
      <c r="DY66" s="981"/>
      <c r="DZ66" s="981"/>
      <c r="EA66" s="981"/>
      <c r="EB66" s="981"/>
      <c r="EC66" s="981"/>
      <c r="ED66" s="981"/>
      <c r="EE66" s="981"/>
      <c r="EF66" s="981"/>
      <c r="EG66" s="981"/>
      <c r="EH66" s="981"/>
      <c r="EI66" s="981"/>
      <c r="EJ66" s="981"/>
      <c r="EK66" s="981"/>
      <c r="EL66" s="981"/>
      <c r="EM66" s="981"/>
      <c r="EN66" s="981"/>
      <c r="EO66" s="981"/>
      <c r="EP66" s="981"/>
      <c r="EQ66" s="981"/>
      <c r="ER66" s="981"/>
      <c r="ES66" s="981"/>
      <c r="ET66" s="981"/>
      <c r="EU66" s="981"/>
      <c r="EV66" s="981"/>
      <c r="EW66" s="981"/>
      <c r="EX66" s="981"/>
      <c r="EY66" s="981"/>
      <c r="EZ66" s="981"/>
      <c r="FA66" s="981"/>
      <c r="FB66" s="981"/>
    </row>
    <row r="67" spans="1:159" ht="12.75" customHeight="1">
      <c r="A67" s="1002" t="s">
        <v>2627</v>
      </c>
      <c r="DC67" s="291">
        <v>-148132</v>
      </c>
      <c r="DD67" s="291">
        <v>-259413</v>
      </c>
      <c r="DE67" s="291">
        <v>-216793</v>
      </c>
      <c r="DF67" s="291">
        <v>-7586</v>
      </c>
      <c r="DG67" s="291">
        <v>-119764</v>
      </c>
      <c r="DH67" s="291">
        <v>-174835</v>
      </c>
      <c r="DI67" s="419">
        <v>-119764</v>
      </c>
      <c r="DJ67" s="419">
        <v>-119764</v>
      </c>
      <c r="DK67" s="419">
        <v>-237165</v>
      </c>
      <c r="DL67" s="419">
        <v>-395217</v>
      </c>
      <c r="DM67" s="419">
        <v>-466508</v>
      </c>
      <c r="DN67" s="419">
        <v>-508998</v>
      </c>
      <c r="DO67" s="419">
        <v>-517878</v>
      </c>
      <c r="DP67" s="419">
        <v>-505985</v>
      </c>
      <c r="DQ67" s="419">
        <v>-489780</v>
      </c>
      <c r="DR67" s="419">
        <v>-519278</v>
      </c>
      <c r="DS67" s="419">
        <v>0</v>
      </c>
      <c r="DT67" s="419">
        <v>0</v>
      </c>
      <c r="DU67" s="419">
        <v>0</v>
      </c>
      <c r="DV67" s="419">
        <v>-280180</v>
      </c>
      <c r="DW67" s="419">
        <v>-459211</v>
      </c>
      <c r="DX67" s="327">
        <v>-484349</v>
      </c>
      <c r="DY67" s="327">
        <v>-616565</v>
      </c>
      <c r="DZ67" s="327">
        <v>-651473</v>
      </c>
      <c r="EA67" s="327">
        <v>-688199</v>
      </c>
      <c r="EB67" s="327">
        <v>-636298</v>
      </c>
      <c r="EC67" s="327">
        <v>-473631</v>
      </c>
      <c r="ED67" s="327">
        <v>-115872</v>
      </c>
      <c r="EE67" s="327">
        <v>0</v>
      </c>
      <c r="EF67" s="327">
        <v>0</v>
      </c>
      <c r="EG67" s="327">
        <v>0</v>
      </c>
      <c r="EH67" s="327">
        <v>0</v>
      </c>
      <c r="EI67" s="327">
        <v>-8166</v>
      </c>
      <c r="EJ67" s="327">
        <v>-53038</v>
      </c>
      <c r="EK67" s="327">
        <v>-83304</v>
      </c>
      <c r="EL67" s="327">
        <v>-133213</v>
      </c>
      <c r="EM67" s="327">
        <v>-129123</v>
      </c>
      <c r="EN67" s="327">
        <v>-168064</v>
      </c>
      <c r="EO67" s="327">
        <v>-138930</v>
      </c>
      <c r="EP67" s="327">
        <v>-61927</v>
      </c>
      <c r="EQ67" s="327">
        <v>0</v>
      </c>
      <c r="ER67" s="327">
        <v>0</v>
      </c>
      <c r="ES67" s="327">
        <v>0</v>
      </c>
      <c r="ET67" s="327">
        <v>0</v>
      </c>
      <c r="EU67" s="327">
        <v>-19463</v>
      </c>
      <c r="EV67" s="327">
        <v>-85175</v>
      </c>
      <c r="EW67" s="327">
        <v>-129179</v>
      </c>
      <c r="EX67" s="327">
        <v>-152449</v>
      </c>
      <c r="EY67" s="327">
        <v>-153110</v>
      </c>
      <c r="EZ67" s="994">
        <f>(VLOOKUP("4074071",'Input IS ACCTS'!$A$6:GO$513,109,FALSE))+(VLOOKUP("4074072",'Input IS ACCTS'!$A$6:GO$513,109,FALSE))</f>
        <v>-135564</v>
      </c>
      <c r="FA67" s="994">
        <f>(VLOOKUP("4074071",'Input IS ACCTS'!$A$6:GP$513,110,FALSE))+(VLOOKUP("4074072",'Input IS ACCTS'!$A$6:GP$513,110,FALSE))</f>
        <v>-126151</v>
      </c>
      <c r="FB67" s="994">
        <f>(VLOOKUP("4074071",'Input IS ACCTS'!$A$6:GQ$513,111,FALSE))+(VLOOKUP("4074072",'Input IS ACCTS'!$A$6:GQ$513,111,FALSE))</f>
        <v>-71532</v>
      </c>
    </row>
    <row r="68" spans="1:159" ht="12.75" customHeight="1">
      <c r="A68" s="992" t="s">
        <v>2629</v>
      </c>
      <c r="DC68" s="291">
        <v>-715195.42</v>
      </c>
      <c r="DD68" s="291">
        <v>-656823.29</v>
      </c>
      <c r="DE68" s="291">
        <v>-727483.33</v>
      </c>
      <c r="DF68" s="291">
        <v>-987445.96</v>
      </c>
      <c r="DG68" s="291">
        <v>-1198922.3799999999</v>
      </c>
      <c r="DH68" s="291">
        <v>-1206056.68</v>
      </c>
      <c r="DI68" s="419">
        <v>-1002030.98</v>
      </c>
      <c r="DJ68" s="419">
        <v>-928291.85</v>
      </c>
      <c r="DK68" s="419">
        <v>-834210.52</v>
      </c>
      <c r="DL68" s="419">
        <v>-715446.95</v>
      </c>
      <c r="DM68" s="419">
        <v>-678948.45</v>
      </c>
      <c r="DN68" s="419">
        <v>-672993.03</v>
      </c>
      <c r="DO68" s="419">
        <v>-690986.28</v>
      </c>
      <c r="DP68" s="419">
        <v>-689084.13</v>
      </c>
      <c r="DQ68" s="419">
        <v>-775406.97</v>
      </c>
      <c r="DR68" s="419">
        <v>-1058406.8500000001</v>
      </c>
      <c r="DS68" s="419">
        <v>-2113054.27</v>
      </c>
      <c r="DT68" s="419">
        <v>-2057696.28</v>
      </c>
      <c r="DU68" s="419">
        <v>-1918402.13</v>
      </c>
      <c r="DV68" s="419">
        <v>-1444361.54</v>
      </c>
      <c r="DW68" s="419">
        <v>-1285441.3799999999</v>
      </c>
      <c r="DX68" s="327">
        <v>-1282825.82</v>
      </c>
      <c r="DY68" s="327">
        <v>-1174816.1299999999</v>
      </c>
      <c r="DZ68" s="327">
        <v>-1166827.43</v>
      </c>
      <c r="EA68" s="327">
        <v>-1155548.96</v>
      </c>
      <c r="EB68" s="327">
        <v>-1233487.53</v>
      </c>
      <c r="EC68" s="327">
        <v>-1427128.08</v>
      </c>
      <c r="ED68" s="327">
        <v>-1822781.85</v>
      </c>
      <c r="EE68" s="327">
        <v>-629572.49</v>
      </c>
      <c r="EF68" s="327">
        <v>-575422.13</v>
      </c>
      <c r="EG68" s="327">
        <v>-493924.82</v>
      </c>
      <c r="EH68" s="327">
        <v>-482308.89</v>
      </c>
      <c r="EI68" s="327">
        <v>-400065.18</v>
      </c>
      <c r="EJ68" s="327">
        <v>-371791.02</v>
      </c>
      <c r="EK68" s="327">
        <v>-360971.6</v>
      </c>
      <c r="EL68" s="327">
        <v>-325641.36</v>
      </c>
      <c r="EM68" s="327">
        <v>-347568.34</v>
      </c>
      <c r="EN68" s="327">
        <v>-339857.04</v>
      </c>
      <c r="EO68" s="327">
        <v>-392179.59</v>
      </c>
      <c r="EP68" s="327">
        <v>-512979.14</v>
      </c>
      <c r="EQ68" s="327">
        <v>-543375.56000000006</v>
      </c>
      <c r="ER68" s="327">
        <v>-586569.39</v>
      </c>
      <c r="ES68" s="327">
        <v>-503055.91</v>
      </c>
      <c r="ET68" s="327">
        <v>-451733.47</v>
      </c>
      <c r="EU68" s="327">
        <v>-418513.73</v>
      </c>
      <c r="EV68" s="327">
        <v>-363653.61</v>
      </c>
      <c r="EW68" s="327">
        <v>-333372.26</v>
      </c>
      <c r="EX68" s="327">
        <v>-321216.96000000002</v>
      </c>
      <c r="EY68" s="327">
        <v>-334017.89</v>
      </c>
      <c r="EZ68" s="994">
        <f>(VLOOKUP("4950271",'Input IS ACCTS'!$A$6:GO$513,109,FALSE))</f>
        <v>-365550.1</v>
      </c>
      <c r="FA68" s="994">
        <f>(VLOOKUP("4950271",'Input IS ACCTS'!$A$6:GP$513,110,FALSE))</f>
        <v>-389787.47</v>
      </c>
      <c r="FB68" s="994">
        <f>(VLOOKUP("4950271",'Input IS ACCTS'!$A$6:GQ$513,111,FALSE))</f>
        <v>-467159.65</v>
      </c>
    </row>
    <row r="69" spans="1:159" ht="12.75" customHeight="1">
      <c r="A69" s="992"/>
      <c r="DC69" s="291"/>
      <c r="DD69" s="291"/>
      <c r="DE69" s="291"/>
      <c r="DF69" s="291"/>
      <c r="DG69" s="291"/>
      <c r="DH69" s="291"/>
      <c r="DI69" s="419"/>
      <c r="DJ69" s="419"/>
      <c r="DK69" s="419"/>
      <c r="DL69" s="419"/>
      <c r="DM69" s="419"/>
      <c r="DN69" s="419"/>
      <c r="DO69" s="419"/>
      <c r="DP69" s="419"/>
      <c r="DQ69" s="419"/>
      <c r="DR69" s="419"/>
      <c r="DS69" s="419"/>
      <c r="DT69" s="419"/>
      <c r="DU69" s="419"/>
      <c r="DV69" s="419"/>
      <c r="DW69" s="419"/>
      <c r="DX69" s="327"/>
      <c r="DY69" s="327"/>
      <c r="DZ69" s="327"/>
      <c r="EA69" s="327"/>
      <c r="EB69" s="327"/>
      <c r="EC69" s="327"/>
      <c r="ED69" s="327"/>
      <c r="EE69" s="994"/>
      <c r="EF69" s="994"/>
      <c r="EG69" s="994"/>
      <c r="EH69" s="994"/>
      <c r="EI69" s="994"/>
      <c r="EJ69" s="994"/>
      <c r="EK69" s="994"/>
      <c r="EL69" s="994"/>
      <c r="EM69" s="994"/>
      <c r="EN69" s="994"/>
      <c r="EO69" s="994"/>
      <c r="EP69" s="994"/>
      <c r="EQ69" s="994"/>
      <c r="ER69" s="994"/>
      <c r="ES69" s="994"/>
      <c r="ET69" s="994"/>
      <c r="EU69" s="994"/>
      <c r="EV69" s="994"/>
      <c r="EW69" s="994"/>
      <c r="EX69" s="994"/>
      <c r="EY69" s="994"/>
      <c r="EZ69" s="994"/>
      <c r="FA69" s="994"/>
      <c r="FB69" s="994"/>
    </row>
    <row r="70" spans="1:159" ht="12.75" customHeight="1">
      <c r="A70" s="992" t="s">
        <v>2645</v>
      </c>
      <c r="DC70" s="120"/>
      <c r="DD70" s="120"/>
      <c r="DE70" s="120"/>
      <c r="DF70" s="120"/>
      <c r="DG70" s="120"/>
      <c r="DH70" s="120"/>
      <c r="DI70" s="453"/>
      <c r="DJ70" s="453"/>
      <c r="DK70" s="453"/>
      <c r="DL70" s="453"/>
      <c r="DM70" s="453"/>
      <c r="DN70" s="453"/>
      <c r="DO70" s="453">
        <f t="shared" ref="DO70:DX71" si="162">SUM(DD67:DO67)</f>
        <v>-3143685</v>
      </c>
      <c r="DP70" s="453">
        <f t="shared" si="162"/>
        <v>-3390257</v>
      </c>
      <c r="DQ70" s="453">
        <f t="shared" si="162"/>
        <v>-3663244</v>
      </c>
      <c r="DR70" s="453">
        <f t="shared" si="162"/>
        <v>-4174936</v>
      </c>
      <c r="DS70" s="453">
        <f t="shared" si="162"/>
        <v>-4055172</v>
      </c>
      <c r="DT70" s="453">
        <f t="shared" si="162"/>
        <v>-3880337</v>
      </c>
      <c r="DU70" s="453">
        <f t="shared" si="162"/>
        <v>-3760573</v>
      </c>
      <c r="DV70" s="453">
        <f t="shared" si="162"/>
        <v>-3920989</v>
      </c>
      <c r="DW70" s="453">
        <f t="shared" si="162"/>
        <v>-4143035</v>
      </c>
      <c r="DX70" s="116">
        <f t="shared" si="162"/>
        <v>-4232167</v>
      </c>
      <c r="DY70" s="116">
        <f t="shared" ref="DY70:EJ71" si="163">SUM(DN67:DY67)</f>
        <v>-4382224</v>
      </c>
      <c r="DZ70" s="116">
        <f t="shared" si="163"/>
        <v>-4524699</v>
      </c>
      <c r="EA70" s="116">
        <f t="shared" si="163"/>
        <v>-4695020</v>
      </c>
      <c r="EB70" s="116">
        <f t="shared" si="163"/>
        <v>-4825333</v>
      </c>
      <c r="EC70" s="116">
        <f t="shared" si="163"/>
        <v>-4809184</v>
      </c>
      <c r="ED70" s="116">
        <f t="shared" si="163"/>
        <v>-4405778</v>
      </c>
      <c r="EE70" s="116">
        <f t="shared" si="163"/>
        <v>-4405778</v>
      </c>
      <c r="EF70" s="116">
        <f t="shared" si="163"/>
        <v>-4405778</v>
      </c>
      <c r="EG70" s="116">
        <f t="shared" si="163"/>
        <v>-4405778</v>
      </c>
      <c r="EH70" s="116">
        <f t="shared" si="163"/>
        <v>-4125598</v>
      </c>
      <c r="EI70" s="116">
        <f t="shared" si="163"/>
        <v>-3674553</v>
      </c>
      <c r="EJ70" s="116">
        <f t="shared" si="163"/>
        <v>-3243242</v>
      </c>
      <c r="EK70" s="116">
        <f t="shared" ref="EK70:EM71" si="164">SUM(DZ67:EK67)</f>
        <v>-2709981</v>
      </c>
      <c r="EL70" s="116">
        <f t="shared" si="164"/>
        <v>-2191721</v>
      </c>
      <c r="EM70" s="116">
        <f t="shared" si="164"/>
        <v>-1632645</v>
      </c>
      <c r="EN70" s="116">
        <f t="shared" ref="EN70:EY71" si="165">SUM(EC67:EN67)</f>
        <v>-1164411</v>
      </c>
      <c r="EO70" s="116">
        <f>SUM(ED67:EO67)</f>
        <v>-829710</v>
      </c>
      <c r="EP70" s="116">
        <f t="shared" si="165"/>
        <v>-775765</v>
      </c>
      <c r="EQ70" s="116">
        <f t="shared" si="165"/>
        <v>-775765</v>
      </c>
      <c r="ER70" s="116">
        <f t="shared" si="165"/>
        <v>-775765</v>
      </c>
      <c r="ES70" s="116">
        <f t="shared" si="165"/>
        <v>-775765</v>
      </c>
      <c r="ET70" s="116">
        <f t="shared" si="165"/>
        <v>-775765</v>
      </c>
      <c r="EU70" s="116">
        <f t="shared" si="165"/>
        <v>-787062</v>
      </c>
      <c r="EV70" s="116">
        <f t="shared" si="165"/>
        <v>-819199</v>
      </c>
      <c r="EW70" s="116">
        <f t="shared" si="165"/>
        <v>-865074</v>
      </c>
      <c r="EX70" s="116">
        <f t="shared" si="165"/>
        <v>-884310</v>
      </c>
      <c r="EY70" s="116">
        <f t="shared" si="165"/>
        <v>-908297</v>
      </c>
      <c r="EZ70" s="116">
        <f t="shared" ref="EZ70:EZ71" si="166">SUM(EO67:EZ67)</f>
        <v>-875797</v>
      </c>
      <c r="FA70" s="116">
        <f t="shared" ref="FA70:FA71" si="167">SUM(EP67:FA67)</f>
        <v>-863018</v>
      </c>
      <c r="FB70" s="116">
        <f t="shared" ref="FB70:FB71" si="168">SUM(EQ67:FB67)</f>
        <v>-872623</v>
      </c>
    </row>
    <row r="71" spans="1:159" ht="12.75" customHeight="1">
      <c r="A71" s="992" t="s">
        <v>2646</v>
      </c>
      <c r="DC71" s="120"/>
      <c r="DD71" s="120"/>
      <c r="DE71" s="120"/>
      <c r="DF71" s="120"/>
      <c r="DG71" s="120"/>
      <c r="DH71" s="120"/>
      <c r="DI71" s="453"/>
      <c r="DJ71" s="453"/>
      <c r="DK71" s="453"/>
      <c r="DL71" s="453"/>
      <c r="DM71" s="453"/>
      <c r="DN71" s="453"/>
      <c r="DO71" s="453">
        <f t="shared" si="162"/>
        <v>-10299639.699999997</v>
      </c>
      <c r="DP71" s="453">
        <f t="shared" si="162"/>
        <v>-10331900.539999999</v>
      </c>
      <c r="DQ71" s="453">
        <f t="shared" si="162"/>
        <v>-10379824.180000002</v>
      </c>
      <c r="DR71" s="453">
        <f t="shared" si="162"/>
        <v>-10450785.070000002</v>
      </c>
      <c r="DS71" s="453">
        <f t="shared" si="162"/>
        <v>-11364916.960000001</v>
      </c>
      <c r="DT71" s="453">
        <f t="shared" si="162"/>
        <v>-12216556.559999999</v>
      </c>
      <c r="DU71" s="453">
        <f t="shared" si="162"/>
        <v>-13132927.710000001</v>
      </c>
      <c r="DV71" s="806">
        <f t="shared" si="162"/>
        <v>-13648997.399999999</v>
      </c>
      <c r="DW71" s="806">
        <f t="shared" si="162"/>
        <v>-14100228.259999998</v>
      </c>
      <c r="DX71" s="1003">
        <f t="shared" si="162"/>
        <v>-14667607.129999999</v>
      </c>
      <c r="DY71" s="1003">
        <f t="shared" si="163"/>
        <v>-15163474.809999999</v>
      </c>
      <c r="DZ71" s="1003">
        <f t="shared" si="163"/>
        <v>-15657309.209999997</v>
      </c>
      <c r="EA71" s="1003">
        <f t="shared" si="163"/>
        <v>-16121871.890000001</v>
      </c>
      <c r="EB71" s="1003">
        <f t="shared" si="163"/>
        <v>-16666275.289999997</v>
      </c>
      <c r="EC71" s="1003">
        <f t="shared" si="163"/>
        <v>-17317996.399999999</v>
      </c>
      <c r="ED71" s="1003">
        <f t="shared" si="163"/>
        <v>-18082371.400000002</v>
      </c>
      <c r="EE71" s="1003">
        <f t="shared" si="163"/>
        <v>-16598889.620000001</v>
      </c>
      <c r="EF71" s="1003">
        <f t="shared" si="163"/>
        <v>-15116615.470000001</v>
      </c>
      <c r="EG71" s="1003">
        <f t="shared" si="163"/>
        <v>-13692138.16</v>
      </c>
      <c r="EH71" s="1003">
        <f t="shared" si="163"/>
        <v>-12730085.510000002</v>
      </c>
      <c r="EI71" s="1003">
        <f t="shared" si="163"/>
        <v>-11844709.310000002</v>
      </c>
      <c r="EJ71" s="1003">
        <f t="shared" si="163"/>
        <v>-10933674.510000002</v>
      </c>
      <c r="EK71" s="1003">
        <f t="shared" si="164"/>
        <v>-10119829.979999999</v>
      </c>
      <c r="EL71" s="1003">
        <f t="shared" si="164"/>
        <v>-9278643.9099999983</v>
      </c>
      <c r="EM71" s="1003">
        <f t="shared" si="164"/>
        <v>-8470663.290000001</v>
      </c>
      <c r="EN71" s="1003">
        <f t="shared" si="165"/>
        <v>-7577032.7999999989</v>
      </c>
      <c r="EO71" s="1003">
        <f t="shared" si="165"/>
        <v>-6542084.3099999987</v>
      </c>
      <c r="EP71" s="1003">
        <f t="shared" si="165"/>
        <v>-5232281.5999999996</v>
      </c>
      <c r="EQ71" s="1003">
        <f t="shared" si="165"/>
        <v>-5146084.67</v>
      </c>
      <c r="ER71" s="1003">
        <f t="shared" si="165"/>
        <v>-5157231.9299999988</v>
      </c>
      <c r="ES71" s="1003">
        <f t="shared" si="165"/>
        <v>-5166363.0199999996</v>
      </c>
      <c r="ET71" s="1003">
        <f t="shared" si="165"/>
        <v>-5135787.5999999996</v>
      </c>
      <c r="EU71" s="1003">
        <f t="shared" si="165"/>
        <v>-5154236.1500000004</v>
      </c>
      <c r="EV71" s="1003">
        <f t="shared" si="165"/>
        <v>-5146098.7400000012</v>
      </c>
      <c r="EW71" s="1003">
        <f t="shared" si="165"/>
        <v>-5118499.4000000013</v>
      </c>
      <c r="EX71" s="1003">
        <f t="shared" si="165"/>
        <v>-5114075</v>
      </c>
      <c r="EY71" s="1003">
        <f t="shared" si="165"/>
        <v>-5100524.55</v>
      </c>
      <c r="EZ71" s="1003">
        <f t="shared" si="166"/>
        <v>-5126217.6099999994</v>
      </c>
      <c r="FA71" s="1003">
        <f t="shared" si="167"/>
        <v>-5123825.4899999993</v>
      </c>
      <c r="FB71" s="1003">
        <f t="shared" si="168"/>
        <v>-5078006</v>
      </c>
    </row>
    <row r="72" spans="1:159" ht="12.75" customHeight="1">
      <c r="A72" s="992" t="s">
        <v>2647</v>
      </c>
      <c r="DC72" s="120"/>
      <c r="DD72" s="120"/>
      <c r="DE72" s="120"/>
      <c r="DF72" s="120"/>
      <c r="DG72" s="120"/>
      <c r="DH72" s="120"/>
      <c r="DI72" s="453"/>
      <c r="DJ72" s="453"/>
      <c r="DK72" s="453"/>
      <c r="DL72" s="453"/>
      <c r="DM72" s="453"/>
      <c r="DN72" s="453"/>
      <c r="DO72" s="453"/>
      <c r="DP72" s="453"/>
      <c r="DQ72" s="453"/>
      <c r="DR72" s="453"/>
      <c r="DS72" s="453"/>
      <c r="DT72" s="453"/>
      <c r="DU72" s="453"/>
      <c r="DV72" s="453">
        <f t="shared" ref="DV72:EA72" si="169">+DV70+DV71</f>
        <v>-17569986.399999999</v>
      </c>
      <c r="DW72" s="453">
        <f t="shared" si="169"/>
        <v>-18243263.259999998</v>
      </c>
      <c r="DX72" s="116">
        <f t="shared" si="169"/>
        <v>-18899774.129999999</v>
      </c>
      <c r="DY72" s="116">
        <f t="shared" si="169"/>
        <v>-19545698.809999999</v>
      </c>
      <c r="DZ72" s="116">
        <f t="shared" si="169"/>
        <v>-20182008.209999997</v>
      </c>
      <c r="EA72" s="116">
        <f t="shared" si="169"/>
        <v>-20816891.890000001</v>
      </c>
      <c r="EB72" s="116">
        <f t="shared" ref="EB72:EG72" si="170">+EB70+EB71</f>
        <v>-21491608.289999999</v>
      </c>
      <c r="EC72" s="116">
        <f t="shared" si="170"/>
        <v>-22127180.399999999</v>
      </c>
      <c r="ED72" s="116">
        <f t="shared" si="170"/>
        <v>-22488149.400000002</v>
      </c>
      <c r="EE72" s="116">
        <f t="shared" si="170"/>
        <v>-21004667.620000001</v>
      </c>
      <c r="EF72" s="116">
        <f t="shared" si="170"/>
        <v>-19522393.469999999</v>
      </c>
      <c r="EG72" s="116">
        <f t="shared" si="170"/>
        <v>-18097916.16</v>
      </c>
      <c r="EH72" s="116">
        <f t="shared" ref="EH72:EM72" si="171">+EH70+EH71</f>
        <v>-16855683.510000002</v>
      </c>
      <c r="EI72" s="116">
        <f t="shared" si="171"/>
        <v>-15519262.310000002</v>
      </c>
      <c r="EJ72" s="116">
        <f t="shared" si="171"/>
        <v>-14176916.510000002</v>
      </c>
      <c r="EK72" s="116">
        <f t="shared" si="171"/>
        <v>-12829810.979999999</v>
      </c>
      <c r="EL72" s="116">
        <f t="shared" si="171"/>
        <v>-11470364.909999998</v>
      </c>
      <c r="EM72" s="116">
        <f t="shared" si="171"/>
        <v>-10103308.290000001</v>
      </c>
      <c r="EN72" s="116">
        <f t="shared" ref="EN72:ES72" si="172">+EN70+EN71</f>
        <v>-8741443.7999999989</v>
      </c>
      <c r="EO72" s="116">
        <f t="shared" si="172"/>
        <v>-7371794.3099999987</v>
      </c>
      <c r="EP72" s="116">
        <f t="shared" si="172"/>
        <v>-6008046.5999999996</v>
      </c>
      <c r="EQ72" s="116">
        <f t="shared" si="172"/>
        <v>-5921849.6699999999</v>
      </c>
      <c r="ER72" s="116">
        <f t="shared" si="172"/>
        <v>-5932996.9299999988</v>
      </c>
      <c r="ES72" s="116">
        <f t="shared" si="172"/>
        <v>-5942128.0199999996</v>
      </c>
      <c r="ET72" s="116">
        <f t="shared" ref="ET72:EV72" si="173">+ET70+ET71</f>
        <v>-5911552.5999999996</v>
      </c>
      <c r="EU72" s="116">
        <f t="shared" si="173"/>
        <v>-5941298.1500000004</v>
      </c>
      <c r="EV72" s="116">
        <f t="shared" si="173"/>
        <v>-5965297.7400000012</v>
      </c>
      <c r="EW72" s="116">
        <f t="shared" ref="EW72:EY72" si="174">+EW70+EW71</f>
        <v>-5983573.4000000013</v>
      </c>
      <c r="EX72" s="116">
        <f t="shared" si="174"/>
        <v>-5998385</v>
      </c>
      <c r="EY72" s="116">
        <f t="shared" si="174"/>
        <v>-6008821.5499999998</v>
      </c>
      <c r="EZ72" s="116">
        <f t="shared" ref="EZ72:FB72" si="175">+EZ70+EZ71</f>
        <v>-6002014.6099999994</v>
      </c>
      <c r="FA72" s="116">
        <f t="shared" si="175"/>
        <v>-5986843.4899999993</v>
      </c>
      <c r="FB72" s="116">
        <f t="shared" si="175"/>
        <v>-5950629</v>
      </c>
    </row>
    <row r="73" spans="1:159" ht="12.75" customHeight="1">
      <c r="A73" s="1002"/>
      <c r="DC73" s="291"/>
      <c r="DD73" s="291"/>
      <c r="DE73" s="291"/>
      <c r="DF73" s="291"/>
      <c r="DG73" s="291"/>
      <c r="DH73" s="291"/>
      <c r="DI73" s="419"/>
      <c r="DJ73" s="419"/>
      <c r="DK73" s="419"/>
      <c r="DL73" s="419"/>
      <c r="DM73" s="419"/>
      <c r="DN73" s="419"/>
      <c r="DO73" s="419"/>
      <c r="DP73" s="419"/>
      <c r="DQ73" s="419"/>
      <c r="DR73" s="419"/>
      <c r="DS73" s="419"/>
      <c r="DT73" s="419"/>
      <c r="DU73" s="419"/>
      <c r="DV73" s="419"/>
      <c r="DW73" s="419"/>
      <c r="DX73" s="327"/>
      <c r="DY73" s="327"/>
      <c r="DZ73" s="327"/>
      <c r="EA73" s="327"/>
      <c r="EB73" s="327"/>
      <c r="EC73" s="327"/>
      <c r="ED73" s="327"/>
      <c r="EE73" s="994"/>
      <c r="EF73" s="994"/>
      <c r="EG73" s="994"/>
      <c r="EH73" s="994"/>
      <c r="EI73" s="994"/>
      <c r="EJ73" s="994"/>
      <c r="EK73" s="994"/>
      <c r="EL73" s="994"/>
      <c r="EM73" s="994"/>
      <c r="EN73" s="994"/>
      <c r="EO73" s="994"/>
      <c r="EP73" s="994"/>
      <c r="EQ73" s="994"/>
      <c r="ER73" s="994"/>
      <c r="ES73" s="994"/>
      <c r="ET73" s="994"/>
      <c r="EU73" s="994"/>
      <c r="EV73" s="994"/>
      <c r="EW73" s="994"/>
      <c r="EX73" s="994"/>
      <c r="EY73" s="994"/>
      <c r="EZ73" s="994"/>
      <c r="FA73" s="994"/>
      <c r="FB73" s="994"/>
    </row>
    <row r="74" spans="1:159" ht="12.75" customHeight="1">
      <c r="A74" s="1002" t="s">
        <v>2628</v>
      </c>
      <c r="DC74" s="291">
        <v>39660</v>
      </c>
      <c r="DD74" s="291">
        <v>39660</v>
      </c>
      <c r="DE74" s="291">
        <v>39660</v>
      </c>
      <c r="DF74" s="291">
        <v>46049</v>
      </c>
      <c r="DG74" s="291">
        <v>367155</v>
      </c>
      <c r="DH74" s="291">
        <v>291525</v>
      </c>
      <c r="DI74" s="419">
        <v>104259</v>
      </c>
      <c r="DJ74" s="419">
        <v>2319</v>
      </c>
      <c r="DK74" s="419">
        <v>153</v>
      </c>
      <c r="DL74" s="419">
        <v>0</v>
      </c>
      <c r="DM74" s="419">
        <v>0</v>
      </c>
      <c r="DN74" s="419">
        <v>0</v>
      </c>
      <c r="DO74" s="419">
        <v>0</v>
      </c>
      <c r="DP74" s="419">
        <v>24577</v>
      </c>
      <c r="DQ74" s="419">
        <v>0</v>
      </c>
      <c r="DR74" s="419">
        <v>-83264</v>
      </c>
      <c r="DS74" s="419">
        <v>638589</v>
      </c>
      <c r="DT74" s="419">
        <v>565830</v>
      </c>
      <c r="DU74" s="419">
        <v>402609</v>
      </c>
      <c r="DV74" s="419">
        <v>179433</v>
      </c>
      <c r="DW74" s="419">
        <v>179433</v>
      </c>
      <c r="DX74" s="327">
        <v>179433</v>
      </c>
      <c r="DY74" s="327">
        <v>179433</v>
      </c>
      <c r="DZ74" s="327">
        <v>179433</v>
      </c>
      <c r="EA74" s="327">
        <v>179433</v>
      </c>
      <c r="EB74" s="327">
        <v>179433</v>
      </c>
      <c r="EC74" s="327">
        <v>179433</v>
      </c>
      <c r="ED74" s="327">
        <v>179433</v>
      </c>
      <c r="EE74" s="327">
        <v>653716</v>
      </c>
      <c r="EF74" s="327">
        <v>570127</v>
      </c>
      <c r="EG74" s="327">
        <v>462370</v>
      </c>
      <c r="EH74" s="327">
        <v>425087</v>
      </c>
      <c r="EI74" s="327">
        <v>335362</v>
      </c>
      <c r="EJ74" s="327">
        <v>335362</v>
      </c>
      <c r="EK74" s="327">
        <v>335362</v>
      </c>
      <c r="EL74" s="327">
        <v>335362</v>
      </c>
      <c r="EM74" s="327">
        <v>336185</v>
      </c>
      <c r="EN74" s="327">
        <v>335362</v>
      </c>
      <c r="EO74" s="327">
        <v>335362</v>
      </c>
      <c r="EP74" s="327">
        <v>335359</v>
      </c>
      <c r="EQ74" s="327">
        <v>204741</v>
      </c>
      <c r="ER74" s="327">
        <v>227406</v>
      </c>
      <c r="ES74" s="327">
        <v>127070</v>
      </c>
      <c r="ET74" s="327">
        <v>59571</v>
      </c>
      <c r="EU74" s="327">
        <v>28739</v>
      </c>
      <c r="EV74" s="327">
        <v>28739</v>
      </c>
      <c r="EW74" s="327">
        <v>28739</v>
      </c>
      <c r="EX74" s="327">
        <v>28739</v>
      </c>
      <c r="EY74" s="327">
        <v>28739</v>
      </c>
      <c r="EZ74" s="994">
        <f>(VLOOKUP("4073071",'Input IS ACCTS'!$A$6:GO$513,109,FALSE))+(VLOOKUP("4073072",'Input IS ACCTS'!$A$6:GO$513,109,FALSE))</f>
        <v>28739</v>
      </c>
      <c r="FA74" s="994">
        <f>(VLOOKUP("4073071",'Input IS ACCTS'!$A$6:GP$513,110,FALSE))+(VLOOKUP("4073072",'Input IS ACCTS'!$A$6:GP$513,110,FALSE))</f>
        <v>28739</v>
      </c>
      <c r="FB74" s="994">
        <f>(VLOOKUP("4073071",'Input IS ACCTS'!$A$6:GQ$513,111,FALSE))+(VLOOKUP("4073072",'Input IS ACCTS'!$A$6:GQ$513,111,FALSE))</f>
        <v>28741</v>
      </c>
    </row>
    <row r="75" spans="1:159" ht="12.75" customHeight="1">
      <c r="A75" s="992" t="s">
        <v>2630</v>
      </c>
      <c r="DC75" s="291">
        <v>153193.07</v>
      </c>
      <c r="DD75" s="291">
        <v>154355.09</v>
      </c>
      <c r="DE75" s="291">
        <v>155193.71</v>
      </c>
      <c r="DF75" s="291">
        <v>179736.85</v>
      </c>
      <c r="DG75" s="291">
        <v>123134.96</v>
      </c>
      <c r="DH75" s="291">
        <v>124984.57</v>
      </c>
      <c r="DI75" s="419">
        <v>135319</v>
      </c>
      <c r="DJ75" s="419">
        <v>140386.76</v>
      </c>
      <c r="DK75" s="419">
        <v>142628.81</v>
      </c>
      <c r="DL75" s="419">
        <v>147968.45000000001</v>
      </c>
      <c r="DM75" s="419">
        <v>150503.04000000001</v>
      </c>
      <c r="DN75" s="419">
        <v>157043.65</v>
      </c>
      <c r="DO75" s="419">
        <v>158558.57</v>
      </c>
      <c r="DP75" s="419">
        <v>163523.09</v>
      </c>
      <c r="DQ75" s="419">
        <v>165041.46</v>
      </c>
      <c r="DR75" s="419">
        <v>177485.13</v>
      </c>
      <c r="DS75" s="419">
        <v>181567.07</v>
      </c>
      <c r="DT75" s="419">
        <v>182403.98</v>
      </c>
      <c r="DU75" s="419">
        <v>186206.29</v>
      </c>
      <c r="DV75" s="419">
        <v>197568.45</v>
      </c>
      <c r="DW75" s="419">
        <v>200080.26</v>
      </c>
      <c r="DX75" s="327">
        <v>202622.93</v>
      </c>
      <c r="DY75" s="327">
        <v>203476.94</v>
      </c>
      <c r="DZ75" s="327">
        <v>205236.8</v>
      </c>
      <c r="EA75" s="327">
        <v>211242.97</v>
      </c>
      <c r="EB75" s="327">
        <v>212184.05</v>
      </c>
      <c r="EC75" s="327">
        <v>215449.68</v>
      </c>
      <c r="ED75" s="327">
        <v>221506.58</v>
      </c>
      <c r="EE75" s="327">
        <v>-9971.86</v>
      </c>
      <c r="EF75" s="327">
        <v>-1905.14</v>
      </c>
      <c r="EG75" s="327">
        <v>401.93</v>
      </c>
      <c r="EH75" s="327">
        <v>4034.39</v>
      </c>
      <c r="EI75" s="327">
        <v>5684.58</v>
      </c>
      <c r="EJ75" s="327">
        <v>6508.95</v>
      </c>
      <c r="EK75" s="327">
        <v>7800.93</v>
      </c>
      <c r="EL75" s="327">
        <v>9314.52</v>
      </c>
      <c r="EM75" s="327">
        <v>10174.290000000001</v>
      </c>
      <c r="EN75" s="327">
        <v>12031.25</v>
      </c>
      <c r="EO75" s="327">
        <v>12745.7</v>
      </c>
      <c r="EP75" s="327">
        <v>14393.46</v>
      </c>
      <c r="EQ75" s="327">
        <v>27690.1</v>
      </c>
      <c r="ER75" s="327">
        <v>28350.720000000001</v>
      </c>
      <c r="ES75" s="327">
        <v>30346.71</v>
      </c>
      <c r="ET75" s="327">
        <v>31350.63</v>
      </c>
      <c r="EU75" s="327">
        <v>31738.92</v>
      </c>
      <c r="EV75" s="327">
        <v>33579.47</v>
      </c>
      <c r="EW75" s="327">
        <v>37413.120000000003</v>
      </c>
      <c r="EX75" s="327">
        <v>37695.410000000003</v>
      </c>
      <c r="EY75" s="327">
        <v>38883.26</v>
      </c>
      <c r="EZ75" s="994">
        <f>(VLOOKUP("6810071",'Input IS ACCTS'!$A$6:GO$513,109,FALSE))</f>
        <v>38968.58</v>
      </c>
      <c r="FA75" s="994">
        <f>(VLOOKUP("6810071",'Input IS ACCTS'!$A$6:GP$513,110,FALSE))</f>
        <v>39446.120000000003</v>
      </c>
      <c r="FB75" s="994">
        <f>(VLOOKUP("6810071",'Input IS ACCTS'!$A$6:GQ$513,111,FALSE))</f>
        <v>39895.629999999997</v>
      </c>
    </row>
    <row r="76" spans="1:159" ht="12.75" customHeight="1">
      <c r="A76" s="992"/>
      <c r="DC76" s="291"/>
      <c r="DD76" s="291"/>
      <c r="DE76" s="291"/>
      <c r="DF76" s="291"/>
      <c r="DG76" s="291"/>
      <c r="DH76" s="291"/>
      <c r="DI76" s="419"/>
      <c r="DJ76" s="419"/>
      <c r="DK76" s="419"/>
      <c r="DL76" s="419"/>
      <c r="DM76" s="419"/>
      <c r="DN76" s="419"/>
      <c r="DO76" s="419"/>
      <c r="DP76" s="419"/>
      <c r="DQ76" s="419"/>
      <c r="DR76" s="419"/>
      <c r="DS76" s="419"/>
      <c r="DT76" s="419"/>
      <c r="DU76" s="419"/>
      <c r="DV76" s="419"/>
      <c r="DW76" s="419"/>
      <c r="DX76" s="327"/>
      <c r="DY76" s="327"/>
      <c r="DZ76" s="327"/>
      <c r="EA76" s="327"/>
      <c r="EB76" s="327"/>
      <c r="EC76" s="327"/>
      <c r="ED76" s="327"/>
      <c r="EE76" s="994"/>
      <c r="EF76" s="994"/>
      <c r="EG76" s="994"/>
      <c r="EH76" s="994"/>
      <c r="EI76" s="994"/>
      <c r="EJ76" s="994"/>
      <c r="EK76" s="994"/>
      <c r="EL76" s="994"/>
      <c r="EM76" s="994"/>
      <c r="EN76" s="994"/>
      <c r="EO76" s="994"/>
      <c r="EP76" s="994"/>
      <c r="EQ76" s="994"/>
      <c r="ER76" s="994"/>
      <c r="ES76" s="994"/>
      <c r="ET76" s="994"/>
      <c r="EU76" s="994"/>
      <c r="EV76" s="994"/>
      <c r="EW76" s="994"/>
      <c r="EX76" s="994"/>
      <c r="EY76" s="994"/>
      <c r="EZ76" s="994"/>
      <c r="FA76" s="994"/>
      <c r="FB76" s="994"/>
    </row>
    <row r="77" spans="1:159" ht="12.75" customHeight="1">
      <c r="A77" s="992" t="s">
        <v>2648</v>
      </c>
      <c r="DC77" s="120"/>
      <c r="DD77" s="120"/>
      <c r="DE77" s="120"/>
      <c r="DF77" s="120"/>
      <c r="DG77" s="120"/>
      <c r="DH77" s="120"/>
      <c r="DI77" s="453"/>
      <c r="DJ77" s="453"/>
      <c r="DK77" s="453"/>
      <c r="DL77" s="453"/>
      <c r="DM77" s="453"/>
      <c r="DN77" s="453"/>
      <c r="DO77" s="453">
        <f t="shared" ref="DO77:DX78" si="176">SUM(DD74:DO74)</f>
        <v>890780</v>
      </c>
      <c r="DP77" s="453">
        <f t="shared" si="176"/>
        <v>875697</v>
      </c>
      <c r="DQ77" s="453">
        <f t="shared" si="176"/>
        <v>836037</v>
      </c>
      <c r="DR77" s="453">
        <f t="shared" si="176"/>
        <v>706724</v>
      </c>
      <c r="DS77" s="453">
        <f t="shared" si="176"/>
        <v>978158</v>
      </c>
      <c r="DT77" s="453">
        <f t="shared" si="176"/>
        <v>1252463</v>
      </c>
      <c r="DU77" s="453">
        <f t="shared" si="176"/>
        <v>1550813</v>
      </c>
      <c r="DV77" s="453">
        <f t="shared" si="176"/>
        <v>1727927</v>
      </c>
      <c r="DW77" s="453">
        <f t="shared" si="176"/>
        <v>1907207</v>
      </c>
      <c r="DX77" s="116">
        <f t="shared" si="176"/>
        <v>2086640</v>
      </c>
      <c r="DY77" s="116">
        <f t="shared" ref="DY77:EJ78" si="177">SUM(DN74:DY74)</f>
        <v>2266073</v>
      </c>
      <c r="DZ77" s="116">
        <f t="shared" si="177"/>
        <v>2445506</v>
      </c>
      <c r="EA77" s="116">
        <f t="shared" si="177"/>
        <v>2624939</v>
      </c>
      <c r="EB77" s="116">
        <f t="shared" si="177"/>
        <v>2779795</v>
      </c>
      <c r="EC77" s="116">
        <f t="shared" si="177"/>
        <v>2959228</v>
      </c>
      <c r="ED77" s="116">
        <f t="shared" si="177"/>
        <v>3221925</v>
      </c>
      <c r="EE77" s="116">
        <f t="shared" si="177"/>
        <v>3237052</v>
      </c>
      <c r="EF77" s="116">
        <f t="shared" si="177"/>
        <v>3241349</v>
      </c>
      <c r="EG77" s="116">
        <f t="shared" si="177"/>
        <v>3301110</v>
      </c>
      <c r="EH77" s="116">
        <f t="shared" si="177"/>
        <v>3546764</v>
      </c>
      <c r="EI77" s="116">
        <f t="shared" si="177"/>
        <v>3702693</v>
      </c>
      <c r="EJ77" s="116">
        <f t="shared" si="177"/>
        <v>3858622</v>
      </c>
      <c r="EK77" s="116">
        <f t="shared" ref="EK77:EM78" si="178">SUM(DZ74:EK74)</f>
        <v>4014551</v>
      </c>
      <c r="EL77" s="116">
        <f t="shared" si="178"/>
        <v>4170480</v>
      </c>
      <c r="EM77" s="116">
        <f t="shared" si="178"/>
        <v>4327232</v>
      </c>
      <c r="EN77" s="116">
        <f t="shared" ref="EN77:EY78" si="179">SUM(EC74:EN74)</f>
        <v>4483161</v>
      </c>
      <c r="EO77" s="116">
        <f t="shared" si="179"/>
        <v>4639090</v>
      </c>
      <c r="EP77" s="116">
        <f t="shared" si="179"/>
        <v>4795016</v>
      </c>
      <c r="EQ77" s="116">
        <f t="shared" si="179"/>
        <v>4346041</v>
      </c>
      <c r="ER77" s="116">
        <f t="shared" si="179"/>
        <v>4003320</v>
      </c>
      <c r="ES77" s="116">
        <f t="shared" si="179"/>
        <v>3668020</v>
      </c>
      <c r="ET77" s="116">
        <f t="shared" si="179"/>
        <v>3302504</v>
      </c>
      <c r="EU77" s="116">
        <f t="shared" si="179"/>
        <v>2995881</v>
      </c>
      <c r="EV77" s="116">
        <f t="shared" si="179"/>
        <v>2689258</v>
      </c>
      <c r="EW77" s="116">
        <f t="shared" si="179"/>
        <v>2382635</v>
      </c>
      <c r="EX77" s="116">
        <f t="shared" si="179"/>
        <v>2076012</v>
      </c>
      <c r="EY77" s="116">
        <f t="shared" si="179"/>
        <v>1768566</v>
      </c>
      <c r="EZ77" s="116">
        <f t="shared" ref="EZ77:EZ78" si="180">SUM(EO74:EZ74)</f>
        <v>1461943</v>
      </c>
      <c r="FA77" s="116">
        <f t="shared" ref="FA77:FA78" si="181">SUM(EP74:FA74)</f>
        <v>1155320</v>
      </c>
      <c r="FB77" s="116">
        <f t="shared" ref="FB77:FB78" si="182">SUM(EQ74:FB74)</f>
        <v>848702</v>
      </c>
    </row>
    <row r="78" spans="1:159" ht="12.75" customHeight="1">
      <c r="A78" s="992" t="s">
        <v>2649</v>
      </c>
      <c r="DC78" s="120"/>
      <c r="DD78" s="120"/>
      <c r="DE78" s="120"/>
      <c r="DF78" s="120"/>
      <c r="DG78" s="120"/>
      <c r="DH78" s="120"/>
      <c r="DI78" s="453"/>
      <c r="DJ78" s="453"/>
      <c r="DK78" s="453"/>
      <c r="DL78" s="453"/>
      <c r="DM78" s="453"/>
      <c r="DN78" s="453"/>
      <c r="DO78" s="453">
        <f t="shared" si="176"/>
        <v>1769813.46</v>
      </c>
      <c r="DP78" s="453">
        <f t="shared" si="176"/>
        <v>1778981.4600000002</v>
      </c>
      <c r="DQ78" s="453">
        <f t="shared" si="176"/>
        <v>1788829.21</v>
      </c>
      <c r="DR78" s="453">
        <f t="shared" si="176"/>
        <v>1786577.4900000002</v>
      </c>
      <c r="DS78" s="453">
        <f t="shared" si="176"/>
        <v>1845009.6000000003</v>
      </c>
      <c r="DT78" s="453">
        <f t="shared" si="176"/>
        <v>1902429.01</v>
      </c>
      <c r="DU78" s="453">
        <f t="shared" si="176"/>
        <v>1953316.3</v>
      </c>
      <c r="DV78" s="453">
        <f t="shared" si="176"/>
        <v>2010497.9900000002</v>
      </c>
      <c r="DW78" s="453">
        <f t="shared" si="176"/>
        <v>2067949.44</v>
      </c>
      <c r="DX78" s="116">
        <f t="shared" si="176"/>
        <v>2122603.92</v>
      </c>
      <c r="DY78" s="116">
        <f t="shared" si="177"/>
        <v>2175577.8199999998</v>
      </c>
      <c r="DZ78" s="116">
        <f t="shared" si="177"/>
        <v>2223770.9699999997</v>
      </c>
      <c r="EA78" s="116">
        <f t="shared" si="177"/>
        <v>2276455.37</v>
      </c>
      <c r="EB78" s="116">
        <f t="shared" si="177"/>
        <v>2325116.33</v>
      </c>
      <c r="EC78" s="116">
        <f t="shared" si="177"/>
        <v>2375524.5500000003</v>
      </c>
      <c r="ED78" s="116">
        <f t="shared" si="177"/>
        <v>2419546</v>
      </c>
      <c r="EE78" s="116">
        <f t="shared" si="177"/>
        <v>2228007.0699999998</v>
      </c>
      <c r="EF78" s="116">
        <f t="shared" si="177"/>
        <v>2043697.95</v>
      </c>
      <c r="EG78" s="116">
        <f t="shared" si="177"/>
        <v>1857893.59</v>
      </c>
      <c r="EH78" s="116">
        <f t="shared" si="177"/>
        <v>1664359.5299999998</v>
      </c>
      <c r="EI78" s="116">
        <f t="shared" si="177"/>
        <v>1469963.8499999999</v>
      </c>
      <c r="EJ78" s="116">
        <f t="shared" si="177"/>
        <v>1273849.8699999999</v>
      </c>
      <c r="EK78" s="116">
        <f t="shared" si="178"/>
        <v>1078173.8599999999</v>
      </c>
      <c r="EL78" s="116">
        <f t="shared" si="178"/>
        <v>882251.58</v>
      </c>
      <c r="EM78" s="116">
        <f t="shared" si="178"/>
        <v>681182.9</v>
      </c>
      <c r="EN78" s="116">
        <f t="shared" si="179"/>
        <v>481030.10000000003</v>
      </c>
      <c r="EO78" s="116">
        <f t="shared" si="179"/>
        <v>278326.11999999994</v>
      </c>
      <c r="EP78" s="116">
        <f t="shared" si="179"/>
        <v>71213</v>
      </c>
      <c r="EQ78" s="116">
        <f t="shared" si="179"/>
        <v>108874.95999999999</v>
      </c>
      <c r="ER78" s="116">
        <f t="shared" si="179"/>
        <v>139130.82</v>
      </c>
      <c r="ES78" s="116">
        <f t="shared" si="179"/>
        <v>169075.6</v>
      </c>
      <c r="ET78" s="116">
        <f t="shared" si="179"/>
        <v>196391.84</v>
      </c>
      <c r="EU78" s="116">
        <f t="shared" si="179"/>
        <v>222446.18</v>
      </c>
      <c r="EV78" s="116">
        <f t="shared" si="179"/>
        <v>249516.69999999998</v>
      </c>
      <c r="EW78" s="116">
        <f t="shared" si="179"/>
        <v>279128.89</v>
      </c>
      <c r="EX78" s="116">
        <f t="shared" si="179"/>
        <v>307509.78000000003</v>
      </c>
      <c r="EY78" s="116">
        <f t="shared" si="179"/>
        <v>336218.75</v>
      </c>
      <c r="EZ78" s="116">
        <f t="shared" si="180"/>
        <v>363156.08</v>
      </c>
      <c r="FA78" s="116">
        <f t="shared" si="181"/>
        <v>389856.5</v>
      </c>
      <c r="FB78" s="116">
        <f t="shared" si="182"/>
        <v>415358.67000000004</v>
      </c>
    </row>
    <row r="79" spans="1:159" ht="12.75" customHeight="1">
      <c r="A79" s="992"/>
      <c r="DC79" s="291"/>
      <c r="DD79" s="291"/>
      <c r="DE79" s="291"/>
      <c r="DF79" s="291"/>
      <c r="DG79" s="291"/>
      <c r="DH79" s="291"/>
      <c r="DI79" s="419"/>
      <c r="DJ79" s="419"/>
      <c r="DK79" s="419"/>
      <c r="DL79" s="419"/>
      <c r="DM79" s="419"/>
      <c r="DN79" s="419"/>
      <c r="DO79" s="419"/>
      <c r="DP79" s="419"/>
      <c r="DQ79" s="419"/>
      <c r="DR79" s="419"/>
      <c r="DS79" s="419"/>
      <c r="DT79" s="419"/>
      <c r="DU79" s="419"/>
      <c r="DV79" s="419"/>
      <c r="DW79" s="419"/>
      <c r="DX79" s="327"/>
      <c r="DY79" s="327"/>
      <c r="DZ79" s="327"/>
      <c r="EA79" s="327"/>
      <c r="EB79" s="327"/>
      <c r="EC79" s="327"/>
      <c r="ED79" s="327"/>
      <c r="EE79" s="994"/>
      <c r="EF79" s="994"/>
      <c r="EG79" s="994"/>
      <c r="EH79" s="994"/>
      <c r="EI79" s="994"/>
      <c r="EJ79" s="994"/>
      <c r="EK79" s="994"/>
      <c r="EL79" s="994"/>
      <c r="EM79" s="994"/>
      <c r="EN79" s="994"/>
      <c r="EO79" s="994"/>
      <c r="EP79" s="994"/>
      <c r="EQ79" s="994"/>
      <c r="ER79" s="994"/>
      <c r="ES79" s="994"/>
      <c r="ET79" s="994"/>
      <c r="EU79" s="994"/>
      <c r="EV79" s="994"/>
      <c r="EW79" s="994"/>
      <c r="EX79" s="994"/>
      <c r="EY79" s="994"/>
      <c r="EZ79" s="994"/>
      <c r="FA79" s="994"/>
      <c r="FB79" s="994"/>
    </row>
    <row r="80" spans="1:159" ht="12.75" customHeight="1">
      <c r="A80" s="992" t="s">
        <v>2650</v>
      </c>
      <c r="DC80" s="450">
        <v>200</v>
      </c>
      <c r="DD80" s="450">
        <v>0</v>
      </c>
      <c r="DE80" s="450">
        <v>0</v>
      </c>
      <c r="DF80" s="450">
        <v>200</v>
      </c>
      <c r="DG80" s="450">
        <v>200</v>
      </c>
      <c r="DH80" s="450">
        <v>1800</v>
      </c>
      <c r="DI80" s="450">
        <v>100</v>
      </c>
      <c r="DJ80" s="450">
        <v>-4600</v>
      </c>
      <c r="DK80" s="450">
        <v>-4200</v>
      </c>
      <c r="DL80" s="450">
        <v>-3600</v>
      </c>
      <c r="DM80" s="450">
        <v>-3400</v>
      </c>
      <c r="DN80" s="450">
        <v>-3400</v>
      </c>
      <c r="DO80" s="450">
        <v>-3500</v>
      </c>
      <c r="DP80" s="450">
        <v>-3400</v>
      </c>
      <c r="DQ80" s="450">
        <v>-3900</v>
      </c>
      <c r="DR80" s="450">
        <v>-5300</v>
      </c>
      <c r="DS80" s="450">
        <v>-10600</v>
      </c>
      <c r="DT80" s="450">
        <v>-10300</v>
      </c>
      <c r="DU80" s="450">
        <v>-9600</v>
      </c>
      <c r="DV80" s="450">
        <v>-7200</v>
      </c>
      <c r="DW80" s="450">
        <v>-6400</v>
      </c>
      <c r="DX80" s="327">
        <v>-6400</v>
      </c>
      <c r="DY80" s="327">
        <v>-5900</v>
      </c>
      <c r="DZ80" s="327">
        <v>-5800</v>
      </c>
      <c r="EA80" s="327">
        <v>-5800</v>
      </c>
      <c r="EB80" s="327">
        <v>-6200</v>
      </c>
      <c r="EC80" s="327">
        <v>-7100</v>
      </c>
      <c r="ED80" s="327">
        <v>-9100</v>
      </c>
      <c r="EE80" s="327">
        <v>-3100</v>
      </c>
      <c r="EF80" s="327">
        <v>-2900</v>
      </c>
      <c r="EG80" s="327">
        <v>-2500</v>
      </c>
      <c r="EH80" s="327">
        <v>-2400</v>
      </c>
      <c r="EI80" s="327">
        <v>-2000</v>
      </c>
      <c r="EJ80" s="327">
        <v>-1900</v>
      </c>
      <c r="EK80" s="327">
        <v>-1800</v>
      </c>
      <c r="EL80" s="327">
        <v>-1600</v>
      </c>
      <c r="EM80" s="327">
        <v>-1700</v>
      </c>
      <c r="EN80" s="327">
        <v>-1700</v>
      </c>
      <c r="EO80" s="327">
        <v>-2000</v>
      </c>
      <c r="EP80" s="327">
        <v>-2600</v>
      </c>
      <c r="EQ80" s="327">
        <v>-2700</v>
      </c>
      <c r="ER80" s="327">
        <v>-2900</v>
      </c>
      <c r="ES80" s="327">
        <v>-2500</v>
      </c>
      <c r="ET80" s="327">
        <v>-2300</v>
      </c>
      <c r="EU80" s="327">
        <v>-2100</v>
      </c>
      <c r="EV80" s="327">
        <v>-1800</v>
      </c>
      <c r="EW80" s="327">
        <v>-1700</v>
      </c>
      <c r="EX80" s="327">
        <v>-1600</v>
      </c>
      <c r="EY80" s="327">
        <v>-1700</v>
      </c>
      <c r="EZ80" s="291">
        <f>'[1]IS ACCTS'!DK653*1000</f>
        <v>-1800</v>
      </c>
      <c r="FA80" s="291">
        <f>'[1]IS ACCTS'!DL653*1000</f>
        <v>-1900</v>
      </c>
      <c r="FB80" s="291">
        <f>'[1]IS ACCTS'!DM653*1000</f>
        <v>-2300</v>
      </c>
      <c r="FC80" s="42"/>
    </row>
    <row r="81" spans="1:163" ht="12.75" customHeight="1">
      <c r="A81" s="992" t="s">
        <v>2651</v>
      </c>
      <c r="DC81" s="450">
        <v>-90900</v>
      </c>
      <c r="DD81" s="450">
        <v>-90900</v>
      </c>
      <c r="DE81" s="450">
        <v>-90900</v>
      </c>
      <c r="DF81" s="450">
        <v>-75600</v>
      </c>
      <c r="DG81" s="450">
        <v>-145400</v>
      </c>
      <c r="DH81" s="450">
        <v>-145400</v>
      </c>
      <c r="DI81" s="450">
        <v>-145400</v>
      </c>
      <c r="DJ81" s="450">
        <v>-145400</v>
      </c>
      <c r="DK81" s="450">
        <v>-145400</v>
      </c>
      <c r="DL81" s="450">
        <v>-145400</v>
      </c>
      <c r="DM81" s="450">
        <v>-145400</v>
      </c>
      <c r="DN81" s="450">
        <v>-145400</v>
      </c>
      <c r="DO81" s="450">
        <v>-145400</v>
      </c>
      <c r="DP81" s="450">
        <v>-145400</v>
      </c>
      <c r="DQ81" s="450">
        <v>-145400</v>
      </c>
      <c r="DR81" s="450">
        <v>-145400</v>
      </c>
      <c r="DS81" s="450">
        <v>-218900</v>
      </c>
      <c r="DT81" s="450">
        <v>-218900</v>
      </c>
      <c r="DU81" s="450">
        <v>-218900</v>
      </c>
      <c r="DV81" s="450">
        <v>-218900</v>
      </c>
      <c r="DW81" s="450">
        <v>-218900</v>
      </c>
      <c r="DX81" s="327">
        <v>-218900</v>
      </c>
      <c r="DY81" s="327">
        <v>-218900</v>
      </c>
      <c r="DZ81" s="327">
        <v>-218900</v>
      </c>
      <c r="EA81" s="327">
        <v>-218900</v>
      </c>
      <c r="EB81" s="327">
        <v>-218900</v>
      </c>
      <c r="EC81" s="327">
        <v>-218900</v>
      </c>
      <c r="ED81" s="327">
        <v>-218900</v>
      </c>
      <c r="EE81" s="327">
        <v>10600</v>
      </c>
      <c r="EF81" s="327">
        <v>10600</v>
      </c>
      <c r="EG81" s="327">
        <v>10600</v>
      </c>
      <c r="EH81" s="327">
        <v>10600</v>
      </c>
      <c r="EI81" s="327">
        <v>10600</v>
      </c>
      <c r="EJ81" s="327">
        <v>10600</v>
      </c>
      <c r="EK81" s="327">
        <v>10600</v>
      </c>
      <c r="EL81" s="327">
        <v>10600</v>
      </c>
      <c r="EM81" s="327">
        <v>10600</v>
      </c>
      <c r="EN81" s="327">
        <v>10600</v>
      </c>
      <c r="EO81" s="327">
        <v>10600</v>
      </c>
      <c r="EP81" s="327">
        <v>10600</v>
      </c>
      <c r="EQ81" s="327">
        <v>-35300</v>
      </c>
      <c r="ER81" s="327">
        <v>-35300</v>
      </c>
      <c r="ES81" s="327">
        <v>-35300</v>
      </c>
      <c r="ET81" s="327">
        <v>-35300</v>
      </c>
      <c r="EU81" s="327">
        <v>-35300</v>
      </c>
      <c r="EV81" s="327">
        <v>-35300</v>
      </c>
      <c r="EW81" s="327">
        <v>-35300</v>
      </c>
      <c r="EX81" s="327">
        <v>-35300</v>
      </c>
      <c r="EY81" s="327">
        <v>0</v>
      </c>
      <c r="EZ81" s="291">
        <f>'[1]IS ACCTS'!DK$660*1000</f>
        <v>-70500</v>
      </c>
      <c r="FA81" s="291">
        <f>'[1]IS ACCTS'!DL$660*1000</f>
        <v>-35300</v>
      </c>
      <c r="FB81" s="291">
        <f>'[1]IS ACCTS'!DM$660*1000</f>
        <v>-35300</v>
      </c>
      <c r="FC81" s="42"/>
      <c r="FG81" s="17"/>
    </row>
    <row r="82" spans="1:163" ht="12.75" customHeight="1">
      <c r="A82" s="1002"/>
    </row>
    <row r="83" spans="1:163" ht="12.75" customHeight="1">
      <c r="A83" s="992" t="s">
        <v>2652</v>
      </c>
      <c r="DI83" s="453"/>
      <c r="DJ83" s="453"/>
      <c r="DK83" s="453"/>
      <c r="DL83" s="453"/>
      <c r="DM83" s="453"/>
      <c r="DN83" s="453"/>
      <c r="DO83" s="453"/>
      <c r="DP83" s="453"/>
      <c r="DQ83" s="453"/>
      <c r="DR83" s="453"/>
      <c r="DS83" s="453"/>
      <c r="DT83" s="453"/>
      <c r="DU83" s="453">
        <f t="shared" ref="DU83:EJ84" si="183">SUM(DJ80:DU80)</f>
        <v>-65800</v>
      </c>
      <c r="DV83" s="453">
        <f t="shared" si="183"/>
        <v>-68400</v>
      </c>
      <c r="DW83" s="453">
        <f t="shared" si="183"/>
        <v>-70600</v>
      </c>
      <c r="DX83" s="116">
        <f t="shared" si="183"/>
        <v>-73400</v>
      </c>
      <c r="DY83" s="116">
        <f t="shared" si="183"/>
        <v>-75900</v>
      </c>
      <c r="DZ83" s="116">
        <f t="shared" si="183"/>
        <v>-78300</v>
      </c>
      <c r="EA83" s="116">
        <f t="shared" si="183"/>
        <v>-80600</v>
      </c>
      <c r="EB83" s="116">
        <f t="shared" si="183"/>
        <v>-83400</v>
      </c>
      <c r="EC83" s="116">
        <f t="shared" si="183"/>
        <v>-86600</v>
      </c>
      <c r="ED83" s="116">
        <f t="shared" si="183"/>
        <v>-90400</v>
      </c>
      <c r="EE83" s="116">
        <f t="shared" si="183"/>
        <v>-82900</v>
      </c>
      <c r="EF83" s="116">
        <f t="shared" si="183"/>
        <v>-75500</v>
      </c>
      <c r="EG83" s="116">
        <f t="shared" si="183"/>
        <v>-68400</v>
      </c>
      <c r="EH83" s="116">
        <f t="shared" si="183"/>
        <v>-63600</v>
      </c>
      <c r="EI83" s="116">
        <f t="shared" si="183"/>
        <v>-59200</v>
      </c>
      <c r="EJ83" s="116">
        <f t="shared" si="183"/>
        <v>-54700</v>
      </c>
      <c r="EK83" s="116">
        <f t="shared" ref="EK83:EM84" si="184">SUM(DZ80:EK80)</f>
        <v>-50600</v>
      </c>
      <c r="EL83" s="116">
        <f t="shared" si="184"/>
        <v>-46400</v>
      </c>
      <c r="EM83" s="116">
        <f t="shared" si="184"/>
        <v>-42300</v>
      </c>
      <c r="EN83" s="116">
        <f t="shared" ref="EN83:EY84" si="185">SUM(EC80:EN80)</f>
        <v>-37800</v>
      </c>
      <c r="EO83" s="116">
        <f t="shared" si="185"/>
        <v>-32700</v>
      </c>
      <c r="EP83" s="116">
        <f t="shared" si="185"/>
        <v>-26200</v>
      </c>
      <c r="EQ83" s="116">
        <f t="shared" si="185"/>
        <v>-25800</v>
      </c>
      <c r="ER83" s="116">
        <f t="shared" si="185"/>
        <v>-25800</v>
      </c>
      <c r="ES83" s="116">
        <f t="shared" si="185"/>
        <v>-25800</v>
      </c>
      <c r="ET83" s="116">
        <f t="shared" si="185"/>
        <v>-25700</v>
      </c>
      <c r="EU83" s="116">
        <f t="shared" si="185"/>
        <v>-25800</v>
      </c>
      <c r="EV83" s="116">
        <f t="shared" si="185"/>
        <v>-25700</v>
      </c>
      <c r="EW83" s="116">
        <f t="shared" si="185"/>
        <v>-25600</v>
      </c>
      <c r="EX83" s="116">
        <f t="shared" si="185"/>
        <v>-25600</v>
      </c>
      <c r="EY83" s="116">
        <f t="shared" si="185"/>
        <v>-25600</v>
      </c>
      <c r="EZ83" s="116">
        <f t="shared" ref="EZ83:EZ84" si="186">SUM(EO80:EZ80)</f>
        <v>-25700</v>
      </c>
      <c r="FA83" s="116">
        <f t="shared" ref="FA83:FA84" si="187">SUM(EP80:FA80)</f>
        <v>-25600</v>
      </c>
      <c r="FB83" s="116">
        <f t="shared" ref="FB83:FB84" si="188">SUM(EQ80:FB80)</f>
        <v>-25300</v>
      </c>
    </row>
    <row r="84" spans="1:163" ht="12.75" customHeight="1">
      <c r="A84" s="992" t="s">
        <v>2653</v>
      </c>
      <c r="DI84" s="453"/>
      <c r="DJ84" s="453"/>
      <c r="DK84" s="453"/>
      <c r="DL84" s="453"/>
      <c r="DM84" s="453"/>
      <c r="DN84" s="453"/>
      <c r="DO84" s="453"/>
      <c r="DP84" s="453"/>
      <c r="DQ84" s="453"/>
      <c r="DR84" s="453"/>
      <c r="DS84" s="453"/>
      <c r="DT84" s="453"/>
      <c r="DU84" s="806">
        <f t="shared" si="183"/>
        <v>-1965300</v>
      </c>
      <c r="DV84" s="806">
        <f t="shared" si="183"/>
        <v>-2038800</v>
      </c>
      <c r="DW84" s="806">
        <f t="shared" si="183"/>
        <v>-2112300</v>
      </c>
      <c r="DX84" s="1003">
        <f t="shared" si="183"/>
        <v>-2185800</v>
      </c>
      <c r="DY84" s="1003">
        <f t="shared" si="183"/>
        <v>-2259300</v>
      </c>
      <c r="DZ84" s="1003">
        <f t="shared" si="183"/>
        <v>-2332800</v>
      </c>
      <c r="EA84" s="1003">
        <f t="shared" si="183"/>
        <v>-2406300</v>
      </c>
      <c r="EB84" s="1003">
        <f t="shared" si="183"/>
        <v>-2479800</v>
      </c>
      <c r="EC84" s="1003">
        <f t="shared" si="183"/>
        <v>-2553300</v>
      </c>
      <c r="ED84" s="1003">
        <f t="shared" si="183"/>
        <v>-2626800</v>
      </c>
      <c r="EE84" s="1003">
        <f t="shared" si="183"/>
        <v>-2397300</v>
      </c>
      <c r="EF84" s="1003">
        <f t="shared" si="183"/>
        <v>-2167800</v>
      </c>
      <c r="EG84" s="1003">
        <f t="shared" si="183"/>
        <v>-1938300</v>
      </c>
      <c r="EH84" s="1003">
        <f t="shared" si="183"/>
        <v>-1708800</v>
      </c>
      <c r="EI84" s="1003">
        <f t="shared" si="183"/>
        <v>-1479300</v>
      </c>
      <c r="EJ84" s="1003">
        <f t="shared" si="183"/>
        <v>-1249800</v>
      </c>
      <c r="EK84" s="1003">
        <f t="shared" si="184"/>
        <v>-1020300</v>
      </c>
      <c r="EL84" s="1003">
        <f t="shared" si="184"/>
        <v>-790800</v>
      </c>
      <c r="EM84" s="1003">
        <f t="shared" si="184"/>
        <v>-561300</v>
      </c>
      <c r="EN84" s="1003">
        <f t="shared" si="185"/>
        <v>-331800</v>
      </c>
      <c r="EO84" s="1003">
        <f t="shared" si="185"/>
        <v>-102300</v>
      </c>
      <c r="EP84" s="1003">
        <f t="shared" si="185"/>
        <v>127200</v>
      </c>
      <c r="EQ84" s="1003">
        <f t="shared" si="185"/>
        <v>81300</v>
      </c>
      <c r="ER84" s="1003">
        <f t="shared" si="185"/>
        <v>35400</v>
      </c>
      <c r="ES84" s="1003">
        <f t="shared" si="185"/>
        <v>-10500</v>
      </c>
      <c r="ET84" s="1003">
        <f t="shared" si="185"/>
        <v>-56400</v>
      </c>
      <c r="EU84" s="1003">
        <f t="shared" si="185"/>
        <v>-102300</v>
      </c>
      <c r="EV84" s="1003">
        <f t="shared" si="185"/>
        <v>-148200</v>
      </c>
      <c r="EW84" s="1003">
        <f t="shared" si="185"/>
        <v>-194100</v>
      </c>
      <c r="EX84" s="1003">
        <f t="shared" si="185"/>
        <v>-240000</v>
      </c>
      <c r="EY84" s="1003">
        <f t="shared" si="185"/>
        <v>-250600</v>
      </c>
      <c r="EZ84" s="1003">
        <f t="shared" si="186"/>
        <v>-331700</v>
      </c>
      <c r="FA84" s="1003">
        <f t="shared" si="187"/>
        <v>-377600</v>
      </c>
      <c r="FB84" s="1003">
        <f t="shared" si="188"/>
        <v>-423500</v>
      </c>
    </row>
    <row r="85" spans="1:163" ht="12.75" customHeight="1">
      <c r="A85" s="992" t="s">
        <v>2654</v>
      </c>
      <c r="DU85" s="453">
        <f t="shared" ref="DU85:EA85" si="189">DU84+DU83</f>
        <v>-2031100</v>
      </c>
      <c r="DV85" s="453">
        <f t="shared" si="189"/>
        <v>-2107200</v>
      </c>
      <c r="DW85" s="453">
        <f t="shared" si="189"/>
        <v>-2182900</v>
      </c>
      <c r="DX85" s="116">
        <f t="shared" si="189"/>
        <v>-2259200</v>
      </c>
      <c r="DY85" s="116">
        <f t="shared" si="189"/>
        <v>-2335200</v>
      </c>
      <c r="DZ85" s="116">
        <f t="shared" si="189"/>
        <v>-2411100</v>
      </c>
      <c r="EA85" s="116">
        <f t="shared" si="189"/>
        <v>-2486900</v>
      </c>
      <c r="EB85" s="116">
        <f t="shared" ref="EB85:EG85" si="190">EB84+EB83</f>
        <v>-2563200</v>
      </c>
      <c r="EC85" s="116">
        <f t="shared" si="190"/>
        <v>-2639900</v>
      </c>
      <c r="ED85" s="116">
        <f t="shared" si="190"/>
        <v>-2717200</v>
      </c>
      <c r="EE85" s="116">
        <f t="shared" si="190"/>
        <v>-2480200</v>
      </c>
      <c r="EF85" s="116">
        <f t="shared" si="190"/>
        <v>-2243300</v>
      </c>
      <c r="EG85" s="116">
        <f t="shared" si="190"/>
        <v>-2006700</v>
      </c>
      <c r="EH85" s="116">
        <f t="shared" ref="EH85:EM85" si="191">EH84+EH83</f>
        <v>-1772400</v>
      </c>
      <c r="EI85" s="116">
        <f t="shared" si="191"/>
        <v>-1538500</v>
      </c>
      <c r="EJ85" s="116">
        <f t="shared" si="191"/>
        <v>-1304500</v>
      </c>
      <c r="EK85" s="116">
        <f t="shared" si="191"/>
        <v>-1070900</v>
      </c>
      <c r="EL85" s="116">
        <f t="shared" si="191"/>
        <v>-837200</v>
      </c>
      <c r="EM85" s="116">
        <f t="shared" si="191"/>
        <v>-603600</v>
      </c>
      <c r="EN85" s="116">
        <f t="shared" ref="EN85:ES85" si="192">EN84+EN83</f>
        <v>-369600</v>
      </c>
      <c r="EO85" s="116">
        <f t="shared" si="192"/>
        <v>-135000</v>
      </c>
      <c r="EP85" s="116">
        <f t="shared" si="192"/>
        <v>101000</v>
      </c>
      <c r="EQ85" s="116">
        <f t="shared" si="192"/>
        <v>55500</v>
      </c>
      <c r="ER85" s="116">
        <f t="shared" si="192"/>
        <v>9600</v>
      </c>
      <c r="ES85" s="116">
        <f t="shared" si="192"/>
        <v>-36300</v>
      </c>
      <c r="ET85" s="116">
        <f t="shared" ref="ET85:EV85" si="193">ET84+ET83</f>
        <v>-82100</v>
      </c>
      <c r="EU85" s="116">
        <f t="shared" si="193"/>
        <v>-128100</v>
      </c>
      <c r="EV85" s="116">
        <f t="shared" si="193"/>
        <v>-173900</v>
      </c>
      <c r="EW85" s="116">
        <f t="shared" ref="EW85:EY85" si="194">EW84+EW83</f>
        <v>-219700</v>
      </c>
      <c r="EX85" s="116">
        <f t="shared" si="194"/>
        <v>-265600</v>
      </c>
      <c r="EY85" s="116">
        <f t="shared" si="194"/>
        <v>-276200</v>
      </c>
      <c r="EZ85" s="116">
        <f t="shared" ref="EZ85:FB85" si="195">EZ84+EZ83</f>
        <v>-357400</v>
      </c>
      <c r="FA85" s="116">
        <f t="shared" si="195"/>
        <v>-403200</v>
      </c>
      <c r="FB85" s="116">
        <f t="shared" si="195"/>
        <v>-448800</v>
      </c>
    </row>
    <row r="86" spans="1:163" ht="12.75" customHeight="1">
      <c r="A86" s="1002"/>
    </row>
    <row r="87" spans="1:163" ht="12.75" customHeight="1">
      <c r="A87" s="992" t="s">
        <v>2473</v>
      </c>
      <c r="EJ87" s="1053"/>
      <c r="EK87" s="1053"/>
      <c r="EL87" s="1053"/>
      <c r="EM87" s="1053"/>
      <c r="EN87" s="1053"/>
      <c r="EO87" s="1053"/>
      <c r="EP87" s="1053"/>
      <c r="EQ87" s="1053"/>
      <c r="ER87" s="1053"/>
      <c r="ES87" s="1053"/>
      <c r="ET87" s="1053"/>
      <c r="EU87" s="1053"/>
      <c r="EV87" s="1053"/>
      <c r="EW87" s="1053"/>
      <c r="EX87" s="1053"/>
      <c r="EY87" s="1053"/>
      <c r="EZ87" s="1053"/>
      <c r="FA87" s="1053"/>
      <c r="FB87" s="1053">
        <f>((FB72)/1000)-Report!$B$123-Report!$B$124</f>
        <v>0</v>
      </c>
    </row>
    <row r="88" spans="1:163" ht="12.75" customHeight="1">
      <c r="A88" s="992" t="s">
        <v>2474</v>
      </c>
      <c r="EJ88" s="1053"/>
      <c r="EK88" s="1053"/>
      <c r="EL88" s="1053"/>
      <c r="EM88" s="1053"/>
      <c r="EN88" s="1053"/>
      <c r="EO88" s="1053"/>
      <c r="EP88" s="1053"/>
      <c r="EQ88" s="1053"/>
      <c r="ER88" s="1053"/>
      <c r="ES88" s="1053"/>
      <c r="ET88" s="1053"/>
      <c r="EU88" s="1053"/>
      <c r="EV88" s="1053"/>
      <c r="EW88" s="1053"/>
      <c r="EX88" s="1053"/>
      <c r="EY88" s="1053"/>
      <c r="EZ88" s="1053"/>
      <c r="FA88" s="1053"/>
      <c r="FB88" s="1053">
        <f>+-FB77/1000-Report!$F$123</f>
        <v>0</v>
      </c>
    </row>
    <row r="89" spans="1:163" ht="12.75" customHeight="1">
      <c r="A89" s="992" t="s">
        <v>2475</v>
      </c>
      <c r="EJ89" s="1053"/>
      <c r="EK89" s="1053"/>
      <c r="EL89" s="1053"/>
      <c r="EM89" s="1053"/>
      <c r="EN89" s="1053"/>
      <c r="EO89" s="1053"/>
      <c r="EP89" s="1053"/>
      <c r="EQ89" s="1053"/>
      <c r="ER89" s="1053"/>
      <c r="ES89" s="1053"/>
      <c r="ET89" s="1053"/>
      <c r="EU89" s="1053"/>
      <c r="EV89" s="1053"/>
      <c r="EW89" s="1053"/>
      <c r="EX89" s="1053"/>
      <c r="EY89" s="1053"/>
      <c r="EZ89" s="1053"/>
      <c r="FA89" s="1053"/>
      <c r="FB89" s="1053">
        <f>+-FB78/1000-Report!$H$123</f>
        <v>0</v>
      </c>
    </row>
    <row r="90" spans="1:163" ht="12.75" customHeight="1">
      <c r="A90" s="992" t="s">
        <v>2476</v>
      </c>
      <c r="EJ90" s="1053"/>
      <c r="EK90" s="1053"/>
      <c r="EL90" s="1053"/>
      <c r="EM90" s="1053"/>
      <c r="EN90" s="1053"/>
      <c r="EO90" s="1053"/>
      <c r="EP90" s="1053"/>
      <c r="EQ90" s="1053"/>
      <c r="ER90" s="1053"/>
      <c r="ES90" s="1053"/>
      <c r="ET90" s="1053"/>
      <c r="EU90" s="1053"/>
      <c r="EV90" s="1053"/>
      <c r="EW90" s="1053"/>
      <c r="EX90" s="1053"/>
      <c r="EY90" s="1053"/>
      <c r="EZ90" s="1053"/>
      <c r="FA90" s="1053"/>
      <c r="FB90" s="1053">
        <f>+-FB85/1000+Report!$J$123</f>
        <v>0.39796000000001186</v>
      </c>
    </row>
    <row r="91" spans="1:163" ht="12.75" customHeight="1">
      <c r="A91" s="992"/>
      <c r="EJ91" s="1053"/>
      <c r="EK91" s="1053"/>
      <c r="EL91" s="1053"/>
      <c r="EM91" s="1053"/>
      <c r="EN91" s="1053"/>
      <c r="EO91" s="1053"/>
      <c r="EP91" s="1053"/>
      <c r="EQ91" s="1053"/>
      <c r="ER91" s="1053"/>
      <c r="ES91" s="1053"/>
      <c r="ET91" s="1053"/>
      <c r="EU91" s="1053"/>
      <c r="EV91" s="1053"/>
      <c r="EW91" s="1053"/>
      <c r="EX91" s="1053"/>
      <c r="EY91" s="1053"/>
      <c r="EZ91" s="1053"/>
      <c r="FA91" s="1053"/>
      <c r="FB91" s="1053"/>
    </row>
    <row r="92" spans="1:163" ht="12.75" customHeight="1"/>
    <row r="93" spans="1:163" ht="12.75" customHeight="1"/>
    <row r="94" spans="1:163" ht="12.75" customHeight="1"/>
    <row r="95" spans="1:163" ht="12.75" customHeight="1"/>
    <row r="96" spans="1:163" ht="12.75" customHeight="1"/>
    <row r="97" spans="9:158" ht="12.75" customHeight="1"/>
    <row r="98" spans="9:158" ht="12.75" customHeight="1">
      <c r="DW98" s="369"/>
      <c r="DX98" s="369"/>
      <c r="DY98" s="369"/>
      <c r="DZ98" s="369"/>
      <c r="EA98" s="369"/>
      <c r="EB98" s="369"/>
      <c r="EC98" s="369"/>
      <c r="ED98" s="369"/>
      <c r="EE98" s="369"/>
      <c r="EF98" s="369"/>
      <c r="EG98" s="369"/>
      <c r="EH98" s="369"/>
      <c r="EI98" s="369"/>
      <c r="EJ98" s="369"/>
      <c r="EK98" s="369"/>
      <c r="EL98" s="369"/>
      <c r="EM98" s="369"/>
      <c r="EN98" s="369"/>
      <c r="EO98" s="369"/>
      <c r="EP98" s="369"/>
      <c r="EQ98" s="369"/>
      <c r="ER98" s="369"/>
      <c r="ES98" s="369"/>
      <c r="ET98" s="369"/>
      <c r="EU98" s="369"/>
      <c r="EV98" s="369"/>
      <c r="EW98" s="369"/>
      <c r="EX98" s="369"/>
      <c r="EY98" s="369"/>
      <c r="EZ98" s="369"/>
      <c r="FA98" s="369"/>
      <c r="FB98" s="369"/>
    </row>
    <row r="99" spans="9:158" ht="12.75" customHeight="1"/>
    <row r="100" spans="9:158" ht="12.75" customHeight="1"/>
    <row r="101" spans="9:158" ht="12.75" customHeight="1"/>
    <row r="102" spans="9:158" ht="12.75" customHeight="1"/>
    <row r="103" spans="9:158" ht="12.75" customHeight="1"/>
    <row r="104" spans="9:158" ht="12.75" customHeight="1"/>
    <row r="105" spans="9:158" ht="12.75" customHeight="1"/>
    <row r="106" spans="9:158" ht="12.75" customHeight="1"/>
    <row r="107" spans="9:158" ht="12.75" customHeight="1"/>
    <row r="108" spans="9:158" ht="12.75" customHeight="1">
      <c r="N108" s="49"/>
      <c r="O108" s="49"/>
      <c r="P108" s="49"/>
    </row>
    <row r="109" spans="9:158">
      <c r="I109" s="49"/>
      <c r="J109" s="49"/>
      <c r="K109" s="49"/>
      <c r="L109" s="49"/>
      <c r="M109" s="49"/>
      <c r="N109" s="51"/>
      <c r="O109" s="51"/>
      <c r="P109" s="51"/>
    </row>
    <row r="110" spans="9:158">
      <c r="I110" s="51"/>
      <c r="J110" s="51"/>
      <c r="K110" s="51"/>
      <c r="L110" s="51"/>
      <c r="M110" s="51"/>
    </row>
    <row r="111" spans="9:158">
      <c r="N111" s="52"/>
      <c r="O111" s="52"/>
      <c r="P111" s="52"/>
      <c r="Q111" s="35"/>
    </row>
    <row r="112" spans="9:158">
      <c r="I112" s="52"/>
      <c r="J112" s="52"/>
      <c r="K112" s="52"/>
      <c r="L112" s="52"/>
      <c r="M112" s="52"/>
      <c r="N112" s="52"/>
      <c r="O112" s="52"/>
      <c r="P112" s="52"/>
      <c r="Q112" s="35"/>
    </row>
    <row r="113" spans="1:13" hidden="1">
      <c r="I113" s="52"/>
      <c r="J113" s="52"/>
      <c r="K113" s="52"/>
      <c r="L113" s="52"/>
      <c r="M113" s="52"/>
    </row>
    <row r="114" spans="1:13" hidden="1"/>
    <row r="116" spans="1:13">
      <c r="I116" s="44"/>
      <c r="J116" s="44"/>
      <c r="K116" s="44"/>
      <c r="L116" s="44"/>
      <c r="M116" s="44"/>
    </row>
    <row r="117" spans="1:13">
      <c r="A117" s="43"/>
      <c r="D117" s="50"/>
    </row>
    <row r="119" spans="1:13" ht="12.75" customHeight="1"/>
    <row r="129" spans="2:37">
      <c r="B129" s="35"/>
    </row>
    <row r="130" spans="2:37">
      <c r="P130" s="35"/>
    </row>
    <row r="131" spans="2:37" ht="15">
      <c r="AH131" s="215"/>
      <c r="AI131" s="216"/>
      <c r="AJ131" s="216"/>
      <c r="AK131" s="216"/>
    </row>
  </sheetData>
  <phoneticPr fontId="66" type="noConversion"/>
  <pageMargins left="0.25" right="0.25" top="0.75" bottom="0.75" header="0.3" footer="0.3"/>
  <pageSetup scale="47" orientation="landscape" blackAndWhite="1" r:id="rId1"/>
  <headerFooter alignWithMargins="0">
    <oddFooter>&amp;L&amp;Z&amp;F
&amp;D</oddFooter>
  </headerFooter>
  <customProperties>
    <customPr name="_pios_id" r:id="rId2"/>
    <customPr name="EpmWorksheetKeyString_GUID" r:id="rId3"/>
    <customPr name="FPMExcelClientCellBasedFunctionStatus" r:id="rId4"/>
  </customProperties>
  <ignoredErrors>
    <ignoredError sqref="BK15:BP15 BK19:BP19" formulaRange="1"/>
  </ignoredErrors>
  <drawing r:id="rId5"/>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pageSetUpPr fitToPage="1"/>
  </sheetPr>
  <dimension ref="A1:EN97"/>
  <sheetViews>
    <sheetView zoomScale="85" zoomScaleNormal="85" workbookViewId="0">
      <pane xSplit="112" ySplit="12" topLeftCell="DR47" activePane="bottomRight" state="frozen"/>
      <selection pane="topRight" activeCell="DI1" sqref="DI1"/>
      <selection pane="bottomLeft" activeCell="A13" sqref="A13"/>
      <selection pane="bottomRight" activeCell="EC68" sqref="EC68"/>
    </sheetView>
  </sheetViews>
  <sheetFormatPr defaultColWidth="8.85546875" defaultRowHeight="12.75"/>
  <cols>
    <col min="1" max="1" width="19.85546875" style="550" customWidth="1"/>
    <col min="2" max="2" width="38.140625" style="550" bestFit="1" customWidth="1"/>
    <col min="3" max="31" width="9.5703125" style="550" hidden="1" customWidth="1"/>
    <col min="32" max="49" width="10.5703125" style="550" hidden="1" customWidth="1"/>
    <col min="50" max="74" width="11.5703125" style="550" hidden="1" customWidth="1"/>
    <col min="75" max="79" width="12.42578125" style="550" hidden="1" customWidth="1"/>
    <col min="80" max="81" width="10.5703125" style="550" hidden="1" customWidth="1"/>
    <col min="82" max="83" width="9.5703125" style="550" hidden="1" customWidth="1"/>
    <col min="84" max="112" width="12.42578125" style="550" hidden="1" customWidth="1"/>
    <col min="113" max="134" width="12.42578125" style="550" customWidth="1"/>
    <col min="135" max="135" width="8.85546875" style="550"/>
    <col min="136" max="138" width="12.42578125" style="550" bestFit="1" customWidth="1"/>
    <col min="139" max="139" width="14.42578125" style="550" bestFit="1" customWidth="1"/>
    <col min="140" max="142" width="8.85546875" style="550"/>
    <col min="143" max="143" width="15.5703125" style="550" customWidth="1"/>
    <col min="144" max="144" width="9.42578125" style="550" bestFit="1" customWidth="1"/>
    <col min="145" max="16384" width="8.85546875" style="550"/>
  </cols>
  <sheetData>
    <row r="1" spans="1:138" ht="15">
      <c r="A1" s="549" t="s">
        <v>204</v>
      </c>
      <c r="B1" s="549"/>
      <c r="C1" s="549"/>
      <c r="D1" s="549"/>
      <c r="E1" s="549"/>
      <c r="F1" s="549"/>
      <c r="G1" s="549"/>
      <c r="H1" s="549"/>
      <c r="I1" s="549"/>
      <c r="J1" s="549"/>
      <c r="K1" s="549"/>
      <c r="L1" s="549"/>
      <c r="M1" s="549"/>
      <c r="N1" s="549"/>
      <c r="O1" s="549"/>
      <c r="P1" s="549"/>
      <c r="Q1" s="549"/>
      <c r="R1" s="549"/>
      <c r="S1" s="549"/>
      <c r="U1" s="551"/>
    </row>
    <row r="2" spans="1:138" ht="15">
      <c r="A2" s="552" t="s">
        <v>547</v>
      </c>
      <c r="B2" s="552"/>
      <c r="C2" s="552"/>
      <c r="D2" s="552"/>
      <c r="E2" s="552"/>
      <c r="F2" s="552"/>
      <c r="G2" s="552"/>
      <c r="H2" s="552"/>
      <c r="I2" s="552"/>
      <c r="J2" s="552"/>
      <c r="K2" s="552"/>
      <c r="L2" s="552"/>
      <c r="M2" s="552"/>
      <c r="N2" s="552"/>
      <c r="O2" s="552"/>
      <c r="P2" s="552"/>
      <c r="Q2" s="552"/>
      <c r="R2" s="552"/>
      <c r="S2" s="552"/>
      <c r="U2" s="552"/>
    </row>
    <row r="3" spans="1:138" ht="15">
      <c r="A3" s="552"/>
      <c r="B3" s="552"/>
      <c r="C3" s="552"/>
      <c r="D3" s="552"/>
      <c r="E3" s="552"/>
      <c r="F3" s="552"/>
      <c r="G3" s="552"/>
      <c r="H3" s="552"/>
      <c r="I3" s="552"/>
      <c r="J3" s="552"/>
      <c r="K3" s="552"/>
      <c r="L3" s="552"/>
      <c r="M3" s="552"/>
      <c r="N3" s="552"/>
      <c r="O3" s="552"/>
      <c r="P3" s="552"/>
      <c r="Q3" s="552"/>
      <c r="R3" s="552"/>
      <c r="S3" s="552"/>
      <c r="U3" s="552"/>
    </row>
    <row r="4" spans="1:138" ht="15">
      <c r="B4" s="728" t="s">
        <v>2277</v>
      </c>
      <c r="C4" s="552"/>
      <c r="D4" s="552"/>
      <c r="E4" s="552"/>
      <c r="F4" s="552"/>
      <c r="G4" s="552"/>
      <c r="H4" s="552"/>
      <c r="I4" s="552"/>
      <c r="J4" s="552"/>
      <c r="K4" s="552"/>
      <c r="L4" s="552"/>
      <c r="M4" s="552"/>
      <c r="N4" s="552"/>
      <c r="O4" s="552"/>
      <c r="P4" s="552"/>
      <c r="Q4" s="552"/>
      <c r="R4" s="552"/>
      <c r="S4" s="552"/>
      <c r="U4" s="552"/>
    </row>
    <row r="5" spans="1:138" ht="15">
      <c r="B5" s="730" t="s">
        <v>2278</v>
      </c>
      <c r="C5" s="552"/>
      <c r="D5" s="552"/>
      <c r="E5" s="552"/>
      <c r="F5" s="552"/>
      <c r="G5" s="552"/>
      <c r="H5" s="552"/>
      <c r="I5" s="552"/>
      <c r="J5" s="552"/>
      <c r="K5" s="552"/>
      <c r="L5" s="552"/>
      <c r="M5" s="552"/>
      <c r="N5" s="552"/>
      <c r="O5" s="552"/>
      <c r="P5" s="552"/>
      <c r="Q5" s="552"/>
      <c r="R5" s="552"/>
      <c r="S5" s="552"/>
      <c r="T5" s="552"/>
      <c r="U5" s="552"/>
    </row>
    <row r="6" spans="1:138" ht="15">
      <c r="B6" s="729" t="s">
        <v>2281</v>
      </c>
      <c r="C6" s="552"/>
      <c r="D6" s="552"/>
      <c r="E6" s="552"/>
      <c r="F6" s="552"/>
      <c r="G6" s="552"/>
      <c r="H6" s="552"/>
      <c r="I6" s="552"/>
      <c r="J6" s="552"/>
      <c r="K6" s="552"/>
      <c r="L6" s="552"/>
      <c r="M6" s="552"/>
      <c r="N6" s="552"/>
      <c r="O6" s="552"/>
      <c r="P6" s="552"/>
      <c r="Q6" s="552"/>
      <c r="R6" s="552"/>
      <c r="S6" s="552"/>
      <c r="T6" s="552"/>
      <c r="U6" s="552"/>
    </row>
    <row r="7" spans="1:138" ht="15">
      <c r="B7" s="731" t="s">
        <v>2279</v>
      </c>
      <c r="C7" s="552"/>
      <c r="D7" s="552"/>
      <c r="E7" s="552"/>
      <c r="F7" s="552"/>
      <c r="G7" s="552"/>
      <c r="H7" s="552"/>
      <c r="I7" s="552"/>
      <c r="J7" s="552"/>
      <c r="K7" s="552"/>
      <c r="L7" s="552"/>
      <c r="M7" s="552"/>
      <c r="N7" s="552"/>
      <c r="O7" s="552"/>
      <c r="P7" s="552"/>
      <c r="Q7" s="552"/>
      <c r="R7" s="552"/>
      <c r="S7" s="552"/>
      <c r="T7" s="552"/>
      <c r="U7" s="552"/>
    </row>
    <row r="8" spans="1:138" ht="15">
      <c r="B8" s="732" t="s">
        <v>2280</v>
      </c>
      <c r="C8" s="552"/>
      <c r="D8" s="552"/>
      <c r="E8" s="552"/>
      <c r="F8" s="552"/>
      <c r="G8" s="552"/>
      <c r="H8" s="552"/>
      <c r="I8" s="552"/>
      <c r="J8" s="552"/>
      <c r="K8" s="552"/>
      <c r="L8" s="552"/>
      <c r="M8" s="552"/>
      <c r="N8" s="552"/>
      <c r="O8" s="552"/>
      <c r="P8" s="552"/>
      <c r="Q8" s="552"/>
      <c r="R8" s="552"/>
      <c r="S8" s="552"/>
      <c r="T8" s="552"/>
      <c r="U8" s="552"/>
    </row>
    <row r="9" spans="1:138" ht="15">
      <c r="A9" s="552"/>
      <c r="B9" s="814" t="s">
        <v>2372</v>
      </c>
      <c r="C9" s="552"/>
      <c r="D9" s="552"/>
      <c r="E9" s="552"/>
      <c r="F9" s="552"/>
      <c r="G9" s="552"/>
      <c r="H9" s="552"/>
      <c r="I9" s="552"/>
      <c r="J9" s="552"/>
      <c r="K9" s="552"/>
      <c r="L9" s="552"/>
      <c r="M9" s="552"/>
      <c r="N9" s="552"/>
      <c r="O9" s="552"/>
      <c r="P9" s="552"/>
      <c r="Q9" s="552"/>
      <c r="R9" s="552"/>
      <c r="S9" s="552"/>
      <c r="T9" s="552"/>
      <c r="U9" s="552"/>
    </row>
    <row r="10" spans="1:138" ht="15.75">
      <c r="A10" s="553" t="s">
        <v>548</v>
      </c>
      <c r="B10" s="554"/>
      <c r="C10" s="554"/>
      <c r="D10" s="554"/>
      <c r="E10" s="554"/>
      <c r="F10" s="554"/>
      <c r="G10" s="554"/>
      <c r="H10" s="554"/>
      <c r="I10" s="554"/>
      <c r="J10" s="554"/>
      <c r="K10" s="554"/>
      <c r="L10" s="554"/>
      <c r="M10" s="554"/>
      <c r="N10" s="554"/>
      <c r="O10" s="552"/>
      <c r="P10" s="552"/>
      <c r="Q10" s="552"/>
      <c r="R10" s="552"/>
      <c r="S10" s="552"/>
      <c r="T10" s="552"/>
      <c r="U10" s="552"/>
    </row>
    <row r="11" spans="1:138" ht="15">
      <c r="A11" s="552"/>
      <c r="B11" s="552"/>
      <c r="C11" s="552"/>
      <c r="D11" s="552"/>
      <c r="E11" s="552"/>
      <c r="F11" s="552"/>
      <c r="G11" s="552"/>
      <c r="H11" s="552"/>
      <c r="I11" s="552"/>
      <c r="J11" s="552"/>
      <c r="K11" s="552"/>
      <c r="L11" s="552"/>
      <c r="M11" s="552"/>
      <c r="N11" s="552"/>
      <c r="O11" s="552"/>
      <c r="P11" s="552"/>
      <c r="Q11" s="552"/>
      <c r="R11" s="552"/>
      <c r="S11" s="552"/>
      <c r="U11" s="552"/>
    </row>
    <row r="12" spans="1:138">
      <c r="A12" s="555"/>
      <c r="B12" s="556" t="s">
        <v>559</v>
      </c>
      <c r="C12" s="557">
        <v>40911</v>
      </c>
      <c r="D12" s="557">
        <v>40941</v>
      </c>
      <c r="E12" s="557">
        <v>40971</v>
      </c>
      <c r="F12" s="557">
        <v>41001</v>
      </c>
      <c r="G12" s="557">
        <v>41031</v>
      </c>
      <c r="H12" s="557">
        <v>41061</v>
      </c>
      <c r="I12" s="557">
        <v>41091</v>
      </c>
      <c r="J12" s="557">
        <v>41122</v>
      </c>
      <c r="K12" s="557">
        <v>41153</v>
      </c>
      <c r="L12" s="557">
        <v>41184</v>
      </c>
      <c r="M12" s="557">
        <v>41215</v>
      </c>
      <c r="N12" s="557">
        <v>41246</v>
      </c>
      <c r="O12" s="557">
        <v>41277</v>
      </c>
      <c r="P12" s="557">
        <v>41308</v>
      </c>
      <c r="Q12" s="557">
        <v>41339</v>
      </c>
      <c r="R12" s="557">
        <v>41370</v>
      </c>
      <c r="S12" s="557">
        <v>41401</v>
      </c>
      <c r="T12" s="557">
        <v>41432</v>
      </c>
      <c r="U12" s="557">
        <v>41463</v>
      </c>
      <c r="V12" s="557">
        <v>41494</v>
      </c>
      <c r="W12" s="557">
        <v>41525</v>
      </c>
      <c r="X12" s="557">
        <v>41556</v>
      </c>
      <c r="Y12" s="557">
        <v>41587</v>
      </c>
      <c r="Z12" s="557">
        <v>41618</v>
      </c>
      <c r="AA12" s="557">
        <f t="shared" ref="AA12:AF12" si="0">+Z12+31</f>
        <v>41649</v>
      </c>
      <c r="AB12" s="557">
        <f t="shared" si="0"/>
        <v>41680</v>
      </c>
      <c r="AC12" s="557">
        <f t="shared" si="0"/>
        <v>41711</v>
      </c>
      <c r="AD12" s="557">
        <f t="shared" si="0"/>
        <v>41742</v>
      </c>
      <c r="AE12" s="557">
        <f t="shared" si="0"/>
        <v>41773</v>
      </c>
      <c r="AF12" s="557">
        <f t="shared" si="0"/>
        <v>41804</v>
      </c>
      <c r="AG12" s="557">
        <f t="shared" ref="AG12:AL12" si="1">+AF12+31</f>
        <v>41835</v>
      </c>
      <c r="AH12" s="557">
        <f t="shared" si="1"/>
        <v>41866</v>
      </c>
      <c r="AI12" s="557">
        <f t="shared" si="1"/>
        <v>41897</v>
      </c>
      <c r="AJ12" s="557">
        <f t="shared" si="1"/>
        <v>41928</v>
      </c>
      <c r="AK12" s="557">
        <f t="shared" si="1"/>
        <v>41959</v>
      </c>
      <c r="AL12" s="557">
        <f t="shared" si="1"/>
        <v>41990</v>
      </c>
      <c r="AM12" s="557">
        <f t="shared" ref="AM12:AR12" si="2">+AL12+31</f>
        <v>42021</v>
      </c>
      <c r="AN12" s="557">
        <f t="shared" si="2"/>
        <v>42052</v>
      </c>
      <c r="AO12" s="557">
        <f t="shared" si="2"/>
        <v>42083</v>
      </c>
      <c r="AP12" s="557">
        <f t="shared" si="2"/>
        <v>42114</v>
      </c>
      <c r="AQ12" s="557">
        <f t="shared" si="2"/>
        <v>42145</v>
      </c>
      <c r="AR12" s="557">
        <f t="shared" si="2"/>
        <v>42176</v>
      </c>
      <c r="AS12" s="557">
        <f t="shared" ref="AS12:AX12" si="3">+AR12+31</f>
        <v>42207</v>
      </c>
      <c r="AT12" s="557">
        <f t="shared" si="3"/>
        <v>42238</v>
      </c>
      <c r="AU12" s="557">
        <f t="shared" si="3"/>
        <v>42269</v>
      </c>
      <c r="AV12" s="557">
        <f t="shared" si="3"/>
        <v>42300</v>
      </c>
      <c r="AW12" s="557">
        <f t="shared" si="3"/>
        <v>42331</v>
      </c>
      <c r="AX12" s="557">
        <f t="shared" si="3"/>
        <v>42362</v>
      </c>
      <c r="AY12" s="557">
        <f>+AX12+31</f>
        <v>42393</v>
      </c>
      <c r="AZ12" s="557">
        <f>+AY12+31</f>
        <v>42424</v>
      </c>
      <c r="BA12" s="557">
        <f>+AZ12+31</f>
        <v>42455</v>
      </c>
      <c r="BB12" s="557">
        <f t="shared" ref="BB12:BO12" si="4">+BA12+31</f>
        <v>42486</v>
      </c>
      <c r="BC12" s="557">
        <f t="shared" si="4"/>
        <v>42517</v>
      </c>
      <c r="BD12" s="557">
        <f t="shared" si="4"/>
        <v>42548</v>
      </c>
      <c r="BE12" s="557">
        <f t="shared" si="4"/>
        <v>42579</v>
      </c>
      <c r="BF12" s="557">
        <f t="shared" si="4"/>
        <v>42610</v>
      </c>
      <c r="BG12" s="557">
        <f t="shared" si="4"/>
        <v>42641</v>
      </c>
      <c r="BH12" s="557">
        <f t="shared" si="4"/>
        <v>42672</v>
      </c>
      <c r="BI12" s="557">
        <f t="shared" si="4"/>
        <v>42703</v>
      </c>
      <c r="BJ12" s="557">
        <f t="shared" si="4"/>
        <v>42734</v>
      </c>
      <c r="BK12" s="557">
        <f t="shared" si="4"/>
        <v>42765</v>
      </c>
      <c r="BL12" s="557">
        <f>+BK12+28</f>
        <v>42793</v>
      </c>
      <c r="BM12" s="557">
        <f t="shared" si="4"/>
        <v>42824</v>
      </c>
      <c r="BN12" s="557">
        <f t="shared" si="4"/>
        <v>42855</v>
      </c>
      <c r="BO12" s="557">
        <f t="shared" si="4"/>
        <v>42886</v>
      </c>
      <c r="BP12" s="557">
        <f t="shared" ref="BP12:CH12" si="5">+BO12+30</f>
        <v>42916</v>
      </c>
      <c r="BQ12" s="557">
        <f t="shared" si="5"/>
        <v>42946</v>
      </c>
      <c r="BR12" s="557">
        <f t="shared" si="5"/>
        <v>42976</v>
      </c>
      <c r="BS12" s="557">
        <f t="shared" si="5"/>
        <v>43006</v>
      </c>
      <c r="BT12" s="557">
        <f t="shared" si="5"/>
        <v>43036</v>
      </c>
      <c r="BU12" s="557">
        <f t="shared" si="5"/>
        <v>43066</v>
      </c>
      <c r="BV12" s="557">
        <f t="shared" si="5"/>
        <v>43096</v>
      </c>
      <c r="BW12" s="557">
        <f t="shared" si="5"/>
        <v>43126</v>
      </c>
      <c r="BX12" s="557">
        <f t="shared" si="5"/>
        <v>43156</v>
      </c>
      <c r="BY12" s="557">
        <f t="shared" si="5"/>
        <v>43186</v>
      </c>
      <c r="BZ12" s="557">
        <f t="shared" si="5"/>
        <v>43216</v>
      </c>
      <c r="CA12" s="557">
        <f t="shared" si="5"/>
        <v>43246</v>
      </c>
      <c r="CB12" s="557">
        <f t="shared" si="5"/>
        <v>43276</v>
      </c>
      <c r="CC12" s="557">
        <f t="shared" si="5"/>
        <v>43306</v>
      </c>
      <c r="CD12" s="557">
        <f t="shared" si="5"/>
        <v>43336</v>
      </c>
      <c r="CE12" s="557">
        <f t="shared" si="5"/>
        <v>43366</v>
      </c>
      <c r="CF12" s="557">
        <f t="shared" si="5"/>
        <v>43396</v>
      </c>
      <c r="CG12" s="557">
        <f t="shared" si="5"/>
        <v>43426</v>
      </c>
      <c r="CH12" s="557">
        <f t="shared" si="5"/>
        <v>43456</v>
      </c>
      <c r="CI12" s="557">
        <f t="shared" ref="CI12:CQ12" si="6">+CH12+30</f>
        <v>43486</v>
      </c>
      <c r="CJ12" s="557">
        <f t="shared" si="6"/>
        <v>43516</v>
      </c>
      <c r="CK12" s="557">
        <f t="shared" si="6"/>
        <v>43546</v>
      </c>
      <c r="CL12" s="557">
        <f t="shared" si="6"/>
        <v>43576</v>
      </c>
      <c r="CM12" s="557">
        <f t="shared" si="6"/>
        <v>43606</v>
      </c>
      <c r="CN12" s="557">
        <f t="shared" si="6"/>
        <v>43636</v>
      </c>
      <c r="CO12" s="557">
        <f t="shared" si="6"/>
        <v>43666</v>
      </c>
      <c r="CP12" s="557">
        <f t="shared" si="6"/>
        <v>43696</v>
      </c>
      <c r="CQ12" s="557">
        <f t="shared" si="6"/>
        <v>43726</v>
      </c>
      <c r="CR12" s="557">
        <f t="shared" ref="CR12:DL12" si="7">+CQ12+30</f>
        <v>43756</v>
      </c>
      <c r="CS12" s="557">
        <f t="shared" si="7"/>
        <v>43786</v>
      </c>
      <c r="CT12" s="557">
        <f t="shared" si="7"/>
        <v>43816</v>
      </c>
      <c r="CU12" s="557">
        <f t="shared" si="7"/>
        <v>43846</v>
      </c>
      <c r="CV12" s="557">
        <f t="shared" si="7"/>
        <v>43876</v>
      </c>
      <c r="CW12" s="557">
        <f t="shared" si="7"/>
        <v>43906</v>
      </c>
      <c r="CX12" s="557">
        <f t="shared" si="7"/>
        <v>43936</v>
      </c>
      <c r="CY12" s="557">
        <f t="shared" si="7"/>
        <v>43966</v>
      </c>
      <c r="CZ12" s="557">
        <f t="shared" si="7"/>
        <v>43996</v>
      </c>
      <c r="DA12" s="557">
        <f t="shared" si="7"/>
        <v>44026</v>
      </c>
      <c r="DB12" s="557">
        <f t="shared" si="7"/>
        <v>44056</v>
      </c>
      <c r="DC12" s="557">
        <f t="shared" si="7"/>
        <v>44086</v>
      </c>
      <c r="DD12" s="557">
        <f t="shared" si="7"/>
        <v>44116</v>
      </c>
      <c r="DE12" s="557">
        <f t="shared" si="7"/>
        <v>44146</v>
      </c>
      <c r="DF12" s="557">
        <f t="shared" si="7"/>
        <v>44176</v>
      </c>
      <c r="DG12" s="557">
        <f t="shared" si="7"/>
        <v>44206</v>
      </c>
      <c r="DH12" s="557">
        <f t="shared" si="7"/>
        <v>44236</v>
      </c>
      <c r="DI12" s="557">
        <f t="shared" si="7"/>
        <v>44266</v>
      </c>
      <c r="DJ12" s="557">
        <f t="shared" si="7"/>
        <v>44296</v>
      </c>
      <c r="DK12" s="557">
        <f t="shared" si="7"/>
        <v>44326</v>
      </c>
      <c r="DL12" s="557">
        <f t="shared" si="7"/>
        <v>44356</v>
      </c>
      <c r="DM12" s="557">
        <f t="shared" ref="DM12:DU12" si="8">+DL12+30</f>
        <v>44386</v>
      </c>
      <c r="DN12" s="557">
        <f t="shared" si="8"/>
        <v>44416</v>
      </c>
      <c r="DO12" s="557">
        <f t="shared" si="8"/>
        <v>44446</v>
      </c>
      <c r="DP12" s="557">
        <f t="shared" si="8"/>
        <v>44476</v>
      </c>
      <c r="DQ12" s="557">
        <f t="shared" si="8"/>
        <v>44506</v>
      </c>
      <c r="DR12" s="557">
        <f t="shared" si="8"/>
        <v>44536</v>
      </c>
      <c r="DS12" s="557">
        <f t="shared" si="8"/>
        <v>44566</v>
      </c>
      <c r="DT12" s="557">
        <f t="shared" si="8"/>
        <v>44596</v>
      </c>
      <c r="DU12" s="557">
        <f t="shared" si="8"/>
        <v>44626</v>
      </c>
      <c r="DV12" s="557">
        <f t="shared" ref="DV12" si="9">+DU12+30</f>
        <v>44656</v>
      </c>
      <c r="DW12" s="557">
        <f t="shared" ref="DW12" si="10">+DV12+30</f>
        <v>44686</v>
      </c>
      <c r="DX12" s="557">
        <f t="shared" ref="DX12:EA12" si="11">+DW12+30</f>
        <v>44716</v>
      </c>
      <c r="DY12" s="557">
        <f t="shared" si="11"/>
        <v>44746</v>
      </c>
      <c r="DZ12" s="557">
        <f t="shared" si="11"/>
        <v>44776</v>
      </c>
      <c r="EA12" s="557">
        <f t="shared" si="11"/>
        <v>44806</v>
      </c>
      <c r="EB12" s="557">
        <f t="shared" ref="EB12" si="12">+EA12+30</f>
        <v>44836</v>
      </c>
      <c r="EC12" s="557">
        <f t="shared" ref="EC12" si="13">+EB12+30</f>
        <v>44866</v>
      </c>
      <c r="ED12" s="557">
        <f t="shared" ref="ED12" si="14">+EC12+30</f>
        <v>44896</v>
      </c>
    </row>
    <row r="14" spans="1:138">
      <c r="A14" s="558">
        <v>224</v>
      </c>
      <c r="B14" s="550" t="s">
        <v>264</v>
      </c>
      <c r="C14" s="559">
        <v>223400</v>
      </c>
      <c r="D14" s="559">
        <v>223400</v>
      </c>
      <c r="E14" s="559">
        <v>223400</v>
      </c>
      <c r="F14" s="559">
        <v>223400</v>
      </c>
      <c r="G14" s="559">
        <v>223400</v>
      </c>
      <c r="H14" s="559">
        <v>254434.08</v>
      </c>
      <c r="I14" s="559">
        <v>251034.08</v>
      </c>
      <c r="J14" s="559">
        <v>206764.68</v>
      </c>
      <c r="K14" s="559">
        <v>231764.68</v>
      </c>
      <c r="L14" s="559">
        <v>231764.68</v>
      </c>
      <c r="M14" s="559">
        <v>231764.68</v>
      </c>
      <c r="N14" s="559">
        <v>231764.68</v>
      </c>
      <c r="O14" s="559">
        <v>231764.68</v>
      </c>
      <c r="P14" s="559">
        <v>231764.68</v>
      </c>
      <c r="Q14" s="559">
        <v>231764.68</v>
      </c>
      <c r="R14" s="559">
        <v>231764.68</v>
      </c>
      <c r="S14" s="559">
        <v>231764.68</v>
      </c>
      <c r="T14" s="559">
        <v>231764.68</v>
      </c>
      <c r="U14" s="559">
        <v>231764.68</v>
      </c>
      <c r="V14" s="559">
        <v>231764.68</v>
      </c>
      <c r="W14" s="559">
        <v>231764.68</v>
      </c>
      <c r="X14" s="559">
        <v>231764.68</v>
      </c>
      <c r="Y14" s="559">
        <v>231764.68</v>
      </c>
      <c r="Z14" s="559">
        <v>231764.68</v>
      </c>
      <c r="AA14" s="559">
        <v>231764.68</v>
      </c>
      <c r="AB14" s="559">
        <v>231764.68</v>
      </c>
      <c r="AC14" s="559">
        <v>231764.68</v>
      </c>
      <c r="AD14" s="559">
        <v>231764.68</v>
      </c>
      <c r="AE14" s="559">
        <v>241764.68</v>
      </c>
      <c r="AF14" s="559">
        <v>241764.68</v>
      </c>
      <c r="AG14" s="559">
        <v>241764.68</v>
      </c>
      <c r="AH14" s="559">
        <v>241764.68</v>
      </c>
      <c r="AI14" s="559">
        <v>241764.68</v>
      </c>
      <c r="AJ14" s="559">
        <v>241764.68</v>
      </c>
      <c r="AK14" s="559">
        <v>241764.68</v>
      </c>
      <c r="AL14" s="559">
        <v>241764.68</v>
      </c>
      <c r="AM14" s="559">
        <v>241764.68</v>
      </c>
      <c r="AN14" s="559">
        <v>241764.68</v>
      </c>
      <c r="AO14" s="559">
        <v>241764.68</v>
      </c>
      <c r="AP14" s="559">
        <v>241764.68</v>
      </c>
      <c r="AQ14" s="559">
        <v>261764.68</v>
      </c>
      <c r="AR14" s="559">
        <v>261764.68</v>
      </c>
      <c r="AS14" s="559">
        <v>261764.68</v>
      </c>
      <c r="AT14" s="559">
        <v>261764.68</v>
      </c>
      <c r="AU14" s="559">
        <v>261764.68</v>
      </c>
      <c r="AV14" s="559">
        <v>261764.68</v>
      </c>
      <c r="AW14" s="559">
        <v>261764.68</v>
      </c>
      <c r="AX14" s="560">
        <v>261764.68</v>
      </c>
      <c r="AY14" s="560">
        <v>261764.68</v>
      </c>
      <c r="AZ14" s="560">
        <v>261764.68</v>
      </c>
      <c r="BA14" s="560">
        <v>261764.68</v>
      </c>
      <c r="BB14" s="560">
        <v>261764.68</v>
      </c>
      <c r="BC14" s="560">
        <v>261764.68</v>
      </c>
      <c r="BD14" s="560">
        <v>261764.68</v>
      </c>
      <c r="BE14" s="560">
        <v>261764.68</v>
      </c>
      <c r="BF14" s="560">
        <v>261764.68</v>
      </c>
      <c r="BG14" s="560">
        <v>261764.68</v>
      </c>
      <c r="BH14" s="560">
        <v>261764.68</v>
      </c>
      <c r="BI14" s="560">
        <v>261764.68</v>
      </c>
      <c r="BJ14" s="560">
        <v>261764.68</v>
      </c>
      <c r="BK14" s="560">
        <v>261764.68</v>
      </c>
      <c r="BL14" s="560">
        <v>261764.68</v>
      </c>
      <c r="BM14" s="560">
        <v>261764.68</v>
      </c>
      <c r="BN14" s="560">
        <v>261764.68</v>
      </c>
      <c r="BO14" s="560">
        <v>261764.68</v>
      </c>
      <c r="BP14" s="560">
        <v>261764.68</v>
      </c>
      <c r="BQ14" s="560">
        <v>261764.68</v>
      </c>
      <c r="BR14" s="560">
        <v>261764.68</v>
      </c>
      <c r="BS14" s="560">
        <v>261764.68</v>
      </c>
      <c r="BT14" s="560">
        <v>261764.68</v>
      </c>
      <c r="BU14" s="560">
        <v>261764.68</v>
      </c>
      <c r="BV14" s="560">
        <v>261764.68</v>
      </c>
      <c r="BW14" s="560">
        <v>261764.68</v>
      </c>
      <c r="BX14" s="560">
        <v>261764.68</v>
      </c>
      <c r="BY14" s="560">
        <v>261764.68</v>
      </c>
      <c r="BZ14" s="560">
        <v>261764.68</v>
      </c>
      <c r="CA14" s="560">
        <v>211764.68</v>
      </c>
      <c r="CB14" s="560">
        <v>286764.68</v>
      </c>
      <c r="CC14" s="560">
        <v>286764.68</v>
      </c>
      <c r="CD14" s="560">
        <v>286764.68</v>
      </c>
      <c r="CE14" s="560">
        <v>286764.68</v>
      </c>
      <c r="CF14" s="560">
        <v>311764.68</v>
      </c>
      <c r="CG14" s="560">
        <v>311764.68</v>
      </c>
      <c r="CH14" s="560">
        <v>311764.68</v>
      </c>
      <c r="CI14" s="560">
        <v>311764.68</v>
      </c>
      <c r="CJ14" s="560">
        <v>311764.68</v>
      </c>
      <c r="CK14" s="560">
        <v>311764.68</v>
      </c>
      <c r="CL14" s="560">
        <v>311764.68</v>
      </c>
      <c r="CM14" s="560">
        <v>311764.68</v>
      </c>
      <c r="CN14" s="560">
        <v>311764.68</v>
      </c>
      <c r="CO14" s="560">
        <v>336764.68</v>
      </c>
      <c r="CP14" s="560">
        <v>336764.68</v>
      </c>
      <c r="CQ14" s="560">
        <v>336764.68</v>
      </c>
      <c r="CR14" s="560">
        <v>336764.68</v>
      </c>
      <c r="CS14" s="560">
        <v>336764.68</v>
      </c>
      <c r="CT14" s="560">
        <v>336764.68</v>
      </c>
      <c r="CU14" s="560">
        <v>336764.68</v>
      </c>
      <c r="CV14" s="560">
        <v>336764.68</v>
      </c>
      <c r="CW14" s="560">
        <v>336764.68</v>
      </c>
      <c r="CX14" s="560">
        <v>336764.68</v>
      </c>
      <c r="CY14" s="560">
        <v>336764.68</v>
      </c>
      <c r="CZ14" s="560">
        <v>336764.68</v>
      </c>
      <c r="DA14" s="560">
        <v>336764.68</v>
      </c>
      <c r="DB14" s="560">
        <v>336764.68</v>
      </c>
      <c r="DC14" s="560">
        <v>336764.68</v>
      </c>
      <c r="DD14" s="560">
        <v>336764.68</v>
      </c>
      <c r="DE14" s="560">
        <v>336764.68</v>
      </c>
      <c r="DF14" s="560">
        <v>336764.68</v>
      </c>
      <c r="DG14" s="560">
        <v>336764.68</v>
      </c>
      <c r="DH14" s="560">
        <v>336764.68</v>
      </c>
      <c r="DI14" s="560">
        <v>566764.68000000005</v>
      </c>
      <c r="DJ14" s="560">
        <v>566764.68000000005</v>
      </c>
      <c r="DK14" s="560">
        <v>520000</v>
      </c>
      <c r="DL14" s="560">
        <v>520000</v>
      </c>
      <c r="DM14" s="560">
        <f>'Bal Sheet'!EN66</f>
        <v>520000</v>
      </c>
      <c r="DN14" s="560">
        <f>'Bal Sheet'!EO66</f>
        <v>520000</v>
      </c>
      <c r="DO14" s="560">
        <f>'Bal Sheet'!EP66</f>
        <v>520000</v>
      </c>
      <c r="DP14" s="560">
        <f>'Bal Sheet'!EQ66</f>
        <v>520000</v>
      </c>
      <c r="DQ14" s="560">
        <f>'Bal Sheet'!ER66</f>
        <v>520000</v>
      </c>
      <c r="DR14" s="560">
        <f>'Bal Sheet'!ES66</f>
        <v>520000</v>
      </c>
      <c r="DS14" s="560">
        <f>'Bal Sheet'!ET66</f>
        <v>520000</v>
      </c>
      <c r="DT14" s="560">
        <f>'Bal Sheet'!EU66</f>
        <v>520000</v>
      </c>
      <c r="DU14" s="560">
        <f>'Bal Sheet'!EV66</f>
        <v>520000</v>
      </c>
      <c r="DV14" s="560">
        <f>'Bal Sheet'!EW66</f>
        <v>520000</v>
      </c>
      <c r="DW14" s="560">
        <f>'Bal Sheet'!EX66</f>
        <v>520000</v>
      </c>
      <c r="DX14" s="560">
        <f>'Bal Sheet'!EY66</f>
        <v>520000</v>
      </c>
      <c r="DY14" s="560">
        <f>'Bal Sheet'!EZ66</f>
        <v>595000</v>
      </c>
      <c r="DZ14" s="560">
        <f>'Bal Sheet'!FA66</f>
        <v>595000</v>
      </c>
      <c r="EA14" s="560">
        <f>'Bal Sheet'!FB66</f>
        <v>570000</v>
      </c>
      <c r="EB14" s="560">
        <f>'Bal Sheet'!FC66</f>
        <v>570000</v>
      </c>
      <c r="EC14" s="560">
        <f>'Bal Sheet'!FD66</f>
        <v>570000</v>
      </c>
      <c r="ED14" s="560">
        <f>'Bal Sheet'!FE66</f>
        <v>570000</v>
      </c>
      <c r="EH14" s="818"/>
    </row>
    <row r="15" spans="1:138">
      <c r="A15" s="558">
        <v>226</v>
      </c>
      <c r="B15" s="550" t="s">
        <v>265</v>
      </c>
      <c r="C15" s="561">
        <v>-322</v>
      </c>
      <c r="D15" s="561">
        <v>-315</v>
      </c>
      <c r="E15" s="561">
        <v>-308</v>
      </c>
      <c r="F15" s="561">
        <v>-301</v>
      </c>
      <c r="G15" s="561">
        <v>-294</v>
      </c>
      <c r="H15" s="561">
        <v>-424.66644000000008</v>
      </c>
      <c r="I15" s="561">
        <v>-418.65434000000005</v>
      </c>
      <c r="J15" s="561">
        <v>-417.32601</v>
      </c>
      <c r="K15" s="561">
        <v>-446.49768</v>
      </c>
      <c r="L15" s="561">
        <v>-444.91518000000002</v>
      </c>
      <c r="M15" s="561">
        <v>-443.33267999999998</v>
      </c>
      <c r="N15" s="561">
        <v>-441.75018</v>
      </c>
      <c r="O15" s="561">
        <v>-440.16768000000002</v>
      </c>
      <c r="P15" s="561">
        <v>-438.58517999999998</v>
      </c>
      <c r="Q15" s="561">
        <v>-437.00268</v>
      </c>
      <c r="R15" s="561">
        <v>-435.42018000000002</v>
      </c>
      <c r="S15" s="561">
        <v>-433.83767999999998</v>
      </c>
      <c r="T15" s="561">
        <v>-432.25518</v>
      </c>
      <c r="U15" s="561">
        <v>-430.67268000000001</v>
      </c>
      <c r="V15" s="561">
        <v>-429.09017999999998</v>
      </c>
      <c r="W15" s="561">
        <v>-427.50767999999999</v>
      </c>
      <c r="X15" s="561">
        <v>-425.92518000000001</v>
      </c>
      <c r="Y15" s="561">
        <v>-424.34267999999997</v>
      </c>
      <c r="Z15" s="561">
        <v>-422.76017999999999</v>
      </c>
      <c r="AA15" s="561">
        <v>-421.17768000000001</v>
      </c>
      <c r="AB15" s="561">
        <v>-419.59517999999997</v>
      </c>
      <c r="AC15" s="561">
        <v>-418.01267999999999</v>
      </c>
      <c r="AD15" s="561">
        <v>-416.43018000000001</v>
      </c>
      <c r="AE15" s="561">
        <v>-421.54768000000001</v>
      </c>
      <c r="AF15" s="561">
        <v>-419.93726000000004</v>
      </c>
      <c r="AG15" s="561">
        <v>-418.33615000000003</v>
      </c>
      <c r="AH15" s="561">
        <v>-416.73503999999997</v>
      </c>
      <c r="AI15" s="561">
        <v>-415.13393000000002</v>
      </c>
      <c r="AJ15" s="561">
        <v>-413.53282000000002</v>
      </c>
      <c r="AK15" s="561">
        <v>-411.93171000000001</v>
      </c>
      <c r="AL15" s="561">
        <v>-410.3306</v>
      </c>
      <c r="AM15" s="561">
        <v>-408.72949</v>
      </c>
      <c r="AN15" s="561">
        <v>-407.12837999999999</v>
      </c>
      <c r="AO15" s="561">
        <v>-405.52727000000004</v>
      </c>
      <c r="AP15" s="561">
        <v>-403.92615999999998</v>
      </c>
      <c r="AQ15" s="561">
        <v>-439.52504999999996</v>
      </c>
      <c r="AR15" s="561">
        <v>-437.81940999999995</v>
      </c>
      <c r="AS15" s="561">
        <v>-436.11496999999997</v>
      </c>
      <c r="AT15" s="561">
        <v>-434.41053000000005</v>
      </c>
      <c r="AU15" s="561">
        <v>-432.70609000000002</v>
      </c>
      <c r="AV15" s="561">
        <v>-431.00165000000004</v>
      </c>
      <c r="AW15" s="561">
        <v>-429.29721000000001</v>
      </c>
      <c r="AX15" s="562">
        <v>-427.59277000000003</v>
      </c>
      <c r="AY15" s="562">
        <v>-425.88833</v>
      </c>
      <c r="AZ15" s="562">
        <v>-424.18389000000002</v>
      </c>
      <c r="BA15" s="562">
        <v>-422.47944999999999</v>
      </c>
      <c r="BB15" s="562">
        <v>-420.77501000000001</v>
      </c>
      <c r="BC15" s="562">
        <v>-419.07057000000003</v>
      </c>
      <c r="BD15" s="562">
        <v>-417.36613</v>
      </c>
      <c r="BE15" s="562">
        <v>-415.66169000000002</v>
      </c>
      <c r="BF15" s="562">
        <v>-413.95724999999999</v>
      </c>
      <c r="BG15" s="562">
        <v>-412.25281000000001</v>
      </c>
      <c r="BH15" s="562">
        <v>-410.54836999999998</v>
      </c>
      <c r="BI15" s="562">
        <v>-408.84393</v>
      </c>
      <c r="BJ15" s="562">
        <v>-407.13948999999997</v>
      </c>
      <c r="BK15" s="562">
        <v>-405.43504999999999</v>
      </c>
      <c r="BL15" s="562">
        <v>-403.73061000000001</v>
      </c>
      <c r="BM15" s="562">
        <v>-402.02616999999998</v>
      </c>
      <c r="BN15" s="562">
        <v>-400.32173</v>
      </c>
      <c r="BO15" s="562">
        <v>-398.61728999999997</v>
      </c>
      <c r="BP15" s="562">
        <v>-396.91284999999999</v>
      </c>
      <c r="BQ15" s="562">
        <v>-395.20840999999996</v>
      </c>
      <c r="BR15" s="562">
        <v>-393.50396999999998</v>
      </c>
      <c r="BS15" s="562">
        <v>-391.79953</v>
      </c>
      <c r="BT15" s="562">
        <v>-390.09509000000003</v>
      </c>
      <c r="BU15" s="562">
        <v>-388.39065000000005</v>
      </c>
      <c r="BV15" s="562">
        <v>-386.68621000000002</v>
      </c>
      <c r="BW15" s="562">
        <v>-384.98177000000004</v>
      </c>
      <c r="BX15" s="562">
        <v>-383.27733000000001</v>
      </c>
      <c r="BY15" s="562">
        <v>-381.57289000000003</v>
      </c>
      <c r="BZ15" s="562">
        <v>-379.86845</v>
      </c>
      <c r="CA15" s="562">
        <v>-378.16401000000002</v>
      </c>
      <c r="CB15" s="562">
        <v>-571.30250999999998</v>
      </c>
      <c r="CC15" s="562">
        <v>-774.52298999999994</v>
      </c>
      <c r="CD15" s="562">
        <v>-771.70187999999996</v>
      </c>
      <c r="CE15" s="562">
        <v>-768.88076999999998</v>
      </c>
      <c r="CF15" s="562">
        <v>-893.46370999999999</v>
      </c>
      <c r="CG15" s="562">
        <v>-890.29544999999996</v>
      </c>
      <c r="CH15" s="562">
        <v>-887.12718999999993</v>
      </c>
      <c r="CI15" s="562">
        <v>-883.95893000000001</v>
      </c>
      <c r="CJ15" s="562">
        <v>-880.79067000000009</v>
      </c>
      <c r="CK15" s="562">
        <v>-877.62241000000006</v>
      </c>
      <c r="CL15" s="562">
        <v>-874.45415000000003</v>
      </c>
      <c r="CM15" s="562">
        <v>-871.28588999999999</v>
      </c>
      <c r="CN15" s="562">
        <v>-868.11762999999996</v>
      </c>
      <c r="CO15" s="562">
        <v>-1171.44937</v>
      </c>
      <c r="CP15" s="562">
        <v>-1167.4566100000002</v>
      </c>
      <c r="CQ15" s="562">
        <v>-1163.4621999999999</v>
      </c>
      <c r="CR15" s="562">
        <v>-1159.4677900000002</v>
      </c>
      <c r="CS15" s="562">
        <v>-1155.4733799999999</v>
      </c>
      <c r="CT15" s="562">
        <v>-1151.4789699999999</v>
      </c>
      <c r="CU15" s="562">
        <v>-1147.4845600000001</v>
      </c>
      <c r="CV15" s="562">
        <v>-1143.4901499999999</v>
      </c>
      <c r="CW15" s="562">
        <v>-1139.4957400000001</v>
      </c>
      <c r="CX15" s="562">
        <v>-1135.5013300000001</v>
      </c>
      <c r="CY15" s="562">
        <v>-1131.50692</v>
      </c>
      <c r="CZ15" s="562">
        <v>-1127.51251</v>
      </c>
      <c r="DA15" s="562">
        <v>-1123.5181</v>
      </c>
      <c r="DB15" s="562">
        <v>-1119.52369</v>
      </c>
      <c r="DC15" s="562">
        <v>-1115.52928</v>
      </c>
      <c r="DD15" s="562">
        <v>-1111.5348700000002</v>
      </c>
      <c r="DE15" s="562">
        <v>-1107.5404599999999</v>
      </c>
      <c r="DF15" s="562">
        <v>-1103.5460500000002</v>
      </c>
      <c r="DG15" s="562">
        <v>-1099.5516399999999</v>
      </c>
      <c r="DH15" s="562">
        <v>-1095.5572299999999</v>
      </c>
      <c r="DI15" s="562">
        <v>-1719.07629</v>
      </c>
      <c r="DJ15" s="562">
        <v>-1711.4238500000001</v>
      </c>
      <c r="DK15" s="562">
        <v>-1703.5929099999998</v>
      </c>
      <c r="DL15" s="562">
        <v>-1695.76197</v>
      </c>
      <c r="DM15" s="562">
        <f>'Bal Sheet'!EN68</f>
        <v>-1687.93103</v>
      </c>
      <c r="DN15" s="562">
        <f>'Bal Sheet'!EO68</f>
        <v>-1680.1000900000001</v>
      </c>
      <c r="DO15" s="562">
        <f>'Bal Sheet'!EP68</f>
        <v>-1672.2691499999999</v>
      </c>
      <c r="DP15" s="562">
        <f>'Bal Sheet'!EQ68</f>
        <v>-1664.43821</v>
      </c>
      <c r="DQ15" s="562">
        <f>'Bal Sheet'!ER68</f>
        <v>-1656.60727</v>
      </c>
      <c r="DR15" s="562">
        <f>'Bal Sheet'!ES68</f>
        <v>-1648.7763300000001</v>
      </c>
      <c r="DS15" s="562">
        <f>'Bal Sheet'!ET68</f>
        <v>-1640.9453899999999</v>
      </c>
      <c r="DT15" s="562">
        <f>'Bal Sheet'!EU68</f>
        <v>-1633.11445</v>
      </c>
      <c r="DU15" s="562">
        <f>'Bal Sheet'!EV68</f>
        <v>-1625.28351</v>
      </c>
      <c r="DV15" s="562">
        <f>'Bal Sheet'!EW68</f>
        <v>-1617.4525700000002</v>
      </c>
      <c r="DW15" s="562">
        <f>'Bal Sheet'!EX68</f>
        <v>-1609.6216299999999</v>
      </c>
      <c r="DX15" s="562">
        <f>'Bal Sheet'!EY68</f>
        <v>-1601.79069</v>
      </c>
      <c r="DY15" s="562">
        <f>'Bal Sheet'!EZ68</f>
        <v>-1654.0476999999998</v>
      </c>
      <c r="DZ15" s="562">
        <f>'Bal Sheet'!FA68</f>
        <v>-1645.4918300000002</v>
      </c>
      <c r="EA15" s="562">
        <f>'Bal Sheet'!FB68</f>
        <v>-1636.93596</v>
      </c>
      <c r="EB15" s="562">
        <f>'Bal Sheet'!FC68</f>
        <v>-1628.63426</v>
      </c>
      <c r="EC15" s="562">
        <f>'Bal Sheet'!FD68</f>
        <v>-1620.3325600000001</v>
      </c>
      <c r="ED15" s="562">
        <f>'Bal Sheet'!FE68</f>
        <v>-1612.0308600000001</v>
      </c>
    </row>
    <row r="16" spans="1:138">
      <c r="A16" s="558" t="s">
        <v>566</v>
      </c>
      <c r="B16" s="550" t="s">
        <v>247</v>
      </c>
      <c r="C16" s="561">
        <v>-995</v>
      </c>
      <c r="D16" s="561">
        <v>-918</v>
      </c>
      <c r="E16" s="561">
        <v>-842</v>
      </c>
      <c r="F16" s="561">
        <v>-765</v>
      </c>
      <c r="G16" s="561">
        <v>-689</v>
      </c>
      <c r="H16" s="561">
        <v>-1092.07682</v>
      </c>
      <c r="I16" s="561">
        <v>-1020.6470899999999</v>
      </c>
      <c r="J16" s="561">
        <v>-990.46615999999995</v>
      </c>
      <c r="K16" s="561">
        <v>-1168.9336000000001</v>
      </c>
      <c r="L16" s="561">
        <v>-1186.8225199999999</v>
      </c>
      <c r="M16" s="561">
        <v>-1179.68469</v>
      </c>
      <c r="N16" s="561">
        <v>-1179.82277</v>
      </c>
      <c r="O16" s="561">
        <v>-1172.58357</v>
      </c>
      <c r="P16" s="561">
        <v>-1165.4093400000002</v>
      </c>
      <c r="Q16" s="561">
        <v>-1158.2351100000001</v>
      </c>
      <c r="R16" s="561">
        <v>-1151.06088</v>
      </c>
      <c r="S16" s="561">
        <v>-1143.8866499999999</v>
      </c>
      <c r="T16" s="561">
        <v>-1136.7124199999998</v>
      </c>
      <c r="U16" s="561">
        <v>-1130.1549399999999</v>
      </c>
      <c r="V16" s="561">
        <v>-1122.9566599999998</v>
      </c>
      <c r="W16" s="561">
        <v>-1116.1136999999999</v>
      </c>
      <c r="X16" s="561">
        <v>-1108.9346599999999</v>
      </c>
      <c r="Y16" s="561">
        <v>-1101.7556200000001</v>
      </c>
      <c r="Z16" s="561">
        <v>-1094.5765800000001</v>
      </c>
      <c r="AA16" s="561">
        <v>-1087.3975399999999</v>
      </c>
      <c r="AB16" s="561">
        <v>-1080.2184999999999</v>
      </c>
      <c r="AC16" s="561">
        <v>-1073.03946</v>
      </c>
      <c r="AD16" s="561">
        <v>-1065.86042</v>
      </c>
      <c r="AE16" s="561">
        <v>-1151.4688799999999</v>
      </c>
      <c r="AF16" s="561">
        <v>-1146.2596899999999</v>
      </c>
      <c r="AG16" s="561">
        <v>-1141.3574199999998</v>
      </c>
      <c r="AH16" s="561">
        <v>-1134.10501</v>
      </c>
      <c r="AI16" s="561">
        <v>-1136.8983899999998</v>
      </c>
      <c r="AJ16" s="561">
        <v>-1129.58024</v>
      </c>
      <c r="AK16" s="561">
        <v>-1122.0975100000001</v>
      </c>
      <c r="AL16" s="561">
        <v>-1114.6147800000001</v>
      </c>
      <c r="AM16" s="561">
        <v>-1107.1320499999999</v>
      </c>
      <c r="AN16" s="561">
        <v>-1099.64932</v>
      </c>
      <c r="AO16" s="561">
        <v>-1092.16659</v>
      </c>
      <c r="AP16" s="561">
        <v>-1084.6838600000001</v>
      </c>
      <c r="AQ16" s="561">
        <v>-1266.2268100000001</v>
      </c>
      <c r="AR16" s="561">
        <v>-1277.9586899999999</v>
      </c>
      <c r="AS16" s="561">
        <v>-1271.07864</v>
      </c>
      <c r="AT16" s="561">
        <v>-1263.0125500000001</v>
      </c>
      <c r="AU16" s="561">
        <v>-1264.8353400000001</v>
      </c>
      <c r="AV16" s="561">
        <v>-1256.7414699999999</v>
      </c>
      <c r="AW16" s="561">
        <v>-1248.64831</v>
      </c>
      <c r="AX16" s="562">
        <v>-1240.5544399999999</v>
      </c>
      <c r="AY16" s="562">
        <v>-1232.46057</v>
      </c>
      <c r="AZ16" s="562">
        <v>-1224.3667</v>
      </c>
      <c r="BA16" s="562">
        <v>-1216.2728300000001</v>
      </c>
      <c r="BB16" s="562">
        <v>-1208.17896</v>
      </c>
      <c r="BC16" s="562">
        <v>-1200.08509</v>
      </c>
      <c r="BD16" s="562">
        <v>-1191.9912199999999</v>
      </c>
      <c r="BE16" s="562">
        <v>-1183.8973500000002</v>
      </c>
      <c r="BF16" s="562">
        <v>-1175.80348</v>
      </c>
      <c r="BG16" s="562">
        <v>-1167.7096100000001</v>
      </c>
      <c r="BH16" s="562">
        <v>-1159.61574</v>
      </c>
      <c r="BI16" s="562">
        <v>-1151.52187</v>
      </c>
      <c r="BJ16" s="562">
        <v>-1143.4280000000001</v>
      </c>
      <c r="BK16" s="562">
        <v>-1135.33413</v>
      </c>
      <c r="BL16" s="562">
        <v>-1127.24026</v>
      </c>
      <c r="BM16" s="562">
        <v>-1119.1463899999999</v>
      </c>
      <c r="BN16" s="562">
        <v>-1111.05252</v>
      </c>
      <c r="BO16" s="562">
        <v>-1102.9586499999998</v>
      </c>
      <c r="BP16" s="562">
        <v>-1094.8647800000001</v>
      </c>
      <c r="BQ16" s="562">
        <v>-1086.77091</v>
      </c>
      <c r="BR16" s="562">
        <v>-1078.67704</v>
      </c>
      <c r="BS16" s="562">
        <v>-1070.5831699999999</v>
      </c>
      <c r="BT16" s="562">
        <v>-1062.4893</v>
      </c>
      <c r="BU16" s="562">
        <v>-1054.39543</v>
      </c>
      <c r="BV16" s="562">
        <v>-1046.3015600000001</v>
      </c>
      <c r="BW16" s="562">
        <v>-1038.20769</v>
      </c>
      <c r="BX16" s="562">
        <v>-1030.11382</v>
      </c>
      <c r="BY16" s="562">
        <v>-1067.87933</v>
      </c>
      <c r="BZ16" s="562">
        <v>-1053.2341200000001</v>
      </c>
      <c r="CA16" s="562">
        <v>-1040.1659300000001</v>
      </c>
      <c r="CB16" s="562">
        <v>-1785.06277</v>
      </c>
      <c r="CC16" s="562">
        <v>-1787.67147</v>
      </c>
      <c r="CD16" s="562">
        <v>-1779.1369099999999</v>
      </c>
      <c r="CE16" s="562">
        <v>-1807.0138899999999</v>
      </c>
      <c r="CF16" s="562">
        <v>-2037.07448</v>
      </c>
      <c r="CG16" s="562">
        <v>-2030.6094499999999</v>
      </c>
      <c r="CH16" s="562">
        <v>-2027.97783</v>
      </c>
      <c r="CI16" s="562">
        <v>-2020.07215</v>
      </c>
      <c r="CJ16" s="562">
        <v>-2012.1834799999999</v>
      </c>
      <c r="CK16" s="562">
        <v>-2018.04828</v>
      </c>
      <c r="CL16" s="562">
        <v>-2010.10456</v>
      </c>
      <c r="CM16" s="562">
        <v>-2002.16084</v>
      </c>
      <c r="CN16" s="562">
        <v>-1994.21712</v>
      </c>
      <c r="CO16" s="562">
        <v>-2205.5789</v>
      </c>
      <c r="CP16" s="562">
        <v>-2242.15967</v>
      </c>
      <c r="CQ16" s="562">
        <v>-2244.4437000000003</v>
      </c>
      <c r="CR16" s="562">
        <v>-2235.7572300000002</v>
      </c>
      <c r="CS16" s="562">
        <v>-2227.0707599999996</v>
      </c>
      <c r="CT16" s="562">
        <v>-2233.0608900000002</v>
      </c>
      <c r="CU16" s="562">
        <v>-2224.3343199999999</v>
      </c>
      <c r="CV16" s="562">
        <v>-2226.9272999999998</v>
      </c>
      <c r="CW16" s="562">
        <v>-2222.0164199999999</v>
      </c>
      <c r="CX16" s="562">
        <v>-2211.8215099999998</v>
      </c>
      <c r="CY16" s="562">
        <v>-2201.6266000000001</v>
      </c>
      <c r="CZ16" s="562">
        <v>-2191.4316899999999</v>
      </c>
      <c r="DA16" s="562">
        <v>-2181.2367799999997</v>
      </c>
      <c r="DB16" s="562">
        <v>-2171.04187</v>
      </c>
      <c r="DC16" s="562">
        <v>-2160.8469599999999</v>
      </c>
      <c r="DD16" s="562">
        <v>-2150.6520499999997</v>
      </c>
      <c r="DE16" s="562">
        <v>-2140.45714</v>
      </c>
      <c r="DF16" s="562">
        <v>-2130.2622299999998</v>
      </c>
      <c r="DG16" s="562">
        <v>-2126.6312200000002</v>
      </c>
      <c r="DH16" s="562">
        <v>-2115.7154100000002</v>
      </c>
      <c r="DI16" s="562">
        <v>-3962.9508900000001</v>
      </c>
      <c r="DJ16" s="562">
        <v>-4083.4283599999999</v>
      </c>
      <c r="DK16" s="562">
        <v>-4214.9540700000007</v>
      </c>
      <c r="DL16" s="562">
        <v>-4360.24496</v>
      </c>
      <c r="DM16" s="562">
        <f>-'Bal Sheet'!EN44</f>
        <v>-4339.27621</v>
      </c>
      <c r="DN16" s="562">
        <f>-'Bal Sheet'!EO44</f>
        <v>-4318.30746</v>
      </c>
      <c r="DO16" s="562">
        <f>-'Bal Sheet'!EP44</f>
        <v>-4297.33871</v>
      </c>
      <c r="DP16" s="562">
        <f>-'Bal Sheet'!EQ44</f>
        <v>-4276.36996</v>
      </c>
      <c r="DQ16" s="562">
        <f>-'Bal Sheet'!ER44</f>
        <v>-4255.40121</v>
      </c>
      <c r="DR16" s="562">
        <f>-'Bal Sheet'!ES44</f>
        <v>-4248.9452799999999</v>
      </c>
      <c r="DS16" s="562">
        <f>-'Bal Sheet'!ET44</f>
        <v>-4226.5231299999996</v>
      </c>
      <c r="DT16" s="562">
        <f>-'Bal Sheet'!EU44</f>
        <v>-4204.3671599999998</v>
      </c>
      <c r="DU16" s="562">
        <f>-'Bal Sheet'!EV44</f>
        <v>-4182.21119</v>
      </c>
      <c r="DV16" s="562">
        <f>-'Bal Sheet'!EW44</f>
        <v>-4161.0365000000002</v>
      </c>
      <c r="DW16" s="562">
        <f>-'Bal Sheet'!EX44</f>
        <v>-4138.7578700000004</v>
      </c>
      <c r="DX16" s="562">
        <f>-'Bal Sheet'!EY44</f>
        <v>-4116.4792400000006</v>
      </c>
      <c r="DY16" s="562">
        <f>-'Bal Sheet'!EZ44</f>
        <v>-4568.2277899999999</v>
      </c>
      <c r="DZ16" s="562">
        <f>-'Bal Sheet'!FA44</f>
        <v>-4607.0475999999999</v>
      </c>
      <c r="EA16" s="562">
        <f>-'Bal Sheet'!FB44</f>
        <v>-4577.8456399999995</v>
      </c>
      <c r="EB16" s="562">
        <f>-'Bal Sheet'!FC44</f>
        <v>-4562.2672300000004</v>
      </c>
      <c r="EC16" s="562">
        <f>-'Bal Sheet'!FD44</f>
        <v>-4533.6203099999993</v>
      </c>
      <c r="ED16" s="562">
        <f>-'Bal Sheet'!FE44</f>
        <v>-4543.2443700000003</v>
      </c>
    </row>
    <row r="17" spans="1:143">
      <c r="A17" s="558" t="s">
        <v>555</v>
      </c>
      <c r="B17" s="550" t="s">
        <v>556</v>
      </c>
      <c r="C17" s="563">
        <v>-3379.4855400000001</v>
      </c>
      <c r="D17" s="563">
        <v>-3379.4855400000001</v>
      </c>
      <c r="E17" s="563">
        <v>-3379.4855400000001</v>
      </c>
      <c r="F17" s="563">
        <v>-3379.4855400000001</v>
      </c>
      <c r="G17" s="563">
        <v>-3379.4855400000001</v>
      </c>
      <c r="H17" s="563">
        <v>-3379.4855400000001</v>
      </c>
      <c r="I17" s="563">
        <v>-3379.4855400000001</v>
      </c>
      <c r="J17" s="563">
        <v>-3379.4855400000001</v>
      </c>
      <c r="K17" s="563">
        <v>-3379.4855400000001</v>
      </c>
      <c r="L17" s="563">
        <v>-3379.4855400000001</v>
      </c>
      <c r="M17" s="563">
        <v>-3379.4855400000001</v>
      </c>
      <c r="N17" s="563">
        <v>-3379.4855400000001</v>
      </c>
      <c r="O17" s="563">
        <v>-3379.4855400000001</v>
      </c>
      <c r="P17" s="563">
        <v>-3343.0035899999998</v>
      </c>
      <c r="Q17" s="563">
        <v>-3306.5216399999999</v>
      </c>
      <c r="R17" s="563">
        <v>-3270.0396900000001</v>
      </c>
      <c r="S17" s="563">
        <v>-3233.5577400000002</v>
      </c>
      <c r="T17" s="563">
        <v>-3197.0757899999999</v>
      </c>
      <c r="U17" s="563">
        <v>-3160.59384</v>
      </c>
      <c r="V17" s="563">
        <v>-3124.1118900000001</v>
      </c>
      <c r="W17" s="563">
        <v>-3087.6299399999998</v>
      </c>
      <c r="X17" s="563">
        <v>-3051.1479900000004</v>
      </c>
      <c r="Y17" s="563">
        <v>-3014.6660400000001</v>
      </c>
      <c r="Z17" s="563">
        <v>-2978.1840899999997</v>
      </c>
      <c r="AA17" s="359">
        <v>-2941.7021400000003</v>
      </c>
      <c r="AB17" s="359">
        <v>-2905.22019</v>
      </c>
      <c r="AC17" s="359">
        <v>-2868.7382400000001</v>
      </c>
      <c r="AD17" s="359">
        <v>-2829.8726099999999</v>
      </c>
      <c r="AE17" s="359">
        <v>-2806.1155600000002</v>
      </c>
      <c r="AF17" s="359">
        <v>-2769.60484</v>
      </c>
      <c r="AG17" s="359">
        <v>-2733.0941200000002</v>
      </c>
      <c r="AH17" s="359">
        <v>-2696.5834</v>
      </c>
      <c r="AI17" s="359">
        <v>-2660.0726800000002</v>
      </c>
      <c r="AJ17" s="359">
        <v>-2623.56196</v>
      </c>
      <c r="AK17" s="359">
        <v>-2587.0512400000002</v>
      </c>
      <c r="AL17" s="359">
        <v>-2550.54052</v>
      </c>
      <c r="AM17" s="359">
        <v>-2514.0297999999998</v>
      </c>
      <c r="AN17" s="359">
        <v>-2477.51908</v>
      </c>
      <c r="AO17" s="359">
        <v>-2413.4844399999997</v>
      </c>
      <c r="AP17" s="359">
        <v>-2216.7097200000003</v>
      </c>
      <c r="AQ17" s="359">
        <v>-2020.9469199999999</v>
      </c>
      <c r="AR17" s="359">
        <v>-1985.4002</v>
      </c>
      <c r="AS17" s="359">
        <v>-1949.85348</v>
      </c>
      <c r="AT17" s="359">
        <v>-1914.3067599999999</v>
      </c>
      <c r="AU17" s="359">
        <v>-1878.7600400000001</v>
      </c>
      <c r="AV17" s="359">
        <v>-1843.2133200000001</v>
      </c>
      <c r="AW17" s="359">
        <v>-1807.6666</v>
      </c>
      <c r="AX17" s="359">
        <v>-1772.11988</v>
      </c>
      <c r="AY17" s="359">
        <v>-1736.5731599999999</v>
      </c>
      <c r="AZ17" s="359">
        <v>-1701.0264399999999</v>
      </c>
      <c r="BA17" s="359">
        <v>-1665.47972</v>
      </c>
      <c r="BB17" s="359">
        <v>-1629.933</v>
      </c>
      <c r="BC17" s="359">
        <v>-1594.3862799999999</v>
      </c>
      <c r="BD17" s="359">
        <v>-1558.8395600000001</v>
      </c>
      <c r="BE17" s="359">
        <v>-1523.2928400000001</v>
      </c>
      <c r="BF17" s="359">
        <v>-1487.74612</v>
      </c>
      <c r="BG17" s="359">
        <v>-1452.1994</v>
      </c>
      <c r="BH17" s="359">
        <v>-1416.6526799999999</v>
      </c>
      <c r="BI17" s="359">
        <v>-1381.1059599999999</v>
      </c>
      <c r="BJ17" s="359">
        <v>-1345.55924</v>
      </c>
      <c r="BK17" s="359">
        <v>-1310.01252</v>
      </c>
      <c r="BL17" s="359">
        <v>-1274.4657999999999</v>
      </c>
      <c r="BM17" s="359">
        <v>-1238.9190800000001</v>
      </c>
      <c r="BN17" s="359">
        <v>-1203.3723600000001</v>
      </c>
      <c r="BO17" s="359">
        <v>-1167.8256399999998</v>
      </c>
      <c r="BP17" s="359">
        <v>-1132.27892</v>
      </c>
      <c r="BQ17" s="359">
        <v>-1096.7321999999999</v>
      </c>
      <c r="BR17" s="359">
        <v>-1061.1854799999999</v>
      </c>
      <c r="BS17" s="359">
        <v>-1025.63876</v>
      </c>
      <c r="BT17" s="359">
        <v>-990.09204</v>
      </c>
      <c r="BU17" s="359">
        <v>-954.54531999999995</v>
      </c>
      <c r="BV17" s="359">
        <v>-918.99860000000001</v>
      </c>
      <c r="BW17" s="359">
        <v>-883.45187999999996</v>
      </c>
      <c r="BX17" s="359">
        <v>-847.90516000000002</v>
      </c>
      <c r="BY17" s="359">
        <v>-812.35843999999997</v>
      </c>
      <c r="BZ17" s="359">
        <v>-776.81171999999992</v>
      </c>
      <c r="CA17" s="359">
        <v>-757.66402000000005</v>
      </c>
      <c r="CB17" s="359">
        <v>-754.91507999999999</v>
      </c>
      <c r="CC17" s="359">
        <v>-752.16614000000004</v>
      </c>
      <c r="CD17" s="359">
        <v>-749.41719999999998</v>
      </c>
      <c r="CE17" s="359">
        <v>-746.66826000000003</v>
      </c>
      <c r="CF17" s="359">
        <v>-743.91931999999997</v>
      </c>
      <c r="CG17" s="359">
        <v>-741.17038000000002</v>
      </c>
      <c r="CH17" s="359">
        <v>-738.42143999999996</v>
      </c>
      <c r="CI17" s="359">
        <v>-735.67250000000001</v>
      </c>
      <c r="CJ17" s="359">
        <v>-732.92356000000007</v>
      </c>
      <c r="CK17" s="359">
        <v>-730.17462</v>
      </c>
      <c r="CL17" s="359">
        <v>-727.42568000000006</v>
      </c>
      <c r="CM17" s="359">
        <v>-724.67674</v>
      </c>
      <c r="CN17" s="359">
        <v>-721.92780000000005</v>
      </c>
      <c r="CO17" s="359">
        <v>-719.17885999999999</v>
      </c>
      <c r="CP17" s="359">
        <v>-716.42992000000004</v>
      </c>
      <c r="CQ17" s="359">
        <v>-713.68097999999998</v>
      </c>
      <c r="CR17" s="359">
        <v>-710.93204000000003</v>
      </c>
      <c r="CS17" s="359">
        <v>-708.18309999999997</v>
      </c>
      <c r="CT17" s="359">
        <v>-705.43416000000002</v>
      </c>
      <c r="CU17" s="359">
        <v>-702.68521999999996</v>
      </c>
      <c r="CV17" s="359">
        <v>-699.93628000000001</v>
      </c>
      <c r="CW17" s="359">
        <v>-697.18733999999995</v>
      </c>
      <c r="CX17" s="359">
        <v>-694.4384</v>
      </c>
      <c r="CY17" s="359">
        <v>-691.68945999999994</v>
      </c>
      <c r="CZ17" s="359">
        <v>-688.94051999999999</v>
      </c>
      <c r="DA17" s="359">
        <v>-686.19157999999993</v>
      </c>
      <c r="DB17" s="359">
        <v>-683.44263999999998</v>
      </c>
      <c r="DC17" s="359">
        <v>-680.69369999999992</v>
      </c>
      <c r="DD17" s="359">
        <v>-677.94475999999997</v>
      </c>
      <c r="DE17" s="359">
        <v>-675.19581999999991</v>
      </c>
      <c r="DF17" s="359">
        <v>-672.44687999999996</v>
      </c>
      <c r="DG17" s="359">
        <v>-669.6979399999999</v>
      </c>
      <c r="DH17" s="359">
        <v>-666.94899999999996</v>
      </c>
      <c r="DI17" s="359">
        <v>-664.20006000000001</v>
      </c>
      <c r="DJ17" s="359">
        <v>-661.43832999999995</v>
      </c>
      <c r="DK17" s="359">
        <v>-658.68939</v>
      </c>
      <c r="DL17" s="359">
        <v>-655.94044999999994</v>
      </c>
      <c r="DM17" s="359">
        <f>-VLOOKUP("2190040",'Input BS ACCTS'!$A$5:$DD$397,95,FALSE)/1000</f>
        <v>-653.19150999999999</v>
      </c>
      <c r="DN17" s="359">
        <f>-VLOOKUP("2190040",'Input BS ACCTS'!$A$5:$DD$397,96,FALSE)/1000</f>
        <v>-650.44256999999993</v>
      </c>
      <c r="DO17" s="359">
        <f>-VLOOKUP("2190040",'Input BS ACCTS'!$A$5:$DD$397,97,FALSE)/1000</f>
        <v>-647.69362999999998</v>
      </c>
      <c r="DP17" s="359">
        <f>-VLOOKUP("2190040",'Input BS ACCTS'!$A$5:$DD$397,98,FALSE)/1000</f>
        <v>-644.94468999999992</v>
      </c>
      <c r="DQ17" s="359">
        <f>-VLOOKUP("2190040",'Input BS ACCTS'!$A$5:$DD$397,99,FALSE)/1000</f>
        <v>-642.19574999999998</v>
      </c>
      <c r="DR17" s="359">
        <f>-VLOOKUP("2190040",'Input BS ACCTS'!$A$5:$DD$397,100,FALSE)/1000</f>
        <v>-639.44681000000003</v>
      </c>
      <c r="DS17" s="359">
        <f>-VLOOKUP("2190040",'Input BS ACCTS'!$A$5:$DD$397,101,FALSE)/1000</f>
        <v>-636.69786999999997</v>
      </c>
      <c r="DT17" s="359">
        <f>-VLOOKUP("2190040",'Input BS ACCTS'!$A$5:$DD$397,102,FALSE)/1000</f>
        <v>-633.94893000000002</v>
      </c>
      <c r="DU17" s="359">
        <f>-VLOOKUP("2190040",'Input BS ACCTS'!$A$5:$DD$397,103,FALSE)/1000</f>
        <v>-631.19998999999996</v>
      </c>
      <c r="DV17" s="359">
        <f>-VLOOKUP("2190040",'Input BS ACCTS'!$A$5:$DD$397,104,FALSE)/1000</f>
        <v>-628.45105000000001</v>
      </c>
      <c r="DW17" s="359">
        <f>-VLOOKUP("2190040",'Input BS ACCTS'!$A$5:$DD$397,105,FALSE)/1000</f>
        <v>-625.70210999999995</v>
      </c>
      <c r="DX17" s="359">
        <f>-VLOOKUP("2190040",'Input BS ACCTS'!$A$5:$DD$397,106,FALSE)/1000</f>
        <v>-622.95317</v>
      </c>
      <c r="DY17" s="359">
        <f>-VLOOKUP("2190040",'Input BS ACCTS'!$A$5:$DE$397,107,FALSE)/1000</f>
        <v>-620.20422999999994</v>
      </c>
      <c r="DZ17" s="359">
        <f>-VLOOKUP("2190040",'Input BS ACCTS'!$A$5:$DE$397,108,FALSE)/1000</f>
        <v>-617.45528999999999</v>
      </c>
      <c r="EA17" s="359">
        <f>-VLOOKUP("2190040",'Input BS ACCTS'!$A$5:$DE$397,109,FALSE)/1000</f>
        <v>-614.70634999999993</v>
      </c>
      <c r="EB17" s="359">
        <f>-VLOOKUP("2190040",'Input BS ACCTS'!$A$5:$DH$397,110,FALSE)/1000</f>
        <v>-611.95740999999998</v>
      </c>
      <c r="EC17" s="359">
        <f>-VLOOKUP("2190040",'Input BS ACCTS'!$A$5:$DH$397,111,FALSE)/1000</f>
        <v>-609.20846999999992</v>
      </c>
      <c r="ED17" s="359">
        <f>-VLOOKUP("2190040",'Input BS ACCTS'!$A$5:$DH$397,112,FALSE)/1000</f>
        <v>-606.45952999999997</v>
      </c>
    </row>
    <row r="18" spans="1:143">
      <c r="B18" s="564" t="s">
        <v>559</v>
      </c>
      <c r="C18" s="559">
        <f t="shared" ref="C18:T18" si="15">SUM(C14:C17)</f>
        <v>218703.51446000001</v>
      </c>
      <c r="D18" s="559">
        <f t="shared" si="15"/>
        <v>218787.51446000001</v>
      </c>
      <c r="E18" s="559">
        <f t="shared" si="15"/>
        <v>218870.51446000001</v>
      </c>
      <c r="F18" s="559">
        <f t="shared" si="15"/>
        <v>218954.51446000001</v>
      </c>
      <c r="G18" s="559">
        <f t="shared" si="15"/>
        <v>219037.51446000001</v>
      </c>
      <c r="H18" s="559">
        <f t="shared" si="15"/>
        <v>249537.8512</v>
      </c>
      <c r="I18" s="559">
        <f t="shared" si="15"/>
        <v>246215.29302999997</v>
      </c>
      <c r="J18" s="559">
        <f t="shared" si="15"/>
        <v>201977.40229</v>
      </c>
      <c r="K18" s="559">
        <f t="shared" si="15"/>
        <v>226769.76318000001</v>
      </c>
      <c r="L18" s="559">
        <f t="shared" si="15"/>
        <v>226753.45676</v>
      </c>
      <c r="M18" s="559">
        <f t="shared" si="15"/>
        <v>226762.17709000001</v>
      </c>
      <c r="N18" s="559">
        <f t="shared" si="15"/>
        <v>226763.62151</v>
      </c>
      <c r="O18" s="559">
        <f t="shared" si="15"/>
        <v>226772.44321</v>
      </c>
      <c r="P18" s="559">
        <f t="shared" si="15"/>
        <v>226817.68188999998</v>
      </c>
      <c r="Q18" s="559">
        <f t="shared" si="15"/>
        <v>226862.92056999999</v>
      </c>
      <c r="R18" s="559">
        <f t="shared" si="15"/>
        <v>226908.15925</v>
      </c>
      <c r="S18" s="559">
        <f t="shared" si="15"/>
        <v>226953.39793000001</v>
      </c>
      <c r="T18" s="559">
        <f t="shared" si="15"/>
        <v>226998.63660999999</v>
      </c>
      <c r="U18" s="559">
        <f t="shared" ref="U18:AF18" si="16">SUM(U14:U17)</f>
        <v>227043.25854000001</v>
      </c>
      <c r="V18" s="559">
        <f t="shared" si="16"/>
        <v>227088.52127</v>
      </c>
      <c r="W18" s="559">
        <f t="shared" si="16"/>
        <v>227133.42867999998</v>
      </c>
      <c r="X18" s="559">
        <f t="shared" si="16"/>
        <v>227178.67217000001</v>
      </c>
      <c r="Y18" s="559">
        <f t="shared" si="16"/>
        <v>227223.91565999997</v>
      </c>
      <c r="Z18" s="559">
        <f t="shared" si="16"/>
        <v>227269.15914999999</v>
      </c>
      <c r="AA18" s="559">
        <f t="shared" si="16"/>
        <v>227314.40263999999</v>
      </c>
      <c r="AB18" s="559">
        <f t="shared" si="16"/>
        <v>227359.64613000001</v>
      </c>
      <c r="AC18" s="559">
        <f t="shared" si="16"/>
        <v>227404.88961999997</v>
      </c>
      <c r="AD18" s="559">
        <f t="shared" si="16"/>
        <v>227452.51678999999</v>
      </c>
      <c r="AE18" s="559">
        <f t="shared" si="16"/>
        <v>237385.54788</v>
      </c>
      <c r="AF18" s="559">
        <f t="shared" si="16"/>
        <v>237428.87821</v>
      </c>
      <c r="AG18" s="559">
        <f t="shared" ref="AG18:AL18" si="17">SUM(AG14:AG17)</f>
        <v>237471.89231000002</v>
      </c>
      <c r="AH18" s="559">
        <f t="shared" si="17"/>
        <v>237517.25654999999</v>
      </c>
      <c r="AI18" s="559">
        <f t="shared" si="17"/>
        <v>237552.57499999998</v>
      </c>
      <c r="AJ18" s="559">
        <f t="shared" si="17"/>
        <v>237598.00498</v>
      </c>
      <c r="AK18" s="559">
        <f t="shared" si="17"/>
        <v>237643.59954</v>
      </c>
      <c r="AL18" s="559">
        <f t="shared" si="17"/>
        <v>237689.19409999999</v>
      </c>
      <c r="AM18" s="559">
        <f t="shared" ref="AM18:AR18" si="18">SUM(AM14:AM17)</f>
        <v>237734.78866000002</v>
      </c>
      <c r="AN18" s="559">
        <f t="shared" si="18"/>
        <v>237780.38321999999</v>
      </c>
      <c r="AO18" s="559">
        <f t="shared" si="18"/>
        <v>237853.50169999999</v>
      </c>
      <c r="AP18" s="559">
        <f t="shared" si="18"/>
        <v>238059.36025999999</v>
      </c>
      <c r="AQ18" s="559">
        <f t="shared" si="18"/>
        <v>258037.98122000002</v>
      </c>
      <c r="AR18" s="559">
        <f t="shared" si="18"/>
        <v>258063.50169999999</v>
      </c>
      <c r="AS18" s="559">
        <f t="shared" ref="AS18:AX18" si="19">SUM(AS14:AS17)</f>
        <v>258107.63291000001</v>
      </c>
      <c r="AT18" s="559">
        <f t="shared" si="19"/>
        <v>258152.95015999998</v>
      </c>
      <c r="AU18" s="559">
        <f t="shared" si="19"/>
        <v>258188.37853000002</v>
      </c>
      <c r="AV18" s="559">
        <f t="shared" si="19"/>
        <v>258233.72355999998</v>
      </c>
      <c r="AW18" s="559">
        <f t="shared" si="19"/>
        <v>258279.06788000002</v>
      </c>
      <c r="AX18" s="559">
        <f t="shared" si="19"/>
        <v>258324.41290999998</v>
      </c>
      <c r="AY18" s="559">
        <f t="shared" ref="AY18:BG18" si="20">SUM(AY14:AY17)</f>
        <v>258369.75794000001</v>
      </c>
      <c r="AZ18" s="559">
        <f t="shared" si="20"/>
        <v>258415.10297000001</v>
      </c>
      <c r="BA18" s="559">
        <f t="shared" si="20"/>
        <v>258460.44799999997</v>
      </c>
      <c r="BB18" s="559">
        <f t="shared" si="20"/>
        <v>258505.79303</v>
      </c>
      <c r="BC18" s="559">
        <f t="shared" si="20"/>
        <v>258551.13805999997</v>
      </c>
      <c r="BD18" s="559">
        <f t="shared" si="20"/>
        <v>258596.48308999999</v>
      </c>
      <c r="BE18" s="559">
        <f t="shared" si="20"/>
        <v>258641.82811999996</v>
      </c>
      <c r="BF18" s="559">
        <f t="shared" si="20"/>
        <v>258687.17314999999</v>
      </c>
      <c r="BG18" s="559">
        <f t="shared" si="20"/>
        <v>258732.51817999998</v>
      </c>
      <c r="BH18" s="559">
        <f t="shared" ref="BH18:BM18" si="21">SUM(BH14:BH17)</f>
        <v>258777.86320999998</v>
      </c>
      <c r="BI18" s="559">
        <f t="shared" si="21"/>
        <v>258823.20824000001</v>
      </c>
      <c r="BJ18" s="559">
        <f t="shared" si="21"/>
        <v>258868.55326999997</v>
      </c>
      <c r="BK18" s="559">
        <f t="shared" si="21"/>
        <v>258913.8983</v>
      </c>
      <c r="BL18" s="559">
        <f t="shared" si="21"/>
        <v>258959.24333</v>
      </c>
      <c r="BM18" s="559">
        <f t="shared" si="21"/>
        <v>259004.58835999999</v>
      </c>
      <c r="BN18" s="559">
        <f t="shared" ref="BN18:BS18" si="22">SUM(BN14:BN17)</f>
        <v>259049.93338999999</v>
      </c>
      <c r="BO18" s="559">
        <f t="shared" si="22"/>
        <v>259095.27842000002</v>
      </c>
      <c r="BP18" s="559">
        <f t="shared" si="22"/>
        <v>259140.62344999998</v>
      </c>
      <c r="BQ18" s="559">
        <f t="shared" si="22"/>
        <v>259185.96848000001</v>
      </c>
      <c r="BR18" s="559">
        <f t="shared" si="22"/>
        <v>259231.31351000001</v>
      </c>
      <c r="BS18" s="559">
        <f t="shared" si="22"/>
        <v>259276.65854</v>
      </c>
      <c r="BT18" s="559">
        <f t="shared" ref="BT18:BY18" si="23">SUM(BT14:BT17)</f>
        <v>259322.00357000003</v>
      </c>
      <c r="BU18" s="559">
        <f t="shared" si="23"/>
        <v>259367.3486</v>
      </c>
      <c r="BV18" s="559">
        <f t="shared" si="23"/>
        <v>259412.69362999999</v>
      </c>
      <c r="BW18" s="559">
        <f t="shared" si="23"/>
        <v>259458.03865999996</v>
      </c>
      <c r="BX18" s="559">
        <f t="shared" si="23"/>
        <v>259503.38368999999</v>
      </c>
      <c r="BY18" s="559">
        <f t="shared" si="23"/>
        <v>259502.86933999998</v>
      </c>
      <c r="BZ18" s="559">
        <f t="shared" ref="BZ18:CE18" si="24">SUM(BZ14:BZ17)</f>
        <v>259554.76570999998</v>
      </c>
      <c r="CA18" s="559">
        <f t="shared" si="24"/>
        <v>209588.68604</v>
      </c>
      <c r="CB18" s="559">
        <f t="shared" si="24"/>
        <v>283653.39963999996</v>
      </c>
      <c r="CC18" s="559">
        <f t="shared" si="24"/>
        <v>283450.31939999998</v>
      </c>
      <c r="CD18" s="559">
        <f t="shared" si="24"/>
        <v>283464.42400999996</v>
      </c>
      <c r="CE18" s="559">
        <f t="shared" si="24"/>
        <v>283442.11708</v>
      </c>
      <c r="CF18" s="559">
        <f t="shared" ref="CF18:CK18" si="25">SUM(CF14:CF17)</f>
        <v>308090.22249000001</v>
      </c>
      <c r="CG18" s="559">
        <f t="shared" si="25"/>
        <v>308102.60472</v>
      </c>
      <c r="CH18" s="559">
        <f t="shared" si="25"/>
        <v>308111.15353999997</v>
      </c>
      <c r="CI18" s="559">
        <f t="shared" si="25"/>
        <v>308124.97641999996</v>
      </c>
      <c r="CJ18" s="559">
        <f t="shared" si="25"/>
        <v>308138.78228999994</v>
      </c>
      <c r="CK18" s="559">
        <f t="shared" si="25"/>
        <v>308138.83468999999</v>
      </c>
      <c r="CL18" s="559">
        <f t="shared" ref="CL18:CQ18" si="26">SUM(CL14:CL17)</f>
        <v>308152.69561</v>
      </c>
      <c r="CM18" s="559">
        <f t="shared" si="26"/>
        <v>308166.55652999994</v>
      </c>
      <c r="CN18" s="559">
        <f t="shared" si="26"/>
        <v>308180.41745000001</v>
      </c>
      <c r="CO18" s="559">
        <f t="shared" si="26"/>
        <v>332668.47287</v>
      </c>
      <c r="CP18" s="559">
        <f t="shared" si="26"/>
        <v>332638.63379999995</v>
      </c>
      <c r="CQ18" s="559">
        <f t="shared" si="26"/>
        <v>332643.09311999998</v>
      </c>
      <c r="CR18" s="559">
        <f t="shared" ref="CR18:CW18" si="27">SUM(CR14:CR17)</f>
        <v>332658.52294</v>
      </c>
      <c r="CS18" s="559">
        <f t="shared" si="27"/>
        <v>332673.95276000001</v>
      </c>
      <c r="CT18" s="559">
        <f t="shared" si="27"/>
        <v>332674.70597999997</v>
      </c>
      <c r="CU18" s="559">
        <f t="shared" si="27"/>
        <v>332690.17589999997</v>
      </c>
      <c r="CV18" s="559">
        <f t="shared" si="27"/>
        <v>332694.32626999996</v>
      </c>
      <c r="CW18" s="559">
        <f t="shared" si="27"/>
        <v>332705.98050000001</v>
      </c>
      <c r="CX18" s="559">
        <f t="shared" ref="CX18:DC18" si="28">SUM(CX14:CX17)</f>
        <v>332722.91876000003</v>
      </c>
      <c r="CY18" s="559">
        <f t="shared" si="28"/>
        <v>332739.85701999994</v>
      </c>
      <c r="CZ18" s="559">
        <f t="shared" si="28"/>
        <v>332756.79528000002</v>
      </c>
      <c r="DA18" s="559">
        <f t="shared" si="28"/>
        <v>332773.73354000004</v>
      </c>
      <c r="DB18" s="559">
        <f t="shared" si="28"/>
        <v>332790.67179999995</v>
      </c>
      <c r="DC18" s="559">
        <f t="shared" si="28"/>
        <v>332807.61005999998</v>
      </c>
      <c r="DD18" s="559">
        <f t="shared" ref="DD18:DI18" si="29">SUM(DD14:DD17)</f>
        <v>332824.54832000006</v>
      </c>
      <c r="DE18" s="559">
        <f t="shared" si="29"/>
        <v>332841.48657999997</v>
      </c>
      <c r="DF18" s="559">
        <f t="shared" si="29"/>
        <v>332858.42483999999</v>
      </c>
      <c r="DG18" s="559">
        <f t="shared" si="29"/>
        <v>332868.79920000001</v>
      </c>
      <c r="DH18" s="559">
        <f t="shared" si="29"/>
        <v>332886.45835999999</v>
      </c>
      <c r="DI18" s="559">
        <f t="shared" si="29"/>
        <v>560418.45276000013</v>
      </c>
      <c r="DJ18" s="559">
        <f t="shared" ref="DJ18:DO18" si="30">SUM(DJ14:DJ17)</f>
        <v>560308.38945999998</v>
      </c>
      <c r="DK18" s="559">
        <f t="shared" si="30"/>
        <v>513422.76363</v>
      </c>
      <c r="DL18" s="559">
        <f t="shared" si="30"/>
        <v>513288.05262000003</v>
      </c>
      <c r="DM18" s="559">
        <f t="shared" si="30"/>
        <v>513319.60125000007</v>
      </c>
      <c r="DN18" s="559">
        <f t="shared" si="30"/>
        <v>513351.14987999998</v>
      </c>
      <c r="DO18" s="559">
        <f t="shared" si="30"/>
        <v>513382.69851000002</v>
      </c>
      <c r="DP18" s="559">
        <f t="shared" ref="DP18:DU18" si="31">SUM(DP14:DP17)</f>
        <v>513414.24714000005</v>
      </c>
      <c r="DQ18" s="559">
        <f t="shared" si="31"/>
        <v>513445.79577000003</v>
      </c>
      <c r="DR18" s="559">
        <f t="shared" si="31"/>
        <v>513462.83158</v>
      </c>
      <c r="DS18" s="559">
        <f t="shared" si="31"/>
        <v>513495.83361000003</v>
      </c>
      <c r="DT18" s="559">
        <f t="shared" si="31"/>
        <v>513528.56945999997</v>
      </c>
      <c r="DU18" s="559">
        <f t="shared" si="31"/>
        <v>513561.30531000003</v>
      </c>
      <c r="DV18" s="559">
        <f t="shared" ref="DV18:DX18" si="32">SUM(DV14:DV17)</f>
        <v>513593.05988000002</v>
      </c>
      <c r="DW18" s="559">
        <f t="shared" si="32"/>
        <v>513625.91839000001</v>
      </c>
      <c r="DX18" s="559">
        <f t="shared" si="32"/>
        <v>513658.7769</v>
      </c>
      <c r="DY18" s="559">
        <f t="shared" ref="DY18:EA18" si="33">SUM(DY14:DY17)</f>
        <v>588157.52027999994</v>
      </c>
      <c r="DZ18" s="559">
        <f t="shared" si="33"/>
        <v>588130.00528000004</v>
      </c>
      <c r="EA18" s="559">
        <f t="shared" si="33"/>
        <v>563170.51205000002</v>
      </c>
      <c r="EB18" s="559">
        <f t="shared" ref="EB18:ED18" si="34">SUM(EB14:EB17)</f>
        <v>563197.14110000001</v>
      </c>
      <c r="EC18" s="559">
        <f t="shared" si="34"/>
        <v>563236.83866000001</v>
      </c>
      <c r="ED18" s="559">
        <f t="shared" si="34"/>
        <v>563238.26523999998</v>
      </c>
    </row>
    <row r="19" spans="1:143">
      <c r="T19" s="559"/>
      <c r="U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row>
    <row r="20" spans="1:143">
      <c r="B20" s="559" t="s">
        <v>565</v>
      </c>
      <c r="C20" s="559"/>
      <c r="D20" s="559"/>
      <c r="E20" s="559"/>
      <c r="F20" s="559"/>
      <c r="G20" s="559"/>
      <c r="H20" s="559"/>
      <c r="I20" s="559"/>
      <c r="J20" s="559"/>
      <c r="K20" s="559"/>
      <c r="L20" s="559"/>
      <c r="M20" s="559"/>
      <c r="N20" s="559"/>
      <c r="O20" s="559">
        <f t="shared" ref="O20:AF20" si="35">SUM(C18:O18)/13</f>
        <v>225069.66004384618</v>
      </c>
      <c r="P20" s="559">
        <f t="shared" si="35"/>
        <v>225693.82676923083</v>
      </c>
      <c r="Q20" s="559">
        <f t="shared" si="35"/>
        <v>226315.01185461541</v>
      </c>
      <c r="R20" s="559">
        <f t="shared" si="35"/>
        <v>226933.29222307695</v>
      </c>
      <c r="S20" s="559">
        <f t="shared" si="35"/>
        <v>227548.59095153844</v>
      </c>
      <c r="T20" s="559">
        <f t="shared" si="35"/>
        <v>228160.98496307692</v>
      </c>
      <c r="U20" s="559">
        <f t="shared" si="35"/>
        <v>226430.63168153845</v>
      </c>
      <c r="V20" s="559">
        <f t="shared" si="35"/>
        <v>224959.34154615382</v>
      </c>
      <c r="W20" s="559">
        <f t="shared" si="35"/>
        <v>226894.42049923074</v>
      </c>
      <c r="X20" s="559">
        <f t="shared" si="35"/>
        <v>226925.87503692307</v>
      </c>
      <c r="Y20" s="559">
        <f t="shared" si="35"/>
        <v>226962.0641830769</v>
      </c>
      <c r="Z20" s="559">
        <f t="shared" si="35"/>
        <v>227001.06280307693</v>
      </c>
      <c r="AA20" s="559">
        <f t="shared" si="35"/>
        <v>227043.43058230769</v>
      </c>
      <c r="AB20" s="559">
        <f t="shared" si="35"/>
        <v>227088.60003769232</v>
      </c>
      <c r="AC20" s="559">
        <f t="shared" si="35"/>
        <v>227133.76986307692</v>
      </c>
      <c r="AD20" s="559">
        <f t="shared" si="35"/>
        <v>227179.1234184615</v>
      </c>
      <c r="AE20" s="559">
        <f t="shared" si="35"/>
        <v>227985.07639</v>
      </c>
      <c r="AF20" s="559">
        <f t="shared" si="35"/>
        <v>228790.88256538459</v>
      </c>
      <c r="AG20" s="559">
        <f t="shared" ref="AG20:AL20" si="36">SUM(U18:AG18)/13</f>
        <v>229596.51761923078</v>
      </c>
      <c r="AH20" s="559">
        <f t="shared" si="36"/>
        <v>230402.20977384617</v>
      </c>
      <c r="AI20" s="559">
        <f t="shared" si="36"/>
        <v>231207.13698384617</v>
      </c>
      <c r="AJ20" s="559">
        <f t="shared" si="36"/>
        <v>232012.10439153851</v>
      </c>
      <c r="AK20" s="559">
        <f t="shared" si="36"/>
        <v>232817.09880461541</v>
      </c>
      <c r="AL20" s="559">
        <f t="shared" si="36"/>
        <v>233622.12022307696</v>
      </c>
      <c r="AM20" s="559">
        <f t="shared" ref="AM20:AR20" si="37">SUM(AA18:AM18)/13</f>
        <v>234427.16864692309</v>
      </c>
      <c r="AN20" s="559">
        <f t="shared" si="37"/>
        <v>235232.24407615385</v>
      </c>
      <c r="AO20" s="559">
        <f t="shared" si="37"/>
        <v>236039.4637353846</v>
      </c>
      <c r="AP20" s="559">
        <f t="shared" si="37"/>
        <v>236859.03840000002</v>
      </c>
      <c r="AQ20" s="559">
        <f t="shared" si="37"/>
        <v>239211.76643307693</v>
      </c>
      <c r="AR20" s="559">
        <f t="shared" si="37"/>
        <v>240802.37826538461</v>
      </c>
      <c r="AS20" s="559">
        <f t="shared" ref="AS20:AX20" si="38">SUM(AG18:AS18)/13</f>
        <v>242393.05170384614</v>
      </c>
      <c r="AT20" s="559">
        <f t="shared" si="38"/>
        <v>243983.9023076923</v>
      </c>
      <c r="AU20" s="559">
        <f t="shared" si="38"/>
        <v>245573.98861384613</v>
      </c>
      <c r="AV20" s="559">
        <f t="shared" si="38"/>
        <v>247164.8461953846</v>
      </c>
      <c r="AW20" s="559">
        <f t="shared" si="38"/>
        <v>248755.69718769228</v>
      </c>
      <c r="AX20" s="565">
        <f t="shared" si="38"/>
        <v>250346.52898538456</v>
      </c>
      <c r="AY20" s="565">
        <f t="shared" ref="AY20:BU20" si="39">SUM(AM18:AY18)/13</f>
        <v>251937.34158846151</v>
      </c>
      <c r="AZ20" s="565">
        <f t="shared" si="39"/>
        <v>253528.13499692304</v>
      </c>
      <c r="BA20" s="565">
        <f t="shared" si="39"/>
        <v>255118.90921076926</v>
      </c>
      <c r="BB20" s="565">
        <f t="shared" si="39"/>
        <v>256707.54700538458</v>
      </c>
      <c r="BC20" s="565">
        <f t="shared" si="39"/>
        <v>258283.83760538459</v>
      </c>
      <c r="BD20" s="565">
        <f t="shared" si="39"/>
        <v>258326.79928769229</v>
      </c>
      <c r="BE20" s="565">
        <f t="shared" si="39"/>
        <v>258371.28593538457</v>
      </c>
      <c r="BF20" s="565">
        <f t="shared" si="39"/>
        <v>258415.86595384611</v>
      </c>
      <c r="BG20" s="565">
        <f t="shared" si="39"/>
        <v>258460.44810923078</v>
      </c>
      <c r="BH20" s="565">
        <f t="shared" si="39"/>
        <v>258505.79308461538</v>
      </c>
      <c r="BI20" s="565">
        <f t="shared" si="39"/>
        <v>258551.13806000006</v>
      </c>
      <c r="BJ20" s="565">
        <f t="shared" si="39"/>
        <v>258596.48309000002</v>
      </c>
      <c r="BK20" s="565">
        <f t="shared" si="39"/>
        <v>258641.82812000002</v>
      </c>
      <c r="BL20" s="565">
        <f t="shared" si="39"/>
        <v>258687.17314999999</v>
      </c>
      <c r="BM20" s="565">
        <f t="shared" si="39"/>
        <v>258732.51817999998</v>
      </c>
      <c r="BN20" s="565">
        <f t="shared" si="39"/>
        <v>258777.86320999998</v>
      </c>
      <c r="BO20" s="565">
        <f t="shared" si="39"/>
        <v>258823.20823999995</v>
      </c>
      <c r="BP20" s="565">
        <f t="shared" si="39"/>
        <v>258868.55326999997</v>
      </c>
      <c r="BQ20" s="565">
        <f t="shared" si="39"/>
        <v>258913.89829999997</v>
      </c>
      <c r="BR20" s="565">
        <f t="shared" si="39"/>
        <v>258959.24332999997</v>
      </c>
      <c r="BS20" s="565">
        <f t="shared" si="39"/>
        <v>259004.58835999997</v>
      </c>
      <c r="BT20" s="565">
        <f t="shared" si="39"/>
        <v>259049.93339000002</v>
      </c>
      <c r="BU20" s="565">
        <f t="shared" si="39"/>
        <v>259095.27842000002</v>
      </c>
      <c r="BV20" s="565">
        <f t="shared" ref="BV20:CG20" si="40">SUM(BJ18:BV18)/13</f>
        <v>259140.62345000004</v>
      </c>
      <c r="BW20" s="565">
        <f t="shared" si="40"/>
        <v>259185.96848000007</v>
      </c>
      <c r="BX20" s="565">
        <f t="shared" si="40"/>
        <v>259231.31351000004</v>
      </c>
      <c r="BY20" s="565">
        <f t="shared" si="40"/>
        <v>259273.13089538459</v>
      </c>
      <c r="BZ20" s="565">
        <f t="shared" si="40"/>
        <v>259315.45223</v>
      </c>
      <c r="CA20" s="565">
        <f t="shared" si="40"/>
        <v>255510.74089538463</v>
      </c>
      <c r="CB20" s="380">
        <f t="shared" si="40"/>
        <v>257399.82714307692</v>
      </c>
      <c r="CC20" s="380">
        <f t="shared" si="40"/>
        <v>259269.80375461539</v>
      </c>
      <c r="CD20" s="380">
        <f t="shared" si="40"/>
        <v>261137.37725692306</v>
      </c>
      <c r="CE20" s="380">
        <f>SUM(BS18:CE18)/13</f>
        <v>262999.74676230771</v>
      </c>
      <c r="CF20" s="380">
        <f>SUM(BT18:CF18)/13</f>
        <v>266754.6362969231</v>
      </c>
      <c r="CG20" s="380">
        <f t="shared" si="40"/>
        <v>270506.99023153854</v>
      </c>
      <c r="CH20" s="380">
        <f t="shared" ref="CH20:CM20" si="41">SUM(BV18:CH18)/13</f>
        <v>274256.51368846156</v>
      </c>
      <c r="CI20" s="380">
        <f t="shared" si="41"/>
        <v>278003.61236461537</v>
      </c>
      <c r="CJ20" s="380">
        <f t="shared" si="41"/>
        <v>281748.28495153843</v>
      </c>
      <c r="CK20" s="380">
        <f t="shared" si="41"/>
        <v>285489.47348999995</v>
      </c>
      <c r="CL20" s="380">
        <f t="shared" si="41"/>
        <v>289231.76781846152</v>
      </c>
      <c r="CM20" s="380">
        <f t="shared" si="41"/>
        <v>292971.13634307688</v>
      </c>
      <c r="CN20" s="380">
        <f t="shared" ref="CN20:CS20" si="42">SUM(CB18:CN18)/13</f>
        <v>300555.11568230769</v>
      </c>
      <c r="CO20" s="380">
        <f t="shared" si="42"/>
        <v>304325.5059307692</v>
      </c>
      <c r="CP20" s="380">
        <f t="shared" si="42"/>
        <v>308109.22242307692</v>
      </c>
      <c r="CQ20" s="380">
        <f t="shared" si="42"/>
        <v>311892.19696999999</v>
      </c>
      <c r="CR20" s="380">
        <f t="shared" si="42"/>
        <v>315678.07434384612</v>
      </c>
      <c r="CS20" s="380">
        <f t="shared" si="42"/>
        <v>317569.13051846152</v>
      </c>
      <c r="CT20" s="380">
        <f t="shared" ref="CT20:DL20" si="43">SUM(CH18:CT18)/13</f>
        <v>319459.29215384612</v>
      </c>
      <c r="CU20" s="380">
        <f t="shared" si="43"/>
        <v>321349.98618153849</v>
      </c>
      <c r="CV20" s="380">
        <f t="shared" si="43"/>
        <v>323239.93617</v>
      </c>
      <c r="CW20" s="380">
        <f t="shared" si="43"/>
        <v>325129.72064769233</v>
      </c>
      <c r="CX20" s="380">
        <f t="shared" si="43"/>
        <v>327020.80403769237</v>
      </c>
      <c r="CY20" s="380">
        <f t="shared" si="43"/>
        <v>328912.12414615386</v>
      </c>
      <c r="CZ20" s="380">
        <f t="shared" si="43"/>
        <v>330803.68097307696</v>
      </c>
      <c r="DA20" s="380">
        <f t="shared" si="43"/>
        <v>332695.47451846156</v>
      </c>
      <c r="DB20" s="380">
        <f t="shared" si="43"/>
        <v>332704.8744361538</v>
      </c>
      <c r="DC20" s="380">
        <f t="shared" si="43"/>
        <v>332717.87260999996</v>
      </c>
      <c r="DD20" s="380">
        <f t="shared" si="43"/>
        <v>332731.83070230769</v>
      </c>
      <c r="DE20" s="380">
        <f t="shared" si="43"/>
        <v>332745.90482846153</v>
      </c>
      <c r="DF20" s="380">
        <f t="shared" si="43"/>
        <v>332760.09498846153</v>
      </c>
      <c r="DG20" s="380">
        <f t="shared" si="43"/>
        <v>332775.02523615386</v>
      </c>
      <c r="DH20" s="380">
        <f t="shared" si="43"/>
        <v>332790.12388692301</v>
      </c>
      <c r="DI20" s="380">
        <f t="shared" si="43"/>
        <v>350307.36438615381</v>
      </c>
      <c r="DJ20" s="380">
        <f t="shared" si="43"/>
        <v>367815.2419984616</v>
      </c>
      <c r="DK20" s="380">
        <f t="shared" si="43"/>
        <v>381715.23006538465</v>
      </c>
      <c r="DL20" s="380">
        <f t="shared" si="43"/>
        <v>395603.55280384619</v>
      </c>
      <c r="DM20" s="380">
        <f t="shared" ref="DM20:EA20" si="44">SUM(DA18:DM18)/13</f>
        <v>409492.99941692315</v>
      </c>
      <c r="DN20" s="380">
        <f t="shared" si="44"/>
        <v>423383.56990461546</v>
      </c>
      <c r="DO20" s="380">
        <f t="shared" si="44"/>
        <v>437275.26426692319</v>
      </c>
      <c r="DP20" s="380">
        <f t="shared" si="44"/>
        <v>451168.08250384621</v>
      </c>
      <c r="DQ20" s="380">
        <f t="shared" si="44"/>
        <v>465062.0246153847</v>
      </c>
      <c r="DR20" s="380">
        <f t="shared" si="44"/>
        <v>478955.97423076921</v>
      </c>
      <c r="DS20" s="380">
        <f t="shared" si="44"/>
        <v>492851.1595207692</v>
      </c>
      <c r="DT20" s="380">
        <f t="shared" si="44"/>
        <v>506748.06492538459</v>
      </c>
      <c r="DU20" s="380">
        <f t="shared" si="44"/>
        <v>520646.13007538457</v>
      </c>
      <c r="DV20" s="380">
        <f t="shared" si="44"/>
        <v>517044.17677692301</v>
      </c>
      <c r="DW20" s="380">
        <f t="shared" si="44"/>
        <v>513453.21746384609</v>
      </c>
      <c r="DX20" s="380">
        <f t="shared" si="44"/>
        <v>513471.37233076926</v>
      </c>
      <c r="DY20" s="380">
        <f t="shared" si="44"/>
        <v>519230.56215076923</v>
      </c>
      <c r="DZ20" s="380">
        <f t="shared" si="44"/>
        <v>524985.20861461549</v>
      </c>
      <c r="EA20" s="380">
        <f t="shared" si="44"/>
        <v>528817.467243077</v>
      </c>
      <c r="EB20" s="380">
        <f t="shared" ref="EB20" si="45">SUM(DP18:EB18)/13</f>
        <v>532649.34744230774</v>
      </c>
      <c r="EC20" s="380">
        <f t="shared" ref="EC20" si="46">SUM(DQ18:EC18)/13</f>
        <v>536481.85448230768</v>
      </c>
      <c r="ED20" s="380">
        <f t="shared" ref="ED20" si="47">SUM(DR18:ED18)/13</f>
        <v>540312.0444415384</v>
      </c>
    </row>
    <row r="21" spans="1:143">
      <c r="T21" s="559"/>
      <c r="U21" s="559"/>
      <c r="V21" s="559"/>
      <c r="W21" s="559"/>
      <c r="X21" s="559"/>
      <c r="Y21" s="559"/>
      <c r="Z21" s="559"/>
      <c r="AA21" s="559"/>
      <c r="AB21" s="559"/>
      <c r="AC21" s="559"/>
      <c r="AD21" s="559"/>
      <c r="AE21" s="559"/>
      <c r="AF21" s="559"/>
      <c r="AG21" s="559"/>
      <c r="AH21" s="559"/>
      <c r="AI21" s="559"/>
      <c r="AJ21" s="559"/>
      <c r="AK21" s="559"/>
      <c r="AL21" s="559"/>
      <c r="AM21" s="559"/>
      <c r="AN21" s="559"/>
      <c r="AO21" s="559"/>
      <c r="AP21" s="559"/>
      <c r="AQ21" s="559"/>
      <c r="AR21" s="559"/>
      <c r="AS21" s="559"/>
      <c r="AT21" s="559"/>
      <c r="AU21" s="559"/>
      <c r="AV21" s="559"/>
      <c r="AW21" s="559"/>
      <c r="EF21" s="1280" t="s">
        <v>2493</v>
      </c>
      <c r="EG21" s="1280"/>
      <c r="EH21" s="1280"/>
      <c r="EI21" s="1280"/>
      <c r="EJ21" s="1280"/>
      <c r="EK21" s="1280"/>
      <c r="EL21" s="1280"/>
      <c r="EM21" s="1280"/>
    </row>
    <row r="22" spans="1:143">
      <c r="T22" s="559"/>
      <c r="U22" s="559"/>
      <c r="V22" s="559"/>
      <c r="W22" s="559"/>
      <c r="X22" s="559"/>
      <c r="Y22" s="559"/>
      <c r="Z22" s="559"/>
      <c r="AA22" s="559"/>
      <c r="AB22" s="559"/>
      <c r="AC22" s="559"/>
      <c r="AD22" s="559"/>
      <c r="AE22" s="559"/>
      <c r="AF22" s="559"/>
      <c r="AG22" s="559"/>
      <c r="AH22" s="559"/>
      <c r="AI22" s="559"/>
      <c r="AJ22" s="559"/>
      <c r="AK22" s="559"/>
      <c r="AL22" s="559"/>
      <c r="AM22" s="559"/>
      <c r="AN22" s="559"/>
      <c r="AO22" s="559"/>
      <c r="AP22" s="559"/>
      <c r="AQ22" s="559"/>
      <c r="AR22" s="559"/>
      <c r="AS22" s="559"/>
      <c r="AT22" s="559"/>
      <c r="AU22" s="559"/>
      <c r="AV22" s="559"/>
      <c r="AW22" s="559"/>
      <c r="EF22" s="1280"/>
      <c r="EG22" s="1280"/>
      <c r="EH22" s="1280"/>
      <c r="EI22" s="1280"/>
      <c r="EJ22" s="1280"/>
      <c r="EK22" s="1280"/>
      <c r="EL22" s="1280"/>
      <c r="EM22" s="1280"/>
    </row>
    <row r="23" spans="1:143">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row>
    <row r="24" spans="1:143">
      <c r="B24" s="556" t="s">
        <v>558</v>
      </c>
      <c r="C24" s="557">
        <f>C12</f>
        <v>40911</v>
      </c>
      <c r="D24" s="557">
        <f t="shared" ref="D24:AF24" si="48">D12</f>
        <v>40941</v>
      </c>
      <c r="E24" s="557">
        <f t="shared" si="48"/>
        <v>40971</v>
      </c>
      <c r="F24" s="557">
        <f t="shared" si="48"/>
        <v>41001</v>
      </c>
      <c r="G24" s="557">
        <f t="shared" si="48"/>
        <v>41031</v>
      </c>
      <c r="H24" s="557">
        <f t="shared" si="48"/>
        <v>41061</v>
      </c>
      <c r="I24" s="557">
        <f t="shared" si="48"/>
        <v>41091</v>
      </c>
      <c r="J24" s="557">
        <f t="shared" si="48"/>
        <v>41122</v>
      </c>
      <c r="K24" s="557">
        <f t="shared" si="48"/>
        <v>41153</v>
      </c>
      <c r="L24" s="557">
        <f t="shared" si="48"/>
        <v>41184</v>
      </c>
      <c r="M24" s="557">
        <f t="shared" si="48"/>
        <v>41215</v>
      </c>
      <c r="N24" s="557">
        <f t="shared" si="48"/>
        <v>41246</v>
      </c>
      <c r="O24" s="557">
        <f t="shared" si="48"/>
        <v>41277</v>
      </c>
      <c r="P24" s="557">
        <f t="shared" si="48"/>
        <v>41308</v>
      </c>
      <c r="Q24" s="557">
        <f t="shared" si="48"/>
        <v>41339</v>
      </c>
      <c r="R24" s="557">
        <f t="shared" si="48"/>
        <v>41370</v>
      </c>
      <c r="S24" s="557">
        <f t="shared" si="48"/>
        <v>41401</v>
      </c>
      <c r="T24" s="557">
        <f t="shared" si="48"/>
        <v>41432</v>
      </c>
      <c r="U24" s="557">
        <f t="shared" si="48"/>
        <v>41463</v>
      </c>
      <c r="V24" s="557">
        <f t="shared" si="48"/>
        <v>41494</v>
      </c>
      <c r="W24" s="557">
        <f t="shared" si="48"/>
        <v>41525</v>
      </c>
      <c r="X24" s="557">
        <f t="shared" si="48"/>
        <v>41556</v>
      </c>
      <c r="Y24" s="557">
        <f t="shared" si="48"/>
        <v>41587</v>
      </c>
      <c r="Z24" s="557">
        <f t="shared" si="48"/>
        <v>41618</v>
      </c>
      <c r="AA24" s="557">
        <f t="shared" si="48"/>
        <v>41649</v>
      </c>
      <c r="AB24" s="557">
        <f t="shared" si="48"/>
        <v>41680</v>
      </c>
      <c r="AC24" s="557">
        <f t="shared" si="48"/>
        <v>41711</v>
      </c>
      <c r="AD24" s="557">
        <f t="shared" si="48"/>
        <v>41742</v>
      </c>
      <c r="AE24" s="557">
        <f t="shared" si="48"/>
        <v>41773</v>
      </c>
      <c r="AF24" s="557">
        <f t="shared" si="48"/>
        <v>41804</v>
      </c>
      <c r="AG24" s="557">
        <f t="shared" ref="AG24:AL24" si="49">AG12</f>
        <v>41835</v>
      </c>
      <c r="AH24" s="557">
        <f t="shared" si="49"/>
        <v>41866</v>
      </c>
      <c r="AI24" s="557">
        <f t="shared" si="49"/>
        <v>41897</v>
      </c>
      <c r="AJ24" s="557">
        <f t="shared" si="49"/>
        <v>41928</v>
      </c>
      <c r="AK24" s="557">
        <f t="shared" si="49"/>
        <v>41959</v>
      </c>
      <c r="AL24" s="557">
        <f t="shared" si="49"/>
        <v>41990</v>
      </c>
      <c r="AM24" s="557">
        <f t="shared" ref="AM24:AR24" si="50">AM12</f>
        <v>42021</v>
      </c>
      <c r="AN24" s="557">
        <f t="shared" si="50"/>
        <v>42052</v>
      </c>
      <c r="AO24" s="557">
        <f t="shared" si="50"/>
        <v>42083</v>
      </c>
      <c r="AP24" s="557">
        <f t="shared" si="50"/>
        <v>42114</v>
      </c>
      <c r="AQ24" s="557">
        <f t="shared" si="50"/>
        <v>42145</v>
      </c>
      <c r="AR24" s="557">
        <f t="shared" si="50"/>
        <v>42176</v>
      </c>
      <c r="AS24" s="557">
        <f t="shared" ref="AS24:AX24" si="51">AS12</f>
        <v>42207</v>
      </c>
      <c r="AT24" s="557">
        <f t="shared" si="51"/>
        <v>42238</v>
      </c>
      <c r="AU24" s="557">
        <f t="shared" si="51"/>
        <v>42269</v>
      </c>
      <c r="AV24" s="557">
        <f t="shared" si="51"/>
        <v>42300</v>
      </c>
      <c r="AW24" s="557">
        <f t="shared" si="51"/>
        <v>42331</v>
      </c>
      <c r="AX24" s="557">
        <f t="shared" si="51"/>
        <v>42362</v>
      </c>
      <c r="AY24" s="557">
        <f t="shared" ref="AY24:BG24" si="52">AY12</f>
        <v>42393</v>
      </c>
      <c r="AZ24" s="557">
        <f t="shared" si="52"/>
        <v>42424</v>
      </c>
      <c r="BA24" s="557">
        <f t="shared" si="52"/>
        <v>42455</v>
      </c>
      <c r="BB24" s="557">
        <f t="shared" si="52"/>
        <v>42486</v>
      </c>
      <c r="BC24" s="557">
        <f t="shared" si="52"/>
        <v>42517</v>
      </c>
      <c r="BD24" s="557">
        <f t="shared" si="52"/>
        <v>42548</v>
      </c>
      <c r="BE24" s="557">
        <f t="shared" si="52"/>
        <v>42579</v>
      </c>
      <c r="BF24" s="557">
        <f t="shared" si="52"/>
        <v>42610</v>
      </c>
      <c r="BG24" s="557">
        <f t="shared" si="52"/>
        <v>42641</v>
      </c>
      <c r="BH24" s="557">
        <f t="shared" ref="BH24:BM24" si="53">BH12</f>
        <v>42672</v>
      </c>
      <c r="BI24" s="557">
        <f t="shared" si="53"/>
        <v>42703</v>
      </c>
      <c r="BJ24" s="557">
        <f t="shared" si="53"/>
        <v>42734</v>
      </c>
      <c r="BK24" s="557">
        <f t="shared" si="53"/>
        <v>42765</v>
      </c>
      <c r="BL24" s="557">
        <f t="shared" si="53"/>
        <v>42793</v>
      </c>
      <c r="BM24" s="557">
        <f t="shared" si="53"/>
        <v>42824</v>
      </c>
      <c r="BN24" s="557">
        <f t="shared" ref="BN24:BS24" si="54">BN12</f>
        <v>42855</v>
      </c>
      <c r="BO24" s="557">
        <f t="shared" si="54"/>
        <v>42886</v>
      </c>
      <c r="BP24" s="557">
        <f t="shared" si="54"/>
        <v>42916</v>
      </c>
      <c r="BQ24" s="557">
        <f t="shared" si="54"/>
        <v>42946</v>
      </c>
      <c r="BR24" s="557">
        <f t="shared" si="54"/>
        <v>42976</v>
      </c>
      <c r="BS24" s="557">
        <f t="shared" si="54"/>
        <v>43006</v>
      </c>
      <c r="BT24" s="557">
        <f t="shared" ref="BT24:BY24" si="55">BT12</f>
        <v>43036</v>
      </c>
      <c r="BU24" s="557">
        <f t="shared" si="55"/>
        <v>43066</v>
      </c>
      <c r="BV24" s="557">
        <f t="shared" si="55"/>
        <v>43096</v>
      </c>
      <c r="BW24" s="557">
        <f t="shared" si="55"/>
        <v>43126</v>
      </c>
      <c r="BX24" s="557">
        <f t="shared" si="55"/>
        <v>43156</v>
      </c>
      <c r="BY24" s="557">
        <f t="shared" si="55"/>
        <v>43186</v>
      </c>
      <c r="BZ24" s="557">
        <f t="shared" ref="BZ24:CE24" si="56">BZ12</f>
        <v>43216</v>
      </c>
      <c r="CA24" s="557">
        <f t="shared" si="56"/>
        <v>43246</v>
      </c>
      <c r="CB24" s="557">
        <f t="shared" si="56"/>
        <v>43276</v>
      </c>
      <c r="CC24" s="557">
        <f t="shared" si="56"/>
        <v>43306</v>
      </c>
      <c r="CD24" s="557">
        <f t="shared" si="56"/>
        <v>43336</v>
      </c>
      <c r="CE24" s="557">
        <f t="shared" si="56"/>
        <v>43366</v>
      </c>
      <c r="CF24" s="557">
        <f t="shared" ref="CF24:CK24" si="57">CF12</f>
        <v>43396</v>
      </c>
      <c r="CG24" s="557">
        <f t="shared" si="57"/>
        <v>43426</v>
      </c>
      <c r="CH24" s="557">
        <f t="shared" si="57"/>
        <v>43456</v>
      </c>
      <c r="CI24" s="557">
        <f t="shared" si="57"/>
        <v>43486</v>
      </c>
      <c r="CJ24" s="557">
        <f t="shared" si="57"/>
        <v>43516</v>
      </c>
      <c r="CK24" s="557">
        <f t="shared" si="57"/>
        <v>43546</v>
      </c>
      <c r="CL24" s="557">
        <f t="shared" ref="CL24:CQ24" si="58">CL12</f>
        <v>43576</v>
      </c>
      <c r="CM24" s="557">
        <f t="shared" si="58"/>
        <v>43606</v>
      </c>
      <c r="CN24" s="557">
        <f t="shared" si="58"/>
        <v>43636</v>
      </c>
      <c r="CO24" s="557">
        <f t="shared" si="58"/>
        <v>43666</v>
      </c>
      <c r="CP24" s="557">
        <f t="shared" si="58"/>
        <v>43696</v>
      </c>
      <c r="CQ24" s="557">
        <f t="shared" si="58"/>
        <v>43726</v>
      </c>
      <c r="CR24" s="557">
        <f t="shared" ref="CR24:CW24" si="59">CR12</f>
        <v>43756</v>
      </c>
      <c r="CS24" s="557">
        <f t="shared" si="59"/>
        <v>43786</v>
      </c>
      <c r="CT24" s="557">
        <f t="shared" si="59"/>
        <v>43816</v>
      </c>
      <c r="CU24" s="557">
        <f t="shared" si="59"/>
        <v>43846</v>
      </c>
      <c r="CV24" s="557">
        <f t="shared" si="59"/>
        <v>43876</v>
      </c>
      <c r="CW24" s="557">
        <f t="shared" si="59"/>
        <v>43906</v>
      </c>
      <c r="CX24" s="557">
        <f t="shared" ref="CX24:DC24" si="60">CX12</f>
        <v>43936</v>
      </c>
      <c r="CY24" s="557">
        <f t="shared" si="60"/>
        <v>43966</v>
      </c>
      <c r="CZ24" s="557">
        <f t="shared" si="60"/>
        <v>43996</v>
      </c>
      <c r="DA24" s="557">
        <f t="shared" si="60"/>
        <v>44026</v>
      </c>
      <c r="DB24" s="557">
        <f t="shared" si="60"/>
        <v>44056</v>
      </c>
      <c r="DC24" s="557">
        <f t="shared" si="60"/>
        <v>44086</v>
      </c>
      <c r="DD24" s="557">
        <f t="shared" ref="DD24:DI24" si="61">DD12</f>
        <v>44116</v>
      </c>
      <c r="DE24" s="557">
        <f t="shared" si="61"/>
        <v>44146</v>
      </c>
      <c r="DF24" s="557">
        <f t="shared" si="61"/>
        <v>44176</v>
      </c>
      <c r="DG24" s="557">
        <f t="shared" si="61"/>
        <v>44206</v>
      </c>
      <c r="DH24" s="557">
        <f t="shared" si="61"/>
        <v>44236</v>
      </c>
      <c r="DI24" s="557">
        <f t="shared" si="61"/>
        <v>44266</v>
      </c>
      <c r="DJ24" s="557">
        <f t="shared" ref="DJ24:DO24" si="62">DJ12</f>
        <v>44296</v>
      </c>
      <c r="DK24" s="557">
        <f t="shared" si="62"/>
        <v>44326</v>
      </c>
      <c r="DL24" s="557">
        <f t="shared" si="62"/>
        <v>44356</v>
      </c>
      <c r="DM24" s="557">
        <f t="shared" si="62"/>
        <v>44386</v>
      </c>
      <c r="DN24" s="557">
        <f t="shared" si="62"/>
        <v>44416</v>
      </c>
      <c r="DO24" s="557">
        <f t="shared" si="62"/>
        <v>44446</v>
      </c>
      <c r="DP24" s="557">
        <f t="shared" ref="DP24:DU24" si="63">DP12</f>
        <v>44476</v>
      </c>
      <c r="DQ24" s="557">
        <f t="shared" si="63"/>
        <v>44506</v>
      </c>
      <c r="DR24" s="557">
        <f t="shared" si="63"/>
        <v>44536</v>
      </c>
      <c r="DS24" s="557">
        <f t="shared" si="63"/>
        <v>44566</v>
      </c>
      <c r="DT24" s="557">
        <f t="shared" si="63"/>
        <v>44596</v>
      </c>
      <c r="DU24" s="557">
        <f t="shared" si="63"/>
        <v>44626</v>
      </c>
      <c r="DV24" s="557">
        <f t="shared" ref="DV24:DX24" si="64">DV12</f>
        <v>44656</v>
      </c>
      <c r="DW24" s="557">
        <f t="shared" si="64"/>
        <v>44686</v>
      </c>
      <c r="DX24" s="557">
        <f t="shared" si="64"/>
        <v>44716</v>
      </c>
      <c r="DY24" s="557">
        <f t="shared" ref="DY24:EA24" si="65">DY12</f>
        <v>44746</v>
      </c>
      <c r="DZ24" s="557">
        <f t="shared" si="65"/>
        <v>44776</v>
      </c>
      <c r="EA24" s="557">
        <f t="shared" si="65"/>
        <v>44806</v>
      </c>
      <c r="EB24" s="557">
        <f t="shared" ref="EB24:ED24" si="66">EB12</f>
        <v>44836</v>
      </c>
      <c r="EC24" s="557">
        <f t="shared" si="66"/>
        <v>44866</v>
      </c>
      <c r="ED24" s="557">
        <f t="shared" si="66"/>
        <v>44896</v>
      </c>
      <c r="EF24" s="820" t="s">
        <v>1357</v>
      </c>
      <c r="EG24" s="820" t="s">
        <v>1358</v>
      </c>
    </row>
    <row r="25" spans="1:143">
      <c r="B25" s="556"/>
      <c r="C25" s="556"/>
      <c r="D25" s="556"/>
      <c r="E25" s="556"/>
      <c r="F25" s="556"/>
      <c r="G25" s="556"/>
      <c r="H25" s="556"/>
      <c r="I25" s="556"/>
      <c r="J25" s="556"/>
      <c r="K25" s="556"/>
      <c r="L25" s="556"/>
      <c r="M25" s="556"/>
      <c r="N25" s="556"/>
      <c r="O25" s="557"/>
      <c r="P25" s="557"/>
      <c r="Q25" s="557"/>
      <c r="R25" s="557"/>
      <c r="S25" s="557"/>
      <c r="T25" s="557"/>
      <c r="U25" s="557"/>
      <c r="V25" s="557"/>
      <c r="W25" s="557"/>
      <c r="X25" s="557"/>
      <c r="Y25" s="557"/>
      <c r="Z25" s="557"/>
      <c r="AA25" s="557"/>
      <c r="AB25" s="557"/>
      <c r="AC25" s="557"/>
      <c r="AD25" s="557"/>
      <c r="AE25" s="557"/>
      <c r="AF25" s="557"/>
      <c r="AG25" s="557"/>
      <c r="AH25" s="557"/>
      <c r="AI25" s="557"/>
      <c r="AJ25" s="557"/>
      <c r="AK25" s="557"/>
      <c r="AL25" s="557"/>
      <c r="AM25" s="557"/>
      <c r="AN25" s="557"/>
      <c r="AO25" s="557"/>
      <c r="AP25" s="557"/>
      <c r="AQ25" s="557"/>
      <c r="AR25" s="557"/>
      <c r="AS25" s="557"/>
      <c r="AT25" s="557"/>
      <c r="AU25" s="557"/>
      <c r="AV25" s="557"/>
      <c r="AW25" s="557"/>
      <c r="AX25" s="557"/>
      <c r="AY25" s="557"/>
      <c r="AZ25" s="557"/>
      <c r="BA25" s="557"/>
      <c r="BB25" s="557"/>
      <c r="BC25" s="557"/>
      <c r="BD25" s="557"/>
      <c r="BE25" s="557"/>
      <c r="BF25" s="557"/>
      <c r="BG25" s="557"/>
      <c r="BH25" s="557"/>
      <c r="BI25" s="557"/>
      <c r="BJ25" s="557"/>
      <c r="BK25" s="557"/>
      <c r="BL25" s="557"/>
      <c r="BM25" s="557"/>
      <c r="BN25" s="557"/>
      <c r="BO25" s="557"/>
      <c r="BP25" s="557"/>
      <c r="BQ25" s="557"/>
      <c r="BR25" s="557"/>
      <c r="BS25" s="557"/>
      <c r="BT25" s="557"/>
      <c r="BU25" s="557"/>
      <c r="BV25" s="557"/>
      <c r="BW25" s="557"/>
      <c r="BX25" s="557"/>
      <c r="BY25" s="557"/>
      <c r="BZ25" s="557"/>
      <c r="CA25" s="557"/>
      <c r="CB25" s="557"/>
      <c r="CC25" s="557"/>
      <c r="CD25" s="557"/>
      <c r="CE25" s="557"/>
      <c r="CF25" s="557"/>
      <c r="CG25" s="557"/>
      <c r="CH25" s="557"/>
      <c r="CI25" s="557"/>
      <c r="CJ25" s="557"/>
      <c r="CK25" s="557"/>
      <c r="CL25" s="557"/>
      <c r="CM25" s="557"/>
      <c r="CN25" s="557"/>
      <c r="CO25" s="557"/>
      <c r="CP25" s="557"/>
      <c r="CQ25" s="557"/>
      <c r="CR25" s="557"/>
      <c r="CS25" s="557"/>
      <c r="CT25" s="557"/>
      <c r="CU25" s="557"/>
      <c r="CV25" s="557"/>
      <c r="CW25" s="557"/>
      <c r="CX25" s="557"/>
      <c r="CY25" s="557"/>
      <c r="CZ25" s="557"/>
      <c r="DA25" s="557"/>
      <c r="DB25" s="557"/>
      <c r="DC25" s="557"/>
      <c r="DD25" s="557"/>
      <c r="DE25" s="557"/>
      <c r="DF25" s="557"/>
      <c r="DG25" s="557"/>
      <c r="DH25" s="557"/>
      <c r="DI25" s="557"/>
      <c r="DJ25" s="557"/>
      <c r="DK25" s="557"/>
      <c r="DL25" s="557"/>
      <c r="DM25" s="557"/>
      <c r="DN25" s="557"/>
      <c r="DO25" s="557"/>
      <c r="DP25" s="557"/>
      <c r="DQ25" s="557"/>
      <c r="DR25" s="557"/>
      <c r="DS25" s="557"/>
      <c r="DT25" s="557"/>
      <c r="DU25" s="557"/>
      <c r="DV25" s="557"/>
      <c r="DW25" s="557"/>
      <c r="DX25" s="557"/>
      <c r="DY25" s="557"/>
      <c r="DZ25" s="557"/>
      <c r="EA25" s="557"/>
      <c r="EB25" s="557"/>
      <c r="EC25" s="557"/>
      <c r="ED25" s="557"/>
      <c r="EF25" s="565">
        <v>147148.94</v>
      </c>
      <c r="EG25" s="565">
        <v>574154.80000000005</v>
      </c>
      <c r="EH25" s="565">
        <f>+EF25+EG25</f>
        <v>721303.74</v>
      </c>
      <c r="EI25" s="17" t="s">
        <v>2492</v>
      </c>
    </row>
    <row r="26" spans="1:143">
      <c r="A26" s="558" t="s">
        <v>549</v>
      </c>
      <c r="B26" s="559" t="s">
        <v>554</v>
      </c>
      <c r="C26" s="559">
        <v>1138.6145100000001</v>
      </c>
      <c r="D26" s="559">
        <v>1138.6145100000001</v>
      </c>
      <c r="E26" s="559">
        <v>1138.6145100000001</v>
      </c>
      <c r="F26" s="559">
        <v>1138.6145100000001</v>
      </c>
      <c r="G26" s="559">
        <v>1138.6145100000001</v>
      </c>
      <c r="H26" s="559">
        <v>1226.9161000000001</v>
      </c>
      <c r="I26" s="559">
        <v>1178.1222499999999</v>
      </c>
      <c r="J26" s="559">
        <v>1061.2871100000002</v>
      </c>
      <c r="K26" s="559">
        <v>942.94106000000011</v>
      </c>
      <c r="L26" s="559">
        <v>1002.52439</v>
      </c>
      <c r="M26" s="559">
        <v>997.10771999999997</v>
      </c>
      <c r="N26" s="559">
        <v>997.10771999999997</v>
      </c>
      <c r="O26" s="559">
        <v>996.83771999999999</v>
      </c>
      <c r="P26" s="559">
        <v>997.10771999999997</v>
      </c>
      <c r="Q26" s="559">
        <v>997.10771999999997</v>
      </c>
      <c r="R26" s="559">
        <v>997.10771999999997</v>
      </c>
      <c r="S26" s="559">
        <v>997.10771999999997</v>
      </c>
      <c r="T26" s="559">
        <v>997.10771999999997</v>
      </c>
      <c r="U26" s="559">
        <v>997.10771999999997</v>
      </c>
      <c r="V26" s="559">
        <v>997.10771999999997</v>
      </c>
      <c r="W26" s="559">
        <v>997.10771999999997</v>
      </c>
      <c r="X26" s="559">
        <v>997.10771999999997</v>
      </c>
      <c r="Y26" s="559">
        <v>997.10771999999997</v>
      </c>
      <c r="Z26" s="559">
        <v>997.10771999999997</v>
      </c>
      <c r="AA26" s="566">
        <v>997.10771999999997</v>
      </c>
      <c r="AB26" s="566">
        <v>997.10771999999997</v>
      </c>
      <c r="AC26" s="566">
        <v>997.10771999999997</v>
      </c>
      <c r="AD26" s="566">
        <v>997.10771999999997</v>
      </c>
      <c r="AE26" s="566">
        <v>1015.23272</v>
      </c>
      <c r="AF26" s="566">
        <v>1033.35772</v>
      </c>
      <c r="AG26" s="566">
        <v>1033.35772</v>
      </c>
      <c r="AH26" s="566">
        <v>1033.35772</v>
      </c>
      <c r="AI26" s="566">
        <v>1033.35772</v>
      </c>
      <c r="AJ26" s="566">
        <v>1033.35772</v>
      </c>
      <c r="AK26" s="566">
        <v>1033.35772</v>
      </c>
      <c r="AL26" s="566">
        <v>1033.35772</v>
      </c>
      <c r="AM26" s="566">
        <v>1033.35772</v>
      </c>
      <c r="AN26" s="566">
        <v>1033.3577299999999</v>
      </c>
      <c r="AO26" s="566">
        <v>1033.3577299999999</v>
      </c>
      <c r="AP26" s="566">
        <v>1033.3577299999999</v>
      </c>
      <c r="AQ26" s="566">
        <v>1033.3577299999999</v>
      </c>
      <c r="AR26" s="566">
        <v>1136.0244</v>
      </c>
      <c r="AS26" s="566">
        <v>1103.3577299999999</v>
      </c>
      <c r="AT26" s="566">
        <v>1103.3577299999999</v>
      </c>
      <c r="AU26" s="566">
        <v>1103.3577299999999</v>
      </c>
      <c r="AV26" s="566">
        <v>1103.3577299999999</v>
      </c>
      <c r="AW26" s="566">
        <v>1103.3577299999999</v>
      </c>
      <c r="AX26" s="567">
        <v>1103.3577299999999</v>
      </c>
      <c r="AY26" s="567">
        <v>1103.3577299999999</v>
      </c>
      <c r="AZ26" s="567">
        <v>1103.3577299999999</v>
      </c>
      <c r="BA26" s="567">
        <v>1103.3577299999999</v>
      </c>
      <c r="BB26" s="567">
        <v>1103.3577299999999</v>
      </c>
      <c r="BC26" s="567">
        <v>1103.3577299999999</v>
      </c>
      <c r="BD26" s="567">
        <v>1103.3577299999999</v>
      </c>
      <c r="BE26" s="567">
        <v>1103.3577299999999</v>
      </c>
      <c r="BF26" s="567">
        <v>1093.1077299999999</v>
      </c>
      <c r="BG26" s="567">
        <v>1103.3577299999999</v>
      </c>
      <c r="BH26" s="567">
        <v>1103.3577299999999</v>
      </c>
      <c r="BI26" s="567">
        <v>1103.3577299999999</v>
      </c>
      <c r="BJ26" s="567">
        <v>1103.3577299999999</v>
      </c>
      <c r="BK26" s="567">
        <v>1103.3577299999999</v>
      </c>
      <c r="BL26" s="567">
        <v>1103.3577299999999</v>
      </c>
      <c r="BM26" s="567">
        <v>1103.3577299999999</v>
      </c>
      <c r="BN26" s="567">
        <v>1103.3577299999999</v>
      </c>
      <c r="BO26" s="567">
        <v>1103.3577299999999</v>
      </c>
      <c r="BP26" s="567">
        <v>1103.3577299999999</v>
      </c>
      <c r="BQ26" s="567">
        <v>1103.3577299999999</v>
      </c>
      <c r="BR26" s="567">
        <v>1103.3577299999999</v>
      </c>
      <c r="BS26" s="567">
        <v>1103.3577299999999</v>
      </c>
      <c r="BT26" s="567">
        <v>1103.3577299999999</v>
      </c>
      <c r="BU26" s="567">
        <v>1103.3577299999999</v>
      </c>
      <c r="BV26" s="567">
        <v>1103.3577299999999</v>
      </c>
      <c r="BW26" s="567">
        <v>1103.3577299999999</v>
      </c>
      <c r="BX26" s="567">
        <v>1103.3577299999999</v>
      </c>
      <c r="BY26" s="567">
        <v>1103.3577299999999</v>
      </c>
      <c r="BZ26" s="567">
        <v>1103.3577299999999</v>
      </c>
      <c r="CA26" s="567">
        <v>976.274</v>
      </c>
      <c r="CB26" s="567">
        <v>1055.2326499999999</v>
      </c>
      <c r="CC26" s="567">
        <v>1117.9410600000001</v>
      </c>
      <c r="CD26" s="567">
        <v>1117.9410600000001</v>
      </c>
      <c r="CE26" s="567">
        <v>1117.9410600000001</v>
      </c>
      <c r="CF26" s="567">
        <v>1198.2883200000001</v>
      </c>
      <c r="CG26" s="567">
        <v>1210.6493899999998</v>
      </c>
      <c r="CH26" s="567">
        <v>1210.6493899999998</v>
      </c>
      <c r="CI26" s="567">
        <v>1210.6493899999998</v>
      </c>
      <c r="CJ26" s="567">
        <v>1210.6493899999998</v>
      </c>
      <c r="CK26" s="567">
        <v>1210.6493899999998</v>
      </c>
      <c r="CL26" s="567">
        <v>1210.6493899999998</v>
      </c>
      <c r="CM26" s="567">
        <v>1210.6493899999998</v>
      </c>
      <c r="CN26" s="567">
        <v>1210.6493899999998</v>
      </c>
      <c r="CO26" s="567">
        <v>1230.78828</v>
      </c>
      <c r="CP26" s="567">
        <v>1286.17022</v>
      </c>
      <c r="CQ26" s="567">
        <v>1286.17022</v>
      </c>
      <c r="CR26" s="567">
        <v>1286.17022</v>
      </c>
      <c r="CS26" s="567">
        <v>1286.17022</v>
      </c>
      <c r="CT26" s="567">
        <v>1286.17022</v>
      </c>
      <c r="CU26" s="567">
        <v>1286.17022</v>
      </c>
      <c r="CV26" s="567">
        <v>1286.17022</v>
      </c>
      <c r="CW26" s="567">
        <v>1281.1355100000001</v>
      </c>
      <c r="CX26" s="567">
        <v>1286.17022</v>
      </c>
      <c r="CY26" s="567">
        <v>1286.17022</v>
      </c>
      <c r="CZ26" s="567">
        <v>1286.17022</v>
      </c>
      <c r="DA26" s="567">
        <v>1286.17022</v>
      </c>
      <c r="DB26" s="567">
        <v>1286.17022</v>
      </c>
      <c r="DC26" s="567">
        <v>1286.17022</v>
      </c>
      <c r="DD26" s="567">
        <v>1286.17022</v>
      </c>
      <c r="DE26" s="567">
        <v>1286.17022</v>
      </c>
      <c r="DF26" s="567">
        <v>1286.17022</v>
      </c>
      <c r="DG26" s="567">
        <v>1286.17022</v>
      </c>
      <c r="DH26" s="567">
        <v>1286.17022</v>
      </c>
      <c r="DI26" s="567">
        <v>1603.85772</v>
      </c>
      <c r="DJ26" s="567">
        <v>1846.79522</v>
      </c>
      <c r="DK26" s="567">
        <v>1636.3541599999999</v>
      </c>
      <c r="DL26" s="567">
        <v>1741.5746899999999</v>
      </c>
      <c r="DM26" s="567">
        <f>IncomeStmt!EB37/1000</f>
        <v>1636.3541599999999</v>
      </c>
      <c r="DN26" s="567">
        <f>IncomeStmt!EC37/1000</f>
        <v>1636.3541599999999</v>
      </c>
      <c r="DO26" s="567">
        <f>IncomeStmt!ED37/1000</f>
        <v>1542.9166599999999</v>
      </c>
      <c r="DP26" s="567">
        <f>IncomeStmt!EE37/1000</f>
        <v>1636.3541599999999</v>
      </c>
      <c r="DQ26" s="567">
        <f>IncomeStmt!EF37/1000</f>
        <v>1636.3541599999999</v>
      </c>
      <c r="DR26" s="567">
        <f>IncomeStmt!EG37/1000</f>
        <v>1636.3541599999999</v>
      </c>
      <c r="DS26" s="567">
        <f>IncomeStmt!EH37/1000</f>
        <v>1636.3541599999999</v>
      </c>
      <c r="DT26" s="567">
        <f>IncomeStmt!EI37/1000</f>
        <v>1636.3541599999999</v>
      </c>
      <c r="DU26" s="567">
        <f>IncomeStmt!EJ37/1000</f>
        <v>1636.3541599999999</v>
      </c>
      <c r="DV26" s="567">
        <f>IncomeStmt!EK37/1000</f>
        <v>1636.3541599999999</v>
      </c>
      <c r="DW26" s="567">
        <f>IncomeStmt!EL37/1000</f>
        <v>1636.3541599999999</v>
      </c>
      <c r="DX26" s="567">
        <f>IncomeStmt!EM37/1000</f>
        <v>1636.3541599999999</v>
      </c>
      <c r="DY26" s="567">
        <f>IncomeStmt!EN37/1000</f>
        <v>1802.7604099999999</v>
      </c>
      <c r="DZ26" s="567">
        <f>IncomeStmt!EO37/1000</f>
        <v>1913.6979099999999</v>
      </c>
      <c r="EA26" s="567">
        <f>IncomeStmt!EP37/1000</f>
        <v>1886.61445</v>
      </c>
      <c r="EB26" s="567">
        <f>IncomeStmt!EQ37/1000</f>
        <v>1859.53124</v>
      </c>
      <c r="EC26" s="567">
        <f>IncomeStmt!ER37/1000</f>
        <v>1859.53124</v>
      </c>
      <c r="ED26" s="567">
        <f>IncomeStmt!ES37/1000</f>
        <v>1859.53124</v>
      </c>
      <c r="EF26" s="817">
        <f>-1353.53*5</f>
        <v>-6767.65</v>
      </c>
      <c r="EG26" s="817">
        <f>(+-5876.07*5)+(-1687.11*3-3374.34)</f>
        <v>-37816.019999999997</v>
      </c>
      <c r="EH26" s="817">
        <f>+EF26+EG26</f>
        <v>-44583.67</v>
      </c>
      <c r="EI26" s="17" t="s">
        <v>2491</v>
      </c>
    </row>
    <row r="27" spans="1:143">
      <c r="A27" s="558" t="s">
        <v>550</v>
      </c>
      <c r="B27" s="559" t="s">
        <v>553</v>
      </c>
      <c r="C27" s="559">
        <v>6.9079600000000001</v>
      </c>
      <c r="D27" s="559">
        <v>6.9079600000000001</v>
      </c>
      <c r="E27" s="559">
        <v>6.9079600000000001</v>
      </c>
      <c r="F27" s="559">
        <v>6.9079600000000001</v>
      </c>
      <c r="G27" s="559">
        <v>6.9079600000000001</v>
      </c>
      <c r="H27" s="559">
        <v>7.29101</v>
      </c>
      <c r="I27" s="559">
        <v>6.0121000000000002</v>
      </c>
      <c r="J27" s="559">
        <v>1.32833</v>
      </c>
      <c r="K27" s="559">
        <v>1.32833</v>
      </c>
      <c r="L27" s="559">
        <v>1.5825</v>
      </c>
      <c r="M27" s="559">
        <v>1.5825</v>
      </c>
      <c r="N27" s="559">
        <v>1.5825</v>
      </c>
      <c r="O27" s="559">
        <v>1.5825</v>
      </c>
      <c r="P27" s="559">
        <v>1.5825</v>
      </c>
      <c r="Q27" s="559">
        <v>1.5825</v>
      </c>
      <c r="R27" s="559">
        <v>1.5825</v>
      </c>
      <c r="S27" s="559">
        <v>1.5825</v>
      </c>
      <c r="T27" s="559">
        <v>1.5825</v>
      </c>
      <c r="U27" s="559">
        <v>1.5825</v>
      </c>
      <c r="V27" s="559">
        <v>1.5825</v>
      </c>
      <c r="W27" s="559">
        <v>1.5825</v>
      </c>
      <c r="X27" s="559">
        <v>1.5825</v>
      </c>
      <c r="Y27" s="559">
        <v>1.5825</v>
      </c>
      <c r="Z27" s="559">
        <v>1.5825</v>
      </c>
      <c r="AA27" s="373">
        <v>1.5825</v>
      </c>
      <c r="AB27" s="373">
        <v>1.5825</v>
      </c>
      <c r="AC27" s="373">
        <v>1.5825</v>
      </c>
      <c r="AD27" s="373">
        <v>1.5825</v>
      </c>
      <c r="AE27" s="373">
        <v>1.5825</v>
      </c>
      <c r="AF27" s="373">
        <v>1.61042</v>
      </c>
      <c r="AG27" s="373">
        <v>1.6011099999999998</v>
      </c>
      <c r="AH27" s="373">
        <v>1.6011099999999998</v>
      </c>
      <c r="AI27" s="373">
        <v>1.6011099999999998</v>
      </c>
      <c r="AJ27" s="373">
        <v>1.6011099999999998</v>
      </c>
      <c r="AK27" s="373">
        <v>1.6011099999999998</v>
      </c>
      <c r="AL27" s="373">
        <v>1.6011099999999998</v>
      </c>
      <c r="AM27" s="419">
        <v>1.6011099999999998</v>
      </c>
      <c r="AN27" s="419">
        <v>1.6011099999999998</v>
      </c>
      <c r="AO27" s="419">
        <v>1.6011099999999998</v>
      </c>
      <c r="AP27" s="419">
        <v>1.6011099999999998</v>
      </c>
      <c r="AQ27" s="419">
        <v>1.6011099999999998</v>
      </c>
      <c r="AR27" s="419">
        <v>1.70564</v>
      </c>
      <c r="AS27" s="419">
        <v>1.70444</v>
      </c>
      <c r="AT27" s="419">
        <v>1.70444</v>
      </c>
      <c r="AU27" s="419">
        <v>1.70444</v>
      </c>
      <c r="AV27" s="419">
        <v>1.70444</v>
      </c>
      <c r="AW27" s="419">
        <v>1.70444</v>
      </c>
      <c r="AX27" s="419">
        <v>1.70444</v>
      </c>
      <c r="AY27" s="419">
        <v>1.70444</v>
      </c>
      <c r="AZ27" s="419">
        <v>1.70444</v>
      </c>
      <c r="BA27" s="419">
        <v>1.70444</v>
      </c>
      <c r="BB27" s="419">
        <v>1.70444</v>
      </c>
      <c r="BC27" s="419">
        <v>1.70444</v>
      </c>
      <c r="BD27" s="419">
        <v>1.70444</v>
      </c>
      <c r="BE27" s="419">
        <v>1.70444</v>
      </c>
      <c r="BF27" s="419">
        <v>1.70444</v>
      </c>
      <c r="BG27" s="419">
        <v>1.70444</v>
      </c>
      <c r="BH27" s="419">
        <v>1.70444</v>
      </c>
      <c r="BI27" s="419">
        <v>1.70444</v>
      </c>
      <c r="BJ27" s="419">
        <v>1.70444</v>
      </c>
      <c r="BK27" s="419">
        <v>1.70444</v>
      </c>
      <c r="BL27" s="419">
        <v>1.70444</v>
      </c>
      <c r="BM27" s="419">
        <v>1.70444</v>
      </c>
      <c r="BN27" s="419">
        <v>1.70444</v>
      </c>
      <c r="BO27" s="419">
        <v>1.70444</v>
      </c>
      <c r="BP27" s="419">
        <v>1.70444</v>
      </c>
      <c r="BQ27" s="419">
        <v>1.70444</v>
      </c>
      <c r="BR27" s="419">
        <v>1.70444</v>
      </c>
      <c r="BS27" s="419">
        <v>1.70444</v>
      </c>
      <c r="BT27" s="419">
        <v>1.70444</v>
      </c>
      <c r="BU27" s="419">
        <v>1.70444</v>
      </c>
      <c r="BV27" s="419">
        <v>1.70444</v>
      </c>
      <c r="BW27" s="419">
        <v>1.70444</v>
      </c>
      <c r="BX27" s="419">
        <v>1.70444</v>
      </c>
      <c r="BY27" s="419">
        <v>1.70444</v>
      </c>
      <c r="BZ27" s="419">
        <v>1.70444</v>
      </c>
      <c r="CA27" s="419">
        <v>1.70444</v>
      </c>
      <c r="CB27" s="419">
        <v>2.8199099999999997</v>
      </c>
      <c r="CC27" s="419">
        <v>2.82111</v>
      </c>
      <c r="CD27" s="419">
        <v>2.82111</v>
      </c>
      <c r="CE27" s="419">
        <v>2.82111</v>
      </c>
      <c r="CF27" s="419">
        <v>3.1670599999999998</v>
      </c>
      <c r="CG27" s="419">
        <v>3.1682600000000001</v>
      </c>
      <c r="CH27" s="419">
        <v>3.1682600000000001</v>
      </c>
      <c r="CI27" s="419">
        <v>3.1682600000000001</v>
      </c>
      <c r="CJ27" s="419">
        <v>3.1682600000000001</v>
      </c>
      <c r="CK27" s="419">
        <v>3.1682600000000001</v>
      </c>
      <c r="CL27" s="419">
        <v>3.1682600000000001</v>
      </c>
      <c r="CM27" s="419">
        <v>3.1682600000000001</v>
      </c>
      <c r="CN27" s="419">
        <v>3.1682600000000001</v>
      </c>
      <c r="CO27" s="419">
        <v>3.1682600000000001</v>
      </c>
      <c r="CP27" s="419">
        <v>3.9927600000000001</v>
      </c>
      <c r="CQ27" s="419">
        <v>3.9944099999999998</v>
      </c>
      <c r="CR27" s="419">
        <v>3.9944099999999998</v>
      </c>
      <c r="CS27" s="419">
        <v>3.9944099999999998</v>
      </c>
      <c r="CT27" s="419">
        <v>3.9944099999999998</v>
      </c>
      <c r="CU27" s="419">
        <v>3.9944099999999998</v>
      </c>
      <c r="CV27" s="419">
        <v>3.9944099999999998</v>
      </c>
      <c r="CW27" s="419">
        <v>3.9944099999999998</v>
      </c>
      <c r="CX27" s="419">
        <v>3.9944099999999998</v>
      </c>
      <c r="CY27" s="419">
        <v>3.9944099999999998</v>
      </c>
      <c r="CZ27" s="419">
        <v>3.9944099999999998</v>
      </c>
      <c r="DA27" s="419">
        <v>3.9944099999999998</v>
      </c>
      <c r="DB27" s="419">
        <v>3.9944099999999998</v>
      </c>
      <c r="DC27" s="419">
        <v>3.9944099999999998</v>
      </c>
      <c r="DD27" s="419">
        <v>3.9944099999999998</v>
      </c>
      <c r="DE27" s="419">
        <v>3.9944099999999998</v>
      </c>
      <c r="DF27" s="419">
        <v>3.9944099999999998</v>
      </c>
      <c r="DG27" s="419">
        <v>3.9944099999999998</v>
      </c>
      <c r="DH27" s="419">
        <v>3.9944099999999998</v>
      </c>
      <c r="DI27" s="419">
        <v>7.83094</v>
      </c>
      <c r="DJ27" s="419">
        <v>7.6524399999999995</v>
      </c>
      <c r="DK27" s="419">
        <v>7.83094</v>
      </c>
      <c r="DL27" s="419">
        <v>7.83094</v>
      </c>
      <c r="DM27" s="419">
        <f>VLOOKUP("7500120",'Input IS ACCTS'!$A$6:$DH$513,94,FALSE)/1000</f>
        <v>7.83094</v>
      </c>
      <c r="DN27" s="419">
        <f>VLOOKUP("7500120",'Input IS ACCTS'!$A$6:$DH$513,95,FALSE)/1000</f>
        <v>7.83094</v>
      </c>
      <c r="DO27" s="419">
        <f>VLOOKUP("7500120",'Input IS ACCTS'!$A$6:$DH$513,96,FALSE)/1000</f>
        <v>7.83094</v>
      </c>
      <c r="DP27" s="419">
        <f>VLOOKUP("7500120",'Input IS ACCTS'!$A$6:$DH$513,97,FALSE)/1000</f>
        <v>7.83094</v>
      </c>
      <c r="DQ27" s="419">
        <f>VLOOKUP("7500120",'Input IS ACCTS'!$A$6:$DH$513,98,FALSE)/1000</f>
        <v>7.83094</v>
      </c>
      <c r="DR27" s="419">
        <f>VLOOKUP("7500120",'Input IS ACCTS'!$A$6:$DH$513,99,FALSE)/1000</f>
        <v>7.83094</v>
      </c>
      <c r="DS27" s="419">
        <f>VLOOKUP("7500120",'Input IS ACCTS'!$A$6:$DH$513,100,FALSE)/1000</f>
        <v>7.83094</v>
      </c>
      <c r="DT27" s="419">
        <f>VLOOKUP("7500120",'Input IS ACCTS'!$A$6:$DH$513,101,FALSE)/1000</f>
        <v>7.83094</v>
      </c>
      <c r="DU27" s="419">
        <f>VLOOKUP("7500120",'Input IS ACCTS'!$A$6:$DH$513,102,FALSE)/1000</f>
        <v>7.83094</v>
      </c>
      <c r="DV27" s="419">
        <f>VLOOKUP("7500120",'Input IS ACCTS'!$A$6:$DH$513,103,FALSE)/1000</f>
        <v>7.83094</v>
      </c>
      <c r="DW27" s="419">
        <f>VLOOKUP("7500120",'Input IS ACCTS'!$A$6:$DH$513,104,FALSE)/1000</f>
        <v>7.83094</v>
      </c>
      <c r="DX27" s="419">
        <f>VLOOKUP("7500120",'Input IS ACCTS'!$A$6:$DH$513,105,FALSE)/1000</f>
        <v>7.83094</v>
      </c>
      <c r="DY27" s="419">
        <f>VLOOKUP("7500120",'Input IS ACCTS'!$A$6:$DH$513,106,FALSE)/1000</f>
        <v>8.5574899999999996</v>
      </c>
      <c r="DZ27" s="419">
        <f>VLOOKUP("7500120",'Input IS ACCTS'!$A$6:$DH$513,107,FALSE)/1000</f>
        <v>8.5558700000000005</v>
      </c>
      <c r="EA27" s="419">
        <f>VLOOKUP("7500120",'Input IS ACCTS'!$A$6:$DH$513,108,FALSE)/1000</f>
        <v>8.5558700000000005</v>
      </c>
      <c r="EB27" s="419">
        <f>VLOOKUP("7500120",'Input IS ACCTS'!$A$6:$DH$513,109,FALSE)/1000</f>
        <v>8.3017000000000003</v>
      </c>
      <c r="EC27" s="419">
        <f>VLOOKUP("7500120",'Input IS ACCTS'!$A$6:$DH$513,110,FALSE)/1000</f>
        <v>8.3017000000000003</v>
      </c>
      <c r="ED27" s="419">
        <f>VLOOKUP("7500120",'Input IS ACCTS'!$A$6:$DH$513,111,FALSE)/1000</f>
        <v>8.3017000000000003</v>
      </c>
      <c r="EF27" s="565">
        <f>+EF25+EF26</f>
        <v>140381.29</v>
      </c>
      <c r="EG27" s="565">
        <f>+EG25+EG26</f>
        <v>536338.78</v>
      </c>
      <c r="EH27" s="565">
        <f>+EH25+EH26</f>
        <v>676720.07</v>
      </c>
      <c r="EI27" s="17" t="s">
        <v>2490</v>
      </c>
    </row>
    <row r="28" spans="1:143">
      <c r="A28" s="558" t="s">
        <v>551</v>
      </c>
      <c r="B28" s="559" t="s">
        <v>552</v>
      </c>
      <c r="C28" s="563">
        <v>109.36700999999999</v>
      </c>
      <c r="D28" s="563">
        <v>109.36700999999999</v>
      </c>
      <c r="E28" s="563">
        <v>109.36700999999999</v>
      </c>
      <c r="F28" s="563">
        <v>109.36700999999999</v>
      </c>
      <c r="G28" s="563">
        <v>109.36700999999999</v>
      </c>
      <c r="H28" s="563">
        <v>114.38930999999999</v>
      </c>
      <c r="I28" s="563">
        <v>107.91167999999999</v>
      </c>
      <c r="J28" s="563">
        <v>77.184479999999994</v>
      </c>
      <c r="K28" s="563">
        <v>42.177010000000003</v>
      </c>
      <c r="L28" s="563">
        <v>43.593679999999999</v>
      </c>
      <c r="M28" s="563">
        <v>43.619779999999999</v>
      </c>
      <c r="N28" s="563">
        <v>43.714030000000001</v>
      </c>
      <c r="O28" s="563">
        <v>43.721150000000002</v>
      </c>
      <c r="P28" s="563">
        <v>43.656179999999999</v>
      </c>
      <c r="Q28" s="563">
        <v>43.656179999999999</v>
      </c>
      <c r="R28" s="563">
        <v>43.656179999999999</v>
      </c>
      <c r="S28" s="563">
        <v>43.656179999999999</v>
      </c>
      <c r="T28" s="563">
        <v>43.656179999999999</v>
      </c>
      <c r="U28" s="563">
        <v>43.657899999999998</v>
      </c>
      <c r="V28" s="563">
        <v>43.680230000000002</v>
      </c>
      <c r="W28" s="563">
        <v>43.69491</v>
      </c>
      <c r="X28" s="563">
        <v>43.660989999999998</v>
      </c>
      <c r="Y28" s="563">
        <v>43.660989999999998</v>
      </c>
      <c r="Z28" s="563">
        <v>43.660989999999998</v>
      </c>
      <c r="AA28" s="374">
        <v>43.660989999999998</v>
      </c>
      <c r="AB28" s="374">
        <v>43.660989999999998</v>
      </c>
      <c r="AC28" s="374">
        <v>43.660989999999998</v>
      </c>
      <c r="AD28" s="374">
        <v>43.660989999999998</v>
      </c>
      <c r="AE28" s="374">
        <v>43.675370000000001</v>
      </c>
      <c r="AF28" s="374">
        <v>44.086239999999997</v>
      </c>
      <c r="AG28" s="374">
        <v>43.971830000000004</v>
      </c>
      <c r="AH28" s="374">
        <v>43.96313</v>
      </c>
      <c r="AI28" s="374">
        <v>44.167339999999996</v>
      </c>
      <c r="AJ28" s="374">
        <v>43.995539999999998</v>
      </c>
      <c r="AK28" s="374">
        <v>43.993449999999996</v>
      </c>
      <c r="AL28" s="374">
        <v>43.993449999999996</v>
      </c>
      <c r="AM28" s="568">
        <v>43.993449999999996</v>
      </c>
      <c r="AN28" s="568">
        <v>43.993449999999996</v>
      </c>
      <c r="AO28" s="568">
        <v>43.993449999999996</v>
      </c>
      <c r="AP28" s="568">
        <v>43.993449999999996</v>
      </c>
      <c r="AQ28" s="568">
        <v>76.660119999999992</v>
      </c>
      <c r="AR28" s="568">
        <v>10.94284</v>
      </c>
      <c r="AS28" s="568">
        <v>43.616109999999999</v>
      </c>
      <c r="AT28" s="568">
        <v>43.612809999999996</v>
      </c>
      <c r="AU28" s="568">
        <v>43.723930000000003</v>
      </c>
      <c r="AV28" s="568">
        <v>43.640589999999996</v>
      </c>
      <c r="AW28" s="568">
        <v>43.639879999999998</v>
      </c>
      <c r="AX28" s="568">
        <v>43.658709999999999</v>
      </c>
      <c r="AY28" s="568">
        <v>43.640589999999996</v>
      </c>
      <c r="AZ28" s="568">
        <v>43.640589999999996</v>
      </c>
      <c r="BA28" s="568">
        <v>43.640589999999996</v>
      </c>
      <c r="BB28" s="568">
        <v>43.640589999999996</v>
      </c>
      <c r="BC28" s="568">
        <v>43.640589999999996</v>
      </c>
      <c r="BD28" s="568">
        <v>43.640589999999996</v>
      </c>
      <c r="BE28" s="568">
        <v>43.640589999999996</v>
      </c>
      <c r="BF28" s="568">
        <v>43.640589999999996</v>
      </c>
      <c r="BG28" s="568">
        <v>43.640589999999996</v>
      </c>
      <c r="BH28" s="568">
        <v>43.640589999999996</v>
      </c>
      <c r="BI28" s="568">
        <v>43.640589999999996</v>
      </c>
      <c r="BJ28" s="568">
        <v>43.640589999999996</v>
      </c>
      <c r="BK28" s="568">
        <v>43.640589999999996</v>
      </c>
      <c r="BL28" s="568">
        <v>43.640589999999996</v>
      </c>
      <c r="BM28" s="568">
        <v>43.640589999999996</v>
      </c>
      <c r="BN28" s="568">
        <v>43.640589999999996</v>
      </c>
      <c r="BO28" s="568">
        <v>43.640589999999996</v>
      </c>
      <c r="BP28" s="568">
        <v>43.640589999999996</v>
      </c>
      <c r="BQ28" s="568">
        <v>43.640589999999996</v>
      </c>
      <c r="BR28" s="568">
        <v>43.640589999999996</v>
      </c>
      <c r="BS28" s="568">
        <v>43.640589999999996</v>
      </c>
      <c r="BT28" s="568">
        <v>43.640589999999996</v>
      </c>
      <c r="BU28" s="568">
        <v>43.640589999999996</v>
      </c>
      <c r="BV28" s="568">
        <v>43.640589999999996</v>
      </c>
      <c r="BW28" s="568">
        <v>43.640589999999996</v>
      </c>
      <c r="BX28" s="568">
        <v>43.640589999999996</v>
      </c>
      <c r="BY28" s="568">
        <v>43.640589999999996</v>
      </c>
      <c r="BZ28" s="568">
        <v>43.640589999999996</v>
      </c>
      <c r="CA28" s="568">
        <v>25.664549999999998</v>
      </c>
      <c r="CB28" s="568">
        <v>9.7971900000000005</v>
      </c>
      <c r="CC28" s="568">
        <v>9.8831299999999995</v>
      </c>
      <c r="CD28" s="568">
        <v>9.8852700000000002</v>
      </c>
      <c r="CE28" s="568">
        <v>10.320620000000002</v>
      </c>
      <c r="CF28" s="568">
        <v>10.636850000000001</v>
      </c>
      <c r="CG28" s="568">
        <v>10.660830000000001</v>
      </c>
      <c r="CH28" s="568">
        <v>10.68206</v>
      </c>
      <c r="CI28" s="568">
        <v>10.654620000000001</v>
      </c>
      <c r="CJ28" s="568">
        <v>10.654620000000001</v>
      </c>
      <c r="CK28" s="568">
        <v>10.884139999999999</v>
      </c>
      <c r="CL28" s="568">
        <v>10.69266</v>
      </c>
      <c r="CM28" s="568">
        <v>10.69266</v>
      </c>
      <c r="CN28" s="568">
        <v>10.69266</v>
      </c>
      <c r="CO28" s="568">
        <v>10.69266</v>
      </c>
      <c r="CP28" s="568">
        <v>11.405860000000001</v>
      </c>
      <c r="CQ28" s="568">
        <v>11.465909999999999</v>
      </c>
      <c r="CR28" s="568">
        <v>11.435409999999999</v>
      </c>
      <c r="CS28" s="568">
        <v>11.435409999999999</v>
      </c>
      <c r="CT28" s="568">
        <v>11.633809999999999</v>
      </c>
      <c r="CU28" s="568">
        <v>11.47551</v>
      </c>
      <c r="CV28" s="568">
        <v>11.47551</v>
      </c>
      <c r="CW28" s="568">
        <v>11.486870000000001</v>
      </c>
      <c r="CX28" s="568">
        <v>11.476790000000001</v>
      </c>
      <c r="CY28" s="568">
        <v>11.476790000000001</v>
      </c>
      <c r="CZ28" s="568">
        <v>11.476790000000001</v>
      </c>
      <c r="DA28" s="568">
        <v>11.476790000000001</v>
      </c>
      <c r="DB28" s="568">
        <v>11.476790000000001</v>
      </c>
      <c r="DC28" s="568">
        <v>11.476790000000001</v>
      </c>
      <c r="DD28" s="568">
        <v>11.476790000000001</v>
      </c>
      <c r="DE28" s="568">
        <v>11.476790000000001</v>
      </c>
      <c r="DF28" s="568">
        <v>11.476790000000001</v>
      </c>
      <c r="DG28" s="568">
        <v>11.476790000000001</v>
      </c>
      <c r="DH28" s="568">
        <v>11.476790000000001</v>
      </c>
      <c r="DI28" s="568">
        <v>21.131589999999999</v>
      </c>
      <c r="DJ28" s="568">
        <v>22.693210000000001</v>
      </c>
      <c r="DK28" s="568">
        <v>24.477970000000003</v>
      </c>
      <c r="DL28" s="568">
        <v>26.535630000000001</v>
      </c>
      <c r="DM28" s="568">
        <f>VLOOKUP("7500130",'Input IS ACCTS'!$A$6:$DH$513,94,FALSE)/1000</f>
        <v>23.717689999999997</v>
      </c>
      <c r="DN28" s="568">
        <f>VLOOKUP("7500130",'Input IS ACCTS'!$A$6:$DH$513,95,FALSE)/1000</f>
        <v>23.717689999999997</v>
      </c>
      <c r="DO28" s="568">
        <f>VLOOKUP("7500130",'Input IS ACCTS'!$A$6:$DH$513,96,FALSE)/1000</f>
        <v>23.717689999999997</v>
      </c>
      <c r="DP28" s="568">
        <f>VLOOKUP("7500130",'Input IS ACCTS'!$A$6:$DH$513,97,FALSE)/1000</f>
        <v>23.717689999999997</v>
      </c>
      <c r="DQ28" s="568">
        <f>VLOOKUP("7500130",'Input IS ACCTS'!$A$6:$DH$513,98,FALSE)/1000</f>
        <v>25.183589999999999</v>
      </c>
      <c r="DR28" s="568">
        <f>VLOOKUP("7500130",'Input IS ACCTS'!$A$6:$DH$513,99,FALSE)/1000</f>
        <v>23.717689999999997</v>
      </c>
      <c r="DS28" s="568">
        <f>VLOOKUP("7500130",'Input IS ACCTS'!$A$6:$DH$513,100,FALSE)/1000</f>
        <v>23.717689999999997</v>
      </c>
      <c r="DT28" s="568">
        <f>VLOOKUP("7500130",'Input IS ACCTS'!$A$6:$DH$513,101,FALSE)/1000</f>
        <v>23.717689999999997</v>
      </c>
      <c r="DU28" s="568">
        <f>VLOOKUP("7500130",'Input IS ACCTS'!$A$6:$DH$513,102,FALSE)/1000</f>
        <v>23.717689999999997</v>
      </c>
      <c r="DV28" s="568">
        <f>VLOOKUP("7500130",'Input IS ACCTS'!$A$6:$DH$513,103,FALSE)/1000</f>
        <v>23.717689999999997</v>
      </c>
      <c r="DW28" s="568">
        <f>VLOOKUP("7500130",'Input IS ACCTS'!$A$6:$DH$513,104,FALSE)/1000</f>
        <v>23.717689999999997</v>
      </c>
      <c r="DX28" s="568">
        <f>VLOOKUP("7500130",'Input IS ACCTS'!$A$6:$DH$513,105,FALSE)/1000</f>
        <v>23.717689999999997</v>
      </c>
      <c r="DY28" s="568">
        <f>VLOOKUP("7500130",'Input IS ACCTS'!$A$6:$DH$513,106,FALSE)/1000</f>
        <v>29.831289999999999</v>
      </c>
      <c r="DZ28" s="568">
        <f>VLOOKUP("7500130",'Input IS ACCTS'!$A$6:$DH$513,107,FALSE)/1000</f>
        <v>32.956739999999996</v>
      </c>
      <c r="EA28" s="568">
        <f>VLOOKUP("7500130",'Input IS ACCTS'!$A$6:$DH$513,108,FALSE)/1000</f>
        <v>31.44614</v>
      </c>
      <c r="EB28" s="568">
        <f>VLOOKUP("7500130",'Input IS ACCTS'!$A$6:$DH$513,109,FALSE)/1000</f>
        <v>31.017469999999999</v>
      </c>
      <c r="EC28" s="568">
        <f>VLOOKUP("7500130",'Input IS ACCTS'!$A$6:$DH$513,110,FALSE)/1000</f>
        <v>30.085979999999999</v>
      </c>
      <c r="ED28" s="568">
        <f>VLOOKUP("7500130",'Input IS ACCTS'!$A$6:$DH$513,111,FALSE)/1000</f>
        <v>30.085979999999999</v>
      </c>
      <c r="EF28" s="818"/>
      <c r="EG28" s="818"/>
      <c r="EH28" s="818"/>
    </row>
    <row r="29" spans="1:143">
      <c r="B29" s="564" t="s">
        <v>561</v>
      </c>
      <c r="C29" s="559">
        <f t="shared" ref="C29:AF29" si="67">SUM(C26:C28)</f>
        <v>1254.88948</v>
      </c>
      <c r="D29" s="559">
        <f t="shared" si="67"/>
        <v>1254.88948</v>
      </c>
      <c r="E29" s="559">
        <f t="shared" si="67"/>
        <v>1254.88948</v>
      </c>
      <c r="F29" s="559">
        <f t="shared" si="67"/>
        <v>1254.88948</v>
      </c>
      <c r="G29" s="559">
        <f t="shared" si="67"/>
        <v>1254.88948</v>
      </c>
      <c r="H29" s="559">
        <f t="shared" si="67"/>
        <v>1348.5964200000001</v>
      </c>
      <c r="I29" s="559">
        <f t="shared" si="67"/>
        <v>1292.0460299999997</v>
      </c>
      <c r="J29" s="559">
        <f t="shared" si="67"/>
        <v>1139.7999200000002</v>
      </c>
      <c r="K29" s="559">
        <f t="shared" si="67"/>
        <v>986.44640000000015</v>
      </c>
      <c r="L29" s="559">
        <f t="shared" si="67"/>
        <v>1047.70057</v>
      </c>
      <c r="M29" s="559">
        <f t="shared" si="67"/>
        <v>1042.31</v>
      </c>
      <c r="N29" s="559">
        <f t="shared" si="67"/>
        <v>1042.40425</v>
      </c>
      <c r="O29" s="559">
        <f t="shared" si="67"/>
        <v>1042.1413700000001</v>
      </c>
      <c r="P29" s="559">
        <f t="shared" si="67"/>
        <v>1042.3463999999999</v>
      </c>
      <c r="Q29" s="559">
        <f t="shared" si="67"/>
        <v>1042.3463999999999</v>
      </c>
      <c r="R29" s="559">
        <f t="shared" si="67"/>
        <v>1042.3463999999999</v>
      </c>
      <c r="S29" s="559">
        <f t="shared" si="67"/>
        <v>1042.3463999999999</v>
      </c>
      <c r="T29" s="559">
        <f t="shared" si="67"/>
        <v>1042.3463999999999</v>
      </c>
      <c r="U29" s="559">
        <f t="shared" si="67"/>
        <v>1042.3481199999999</v>
      </c>
      <c r="V29" s="559">
        <f t="shared" si="67"/>
        <v>1042.3704499999999</v>
      </c>
      <c r="W29" s="559">
        <f t="shared" si="67"/>
        <v>1042.3851299999999</v>
      </c>
      <c r="X29" s="559">
        <f t="shared" si="67"/>
        <v>1042.35121</v>
      </c>
      <c r="Y29" s="559">
        <f t="shared" si="67"/>
        <v>1042.35121</v>
      </c>
      <c r="Z29" s="559">
        <f t="shared" si="67"/>
        <v>1042.35121</v>
      </c>
      <c r="AA29" s="559">
        <f t="shared" si="67"/>
        <v>1042.35121</v>
      </c>
      <c r="AB29" s="559">
        <f t="shared" si="67"/>
        <v>1042.35121</v>
      </c>
      <c r="AC29" s="559">
        <f t="shared" si="67"/>
        <v>1042.35121</v>
      </c>
      <c r="AD29" s="559">
        <f t="shared" si="67"/>
        <v>1042.35121</v>
      </c>
      <c r="AE29" s="559">
        <f t="shared" si="67"/>
        <v>1060.4905899999999</v>
      </c>
      <c r="AF29" s="559">
        <f t="shared" si="67"/>
        <v>1079.05438</v>
      </c>
      <c r="AG29" s="559">
        <f t="shared" ref="AG29:AL29" si="68">SUM(AG26:AG28)</f>
        <v>1078.93066</v>
      </c>
      <c r="AH29" s="559">
        <f t="shared" si="68"/>
        <v>1078.9219600000001</v>
      </c>
      <c r="AI29" s="559">
        <f t="shared" si="68"/>
        <v>1079.12617</v>
      </c>
      <c r="AJ29" s="559">
        <f t="shared" si="68"/>
        <v>1078.9543699999999</v>
      </c>
      <c r="AK29" s="559">
        <f t="shared" si="68"/>
        <v>1078.95228</v>
      </c>
      <c r="AL29" s="559">
        <f t="shared" si="68"/>
        <v>1078.95228</v>
      </c>
      <c r="AM29" s="559">
        <f t="shared" ref="AM29:AR29" si="69">SUM(AM26:AM28)</f>
        <v>1078.95228</v>
      </c>
      <c r="AN29" s="559">
        <f t="shared" si="69"/>
        <v>1078.9522899999999</v>
      </c>
      <c r="AO29" s="559">
        <f t="shared" si="69"/>
        <v>1078.9522899999999</v>
      </c>
      <c r="AP29" s="559">
        <f t="shared" si="69"/>
        <v>1078.9522899999999</v>
      </c>
      <c r="AQ29" s="559">
        <f t="shared" si="69"/>
        <v>1111.61896</v>
      </c>
      <c r="AR29" s="559">
        <f t="shared" si="69"/>
        <v>1148.6728799999999</v>
      </c>
      <c r="AS29" s="559">
        <f t="shared" ref="AS29:AX29" si="70">SUM(AS26:AS28)</f>
        <v>1148.6782799999999</v>
      </c>
      <c r="AT29" s="559">
        <f t="shared" si="70"/>
        <v>1148.67498</v>
      </c>
      <c r="AU29" s="559">
        <f t="shared" si="70"/>
        <v>1148.7861</v>
      </c>
      <c r="AV29" s="559">
        <f t="shared" si="70"/>
        <v>1148.7027599999999</v>
      </c>
      <c r="AW29" s="559">
        <f t="shared" si="70"/>
        <v>1148.7020499999999</v>
      </c>
      <c r="AX29" s="559">
        <f t="shared" si="70"/>
        <v>1148.7208799999999</v>
      </c>
      <c r="AY29" s="559">
        <f t="shared" ref="AY29:BG29" si="71">SUM(AY26:AY28)</f>
        <v>1148.7027599999999</v>
      </c>
      <c r="AZ29" s="559">
        <f t="shared" si="71"/>
        <v>1148.7027599999999</v>
      </c>
      <c r="BA29" s="559">
        <f t="shared" si="71"/>
        <v>1148.7027599999999</v>
      </c>
      <c r="BB29" s="559">
        <f t="shared" si="71"/>
        <v>1148.7027599999999</v>
      </c>
      <c r="BC29" s="559">
        <f t="shared" si="71"/>
        <v>1148.7027599999999</v>
      </c>
      <c r="BD29" s="559">
        <f t="shared" si="71"/>
        <v>1148.7027599999999</v>
      </c>
      <c r="BE29" s="559">
        <f t="shared" si="71"/>
        <v>1148.7027599999999</v>
      </c>
      <c r="BF29" s="559">
        <f t="shared" si="71"/>
        <v>1138.4527599999999</v>
      </c>
      <c r="BG29" s="559">
        <f t="shared" si="71"/>
        <v>1148.7027599999999</v>
      </c>
      <c r="BH29" s="559">
        <f t="shared" ref="BH29:BM29" si="72">SUM(BH26:BH28)</f>
        <v>1148.7027599999999</v>
      </c>
      <c r="BI29" s="559">
        <f t="shared" si="72"/>
        <v>1148.7027599999999</v>
      </c>
      <c r="BJ29" s="559">
        <f t="shared" si="72"/>
        <v>1148.7027599999999</v>
      </c>
      <c r="BK29" s="559">
        <f t="shared" si="72"/>
        <v>1148.7027599999999</v>
      </c>
      <c r="BL29" s="559">
        <f t="shared" si="72"/>
        <v>1148.7027599999999</v>
      </c>
      <c r="BM29" s="559">
        <f t="shared" si="72"/>
        <v>1148.7027599999999</v>
      </c>
      <c r="BN29" s="559">
        <f t="shared" ref="BN29:BS29" si="73">SUM(BN26:BN28)</f>
        <v>1148.7027599999999</v>
      </c>
      <c r="BO29" s="559">
        <f t="shared" si="73"/>
        <v>1148.7027599999999</v>
      </c>
      <c r="BP29" s="559">
        <f t="shared" si="73"/>
        <v>1148.7027599999999</v>
      </c>
      <c r="BQ29" s="559">
        <f t="shared" si="73"/>
        <v>1148.7027599999999</v>
      </c>
      <c r="BR29" s="559">
        <f t="shared" si="73"/>
        <v>1148.7027599999999</v>
      </c>
      <c r="BS29" s="559">
        <f t="shared" si="73"/>
        <v>1148.7027599999999</v>
      </c>
      <c r="BT29" s="559">
        <f t="shared" ref="BT29:BY29" si="74">SUM(BT26:BT28)</f>
        <v>1148.7027599999999</v>
      </c>
      <c r="BU29" s="559">
        <f t="shared" si="74"/>
        <v>1148.7027599999999</v>
      </c>
      <c r="BV29" s="559">
        <f t="shared" si="74"/>
        <v>1148.7027599999999</v>
      </c>
      <c r="BW29" s="559">
        <f t="shared" si="74"/>
        <v>1148.7027599999999</v>
      </c>
      <c r="BX29" s="559">
        <f t="shared" si="74"/>
        <v>1148.7027599999999</v>
      </c>
      <c r="BY29" s="559">
        <f t="shared" si="74"/>
        <v>1148.7027599999999</v>
      </c>
      <c r="BZ29" s="559">
        <f t="shared" ref="BZ29:CE29" si="75">SUM(BZ26:BZ28)</f>
        <v>1148.7027599999999</v>
      </c>
      <c r="CA29" s="559">
        <f t="shared" si="75"/>
        <v>1003.6429899999999</v>
      </c>
      <c r="CB29" s="559">
        <f t="shared" si="75"/>
        <v>1067.8497499999999</v>
      </c>
      <c r="CC29" s="559">
        <f t="shared" si="75"/>
        <v>1130.6453000000001</v>
      </c>
      <c r="CD29" s="559">
        <f t="shared" si="75"/>
        <v>1130.6474400000002</v>
      </c>
      <c r="CE29" s="559">
        <f t="shared" si="75"/>
        <v>1131.0827900000002</v>
      </c>
      <c r="CF29" s="559">
        <f t="shared" ref="CF29:CK29" si="76">SUM(CF26:CF28)</f>
        <v>1212.0922300000002</v>
      </c>
      <c r="CG29" s="559">
        <f t="shared" si="76"/>
        <v>1224.4784799999998</v>
      </c>
      <c r="CH29" s="559">
        <f t="shared" si="76"/>
        <v>1224.4997099999998</v>
      </c>
      <c r="CI29" s="559">
        <f t="shared" si="76"/>
        <v>1224.4722699999998</v>
      </c>
      <c r="CJ29" s="559">
        <f t="shared" si="76"/>
        <v>1224.4722699999998</v>
      </c>
      <c r="CK29" s="559">
        <f t="shared" si="76"/>
        <v>1224.7017899999996</v>
      </c>
      <c r="CL29" s="559">
        <f t="shared" ref="CL29:CQ29" si="77">SUM(CL26:CL28)</f>
        <v>1224.5103099999997</v>
      </c>
      <c r="CM29" s="559">
        <f t="shared" si="77"/>
        <v>1224.5103099999997</v>
      </c>
      <c r="CN29" s="559">
        <f t="shared" si="77"/>
        <v>1224.5103099999997</v>
      </c>
      <c r="CO29" s="559">
        <f t="shared" si="77"/>
        <v>1244.6491999999998</v>
      </c>
      <c r="CP29" s="559">
        <f t="shared" si="77"/>
        <v>1301.5688400000001</v>
      </c>
      <c r="CQ29" s="559">
        <f t="shared" si="77"/>
        <v>1301.6305399999999</v>
      </c>
      <c r="CR29" s="559">
        <f t="shared" ref="CR29:CW29" si="78">SUM(CR26:CR28)</f>
        <v>1301.60004</v>
      </c>
      <c r="CS29" s="559">
        <f t="shared" si="78"/>
        <v>1301.60004</v>
      </c>
      <c r="CT29" s="559">
        <f t="shared" si="78"/>
        <v>1301.79844</v>
      </c>
      <c r="CU29" s="559">
        <f t="shared" si="78"/>
        <v>1301.64014</v>
      </c>
      <c r="CV29" s="559">
        <f t="shared" si="78"/>
        <v>1301.64014</v>
      </c>
      <c r="CW29" s="559">
        <f t="shared" si="78"/>
        <v>1296.61679</v>
      </c>
      <c r="CX29" s="559">
        <f t="shared" ref="CX29:DC29" si="79">SUM(CX26:CX28)</f>
        <v>1301.6414199999999</v>
      </c>
      <c r="CY29" s="559">
        <f t="shared" si="79"/>
        <v>1301.6414199999999</v>
      </c>
      <c r="CZ29" s="559">
        <f t="shared" si="79"/>
        <v>1301.6414199999999</v>
      </c>
      <c r="DA29" s="559">
        <f t="shared" si="79"/>
        <v>1301.6414199999999</v>
      </c>
      <c r="DB29" s="559">
        <f t="shared" si="79"/>
        <v>1301.6414199999999</v>
      </c>
      <c r="DC29" s="559">
        <f t="shared" si="79"/>
        <v>1301.6414199999999</v>
      </c>
      <c r="DD29" s="559">
        <f t="shared" ref="DD29:DI29" si="80">SUM(DD26:DD28)</f>
        <v>1301.6414199999999</v>
      </c>
      <c r="DE29" s="559">
        <f t="shared" si="80"/>
        <v>1301.6414199999999</v>
      </c>
      <c r="DF29" s="559">
        <f t="shared" si="80"/>
        <v>1301.6414199999999</v>
      </c>
      <c r="DG29" s="559">
        <f t="shared" si="80"/>
        <v>1301.6414199999999</v>
      </c>
      <c r="DH29" s="559">
        <f t="shared" si="80"/>
        <v>1301.6414199999999</v>
      </c>
      <c r="DI29" s="559">
        <f t="shared" si="80"/>
        <v>1632.82025</v>
      </c>
      <c r="DJ29" s="559">
        <f t="shared" ref="DJ29:DO29" si="81">SUM(DJ26:DJ28)</f>
        <v>1877.1408699999999</v>
      </c>
      <c r="DK29" s="559">
        <f t="shared" si="81"/>
        <v>1668.6630699999998</v>
      </c>
      <c r="DL29" s="559">
        <f t="shared" si="81"/>
        <v>1775.9412600000001</v>
      </c>
      <c r="DM29" s="559">
        <f t="shared" si="81"/>
        <v>1667.9027899999999</v>
      </c>
      <c r="DN29" s="559">
        <f t="shared" si="81"/>
        <v>1667.9027899999999</v>
      </c>
      <c r="DO29" s="559">
        <f t="shared" si="81"/>
        <v>1574.4652899999999</v>
      </c>
      <c r="DP29" s="559">
        <f t="shared" ref="DP29:DU29" si="82">SUM(DP26:DP28)</f>
        <v>1667.9027899999999</v>
      </c>
      <c r="DQ29" s="559">
        <f t="shared" si="82"/>
        <v>1669.36869</v>
      </c>
      <c r="DR29" s="559">
        <f t="shared" si="82"/>
        <v>1667.9027899999999</v>
      </c>
      <c r="DS29" s="559">
        <f t="shared" si="82"/>
        <v>1667.9027899999999</v>
      </c>
      <c r="DT29" s="559">
        <f t="shared" si="82"/>
        <v>1667.9027899999999</v>
      </c>
      <c r="DU29" s="559">
        <f t="shared" si="82"/>
        <v>1667.9027899999999</v>
      </c>
      <c r="DV29" s="559">
        <f t="shared" ref="DV29:DX29" si="83">SUM(DV26:DV28)</f>
        <v>1667.9027899999999</v>
      </c>
      <c r="DW29" s="559">
        <f t="shared" si="83"/>
        <v>1667.9027899999999</v>
      </c>
      <c r="DX29" s="559">
        <f t="shared" si="83"/>
        <v>1667.9027899999999</v>
      </c>
      <c r="DY29" s="559">
        <f t="shared" ref="DY29:EA29" si="84">SUM(DY26:DY28)</f>
        <v>1841.1491899999999</v>
      </c>
      <c r="DZ29" s="559">
        <f t="shared" si="84"/>
        <v>1955.2105199999999</v>
      </c>
      <c r="EA29" s="559">
        <f t="shared" si="84"/>
        <v>1926.61646</v>
      </c>
      <c r="EB29" s="559">
        <f t="shared" ref="EB29:ED29" si="85">SUM(EB26:EB28)</f>
        <v>1898.85041</v>
      </c>
      <c r="EC29" s="559">
        <f t="shared" si="85"/>
        <v>1897.9189200000001</v>
      </c>
      <c r="ED29" s="559">
        <f t="shared" si="85"/>
        <v>1897.9189200000001</v>
      </c>
    </row>
    <row r="30" spans="1:143">
      <c r="T30" s="559"/>
      <c r="U30" s="559"/>
      <c r="V30" s="559"/>
      <c r="W30" s="559"/>
      <c r="X30" s="559"/>
      <c r="Y30" s="559"/>
      <c r="Z30" s="559"/>
      <c r="AA30" s="559"/>
      <c r="AB30" s="559"/>
      <c r="AC30" s="559"/>
      <c r="AD30" s="559"/>
      <c r="AE30" s="559"/>
      <c r="AF30" s="559"/>
      <c r="AG30" s="559"/>
      <c r="AH30" s="559"/>
      <c r="AI30" s="559"/>
      <c r="AJ30" s="559"/>
      <c r="AK30" s="559"/>
      <c r="AL30" s="559"/>
      <c r="AM30" s="559"/>
      <c r="AN30" s="559"/>
      <c r="AO30" s="559"/>
      <c r="AP30" s="559"/>
      <c r="AQ30" s="559"/>
      <c r="AR30" s="559"/>
      <c r="AS30" s="559"/>
      <c r="AT30" s="559"/>
      <c r="AU30" s="559"/>
      <c r="AV30" s="559"/>
      <c r="AW30" s="559"/>
      <c r="AX30" s="559"/>
      <c r="AY30" s="559"/>
      <c r="AZ30" s="559"/>
      <c r="BA30" s="559"/>
      <c r="BB30" s="559"/>
      <c r="BC30" s="559"/>
      <c r="BD30" s="559"/>
      <c r="BE30" s="559"/>
      <c r="BF30" s="559"/>
      <c r="BG30" s="559"/>
      <c r="BH30" s="559"/>
      <c r="BI30" s="559"/>
      <c r="BJ30" s="559"/>
      <c r="BK30" s="559"/>
      <c r="BL30" s="559"/>
      <c r="BM30" s="559"/>
      <c r="BN30" s="559"/>
      <c r="BO30" s="559"/>
      <c r="BP30" s="559"/>
      <c r="BQ30" s="559"/>
      <c r="BR30" s="559"/>
      <c r="BS30" s="559"/>
      <c r="BT30" s="559"/>
      <c r="BU30" s="559"/>
      <c r="BV30" s="559"/>
      <c r="BW30" s="559"/>
      <c r="BX30" s="559"/>
      <c r="BY30" s="559"/>
      <c r="BZ30" s="559"/>
      <c r="CA30" s="559"/>
      <c r="CB30" s="559"/>
      <c r="CC30" s="559"/>
      <c r="CD30" s="559"/>
      <c r="CE30" s="559"/>
      <c r="CF30" s="559"/>
      <c r="CG30" s="559"/>
      <c r="CH30" s="559"/>
      <c r="CI30" s="559"/>
      <c r="CJ30" s="559"/>
      <c r="CK30" s="559"/>
      <c r="CL30" s="559"/>
      <c r="CM30" s="559"/>
      <c r="CN30" s="559"/>
      <c r="CO30" s="559"/>
      <c r="CP30" s="559"/>
      <c r="CQ30" s="559"/>
      <c r="CR30" s="559"/>
      <c r="CS30" s="559"/>
      <c r="CT30" s="559"/>
      <c r="CU30" s="559"/>
      <c r="CV30" s="559"/>
      <c r="CW30" s="559"/>
      <c r="CX30" s="559"/>
      <c r="CY30" s="559"/>
      <c r="CZ30" s="559"/>
      <c r="DA30" s="559"/>
      <c r="DB30" s="559"/>
      <c r="DC30" s="559"/>
      <c r="DD30" s="559"/>
      <c r="DE30" s="559"/>
      <c r="DF30" s="559"/>
      <c r="DG30" s="559"/>
      <c r="DH30" s="559"/>
      <c r="DI30" s="559"/>
      <c r="DJ30" s="559"/>
      <c r="DK30" s="559"/>
      <c r="DL30" s="559"/>
      <c r="DM30" s="559"/>
      <c r="DN30" s="559"/>
      <c r="DO30" s="559"/>
      <c r="DP30" s="559"/>
      <c r="DQ30" s="559"/>
      <c r="DR30" s="559"/>
      <c r="DS30" s="559"/>
      <c r="DT30" s="559"/>
      <c r="DU30" s="559"/>
      <c r="DV30" s="559"/>
      <c r="DW30" s="559"/>
      <c r="DX30" s="559"/>
      <c r="DY30" s="559"/>
      <c r="DZ30" s="559"/>
      <c r="EA30" s="559"/>
      <c r="EB30" s="559"/>
      <c r="EC30" s="559"/>
      <c r="ED30" s="559"/>
    </row>
    <row r="31" spans="1:143">
      <c r="B31" s="559" t="s">
        <v>557</v>
      </c>
      <c r="C31" s="559"/>
      <c r="D31" s="559"/>
      <c r="E31" s="559"/>
      <c r="F31" s="559"/>
      <c r="G31" s="559"/>
      <c r="H31" s="559"/>
      <c r="I31" s="559"/>
      <c r="J31" s="559"/>
      <c r="K31" s="559"/>
      <c r="L31" s="559"/>
      <c r="M31" s="559"/>
      <c r="N31" s="559">
        <f t="shared" ref="N31:Y31" si="86">SUM(C29:N29)</f>
        <v>14173.750989999999</v>
      </c>
      <c r="O31" s="559">
        <f t="shared" si="86"/>
        <v>13961.00288</v>
      </c>
      <c r="P31" s="559">
        <f t="shared" si="86"/>
        <v>13748.459799999999</v>
      </c>
      <c r="Q31" s="559">
        <f t="shared" si="86"/>
        <v>13535.916719999999</v>
      </c>
      <c r="R31" s="559">
        <f t="shared" si="86"/>
        <v>13323.37364</v>
      </c>
      <c r="S31" s="559">
        <f t="shared" si="86"/>
        <v>13110.83056</v>
      </c>
      <c r="T31" s="559">
        <f t="shared" si="86"/>
        <v>12804.580540000001</v>
      </c>
      <c r="U31" s="559">
        <f t="shared" si="86"/>
        <v>12554.882630000002</v>
      </c>
      <c r="V31" s="559">
        <f t="shared" si="86"/>
        <v>12457.453160000003</v>
      </c>
      <c r="W31" s="559">
        <f t="shared" si="86"/>
        <v>12513.391890000003</v>
      </c>
      <c r="X31" s="559">
        <f t="shared" si="86"/>
        <v>12508.042530000004</v>
      </c>
      <c r="Y31" s="559">
        <f t="shared" si="86"/>
        <v>12508.083740000004</v>
      </c>
      <c r="Z31" s="559">
        <f t="shared" ref="Z31:AE31" si="87">SUM(O29:Z29)</f>
        <v>12508.030700000001</v>
      </c>
      <c r="AA31" s="559">
        <f t="shared" si="87"/>
        <v>12508.240540000003</v>
      </c>
      <c r="AB31" s="559">
        <f t="shared" si="87"/>
        <v>12508.245350000001</v>
      </c>
      <c r="AC31" s="559">
        <f t="shared" si="87"/>
        <v>12508.250160000003</v>
      </c>
      <c r="AD31" s="559">
        <f t="shared" si="87"/>
        <v>12508.254970000002</v>
      </c>
      <c r="AE31" s="559">
        <f t="shared" si="87"/>
        <v>12526.399160000001</v>
      </c>
      <c r="AF31" s="559">
        <f t="shared" ref="AF31:AL31" si="88">SUM(U29:AF29)</f>
        <v>12563.10714</v>
      </c>
      <c r="AG31" s="559">
        <f t="shared" si="88"/>
        <v>12599.689679999999</v>
      </c>
      <c r="AH31" s="559">
        <f t="shared" si="88"/>
        <v>12636.241189999999</v>
      </c>
      <c r="AI31" s="559">
        <f t="shared" si="88"/>
        <v>12672.982229999998</v>
      </c>
      <c r="AJ31" s="559">
        <f t="shared" si="88"/>
        <v>12709.585389999998</v>
      </c>
      <c r="AK31" s="559">
        <f t="shared" si="88"/>
        <v>12746.186459999997</v>
      </c>
      <c r="AL31" s="559">
        <f t="shared" si="88"/>
        <v>12782.787529999998</v>
      </c>
      <c r="AM31" s="559">
        <f t="shared" ref="AM31:AR31" si="89">SUM(AB29:AM29)</f>
        <v>12819.388599999997</v>
      </c>
      <c r="AN31" s="559">
        <f t="shared" si="89"/>
        <v>12855.989679999997</v>
      </c>
      <c r="AO31" s="559">
        <f t="shared" si="89"/>
        <v>12892.590759999995</v>
      </c>
      <c r="AP31" s="559">
        <f t="shared" si="89"/>
        <v>12929.191839999996</v>
      </c>
      <c r="AQ31" s="559">
        <f t="shared" si="89"/>
        <v>12980.320209999996</v>
      </c>
      <c r="AR31" s="559">
        <f t="shared" si="89"/>
        <v>13049.938709999997</v>
      </c>
      <c r="AS31" s="559">
        <f t="shared" ref="AS31:AX31" si="90">SUM(AH29:AS29)</f>
        <v>13119.686329999999</v>
      </c>
      <c r="AT31" s="559">
        <f t="shared" si="90"/>
        <v>13189.439349999999</v>
      </c>
      <c r="AU31" s="559">
        <f t="shared" si="90"/>
        <v>13259.09928</v>
      </c>
      <c r="AV31" s="559">
        <f t="shared" si="90"/>
        <v>13328.847669999999</v>
      </c>
      <c r="AW31" s="559">
        <f t="shared" si="90"/>
        <v>13398.59744</v>
      </c>
      <c r="AX31" s="559">
        <f t="shared" si="90"/>
        <v>13468.366040000001</v>
      </c>
      <c r="AY31" s="559">
        <f>SUM(AN29:AY29)</f>
        <v>13538.11652</v>
      </c>
      <c r="AZ31" s="559">
        <f>SUM(AO29:AZ29)</f>
        <v>13607.866989999999</v>
      </c>
      <c r="BA31" s="559">
        <f>SUM(AP29:BA29)</f>
        <v>13677.617460000001</v>
      </c>
      <c r="BB31" s="559">
        <f t="shared" ref="BB31:BU31" si="91">SUM(AQ29:BB29)</f>
        <v>13747.36793</v>
      </c>
      <c r="BC31" s="559">
        <f t="shared" si="91"/>
        <v>13784.451730000001</v>
      </c>
      <c r="BD31" s="559">
        <f t="shared" si="91"/>
        <v>13784.481610000001</v>
      </c>
      <c r="BE31" s="559">
        <f t="shared" si="91"/>
        <v>13784.506090000001</v>
      </c>
      <c r="BF31" s="559">
        <f t="shared" si="91"/>
        <v>13774.283870000001</v>
      </c>
      <c r="BG31" s="559">
        <f t="shared" si="91"/>
        <v>13774.20053</v>
      </c>
      <c r="BH31" s="559">
        <f t="shared" si="91"/>
        <v>13774.20053</v>
      </c>
      <c r="BI31" s="559">
        <f t="shared" si="91"/>
        <v>13774.20124</v>
      </c>
      <c r="BJ31" s="559">
        <f t="shared" si="91"/>
        <v>13774.18312</v>
      </c>
      <c r="BK31" s="559">
        <f t="shared" si="91"/>
        <v>13774.18312</v>
      </c>
      <c r="BL31" s="559">
        <f t="shared" si="91"/>
        <v>13774.18312</v>
      </c>
      <c r="BM31" s="559">
        <f t="shared" si="91"/>
        <v>13774.18312</v>
      </c>
      <c r="BN31" s="559">
        <f t="shared" si="91"/>
        <v>13774.18312</v>
      </c>
      <c r="BO31" s="559">
        <f t="shared" si="91"/>
        <v>13774.18312</v>
      </c>
      <c r="BP31" s="559">
        <f t="shared" si="91"/>
        <v>13774.18312</v>
      </c>
      <c r="BQ31" s="559">
        <f t="shared" si="91"/>
        <v>13774.18312</v>
      </c>
      <c r="BR31" s="559">
        <f t="shared" si="91"/>
        <v>13784.43312</v>
      </c>
      <c r="BS31" s="559">
        <f t="shared" si="91"/>
        <v>13784.43312</v>
      </c>
      <c r="BT31" s="559">
        <f t="shared" si="91"/>
        <v>13784.43312</v>
      </c>
      <c r="BU31" s="559">
        <f t="shared" si="91"/>
        <v>13784.43312</v>
      </c>
      <c r="BV31" s="559">
        <f t="shared" ref="BV31:CG31" si="92">SUM(BK29:BV29)</f>
        <v>13784.43312</v>
      </c>
      <c r="BW31" s="559">
        <f>SUM(BL29:BW29)</f>
        <v>13784.43312</v>
      </c>
      <c r="BX31" s="559">
        <f t="shared" si="92"/>
        <v>13784.43312</v>
      </c>
      <c r="BY31" s="559">
        <f t="shared" si="92"/>
        <v>13784.43312</v>
      </c>
      <c r="BZ31" s="559">
        <f t="shared" si="92"/>
        <v>13784.43312</v>
      </c>
      <c r="CA31" s="559">
        <f t="shared" si="92"/>
        <v>13639.37335</v>
      </c>
      <c r="CB31" s="380">
        <f t="shared" si="92"/>
        <v>13558.520339999999</v>
      </c>
      <c r="CC31" s="380">
        <f t="shared" si="92"/>
        <v>13540.462879999999</v>
      </c>
      <c r="CD31" s="380">
        <f t="shared" si="92"/>
        <v>13522.40756</v>
      </c>
      <c r="CE31" s="380">
        <f t="shared" si="92"/>
        <v>13504.78759</v>
      </c>
      <c r="CF31" s="380">
        <f t="shared" si="92"/>
        <v>13568.177060000002</v>
      </c>
      <c r="CG31" s="380">
        <f t="shared" si="92"/>
        <v>13643.952780000001</v>
      </c>
      <c r="CH31" s="380">
        <f t="shared" ref="CH31:CM31" si="93">SUM(BW29:CH29)</f>
        <v>13719.749730000001</v>
      </c>
      <c r="CI31" s="380">
        <f t="shared" si="93"/>
        <v>13795.519240000001</v>
      </c>
      <c r="CJ31" s="380">
        <f t="shared" si="93"/>
        <v>13871.288750000002</v>
      </c>
      <c r="CK31" s="380">
        <f t="shared" si="93"/>
        <v>13947.287780000001</v>
      </c>
      <c r="CL31" s="380">
        <f t="shared" si="93"/>
        <v>14023.09533</v>
      </c>
      <c r="CM31" s="380">
        <f t="shared" si="93"/>
        <v>14243.962649999999</v>
      </c>
      <c r="CN31" s="380">
        <f t="shared" ref="CN31:CS31" si="94">SUM(CC29:CN29)</f>
        <v>14400.623209999998</v>
      </c>
      <c r="CO31" s="380">
        <f t="shared" si="94"/>
        <v>14514.627109999998</v>
      </c>
      <c r="CP31" s="380">
        <f t="shared" si="94"/>
        <v>14685.548509999999</v>
      </c>
      <c r="CQ31" s="380">
        <f t="shared" si="94"/>
        <v>14856.096259999998</v>
      </c>
      <c r="CR31" s="380">
        <f t="shared" si="94"/>
        <v>14945.604069999998</v>
      </c>
      <c r="CS31" s="380">
        <f t="shared" si="94"/>
        <v>15022.725629999995</v>
      </c>
      <c r="CT31" s="380">
        <f t="shared" ref="CT31:DL31" si="95">SUM(CI29:CT29)</f>
        <v>15100.024359999998</v>
      </c>
      <c r="CU31" s="380">
        <f t="shared" si="95"/>
        <v>15177.192229999997</v>
      </c>
      <c r="CV31" s="380">
        <f t="shared" si="95"/>
        <v>15254.360099999996</v>
      </c>
      <c r="CW31" s="380">
        <f t="shared" si="95"/>
        <v>15326.275099999997</v>
      </c>
      <c r="CX31" s="380">
        <f t="shared" si="95"/>
        <v>15403.406209999999</v>
      </c>
      <c r="CY31" s="380">
        <f t="shared" si="95"/>
        <v>15480.537319999999</v>
      </c>
      <c r="CZ31" s="380">
        <f t="shared" si="95"/>
        <v>15557.66843</v>
      </c>
      <c r="DA31" s="380">
        <f t="shared" si="95"/>
        <v>15614.66065</v>
      </c>
      <c r="DB31" s="380">
        <f t="shared" si="95"/>
        <v>15614.733229999998</v>
      </c>
      <c r="DC31" s="380">
        <f t="shared" si="95"/>
        <v>15614.74411</v>
      </c>
      <c r="DD31" s="380">
        <f t="shared" si="95"/>
        <v>15614.785489999998</v>
      </c>
      <c r="DE31" s="380">
        <f t="shared" si="95"/>
        <v>15614.826869999999</v>
      </c>
      <c r="DF31" s="380">
        <f t="shared" si="95"/>
        <v>15614.669849999998</v>
      </c>
      <c r="DG31" s="380">
        <f t="shared" si="95"/>
        <v>15614.671129999999</v>
      </c>
      <c r="DH31" s="380">
        <f t="shared" si="95"/>
        <v>15614.672409999999</v>
      </c>
      <c r="DI31" s="380">
        <f t="shared" si="95"/>
        <v>15950.87587</v>
      </c>
      <c r="DJ31" s="380">
        <f t="shared" si="95"/>
        <v>16526.375319999999</v>
      </c>
      <c r="DK31" s="380">
        <f t="shared" si="95"/>
        <v>16893.396969999998</v>
      </c>
      <c r="DL31" s="380">
        <f t="shared" si="95"/>
        <v>17367.696810000001</v>
      </c>
      <c r="DM31" s="380">
        <f t="shared" ref="DM31:EA31" si="96">SUM(DB29:DM29)</f>
        <v>17733.958179999998</v>
      </c>
      <c r="DN31" s="380">
        <f t="shared" si="96"/>
        <v>18100.219549999998</v>
      </c>
      <c r="DO31" s="380">
        <f t="shared" si="96"/>
        <v>18373.043419999998</v>
      </c>
      <c r="DP31" s="380">
        <f t="shared" si="96"/>
        <v>18739.304789999998</v>
      </c>
      <c r="DQ31" s="380">
        <f t="shared" si="96"/>
        <v>19107.032059999998</v>
      </c>
      <c r="DR31" s="380">
        <f t="shared" si="96"/>
        <v>19473.293430000002</v>
      </c>
      <c r="DS31" s="380">
        <f t="shared" si="96"/>
        <v>19839.554800000002</v>
      </c>
      <c r="DT31" s="380">
        <f t="shared" si="96"/>
        <v>20205.816169999998</v>
      </c>
      <c r="DU31" s="380">
        <f t="shared" si="96"/>
        <v>20240.898709999998</v>
      </c>
      <c r="DV31" s="380">
        <f t="shared" si="96"/>
        <v>20031.660629999998</v>
      </c>
      <c r="DW31" s="380">
        <f t="shared" si="96"/>
        <v>20030.90035</v>
      </c>
      <c r="DX31" s="380">
        <f t="shared" si="96"/>
        <v>19922.86188</v>
      </c>
      <c r="DY31" s="380">
        <f t="shared" si="96"/>
        <v>20096.10828</v>
      </c>
      <c r="DZ31" s="380">
        <f t="shared" si="96"/>
        <v>20383.416010000001</v>
      </c>
      <c r="EA31" s="380">
        <f t="shared" si="96"/>
        <v>20735.567180000002</v>
      </c>
      <c r="EB31" s="380">
        <f t="shared" ref="EB31" si="97">SUM(DQ29:EB29)</f>
        <v>20966.514800000001</v>
      </c>
      <c r="EC31" s="380">
        <f t="shared" ref="EC31" si="98">SUM(DR29:EC29)</f>
        <v>21195.065029999998</v>
      </c>
      <c r="ED31" s="380">
        <f t="shared" ref="ED31" si="99">SUM(DS29:ED29)</f>
        <v>21425.081159999998</v>
      </c>
    </row>
    <row r="32" spans="1:143">
      <c r="T32" s="559"/>
      <c r="U32" s="559"/>
      <c r="V32" s="559"/>
      <c r="W32" s="559"/>
      <c r="X32" s="559"/>
      <c r="Y32" s="559"/>
      <c r="Z32" s="559"/>
      <c r="AA32" s="559"/>
      <c r="AB32" s="559"/>
      <c r="AC32" s="559"/>
      <c r="AD32" s="559"/>
      <c r="AE32" s="559"/>
      <c r="AF32" s="559"/>
      <c r="AG32" s="559"/>
      <c r="AH32" s="559"/>
      <c r="AI32" s="559"/>
      <c r="AJ32" s="559"/>
      <c r="AK32" s="559"/>
      <c r="AL32" s="559"/>
      <c r="AM32" s="559"/>
      <c r="AN32" s="559"/>
      <c r="AO32" s="559"/>
      <c r="AP32" s="559"/>
      <c r="AQ32" s="559"/>
      <c r="AR32" s="559"/>
      <c r="AS32" s="559"/>
      <c r="AT32" s="559"/>
      <c r="AU32" s="559"/>
      <c r="AV32" s="559"/>
      <c r="AW32" s="559"/>
      <c r="AX32" s="559"/>
      <c r="AY32" s="559"/>
      <c r="AZ32" s="559"/>
      <c r="BA32" s="559"/>
      <c r="BB32" s="559"/>
      <c r="BC32" s="559"/>
      <c r="BD32" s="559"/>
      <c r="BE32" s="559"/>
      <c r="BF32" s="559"/>
      <c r="BG32" s="559"/>
      <c r="BH32" s="559"/>
      <c r="BI32" s="559"/>
      <c r="BJ32" s="559"/>
      <c r="BK32" s="559"/>
      <c r="BL32" s="559"/>
      <c r="BM32" s="559"/>
      <c r="BN32" s="559"/>
      <c r="BO32" s="559"/>
      <c r="BP32" s="559"/>
      <c r="BQ32" s="559"/>
      <c r="BR32" s="559"/>
      <c r="BS32" s="559"/>
      <c r="BT32" s="559"/>
      <c r="BU32" s="559"/>
      <c r="BV32" s="559"/>
      <c r="BW32" s="559"/>
      <c r="BX32" s="559"/>
      <c r="BY32" s="559"/>
      <c r="BZ32" s="559"/>
      <c r="CA32" s="559"/>
      <c r="CB32" s="559"/>
      <c r="CC32" s="559"/>
      <c r="CD32" s="559"/>
      <c r="CE32" s="559"/>
      <c r="CF32" s="559"/>
      <c r="CG32" s="559"/>
      <c r="CH32" s="559"/>
      <c r="CI32" s="559"/>
      <c r="CJ32" s="559"/>
      <c r="CK32" s="559"/>
      <c r="CL32" s="559"/>
      <c r="CM32" s="559"/>
      <c r="CN32" s="559"/>
      <c r="CO32" s="559"/>
      <c r="CP32" s="559"/>
      <c r="CQ32" s="559"/>
      <c r="CR32" s="559"/>
      <c r="CS32" s="559"/>
      <c r="CT32" s="559"/>
      <c r="CU32" s="559"/>
      <c r="CV32" s="559"/>
      <c r="CW32" s="559"/>
      <c r="CX32" s="559"/>
      <c r="CY32" s="559"/>
      <c r="CZ32" s="559"/>
      <c r="DA32" s="559"/>
      <c r="DB32" s="559"/>
      <c r="DC32" s="559"/>
      <c r="DD32" s="559"/>
      <c r="DE32" s="559"/>
      <c r="DF32" s="559"/>
      <c r="DG32" s="559"/>
      <c r="DH32" s="559"/>
      <c r="DI32" s="559"/>
      <c r="DJ32" s="559"/>
      <c r="DK32" s="559"/>
      <c r="DL32" s="559"/>
      <c r="DM32" s="559"/>
      <c r="DN32" s="559"/>
      <c r="DO32" s="559"/>
      <c r="DP32" s="559"/>
      <c r="DQ32" s="559"/>
      <c r="DR32" s="559"/>
      <c r="DS32" s="559"/>
      <c r="DT32" s="559"/>
      <c r="DU32" s="559"/>
      <c r="DV32" s="559"/>
      <c r="DW32" s="559"/>
      <c r="DX32" s="559"/>
      <c r="DY32" s="559"/>
      <c r="DZ32" s="559"/>
      <c r="EA32" s="559"/>
      <c r="EB32" s="559"/>
      <c r="EC32" s="559"/>
      <c r="ED32" s="559"/>
    </row>
    <row r="33" spans="1:134" ht="15">
      <c r="B33" s="550" t="s">
        <v>564</v>
      </c>
      <c r="N33" s="569"/>
      <c r="O33" s="569">
        <f t="shared" ref="O33:Y33" si="100">ROUND(O31/O20,4)</f>
        <v>6.2E-2</v>
      </c>
      <c r="P33" s="569">
        <f t="shared" si="100"/>
        <v>6.0900000000000003E-2</v>
      </c>
      <c r="Q33" s="569">
        <f t="shared" si="100"/>
        <v>5.9799999999999999E-2</v>
      </c>
      <c r="R33" s="569">
        <f t="shared" si="100"/>
        <v>5.8700000000000002E-2</v>
      </c>
      <c r="S33" s="569">
        <f t="shared" si="100"/>
        <v>5.7599999999999998E-2</v>
      </c>
      <c r="T33" s="569">
        <f t="shared" si="100"/>
        <v>5.6099999999999997E-2</v>
      </c>
      <c r="U33" s="569">
        <f t="shared" si="100"/>
        <v>5.5399999999999998E-2</v>
      </c>
      <c r="V33" s="569">
        <f t="shared" si="100"/>
        <v>5.5399999999999998E-2</v>
      </c>
      <c r="W33" s="569">
        <f t="shared" si="100"/>
        <v>5.5199999999999999E-2</v>
      </c>
      <c r="X33" s="569">
        <f t="shared" si="100"/>
        <v>5.5100000000000003E-2</v>
      </c>
      <c r="Y33" s="569">
        <f t="shared" si="100"/>
        <v>5.5100000000000003E-2</v>
      </c>
      <c r="Z33" s="569">
        <f t="shared" ref="Z33:AF33" si="101">ROUND(Z31/Z20,4)</f>
        <v>5.5100000000000003E-2</v>
      </c>
      <c r="AA33" s="569">
        <f t="shared" si="101"/>
        <v>5.5100000000000003E-2</v>
      </c>
      <c r="AB33" s="569">
        <f t="shared" si="101"/>
        <v>5.5100000000000003E-2</v>
      </c>
      <c r="AC33" s="569">
        <f t="shared" si="101"/>
        <v>5.5100000000000003E-2</v>
      </c>
      <c r="AD33" s="569">
        <f t="shared" si="101"/>
        <v>5.5100000000000003E-2</v>
      </c>
      <c r="AE33" s="569">
        <f t="shared" si="101"/>
        <v>5.4899999999999997E-2</v>
      </c>
      <c r="AF33" s="569">
        <f t="shared" si="101"/>
        <v>5.4899999999999997E-2</v>
      </c>
      <c r="AG33" s="569">
        <f t="shared" ref="AG33:AL33" si="102">ROUND(AG31/AG20,4)</f>
        <v>5.4899999999999997E-2</v>
      </c>
      <c r="AH33" s="569">
        <f t="shared" si="102"/>
        <v>5.4800000000000001E-2</v>
      </c>
      <c r="AI33" s="569">
        <f t="shared" si="102"/>
        <v>5.4800000000000001E-2</v>
      </c>
      <c r="AJ33" s="569">
        <f t="shared" si="102"/>
        <v>5.4800000000000001E-2</v>
      </c>
      <c r="AK33" s="569">
        <f t="shared" si="102"/>
        <v>5.4699999999999999E-2</v>
      </c>
      <c r="AL33" s="569">
        <f t="shared" si="102"/>
        <v>5.4699999999999999E-2</v>
      </c>
      <c r="AM33" s="569">
        <f t="shared" ref="AM33:AR33" si="103">ROUND(AM31/AM20,4)</f>
        <v>5.4699999999999999E-2</v>
      </c>
      <c r="AN33" s="569">
        <f t="shared" si="103"/>
        <v>5.4699999999999999E-2</v>
      </c>
      <c r="AO33" s="569">
        <f t="shared" si="103"/>
        <v>5.4600000000000003E-2</v>
      </c>
      <c r="AP33" s="569">
        <f t="shared" si="103"/>
        <v>5.4600000000000003E-2</v>
      </c>
      <c r="AQ33" s="569">
        <f t="shared" si="103"/>
        <v>5.4300000000000001E-2</v>
      </c>
      <c r="AR33" s="569">
        <f t="shared" si="103"/>
        <v>5.4199999999999998E-2</v>
      </c>
      <c r="AS33" s="569">
        <f t="shared" ref="AS33:AX33" si="104">ROUND(AS31/AS20,4)</f>
        <v>5.4100000000000002E-2</v>
      </c>
      <c r="AT33" s="569">
        <f t="shared" si="104"/>
        <v>5.4100000000000002E-2</v>
      </c>
      <c r="AU33" s="569">
        <f t="shared" si="104"/>
        <v>5.3999999999999999E-2</v>
      </c>
      <c r="AV33" s="569">
        <f t="shared" si="104"/>
        <v>5.3900000000000003E-2</v>
      </c>
      <c r="AW33" s="569">
        <f t="shared" si="104"/>
        <v>5.3900000000000003E-2</v>
      </c>
      <c r="AX33" s="570">
        <f t="shared" si="104"/>
        <v>5.3800000000000001E-2</v>
      </c>
      <c r="AY33" s="570">
        <f t="shared" ref="AY33:BG33" si="105">ROUND(AY31/AY20,4)</f>
        <v>5.3699999999999998E-2</v>
      </c>
      <c r="AZ33" s="570">
        <f t="shared" si="105"/>
        <v>5.3699999999999998E-2</v>
      </c>
      <c r="BA33" s="570">
        <f t="shared" si="105"/>
        <v>5.3600000000000002E-2</v>
      </c>
      <c r="BB33" s="570">
        <f t="shared" si="105"/>
        <v>5.3600000000000002E-2</v>
      </c>
      <c r="BC33" s="570">
        <f t="shared" si="105"/>
        <v>5.3400000000000003E-2</v>
      </c>
      <c r="BD33" s="570">
        <f t="shared" si="105"/>
        <v>5.3400000000000003E-2</v>
      </c>
      <c r="BE33" s="570">
        <f t="shared" si="105"/>
        <v>5.3400000000000003E-2</v>
      </c>
      <c r="BF33" s="570">
        <f t="shared" si="105"/>
        <v>5.33E-2</v>
      </c>
      <c r="BG33" s="570">
        <f t="shared" si="105"/>
        <v>5.33E-2</v>
      </c>
      <c r="BH33" s="570">
        <f t="shared" ref="BH33:BM33" si="106">ROUND(BH31/BH20,4)</f>
        <v>5.33E-2</v>
      </c>
      <c r="BI33" s="570">
        <f t="shared" si="106"/>
        <v>5.33E-2</v>
      </c>
      <c r="BJ33" s="570">
        <f t="shared" si="106"/>
        <v>5.33E-2</v>
      </c>
      <c r="BK33" s="570">
        <f t="shared" si="106"/>
        <v>5.33E-2</v>
      </c>
      <c r="BL33" s="570">
        <f t="shared" si="106"/>
        <v>5.3199999999999997E-2</v>
      </c>
      <c r="BM33" s="570">
        <f t="shared" si="106"/>
        <v>5.3199999999999997E-2</v>
      </c>
      <c r="BN33" s="570">
        <f t="shared" ref="BN33:BS33" si="107">ROUND(BN31/BN20,4)</f>
        <v>5.3199999999999997E-2</v>
      </c>
      <c r="BO33" s="570">
        <f t="shared" si="107"/>
        <v>5.3199999999999997E-2</v>
      </c>
      <c r="BP33" s="570">
        <f t="shared" si="107"/>
        <v>5.3199999999999997E-2</v>
      </c>
      <c r="BQ33" s="570">
        <f t="shared" si="107"/>
        <v>5.3199999999999997E-2</v>
      </c>
      <c r="BR33" s="570">
        <f t="shared" si="107"/>
        <v>5.3199999999999997E-2</v>
      </c>
      <c r="BS33" s="570">
        <f t="shared" si="107"/>
        <v>5.3199999999999997E-2</v>
      </c>
      <c r="BT33" s="570">
        <f t="shared" ref="BT33:BY33" si="108">ROUND(BT31/BT20,4)</f>
        <v>5.3199999999999997E-2</v>
      </c>
      <c r="BU33" s="570">
        <f t="shared" si="108"/>
        <v>5.3199999999999997E-2</v>
      </c>
      <c r="BV33" s="570">
        <f t="shared" si="108"/>
        <v>5.3199999999999997E-2</v>
      </c>
      <c r="BW33" s="570">
        <f t="shared" si="108"/>
        <v>5.3199999999999997E-2</v>
      </c>
      <c r="BX33" s="570">
        <f t="shared" si="108"/>
        <v>5.3199999999999997E-2</v>
      </c>
      <c r="BY33" s="570">
        <f t="shared" si="108"/>
        <v>5.3199999999999997E-2</v>
      </c>
      <c r="BZ33" s="570">
        <f t="shared" ref="BZ33:CE33" si="109">ROUND(BZ31/BZ20,4)</f>
        <v>5.3199999999999997E-2</v>
      </c>
      <c r="CA33" s="570">
        <f t="shared" si="109"/>
        <v>5.3400000000000003E-2</v>
      </c>
      <c r="CB33" s="733">
        <f t="shared" si="109"/>
        <v>5.2699999999999997E-2</v>
      </c>
      <c r="CC33" s="733">
        <f t="shared" si="109"/>
        <v>5.2200000000000003E-2</v>
      </c>
      <c r="CD33" s="733">
        <f t="shared" si="109"/>
        <v>5.1799999999999999E-2</v>
      </c>
      <c r="CE33" s="733">
        <f t="shared" si="109"/>
        <v>5.1299999999999998E-2</v>
      </c>
      <c r="CF33" s="733">
        <f t="shared" ref="CF33:CK33" si="110">ROUND(CF31/CF20,4)</f>
        <v>5.0900000000000001E-2</v>
      </c>
      <c r="CG33" s="733">
        <f t="shared" si="110"/>
        <v>5.04E-2</v>
      </c>
      <c r="CH33" s="733">
        <f t="shared" si="110"/>
        <v>0.05</v>
      </c>
      <c r="CI33" s="733">
        <f t="shared" si="110"/>
        <v>4.9599999999999998E-2</v>
      </c>
      <c r="CJ33" s="733">
        <f t="shared" si="110"/>
        <v>4.9200000000000001E-2</v>
      </c>
      <c r="CK33" s="733">
        <f t="shared" si="110"/>
        <v>4.8899999999999999E-2</v>
      </c>
      <c r="CL33" s="733">
        <f t="shared" ref="CL33:CQ33" si="111">ROUND(CL31/CL20,4)</f>
        <v>4.8500000000000001E-2</v>
      </c>
      <c r="CM33" s="733">
        <f t="shared" si="111"/>
        <v>4.8599999999999997E-2</v>
      </c>
      <c r="CN33" s="733">
        <f t="shared" si="111"/>
        <v>4.7899999999999998E-2</v>
      </c>
      <c r="CO33" s="733">
        <f t="shared" si="111"/>
        <v>4.7699999999999999E-2</v>
      </c>
      <c r="CP33" s="733">
        <f t="shared" si="111"/>
        <v>4.7699999999999999E-2</v>
      </c>
      <c r="CQ33" s="733">
        <f t="shared" si="111"/>
        <v>4.7600000000000003E-2</v>
      </c>
      <c r="CR33" s="733">
        <f t="shared" ref="CR33:CW33" si="112">ROUND(CR31/CR20,4)</f>
        <v>4.7300000000000002E-2</v>
      </c>
      <c r="CS33" s="733">
        <f t="shared" si="112"/>
        <v>4.7300000000000002E-2</v>
      </c>
      <c r="CT33" s="733">
        <f t="shared" si="112"/>
        <v>4.7300000000000002E-2</v>
      </c>
      <c r="CU33" s="733">
        <f t="shared" si="112"/>
        <v>4.7199999999999999E-2</v>
      </c>
      <c r="CV33" s="733">
        <f t="shared" si="112"/>
        <v>4.7199999999999999E-2</v>
      </c>
      <c r="CW33" s="733">
        <f t="shared" si="112"/>
        <v>4.7100000000000003E-2</v>
      </c>
      <c r="CX33" s="733">
        <f t="shared" ref="CX33:DC33" si="113">ROUND(CX31/CX20,4)</f>
        <v>4.7100000000000003E-2</v>
      </c>
      <c r="CY33" s="733">
        <f t="shared" si="113"/>
        <v>4.7100000000000003E-2</v>
      </c>
      <c r="CZ33" s="733">
        <f t="shared" si="113"/>
        <v>4.7E-2</v>
      </c>
      <c r="DA33" s="733">
        <f t="shared" si="113"/>
        <v>4.6899999999999997E-2</v>
      </c>
      <c r="DB33" s="733">
        <f t="shared" si="113"/>
        <v>4.6899999999999997E-2</v>
      </c>
      <c r="DC33" s="733">
        <f t="shared" si="113"/>
        <v>4.6899999999999997E-2</v>
      </c>
      <c r="DD33" s="733">
        <f t="shared" ref="DD33:DI33" si="114">ROUND(DD31/DD20,4)</f>
        <v>4.6899999999999997E-2</v>
      </c>
      <c r="DE33" s="733">
        <f t="shared" si="114"/>
        <v>4.6899999999999997E-2</v>
      </c>
      <c r="DF33" s="733">
        <f t="shared" si="114"/>
        <v>4.6899999999999997E-2</v>
      </c>
      <c r="DG33" s="733">
        <f t="shared" si="114"/>
        <v>4.6899999999999997E-2</v>
      </c>
      <c r="DH33" s="733">
        <f t="shared" si="114"/>
        <v>4.6899999999999997E-2</v>
      </c>
      <c r="DI33" s="733">
        <f t="shared" si="114"/>
        <v>4.5499999999999999E-2</v>
      </c>
      <c r="DJ33" s="733">
        <f t="shared" ref="DJ33:DO33" si="115">ROUND(DJ31/DJ20,4)</f>
        <v>4.4900000000000002E-2</v>
      </c>
      <c r="DK33" s="733">
        <f t="shared" si="115"/>
        <v>4.4299999999999999E-2</v>
      </c>
      <c r="DL33" s="733">
        <f t="shared" si="115"/>
        <v>4.3900000000000002E-2</v>
      </c>
      <c r="DM33" s="733">
        <f t="shared" si="115"/>
        <v>4.3299999999999998E-2</v>
      </c>
      <c r="DN33" s="733">
        <f t="shared" si="115"/>
        <v>4.2799999999999998E-2</v>
      </c>
      <c r="DO33" s="733">
        <f t="shared" si="115"/>
        <v>4.2000000000000003E-2</v>
      </c>
      <c r="DP33" s="733">
        <f t="shared" ref="DP33:DU33" si="116">ROUND(DP31/DP20,4)</f>
        <v>4.1500000000000002E-2</v>
      </c>
      <c r="DQ33" s="733">
        <f t="shared" si="116"/>
        <v>4.1099999999999998E-2</v>
      </c>
      <c r="DR33" s="733">
        <f t="shared" si="116"/>
        <v>4.07E-2</v>
      </c>
      <c r="DS33" s="733">
        <f t="shared" si="116"/>
        <v>4.0300000000000002E-2</v>
      </c>
      <c r="DT33" s="733">
        <f t="shared" si="116"/>
        <v>3.9899999999999998E-2</v>
      </c>
      <c r="DU33" s="733">
        <f t="shared" si="116"/>
        <v>3.8899999999999997E-2</v>
      </c>
      <c r="DV33" s="733">
        <f t="shared" ref="DV33:DX33" si="117">ROUND(DV31/DV20,4)</f>
        <v>3.8699999999999998E-2</v>
      </c>
      <c r="DW33" s="733">
        <f t="shared" si="117"/>
        <v>3.9E-2</v>
      </c>
      <c r="DX33" s="733">
        <f t="shared" si="117"/>
        <v>3.8800000000000001E-2</v>
      </c>
      <c r="DY33" s="733">
        <f t="shared" ref="DY33:EA33" si="118">ROUND(DY31/DY20,4)</f>
        <v>3.8699999999999998E-2</v>
      </c>
      <c r="DZ33" s="733">
        <f t="shared" si="118"/>
        <v>3.8800000000000001E-2</v>
      </c>
      <c r="EA33" s="733">
        <f t="shared" si="118"/>
        <v>3.9199999999999999E-2</v>
      </c>
      <c r="EB33" s="733">
        <f t="shared" ref="EB33:ED33" si="119">ROUND(EB31/EB20,4)</f>
        <v>3.9399999999999998E-2</v>
      </c>
      <c r="EC33" s="733">
        <f t="shared" si="119"/>
        <v>3.95E-2</v>
      </c>
      <c r="ED33" s="733">
        <f t="shared" si="119"/>
        <v>3.9699999999999999E-2</v>
      </c>
    </row>
    <row r="34" spans="1:134">
      <c r="N34" s="559"/>
      <c r="O34" s="559"/>
      <c r="P34" s="559"/>
      <c r="Q34" s="559"/>
      <c r="R34" s="559"/>
      <c r="S34" s="559"/>
      <c r="T34" s="559"/>
      <c r="U34" s="559"/>
      <c r="V34" s="559"/>
      <c r="W34" s="559"/>
      <c r="X34" s="559"/>
      <c r="Y34" s="559"/>
      <c r="Z34" s="559"/>
      <c r="AA34" s="559"/>
      <c r="AB34" s="559"/>
      <c r="AC34" s="559"/>
      <c r="AD34" s="559"/>
      <c r="AE34" s="559"/>
      <c r="AF34" s="559"/>
      <c r="AG34" s="559"/>
      <c r="AH34" s="559"/>
      <c r="AI34" s="559"/>
      <c r="AJ34" s="559"/>
      <c r="AK34" s="559"/>
      <c r="AL34" s="559"/>
      <c r="AM34" s="559"/>
      <c r="AN34" s="559"/>
      <c r="AO34" s="559"/>
      <c r="AP34" s="559"/>
      <c r="AQ34" s="559"/>
      <c r="AR34" s="559"/>
      <c r="AS34" s="559"/>
      <c r="AT34" s="559"/>
      <c r="AU34" s="559"/>
      <c r="AV34" s="559"/>
      <c r="AW34" s="559"/>
      <c r="AX34" s="559"/>
      <c r="AY34" s="559"/>
      <c r="AZ34" s="559"/>
      <c r="BA34" s="559"/>
      <c r="BB34" s="559"/>
      <c r="BC34" s="559"/>
      <c r="BD34" s="559"/>
      <c r="BE34" s="559"/>
      <c r="BF34" s="559"/>
      <c r="BG34" s="559"/>
      <c r="BH34" s="559"/>
      <c r="BI34" s="559"/>
      <c r="BJ34" s="559"/>
      <c r="BK34" s="559"/>
      <c r="BL34" s="559"/>
      <c r="BM34" s="559"/>
      <c r="BN34" s="559"/>
      <c r="BO34" s="559"/>
      <c r="BP34" s="559"/>
      <c r="BQ34" s="559"/>
      <c r="BR34" s="559"/>
      <c r="BS34" s="559"/>
      <c r="BT34" s="559"/>
      <c r="BU34" s="559"/>
      <c r="BV34" s="559"/>
      <c r="BW34" s="559"/>
      <c r="BX34" s="559"/>
      <c r="BY34" s="559"/>
      <c r="BZ34" s="559"/>
      <c r="CA34" s="559"/>
      <c r="CB34" s="559"/>
      <c r="CC34" s="559"/>
      <c r="CD34" s="559"/>
      <c r="CE34" s="559"/>
      <c r="CF34" s="559"/>
      <c r="CG34" s="559"/>
      <c r="CH34" s="559"/>
      <c r="CI34" s="559"/>
      <c r="CJ34" s="559"/>
      <c r="CK34" s="559"/>
      <c r="CL34" s="559"/>
      <c r="CM34" s="559"/>
      <c r="CN34" s="559"/>
      <c r="CO34" s="559"/>
      <c r="CP34" s="559"/>
      <c r="CQ34" s="559"/>
      <c r="CR34" s="559"/>
      <c r="CS34" s="559"/>
      <c r="CT34" s="559"/>
      <c r="CU34" s="559"/>
      <c r="CV34" s="559"/>
      <c r="CW34" s="559"/>
      <c r="CX34" s="559"/>
      <c r="CY34" s="559"/>
      <c r="CZ34" s="559"/>
      <c r="DA34" s="559"/>
      <c r="DB34" s="559"/>
      <c r="DC34" s="559"/>
      <c r="DD34" s="559"/>
      <c r="DE34" s="559"/>
      <c r="DF34" s="559"/>
      <c r="DG34" s="559"/>
      <c r="DH34" s="559"/>
      <c r="DI34" s="559"/>
      <c r="DJ34" s="559"/>
      <c r="DK34" s="559"/>
      <c r="DL34" s="559"/>
      <c r="DM34" s="559"/>
      <c r="DN34" s="559"/>
      <c r="DO34" s="559"/>
      <c r="DP34" s="559"/>
      <c r="DQ34" s="559"/>
      <c r="DR34" s="559"/>
      <c r="DS34" s="559"/>
      <c r="DT34" s="559"/>
      <c r="DU34" s="559"/>
      <c r="DV34" s="559"/>
      <c r="DW34" s="559"/>
      <c r="DX34" s="559"/>
      <c r="DY34" s="559"/>
      <c r="DZ34" s="559"/>
      <c r="EA34" s="559"/>
      <c r="EB34" s="559"/>
      <c r="EC34" s="559"/>
      <c r="ED34" s="559"/>
    </row>
    <row r="35" spans="1:134" ht="15">
      <c r="B35" s="550" t="s">
        <v>563</v>
      </c>
      <c r="N35" s="569"/>
      <c r="O35" s="569">
        <f t="shared" ref="O35:Y35" si="120">ROUND(O31/O18,4)</f>
        <v>6.1600000000000002E-2</v>
      </c>
      <c r="P35" s="569">
        <f t="shared" si="120"/>
        <v>6.0600000000000001E-2</v>
      </c>
      <c r="Q35" s="569">
        <f t="shared" si="120"/>
        <v>5.9700000000000003E-2</v>
      </c>
      <c r="R35" s="569">
        <f t="shared" si="120"/>
        <v>5.8700000000000002E-2</v>
      </c>
      <c r="S35" s="569">
        <f t="shared" si="120"/>
        <v>5.7799999999999997E-2</v>
      </c>
      <c r="T35" s="569">
        <f t="shared" si="120"/>
        <v>5.6399999999999999E-2</v>
      </c>
      <c r="U35" s="569">
        <f t="shared" si="120"/>
        <v>5.5300000000000002E-2</v>
      </c>
      <c r="V35" s="569">
        <f t="shared" si="120"/>
        <v>5.4899999999999997E-2</v>
      </c>
      <c r="W35" s="569">
        <f t="shared" si="120"/>
        <v>5.5100000000000003E-2</v>
      </c>
      <c r="X35" s="569">
        <f t="shared" si="120"/>
        <v>5.5100000000000003E-2</v>
      </c>
      <c r="Y35" s="569">
        <f t="shared" si="120"/>
        <v>5.5E-2</v>
      </c>
      <c r="Z35" s="569">
        <f t="shared" ref="Z35:AF35" si="121">ROUND(Z31/Z18,4)</f>
        <v>5.5E-2</v>
      </c>
      <c r="AA35" s="569">
        <f t="shared" si="121"/>
        <v>5.5E-2</v>
      </c>
      <c r="AB35" s="569">
        <f t="shared" si="121"/>
        <v>5.5E-2</v>
      </c>
      <c r="AC35" s="569">
        <f t="shared" si="121"/>
        <v>5.5E-2</v>
      </c>
      <c r="AD35" s="569">
        <f t="shared" si="121"/>
        <v>5.5E-2</v>
      </c>
      <c r="AE35" s="569">
        <f t="shared" si="121"/>
        <v>5.28E-2</v>
      </c>
      <c r="AF35" s="569">
        <f t="shared" si="121"/>
        <v>5.2900000000000003E-2</v>
      </c>
      <c r="AG35" s="569">
        <f t="shared" ref="AG35:AL35" si="122">ROUND(AG31/AG18,4)</f>
        <v>5.3100000000000001E-2</v>
      </c>
      <c r="AH35" s="569">
        <f t="shared" si="122"/>
        <v>5.3199999999999997E-2</v>
      </c>
      <c r="AI35" s="569">
        <f t="shared" si="122"/>
        <v>5.33E-2</v>
      </c>
      <c r="AJ35" s="569">
        <f t="shared" si="122"/>
        <v>5.3499999999999999E-2</v>
      </c>
      <c r="AK35" s="569">
        <f t="shared" si="122"/>
        <v>5.3600000000000002E-2</v>
      </c>
      <c r="AL35" s="569">
        <f t="shared" si="122"/>
        <v>5.3800000000000001E-2</v>
      </c>
      <c r="AM35" s="569">
        <f t="shared" ref="AM35:AR35" si="123">ROUND(AM31/AM18,4)</f>
        <v>5.3900000000000003E-2</v>
      </c>
      <c r="AN35" s="569">
        <f t="shared" si="123"/>
        <v>5.4100000000000002E-2</v>
      </c>
      <c r="AO35" s="569">
        <f t="shared" si="123"/>
        <v>5.4199999999999998E-2</v>
      </c>
      <c r="AP35" s="569">
        <f t="shared" si="123"/>
        <v>5.4300000000000001E-2</v>
      </c>
      <c r="AQ35" s="569">
        <f t="shared" si="123"/>
        <v>5.0299999999999997E-2</v>
      </c>
      <c r="AR35" s="569">
        <f t="shared" si="123"/>
        <v>5.0599999999999999E-2</v>
      </c>
      <c r="AS35" s="569">
        <f t="shared" ref="AS35:AX35" si="124">ROUND(AS31/AS18,4)</f>
        <v>5.0799999999999998E-2</v>
      </c>
      <c r="AT35" s="569">
        <f t="shared" si="124"/>
        <v>5.11E-2</v>
      </c>
      <c r="AU35" s="569">
        <f t="shared" si="124"/>
        <v>5.1400000000000001E-2</v>
      </c>
      <c r="AV35" s="569">
        <f t="shared" si="124"/>
        <v>5.16E-2</v>
      </c>
      <c r="AW35" s="569">
        <f t="shared" si="124"/>
        <v>5.1900000000000002E-2</v>
      </c>
      <c r="AX35" s="570">
        <f t="shared" si="124"/>
        <v>5.21E-2</v>
      </c>
      <c r="AY35" s="570">
        <f t="shared" ref="AY35:BG35" si="125">ROUND(AY31/AY18,4)</f>
        <v>5.2400000000000002E-2</v>
      </c>
      <c r="AZ35" s="570">
        <f t="shared" si="125"/>
        <v>5.2699999999999997E-2</v>
      </c>
      <c r="BA35" s="570">
        <f t="shared" si="125"/>
        <v>5.2900000000000003E-2</v>
      </c>
      <c r="BB35" s="570">
        <f t="shared" si="125"/>
        <v>5.3199999999999997E-2</v>
      </c>
      <c r="BC35" s="570">
        <f t="shared" si="125"/>
        <v>5.33E-2</v>
      </c>
      <c r="BD35" s="570">
        <f t="shared" si="125"/>
        <v>5.33E-2</v>
      </c>
      <c r="BE35" s="570">
        <f t="shared" si="125"/>
        <v>5.33E-2</v>
      </c>
      <c r="BF35" s="570">
        <f t="shared" si="125"/>
        <v>5.3199999999999997E-2</v>
      </c>
      <c r="BG35" s="570">
        <f t="shared" si="125"/>
        <v>5.3199999999999997E-2</v>
      </c>
      <c r="BH35" s="570">
        <f t="shared" ref="BH35:BM35" si="126">ROUND(BH31/BH18,4)</f>
        <v>5.3199999999999997E-2</v>
      </c>
      <c r="BI35" s="570">
        <f t="shared" si="126"/>
        <v>5.3199999999999997E-2</v>
      </c>
      <c r="BJ35" s="570">
        <f t="shared" si="126"/>
        <v>5.3199999999999997E-2</v>
      </c>
      <c r="BK35" s="570">
        <f t="shared" si="126"/>
        <v>5.3199999999999997E-2</v>
      </c>
      <c r="BL35" s="570">
        <f t="shared" si="126"/>
        <v>5.3199999999999997E-2</v>
      </c>
      <c r="BM35" s="570">
        <f t="shared" si="126"/>
        <v>5.3199999999999997E-2</v>
      </c>
      <c r="BN35" s="570">
        <f t="shared" ref="BN35:BS35" si="127">ROUND(BN31/BN18,4)</f>
        <v>5.3199999999999997E-2</v>
      </c>
      <c r="BO35" s="570">
        <f t="shared" si="127"/>
        <v>5.3199999999999997E-2</v>
      </c>
      <c r="BP35" s="570">
        <f t="shared" si="127"/>
        <v>5.3199999999999997E-2</v>
      </c>
      <c r="BQ35" s="570">
        <f t="shared" si="127"/>
        <v>5.3100000000000001E-2</v>
      </c>
      <c r="BR35" s="570">
        <f t="shared" si="127"/>
        <v>5.3199999999999997E-2</v>
      </c>
      <c r="BS35" s="570">
        <f t="shared" si="127"/>
        <v>5.3199999999999997E-2</v>
      </c>
      <c r="BT35" s="570">
        <f t="shared" ref="BT35:BY35" si="128">ROUND(BT31/BT18,4)</f>
        <v>5.3199999999999997E-2</v>
      </c>
      <c r="BU35" s="570">
        <f t="shared" si="128"/>
        <v>5.3100000000000001E-2</v>
      </c>
      <c r="BV35" s="570">
        <f t="shared" si="128"/>
        <v>5.3100000000000001E-2</v>
      </c>
      <c r="BW35" s="570">
        <f t="shared" si="128"/>
        <v>5.3100000000000001E-2</v>
      </c>
      <c r="BX35" s="570">
        <f t="shared" si="128"/>
        <v>5.3100000000000001E-2</v>
      </c>
      <c r="BY35" s="570">
        <f t="shared" si="128"/>
        <v>5.3100000000000001E-2</v>
      </c>
      <c r="BZ35" s="570">
        <f t="shared" ref="BZ35:CE35" si="129">ROUND(BZ31/BZ18,4)</f>
        <v>5.3100000000000001E-2</v>
      </c>
      <c r="CA35" s="570">
        <f t="shared" si="129"/>
        <v>6.5100000000000005E-2</v>
      </c>
      <c r="CB35" s="733">
        <f t="shared" si="129"/>
        <v>4.7800000000000002E-2</v>
      </c>
      <c r="CC35" s="733">
        <f t="shared" si="129"/>
        <v>4.7800000000000002E-2</v>
      </c>
      <c r="CD35" s="733">
        <f t="shared" si="129"/>
        <v>4.7699999999999999E-2</v>
      </c>
      <c r="CE35" s="733">
        <f t="shared" si="129"/>
        <v>4.7600000000000003E-2</v>
      </c>
      <c r="CF35" s="733">
        <f t="shared" ref="CF35:CK35" si="130">ROUND(CF31/CF18,4)</f>
        <v>4.3999999999999997E-2</v>
      </c>
      <c r="CG35" s="733">
        <f t="shared" si="130"/>
        <v>4.4299999999999999E-2</v>
      </c>
      <c r="CH35" s="733">
        <f t="shared" si="130"/>
        <v>4.4499999999999998E-2</v>
      </c>
      <c r="CI35" s="733">
        <f t="shared" si="130"/>
        <v>4.48E-2</v>
      </c>
      <c r="CJ35" s="733">
        <f t="shared" si="130"/>
        <v>4.4999999999999998E-2</v>
      </c>
      <c r="CK35" s="733">
        <f t="shared" si="130"/>
        <v>4.53E-2</v>
      </c>
      <c r="CL35" s="733">
        <f t="shared" ref="CL35:CQ35" si="131">ROUND(CL31/CL18,4)</f>
        <v>4.5499999999999999E-2</v>
      </c>
      <c r="CM35" s="733">
        <f t="shared" si="131"/>
        <v>4.6199999999999998E-2</v>
      </c>
      <c r="CN35" s="733">
        <f t="shared" si="131"/>
        <v>4.6699999999999998E-2</v>
      </c>
      <c r="CO35" s="733">
        <f t="shared" si="131"/>
        <v>4.36E-2</v>
      </c>
      <c r="CP35" s="733">
        <f t="shared" si="131"/>
        <v>4.41E-2</v>
      </c>
      <c r="CQ35" s="733">
        <f t="shared" si="131"/>
        <v>4.4699999999999997E-2</v>
      </c>
      <c r="CR35" s="733">
        <f t="shared" ref="CR35:CW35" si="132">ROUND(CR31/CR18,4)</f>
        <v>4.4900000000000002E-2</v>
      </c>
      <c r="CS35" s="733">
        <f t="shared" si="132"/>
        <v>4.5199999999999997E-2</v>
      </c>
      <c r="CT35" s="733">
        <f t="shared" si="132"/>
        <v>4.5400000000000003E-2</v>
      </c>
      <c r="CU35" s="733">
        <f t="shared" si="132"/>
        <v>4.5600000000000002E-2</v>
      </c>
      <c r="CV35" s="733">
        <f t="shared" si="132"/>
        <v>4.5900000000000003E-2</v>
      </c>
      <c r="CW35" s="733">
        <f t="shared" si="132"/>
        <v>4.6100000000000002E-2</v>
      </c>
      <c r="CX35" s="733">
        <f t="shared" ref="CX35:DC35" si="133">ROUND(CX31/CX18,4)</f>
        <v>4.6300000000000001E-2</v>
      </c>
      <c r="CY35" s="733">
        <f t="shared" si="133"/>
        <v>4.65E-2</v>
      </c>
      <c r="CZ35" s="733">
        <f t="shared" si="133"/>
        <v>4.6800000000000001E-2</v>
      </c>
      <c r="DA35" s="733">
        <f t="shared" si="133"/>
        <v>4.6899999999999997E-2</v>
      </c>
      <c r="DB35" s="733">
        <f t="shared" si="133"/>
        <v>4.6899999999999997E-2</v>
      </c>
      <c r="DC35" s="733">
        <f t="shared" si="133"/>
        <v>4.6899999999999997E-2</v>
      </c>
      <c r="DD35" s="733">
        <f t="shared" ref="DD35:DI35" si="134">ROUND(DD31/DD18,4)</f>
        <v>4.6899999999999997E-2</v>
      </c>
      <c r="DE35" s="733">
        <f t="shared" si="134"/>
        <v>4.6899999999999997E-2</v>
      </c>
      <c r="DF35" s="733">
        <f t="shared" si="134"/>
        <v>4.6899999999999997E-2</v>
      </c>
      <c r="DG35" s="733">
        <f t="shared" si="134"/>
        <v>4.6899999999999997E-2</v>
      </c>
      <c r="DH35" s="733">
        <f t="shared" si="134"/>
        <v>4.6899999999999997E-2</v>
      </c>
      <c r="DI35" s="733">
        <f t="shared" si="134"/>
        <v>2.8500000000000001E-2</v>
      </c>
      <c r="DJ35" s="733">
        <f t="shared" ref="DJ35:DO35" si="135">ROUND(DJ31/DJ18,4)</f>
        <v>2.9499999999999998E-2</v>
      </c>
      <c r="DK35" s="733">
        <f t="shared" si="135"/>
        <v>3.2899999999999999E-2</v>
      </c>
      <c r="DL35" s="733">
        <f t="shared" si="135"/>
        <v>3.3799999999999997E-2</v>
      </c>
      <c r="DM35" s="733">
        <f t="shared" si="135"/>
        <v>3.4500000000000003E-2</v>
      </c>
      <c r="DN35" s="733">
        <f t="shared" si="135"/>
        <v>3.5299999999999998E-2</v>
      </c>
      <c r="DO35" s="733">
        <f t="shared" si="135"/>
        <v>3.5799999999999998E-2</v>
      </c>
      <c r="DP35" s="733">
        <f t="shared" ref="DP35:DU35" si="136">ROUND(DP31/DP18,4)</f>
        <v>3.6499999999999998E-2</v>
      </c>
      <c r="DQ35" s="733">
        <f t="shared" si="136"/>
        <v>3.7199999999999997E-2</v>
      </c>
      <c r="DR35" s="733">
        <f t="shared" si="136"/>
        <v>3.7900000000000003E-2</v>
      </c>
      <c r="DS35" s="733">
        <f t="shared" si="136"/>
        <v>3.8600000000000002E-2</v>
      </c>
      <c r="DT35" s="733">
        <f t="shared" si="136"/>
        <v>3.9300000000000002E-2</v>
      </c>
      <c r="DU35" s="733">
        <f t="shared" si="136"/>
        <v>3.9399999999999998E-2</v>
      </c>
      <c r="DV35" s="733">
        <f t="shared" ref="DV35:DX35" si="137">ROUND(DV31/DV18,4)</f>
        <v>3.9E-2</v>
      </c>
      <c r="DW35" s="733">
        <f t="shared" si="137"/>
        <v>3.9E-2</v>
      </c>
      <c r="DX35" s="733">
        <f t="shared" si="137"/>
        <v>3.8800000000000001E-2</v>
      </c>
      <c r="DY35" s="733">
        <f t="shared" ref="DY35:DZ35" si="138">ROUND(DY31/DY18,4)</f>
        <v>3.4200000000000001E-2</v>
      </c>
      <c r="DZ35" s="733">
        <f t="shared" si="138"/>
        <v>3.4700000000000002E-2</v>
      </c>
      <c r="EA35" s="733">
        <f>ROUND(EA31/EA18,4)</f>
        <v>3.6799999999999999E-2</v>
      </c>
      <c r="EB35" s="733">
        <f t="shared" ref="EB35:ED35" si="139">ROUND(EB31/EB18,4)</f>
        <v>3.7199999999999997E-2</v>
      </c>
      <c r="EC35" s="733">
        <f t="shared" si="139"/>
        <v>3.7600000000000001E-2</v>
      </c>
      <c r="ED35" s="733">
        <f t="shared" si="139"/>
        <v>3.7999999999999999E-2</v>
      </c>
    </row>
    <row r="36" spans="1:134">
      <c r="A36" s="558"/>
    </row>
    <row r="37" spans="1:134">
      <c r="A37" s="558"/>
      <c r="B37" s="559"/>
      <c r="C37" s="559"/>
      <c r="D37" s="559"/>
      <c r="E37" s="559"/>
      <c r="F37" s="559"/>
      <c r="G37" s="559"/>
      <c r="H37" s="559"/>
      <c r="I37" s="559"/>
      <c r="J37" s="559"/>
      <c r="K37" s="559"/>
      <c r="L37" s="559"/>
      <c r="M37" s="559"/>
      <c r="N37" s="559"/>
      <c r="O37" s="559"/>
      <c r="P37" s="559"/>
      <c r="Q37" s="559"/>
      <c r="R37" s="559"/>
      <c r="S37" s="559"/>
      <c r="U37" s="559"/>
      <c r="V37" s="559"/>
      <c r="W37" s="559"/>
      <c r="X37" s="559"/>
      <c r="Y37" s="559"/>
      <c r="Z37" s="559"/>
      <c r="AA37" s="559"/>
      <c r="AB37" s="559"/>
      <c r="AC37" s="559"/>
      <c r="AD37" s="559"/>
      <c r="AE37" s="559"/>
      <c r="AF37" s="559"/>
      <c r="AG37" s="559"/>
      <c r="AH37" s="559"/>
      <c r="AI37" s="559"/>
    </row>
    <row r="38" spans="1:134" ht="15.75">
      <c r="A38" s="553" t="s">
        <v>560</v>
      </c>
      <c r="B38" s="571"/>
      <c r="C38" s="571"/>
      <c r="D38" s="571"/>
      <c r="E38" s="571"/>
      <c r="F38" s="571"/>
      <c r="G38" s="571"/>
      <c r="H38" s="571"/>
      <c r="I38" s="571"/>
      <c r="J38" s="571"/>
      <c r="K38" s="571"/>
      <c r="L38" s="571"/>
      <c r="M38" s="571"/>
      <c r="N38" s="571"/>
    </row>
    <row r="39" spans="1:134" ht="15">
      <c r="O39" s="552"/>
      <c r="P39" s="552"/>
      <c r="Q39" s="552"/>
      <c r="R39" s="552"/>
      <c r="S39" s="552"/>
      <c r="U39" s="552"/>
    </row>
    <row r="40" spans="1:134">
      <c r="B40" s="556" t="s">
        <v>562</v>
      </c>
      <c r="C40" s="557">
        <f t="shared" ref="C40:AH40" si="140">C12</f>
        <v>40911</v>
      </c>
      <c r="D40" s="557">
        <f t="shared" si="140"/>
        <v>40941</v>
      </c>
      <c r="E40" s="557">
        <f t="shared" si="140"/>
        <v>40971</v>
      </c>
      <c r="F40" s="557">
        <f t="shared" si="140"/>
        <v>41001</v>
      </c>
      <c r="G40" s="557">
        <f t="shared" si="140"/>
        <v>41031</v>
      </c>
      <c r="H40" s="557">
        <f t="shared" si="140"/>
        <v>41061</v>
      </c>
      <c r="I40" s="557">
        <f t="shared" si="140"/>
        <v>41091</v>
      </c>
      <c r="J40" s="557">
        <f t="shared" si="140"/>
        <v>41122</v>
      </c>
      <c r="K40" s="557">
        <f t="shared" si="140"/>
        <v>41153</v>
      </c>
      <c r="L40" s="557">
        <f t="shared" si="140"/>
        <v>41184</v>
      </c>
      <c r="M40" s="557">
        <f t="shared" si="140"/>
        <v>41215</v>
      </c>
      <c r="N40" s="557">
        <f t="shared" si="140"/>
        <v>41246</v>
      </c>
      <c r="O40" s="557">
        <f t="shared" si="140"/>
        <v>41277</v>
      </c>
      <c r="P40" s="557">
        <f t="shared" si="140"/>
        <v>41308</v>
      </c>
      <c r="Q40" s="557">
        <f t="shared" si="140"/>
        <v>41339</v>
      </c>
      <c r="R40" s="557">
        <f t="shared" si="140"/>
        <v>41370</v>
      </c>
      <c r="S40" s="557">
        <f t="shared" si="140"/>
        <v>41401</v>
      </c>
      <c r="T40" s="557">
        <f t="shared" si="140"/>
        <v>41432</v>
      </c>
      <c r="U40" s="557">
        <f t="shared" si="140"/>
        <v>41463</v>
      </c>
      <c r="V40" s="557">
        <f t="shared" si="140"/>
        <v>41494</v>
      </c>
      <c r="W40" s="557">
        <f t="shared" si="140"/>
        <v>41525</v>
      </c>
      <c r="X40" s="557">
        <f t="shared" si="140"/>
        <v>41556</v>
      </c>
      <c r="Y40" s="557">
        <f t="shared" si="140"/>
        <v>41587</v>
      </c>
      <c r="Z40" s="557">
        <f t="shared" si="140"/>
        <v>41618</v>
      </c>
      <c r="AA40" s="557">
        <f t="shared" si="140"/>
        <v>41649</v>
      </c>
      <c r="AB40" s="557">
        <f t="shared" si="140"/>
        <v>41680</v>
      </c>
      <c r="AC40" s="557">
        <f t="shared" si="140"/>
        <v>41711</v>
      </c>
      <c r="AD40" s="557">
        <f t="shared" si="140"/>
        <v>41742</v>
      </c>
      <c r="AE40" s="557">
        <f t="shared" si="140"/>
        <v>41773</v>
      </c>
      <c r="AF40" s="557">
        <f t="shared" si="140"/>
        <v>41804</v>
      </c>
      <c r="AG40" s="557">
        <f t="shared" si="140"/>
        <v>41835</v>
      </c>
      <c r="AH40" s="557">
        <f t="shared" si="140"/>
        <v>41866</v>
      </c>
      <c r="AI40" s="557">
        <f t="shared" ref="AI40:BN40" si="141">AI12</f>
        <v>41897</v>
      </c>
      <c r="AJ40" s="557">
        <f t="shared" si="141"/>
        <v>41928</v>
      </c>
      <c r="AK40" s="557">
        <f t="shared" si="141"/>
        <v>41959</v>
      </c>
      <c r="AL40" s="557">
        <f t="shared" si="141"/>
        <v>41990</v>
      </c>
      <c r="AM40" s="557">
        <f t="shared" si="141"/>
        <v>42021</v>
      </c>
      <c r="AN40" s="557">
        <f t="shared" si="141"/>
        <v>42052</v>
      </c>
      <c r="AO40" s="557">
        <f t="shared" si="141"/>
        <v>42083</v>
      </c>
      <c r="AP40" s="557">
        <f t="shared" si="141"/>
        <v>42114</v>
      </c>
      <c r="AQ40" s="557">
        <f t="shared" si="141"/>
        <v>42145</v>
      </c>
      <c r="AR40" s="557">
        <f t="shared" si="141"/>
        <v>42176</v>
      </c>
      <c r="AS40" s="557">
        <f t="shared" si="141"/>
        <v>42207</v>
      </c>
      <c r="AT40" s="557">
        <f t="shared" si="141"/>
        <v>42238</v>
      </c>
      <c r="AU40" s="557">
        <f t="shared" si="141"/>
        <v>42269</v>
      </c>
      <c r="AV40" s="557">
        <f t="shared" si="141"/>
        <v>42300</v>
      </c>
      <c r="AW40" s="557">
        <f t="shared" si="141"/>
        <v>42331</v>
      </c>
      <c r="AX40" s="557">
        <f t="shared" si="141"/>
        <v>42362</v>
      </c>
      <c r="AY40" s="557">
        <f t="shared" si="141"/>
        <v>42393</v>
      </c>
      <c r="AZ40" s="557">
        <f t="shared" si="141"/>
        <v>42424</v>
      </c>
      <c r="BA40" s="557">
        <f t="shared" si="141"/>
        <v>42455</v>
      </c>
      <c r="BB40" s="557">
        <f t="shared" si="141"/>
        <v>42486</v>
      </c>
      <c r="BC40" s="557">
        <f t="shared" si="141"/>
        <v>42517</v>
      </c>
      <c r="BD40" s="557">
        <f t="shared" si="141"/>
        <v>42548</v>
      </c>
      <c r="BE40" s="557">
        <f t="shared" si="141"/>
        <v>42579</v>
      </c>
      <c r="BF40" s="557">
        <f t="shared" si="141"/>
        <v>42610</v>
      </c>
      <c r="BG40" s="557">
        <f t="shared" si="141"/>
        <v>42641</v>
      </c>
      <c r="BH40" s="557">
        <f t="shared" si="141"/>
        <v>42672</v>
      </c>
      <c r="BI40" s="557">
        <f t="shared" si="141"/>
        <v>42703</v>
      </c>
      <c r="BJ40" s="557">
        <f t="shared" si="141"/>
        <v>42734</v>
      </c>
      <c r="BK40" s="557">
        <f t="shared" si="141"/>
        <v>42765</v>
      </c>
      <c r="BL40" s="557">
        <f t="shared" si="141"/>
        <v>42793</v>
      </c>
      <c r="BM40" s="557">
        <f t="shared" si="141"/>
        <v>42824</v>
      </c>
      <c r="BN40" s="557">
        <f t="shared" si="141"/>
        <v>42855</v>
      </c>
      <c r="BO40" s="557">
        <f t="shared" ref="BO40:CT40" si="142">BO12</f>
        <v>42886</v>
      </c>
      <c r="BP40" s="557">
        <f t="shared" si="142"/>
        <v>42916</v>
      </c>
      <c r="BQ40" s="557">
        <f t="shared" si="142"/>
        <v>42946</v>
      </c>
      <c r="BR40" s="557">
        <f t="shared" si="142"/>
        <v>42976</v>
      </c>
      <c r="BS40" s="557">
        <f t="shared" si="142"/>
        <v>43006</v>
      </c>
      <c r="BT40" s="557">
        <f t="shared" si="142"/>
        <v>43036</v>
      </c>
      <c r="BU40" s="557">
        <f t="shared" si="142"/>
        <v>43066</v>
      </c>
      <c r="BV40" s="557">
        <f t="shared" si="142"/>
        <v>43096</v>
      </c>
      <c r="BW40" s="557">
        <f t="shared" si="142"/>
        <v>43126</v>
      </c>
      <c r="BX40" s="557">
        <f t="shared" si="142"/>
        <v>43156</v>
      </c>
      <c r="BY40" s="557">
        <f t="shared" si="142"/>
        <v>43186</v>
      </c>
      <c r="BZ40" s="557">
        <f t="shared" si="142"/>
        <v>43216</v>
      </c>
      <c r="CA40" s="557">
        <f t="shared" si="142"/>
        <v>43246</v>
      </c>
      <c r="CB40" s="557">
        <f t="shared" si="142"/>
        <v>43276</v>
      </c>
      <c r="CC40" s="557">
        <f t="shared" si="142"/>
        <v>43306</v>
      </c>
      <c r="CD40" s="557">
        <f t="shared" si="142"/>
        <v>43336</v>
      </c>
      <c r="CE40" s="557">
        <f t="shared" si="142"/>
        <v>43366</v>
      </c>
      <c r="CF40" s="557">
        <f t="shared" si="142"/>
        <v>43396</v>
      </c>
      <c r="CG40" s="557">
        <f t="shared" si="142"/>
        <v>43426</v>
      </c>
      <c r="CH40" s="557">
        <f t="shared" si="142"/>
        <v>43456</v>
      </c>
      <c r="CI40" s="557">
        <f t="shared" si="142"/>
        <v>43486</v>
      </c>
      <c r="CJ40" s="557">
        <f t="shared" si="142"/>
        <v>43516</v>
      </c>
      <c r="CK40" s="557">
        <f t="shared" si="142"/>
        <v>43546</v>
      </c>
      <c r="CL40" s="557">
        <f t="shared" si="142"/>
        <v>43576</v>
      </c>
      <c r="CM40" s="557">
        <f t="shared" si="142"/>
        <v>43606</v>
      </c>
      <c r="CN40" s="557">
        <f t="shared" si="142"/>
        <v>43636</v>
      </c>
      <c r="CO40" s="557">
        <f t="shared" si="142"/>
        <v>43666</v>
      </c>
      <c r="CP40" s="557">
        <f t="shared" si="142"/>
        <v>43696</v>
      </c>
      <c r="CQ40" s="557">
        <f t="shared" si="142"/>
        <v>43726</v>
      </c>
      <c r="CR40" s="557">
        <f t="shared" si="142"/>
        <v>43756</v>
      </c>
      <c r="CS40" s="557">
        <f t="shared" si="142"/>
        <v>43786</v>
      </c>
      <c r="CT40" s="557">
        <f t="shared" si="142"/>
        <v>43816</v>
      </c>
      <c r="CU40" s="557">
        <f t="shared" ref="CU40:CZ40" si="143">CU12</f>
        <v>43846</v>
      </c>
      <c r="CV40" s="557">
        <f t="shared" si="143"/>
        <v>43876</v>
      </c>
      <c r="CW40" s="557">
        <f t="shared" si="143"/>
        <v>43906</v>
      </c>
      <c r="CX40" s="557">
        <f t="shared" si="143"/>
        <v>43936</v>
      </c>
      <c r="CY40" s="557">
        <f t="shared" si="143"/>
        <v>43966</v>
      </c>
      <c r="CZ40" s="557">
        <f t="shared" si="143"/>
        <v>43996</v>
      </c>
      <c r="DA40" s="557">
        <f t="shared" ref="DA40:DF40" si="144">DA12</f>
        <v>44026</v>
      </c>
      <c r="DB40" s="557">
        <f t="shared" si="144"/>
        <v>44056</v>
      </c>
      <c r="DC40" s="557">
        <f t="shared" si="144"/>
        <v>44086</v>
      </c>
      <c r="DD40" s="557">
        <f t="shared" si="144"/>
        <v>44116</v>
      </c>
      <c r="DE40" s="557">
        <f t="shared" si="144"/>
        <v>44146</v>
      </c>
      <c r="DF40" s="557">
        <f t="shared" si="144"/>
        <v>44176</v>
      </c>
      <c r="DG40" s="557">
        <f t="shared" ref="DG40:DL40" si="145">DG12</f>
        <v>44206</v>
      </c>
      <c r="DH40" s="557">
        <f t="shared" si="145"/>
        <v>44236</v>
      </c>
      <c r="DI40" s="557">
        <f t="shared" si="145"/>
        <v>44266</v>
      </c>
      <c r="DJ40" s="557">
        <f t="shared" si="145"/>
        <v>44296</v>
      </c>
      <c r="DK40" s="557">
        <f t="shared" si="145"/>
        <v>44326</v>
      </c>
      <c r="DL40" s="557">
        <f t="shared" si="145"/>
        <v>44356</v>
      </c>
      <c r="DM40" s="557">
        <f t="shared" ref="DM40:DR40" si="146">DM12</f>
        <v>44386</v>
      </c>
      <c r="DN40" s="557">
        <f t="shared" si="146"/>
        <v>44416</v>
      </c>
      <c r="DO40" s="557">
        <f t="shared" si="146"/>
        <v>44446</v>
      </c>
      <c r="DP40" s="557">
        <f t="shared" si="146"/>
        <v>44476</v>
      </c>
      <c r="DQ40" s="557">
        <f t="shared" si="146"/>
        <v>44506</v>
      </c>
      <c r="DR40" s="557">
        <f t="shared" si="146"/>
        <v>44536</v>
      </c>
      <c r="DS40" s="557">
        <f t="shared" ref="DS40:DU40" si="147">DS12</f>
        <v>44566</v>
      </c>
      <c r="DT40" s="557">
        <f t="shared" si="147"/>
        <v>44596</v>
      </c>
      <c r="DU40" s="557">
        <f t="shared" si="147"/>
        <v>44626</v>
      </c>
      <c r="DV40" s="557">
        <f t="shared" ref="DV40:DX40" si="148">DV12</f>
        <v>44656</v>
      </c>
      <c r="DW40" s="557">
        <f t="shared" si="148"/>
        <v>44686</v>
      </c>
      <c r="DX40" s="557">
        <f t="shared" si="148"/>
        <v>44716</v>
      </c>
      <c r="DY40" s="557">
        <f t="shared" ref="DY40:EA40" si="149">DY12</f>
        <v>44746</v>
      </c>
      <c r="DZ40" s="557">
        <f t="shared" si="149"/>
        <v>44776</v>
      </c>
      <c r="EA40" s="557">
        <f t="shared" si="149"/>
        <v>44806</v>
      </c>
      <c r="EB40" s="557">
        <f t="shared" ref="EB40:ED40" si="150">EB12</f>
        <v>44836</v>
      </c>
      <c r="EC40" s="557">
        <f t="shared" si="150"/>
        <v>44866</v>
      </c>
      <c r="ED40" s="557">
        <f t="shared" si="150"/>
        <v>44896</v>
      </c>
    </row>
    <row r="41" spans="1:134">
      <c r="B41" s="556"/>
      <c r="C41" s="556"/>
      <c r="D41" s="556"/>
      <c r="E41" s="556"/>
      <c r="F41" s="556"/>
      <c r="G41" s="556"/>
      <c r="H41" s="556"/>
      <c r="I41" s="556"/>
      <c r="J41" s="556"/>
      <c r="K41" s="556"/>
      <c r="L41" s="556"/>
      <c r="M41" s="556"/>
      <c r="N41" s="556"/>
      <c r="O41" s="557"/>
      <c r="P41" s="557"/>
      <c r="Q41" s="557"/>
      <c r="R41" s="557"/>
      <c r="S41" s="557"/>
      <c r="T41" s="557"/>
      <c r="U41" s="557"/>
      <c r="V41" s="557"/>
      <c r="W41" s="557"/>
      <c r="X41" s="557"/>
      <c r="Y41" s="557"/>
      <c r="Z41" s="557"/>
      <c r="AA41" s="557"/>
      <c r="AB41" s="557"/>
      <c r="AC41" s="557"/>
      <c r="AD41" s="557"/>
      <c r="AE41" s="557"/>
      <c r="AF41" s="557"/>
      <c r="AG41" s="557"/>
      <c r="AH41" s="557"/>
      <c r="AI41" s="557"/>
    </row>
    <row r="42" spans="1:134" ht="15">
      <c r="A42" s="555" t="s">
        <v>2898</v>
      </c>
      <c r="B42" s="17" t="s">
        <v>2421</v>
      </c>
      <c r="C42" s="569">
        <v>3.2000000000000002E-3</v>
      </c>
      <c r="D42" s="569">
        <v>3.0000000000000001E-3</v>
      </c>
      <c r="E42" s="569">
        <v>3.0000000000000001E-3</v>
      </c>
      <c r="F42" s="569">
        <v>2.5000000000000001E-3</v>
      </c>
      <c r="G42" s="569">
        <v>2.5000000000000001E-3</v>
      </c>
      <c r="H42" s="569">
        <v>2.5000000000000001E-3</v>
      </c>
      <c r="I42" s="569">
        <v>2.5000000000000001E-3</v>
      </c>
      <c r="J42" s="569">
        <v>3.7000000000000002E-3</v>
      </c>
      <c r="K42" s="569">
        <v>4.5999999999999999E-3</v>
      </c>
      <c r="L42" s="569">
        <v>4.5999999999999999E-3</v>
      </c>
      <c r="M42" s="569">
        <v>4.7999999999999996E-3</v>
      </c>
      <c r="N42" s="569">
        <v>5.8999999999999999E-3</v>
      </c>
      <c r="O42" s="569">
        <v>5.4000000000000003E-3</v>
      </c>
      <c r="P42" s="569">
        <v>5.4000000000000003E-3</v>
      </c>
      <c r="Q42" s="569">
        <v>5.4000000000000003E-3</v>
      </c>
      <c r="R42" s="569">
        <v>5.4000000000000003E-3</v>
      </c>
      <c r="S42" s="569">
        <v>5.4000000000000003E-3</v>
      </c>
      <c r="T42" s="569">
        <v>5.4000000000000003E-3</v>
      </c>
      <c r="U42" s="569">
        <v>5.4000000000000003E-3</v>
      </c>
      <c r="V42" s="569">
        <v>5.4000000000000003E-3</v>
      </c>
      <c r="W42" s="569">
        <v>5.0000000000000001E-3</v>
      </c>
      <c r="X42" s="569">
        <v>5.0000000000000001E-3</v>
      </c>
      <c r="Y42" s="569">
        <v>5.0000000000000001E-3</v>
      </c>
      <c r="Z42" s="569">
        <v>5.0000000000000001E-3</v>
      </c>
      <c r="AA42" s="569">
        <v>5.1999999999999998E-3</v>
      </c>
      <c r="AB42" s="569">
        <v>5.4999999999999997E-3</v>
      </c>
      <c r="AC42" s="572">
        <v>5.5999999999999999E-3</v>
      </c>
      <c r="AD42" s="572">
        <v>5.5999999999999999E-3</v>
      </c>
      <c r="AE42" s="572">
        <v>5.5999999999999999E-3</v>
      </c>
      <c r="AF42" s="572">
        <v>5.5999999999999999E-3</v>
      </c>
      <c r="AG42" s="572">
        <v>5.5999999999999999E-3</v>
      </c>
      <c r="AH42" s="572">
        <v>5.5999999999999999E-3</v>
      </c>
      <c r="AI42" s="572">
        <v>5.4000000000000003E-3</v>
      </c>
      <c r="AJ42" s="572">
        <v>5.3E-3</v>
      </c>
      <c r="AK42" s="572">
        <v>5.3E-3</v>
      </c>
      <c r="AL42" s="572">
        <v>5.3E-3</v>
      </c>
      <c r="AM42" s="572">
        <v>5.5999999999999999E-3</v>
      </c>
      <c r="AN42" s="572">
        <v>5.8999999999999999E-3</v>
      </c>
      <c r="AO42" s="572">
        <v>6.3E-3</v>
      </c>
      <c r="AP42" s="572">
        <v>6.3E-3</v>
      </c>
      <c r="AQ42" s="572">
        <v>6.3E-3</v>
      </c>
      <c r="AR42" s="572">
        <v>6.3E-3</v>
      </c>
      <c r="AS42" s="572">
        <v>6.3E-3</v>
      </c>
      <c r="AT42" s="572">
        <v>6.3E-3</v>
      </c>
      <c r="AU42" s="572">
        <v>6.3E-3</v>
      </c>
      <c r="AV42" s="572">
        <v>6.6E-3</v>
      </c>
      <c r="AW42" s="572">
        <v>6.8999999999999999E-3</v>
      </c>
      <c r="AX42" s="573">
        <v>6.8999999999999999E-3</v>
      </c>
      <c r="AY42" s="574">
        <v>7.4000000000000003E-3</v>
      </c>
      <c r="AZ42" s="574">
        <v>8.3999999999999995E-3</v>
      </c>
      <c r="BA42" s="574">
        <v>1.01E-2</v>
      </c>
      <c r="BB42" s="574">
        <v>1.01E-2</v>
      </c>
      <c r="BC42" s="574">
        <v>1.01E-2</v>
      </c>
      <c r="BD42" s="574">
        <v>1.0699999999999999E-2</v>
      </c>
      <c r="BE42" s="574">
        <v>1.0999999999999999E-2</v>
      </c>
      <c r="BF42" s="574">
        <v>1.11E-2</v>
      </c>
      <c r="BG42" s="574">
        <v>1.15E-2</v>
      </c>
      <c r="BH42" s="574">
        <v>1.1299999999999999E-2</v>
      </c>
      <c r="BI42" s="574">
        <v>1.23E-2</v>
      </c>
      <c r="BJ42" s="574">
        <v>1.41E-2</v>
      </c>
      <c r="BK42" s="574">
        <v>1.49E-2</v>
      </c>
      <c r="BL42" s="574">
        <v>1.54E-2</v>
      </c>
      <c r="BM42" s="574">
        <v>1.5900000000000001E-2</v>
      </c>
      <c r="BN42" s="574">
        <v>1.6299999999999999E-2</v>
      </c>
      <c r="BO42" s="574">
        <v>1.66E-2</v>
      </c>
      <c r="BP42" s="574">
        <v>1.6899999999999998E-2</v>
      </c>
      <c r="BQ42" s="574">
        <v>1.7399999999999999E-2</v>
      </c>
      <c r="BR42" s="574">
        <v>1.77E-2</v>
      </c>
      <c r="BS42" s="574">
        <v>1.6899999999999998E-2</v>
      </c>
      <c r="BT42" s="574">
        <v>1.8700000000000001E-2</v>
      </c>
      <c r="BU42" s="574">
        <v>1.7100000000000001E-2</v>
      </c>
      <c r="BV42" s="574">
        <v>1.6199999999999999E-2</v>
      </c>
      <c r="BW42" s="574">
        <v>1.7000000000000001E-2</v>
      </c>
      <c r="BX42" s="574">
        <v>1.7500000000000002E-2</v>
      </c>
      <c r="BY42" s="574">
        <v>1.7999999999999999E-2</v>
      </c>
      <c r="BZ42" s="574">
        <v>1.8599999999999998E-2</v>
      </c>
      <c r="CA42" s="574">
        <v>2.0500000000000001E-2</v>
      </c>
      <c r="CB42" s="574">
        <v>2.0899999999999998E-2</v>
      </c>
      <c r="CC42" s="574">
        <v>2.1299999999999999E-2</v>
      </c>
      <c r="CD42" s="574">
        <v>2.1700000000000001E-2</v>
      </c>
      <c r="CE42" s="574">
        <v>2.3E-2</v>
      </c>
      <c r="CF42" s="574">
        <v>2.1899999999999999E-2</v>
      </c>
      <c r="CG42" s="574">
        <v>2.3E-2</v>
      </c>
      <c r="CH42" s="574">
        <v>2.63E-2</v>
      </c>
      <c r="CI42" s="574">
        <v>2.76E-2</v>
      </c>
      <c r="CJ42" s="574">
        <v>2.87E-2</v>
      </c>
      <c r="CK42" s="574">
        <v>2.9700000000000001E-2</v>
      </c>
      <c r="CL42" s="574">
        <v>3.0499999999999999E-2</v>
      </c>
      <c r="CM42" s="574">
        <v>3.0499999999999999E-2</v>
      </c>
      <c r="CN42" s="574">
        <v>3.0700000000000002E-2</v>
      </c>
      <c r="CO42" s="574">
        <v>3.1099999999999999E-2</v>
      </c>
      <c r="CP42" s="574">
        <v>3.1300000000000001E-2</v>
      </c>
      <c r="CQ42" s="574">
        <v>3.1300000000000001E-2</v>
      </c>
      <c r="CR42" s="574">
        <v>3.1899999999999998E-2</v>
      </c>
      <c r="CS42" s="574">
        <v>3.1800000000000002E-2</v>
      </c>
      <c r="CT42" s="574">
        <v>3.04E-2</v>
      </c>
      <c r="CU42" s="574">
        <v>2.9399999999999999E-2</v>
      </c>
      <c r="CV42" s="574">
        <v>2.8299999999999999E-2</v>
      </c>
      <c r="CW42" s="574">
        <v>2.6499999999999999E-2</v>
      </c>
      <c r="CX42" s="574">
        <v>2.4299999999999999E-2</v>
      </c>
      <c r="CY42" s="574">
        <v>2.18E-2</v>
      </c>
      <c r="CZ42" s="574">
        <v>1.9800000000000002E-2</v>
      </c>
      <c r="DA42" s="574">
        <v>1.7797170261551302E-2</v>
      </c>
      <c r="DB42" s="574">
        <v>1.6305850524950479E-2</v>
      </c>
      <c r="DC42" s="574">
        <v>1.49902469275049E-2</v>
      </c>
      <c r="DD42" s="574">
        <v>1.3728460394300779E-2</v>
      </c>
      <c r="DE42" s="574">
        <v>1.2717346298480033E-2</v>
      </c>
      <c r="DF42" s="574">
        <v>1.1577027686093169E-2</v>
      </c>
      <c r="DG42" s="574">
        <v>1.0554784432428448E-2</v>
      </c>
      <c r="DH42" s="574">
        <v>9.9157897339549154E-3</v>
      </c>
      <c r="DI42" s="574">
        <v>9.7939145561504858E-3</v>
      </c>
      <c r="DJ42" s="574">
        <v>9.6802069474278395E-3</v>
      </c>
      <c r="DK42" s="574">
        <v>9.8033385632165099E-3</v>
      </c>
      <c r="DL42" s="574">
        <v>9.6186796377598829E-3</v>
      </c>
      <c r="DM42" s="574">
        <v>9.1908857724602912E-3</v>
      </c>
      <c r="DN42" s="574">
        <v>8.7567603153855811E-3</v>
      </c>
      <c r="DO42" s="574">
        <v>8.3342146039560427E-3</v>
      </c>
      <c r="DP42" s="574">
        <v>7.7677274407844752E-3</v>
      </c>
      <c r="DQ42" s="574">
        <v>7.1105663455805455E-3</v>
      </c>
      <c r="DR42" s="574">
        <v>6.205005066866524E-3</v>
      </c>
      <c r="DS42" s="574">
        <v>5.4873979367903673E-3</v>
      </c>
      <c r="DT42" s="574">
        <v>4.7688132514866269E-3</v>
      </c>
      <c r="DU42" s="574">
        <v>4.4309036307596857E-3</v>
      </c>
      <c r="DV42" s="574">
        <v>5.0809769129891236E-3</v>
      </c>
      <c r="DW42" s="574">
        <v>5.5910536885141089E-3</v>
      </c>
      <c r="DX42" s="574">
        <v>6.6783970834967165E-3</v>
      </c>
      <c r="DY42" s="574">
        <v>8.2496462543125669E-3</v>
      </c>
      <c r="DZ42" s="574">
        <v>9.895695825960435E-3</v>
      </c>
      <c r="EA42" s="574">
        <v>1.1874555100380126E-2</v>
      </c>
      <c r="EB42" s="574">
        <v>1.4499953669528021E-2</v>
      </c>
      <c r="EC42" s="574">
        <v>1.7540692075804006E-2</v>
      </c>
      <c r="ED42" s="574">
        <v>2.2032118366889127E-2</v>
      </c>
    </row>
    <row r="43" spans="1:134" ht="15">
      <c r="C43" s="569"/>
      <c r="D43" s="569"/>
      <c r="E43" s="569"/>
      <c r="F43" s="569"/>
      <c r="G43" s="569"/>
      <c r="H43" s="569"/>
      <c r="I43" s="569"/>
      <c r="J43" s="569"/>
      <c r="K43" s="569"/>
      <c r="L43" s="569"/>
      <c r="M43" s="569"/>
      <c r="N43" s="569"/>
      <c r="O43" s="575"/>
      <c r="P43" s="575"/>
      <c r="Q43" s="575"/>
      <c r="R43" s="575"/>
      <c r="S43" s="575"/>
      <c r="T43" s="575"/>
      <c r="U43" s="575"/>
      <c r="V43" s="575"/>
      <c r="W43" s="575"/>
      <c r="X43" s="575"/>
      <c r="Y43" s="575"/>
      <c r="Z43" s="575"/>
      <c r="AA43" s="575"/>
      <c r="AB43" s="575"/>
      <c r="AC43" s="576"/>
      <c r="AD43" s="576"/>
      <c r="AE43" s="576"/>
      <c r="AF43" s="576"/>
      <c r="AG43" s="577"/>
      <c r="AH43" s="577"/>
      <c r="AI43" s="577"/>
      <c r="AJ43" s="577"/>
      <c r="AK43" s="577"/>
      <c r="AL43" s="577"/>
      <c r="AM43" s="578"/>
      <c r="AN43" s="578"/>
      <c r="AO43" s="578"/>
      <c r="AP43" s="578"/>
      <c r="AQ43" s="578"/>
      <c r="AR43" s="578"/>
      <c r="AS43" s="578"/>
      <c r="AT43" s="578"/>
      <c r="AU43" s="578"/>
      <c r="AV43" s="578"/>
      <c r="AW43" s="578"/>
      <c r="AX43" s="578"/>
      <c r="AY43" s="578"/>
      <c r="AZ43" s="578"/>
      <c r="BA43" s="578"/>
      <c r="BB43" s="578"/>
      <c r="BC43" s="578"/>
      <c r="BD43" s="578"/>
      <c r="BE43" s="578"/>
      <c r="BF43" s="578"/>
      <c r="BG43" s="578"/>
      <c r="BH43" s="578"/>
      <c r="BI43" s="578"/>
      <c r="BJ43" s="578"/>
      <c r="BK43" s="578"/>
      <c r="BL43" s="578"/>
      <c r="BM43" s="578"/>
      <c r="BN43" s="578"/>
      <c r="BO43" s="578"/>
      <c r="BP43" s="578"/>
      <c r="BQ43" s="578"/>
      <c r="BR43" s="578"/>
      <c r="BS43" s="578"/>
      <c r="BT43" s="578"/>
      <c r="BU43" s="578"/>
      <c r="BV43" s="578"/>
      <c r="BW43" s="578"/>
      <c r="BX43" s="578"/>
      <c r="BY43" s="578"/>
      <c r="BZ43" s="578"/>
      <c r="CA43" s="578"/>
      <c r="CB43" s="578"/>
      <c r="CC43" s="578"/>
      <c r="CD43" s="578"/>
      <c r="CE43" s="578"/>
      <c r="CF43" s="578"/>
      <c r="CG43" s="578"/>
      <c r="CH43" s="578"/>
      <c r="CI43" s="578"/>
      <c r="CJ43" s="578"/>
      <c r="CK43" s="578"/>
      <c r="CL43" s="578"/>
      <c r="CM43" s="578"/>
      <c r="CN43" s="578"/>
      <c r="CO43" s="578"/>
      <c r="CP43" s="578"/>
      <c r="CQ43" s="578"/>
      <c r="CR43" s="578"/>
      <c r="CS43" s="578"/>
      <c r="CT43" s="578"/>
      <c r="CU43" s="578"/>
      <c r="CV43" s="578"/>
      <c r="CW43" s="578"/>
      <c r="CX43" s="578"/>
      <c r="CY43" s="578"/>
      <c r="CZ43" s="578"/>
      <c r="DA43" s="578"/>
      <c r="DB43" s="578"/>
      <c r="DC43" s="578"/>
      <c r="DD43" s="578"/>
      <c r="DE43" s="578"/>
      <c r="DF43" s="578"/>
      <c r="DG43" s="578"/>
      <c r="DH43" s="578"/>
      <c r="DI43" s="578"/>
      <c r="DJ43" s="578"/>
      <c r="DK43" s="578"/>
      <c r="DL43" s="578"/>
      <c r="DM43" s="578"/>
      <c r="DN43" s="578"/>
      <c r="DO43" s="578"/>
      <c r="DP43" s="578"/>
      <c r="DQ43" s="578"/>
      <c r="DR43" s="578"/>
      <c r="DS43" s="578"/>
      <c r="DT43" s="578"/>
      <c r="DU43" s="578"/>
      <c r="DV43" s="578"/>
      <c r="DW43" s="578"/>
      <c r="DX43" s="578"/>
      <c r="DY43" s="578"/>
      <c r="DZ43" s="578"/>
      <c r="EA43" s="578"/>
      <c r="EB43" s="578"/>
      <c r="EC43" s="578"/>
      <c r="ED43" s="578"/>
    </row>
    <row r="44" spans="1:134" ht="15">
      <c r="A44" s="42" t="s">
        <v>2899</v>
      </c>
      <c r="B44" s="17" t="s">
        <v>2422</v>
      </c>
      <c r="C44" s="569">
        <v>0</v>
      </c>
      <c r="D44" s="569">
        <v>0</v>
      </c>
      <c r="E44" s="569">
        <v>0</v>
      </c>
      <c r="F44" s="569">
        <v>0</v>
      </c>
      <c r="G44" s="569">
        <v>0</v>
      </c>
      <c r="H44" s="569">
        <v>0</v>
      </c>
      <c r="I44" s="569">
        <v>0</v>
      </c>
      <c r="J44" s="569">
        <v>0</v>
      </c>
      <c r="K44" s="569">
        <v>0</v>
      </c>
      <c r="L44" s="569">
        <v>0</v>
      </c>
      <c r="M44" s="569">
        <v>0</v>
      </c>
      <c r="N44" s="569">
        <v>0</v>
      </c>
      <c r="O44" s="569">
        <v>0</v>
      </c>
      <c r="P44" s="569">
        <v>0</v>
      </c>
      <c r="Q44" s="569">
        <v>0</v>
      </c>
      <c r="R44" s="569">
        <v>0</v>
      </c>
      <c r="S44" s="569">
        <v>0</v>
      </c>
      <c r="T44" s="569">
        <v>0</v>
      </c>
      <c r="U44" s="569">
        <v>0</v>
      </c>
      <c r="V44" s="569">
        <v>0</v>
      </c>
      <c r="W44" s="569">
        <v>0</v>
      </c>
      <c r="X44" s="569">
        <v>0</v>
      </c>
      <c r="Y44" s="569">
        <v>0</v>
      </c>
      <c r="Z44" s="569">
        <v>0</v>
      </c>
      <c r="AA44" s="569">
        <v>0</v>
      </c>
      <c r="AB44" s="569">
        <v>0</v>
      </c>
      <c r="AC44" s="572">
        <v>0</v>
      </c>
      <c r="AD44" s="572">
        <v>0</v>
      </c>
      <c r="AE44" s="572">
        <v>0</v>
      </c>
      <c r="AF44" s="572">
        <v>0</v>
      </c>
      <c r="AG44" s="572">
        <v>0</v>
      </c>
      <c r="AH44" s="572">
        <v>0</v>
      </c>
      <c r="AI44" s="572">
        <v>0</v>
      </c>
      <c r="AJ44" s="572">
        <v>0</v>
      </c>
      <c r="AK44" s="572">
        <v>0</v>
      </c>
      <c r="AL44" s="572">
        <v>7.0000000000000001E-3</v>
      </c>
      <c r="AM44" s="572">
        <v>6.7000000000000002E-3</v>
      </c>
      <c r="AN44" s="572">
        <v>6.7999999999999996E-3</v>
      </c>
      <c r="AO44" s="572">
        <v>8.6999999999999994E-3</v>
      </c>
      <c r="AP44" s="572">
        <v>6.7999999999999996E-3</v>
      </c>
      <c r="AQ44" s="572">
        <v>7.1999999999999998E-3</v>
      </c>
      <c r="AR44" s="572">
        <v>6.0000000000000001E-3</v>
      </c>
      <c r="AS44" s="572">
        <v>0</v>
      </c>
      <c r="AT44" s="572">
        <v>0</v>
      </c>
      <c r="AU44" s="572">
        <v>0</v>
      </c>
      <c r="AV44" s="572">
        <v>0</v>
      </c>
      <c r="AW44" s="572">
        <v>0</v>
      </c>
      <c r="AX44" s="573">
        <v>8.8999999999999999E-3</v>
      </c>
      <c r="AY44" s="574">
        <v>9.1999999999999998E-3</v>
      </c>
      <c r="AZ44" s="574">
        <v>9.7999999999999997E-3</v>
      </c>
      <c r="BA44" s="574">
        <v>0.01</v>
      </c>
      <c r="BB44" s="574">
        <v>1.03E-2</v>
      </c>
      <c r="BC44" s="574">
        <v>1.0500000000000001E-2</v>
      </c>
      <c r="BD44" s="574">
        <v>1.0699999999999999E-2</v>
      </c>
      <c r="BE44" s="574">
        <v>1.0699999999999999E-2</v>
      </c>
      <c r="BF44" s="574">
        <v>1.14E-2</v>
      </c>
      <c r="BG44" s="574">
        <v>1.32E-2</v>
      </c>
      <c r="BH44" s="574">
        <v>1.29E-2</v>
      </c>
      <c r="BI44" s="574">
        <v>1.32E-2</v>
      </c>
      <c r="BJ44" s="574">
        <v>1.49E-2</v>
      </c>
      <c r="BK44" s="574">
        <v>1.5599999999999999E-2</v>
      </c>
      <c r="BL44" s="574">
        <v>1.6400000000000001E-2</v>
      </c>
      <c r="BM44" s="574">
        <v>1.72E-2</v>
      </c>
      <c r="BN44" s="574">
        <v>1.7999999999999999E-2</v>
      </c>
      <c r="BO44" s="574">
        <v>1.7999999999999999E-2</v>
      </c>
      <c r="BP44" s="574">
        <v>1.89E-2</v>
      </c>
      <c r="BQ44" s="574">
        <v>2.0299999999999999E-2</v>
      </c>
      <c r="BR44" s="574">
        <v>2.01E-2</v>
      </c>
      <c r="BS44" s="574">
        <v>2.07E-2</v>
      </c>
      <c r="BT44" s="574">
        <v>2.0500000000000001E-2</v>
      </c>
      <c r="BU44" s="574">
        <v>1.95E-2</v>
      </c>
      <c r="BV44" s="574">
        <v>2.07E-2</v>
      </c>
      <c r="BW44" s="574">
        <v>2.1999999999999999E-2</v>
      </c>
      <c r="BX44" s="574">
        <v>2.1999999999999999E-2</v>
      </c>
      <c r="BY44" s="574">
        <v>2.29E-2</v>
      </c>
      <c r="BZ44" s="574">
        <v>2.4500000000000001E-2</v>
      </c>
      <c r="CA44" s="574">
        <v>2.6100000000000002E-2</v>
      </c>
      <c r="CB44" s="574">
        <v>2.6599999999999999E-2</v>
      </c>
      <c r="CC44" s="574">
        <v>2.7E-2</v>
      </c>
      <c r="CD44" s="574">
        <v>2.7E-2</v>
      </c>
      <c r="CE44" s="574">
        <v>2.7300000000000001E-2</v>
      </c>
      <c r="CF44" s="574">
        <v>2.7300000000000001E-2</v>
      </c>
      <c r="CG44" s="574">
        <v>2.9000000000000001E-2</v>
      </c>
      <c r="CH44" s="574">
        <v>3.1399999999999997E-2</v>
      </c>
      <c r="CI44" s="574">
        <v>3.3099999999999997E-2</v>
      </c>
      <c r="CJ44" s="574">
        <v>3.3399999999999999E-2</v>
      </c>
      <c r="CK44" s="574">
        <v>3.3099999999999997E-2</v>
      </c>
      <c r="CL44" s="574">
        <v>3.3000000000000002E-2</v>
      </c>
      <c r="CM44" s="574">
        <v>3.3599999999999998E-2</v>
      </c>
      <c r="CN44" s="574">
        <v>3.2800000000000003E-2</v>
      </c>
      <c r="CO44" s="574">
        <v>3.2500000000000001E-2</v>
      </c>
      <c r="CP44" s="574">
        <v>2.9600000000000001E-2</v>
      </c>
      <c r="CQ44" s="574">
        <v>2.8500000000000001E-2</v>
      </c>
      <c r="CR44" s="574">
        <v>3.1600000000000003E-2</v>
      </c>
      <c r="CS44" s="574">
        <v>2.52E-2</v>
      </c>
      <c r="CT44" s="574">
        <v>2.5600000000000001E-2</v>
      </c>
      <c r="CU44" s="574">
        <v>2.5600000000000001E-2</v>
      </c>
      <c r="CV44" s="574">
        <v>2.3099999999999999E-2</v>
      </c>
      <c r="CW44" s="574">
        <v>1.72E-2</v>
      </c>
      <c r="CX44" s="574">
        <v>1.04E-2</v>
      </c>
      <c r="CY44" s="574">
        <v>8.5000000000000006E-3</v>
      </c>
      <c r="CZ44" s="574">
        <v>8.2640000000000005E-3</v>
      </c>
      <c r="DA44" s="574">
        <v>8.5774809879379452E-3</v>
      </c>
      <c r="DB44" s="574">
        <v>8.5000937834807302E-3</v>
      </c>
      <c r="DC44" s="574">
        <v>8.2053916322922596E-3</v>
      </c>
      <c r="DD44" s="574">
        <v>8.2925565139378189E-3</v>
      </c>
      <c r="DE44" s="574">
        <v>8.5510234050052789E-3</v>
      </c>
      <c r="DF44" s="574">
        <v>8.9412080871782897E-3</v>
      </c>
      <c r="DG44" s="574">
        <v>9.410204196263601E-3</v>
      </c>
      <c r="DH44" s="574">
        <v>9.7650376763331881E-3</v>
      </c>
      <c r="DI44" s="574">
        <v>9.8700246446584011E-3</v>
      </c>
      <c r="DJ44" s="574">
        <v>1.2499999999998729E-2</v>
      </c>
      <c r="DK44" s="574">
        <v>1.2216206561637105E-2</v>
      </c>
      <c r="DL44" s="574">
        <v>5.2463132654680458E-3</v>
      </c>
      <c r="DM44" s="574">
        <v>2.4729283990345872E-3</v>
      </c>
      <c r="DN44" s="574">
        <v>2.4597222222222151E-3</v>
      </c>
      <c r="DO44" s="574">
        <v>2.4236301369862938E-3</v>
      </c>
      <c r="DP44" s="574">
        <v>2.3260497956150068E-3</v>
      </c>
      <c r="DQ44" s="574">
        <v>2.4791596638655414E-3</v>
      </c>
      <c r="DR44" s="574">
        <v>4.2013965045351338E-3</v>
      </c>
      <c r="DS44" s="574">
        <v>5.6140775207409645E-3</v>
      </c>
      <c r="DT44" s="574">
        <v>5.892552135054613E-3</v>
      </c>
      <c r="DU44" s="574">
        <v>8.5698674721650225E-3</v>
      </c>
      <c r="DV44" s="574">
        <v>1.0925260140818738E-2</v>
      </c>
      <c r="DW44" s="574">
        <v>1.2367938581413994E-2</v>
      </c>
      <c r="DX44" s="574">
        <v>1.6723566037735844E-2</v>
      </c>
      <c r="DY44" s="574">
        <v>2.2808055804566862E-2</v>
      </c>
      <c r="DZ44" s="574">
        <v>2.7979838709677341E-2</v>
      </c>
      <c r="EA44" s="574">
        <v>3.2177373011151471E-2</v>
      </c>
      <c r="EB44" s="574">
        <v>3.7715176715176678E-2</v>
      </c>
      <c r="EC44" s="574">
        <v>4.3385141928169571E-2</v>
      </c>
      <c r="ED44" s="574">
        <v>4.8296533726109959E-2</v>
      </c>
    </row>
    <row r="45" spans="1:134">
      <c r="Z45" s="559"/>
    </row>
    <row r="46" spans="1:134">
      <c r="A46" s="1270" t="s">
        <v>2915</v>
      </c>
      <c r="Z46" s="559"/>
    </row>
    <row r="47" spans="1:134">
      <c r="B47" s="556" t="s">
        <v>2369</v>
      </c>
      <c r="Z47" s="559"/>
      <c r="BW47" s="557">
        <f t="shared" ref="BW47:CT47" si="151">+BW12</f>
        <v>43126</v>
      </c>
      <c r="BX47" s="557">
        <f t="shared" si="151"/>
        <v>43156</v>
      </c>
      <c r="BY47" s="557">
        <f t="shared" si="151"/>
        <v>43186</v>
      </c>
      <c r="BZ47" s="557">
        <f t="shared" si="151"/>
        <v>43216</v>
      </c>
      <c r="CA47" s="557">
        <f t="shared" si="151"/>
        <v>43246</v>
      </c>
      <c r="CB47" s="557">
        <f t="shared" si="151"/>
        <v>43276</v>
      </c>
      <c r="CC47" s="557">
        <f t="shared" si="151"/>
        <v>43306</v>
      </c>
      <c r="CD47" s="557">
        <f t="shared" si="151"/>
        <v>43336</v>
      </c>
      <c r="CE47" s="557">
        <f t="shared" si="151"/>
        <v>43366</v>
      </c>
      <c r="CF47" s="557">
        <f t="shared" si="151"/>
        <v>43396</v>
      </c>
      <c r="CG47" s="557">
        <f t="shared" si="151"/>
        <v>43426</v>
      </c>
      <c r="CH47" s="557">
        <f t="shared" si="151"/>
        <v>43456</v>
      </c>
      <c r="CI47" s="557">
        <f t="shared" si="151"/>
        <v>43486</v>
      </c>
      <c r="CJ47" s="557">
        <f t="shared" si="151"/>
        <v>43516</v>
      </c>
      <c r="CK47" s="557">
        <f t="shared" si="151"/>
        <v>43546</v>
      </c>
      <c r="CL47" s="557">
        <f t="shared" si="151"/>
        <v>43576</v>
      </c>
      <c r="CM47" s="557">
        <f t="shared" si="151"/>
        <v>43606</v>
      </c>
      <c r="CN47" s="557">
        <f t="shared" si="151"/>
        <v>43636</v>
      </c>
      <c r="CO47" s="557">
        <f t="shared" si="151"/>
        <v>43666</v>
      </c>
      <c r="CP47" s="557">
        <f t="shared" si="151"/>
        <v>43696</v>
      </c>
      <c r="CQ47" s="557">
        <f t="shared" si="151"/>
        <v>43726</v>
      </c>
      <c r="CR47" s="557">
        <f t="shared" si="151"/>
        <v>43756</v>
      </c>
      <c r="CS47" s="557">
        <f t="shared" si="151"/>
        <v>43786</v>
      </c>
      <c r="CT47" s="557">
        <f t="shared" si="151"/>
        <v>43816</v>
      </c>
      <c r="CU47" s="557">
        <f t="shared" ref="CU47:CZ47" si="152">+CU12</f>
        <v>43846</v>
      </c>
      <c r="CV47" s="557">
        <f t="shared" si="152"/>
        <v>43876</v>
      </c>
      <c r="CW47" s="557">
        <f t="shared" si="152"/>
        <v>43906</v>
      </c>
      <c r="CX47" s="557">
        <f t="shared" si="152"/>
        <v>43936</v>
      </c>
      <c r="CY47" s="557">
        <f t="shared" si="152"/>
        <v>43966</v>
      </c>
      <c r="CZ47" s="557">
        <f t="shared" si="152"/>
        <v>43996</v>
      </c>
      <c r="DA47" s="557">
        <f t="shared" ref="DA47:DF47" si="153">+DA12</f>
        <v>44026</v>
      </c>
      <c r="DB47" s="557">
        <f t="shared" si="153"/>
        <v>44056</v>
      </c>
      <c r="DC47" s="557">
        <f t="shared" si="153"/>
        <v>44086</v>
      </c>
      <c r="DD47" s="557">
        <f t="shared" si="153"/>
        <v>44116</v>
      </c>
      <c r="DE47" s="557">
        <f t="shared" si="153"/>
        <v>44146</v>
      </c>
      <c r="DF47" s="557">
        <f t="shared" si="153"/>
        <v>44176</v>
      </c>
      <c r="DG47" s="557">
        <f t="shared" ref="DG47:DL47" si="154">+DG12</f>
        <v>44206</v>
      </c>
      <c r="DH47" s="557">
        <f t="shared" si="154"/>
        <v>44236</v>
      </c>
      <c r="DI47" s="557">
        <f t="shared" si="154"/>
        <v>44266</v>
      </c>
      <c r="DJ47" s="557">
        <f t="shared" si="154"/>
        <v>44296</v>
      </c>
      <c r="DK47" s="557">
        <f t="shared" si="154"/>
        <v>44326</v>
      </c>
      <c r="DL47" s="557">
        <f t="shared" si="154"/>
        <v>44356</v>
      </c>
      <c r="DM47" s="557">
        <f t="shared" ref="DM47:DR47" si="155">+DM12</f>
        <v>44386</v>
      </c>
      <c r="DN47" s="557">
        <f t="shared" si="155"/>
        <v>44416</v>
      </c>
      <c r="DO47" s="557">
        <f t="shared" si="155"/>
        <v>44446</v>
      </c>
      <c r="DP47" s="557">
        <f t="shared" si="155"/>
        <v>44476</v>
      </c>
      <c r="DQ47" s="557">
        <f t="shared" si="155"/>
        <v>44506</v>
      </c>
      <c r="DR47" s="557">
        <f t="shared" si="155"/>
        <v>44536</v>
      </c>
      <c r="DS47" s="557">
        <f t="shared" ref="DS47:DU47" si="156">+DS12</f>
        <v>44566</v>
      </c>
      <c r="DT47" s="557">
        <f t="shared" si="156"/>
        <v>44596</v>
      </c>
      <c r="DU47" s="557">
        <f t="shared" si="156"/>
        <v>44626</v>
      </c>
      <c r="DV47" s="557">
        <f t="shared" ref="DV47:DX47" si="157">+DV12</f>
        <v>44656</v>
      </c>
      <c r="DW47" s="557">
        <f t="shared" si="157"/>
        <v>44686</v>
      </c>
      <c r="DX47" s="557">
        <f t="shared" si="157"/>
        <v>44716</v>
      </c>
      <c r="DY47" s="557">
        <f t="shared" ref="DY47:EA47" si="158">+DY12</f>
        <v>44746</v>
      </c>
      <c r="DZ47" s="557">
        <f t="shared" si="158"/>
        <v>44776</v>
      </c>
      <c r="EA47" s="557">
        <f t="shared" si="158"/>
        <v>44806</v>
      </c>
      <c r="EB47" s="557">
        <f t="shared" ref="EB47:ED47" si="159">+EB12</f>
        <v>44836</v>
      </c>
      <c r="EC47" s="557">
        <f t="shared" si="159"/>
        <v>44866</v>
      </c>
      <c r="ED47" s="557">
        <f t="shared" si="159"/>
        <v>44896</v>
      </c>
    </row>
    <row r="48" spans="1:134">
      <c r="Z48" s="559"/>
    </row>
    <row r="49" spans="1:134">
      <c r="A49" s="210" t="s">
        <v>2367</v>
      </c>
      <c r="B49" s="550" t="s">
        <v>737</v>
      </c>
      <c r="Z49" s="559"/>
      <c r="BW49" s="753">
        <f>-VLOOKUP("2310000",'Input BS ACCTS'!$A$5:$DD$397,53,FALSE)/1000</f>
        <v>5000</v>
      </c>
      <c r="BX49" s="753">
        <f>-VLOOKUP("2310000",'Input BS ACCTS'!$A$5:$DD$397,54,FALSE)/1000</f>
        <v>58203.643530000001</v>
      </c>
      <c r="BY49" s="753">
        <f>-VLOOKUP("2310000",'Input BS ACCTS'!$A$5:$DD$397,55,FALSE)/1000</f>
        <v>53438.296759999997</v>
      </c>
      <c r="BZ49" s="753">
        <f>-VLOOKUP("2310000",'Input BS ACCTS'!$A$5:$DD$397,56,FALSE)/1000</f>
        <v>53973.759039999997</v>
      </c>
      <c r="CA49" s="753">
        <f>-VLOOKUP("2310000",'Input BS ACCTS'!$A$5:$DD$397,57,FALSE)/1000</f>
        <v>86871.59375</v>
      </c>
      <c r="CB49" s="753">
        <f>-VLOOKUP("2310000",'Input BS ACCTS'!$A$5:$DD$397,58,FALSE)/1000</f>
        <v>32647.32645</v>
      </c>
      <c r="CC49" s="753">
        <f>-VLOOKUP("2310000",'Input BS ACCTS'!$A$5:$DD$397,59,FALSE)/1000</f>
        <v>32403.666739999997</v>
      </c>
      <c r="CD49" s="753">
        <f>-VLOOKUP("2310000",'Input BS ACCTS'!$A$5:$DD$397,60,FALSE)/1000</f>
        <v>36635.669780000004</v>
      </c>
      <c r="CE49" s="753">
        <f>-VLOOKUP("2310000",'Input BS ACCTS'!$A$5:$DD$397,61,FALSE)/1000</f>
        <v>44924.345580000001</v>
      </c>
      <c r="CF49" s="753">
        <f>-VLOOKUP("2310000",'Input BS ACCTS'!$A$5:$DD$397,62,FALSE)/1000</f>
        <v>0</v>
      </c>
      <c r="CG49" s="753">
        <f>-VLOOKUP("2310000",'Input BS ACCTS'!$A$5:$DD$397,63,FALSE)/1000</f>
        <v>35033.765530000004</v>
      </c>
      <c r="CH49" s="753">
        <f>-VLOOKUP("2310000",'Input BS ACCTS'!$A$5:$DD$397,64,FALSE)/1000</f>
        <v>53651.64284</v>
      </c>
      <c r="CI49" s="753">
        <f>-VLOOKUP("2310000",'Input BS ACCTS'!$A$5:$DD$397,65,FALSE)/1000</f>
        <v>70274.1008</v>
      </c>
      <c r="CJ49" s="753">
        <f>-VLOOKUP("2310000",'Input BS ACCTS'!$A$5:$DD$397,66,FALSE)/1000</f>
        <v>51017.831979999995</v>
      </c>
      <c r="CK49" s="753">
        <f>-VLOOKUP("2310000",'Input BS ACCTS'!$A$5:$DD$397,67,FALSE)/1000</f>
        <v>43526.147640000003</v>
      </c>
      <c r="CL49" s="753">
        <f>-VLOOKUP("2310000",'Input BS ACCTS'!$A$5:$DD$397,68,FALSE)/1000</f>
        <v>47854.03026</v>
      </c>
      <c r="CM49" s="753">
        <f>-VLOOKUP("2310000",'Input BS ACCTS'!$A$5:$DD$397,69,FALSE)/1000</f>
        <v>32302.624949999998</v>
      </c>
      <c r="CN49" s="753">
        <f>-VLOOKUP("2310000",'Input BS ACCTS'!$A$5:$DD$397,70,FALSE)/1000</f>
        <v>43946.02736</v>
      </c>
      <c r="CO49" s="753">
        <f>-VLOOKUP("2310000",'Input BS ACCTS'!$A$5:$DD$397,71,FALSE)/1000</f>
        <v>30168.533420000003</v>
      </c>
      <c r="CP49" s="753">
        <f>-VLOOKUP("2310000",'Input BS ACCTS'!$A$5:$DD$397,72,FALSE)/1000</f>
        <v>48717.414859999997</v>
      </c>
      <c r="CQ49" s="753">
        <f>-VLOOKUP("2310000",'Input BS ACCTS'!$A$5:$DD$397,73,FALSE)/1000</f>
        <v>44435.200189999996</v>
      </c>
      <c r="CR49" s="753">
        <f>-VLOOKUP("2310000",'Input BS ACCTS'!$A$5:$DD$397,74,FALSE)/1000</f>
        <v>47028.28342</v>
      </c>
      <c r="CS49" s="753">
        <f>-VLOOKUP("2310000",'Input BS ACCTS'!$A$5:$DD$397,75,FALSE)/1000</f>
        <v>77517.735260000001</v>
      </c>
      <c r="CT49" s="753">
        <f>-VLOOKUP("2310000",'Input BS ACCTS'!$A$5:$DD$397,76,FALSE)/1000</f>
        <v>91138.979059999998</v>
      </c>
      <c r="CU49" s="753">
        <f>-VLOOKUP("2310000",'Input BS ACCTS'!$A$5:$DD$397,77,FALSE)/1000</f>
        <v>104160.10278</v>
      </c>
      <c r="CV49" s="753">
        <f>-VLOOKUP("2310000",'Input BS ACCTS'!$A$5:$DD$397,78,FALSE)/1000</f>
        <v>90190.82</v>
      </c>
      <c r="CW49" s="753">
        <f>-VLOOKUP("2310000",'Input BS ACCTS'!$A$5:$DD$397,79,FALSE)/1000</f>
        <v>91778.96686</v>
      </c>
      <c r="CX49" s="753">
        <f>-VLOOKUP("2310000",'Input BS ACCTS'!$A$5:$DD$397,80,FALSE)/1000</f>
        <v>99145.211670000004</v>
      </c>
      <c r="CY49" s="753">
        <f>-VLOOKUP("2310000",'Input BS ACCTS'!$A$5:$DD$397,81,FALSE)/1000</f>
        <v>104893.603</v>
      </c>
      <c r="CZ49" s="753">
        <f>-VLOOKUP("2310000",'Input BS ACCTS'!$A$5:$DD$397,81,FALSE)/1000</f>
        <v>104893.603</v>
      </c>
      <c r="DA49" s="753">
        <f>-VLOOKUP("2310000",'Input BS ACCTS'!$A$5:$DD$397,82,FALSE)/1000</f>
        <v>127591.36500000001</v>
      </c>
      <c r="DB49" s="753">
        <f>-VLOOKUP("2310000",'Input BS ACCTS'!$A$5:$DD$397,83,FALSE)/1000</f>
        <v>145194.42319</v>
      </c>
      <c r="DC49" s="753">
        <f>-VLOOKUP("2310000",'Input BS ACCTS'!$A$5:$DD$397,84,FALSE)/1000</f>
        <v>133998.43737999999</v>
      </c>
      <c r="DD49" s="753">
        <f>-VLOOKUP("2310000",'Input BS ACCTS'!$A$5:$DD$397,85,FALSE)/1000</f>
        <v>144415.73919999998</v>
      </c>
      <c r="DE49" s="753">
        <f>-VLOOKUP("2310000",'Input BS ACCTS'!$A$5:$DD$397,86,FALSE)/1000</f>
        <v>162258.20669999998</v>
      </c>
      <c r="DF49" s="753">
        <f>-VLOOKUP("2310000",'Input BS ACCTS'!$A$5:$DD$397,87,FALSE)/1000</f>
        <v>179528.11132</v>
      </c>
      <c r="DG49" s="753">
        <f>-VLOOKUP("2310000",'Input BS ACCTS'!$A$5:$DD$397,88,FALSE)/1000</f>
        <v>214352.13493999999</v>
      </c>
      <c r="DH49" s="753">
        <f>-VLOOKUP("2310000",'Input BS ACCTS'!$A$5:$DD$397,89,FALSE)/1000</f>
        <v>236511.39825999999</v>
      </c>
      <c r="DI49" s="753">
        <f>-VLOOKUP("2310000",'Input BS ACCTS'!$A$5:$DD$397,90,FALSE)/1000</f>
        <v>221147.72566</v>
      </c>
      <c r="DJ49" s="753">
        <f>-VLOOKUP("2310000",'Input BS ACCTS'!$A$5:$DD$397,91,FALSE)/1000</f>
        <v>10000</v>
      </c>
      <c r="DK49" s="753">
        <f>-VLOOKUP("2310000",'Input BS ACCTS'!$A$5:$DD$397,92,FALSE)/1000</f>
        <v>17122.357</v>
      </c>
      <c r="DL49" s="753">
        <f>-VLOOKUP("2310000",'Input BS ACCTS'!$A$5:$DD$397,93,FALSE)/1000</f>
        <v>87741.525890000004</v>
      </c>
      <c r="DM49" s="753">
        <f>-VLOOKUP("2310000",'Input BS ACCTS'!$A$5:$DD$397,93,FALSE)/1000</f>
        <v>87741.525890000004</v>
      </c>
      <c r="DN49" s="753">
        <f>-VLOOKUP("2310000",'Input BS ACCTS'!$A$5:$DD$397,93,FALSE)/1000</f>
        <v>87741.525890000004</v>
      </c>
      <c r="DO49" s="753">
        <f>-VLOOKUP("2310000",'Input BS ACCTS'!$A$5:$DD$397,93,FALSE)/1000</f>
        <v>87741.525890000004</v>
      </c>
      <c r="DP49" s="753">
        <f>-VLOOKUP("2310000",'Input BS ACCTS'!$A$5:$DD$397,93,FALSE)/1000</f>
        <v>87741.525890000004</v>
      </c>
      <c r="DQ49" s="753">
        <f>-VLOOKUP("2310000",'Input BS ACCTS'!$A$5:$DD$397,93,FALSE)/1000</f>
        <v>87741.525890000004</v>
      </c>
      <c r="DR49" s="753">
        <f>-VLOOKUP("2310000",'Input BS ACCTS'!$A$5:$DD$397,93,FALSE)/1000</f>
        <v>87741.525890000004</v>
      </c>
      <c r="DS49" s="753">
        <f>-VLOOKUP("2310000",'Input BS ACCTS'!$A$5:$DH$397,101,FALSE)/1000</f>
        <v>210398.8</v>
      </c>
      <c r="DT49" s="753">
        <f>-VLOOKUP("2310000",'Input BS ACCTS'!$A$5:$DH$397,102,FALSE)/1000</f>
        <v>158200.10248</v>
      </c>
      <c r="DU49" s="753">
        <f>-VLOOKUP("2310000",'Input BS ACCTS'!$A$5:$DH$397,103,FALSE)/1000</f>
        <v>166329.49208000003</v>
      </c>
      <c r="DV49" s="753">
        <f>-VLOOKUP("2310000",'Input BS ACCTS'!$A$5:$DH$397,104,FALSE)/1000</f>
        <v>174483.97778000002</v>
      </c>
      <c r="DW49" s="753">
        <f>-VLOOKUP("2310000",'Input BS ACCTS'!$A$5:$DH$397,105,FALSE)/1000</f>
        <v>177717.84408000001</v>
      </c>
      <c r="DX49" s="753">
        <f>-VLOOKUP("2310000",'Input BS ACCTS'!$A$5:$DH$397,106,FALSE)/1000</f>
        <v>198344.90317999999</v>
      </c>
      <c r="DY49" s="753">
        <f>-VLOOKUP("2310000",'Input BS ACCTS'!$A$5:$DH$397,107,FALSE)/1000</f>
        <v>100000</v>
      </c>
      <c r="DZ49" s="753">
        <f>-VLOOKUP("2310000",'Input BS ACCTS'!$A$5:$DH$397,108,FALSE)/1000</f>
        <v>100000</v>
      </c>
      <c r="EA49" s="753">
        <f>-VLOOKUP("2310000",'Input BS ACCTS'!$A$5:$DH$397,109,FALSE)/1000</f>
        <v>156383.68047999998</v>
      </c>
      <c r="EB49" s="753">
        <f>-VLOOKUP("2310000",'Input BS ACCTS'!$A$5:$DH$397,110,FALSE)/1000</f>
        <v>159112.87497999999</v>
      </c>
      <c r="EC49" s="753">
        <f>-VLOOKUP("2310000",'Input BS ACCTS'!$A$5:$DH$397,111,FALSE)/1000</f>
        <v>161937.35708000002</v>
      </c>
      <c r="ED49" s="753">
        <f>-VLOOKUP("2310000",'Input BS ACCTS'!$A$5:$DH$397,112,FALSE)/1000</f>
        <v>166097.1501</v>
      </c>
    </row>
    <row r="50" spans="1:134">
      <c r="A50" s="210" t="s">
        <v>2368</v>
      </c>
      <c r="B50" s="550" t="s">
        <v>773</v>
      </c>
      <c r="Z50" s="559"/>
      <c r="BW50" s="359">
        <f>-VLOOKUP("2330711",'Input BS ACCTS'!$A$5:$DD$397,53,FALSE)/1000</f>
        <v>50045.713000000003</v>
      </c>
      <c r="BX50" s="359">
        <f>-VLOOKUP("2330711",'Input BS ACCTS'!$A$5:$DD$397,54,FALSE)/1000</f>
        <v>0</v>
      </c>
      <c r="BY50" s="359">
        <f>-VLOOKUP("2330711",'Input BS ACCTS'!$A$5:$DD$397,55,FALSE)/1000</f>
        <v>0</v>
      </c>
      <c r="BZ50" s="359">
        <f>-VLOOKUP("2330711",'Input BS ACCTS'!$A$5:$DD$397,56,FALSE)/1000</f>
        <v>0</v>
      </c>
      <c r="CA50" s="359">
        <f>-VLOOKUP("2330711",'Input BS ACCTS'!$A$5:$DD$397,57,FALSE)/1000</f>
        <v>0</v>
      </c>
      <c r="CB50" s="359">
        <f>-VLOOKUP("2330711",'Input BS ACCTS'!$A$5:$DD$397,58,FALSE)/1000</f>
        <v>0</v>
      </c>
      <c r="CC50" s="359">
        <f>-VLOOKUP("2330711",'Input BS ACCTS'!$A$5:$DD$397,59,FALSE)/1000</f>
        <v>0</v>
      </c>
      <c r="CD50" s="359">
        <f>-VLOOKUP("2330711",'Input BS ACCTS'!$A$5:$DD$397,60,FALSE)/1000</f>
        <v>0</v>
      </c>
      <c r="CE50" s="359">
        <f>-VLOOKUP("2330711",'Input BS ACCTS'!$A$5:$DD$397,61,FALSE)/1000</f>
        <v>0</v>
      </c>
      <c r="CF50" s="359">
        <f>-VLOOKUP("2330711",'Input BS ACCTS'!$A$5:$DD$397,62,FALSE)/1000</f>
        <v>26601.973979999999</v>
      </c>
      <c r="CG50" s="359">
        <f>-VLOOKUP("2330711",'Input BS ACCTS'!$A$5:$DD$397,63,FALSE)/1000</f>
        <v>0</v>
      </c>
      <c r="CH50" s="359">
        <f>-VLOOKUP("2330711",'Input BS ACCTS'!$A$5:$DD$397,64,FALSE)/1000</f>
        <v>0</v>
      </c>
      <c r="CI50" s="359">
        <f>-VLOOKUP("2330711",'Input BS ACCTS'!$A$5:$DD$397,65,FALSE)/1000</f>
        <v>0</v>
      </c>
      <c r="CJ50" s="359">
        <f>-VLOOKUP("2330711",'Input BS ACCTS'!$A$5:$DD$397,66,FALSE)/1000</f>
        <v>0</v>
      </c>
      <c r="CK50" s="359">
        <f>-VLOOKUP("2330711",'Input BS ACCTS'!$A$5:$DD$397,67,FALSE)/1000</f>
        <v>0</v>
      </c>
      <c r="CL50" s="359">
        <f>-VLOOKUP("2330711",'Input BS ACCTS'!$A$5:$DD$397,68,FALSE)/1000</f>
        <v>0</v>
      </c>
      <c r="CM50" s="359">
        <f>-VLOOKUP("2330711",'Input BS ACCTS'!$A$5:$DD$397,69,FALSE)/1000</f>
        <v>0</v>
      </c>
      <c r="CN50" s="359">
        <f>-VLOOKUP("2330711",'Input BS ACCTS'!$A$5:$DD$397,70,FALSE)/1000</f>
        <v>0</v>
      </c>
      <c r="CO50" s="359">
        <f>-VLOOKUP("2330711",'Input BS ACCTS'!$A$5:$DD$397,71,FALSE)/1000</f>
        <v>0</v>
      </c>
      <c r="CP50" s="359">
        <f>-VLOOKUP("2330711",'Input BS ACCTS'!$A$5:$DD$397,72,FALSE)/1000</f>
        <v>0</v>
      </c>
      <c r="CQ50" s="359">
        <f>-VLOOKUP("2330711",'Input BS ACCTS'!$A$5:$DD$397,73,FALSE)/1000</f>
        <v>0</v>
      </c>
      <c r="CR50" s="359">
        <f>-VLOOKUP("2330711",'Input BS ACCTS'!$A$5:$DD$397,74,FALSE)/1000</f>
        <v>0</v>
      </c>
      <c r="CS50" s="359">
        <f>-VLOOKUP("2330711",'Input BS ACCTS'!$A$5:$DD$397,75,FALSE)/1000</f>
        <v>0</v>
      </c>
      <c r="CT50" s="359">
        <f>-VLOOKUP("2330711",'Input BS ACCTS'!$A$5:$DD$397,76,FALSE)/1000</f>
        <v>0</v>
      </c>
      <c r="CU50" s="359">
        <f>-VLOOKUP("2330711",'Input BS ACCTS'!$A$5:$DD$397,77,FALSE)/1000</f>
        <v>0</v>
      </c>
      <c r="CV50" s="359">
        <f>-VLOOKUP("2330711",'Input BS ACCTS'!$A$5:$DD$397,78,FALSE)/1000</f>
        <v>0</v>
      </c>
      <c r="CW50" s="359">
        <f>-VLOOKUP("2330711",'Input BS ACCTS'!$A$5:$DD$397,79,FALSE)/1000</f>
        <v>0</v>
      </c>
      <c r="CX50" s="359">
        <f>-VLOOKUP("2330711",'Input BS ACCTS'!$A$5:$DD$397,80,FALSE)/1000</f>
        <v>0</v>
      </c>
      <c r="CY50" s="359">
        <f>-VLOOKUP("2330711",'Input BS ACCTS'!$A$5:$DD$397,81,FALSE)/1000</f>
        <v>0</v>
      </c>
      <c r="CZ50" s="359">
        <f>-VLOOKUP("2330711",'Input BS ACCTS'!$A$5:$DD$397,81,FALSE)/1000</f>
        <v>0</v>
      </c>
      <c r="DA50" s="359">
        <f>-VLOOKUP("2330711",'Input BS ACCTS'!$A$5:$DD$397,82,FALSE)/1000</f>
        <v>0</v>
      </c>
      <c r="DB50" s="359">
        <f>-VLOOKUP("2330711",'Input BS ACCTS'!$A$5:$DD$397,83,FALSE)/1000</f>
        <v>0</v>
      </c>
      <c r="DC50" s="359">
        <f>-VLOOKUP("2330711",'Input BS ACCTS'!$A$5:$DD$397,84,FALSE)/1000</f>
        <v>0</v>
      </c>
      <c r="DD50" s="359">
        <f>-VLOOKUP("2330711",'Input BS ACCTS'!$A$5:$DD$397,85,FALSE)/1000</f>
        <v>0</v>
      </c>
      <c r="DE50" s="359">
        <f>-VLOOKUP("2330711",'Input BS ACCTS'!$A$5:$DD$397,86,FALSE)/1000</f>
        <v>0</v>
      </c>
      <c r="DF50" s="359">
        <f>-VLOOKUP("2330711",'Input BS ACCTS'!$A$5:$DD$397,87,FALSE)/1000</f>
        <v>0</v>
      </c>
      <c r="DG50" s="359">
        <f>-VLOOKUP("2330711",'Input BS ACCTS'!$A$5:$DD$397,88,FALSE)/1000</f>
        <v>0</v>
      </c>
      <c r="DH50" s="359">
        <f>-VLOOKUP("2330711",'Input BS ACCTS'!$A$5:$DD$397,89,FALSE)/1000</f>
        <v>0</v>
      </c>
      <c r="DI50" s="359">
        <f>-VLOOKUP("2330711",'Input BS ACCTS'!$A$5:$DD$397,90,FALSE)/1000</f>
        <v>0</v>
      </c>
      <c r="DJ50" s="359">
        <f>-VLOOKUP("2330711",'Input BS ACCTS'!$A$5:$DD$397,91,FALSE)/1000</f>
        <v>4181.1040000000003</v>
      </c>
      <c r="DK50" s="359">
        <f>-VLOOKUP("2330711",'Input BS ACCTS'!$A$5:$DD$397,92,FALSE)/1000</f>
        <v>0</v>
      </c>
      <c r="DL50" s="359">
        <f>-VLOOKUP("2330711",'Input BS ACCTS'!$A$5:$DD$397,93,FALSE)/1000</f>
        <v>0</v>
      </c>
      <c r="DM50" s="359">
        <f>-VLOOKUP("2330711",'Input BS ACCTS'!$A$5:$DD$397,93,FALSE)/1000</f>
        <v>0</v>
      </c>
      <c r="DN50" s="359">
        <f>-VLOOKUP("2330711",'Input BS ACCTS'!$A$5:$DD$397,93,FALSE)/1000</f>
        <v>0</v>
      </c>
      <c r="DO50" s="359">
        <f>-VLOOKUP("2330711",'Input BS ACCTS'!$A$5:$DD$397,93,FALSE)/1000</f>
        <v>0</v>
      </c>
      <c r="DP50" s="359">
        <f>-VLOOKUP("2330711",'Input BS ACCTS'!$A$5:$DD$397,93,FALSE)/1000</f>
        <v>0</v>
      </c>
      <c r="DQ50" s="359">
        <f>-VLOOKUP("2330711",'Input BS ACCTS'!$A$5:$DD$397,93,FALSE)/1000</f>
        <v>0</v>
      </c>
      <c r="DR50" s="359">
        <f>-VLOOKUP("2330711",'Input BS ACCTS'!$A$5:$DD$397,93,FALSE)/1000</f>
        <v>0</v>
      </c>
      <c r="DS50" s="359">
        <f>-VLOOKUP("2330711",'Input BS ACCTS'!$A$5:$DH$397,101,FALSE)/1000</f>
        <v>0</v>
      </c>
      <c r="DT50" s="359">
        <f>-VLOOKUP("2330711",'Input BS ACCTS'!$A$5:$DH$397,102,FALSE)/1000</f>
        <v>0</v>
      </c>
      <c r="DU50" s="359">
        <f>-VLOOKUP("2330711",'Input BS ACCTS'!$A$5:$DH$397,103,FALSE)/1000</f>
        <v>0</v>
      </c>
      <c r="DV50" s="359">
        <f>-VLOOKUP("2330711",'Input BS ACCTS'!$A$5:$DH$397,104,FALSE)/1000</f>
        <v>0</v>
      </c>
      <c r="DW50" s="359">
        <f>-VLOOKUP("2330711",'Input BS ACCTS'!$A$5:$DH$397,105,FALSE)/1000</f>
        <v>0</v>
      </c>
      <c r="DX50" s="359">
        <f>-VLOOKUP("2330711",'Input BS ACCTS'!$A$5:$DH$397,106,FALSE)/1000</f>
        <v>0</v>
      </c>
      <c r="DY50" s="359">
        <f>-VLOOKUP("2330711",'Input BS ACCTS'!$A$5:$DH$397,107,FALSE)/1000</f>
        <v>36571.246979999996</v>
      </c>
      <c r="DZ50" s="359">
        <f>-VLOOKUP("2330711",'Input BS ACCTS'!$A$5:$DH$397,108,FALSE)/1000</f>
        <v>24775.692280000003</v>
      </c>
      <c r="EA50" s="359">
        <f>-VLOOKUP("2330711",'Input BS ACCTS'!$A$5:$DH$397,109,FALSE)/1000</f>
        <v>0</v>
      </c>
      <c r="EB50" s="359">
        <f>-VLOOKUP("2330711",'Input BS ACCTS'!$A$5:$DH$397,110,FALSE)/1000</f>
        <v>0</v>
      </c>
      <c r="EC50" s="359">
        <f>-VLOOKUP("2330711",'Input BS ACCTS'!$A$5:$DH$397,111,FALSE)/1000</f>
        <v>0</v>
      </c>
      <c r="ED50" s="359">
        <f>-VLOOKUP("2330711",'Input BS ACCTS'!$A$5:$DH$397,112,FALSE)/1000</f>
        <v>0</v>
      </c>
    </row>
    <row r="51" spans="1:134">
      <c r="B51" s="564" t="s">
        <v>2369</v>
      </c>
      <c r="Z51" s="559"/>
      <c r="BW51" s="579">
        <f>SUM(BW49:BW50)</f>
        <v>55045.713000000003</v>
      </c>
      <c r="BX51" s="579">
        <f t="shared" ref="BX51:CT51" si="160">SUM(BX49:BX50)</f>
        <v>58203.643530000001</v>
      </c>
      <c r="BY51" s="579">
        <f t="shared" si="160"/>
        <v>53438.296759999997</v>
      </c>
      <c r="BZ51" s="579">
        <f t="shared" si="160"/>
        <v>53973.759039999997</v>
      </c>
      <c r="CA51" s="579">
        <f t="shared" si="160"/>
        <v>86871.59375</v>
      </c>
      <c r="CB51" s="579">
        <f t="shared" si="160"/>
        <v>32647.32645</v>
      </c>
      <c r="CC51" s="579">
        <f t="shared" si="160"/>
        <v>32403.666739999997</v>
      </c>
      <c r="CD51" s="579">
        <f t="shared" si="160"/>
        <v>36635.669780000004</v>
      </c>
      <c r="CE51" s="579">
        <f t="shared" si="160"/>
        <v>44924.345580000001</v>
      </c>
      <c r="CF51" s="579">
        <f t="shared" si="160"/>
        <v>26601.973979999999</v>
      </c>
      <c r="CG51" s="579">
        <f t="shared" si="160"/>
        <v>35033.765530000004</v>
      </c>
      <c r="CH51" s="579">
        <f t="shared" si="160"/>
        <v>53651.64284</v>
      </c>
      <c r="CI51" s="579">
        <f t="shared" si="160"/>
        <v>70274.1008</v>
      </c>
      <c r="CJ51" s="579">
        <f t="shared" si="160"/>
        <v>51017.831979999995</v>
      </c>
      <c r="CK51" s="579">
        <f t="shared" si="160"/>
        <v>43526.147640000003</v>
      </c>
      <c r="CL51" s="579">
        <f t="shared" si="160"/>
        <v>47854.03026</v>
      </c>
      <c r="CM51" s="579">
        <f t="shared" si="160"/>
        <v>32302.624949999998</v>
      </c>
      <c r="CN51" s="579">
        <f t="shared" si="160"/>
        <v>43946.02736</v>
      </c>
      <c r="CO51" s="579">
        <f t="shared" si="160"/>
        <v>30168.533420000003</v>
      </c>
      <c r="CP51" s="579">
        <f>SUM(CP49:CP50)</f>
        <v>48717.414859999997</v>
      </c>
      <c r="CQ51" s="579">
        <f t="shared" si="160"/>
        <v>44435.200189999996</v>
      </c>
      <c r="CR51" s="579">
        <f t="shared" si="160"/>
        <v>47028.28342</v>
      </c>
      <c r="CS51" s="579">
        <f t="shared" si="160"/>
        <v>77517.735260000001</v>
      </c>
      <c r="CT51" s="579">
        <f t="shared" si="160"/>
        <v>91138.979059999998</v>
      </c>
      <c r="CU51" s="579">
        <f t="shared" ref="CU51:CZ51" si="161">SUM(CU49:CU50)</f>
        <v>104160.10278</v>
      </c>
      <c r="CV51" s="579">
        <f t="shared" si="161"/>
        <v>90190.82</v>
      </c>
      <c r="CW51" s="579">
        <f t="shared" si="161"/>
        <v>91778.96686</v>
      </c>
      <c r="CX51" s="579">
        <f t="shared" si="161"/>
        <v>99145.211670000004</v>
      </c>
      <c r="CY51" s="579">
        <f t="shared" si="161"/>
        <v>104893.603</v>
      </c>
      <c r="CZ51" s="579">
        <f t="shared" si="161"/>
        <v>104893.603</v>
      </c>
      <c r="DA51" s="579">
        <f t="shared" ref="DA51:DF51" si="162">SUM(DA49:DA50)</f>
        <v>127591.36500000001</v>
      </c>
      <c r="DB51" s="579">
        <f t="shared" si="162"/>
        <v>145194.42319</v>
      </c>
      <c r="DC51" s="579">
        <f t="shared" si="162"/>
        <v>133998.43737999999</v>
      </c>
      <c r="DD51" s="579">
        <f t="shared" si="162"/>
        <v>144415.73919999998</v>
      </c>
      <c r="DE51" s="579">
        <f t="shared" si="162"/>
        <v>162258.20669999998</v>
      </c>
      <c r="DF51" s="579">
        <f t="shared" si="162"/>
        <v>179528.11132</v>
      </c>
      <c r="DG51" s="579">
        <f t="shared" ref="DG51:DL51" si="163">SUM(DG49:DG50)</f>
        <v>214352.13493999999</v>
      </c>
      <c r="DH51" s="579">
        <f t="shared" si="163"/>
        <v>236511.39825999999</v>
      </c>
      <c r="DI51" s="579">
        <f t="shared" si="163"/>
        <v>221147.72566</v>
      </c>
      <c r="DJ51" s="579">
        <f t="shared" si="163"/>
        <v>14181.103999999999</v>
      </c>
      <c r="DK51" s="579">
        <f t="shared" si="163"/>
        <v>17122.357</v>
      </c>
      <c r="DL51" s="579">
        <f t="shared" si="163"/>
        <v>87741.525890000004</v>
      </c>
      <c r="DM51" s="579">
        <f t="shared" ref="DM51:DR51" si="164">SUM(DM49:DM50)</f>
        <v>87741.525890000004</v>
      </c>
      <c r="DN51" s="579">
        <f t="shared" si="164"/>
        <v>87741.525890000004</v>
      </c>
      <c r="DO51" s="579">
        <f t="shared" si="164"/>
        <v>87741.525890000004</v>
      </c>
      <c r="DP51" s="579">
        <f t="shared" si="164"/>
        <v>87741.525890000004</v>
      </c>
      <c r="DQ51" s="579">
        <f t="shared" si="164"/>
        <v>87741.525890000004</v>
      </c>
      <c r="DR51" s="579">
        <f t="shared" si="164"/>
        <v>87741.525890000004</v>
      </c>
      <c r="DS51" s="579">
        <f t="shared" ref="DS51:DU51" si="165">SUM(DS49:DS50)</f>
        <v>210398.8</v>
      </c>
      <c r="DT51" s="579">
        <f t="shared" si="165"/>
        <v>158200.10248</v>
      </c>
      <c r="DU51" s="579">
        <f t="shared" si="165"/>
        <v>166329.49208000003</v>
      </c>
      <c r="DV51" s="579">
        <f t="shared" ref="DV51:DX51" si="166">SUM(DV49:DV50)</f>
        <v>174483.97778000002</v>
      </c>
      <c r="DW51" s="579">
        <f t="shared" si="166"/>
        <v>177717.84408000001</v>
      </c>
      <c r="DX51" s="579">
        <f t="shared" si="166"/>
        <v>198344.90317999999</v>
      </c>
      <c r="DY51" s="579">
        <f t="shared" ref="DY51:EA51" si="167">SUM(DY49:DY50)</f>
        <v>136571.24698</v>
      </c>
      <c r="DZ51" s="579">
        <f t="shared" si="167"/>
        <v>124775.69228</v>
      </c>
      <c r="EA51" s="579">
        <f t="shared" si="167"/>
        <v>156383.68047999998</v>
      </c>
      <c r="EB51" s="579">
        <f t="shared" ref="EB51:ED51" si="168">SUM(EB49:EB50)</f>
        <v>159112.87497999999</v>
      </c>
      <c r="EC51" s="579">
        <f t="shared" si="168"/>
        <v>161937.35708000002</v>
      </c>
      <c r="ED51" s="579">
        <f t="shared" si="168"/>
        <v>166097.1501</v>
      </c>
    </row>
    <row r="52" spans="1:134">
      <c r="Z52" s="559"/>
    </row>
    <row r="53" spans="1:134">
      <c r="B53" s="155" t="s">
        <v>2370</v>
      </c>
      <c r="Z53" s="559"/>
      <c r="CI53" s="380">
        <f>SUM(BW51:CI51)/13</f>
        <v>49208.115213846155</v>
      </c>
      <c r="CJ53" s="380">
        <f t="shared" ref="CJ53:CO53" si="169">SUM(BX51:CJ51)/13</f>
        <v>48898.278212307705</v>
      </c>
      <c r="CK53" s="380">
        <f t="shared" si="169"/>
        <v>47769.240066923077</v>
      </c>
      <c r="CL53" s="380">
        <f t="shared" si="169"/>
        <v>47339.681105384618</v>
      </c>
      <c r="CM53" s="380">
        <f t="shared" si="169"/>
        <v>45672.670790769233</v>
      </c>
      <c r="CN53" s="380">
        <f t="shared" si="169"/>
        <v>42370.70414538461</v>
      </c>
      <c r="CO53" s="380">
        <f t="shared" si="169"/>
        <v>42180.02775846154</v>
      </c>
      <c r="CP53" s="380">
        <f t="shared" ref="CP53:DL53" si="170">SUM(CD51:CP51)/13</f>
        <v>43434.931459999993</v>
      </c>
      <c r="CQ53" s="380">
        <f t="shared" si="170"/>
        <v>44034.895337692302</v>
      </c>
      <c r="CR53" s="380">
        <f t="shared" si="170"/>
        <v>44196.736709999997</v>
      </c>
      <c r="CS53" s="380">
        <f t="shared" si="170"/>
        <v>48113.333731538463</v>
      </c>
      <c r="CT53" s="380">
        <f t="shared" si="170"/>
        <v>52429.119387692313</v>
      </c>
      <c r="CU53" s="380">
        <f t="shared" si="170"/>
        <v>56314.385536923081</v>
      </c>
      <c r="CV53" s="380">
        <f t="shared" si="170"/>
        <v>57846.440859999988</v>
      </c>
      <c r="CW53" s="380">
        <f t="shared" si="170"/>
        <v>60981.912773846147</v>
      </c>
      <c r="CX53" s="380">
        <f t="shared" si="170"/>
        <v>65260.302314615386</v>
      </c>
      <c r="CY53" s="380">
        <f t="shared" si="170"/>
        <v>69647.961756153862</v>
      </c>
      <c r="CZ53" s="380">
        <f t="shared" si="170"/>
        <v>75231.883144615393</v>
      </c>
      <c r="DA53" s="380">
        <f t="shared" si="170"/>
        <v>81666.139886153862</v>
      </c>
      <c r="DB53" s="380">
        <f t="shared" si="170"/>
        <v>90514.285253076916</v>
      </c>
      <c r="DC53" s="380">
        <f t="shared" si="170"/>
        <v>97074.363908461542</v>
      </c>
      <c r="DD53" s="380">
        <f t="shared" si="170"/>
        <v>104765.17460153847</v>
      </c>
      <c r="DE53" s="380">
        <f t="shared" si="170"/>
        <v>113629.01485384614</v>
      </c>
      <c r="DF53" s="380">
        <f t="shared" si="170"/>
        <v>121475.96685846151</v>
      </c>
      <c r="DG53" s="380">
        <f t="shared" si="170"/>
        <v>130953.90192615383</v>
      </c>
      <c r="DH53" s="380">
        <f t="shared" si="170"/>
        <v>141134.77080923074</v>
      </c>
      <c r="DI53" s="380">
        <f t="shared" si="170"/>
        <v>151208.37893692305</v>
      </c>
      <c r="DJ53" s="380">
        <f t="shared" si="170"/>
        <v>145239.31256307691</v>
      </c>
      <c r="DK53" s="380">
        <f t="shared" si="170"/>
        <v>138929.86220384616</v>
      </c>
      <c r="DL53" s="380">
        <f t="shared" si="170"/>
        <v>137610.47165692307</v>
      </c>
      <c r="DM53" s="380">
        <f t="shared" ref="DM53:EA53" si="171">SUM(DA51:DM51)/13</f>
        <v>136291.08110999997</v>
      </c>
      <c r="DN53" s="380">
        <f t="shared" si="171"/>
        <v>133225.70887076922</v>
      </c>
      <c r="DO53" s="380">
        <f t="shared" si="171"/>
        <v>128806.25523230768</v>
      </c>
      <c r="DP53" s="380">
        <f t="shared" si="171"/>
        <v>125248.03127153845</v>
      </c>
      <c r="DQ53" s="380">
        <f t="shared" si="171"/>
        <v>120888.47640153844</v>
      </c>
      <c r="DR53" s="380">
        <f t="shared" si="171"/>
        <v>115156.42403153844</v>
      </c>
      <c r="DS53" s="380">
        <f t="shared" si="171"/>
        <v>117531.09239153845</v>
      </c>
      <c r="DT53" s="380">
        <f t="shared" si="171"/>
        <v>113211.70527923078</v>
      </c>
      <c r="DU53" s="380">
        <f t="shared" si="171"/>
        <v>107813.09711153846</v>
      </c>
      <c r="DV53" s="380">
        <f t="shared" si="171"/>
        <v>104223.57804384617</v>
      </c>
      <c r="DW53" s="380">
        <f t="shared" si="171"/>
        <v>116803.32728076926</v>
      </c>
      <c r="DX53" s="380">
        <f t="shared" si="171"/>
        <v>130743.52314076923</v>
      </c>
      <c r="DY53" s="380">
        <f t="shared" si="171"/>
        <v>134499.65553230772</v>
      </c>
      <c r="DZ53" s="380">
        <f t="shared" si="171"/>
        <v>137348.43756230769</v>
      </c>
      <c r="EA53" s="380">
        <f t="shared" si="171"/>
        <v>142628.60330000002</v>
      </c>
      <c r="EB53" s="380">
        <f t="shared" ref="EB53" si="172">SUM(DP51:EB51)/13</f>
        <v>148118.70707615383</v>
      </c>
      <c r="EC53" s="380">
        <f t="shared" ref="EC53" si="173">SUM(DQ51:EC51)/13</f>
        <v>153826.07870615387</v>
      </c>
      <c r="ED53" s="380">
        <f t="shared" ref="ED53" si="174">SUM(DR51:ED51)/13</f>
        <v>159853.43441461539</v>
      </c>
    </row>
    <row r="54" spans="1:134">
      <c r="Z54" s="559"/>
    </row>
    <row r="55" spans="1:134">
      <c r="B55" s="556" t="s">
        <v>2366</v>
      </c>
      <c r="Z55" s="559"/>
      <c r="BW55" s="557">
        <f t="shared" ref="BW55:CT55" si="175">+BW12</f>
        <v>43126</v>
      </c>
      <c r="BX55" s="557">
        <f t="shared" si="175"/>
        <v>43156</v>
      </c>
      <c r="BY55" s="557">
        <f t="shared" si="175"/>
        <v>43186</v>
      </c>
      <c r="BZ55" s="557">
        <f t="shared" si="175"/>
        <v>43216</v>
      </c>
      <c r="CA55" s="557">
        <f t="shared" si="175"/>
        <v>43246</v>
      </c>
      <c r="CB55" s="557">
        <f t="shared" si="175"/>
        <v>43276</v>
      </c>
      <c r="CC55" s="557">
        <f t="shared" si="175"/>
        <v>43306</v>
      </c>
      <c r="CD55" s="557">
        <f t="shared" si="175"/>
        <v>43336</v>
      </c>
      <c r="CE55" s="557">
        <f t="shared" si="175"/>
        <v>43366</v>
      </c>
      <c r="CF55" s="557">
        <f t="shared" si="175"/>
        <v>43396</v>
      </c>
      <c r="CG55" s="557">
        <f t="shared" si="175"/>
        <v>43426</v>
      </c>
      <c r="CH55" s="557">
        <f t="shared" si="175"/>
        <v>43456</v>
      </c>
      <c r="CI55" s="557">
        <f t="shared" si="175"/>
        <v>43486</v>
      </c>
      <c r="CJ55" s="557">
        <f t="shared" si="175"/>
        <v>43516</v>
      </c>
      <c r="CK55" s="557">
        <f t="shared" si="175"/>
        <v>43546</v>
      </c>
      <c r="CL55" s="557">
        <f t="shared" si="175"/>
        <v>43576</v>
      </c>
      <c r="CM55" s="557">
        <f t="shared" si="175"/>
        <v>43606</v>
      </c>
      <c r="CN55" s="557">
        <f t="shared" si="175"/>
        <v>43636</v>
      </c>
      <c r="CO55" s="557">
        <f t="shared" si="175"/>
        <v>43666</v>
      </c>
      <c r="CP55" s="557">
        <f t="shared" si="175"/>
        <v>43696</v>
      </c>
      <c r="CQ55" s="557">
        <f t="shared" si="175"/>
        <v>43726</v>
      </c>
      <c r="CR55" s="557">
        <f t="shared" si="175"/>
        <v>43756</v>
      </c>
      <c r="CS55" s="557">
        <f t="shared" si="175"/>
        <v>43786</v>
      </c>
      <c r="CT55" s="557">
        <f t="shared" si="175"/>
        <v>43816</v>
      </c>
      <c r="CU55" s="557">
        <f t="shared" ref="CU55:CZ55" si="176">+CU12</f>
        <v>43846</v>
      </c>
      <c r="CV55" s="557">
        <f t="shared" si="176"/>
        <v>43876</v>
      </c>
      <c r="CW55" s="557">
        <f t="shared" si="176"/>
        <v>43906</v>
      </c>
      <c r="CX55" s="557">
        <f t="shared" si="176"/>
        <v>43936</v>
      </c>
      <c r="CY55" s="557">
        <f t="shared" si="176"/>
        <v>43966</v>
      </c>
      <c r="CZ55" s="557">
        <f t="shared" si="176"/>
        <v>43996</v>
      </c>
      <c r="DA55" s="557">
        <f t="shared" ref="DA55:DF55" si="177">+DA12</f>
        <v>44026</v>
      </c>
      <c r="DB55" s="557">
        <f t="shared" si="177"/>
        <v>44056</v>
      </c>
      <c r="DC55" s="557">
        <f t="shared" si="177"/>
        <v>44086</v>
      </c>
      <c r="DD55" s="557">
        <f t="shared" si="177"/>
        <v>44116</v>
      </c>
      <c r="DE55" s="557">
        <f t="shared" si="177"/>
        <v>44146</v>
      </c>
      <c r="DF55" s="557">
        <f t="shared" si="177"/>
        <v>44176</v>
      </c>
      <c r="DG55" s="557">
        <f t="shared" ref="DG55:DL55" si="178">+DG12</f>
        <v>44206</v>
      </c>
      <c r="DH55" s="557">
        <f t="shared" si="178"/>
        <v>44236</v>
      </c>
      <c r="DI55" s="557">
        <f t="shared" si="178"/>
        <v>44266</v>
      </c>
      <c r="DJ55" s="557">
        <f t="shared" si="178"/>
        <v>44296</v>
      </c>
      <c r="DK55" s="557">
        <f t="shared" si="178"/>
        <v>44326</v>
      </c>
      <c r="DL55" s="557">
        <f t="shared" si="178"/>
        <v>44356</v>
      </c>
      <c r="DM55" s="557">
        <f t="shared" ref="DM55:DR55" si="179">+DM12</f>
        <v>44386</v>
      </c>
      <c r="DN55" s="557">
        <f t="shared" si="179"/>
        <v>44416</v>
      </c>
      <c r="DO55" s="557">
        <f t="shared" si="179"/>
        <v>44446</v>
      </c>
      <c r="DP55" s="557">
        <f t="shared" si="179"/>
        <v>44476</v>
      </c>
      <c r="DQ55" s="557">
        <f t="shared" si="179"/>
        <v>44506</v>
      </c>
      <c r="DR55" s="557">
        <f t="shared" si="179"/>
        <v>44536</v>
      </c>
      <c r="DS55" s="557">
        <f t="shared" ref="DS55:DU55" si="180">+DS12</f>
        <v>44566</v>
      </c>
      <c r="DT55" s="557">
        <f t="shared" si="180"/>
        <v>44596</v>
      </c>
      <c r="DU55" s="557">
        <f t="shared" si="180"/>
        <v>44626</v>
      </c>
      <c r="DV55" s="557">
        <f t="shared" ref="DV55:DX55" si="181">+DV12</f>
        <v>44656</v>
      </c>
      <c r="DW55" s="557">
        <f t="shared" si="181"/>
        <v>44686</v>
      </c>
      <c r="DX55" s="557">
        <f t="shared" si="181"/>
        <v>44716</v>
      </c>
      <c r="DY55" s="557">
        <f t="shared" ref="DY55:EA55" si="182">+DY12</f>
        <v>44746</v>
      </c>
      <c r="DZ55" s="557">
        <f t="shared" si="182"/>
        <v>44776</v>
      </c>
      <c r="EA55" s="557">
        <f t="shared" si="182"/>
        <v>44806</v>
      </c>
      <c r="EB55" s="557">
        <f t="shared" ref="EB55:ED55" si="183">+EB12</f>
        <v>44836</v>
      </c>
      <c r="EC55" s="557">
        <f t="shared" si="183"/>
        <v>44866</v>
      </c>
      <c r="ED55" s="557">
        <f t="shared" si="183"/>
        <v>44896</v>
      </c>
    </row>
    <row r="56" spans="1:134">
      <c r="Z56" s="559"/>
    </row>
    <row r="57" spans="1:134">
      <c r="A57" s="210" t="s">
        <v>2360</v>
      </c>
      <c r="B57" s="559" t="s">
        <v>1240</v>
      </c>
      <c r="Z57" s="559"/>
      <c r="BW57" s="419">
        <f>VLOOKUP("7500020",'Input IS ACCTS'!$A$6:$DH$513,52,FALSE)/1000</f>
        <v>1.3020799999999999</v>
      </c>
      <c r="BX57" s="419">
        <f>VLOOKUP("7500020",'Input IS ACCTS'!$A$6:$DH$513,53,FALSE)/1000</f>
        <v>2.3383099999999999</v>
      </c>
      <c r="BY57" s="419">
        <f>VLOOKUP("7500020",'Input IS ACCTS'!$A$6:$DH$513,54,FALSE)/1000</f>
        <v>1.5179200000000002</v>
      </c>
      <c r="BZ57" s="419">
        <f>VLOOKUP("7500020",'Input IS ACCTS'!$A$6:$DH$513,55,FALSE)/1000</f>
        <v>1.3236400000000001</v>
      </c>
      <c r="CA57" s="419">
        <f>VLOOKUP("7500020",'Input IS ACCTS'!$A$6:$DH$513,56,FALSE)/1000</f>
        <v>13.990110000000001</v>
      </c>
      <c r="CB57" s="419">
        <f>VLOOKUP("7500020",'Input IS ACCTS'!$A$6:$DH$513,57,FALSE)/1000</f>
        <v>14.26085</v>
      </c>
      <c r="CC57" s="419">
        <f>VLOOKUP("7500020",'Input IS ACCTS'!$A$6:$DH$513,58,FALSE)/1000</f>
        <v>12.071999999999999</v>
      </c>
      <c r="CD57" s="419">
        <f>VLOOKUP("7500020",'Input IS ACCTS'!$A$6:$DH$513,59,FALSE)/1000</f>
        <v>6.0135299999999994</v>
      </c>
      <c r="CE57" s="419">
        <f>VLOOKUP("7500020",'Input IS ACCTS'!$A$6:$DH$513,60,FALSE)/1000</f>
        <v>8.2726399999999991</v>
      </c>
      <c r="CF57" s="419">
        <f>VLOOKUP("7500020",'Input IS ACCTS'!$A$6:$DH$513,61,FALSE)/1000</f>
        <v>2.6476700000000002</v>
      </c>
      <c r="CG57" s="419">
        <f>VLOOKUP("7500020",'Input IS ACCTS'!$A$6:$DH$513,62,FALSE)/1000</f>
        <v>40.228199999999994</v>
      </c>
      <c r="CH57" s="419">
        <f>VLOOKUP("7500020",'Input IS ACCTS'!$A$6:$DH$513,63,FALSE)/1000</f>
        <v>83.725909999999999</v>
      </c>
      <c r="CI57" s="419">
        <f>VLOOKUP("7500020",'Input IS ACCTS'!$A$6:$DH$513,64,FALSE)/1000</f>
        <v>72.850350000000006</v>
      </c>
      <c r="CJ57" s="419">
        <f>VLOOKUP("7500020",'Input IS ACCTS'!$A$6:$DH$513,65,FALSE)/1000</f>
        <v>55.83426</v>
      </c>
      <c r="CK57" s="419">
        <f>VLOOKUP("7500020",'Input IS ACCTS'!$A$6:$DH$513,66,FALSE)/1000</f>
        <v>46.345579999999998</v>
      </c>
      <c r="CL57" s="419">
        <f>VLOOKUP("7500020",'Input IS ACCTS'!$A$6:$DH$513,67,FALSE)/1000</f>
        <v>40.380199999999995</v>
      </c>
      <c r="CM57" s="419">
        <f>VLOOKUP("7500020",'Input IS ACCTS'!$A$6:$DH$513,68,FALSE)/1000</f>
        <v>33.115960000000001</v>
      </c>
      <c r="CN57" s="419">
        <f>VLOOKUP("7500020",'Input IS ACCTS'!$A$6:$DH$513,69,FALSE)/1000</f>
        <v>28.771459999999998</v>
      </c>
      <c r="CO57" s="419">
        <f>VLOOKUP("7500020",'Input IS ACCTS'!$A$6:$DH$513,70,FALSE)/1000</f>
        <v>32.779379999999996</v>
      </c>
      <c r="CP57" s="419">
        <f>VLOOKUP("7500020",'Input IS ACCTS'!$A$6:$DH$513,71,FALSE)/1000</f>
        <v>89.666149999999988</v>
      </c>
      <c r="CQ57" s="419">
        <f>VLOOKUP("7500020",'Input IS ACCTS'!$A$6:$DH$513,72,FALSE)/1000</f>
        <v>56.198260000000005</v>
      </c>
      <c r="CR57" s="419">
        <f>VLOOKUP("7500020",'Input IS ACCTS'!$A$6:$DH$513,73,FALSE)/1000</f>
        <v>18.126990000000003</v>
      </c>
      <c r="CS57" s="419">
        <f>VLOOKUP("7500020",'Input IS ACCTS'!$A$6:$DH$513,74,FALSE)/1000</f>
        <v>83.670259999999999</v>
      </c>
      <c r="CT57" s="419">
        <f>VLOOKUP("7500020",'Input IS ACCTS'!$A$6:$DH$513,75,FALSE)/1000</f>
        <v>35.241610000000001</v>
      </c>
      <c r="CU57" s="419">
        <f>VLOOKUP("7500020",'Input IS ACCTS'!$A$6:$DH$513,76,FALSE)/1000</f>
        <v>36.112730000000006</v>
      </c>
      <c r="CV57" s="419">
        <f>VLOOKUP("7500020",'Input IS ACCTS'!$A$6:$DH$513,77,FALSE)/1000</f>
        <v>8.0818599999999989</v>
      </c>
      <c r="CW57" s="419">
        <f>VLOOKUP("7500020",'Input IS ACCTS'!$A$6:$DH$513,78,FALSE)/1000</f>
        <v>62.323749999999997</v>
      </c>
      <c r="CX57" s="419">
        <f>VLOOKUP("7500020",'Input IS ACCTS'!$A$6:$DH$513,79,FALSE)/1000</f>
        <v>30.054939999999998</v>
      </c>
      <c r="CY57" s="419">
        <f>VLOOKUP("7500020",'Input IS ACCTS'!$A$6:$DH$513,80,FALSE)/1000</f>
        <v>10.575659999999999</v>
      </c>
      <c r="CZ57" s="419">
        <f>VLOOKUP("7500020",'Input IS ACCTS'!$A$6:$DH$513,80,FALSE)/1000</f>
        <v>10.575659999999999</v>
      </c>
      <c r="DA57" s="419">
        <f>VLOOKUP("7500020",'Input IS ACCTS'!$A$6:$DH$513,80,FALSE)/1000</f>
        <v>10.575659999999999</v>
      </c>
      <c r="DB57" s="419">
        <f>VLOOKUP("7500020",'Input IS ACCTS'!$A$6:$DH$513,80,FALSE)/1000</f>
        <v>10.575659999999999</v>
      </c>
      <c r="DC57" s="419">
        <f>VLOOKUP("7500020",'Input IS ACCTS'!$A$6:$DH$513,80,FALSE)/1000</f>
        <v>10.575659999999999</v>
      </c>
      <c r="DD57" s="419">
        <f>VLOOKUP("7500020",'Input IS ACCTS'!$A$6:$DH$513,80,FALSE)/1000</f>
        <v>10.575659999999999</v>
      </c>
      <c r="DE57" s="419">
        <f>VLOOKUP("7500020",'Input IS ACCTS'!$A$6:$DH$513,80,FALSE)/1000</f>
        <v>10.575659999999999</v>
      </c>
      <c r="DF57" s="419">
        <f>VLOOKUP("7500020",'Input IS ACCTS'!$A$6:$DH$513,80,FALSE)/1000</f>
        <v>10.575659999999999</v>
      </c>
      <c r="DG57" s="419">
        <f>VLOOKUP("7500020",'Input IS ACCTS'!$A$6:$DH$513,80,FALSE)/1000</f>
        <v>10.575659999999999</v>
      </c>
      <c r="DH57" s="419">
        <f>VLOOKUP("7500020",'Input IS ACCTS'!$A$6:$DH$513,80,FALSE)/1000</f>
        <v>10.575659999999999</v>
      </c>
      <c r="DI57" s="419">
        <f>VLOOKUP("7500020",'Input IS ACCTS'!$A$6:$DH$513,80,FALSE)/1000</f>
        <v>10.575659999999999</v>
      </c>
      <c r="DJ57" s="419">
        <f>VLOOKUP("7500020",'Input IS ACCTS'!$A$6:$DH$513,80,FALSE)/1000</f>
        <v>10.575659999999999</v>
      </c>
      <c r="DK57" s="419">
        <f>VLOOKUP("7500020",'Input IS ACCTS'!$A$6:$DH$513,80,FALSE)/1000</f>
        <v>10.575659999999999</v>
      </c>
      <c r="DL57" s="419">
        <f>VLOOKUP("7500020",'Input IS ACCTS'!$A$6:$DH$513,80,FALSE)/1000</f>
        <v>10.575659999999999</v>
      </c>
      <c r="DM57" s="419">
        <f>VLOOKUP("7500020",'Input IS ACCTS'!$A$6:$DH$513,80,FALSE)/1000</f>
        <v>10.575659999999999</v>
      </c>
      <c r="DN57" s="419">
        <f>VLOOKUP("7500020",'Input IS ACCTS'!$A$6:$DH$513,80,FALSE)/1000</f>
        <v>10.575659999999999</v>
      </c>
      <c r="DO57" s="419">
        <f>VLOOKUP("7500020",'Input IS ACCTS'!$A$6:$DH$513,80,FALSE)/1000</f>
        <v>10.575659999999999</v>
      </c>
      <c r="DP57" s="419">
        <f>VLOOKUP("7500020",'Input IS ACCTS'!$A$6:$DH$513,80,FALSE)/1000</f>
        <v>10.575659999999999</v>
      </c>
      <c r="DQ57" s="419">
        <f>VLOOKUP("7500020",'Input IS ACCTS'!$A$6:$DH$513,80,FALSE)/1000</f>
        <v>10.575659999999999</v>
      </c>
      <c r="DR57" s="419">
        <f>VLOOKUP("7500020",'Input IS ACCTS'!$A$6:$DH$513,80,FALSE)/1000</f>
        <v>10.575659999999999</v>
      </c>
      <c r="DS57" s="419">
        <f>VLOOKUP("7500020",'Input IS ACCTS'!$A$6:$DH$513,100,FALSE)/1000</f>
        <v>0</v>
      </c>
      <c r="DT57" s="419">
        <f>VLOOKUP("7500020",'Input IS ACCTS'!$A$6:$DH$513,101,FALSE)/1000</f>
        <v>0</v>
      </c>
      <c r="DU57" s="419">
        <f>VLOOKUP("7500020",'Input IS ACCTS'!$A$6:$DH$513,102,FALSE)/1000</f>
        <v>0</v>
      </c>
      <c r="DV57" s="419">
        <f>VLOOKUP("7500020",'Input IS ACCTS'!$A$6:$DH$513,103,FALSE)/1000</f>
        <v>0</v>
      </c>
      <c r="DW57" s="419">
        <f>VLOOKUP("7500020",'Input IS ACCTS'!$A$6:$DH$513,104,FALSE)/1000</f>
        <v>0</v>
      </c>
      <c r="DX57" s="419">
        <f>VLOOKUP("7500020",'Input IS ACCTS'!$A$6:$DH$513,105,FALSE)/1000</f>
        <v>0</v>
      </c>
      <c r="DY57" s="419">
        <f>VLOOKUP("7500020",'Input IS ACCTS'!$A$6:$DH$513,106,FALSE)/1000</f>
        <v>0</v>
      </c>
      <c r="DZ57" s="419">
        <f>VLOOKUP("7500020",'Input IS ACCTS'!$A$6:$DH$513,107,FALSE)/1000</f>
        <v>0</v>
      </c>
      <c r="EA57" s="419">
        <f>VLOOKUP("7500020",'Input IS ACCTS'!$A$6:$DH$513,108,FALSE)/1000</f>
        <v>0</v>
      </c>
      <c r="EB57" s="419">
        <f>VLOOKUP("7500020",'Input IS ACCTS'!$A$6:$DH$513,109,FALSE)/1000</f>
        <v>0</v>
      </c>
      <c r="EC57" s="419">
        <f>VLOOKUP("7500020",'Input IS ACCTS'!$A$6:$DH$513,110,FALSE)/1000</f>
        <v>0</v>
      </c>
      <c r="ED57" s="419">
        <f>VLOOKUP("7500020",'Input IS ACCTS'!$A$6:$DH$513,111,FALSE)/1000</f>
        <v>0</v>
      </c>
    </row>
    <row r="58" spans="1:134">
      <c r="A58" s="210" t="s">
        <v>2361</v>
      </c>
      <c r="B58" s="550" t="s">
        <v>1242</v>
      </c>
      <c r="Z58" s="559"/>
      <c r="BW58" s="419">
        <f>VLOOKUP("7500080",'Input IS ACCTS'!$A$6:$DH$513,52,FALSE)/1000</f>
        <v>5.8760699999999995</v>
      </c>
      <c r="BX58" s="419">
        <f>VLOOKUP("7500080",'Input IS ACCTS'!$A$6:$DH$513,53,FALSE)/1000</f>
        <v>194.60948999999999</v>
      </c>
      <c r="BY58" s="419">
        <f>VLOOKUP("7500080",'Input IS ACCTS'!$A$6:$DH$513,54,FALSE)/1000</f>
        <v>-182.38129999999998</v>
      </c>
      <c r="BZ58" s="419">
        <f>VLOOKUP("7500080",'Input IS ACCTS'!$A$6:$DH$513,55,FALSE)/1000</f>
        <v>6.40212</v>
      </c>
      <c r="CA58" s="419">
        <f>VLOOKUP("7500080",'Input IS ACCTS'!$A$6:$DH$513,56,FALSE)/1000</f>
        <v>53.475589999999997</v>
      </c>
      <c r="CB58" s="419">
        <f>VLOOKUP("7500080",'Input IS ACCTS'!$A$6:$DH$513,57,FALSE)/1000</f>
        <v>70.464280000000002</v>
      </c>
      <c r="CC58" s="419">
        <f>VLOOKUP("7500080",'Input IS ACCTS'!$A$6:$DH$513,58,FALSE)/1000</f>
        <v>5.8760699999999995</v>
      </c>
      <c r="CD58" s="419">
        <f>VLOOKUP("7500080",'Input IS ACCTS'!$A$6:$DH$513,59,FALSE)/1000</f>
        <v>5.8760699999999995</v>
      </c>
      <c r="CE58" s="419">
        <f>VLOOKUP("7500080",'Input IS ACCTS'!$A$6:$DH$513,60,FALSE)/1000</f>
        <v>8.8372799999999998</v>
      </c>
      <c r="CF58" s="419">
        <f>VLOOKUP("7500080",'Input IS ACCTS'!$A$6:$DH$513,61,FALSE)/1000</f>
        <v>10.405479999999999</v>
      </c>
      <c r="CG58" s="419">
        <f>VLOOKUP("7500080",'Input IS ACCTS'!$A$6:$DH$513,62,FALSE)/1000</f>
        <v>6.5460000000000003</v>
      </c>
      <c r="CH58" s="419">
        <f>VLOOKUP("7500080",'Input IS ACCTS'!$A$6:$DH$513,63,FALSE)/1000</f>
        <v>70.15822</v>
      </c>
      <c r="CI58" s="419">
        <f>VLOOKUP("7500080",'Input IS ACCTS'!$A$6:$DH$513,64,FALSE)/1000</f>
        <v>149.34923999999998</v>
      </c>
      <c r="CJ58" s="419">
        <f>VLOOKUP("7500080",'Input IS ACCTS'!$A$6:$DH$513,65,FALSE)/1000</f>
        <v>149.27270999999999</v>
      </c>
      <c r="CK58" s="419">
        <f>VLOOKUP("7500080",'Input IS ACCTS'!$A$6:$DH$513,66,FALSE)/1000</f>
        <v>136.38771</v>
      </c>
      <c r="CL58" s="419">
        <f>VLOOKUP("7500080",'Input IS ACCTS'!$A$6:$DH$513,67,FALSE)/1000</f>
        <v>128.59539999999998</v>
      </c>
      <c r="CM58" s="419">
        <f>VLOOKUP("7500080",'Input IS ACCTS'!$A$6:$DH$513,68,FALSE)/1000</f>
        <v>75.832619999999991</v>
      </c>
      <c r="CN58" s="419">
        <f>VLOOKUP("7500080",'Input IS ACCTS'!$A$6:$DH$513,69,FALSE)/1000</f>
        <v>-142.66913</v>
      </c>
      <c r="CO58" s="419">
        <f>VLOOKUP("7500080",'Input IS ACCTS'!$A$6:$DH$513,70,FALSE)/1000</f>
        <v>82.85812</v>
      </c>
      <c r="CP58" s="419">
        <f>VLOOKUP("7500080",'Input IS ACCTS'!$A$6:$DH$513,71,FALSE)/1000</f>
        <v>12.758089999999999</v>
      </c>
      <c r="CQ58" s="419">
        <f>VLOOKUP("7500080",'Input IS ACCTS'!$A$6:$DH$513,72,FALSE)/1000</f>
        <v>55.656330000000004</v>
      </c>
      <c r="CR58" s="419">
        <f>VLOOKUP("7500080",'Input IS ACCTS'!$A$6:$DH$513,73,FALSE)/1000</f>
        <v>104.93792999999999</v>
      </c>
      <c r="CS58" s="419">
        <f>VLOOKUP("7500080",'Input IS ACCTS'!$A$6:$DH$513,74,FALSE)/1000</f>
        <v>46.607099999999996</v>
      </c>
      <c r="CT58" s="419">
        <f>VLOOKUP("7500080",'Input IS ACCTS'!$A$6:$DH$513,75,FALSE)/1000</f>
        <v>151.91215</v>
      </c>
      <c r="CU58" s="419">
        <f>VLOOKUP("7500080",'Input IS ACCTS'!$A$6:$DH$513,76,FALSE)/1000</f>
        <v>174.10282000000001</v>
      </c>
      <c r="CV58" s="419">
        <f>VLOOKUP("7500080",'Input IS ACCTS'!$A$6:$DH$513,77,FALSE)/1000</f>
        <v>81.033109999999994</v>
      </c>
      <c r="CW58" s="419">
        <f>VLOOKUP("7500080",'Input IS ACCTS'!$A$6:$DH$513,78,FALSE)/1000</f>
        <v>173.38065</v>
      </c>
      <c r="CX58" s="419">
        <f>VLOOKUP("7500080",'Input IS ACCTS'!$A$6:$DH$513,79,FALSE)/1000</f>
        <v>63.600089999999994</v>
      </c>
      <c r="CY58" s="419">
        <f>VLOOKUP("7500080",'Input IS ACCTS'!$A$6:$DH$513,80,FALSE)/1000</f>
        <v>82.03813000000001</v>
      </c>
      <c r="CZ58" s="419">
        <f>VLOOKUP("7500080",'Input IS ACCTS'!$A$6:$DH$513,80,FALSE)/1000</f>
        <v>82.03813000000001</v>
      </c>
      <c r="DA58" s="419">
        <f>VLOOKUP("7500080",'Input IS ACCTS'!$A$6:$DH$513,80,FALSE)/1000</f>
        <v>82.03813000000001</v>
      </c>
      <c r="DB58" s="419">
        <f>VLOOKUP("7500080",'Input IS ACCTS'!$A$6:$DH$513,80,FALSE)/1000</f>
        <v>82.03813000000001</v>
      </c>
      <c r="DC58" s="419">
        <f>VLOOKUP("7500080",'Input IS ACCTS'!$A$6:$DH$513,80,FALSE)/1000</f>
        <v>82.03813000000001</v>
      </c>
      <c r="DD58" s="419">
        <f>VLOOKUP("7500080",'Input IS ACCTS'!$A$6:$DH$513,80,FALSE)/1000</f>
        <v>82.03813000000001</v>
      </c>
      <c r="DE58" s="419">
        <f>VLOOKUP("7500080",'Input IS ACCTS'!$A$6:$DH$513,80,FALSE)/1000</f>
        <v>82.03813000000001</v>
      </c>
      <c r="DF58" s="419">
        <f>VLOOKUP("7500080",'Input IS ACCTS'!$A$6:$DH$513,80,FALSE)/1000</f>
        <v>82.03813000000001</v>
      </c>
      <c r="DG58" s="419">
        <f>VLOOKUP("7500080",'Input IS ACCTS'!$A$6:$DH$513,80,FALSE)/1000</f>
        <v>82.03813000000001</v>
      </c>
      <c r="DH58" s="419">
        <f>VLOOKUP("7500080",'Input IS ACCTS'!$A$6:$DH$513,80,FALSE)/1000</f>
        <v>82.03813000000001</v>
      </c>
      <c r="DI58" s="419">
        <f>VLOOKUP("7500080",'Input IS ACCTS'!$A$6:$DH$513,80,FALSE)/1000</f>
        <v>82.03813000000001</v>
      </c>
      <c r="DJ58" s="419">
        <f>VLOOKUP("7500080",'Input IS ACCTS'!$A$6:$DH$513,80,FALSE)/1000</f>
        <v>82.03813000000001</v>
      </c>
      <c r="DK58" s="419">
        <f>VLOOKUP("7500080",'Input IS ACCTS'!$A$6:$DH$513,80,FALSE)/1000</f>
        <v>82.03813000000001</v>
      </c>
      <c r="DL58" s="419">
        <f>VLOOKUP("7500080",'Input IS ACCTS'!$A$6:$DH$513,80,FALSE)/1000</f>
        <v>82.03813000000001</v>
      </c>
      <c r="DM58" s="419">
        <f>VLOOKUP("7500080",'Input IS ACCTS'!$A$6:$DH$513,80,FALSE)/1000</f>
        <v>82.03813000000001</v>
      </c>
      <c r="DN58" s="419">
        <f>VLOOKUP("7500080",'Input IS ACCTS'!$A$6:$DH$513,80,FALSE)/1000</f>
        <v>82.03813000000001</v>
      </c>
      <c r="DO58" s="419">
        <f>VLOOKUP("7500080",'Input IS ACCTS'!$A$6:$DH$513,80,FALSE)/1000</f>
        <v>82.03813000000001</v>
      </c>
      <c r="DP58" s="419">
        <f>VLOOKUP("7500080",'Input IS ACCTS'!$A$6:$DH$513,80,FALSE)/1000</f>
        <v>82.03813000000001</v>
      </c>
      <c r="DQ58" s="419">
        <f>VLOOKUP("7500080",'Input IS ACCTS'!$A$6:$DH$513,80,FALSE)/1000</f>
        <v>82.03813000000001</v>
      </c>
      <c r="DR58" s="419">
        <f>VLOOKUP("7500080",'Input IS ACCTS'!$A$6:$DH$513,80,FALSE)/1000</f>
        <v>82.03813000000001</v>
      </c>
      <c r="DS58" s="419">
        <f>VLOOKUP("7500080",'Input IS ACCTS'!$A$6:$DH$513,100,FALSE)/1000</f>
        <v>14.646420000000001</v>
      </c>
      <c r="DT58" s="419">
        <f>VLOOKUP("7500080",'Input IS ACCTS'!$A$6:$DH$513,101,FALSE)/1000</f>
        <v>14.649100000000001</v>
      </c>
      <c r="DU58" s="419">
        <f>VLOOKUP("7500080",'Input IS ACCTS'!$A$6:$DH$513,102,FALSE)/1000</f>
        <v>14.647650000000001</v>
      </c>
      <c r="DV58" s="419">
        <f>VLOOKUP("7500080",'Input IS ACCTS'!$A$6:$DH$513,103,FALSE)/1000</f>
        <v>14.81935</v>
      </c>
      <c r="DW58" s="419">
        <f>VLOOKUP("7500080",'Input IS ACCTS'!$A$6:$DH$513,104,FALSE)/1000</f>
        <v>14.69059</v>
      </c>
      <c r="DX58" s="419">
        <f>VLOOKUP("7500080",'Input IS ACCTS'!$A$6:$DH$513,105,FALSE)/1000</f>
        <v>14.69059</v>
      </c>
      <c r="DY58" s="419">
        <f>VLOOKUP("7500080",'Input IS ACCTS'!$A$6:$DH$513,106,FALSE)/1000</f>
        <v>14.69059</v>
      </c>
      <c r="DZ58" s="419">
        <f>VLOOKUP("7500080",'Input IS ACCTS'!$A$6:$DH$513,107,FALSE)/1000</f>
        <v>14.69059</v>
      </c>
      <c r="EA58" s="419">
        <f>VLOOKUP("7500080",'Input IS ACCTS'!$A$6:$DH$513,108,FALSE)/1000</f>
        <v>14.69059</v>
      </c>
      <c r="EB58" s="419">
        <f>VLOOKUP("7500080",'Input IS ACCTS'!$A$6:$DH$513,109,FALSE)/1000</f>
        <v>14.69059</v>
      </c>
      <c r="EC58" s="419">
        <f>VLOOKUP("7500080",'Input IS ACCTS'!$A$6:$DH$513,110,FALSE)/1000</f>
        <v>14.69059</v>
      </c>
      <c r="ED58" s="419">
        <f>VLOOKUP("7500080",'Input IS ACCTS'!$A$6:$DH$513,111,FALSE)/1000</f>
        <v>14.69059</v>
      </c>
    </row>
    <row r="59" spans="1:134">
      <c r="A59" s="210" t="s">
        <v>2362</v>
      </c>
      <c r="B59" s="550" t="s">
        <v>2217</v>
      </c>
      <c r="Z59" s="559"/>
      <c r="BW59" s="419">
        <f>VLOOKUP("7500090",'Input IS ACCTS'!$A$6:$DH$513,52,FALSE)/1000</f>
        <v>0</v>
      </c>
      <c r="BX59" s="419">
        <f>VLOOKUP("7500090",'Input IS ACCTS'!$A$6:$DH$513,53,FALSE)/1000</f>
        <v>0</v>
      </c>
      <c r="BY59" s="419">
        <f>VLOOKUP("7500090",'Input IS ACCTS'!$A$6:$DH$513,54,FALSE)/1000</f>
        <v>307.48136</v>
      </c>
      <c r="BZ59" s="419">
        <f>VLOOKUP("7500090",'Input IS ACCTS'!$A$6:$DH$513,55,FALSE)/1000</f>
        <v>102.7972</v>
      </c>
      <c r="CA59" s="419">
        <f>VLOOKUP("7500090",'Input IS ACCTS'!$A$6:$DH$513,56,FALSE)/1000</f>
        <v>74.870729999999995</v>
      </c>
      <c r="CB59" s="419">
        <f>VLOOKUP("7500090",'Input IS ACCTS'!$A$6:$DH$513,57,FALSE)/1000</f>
        <v>72.428309999999996</v>
      </c>
      <c r="CC59" s="419">
        <f>VLOOKUP("7500090",'Input IS ACCTS'!$A$6:$DH$513,58,FALSE)/1000</f>
        <v>64.912760000000006</v>
      </c>
      <c r="CD59" s="419">
        <f>VLOOKUP("7500090",'Input IS ACCTS'!$A$6:$DH$513,59,FALSE)/1000</f>
        <v>76.242159999999998</v>
      </c>
      <c r="CE59" s="419">
        <f>VLOOKUP("7500090",'Input IS ACCTS'!$A$6:$DH$513,60,FALSE)/1000</f>
        <v>84.145929999999993</v>
      </c>
      <c r="CF59" s="419">
        <f>VLOOKUP("7500090",'Input IS ACCTS'!$A$6:$DH$513,61,FALSE)/1000</f>
        <v>22.61787</v>
      </c>
      <c r="CG59" s="419">
        <f>VLOOKUP("7500090",'Input IS ACCTS'!$A$6:$DH$513,62,FALSE)/1000</f>
        <v>0</v>
      </c>
      <c r="CH59" s="419">
        <f>VLOOKUP("7500090",'Input IS ACCTS'!$A$6:$DH$513,63,FALSE)/1000</f>
        <v>0</v>
      </c>
      <c r="CI59" s="419">
        <f>VLOOKUP("7500090",'Input IS ACCTS'!$A$6:$DH$513,64,FALSE)/1000</f>
        <v>0</v>
      </c>
      <c r="CJ59" s="419">
        <f>VLOOKUP("7500090",'Input IS ACCTS'!$A$6:$DH$513,65,FALSE)/1000</f>
        <v>0</v>
      </c>
      <c r="CK59" s="419">
        <f>VLOOKUP("7500090",'Input IS ACCTS'!$A$6:$DH$513,66,FALSE)/1000</f>
        <v>0</v>
      </c>
      <c r="CL59" s="419">
        <f>VLOOKUP("7500090",'Input IS ACCTS'!$A$6:$DH$513,67,FALSE)/1000</f>
        <v>0</v>
      </c>
      <c r="CM59" s="419">
        <f>VLOOKUP("7500090",'Input IS ACCTS'!$A$6:$DH$513,68,FALSE)/1000</f>
        <v>0</v>
      </c>
      <c r="CN59" s="419">
        <f>VLOOKUP("7500090",'Input IS ACCTS'!$A$6:$DH$513,69,FALSE)/1000</f>
        <v>0</v>
      </c>
      <c r="CO59" s="419">
        <f>VLOOKUP("7500090",'Input IS ACCTS'!$A$6:$DH$513,70,FALSE)/1000</f>
        <v>0</v>
      </c>
      <c r="CP59" s="419">
        <f>VLOOKUP("7500090",'Input IS ACCTS'!$A$6:$DH$513,71,FALSE)/1000</f>
        <v>0</v>
      </c>
      <c r="CQ59" s="419">
        <f>VLOOKUP("7500090",'Input IS ACCTS'!$A$6:$DH$513,72,FALSE)/1000</f>
        <v>0</v>
      </c>
      <c r="CR59" s="419">
        <f>VLOOKUP("7500090",'Input IS ACCTS'!$A$6:$DH$513,73,FALSE)/1000</f>
        <v>0</v>
      </c>
      <c r="CS59" s="419">
        <f>VLOOKUP("7500090",'Input IS ACCTS'!$A$6:$DH$513,74,FALSE)/1000</f>
        <v>0</v>
      </c>
      <c r="CT59" s="419">
        <f>VLOOKUP("7500090",'Input IS ACCTS'!$A$6:$DH$513,75,FALSE)/1000</f>
        <v>0</v>
      </c>
      <c r="CU59" s="419">
        <f>VLOOKUP("7500090",'Input IS ACCTS'!$A$6:$DH$513,76,FALSE)/1000</f>
        <v>0</v>
      </c>
      <c r="CV59" s="419">
        <f>VLOOKUP("7500090",'Input IS ACCTS'!$A$6:$DH$513,77,FALSE)/1000</f>
        <v>1.0289999999999999</v>
      </c>
      <c r="CW59" s="419">
        <f>VLOOKUP("7500090",'Input IS ACCTS'!$A$6:$DH$513,78,FALSE)/1000</f>
        <v>1.90517</v>
      </c>
      <c r="CX59" s="419">
        <f>VLOOKUP("7500090",'Input IS ACCTS'!$A$6:$DH$513,79,FALSE)/1000</f>
        <v>1.46706</v>
      </c>
      <c r="CY59" s="419">
        <f>VLOOKUP("7500090",'Input IS ACCTS'!$A$6:$DH$513,80,FALSE)/1000</f>
        <v>1.46706</v>
      </c>
      <c r="CZ59" s="419">
        <f>VLOOKUP("7500090",'Input IS ACCTS'!$A$6:$DH$513,80,FALSE)/1000</f>
        <v>1.46706</v>
      </c>
      <c r="DA59" s="419">
        <f>VLOOKUP("7500090",'Input IS ACCTS'!$A$6:$DH$513,80,FALSE)/1000</f>
        <v>1.46706</v>
      </c>
      <c r="DB59" s="419">
        <f>VLOOKUP("7500090",'Input IS ACCTS'!$A$6:$DH$513,80,FALSE)/1000</f>
        <v>1.46706</v>
      </c>
      <c r="DC59" s="419">
        <f>VLOOKUP("7500090",'Input IS ACCTS'!$A$6:$DH$513,80,FALSE)/1000</f>
        <v>1.46706</v>
      </c>
      <c r="DD59" s="419">
        <f>VLOOKUP("7500090",'Input IS ACCTS'!$A$6:$DH$513,80,FALSE)/1000</f>
        <v>1.46706</v>
      </c>
      <c r="DE59" s="419">
        <f>VLOOKUP("7500090",'Input IS ACCTS'!$A$6:$DH$513,80,FALSE)/1000</f>
        <v>1.46706</v>
      </c>
      <c r="DF59" s="419">
        <f>VLOOKUP("7500090",'Input IS ACCTS'!$A$6:$DH$513,80,FALSE)/1000</f>
        <v>1.46706</v>
      </c>
      <c r="DG59" s="419">
        <f>VLOOKUP("7500090",'Input IS ACCTS'!$A$6:$DH$513,80,FALSE)/1000</f>
        <v>1.46706</v>
      </c>
      <c r="DH59" s="419">
        <f>VLOOKUP("7500090",'Input IS ACCTS'!$A$6:$DH$513,80,FALSE)/1000</f>
        <v>1.46706</v>
      </c>
      <c r="DI59" s="419">
        <f>VLOOKUP("7500090",'Input IS ACCTS'!$A$6:$DH$513,80,FALSE)/1000</f>
        <v>1.46706</v>
      </c>
      <c r="DJ59" s="419">
        <f>VLOOKUP("7500090",'Input IS ACCTS'!$A$6:$DH$513,80,FALSE)/1000</f>
        <v>1.46706</v>
      </c>
      <c r="DK59" s="419">
        <f>VLOOKUP("7500090",'Input IS ACCTS'!$A$6:$DH$513,80,FALSE)/1000</f>
        <v>1.46706</v>
      </c>
      <c r="DL59" s="419">
        <f>VLOOKUP("7500090",'Input IS ACCTS'!$A$6:$DH$513,80,FALSE)/1000</f>
        <v>1.46706</v>
      </c>
      <c r="DM59" s="419">
        <f>VLOOKUP("7500090",'Input IS ACCTS'!$A$6:$DH$513,80,FALSE)/1000</f>
        <v>1.46706</v>
      </c>
      <c r="DN59" s="419">
        <f>VLOOKUP("7500090",'Input IS ACCTS'!$A$6:$DH$513,80,FALSE)/1000</f>
        <v>1.46706</v>
      </c>
      <c r="DO59" s="419">
        <f>VLOOKUP("7500090",'Input IS ACCTS'!$A$6:$DH$513,80,FALSE)/1000</f>
        <v>1.46706</v>
      </c>
      <c r="DP59" s="419">
        <f>VLOOKUP("7500090",'Input IS ACCTS'!$A$6:$DH$513,80,FALSE)/1000</f>
        <v>1.46706</v>
      </c>
      <c r="DQ59" s="419">
        <f>VLOOKUP("7500090",'Input IS ACCTS'!$A$6:$DH$513,80,FALSE)/1000</f>
        <v>1.46706</v>
      </c>
      <c r="DR59" s="419">
        <f>VLOOKUP("7500090",'Input IS ACCTS'!$A$6:$DH$513,80,FALSE)/1000</f>
        <v>1.46706</v>
      </c>
      <c r="DS59" s="419">
        <f>VLOOKUP("7500090",'Input IS ACCTS'!$A$6:$DH$513,100,FALSE)/1000</f>
        <v>100.56919000000001</v>
      </c>
      <c r="DT59" s="419">
        <f>VLOOKUP("7500090",'Input IS ACCTS'!$A$6:$DH$513,101,FALSE)/1000</f>
        <v>78.520929999999993</v>
      </c>
      <c r="DU59" s="419">
        <f>VLOOKUP("7500090",'Input IS ACCTS'!$A$6:$DH$513,102,FALSE)/1000</f>
        <v>123.58472</v>
      </c>
      <c r="DV59" s="419">
        <f>VLOOKUP("7500090",'Input IS ACCTS'!$A$6:$DH$513,103,FALSE)/1000</f>
        <v>165.18573999999998</v>
      </c>
      <c r="DW59" s="419">
        <f>VLOOKUP("7500090",'Input IS ACCTS'!$A$6:$DH$513,104,FALSE)/1000</f>
        <v>233.90499</v>
      </c>
      <c r="DX59" s="419">
        <f>VLOOKUP("7500090",'Input IS ACCTS'!$A$6:$DH$513,105,FALSE)/1000</f>
        <v>259.72435999999999</v>
      </c>
      <c r="DY59" s="419">
        <f>VLOOKUP("7500090",'Input IS ACCTS'!$A$6:$DH$513,106,FALSE)/1000</f>
        <v>317.01484999999997</v>
      </c>
      <c r="DZ59" s="419">
        <f>VLOOKUP("7500090",'Input IS ACCTS'!$A$6:$DH$513,107,FALSE)/1000</f>
        <v>247.33528000000001</v>
      </c>
      <c r="EA59" s="419">
        <f>VLOOKUP("7500090",'Input IS ACCTS'!$A$6:$DH$513,108,FALSE)/1000</f>
        <v>357.59499</v>
      </c>
      <c r="EB59" s="419">
        <f>VLOOKUP("7500090",'Input IS ACCTS'!$A$6:$DH$513,109,FALSE)/1000</f>
        <v>503.50146999999998</v>
      </c>
      <c r="EC59" s="419">
        <f>VLOOKUP("7500090",'Input IS ACCTS'!$A$6:$DH$513,110,FALSE)/1000</f>
        <v>596.76227000000006</v>
      </c>
      <c r="ED59" s="419">
        <f>VLOOKUP("7500090",'Input IS ACCTS'!$A$6:$DH$513,111,FALSE)/1000</f>
        <v>747.29468999999995</v>
      </c>
    </row>
    <row r="60" spans="1:134">
      <c r="A60" s="210" t="s">
        <v>2363</v>
      </c>
      <c r="B60" s="550" t="s">
        <v>1249</v>
      </c>
      <c r="Z60" s="559"/>
      <c r="BW60" s="419">
        <f>VLOOKUP("7500700",'Input IS ACCTS'!$A$6:$DH$513,52,FALSE)/1000</f>
        <v>0</v>
      </c>
      <c r="BX60" s="419">
        <f>VLOOKUP("7500700",'Input IS ACCTS'!$A$6:$DH$513,53,FALSE)/1000</f>
        <v>0</v>
      </c>
      <c r="BY60" s="419">
        <f>VLOOKUP("7500700",'Input IS ACCTS'!$A$6:$DH$513,54,FALSE)/1000</f>
        <v>0</v>
      </c>
      <c r="BZ60" s="419">
        <f>VLOOKUP("7500700",'Input IS ACCTS'!$A$6:$DH$513,55,FALSE)/1000</f>
        <v>0</v>
      </c>
      <c r="CA60" s="419">
        <f>VLOOKUP("7500700",'Input IS ACCTS'!$A$6:$DH$513,56,FALSE)/1000</f>
        <v>0</v>
      </c>
      <c r="CB60" s="419">
        <f>VLOOKUP("7500700",'Input IS ACCTS'!$A$6:$DH$513,57,FALSE)/1000</f>
        <v>0</v>
      </c>
      <c r="CC60" s="419">
        <f>VLOOKUP("7500700",'Input IS ACCTS'!$A$6:$DH$513,58,FALSE)/1000</f>
        <v>0</v>
      </c>
      <c r="CD60" s="419">
        <f>VLOOKUP("7500700",'Input IS ACCTS'!$A$6:$DH$513,59,FALSE)/1000</f>
        <v>0</v>
      </c>
      <c r="CE60" s="419">
        <f>VLOOKUP("7500700",'Input IS ACCTS'!$A$6:$DH$513,60,FALSE)/1000</f>
        <v>0</v>
      </c>
      <c r="CF60" s="419">
        <f>VLOOKUP("7500700",'Input IS ACCTS'!$A$6:$DH$513,61,FALSE)/1000</f>
        <v>10.930389999999999</v>
      </c>
      <c r="CG60" s="419">
        <f>VLOOKUP("7500700",'Input IS ACCTS'!$A$6:$DH$513,62,FALSE)/1000</f>
        <v>9.7133400000000005</v>
      </c>
      <c r="CH60" s="419">
        <f>VLOOKUP("7500700",'Input IS ACCTS'!$A$6:$DH$513,63,FALSE)/1000</f>
        <v>0</v>
      </c>
      <c r="CI60" s="419">
        <f>VLOOKUP("7500700",'Input IS ACCTS'!$A$6:$DH$513,64,FALSE)/1000</f>
        <v>0</v>
      </c>
      <c r="CJ60" s="419">
        <f>VLOOKUP("7500700",'Input IS ACCTS'!$A$6:$DH$513,65,FALSE)/1000</f>
        <v>0</v>
      </c>
      <c r="CK60" s="419">
        <f>VLOOKUP("7500700",'Input IS ACCTS'!$A$6:$DH$513,66,FALSE)/1000</f>
        <v>0</v>
      </c>
      <c r="CL60" s="419">
        <f>VLOOKUP("7500700",'Input IS ACCTS'!$A$6:$DH$513,67,FALSE)/1000</f>
        <v>0</v>
      </c>
      <c r="CM60" s="419">
        <f>VLOOKUP("7500700",'Input IS ACCTS'!$A$6:$DH$513,68,FALSE)/1000</f>
        <v>0</v>
      </c>
      <c r="CN60" s="419">
        <f>VLOOKUP("7500700",'Input IS ACCTS'!$A$6:$DH$513,69,FALSE)/1000</f>
        <v>0</v>
      </c>
      <c r="CO60" s="419">
        <f>VLOOKUP("7500700",'Input IS ACCTS'!$A$6:$DH$513,70,FALSE)/1000</f>
        <v>0</v>
      </c>
      <c r="CP60" s="419">
        <f>VLOOKUP("7500700",'Input IS ACCTS'!$A$6:$DH$513,71,FALSE)/1000</f>
        <v>0</v>
      </c>
      <c r="CQ60" s="419">
        <f>VLOOKUP("7500700",'Input IS ACCTS'!$A$6:$DH$513,72,FALSE)/1000</f>
        <v>0</v>
      </c>
      <c r="CR60" s="419">
        <f>VLOOKUP("7500700",'Input IS ACCTS'!$A$6:$DH$513,73,FALSE)/1000</f>
        <v>0</v>
      </c>
      <c r="CS60" s="419">
        <f>VLOOKUP("7500700",'Input IS ACCTS'!$A$6:$DH$513,74,FALSE)/1000</f>
        <v>0</v>
      </c>
      <c r="CT60" s="419">
        <f>VLOOKUP("7500700",'Input IS ACCTS'!$A$6:$DH$513,75,FALSE)/1000</f>
        <v>0</v>
      </c>
      <c r="CU60" s="419">
        <f>VLOOKUP("7500700",'Input IS ACCTS'!$A$6:$DH$513,76,FALSE)/1000</f>
        <v>0</v>
      </c>
      <c r="CV60" s="419">
        <f>VLOOKUP("7500700",'Input IS ACCTS'!$A$6:$DH$513,77,FALSE)/1000</f>
        <v>0</v>
      </c>
      <c r="CW60" s="419">
        <f>VLOOKUP("7500700",'Input IS ACCTS'!$A$6:$DH$513,78,FALSE)/1000</f>
        <v>0.21940000000000001</v>
      </c>
      <c r="CX60" s="419">
        <f>VLOOKUP("7500700",'Input IS ACCTS'!$A$6:$DH$513,79,FALSE)/1000</f>
        <v>0</v>
      </c>
      <c r="CY60" s="419">
        <f>VLOOKUP("7500700",'Input IS ACCTS'!$A$6:$DH$513,80,FALSE)/1000</f>
        <v>0</v>
      </c>
      <c r="CZ60" s="419">
        <f>VLOOKUP("7500700",'Input IS ACCTS'!$A$6:$DH$513,80,FALSE)/1000</f>
        <v>0</v>
      </c>
      <c r="DA60" s="419">
        <f>VLOOKUP("7500700",'Input IS ACCTS'!$A$6:$DH$513,80,FALSE)/1000</f>
        <v>0</v>
      </c>
      <c r="DB60" s="419">
        <f>VLOOKUP("7500700",'Input IS ACCTS'!$A$6:$DH$513,80,FALSE)/1000</f>
        <v>0</v>
      </c>
      <c r="DC60" s="419">
        <f>VLOOKUP("7500700",'Input IS ACCTS'!$A$6:$DH$513,80,FALSE)/1000</f>
        <v>0</v>
      </c>
      <c r="DD60" s="419">
        <f>VLOOKUP("7500700",'Input IS ACCTS'!$A$6:$DH$513,80,FALSE)/1000</f>
        <v>0</v>
      </c>
      <c r="DE60" s="419">
        <f>VLOOKUP("7500700",'Input IS ACCTS'!$A$6:$DH$513,80,FALSE)/1000</f>
        <v>0</v>
      </c>
      <c r="DF60" s="419">
        <f>VLOOKUP("7500700",'Input IS ACCTS'!$A$6:$DH$513,80,FALSE)/1000</f>
        <v>0</v>
      </c>
      <c r="DG60" s="419">
        <f>VLOOKUP("7500700",'Input IS ACCTS'!$A$6:$DH$513,80,FALSE)/1000</f>
        <v>0</v>
      </c>
      <c r="DH60" s="419">
        <f>VLOOKUP("7500700",'Input IS ACCTS'!$A$6:$DH$513,80,FALSE)/1000</f>
        <v>0</v>
      </c>
      <c r="DI60" s="419">
        <f>VLOOKUP("7500700",'Input IS ACCTS'!$A$6:$DH$513,80,FALSE)/1000</f>
        <v>0</v>
      </c>
      <c r="DJ60" s="419">
        <f>VLOOKUP("7500700",'Input IS ACCTS'!$A$6:$DH$513,80,FALSE)/1000</f>
        <v>0</v>
      </c>
      <c r="DK60" s="419">
        <f>VLOOKUP("7500700",'Input IS ACCTS'!$A$6:$DH$513,80,FALSE)/1000</f>
        <v>0</v>
      </c>
      <c r="DL60" s="419">
        <f>VLOOKUP("7500700",'Input IS ACCTS'!$A$6:$DH$513,80,FALSE)/1000</f>
        <v>0</v>
      </c>
      <c r="DM60" s="419">
        <f>VLOOKUP("7500700",'Input IS ACCTS'!$A$6:$DH$513,80,FALSE)/1000</f>
        <v>0</v>
      </c>
      <c r="DN60" s="419">
        <f>VLOOKUP("7500700",'Input IS ACCTS'!$A$6:$DH$513,80,FALSE)/1000</f>
        <v>0</v>
      </c>
      <c r="DO60" s="419">
        <f>VLOOKUP("7500700",'Input IS ACCTS'!$A$6:$DH$513,80,FALSE)/1000</f>
        <v>0</v>
      </c>
      <c r="DP60" s="419">
        <f>VLOOKUP("7500700",'Input IS ACCTS'!$A$6:$DH$513,80,FALSE)/1000</f>
        <v>0</v>
      </c>
      <c r="DQ60" s="419">
        <f>VLOOKUP("7500700",'Input IS ACCTS'!$A$6:$DH$513,80,FALSE)/1000</f>
        <v>0</v>
      </c>
      <c r="DR60" s="419">
        <f>VLOOKUP("7500700",'Input IS ACCTS'!$A$6:$DH$513,80,FALSE)/1000</f>
        <v>0</v>
      </c>
      <c r="DS60" s="419">
        <f>VLOOKUP("7500700",'Input IS ACCTS'!$A$6:$DH$513,100,FALSE)/1000</f>
        <v>0</v>
      </c>
      <c r="DT60" s="419">
        <f>VLOOKUP("7500700",'Input IS ACCTS'!$A$6:$DH$513,101,FALSE)/1000</f>
        <v>0</v>
      </c>
      <c r="DU60" s="419">
        <f>VLOOKUP("7500700",'Input IS ACCTS'!$A$6:$DH$513,102,FALSE)/1000</f>
        <v>0</v>
      </c>
      <c r="DV60" s="419">
        <f>VLOOKUP("7500700",'Input IS ACCTS'!$A$6:$DH$513,103,FALSE)/1000</f>
        <v>0</v>
      </c>
      <c r="DW60" s="419">
        <f>VLOOKUP("7500700",'Input IS ACCTS'!$A$6:$DH$513,104,FALSE)/1000</f>
        <v>0</v>
      </c>
      <c r="DX60" s="419">
        <f>VLOOKUP("7500700",'Input IS ACCTS'!$A$6:$DH$513,105,FALSE)/1000</f>
        <v>0</v>
      </c>
      <c r="DY60" s="419">
        <f>VLOOKUP("7500700",'Input IS ACCTS'!$A$6:$DH$513,106,FALSE)/1000</f>
        <v>17.81062</v>
      </c>
      <c r="DZ60" s="419">
        <f>VLOOKUP("7500700",'Input IS ACCTS'!$A$6:$DH$513,107,FALSE)/1000</f>
        <v>65.441589999999991</v>
      </c>
      <c r="EA60" s="419">
        <f>VLOOKUP("7500700",'Input IS ACCTS'!$A$6:$DH$513,108,FALSE)/1000</f>
        <v>30.8933</v>
      </c>
      <c r="EB60" s="419">
        <f>VLOOKUP("7500700",'Input IS ACCTS'!$A$6:$DH$513,109,FALSE)/1000</f>
        <v>0</v>
      </c>
      <c r="EC60" s="419">
        <f>VLOOKUP("7500700",'Input IS ACCTS'!$A$6:$DH$513,110,FALSE)/1000</f>
        <v>0</v>
      </c>
      <c r="ED60" s="419">
        <f>VLOOKUP("7500700",'Input IS ACCTS'!$A$6:$DH$513,111,FALSE)/1000</f>
        <v>0</v>
      </c>
    </row>
    <row r="61" spans="1:134">
      <c r="A61" s="210"/>
      <c r="B61" s="17" t="s">
        <v>2371</v>
      </c>
      <c r="Z61" s="559"/>
      <c r="BW61" s="754">
        <f>+-7216.75/1000</f>
        <v>-7.2167500000000002</v>
      </c>
      <c r="BX61" s="754">
        <f t="shared" ref="BX61:CH61" si="184">+-7216.75/1000</f>
        <v>-7.2167500000000002</v>
      </c>
      <c r="BY61" s="754">
        <f t="shared" si="184"/>
        <v>-7.2167500000000002</v>
      </c>
      <c r="BZ61" s="754">
        <f t="shared" si="184"/>
        <v>-7.2167500000000002</v>
      </c>
      <c r="CA61" s="754">
        <f t="shared" si="184"/>
        <v>-7.2167500000000002</v>
      </c>
      <c r="CB61" s="754">
        <f t="shared" si="184"/>
        <v>-7.2167500000000002</v>
      </c>
      <c r="CC61" s="754">
        <f t="shared" si="184"/>
        <v>-7.2167500000000002</v>
      </c>
      <c r="CD61" s="754">
        <f t="shared" si="184"/>
        <v>-7.2167500000000002</v>
      </c>
      <c r="CE61" s="754">
        <f t="shared" si="184"/>
        <v>-7.2167500000000002</v>
      </c>
      <c r="CF61" s="754">
        <f t="shared" si="184"/>
        <v>-7.2167500000000002</v>
      </c>
      <c r="CG61" s="754">
        <f t="shared" si="184"/>
        <v>-7.2167500000000002</v>
      </c>
      <c r="CH61" s="754">
        <f t="shared" si="184"/>
        <v>-7.2167500000000002</v>
      </c>
      <c r="CI61" s="754">
        <f>+-7229.6/1000</f>
        <v>-7.2296000000000005</v>
      </c>
      <c r="CJ61" s="754">
        <f t="shared" ref="CJ61:ED61" si="185">+-7229.6/1000</f>
        <v>-7.2296000000000005</v>
      </c>
      <c r="CK61" s="754">
        <f t="shared" si="185"/>
        <v>-7.2296000000000005</v>
      </c>
      <c r="CL61" s="754">
        <f t="shared" si="185"/>
        <v>-7.2296000000000005</v>
      </c>
      <c r="CM61" s="754">
        <f t="shared" si="185"/>
        <v>-7.2296000000000005</v>
      </c>
      <c r="CN61" s="754">
        <f t="shared" si="185"/>
        <v>-7.2296000000000005</v>
      </c>
      <c r="CO61" s="754">
        <f t="shared" si="185"/>
        <v>-7.2296000000000005</v>
      </c>
      <c r="CP61" s="754">
        <f t="shared" si="185"/>
        <v>-7.2296000000000005</v>
      </c>
      <c r="CQ61" s="754">
        <f t="shared" si="185"/>
        <v>-7.2296000000000005</v>
      </c>
      <c r="CR61" s="754">
        <f t="shared" si="185"/>
        <v>-7.2296000000000005</v>
      </c>
      <c r="CS61" s="754">
        <f t="shared" si="185"/>
        <v>-7.2296000000000005</v>
      </c>
      <c r="CT61" s="754">
        <f t="shared" si="185"/>
        <v>-7.2296000000000005</v>
      </c>
      <c r="CU61" s="804">
        <f t="shared" si="185"/>
        <v>-7.2296000000000005</v>
      </c>
      <c r="CV61" s="804">
        <f t="shared" si="185"/>
        <v>-7.2296000000000005</v>
      </c>
      <c r="CW61" s="804">
        <f t="shared" si="185"/>
        <v>-7.2296000000000005</v>
      </c>
      <c r="CX61" s="804">
        <f t="shared" si="185"/>
        <v>-7.2296000000000005</v>
      </c>
      <c r="CY61" s="804">
        <f t="shared" si="185"/>
        <v>-7.2296000000000005</v>
      </c>
      <c r="CZ61" s="804">
        <f t="shared" si="185"/>
        <v>-7.2296000000000005</v>
      </c>
      <c r="DA61" s="804">
        <f t="shared" si="185"/>
        <v>-7.2296000000000005</v>
      </c>
      <c r="DB61" s="804">
        <f t="shared" si="185"/>
        <v>-7.2296000000000005</v>
      </c>
      <c r="DC61" s="804">
        <f t="shared" si="185"/>
        <v>-7.2296000000000005</v>
      </c>
      <c r="DD61" s="804">
        <f t="shared" si="185"/>
        <v>-7.2296000000000005</v>
      </c>
      <c r="DE61" s="804">
        <f t="shared" si="185"/>
        <v>-7.2296000000000005</v>
      </c>
      <c r="DF61" s="804">
        <f t="shared" si="185"/>
        <v>-7.2296000000000005</v>
      </c>
      <c r="DG61" s="804">
        <f t="shared" si="185"/>
        <v>-7.2296000000000005</v>
      </c>
      <c r="DH61" s="804">
        <f t="shared" si="185"/>
        <v>-7.2296000000000005</v>
      </c>
      <c r="DI61" s="804">
        <f t="shared" si="185"/>
        <v>-7.2296000000000005</v>
      </c>
      <c r="DJ61" s="804">
        <f t="shared" si="185"/>
        <v>-7.2296000000000005</v>
      </c>
      <c r="DK61" s="804">
        <f t="shared" si="185"/>
        <v>-7.2296000000000005</v>
      </c>
      <c r="DL61" s="804">
        <f t="shared" si="185"/>
        <v>-7.2296000000000005</v>
      </c>
      <c r="DM61" s="804">
        <f t="shared" si="185"/>
        <v>-7.2296000000000005</v>
      </c>
      <c r="DN61" s="804">
        <f t="shared" si="185"/>
        <v>-7.2296000000000005</v>
      </c>
      <c r="DO61" s="804">
        <f t="shared" si="185"/>
        <v>-7.2296000000000005</v>
      </c>
      <c r="DP61" s="804">
        <f t="shared" si="185"/>
        <v>-7.2296000000000005</v>
      </c>
      <c r="DQ61" s="804">
        <f t="shared" si="185"/>
        <v>-7.2296000000000005</v>
      </c>
      <c r="DR61" s="804">
        <f t="shared" si="185"/>
        <v>-7.2296000000000005</v>
      </c>
      <c r="DS61" s="804">
        <f t="shared" si="185"/>
        <v>-7.2296000000000005</v>
      </c>
      <c r="DT61" s="804">
        <f t="shared" si="185"/>
        <v>-7.2296000000000005</v>
      </c>
      <c r="DU61" s="804">
        <f t="shared" si="185"/>
        <v>-7.2296000000000005</v>
      </c>
      <c r="DV61" s="804">
        <f t="shared" si="185"/>
        <v>-7.2296000000000005</v>
      </c>
      <c r="DW61" s="804">
        <f t="shared" si="185"/>
        <v>-7.2296000000000005</v>
      </c>
      <c r="DX61" s="804">
        <f t="shared" si="185"/>
        <v>-7.2296000000000005</v>
      </c>
      <c r="DY61" s="804">
        <f t="shared" si="185"/>
        <v>-7.2296000000000005</v>
      </c>
      <c r="DZ61" s="804">
        <f t="shared" si="185"/>
        <v>-7.2296000000000005</v>
      </c>
      <c r="EA61" s="804">
        <f t="shared" si="185"/>
        <v>-7.2296000000000005</v>
      </c>
      <c r="EB61" s="804">
        <f t="shared" si="185"/>
        <v>-7.2296000000000005</v>
      </c>
      <c r="EC61" s="804">
        <f t="shared" si="185"/>
        <v>-7.2296000000000005</v>
      </c>
      <c r="ED61" s="804">
        <f t="shared" si="185"/>
        <v>-7.2296000000000005</v>
      </c>
    </row>
    <row r="62" spans="1:134">
      <c r="B62" s="564" t="s">
        <v>2364</v>
      </c>
      <c r="Z62" s="559"/>
      <c r="BW62" s="566">
        <f t="shared" ref="BW62:CH62" si="186">SUM(BW57:BW61)</f>
        <v>-3.8600000000000634E-2</v>
      </c>
      <c r="BX62" s="566">
        <f t="shared" si="186"/>
        <v>189.73105000000001</v>
      </c>
      <c r="BY62" s="566">
        <f t="shared" si="186"/>
        <v>119.40123000000001</v>
      </c>
      <c r="BZ62" s="566">
        <f t="shared" si="186"/>
        <v>103.30620999999999</v>
      </c>
      <c r="CA62" s="566">
        <f t="shared" si="186"/>
        <v>135.11968000000002</v>
      </c>
      <c r="CB62" s="566">
        <f t="shared" si="186"/>
        <v>149.93669</v>
      </c>
      <c r="CC62" s="566">
        <f t="shared" si="186"/>
        <v>75.644080000000002</v>
      </c>
      <c r="CD62" s="566">
        <f t="shared" si="186"/>
        <v>80.915009999999995</v>
      </c>
      <c r="CE62" s="566">
        <f t="shared" si="186"/>
        <v>94.039099999999991</v>
      </c>
      <c r="CF62" s="566">
        <f t="shared" si="186"/>
        <v>39.384660000000004</v>
      </c>
      <c r="CG62" s="566">
        <f t="shared" si="186"/>
        <v>49.270789999999998</v>
      </c>
      <c r="CH62" s="566">
        <f t="shared" si="186"/>
        <v>146.66738000000001</v>
      </c>
      <c r="CI62" s="566">
        <f>SUM(CI57:CI61)</f>
        <v>214.96999</v>
      </c>
      <c r="CJ62" s="566">
        <f t="shared" ref="CJ62:CS62" si="187">SUM(CJ57:CJ61)</f>
        <v>197.87736999999998</v>
      </c>
      <c r="CK62" s="566">
        <f t="shared" si="187"/>
        <v>175.50369000000001</v>
      </c>
      <c r="CL62" s="566">
        <f t="shared" si="187"/>
        <v>161.74599999999998</v>
      </c>
      <c r="CM62" s="566">
        <f t="shared" si="187"/>
        <v>101.71897999999999</v>
      </c>
      <c r="CN62" s="566">
        <f t="shared" si="187"/>
        <v>-121.12727000000001</v>
      </c>
      <c r="CO62" s="566">
        <f t="shared" si="187"/>
        <v>108.40789999999998</v>
      </c>
      <c r="CP62" s="566">
        <f t="shared" si="187"/>
        <v>95.194639999999978</v>
      </c>
      <c r="CQ62" s="566">
        <f>SUM(CQ57:CQ61)</f>
        <v>104.62499</v>
      </c>
      <c r="CR62" s="566">
        <f t="shared" si="187"/>
        <v>115.83532</v>
      </c>
      <c r="CS62" s="566">
        <f t="shared" si="187"/>
        <v>123.04775999999998</v>
      </c>
      <c r="CT62" s="566">
        <f t="shared" ref="CT62:CY62" si="188">SUM(CT57:CT61)</f>
        <v>179.92416</v>
      </c>
      <c r="CU62" s="566">
        <f t="shared" si="188"/>
        <v>202.98595</v>
      </c>
      <c r="CV62" s="566">
        <f t="shared" si="188"/>
        <v>82.914369999999991</v>
      </c>
      <c r="CW62" s="566">
        <f t="shared" si="188"/>
        <v>230.59936999999999</v>
      </c>
      <c r="CX62" s="566">
        <f t="shared" si="188"/>
        <v>87.892489999999995</v>
      </c>
      <c r="CY62" s="566">
        <f t="shared" si="188"/>
        <v>86.851250000000007</v>
      </c>
      <c r="CZ62" s="566">
        <f t="shared" ref="CZ62:DF62" si="189">SUM(CZ57:CZ61)</f>
        <v>86.851250000000007</v>
      </c>
      <c r="DA62" s="566">
        <f t="shared" si="189"/>
        <v>86.851250000000007</v>
      </c>
      <c r="DB62" s="566">
        <f t="shared" si="189"/>
        <v>86.851250000000007</v>
      </c>
      <c r="DC62" s="566">
        <f t="shared" si="189"/>
        <v>86.851250000000007</v>
      </c>
      <c r="DD62" s="566">
        <f t="shared" si="189"/>
        <v>86.851250000000007</v>
      </c>
      <c r="DE62" s="566">
        <f t="shared" si="189"/>
        <v>86.851250000000007</v>
      </c>
      <c r="DF62" s="566">
        <f t="shared" si="189"/>
        <v>86.851250000000007</v>
      </c>
      <c r="DG62" s="566">
        <f t="shared" ref="DG62:DL62" si="190">SUM(DG57:DG61)</f>
        <v>86.851250000000007</v>
      </c>
      <c r="DH62" s="566">
        <f t="shared" si="190"/>
        <v>86.851250000000007</v>
      </c>
      <c r="DI62" s="566">
        <f t="shared" si="190"/>
        <v>86.851250000000007</v>
      </c>
      <c r="DJ62" s="566">
        <f t="shared" si="190"/>
        <v>86.851250000000007</v>
      </c>
      <c r="DK62" s="566">
        <f t="shared" si="190"/>
        <v>86.851250000000007</v>
      </c>
      <c r="DL62" s="566">
        <f t="shared" si="190"/>
        <v>86.851250000000007</v>
      </c>
      <c r="DM62" s="566">
        <f t="shared" ref="DM62:DR62" si="191">SUM(DM57:DM61)</f>
        <v>86.851250000000007</v>
      </c>
      <c r="DN62" s="566">
        <f t="shared" si="191"/>
        <v>86.851250000000007</v>
      </c>
      <c r="DO62" s="566">
        <f t="shared" si="191"/>
        <v>86.851250000000007</v>
      </c>
      <c r="DP62" s="566">
        <f t="shared" si="191"/>
        <v>86.851250000000007</v>
      </c>
      <c r="DQ62" s="566">
        <f t="shared" si="191"/>
        <v>86.851250000000007</v>
      </c>
      <c r="DR62" s="566">
        <f t="shared" si="191"/>
        <v>86.851250000000007</v>
      </c>
      <c r="DS62" s="566">
        <f t="shared" ref="DS62:DU62" si="192">SUM(DS57:DS61)</f>
        <v>107.98601000000001</v>
      </c>
      <c r="DT62" s="566">
        <f t="shared" si="192"/>
        <v>85.940429999999992</v>
      </c>
      <c r="DU62" s="566">
        <f t="shared" si="192"/>
        <v>131.00277</v>
      </c>
      <c r="DV62" s="566">
        <f t="shared" ref="DV62:DX62" si="193">SUM(DV57:DV61)</f>
        <v>172.77548999999999</v>
      </c>
      <c r="DW62" s="566">
        <f t="shared" si="193"/>
        <v>241.36597999999998</v>
      </c>
      <c r="DX62" s="566">
        <f t="shared" si="193"/>
        <v>267.18534999999997</v>
      </c>
      <c r="DY62" s="566">
        <f t="shared" ref="DY62:EA62" si="194">SUM(DY57:DY61)</f>
        <v>342.28645999999992</v>
      </c>
      <c r="DZ62" s="566">
        <f t="shared" si="194"/>
        <v>320.23785999999996</v>
      </c>
      <c r="EA62" s="566">
        <f t="shared" si="194"/>
        <v>395.94927999999999</v>
      </c>
      <c r="EB62" s="566">
        <f t="shared" ref="EB62:ED62" si="195">SUM(EB57:EB61)</f>
        <v>510.96245999999996</v>
      </c>
      <c r="EC62" s="566">
        <f t="shared" si="195"/>
        <v>604.2232600000001</v>
      </c>
      <c r="ED62" s="566">
        <f t="shared" si="195"/>
        <v>754.75567999999998</v>
      </c>
    </row>
    <row r="63" spans="1:134">
      <c r="B63" s="564"/>
      <c r="Z63" s="559"/>
      <c r="BW63" s="566"/>
      <c r="BX63" s="566"/>
      <c r="BY63" s="566"/>
      <c r="BZ63" s="566"/>
      <c r="CA63" s="566"/>
      <c r="CB63" s="566"/>
      <c r="CC63" s="566"/>
      <c r="CD63" s="566"/>
      <c r="CE63" s="566"/>
      <c r="CF63" s="566"/>
      <c r="CG63" s="566"/>
      <c r="CH63" s="566"/>
      <c r="CI63" s="566"/>
      <c r="CJ63" s="566"/>
      <c r="CK63" s="566"/>
      <c r="CL63" s="566"/>
      <c r="CM63" s="566"/>
      <c r="CN63" s="566"/>
      <c r="CO63" s="566"/>
      <c r="CP63" s="566"/>
      <c r="CQ63" s="566"/>
      <c r="CR63" s="566"/>
      <c r="CS63" s="566"/>
      <c r="CT63" s="566"/>
      <c r="CU63" s="566"/>
      <c r="CV63" s="566"/>
      <c r="CW63" s="566"/>
      <c r="CX63" s="566"/>
      <c r="CY63" s="566"/>
      <c r="CZ63" s="566"/>
      <c r="DA63" s="566"/>
      <c r="DB63" s="566"/>
      <c r="DC63" s="566"/>
      <c r="DD63" s="566"/>
      <c r="DE63" s="566"/>
      <c r="DF63" s="566"/>
      <c r="DG63" s="566"/>
      <c r="DH63" s="566"/>
      <c r="DI63" s="566"/>
      <c r="DJ63" s="566"/>
      <c r="DK63" s="566"/>
      <c r="DL63" s="566"/>
      <c r="DM63" s="566"/>
      <c r="DN63" s="566"/>
      <c r="DO63" s="566"/>
      <c r="DP63" s="566"/>
      <c r="DQ63" s="566"/>
      <c r="DR63" s="566"/>
      <c r="DS63" s="566"/>
      <c r="DT63" s="566"/>
      <c r="DU63" s="566"/>
      <c r="DV63" s="566"/>
      <c r="DW63" s="566"/>
      <c r="DX63" s="566"/>
      <c r="DY63" s="566"/>
      <c r="DZ63" s="566"/>
      <c r="EA63" s="566"/>
      <c r="EB63" s="566"/>
      <c r="EC63" s="566"/>
      <c r="ED63" s="566"/>
    </row>
    <row r="64" spans="1:134">
      <c r="B64" s="155" t="s">
        <v>2365</v>
      </c>
      <c r="Z64" s="559"/>
      <c r="BW64" s="566"/>
      <c r="BX64" s="566"/>
      <c r="BY64" s="566"/>
      <c r="BZ64" s="566"/>
      <c r="CA64" s="566"/>
      <c r="CB64" s="566"/>
      <c r="CC64" s="566"/>
      <c r="CD64" s="566"/>
      <c r="CE64" s="566"/>
      <c r="CF64" s="566"/>
      <c r="CG64" s="566"/>
      <c r="CH64" s="566"/>
      <c r="CI64" s="380">
        <f>SUM(BX62:CI62)</f>
        <v>1398.3858700000001</v>
      </c>
      <c r="CJ64" s="380">
        <f>SUM(BY62:CJ62)</f>
        <v>1406.5321900000001</v>
      </c>
      <c r="CK64" s="380">
        <f>SUM(BZ62:CK62)</f>
        <v>1462.63465</v>
      </c>
      <c r="CL64" s="380">
        <f>SUM(CA62:CL62)</f>
        <v>1521.0744399999999</v>
      </c>
      <c r="CM64" s="380">
        <f>SUM(CB62:CM62)</f>
        <v>1487.6737399999997</v>
      </c>
      <c r="CN64" s="380">
        <f t="shared" ref="CN64:CS64" si="196">SUM(CC62:CN62)</f>
        <v>1216.6097800000002</v>
      </c>
      <c r="CO64" s="380">
        <f t="shared" si="196"/>
        <v>1249.3736000000001</v>
      </c>
      <c r="CP64" s="380">
        <f t="shared" si="196"/>
        <v>1263.6532299999999</v>
      </c>
      <c r="CQ64" s="380">
        <f>SUM(CF62:CQ62)</f>
        <v>1274.23912</v>
      </c>
      <c r="CR64" s="380">
        <f>SUM(CG62:CR62)</f>
        <v>1350.6897799999997</v>
      </c>
      <c r="CS64" s="380">
        <f t="shared" si="196"/>
        <v>1424.4667499999998</v>
      </c>
      <c r="CT64" s="380">
        <f t="shared" ref="CT64:DL64" si="197">SUM(CI62:CT62)</f>
        <v>1457.7235299999998</v>
      </c>
      <c r="CU64" s="380">
        <f t="shared" si="197"/>
        <v>1445.7394899999999</v>
      </c>
      <c r="CV64" s="380">
        <f t="shared" si="197"/>
        <v>1330.77649</v>
      </c>
      <c r="CW64" s="380">
        <f t="shared" si="197"/>
        <v>1385.8721699999999</v>
      </c>
      <c r="CX64" s="380">
        <f t="shared" si="197"/>
        <v>1312.0186599999997</v>
      </c>
      <c r="CY64" s="380">
        <f t="shared" si="197"/>
        <v>1297.1509299999998</v>
      </c>
      <c r="CZ64" s="380">
        <f t="shared" si="197"/>
        <v>1505.1294499999997</v>
      </c>
      <c r="DA64" s="380">
        <f t="shared" si="197"/>
        <v>1483.5727999999997</v>
      </c>
      <c r="DB64" s="380">
        <f t="shared" si="197"/>
        <v>1475.2294099999997</v>
      </c>
      <c r="DC64" s="380">
        <f t="shared" si="197"/>
        <v>1457.4556699999996</v>
      </c>
      <c r="DD64" s="380">
        <f t="shared" si="197"/>
        <v>1428.4715999999996</v>
      </c>
      <c r="DE64" s="380">
        <f t="shared" si="197"/>
        <v>1392.2750899999999</v>
      </c>
      <c r="DF64" s="380">
        <f t="shared" si="197"/>
        <v>1299.20218</v>
      </c>
      <c r="DG64" s="380">
        <f t="shared" si="197"/>
        <v>1183.0674800000002</v>
      </c>
      <c r="DH64" s="380">
        <f t="shared" si="197"/>
        <v>1187.0043600000001</v>
      </c>
      <c r="DI64" s="380">
        <f t="shared" si="197"/>
        <v>1043.2562400000002</v>
      </c>
      <c r="DJ64" s="380">
        <f t="shared" si="197"/>
        <v>1042.2150000000004</v>
      </c>
      <c r="DK64" s="380">
        <f t="shared" si="197"/>
        <v>1042.2150000000004</v>
      </c>
      <c r="DL64" s="380">
        <f t="shared" si="197"/>
        <v>1042.2150000000004</v>
      </c>
      <c r="DM64" s="380">
        <f t="shared" ref="DM64:EA64" si="198">SUM(DB62:DM62)</f>
        <v>1042.2150000000004</v>
      </c>
      <c r="DN64" s="380">
        <f t="shared" si="198"/>
        <v>1042.2150000000004</v>
      </c>
      <c r="DO64" s="380">
        <f t="shared" si="198"/>
        <v>1042.2150000000004</v>
      </c>
      <c r="DP64" s="380">
        <f t="shared" si="198"/>
        <v>1042.2150000000004</v>
      </c>
      <c r="DQ64" s="380">
        <f t="shared" si="198"/>
        <v>1042.2150000000004</v>
      </c>
      <c r="DR64" s="380">
        <f t="shared" si="198"/>
        <v>1042.2150000000004</v>
      </c>
      <c r="DS64" s="380">
        <f t="shared" si="198"/>
        <v>1063.3497600000003</v>
      </c>
      <c r="DT64" s="380">
        <f t="shared" si="198"/>
        <v>1062.4389400000002</v>
      </c>
      <c r="DU64" s="380">
        <f t="shared" si="198"/>
        <v>1106.5904600000001</v>
      </c>
      <c r="DV64" s="380">
        <f t="shared" si="198"/>
        <v>1192.5147000000002</v>
      </c>
      <c r="DW64" s="380">
        <f t="shared" si="198"/>
        <v>1347.02943</v>
      </c>
      <c r="DX64" s="380">
        <f t="shared" si="198"/>
        <v>1527.3635300000001</v>
      </c>
      <c r="DY64" s="380">
        <f t="shared" si="198"/>
        <v>1782.7987399999997</v>
      </c>
      <c r="DZ64" s="380">
        <f t="shared" si="198"/>
        <v>2016.18535</v>
      </c>
      <c r="EA64" s="380">
        <f t="shared" si="198"/>
        <v>2325.2833799999999</v>
      </c>
      <c r="EB64" s="380">
        <f t="shared" ref="EB64" si="199">SUM(DQ62:EB62)</f>
        <v>2749.3945899999999</v>
      </c>
      <c r="EC64" s="380">
        <f t="shared" ref="EC64" si="200">SUM(DR62:EC62)</f>
        <v>3266.7666000000004</v>
      </c>
      <c r="ED64" s="380">
        <f t="shared" ref="ED64" si="201">SUM(DS62:ED62)</f>
        <v>3934.6710299999995</v>
      </c>
    </row>
    <row r="65" spans="1:134">
      <c r="B65" s="564"/>
      <c r="Z65" s="559"/>
      <c r="BW65" s="566"/>
      <c r="BX65" s="566"/>
      <c r="BY65" s="566"/>
      <c r="BZ65" s="566"/>
      <c r="CA65" s="566"/>
      <c r="CB65" s="566"/>
      <c r="CC65" s="566"/>
      <c r="CD65" s="566"/>
      <c r="CE65" s="566"/>
      <c r="CF65" s="566"/>
      <c r="CG65" s="566"/>
      <c r="CH65" s="566"/>
      <c r="CI65" s="566"/>
      <c r="CJ65" s="566"/>
      <c r="CK65" s="566"/>
      <c r="CL65" s="566"/>
      <c r="CM65" s="566"/>
      <c r="CN65" s="566"/>
      <c r="CO65" s="566"/>
      <c r="CP65" s="566"/>
      <c r="CQ65" s="566"/>
      <c r="CR65" s="566"/>
      <c r="CS65" s="566"/>
      <c r="CT65" s="566"/>
      <c r="CU65" s="566"/>
      <c r="CV65" s="566"/>
      <c r="CW65" s="566"/>
      <c r="CX65" s="566"/>
      <c r="CY65" s="566"/>
      <c r="CZ65" s="566"/>
      <c r="DA65" s="566"/>
      <c r="DB65" s="566"/>
      <c r="DC65" s="566"/>
      <c r="DD65" s="566"/>
      <c r="DE65" s="566"/>
      <c r="DF65" s="566"/>
      <c r="DG65" s="566"/>
      <c r="DH65" s="566"/>
      <c r="DI65" s="566"/>
      <c r="DJ65" s="566"/>
      <c r="DK65" s="566"/>
      <c r="DL65" s="566"/>
      <c r="DM65" s="566"/>
      <c r="DN65" s="566"/>
      <c r="DO65" s="566"/>
      <c r="DP65" s="566"/>
      <c r="DQ65" s="566"/>
      <c r="DR65" s="566"/>
      <c r="DS65" s="566"/>
      <c r="DT65" s="566"/>
      <c r="DU65" s="566"/>
      <c r="DV65" s="566"/>
      <c r="DW65" s="566"/>
      <c r="DX65" s="566"/>
      <c r="DY65" s="566"/>
      <c r="DZ65" s="566"/>
      <c r="EA65" s="566"/>
      <c r="EB65" s="566"/>
      <c r="EC65" s="566"/>
      <c r="ED65" s="566"/>
    </row>
    <row r="66" spans="1:134" ht="15">
      <c r="B66" s="17" t="s">
        <v>2419</v>
      </c>
      <c r="Z66" s="559"/>
      <c r="BW66" s="566"/>
      <c r="BX66" s="566"/>
      <c r="BY66" s="566"/>
      <c r="BZ66" s="566"/>
      <c r="CA66" s="566"/>
      <c r="CB66" s="566"/>
      <c r="CC66" s="566"/>
      <c r="CD66" s="566"/>
      <c r="CE66" s="566"/>
      <c r="CF66" s="566"/>
      <c r="CG66" s="566"/>
      <c r="CH66" s="566"/>
      <c r="CI66" s="733">
        <f>ROUND(CI64/CI53,4)</f>
        <v>2.8400000000000002E-2</v>
      </c>
      <c r="CJ66" s="733">
        <f t="shared" ref="CJ66:CP66" si="202">ROUND(CJ64/CJ53,4)</f>
        <v>2.8799999999999999E-2</v>
      </c>
      <c r="CK66" s="733">
        <f t="shared" si="202"/>
        <v>3.0599999999999999E-2</v>
      </c>
      <c r="CL66" s="733">
        <f t="shared" si="202"/>
        <v>3.2099999999999997E-2</v>
      </c>
      <c r="CM66" s="733">
        <f t="shared" si="202"/>
        <v>3.2599999999999997E-2</v>
      </c>
      <c r="CN66" s="733">
        <f t="shared" si="202"/>
        <v>2.87E-2</v>
      </c>
      <c r="CO66" s="733">
        <f t="shared" si="202"/>
        <v>2.9600000000000001E-2</v>
      </c>
      <c r="CP66" s="733">
        <f t="shared" si="202"/>
        <v>2.9100000000000001E-2</v>
      </c>
      <c r="CQ66" s="733">
        <f t="shared" ref="CQ66:CW66" si="203">ROUND(CQ64/CQ53,4)</f>
        <v>2.8899999999999999E-2</v>
      </c>
      <c r="CR66" s="733">
        <f t="shared" si="203"/>
        <v>3.0599999999999999E-2</v>
      </c>
      <c r="CS66" s="733">
        <f t="shared" si="203"/>
        <v>2.9600000000000001E-2</v>
      </c>
      <c r="CT66" s="733">
        <f t="shared" si="203"/>
        <v>2.7799999999999998E-2</v>
      </c>
      <c r="CU66" s="733">
        <f t="shared" si="203"/>
        <v>2.5700000000000001E-2</v>
      </c>
      <c r="CV66" s="733">
        <f t="shared" si="203"/>
        <v>2.3E-2</v>
      </c>
      <c r="CW66" s="733">
        <f t="shared" si="203"/>
        <v>2.2700000000000001E-2</v>
      </c>
      <c r="CX66" s="733">
        <f t="shared" ref="CX66:DC66" si="204">ROUND(CX64/CX53,4)</f>
        <v>2.01E-2</v>
      </c>
      <c r="CY66" s="733">
        <f t="shared" si="204"/>
        <v>1.8599999999999998E-2</v>
      </c>
      <c r="CZ66" s="733">
        <f t="shared" si="204"/>
        <v>0.02</v>
      </c>
      <c r="DA66" s="733">
        <f t="shared" si="204"/>
        <v>1.8200000000000001E-2</v>
      </c>
      <c r="DB66" s="733">
        <f t="shared" si="204"/>
        <v>1.6299999999999999E-2</v>
      </c>
      <c r="DC66" s="733">
        <f t="shared" si="204"/>
        <v>1.4999999999999999E-2</v>
      </c>
      <c r="DD66" s="733">
        <f t="shared" ref="DD66:DI66" si="205">ROUND(DD64/DD53,4)</f>
        <v>1.3599999999999999E-2</v>
      </c>
      <c r="DE66" s="733">
        <f t="shared" si="205"/>
        <v>1.23E-2</v>
      </c>
      <c r="DF66" s="733">
        <f t="shared" si="205"/>
        <v>1.0699999999999999E-2</v>
      </c>
      <c r="DG66" s="733">
        <f t="shared" si="205"/>
        <v>8.9999999999999993E-3</v>
      </c>
      <c r="DH66" s="733">
        <f t="shared" si="205"/>
        <v>8.3999999999999995E-3</v>
      </c>
      <c r="DI66" s="733">
        <f t="shared" si="205"/>
        <v>6.8999999999999999E-3</v>
      </c>
      <c r="DJ66" s="733">
        <f t="shared" ref="DJ66:DO66" si="206">ROUND(DJ64/DJ53,4)</f>
        <v>7.1999999999999998E-3</v>
      </c>
      <c r="DK66" s="733">
        <f t="shared" si="206"/>
        <v>7.4999999999999997E-3</v>
      </c>
      <c r="DL66" s="733">
        <f t="shared" si="206"/>
        <v>7.6E-3</v>
      </c>
      <c r="DM66" s="733">
        <f t="shared" si="206"/>
        <v>7.6E-3</v>
      </c>
      <c r="DN66" s="733">
        <f t="shared" si="206"/>
        <v>7.7999999999999996E-3</v>
      </c>
      <c r="DO66" s="733">
        <f t="shared" si="206"/>
        <v>8.0999999999999996E-3</v>
      </c>
      <c r="DP66" s="733">
        <f t="shared" ref="DP66:DU66" si="207">ROUND(DP64/DP53,4)</f>
        <v>8.3000000000000001E-3</v>
      </c>
      <c r="DQ66" s="733">
        <f t="shared" si="207"/>
        <v>8.6E-3</v>
      </c>
      <c r="DR66" s="733">
        <f t="shared" si="207"/>
        <v>9.1000000000000004E-3</v>
      </c>
      <c r="DS66" s="733">
        <f t="shared" si="207"/>
        <v>8.9999999999999993E-3</v>
      </c>
      <c r="DT66" s="733">
        <f t="shared" si="207"/>
        <v>9.4000000000000004E-3</v>
      </c>
      <c r="DU66" s="733">
        <f t="shared" si="207"/>
        <v>1.03E-2</v>
      </c>
      <c r="DV66" s="733">
        <f t="shared" ref="DV66:DX66" si="208">ROUND(DV64/DV53,4)</f>
        <v>1.14E-2</v>
      </c>
      <c r="DW66" s="733">
        <f t="shared" si="208"/>
        <v>1.15E-2</v>
      </c>
      <c r="DX66" s="733">
        <f t="shared" si="208"/>
        <v>1.17E-2</v>
      </c>
      <c r="DY66" s="733">
        <f t="shared" ref="DY66:EA66" si="209">ROUND(DY64/DY53,4)</f>
        <v>1.3299999999999999E-2</v>
      </c>
      <c r="DZ66" s="733">
        <f t="shared" si="209"/>
        <v>1.47E-2</v>
      </c>
      <c r="EA66" s="733">
        <f t="shared" si="209"/>
        <v>1.6299999999999999E-2</v>
      </c>
      <c r="EB66" s="733">
        <f t="shared" ref="EB66:ED66" si="210">ROUND(EB64/EB53,4)</f>
        <v>1.8599999999999998E-2</v>
      </c>
      <c r="EC66" s="733">
        <f t="shared" si="210"/>
        <v>2.12E-2</v>
      </c>
      <c r="ED66" s="733">
        <f t="shared" si="210"/>
        <v>2.46E-2</v>
      </c>
    </row>
    <row r="67" spans="1:134">
      <c r="Z67" s="559"/>
      <c r="CI67" s="559"/>
      <c r="CJ67" s="559"/>
      <c r="CK67" s="559"/>
      <c r="CL67" s="559"/>
      <c r="CM67" s="559"/>
      <c r="CN67" s="559"/>
      <c r="CO67" s="559"/>
      <c r="CP67" s="559"/>
      <c r="CQ67" s="559"/>
      <c r="CR67" s="559"/>
      <c r="CS67" s="559"/>
      <c r="CT67" s="559"/>
      <c r="CU67" s="559"/>
      <c r="CV67" s="559"/>
      <c r="CW67" s="559"/>
      <c r="CX67" s="559"/>
      <c r="CY67" s="559"/>
      <c r="CZ67" s="559"/>
      <c r="DA67" s="559"/>
      <c r="DB67" s="559"/>
      <c r="DC67" s="559"/>
      <c r="DD67" s="559"/>
      <c r="DE67" s="559"/>
      <c r="DF67" s="559"/>
      <c r="DG67" s="559"/>
      <c r="DH67" s="559"/>
      <c r="DI67" s="559"/>
      <c r="DJ67" s="559"/>
      <c r="DK67" s="559"/>
      <c r="DL67" s="559"/>
      <c r="DM67" s="559"/>
      <c r="DN67" s="559"/>
      <c r="DO67" s="559"/>
      <c r="DP67" s="559"/>
      <c r="DQ67" s="559"/>
      <c r="DR67" s="559"/>
      <c r="DS67" s="559"/>
      <c r="DT67" s="559"/>
      <c r="DU67" s="559"/>
      <c r="DV67" s="559"/>
      <c r="DW67" s="559"/>
      <c r="DX67" s="559"/>
      <c r="DY67" s="559"/>
      <c r="DZ67" s="559"/>
      <c r="EA67" s="559"/>
      <c r="EB67" s="559"/>
      <c r="EC67" s="559"/>
      <c r="ED67" s="559"/>
    </row>
    <row r="68" spans="1:134" ht="15">
      <c r="B68" s="17" t="s">
        <v>2420</v>
      </c>
      <c r="Z68" s="559"/>
      <c r="CI68" s="733">
        <f>ROUND(CI64/CI51,4)</f>
        <v>1.9900000000000001E-2</v>
      </c>
      <c r="CJ68" s="733">
        <f t="shared" ref="CJ68:CS68" si="211">ROUND(CJ64/CJ51,4)</f>
        <v>2.76E-2</v>
      </c>
      <c r="CK68" s="733">
        <f t="shared" si="211"/>
        <v>3.3599999999999998E-2</v>
      </c>
      <c r="CL68" s="733">
        <f t="shared" si="211"/>
        <v>3.1800000000000002E-2</v>
      </c>
      <c r="CM68" s="733">
        <f t="shared" si="211"/>
        <v>4.6100000000000002E-2</v>
      </c>
      <c r="CN68" s="733">
        <f t="shared" si="211"/>
        <v>2.7699999999999999E-2</v>
      </c>
      <c r="CO68" s="733">
        <f t="shared" si="211"/>
        <v>4.1399999999999999E-2</v>
      </c>
      <c r="CP68" s="733">
        <f t="shared" si="211"/>
        <v>2.5899999999999999E-2</v>
      </c>
      <c r="CQ68" s="733">
        <f t="shared" si="211"/>
        <v>2.87E-2</v>
      </c>
      <c r="CR68" s="733">
        <f t="shared" si="211"/>
        <v>2.87E-2</v>
      </c>
      <c r="CS68" s="733">
        <f t="shared" si="211"/>
        <v>1.84E-2</v>
      </c>
      <c r="CT68" s="733">
        <f t="shared" ref="CT68:CY68" si="212">ROUND(CT64/CT51,4)</f>
        <v>1.6E-2</v>
      </c>
      <c r="CU68" s="733">
        <f t="shared" si="212"/>
        <v>1.3899999999999999E-2</v>
      </c>
      <c r="CV68" s="733">
        <f t="shared" si="212"/>
        <v>1.4800000000000001E-2</v>
      </c>
      <c r="CW68" s="733">
        <f t="shared" si="212"/>
        <v>1.5100000000000001E-2</v>
      </c>
      <c r="CX68" s="733">
        <f t="shared" si="212"/>
        <v>1.32E-2</v>
      </c>
      <c r="CY68" s="733">
        <f t="shared" si="212"/>
        <v>1.24E-2</v>
      </c>
      <c r="CZ68" s="733">
        <f t="shared" ref="CZ68:DF68" si="213">ROUND(CZ64/CZ51,4)</f>
        <v>1.43E-2</v>
      </c>
      <c r="DA68" s="733">
        <f t="shared" si="213"/>
        <v>1.1599999999999999E-2</v>
      </c>
      <c r="DB68" s="733">
        <f t="shared" si="213"/>
        <v>1.0200000000000001E-2</v>
      </c>
      <c r="DC68" s="733">
        <f t="shared" si="213"/>
        <v>1.09E-2</v>
      </c>
      <c r="DD68" s="733">
        <f t="shared" si="213"/>
        <v>9.9000000000000008E-3</v>
      </c>
      <c r="DE68" s="733">
        <f t="shared" si="213"/>
        <v>8.6E-3</v>
      </c>
      <c r="DF68" s="733">
        <f t="shared" si="213"/>
        <v>7.1999999999999998E-3</v>
      </c>
      <c r="DG68" s="733">
        <f t="shared" ref="DG68:DL68" si="214">ROUND(DG64/DG51,4)</f>
        <v>5.4999999999999997E-3</v>
      </c>
      <c r="DH68" s="733">
        <f t="shared" si="214"/>
        <v>5.0000000000000001E-3</v>
      </c>
      <c r="DI68" s="733">
        <f t="shared" si="214"/>
        <v>4.7000000000000002E-3</v>
      </c>
      <c r="DJ68" s="733">
        <f t="shared" si="214"/>
        <v>7.3499999999999996E-2</v>
      </c>
      <c r="DK68" s="733">
        <f t="shared" si="214"/>
        <v>6.0900000000000003E-2</v>
      </c>
      <c r="DL68" s="733">
        <f t="shared" si="214"/>
        <v>1.1900000000000001E-2</v>
      </c>
      <c r="DM68" s="733">
        <f t="shared" ref="DM68:DR68" si="215">ROUND(DM64/DM51,4)</f>
        <v>1.1900000000000001E-2</v>
      </c>
      <c r="DN68" s="733">
        <f t="shared" si="215"/>
        <v>1.1900000000000001E-2</v>
      </c>
      <c r="DO68" s="733">
        <f t="shared" si="215"/>
        <v>1.1900000000000001E-2</v>
      </c>
      <c r="DP68" s="733">
        <f t="shared" si="215"/>
        <v>1.1900000000000001E-2</v>
      </c>
      <c r="DQ68" s="733">
        <f t="shared" si="215"/>
        <v>1.1900000000000001E-2</v>
      </c>
      <c r="DR68" s="733">
        <f t="shared" si="215"/>
        <v>1.1900000000000001E-2</v>
      </c>
      <c r="DS68" s="733">
        <f t="shared" ref="DS68:DU68" si="216">ROUND(DS64/DS51,4)</f>
        <v>5.1000000000000004E-3</v>
      </c>
      <c r="DT68" s="733">
        <f t="shared" si="216"/>
        <v>6.7000000000000002E-3</v>
      </c>
      <c r="DU68" s="733">
        <f t="shared" si="216"/>
        <v>6.7000000000000002E-3</v>
      </c>
      <c r="DV68" s="733">
        <f t="shared" ref="DV68:DX68" si="217">ROUND(DV64/DV51,4)</f>
        <v>6.7999999999999996E-3</v>
      </c>
      <c r="DW68" s="733">
        <f t="shared" si="217"/>
        <v>7.6E-3</v>
      </c>
      <c r="DX68" s="733">
        <f t="shared" si="217"/>
        <v>7.7000000000000002E-3</v>
      </c>
      <c r="DY68" s="733">
        <f t="shared" ref="DY68:EA68" si="218">ROUND(DY64/DY51,4)</f>
        <v>1.3100000000000001E-2</v>
      </c>
      <c r="DZ68" s="733">
        <f t="shared" si="218"/>
        <v>1.6199999999999999E-2</v>
      </c>
      <c r="EA68" s="733">
        <f t="shared" si="218"/>
        <v>1.49E-2</v>
      </c>
      <c r="EB68" s="733">
        <f t="shared" ref="EB68:ED68" si="219">ROUND(EB64/EB51,4)</f>
        <v>1.7299999999999999E-2</v>
      </c>
      <c r="EC68" s="733">
        <f t="shared" si="219"/>
        <v>2.0199999999999999E-2</v>
      </c>
      <c r="ED68" s="733">
        <f t="shared" si="219"/>
        <v>2.3699999999999999E-2</v>
      </c>
    </row>
    <row r="69" spans="1:134">
      <c r="Z69" s="579"/>
    </row>
    <row r="70" spans="1:134" customFormat="1" ht="15.75">
      <c r="A70" s="553" t="s">
        <v>2343</v>
      </c>
      <c r="B70" s="554"/>
      <c r="C70" s="554"/>
    </row>
    <row r="71" spans="1:134" customFormat="1" ht="15">
      <c r="A71" s="8"/>
      <c r="B71" s="8"/>
      <c r="C71" s="8"/>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row>
    <row r="72" spans="1:134" customFormat="1" ht="15">
      <c r="A72" s="555"/>
      <c r="B72" s="556" t="s">
        <v>2344</v>
      </c>
      <c r="C72" s="8"/>
      <c r="BW72" s="748">
        <f t="shared" ref="BW72:CT72" si="220">+BW12</f>
        <v>43126</v>
      </c>
      <c r="BX72" s="748">
        <f t="shared" si="220"/>
        <v>43156</v>
      </c>
      <c r="BY72" s="748">
        <f t="shared" si="220"/>
        <v>43186</v>
      </c>
      <c r="BZ72" s="748">
        <f t="shared" si="220"/>
        <v>43216</v>
      </c>
      <c r="CA72" s="748">
        <f t="shared" si="220"/>
        <v>43246</v>
      </c>
      <c r="CB72" s="748">
        <f t="shared" si="220"/>
        <v>43276</v>
      </c>
      <c r="CC72" s="748">
        <f t="shared" si="220"/>
        <v>43306</v>
      </c>
      <c r="CD72" s="748">
        <f t="shared" si="220"/>
        <v>43336</v>
      </c>
      <c r="CE72" s="748">
        <f t="shared" si="220"/>
        <v>43366</v>
      </c>
      <c r="CF72" s="748">
        <f t="shared" si="220"/>
        <v>43396</v>
      </c>
      <c r="CG72" s="748">
        <f t="shared" si="220"/>
        <v>43426</v>
      </c>
      <c r="CH72" s="748">
        <f t="shared" si="220"/>
        <v>43456</v>
      </c>
      <c r="CI72" s="748">
        <f t="shared" si="220"/>
        <v>43486</v>
      </c>
      <c r="CJ72" s="748">
        <f t="shared" si="220"/>
        <v>43516</v>
      </c>
      <c r="CK72" s="748">
        <f t="shared" si="220"/>
        <v>43546</v>
      </c>
      <c r="CL72" s="748">
        <f t="shared" si="220"/>
        <v>43576</v>
      </c>
      <c r="CM72" s="748">
        <f t="shared" si="220"/>
        <v>43606</v>
      </c>
      <c r="CN72" s="748">
        <f t="shared" si="220"/>
        <v>43636</v>
      </c>
      <c r="CO72" s="748">
        <f t="shared" si="220"/>
        <v>43666</v>
      </c>
      <c r="CP72" s="748">
        <f t="shared" si="220"/>
        <v>43696</v>
      </c>
      <c r="CQ72" s="748">
        <f t="shared" si="220"/>
        <v>43726</v>
      </c>
      <c r="CR72" s="748">
        <f t="shared" si="220"/>
        <v>43756</v>
      </c>
      <c r="CS72" s="748">
        <f t="shared" si="220"/>
        <v>43786</v>
      </c>
      <c r="CT72" s="748">
        <f t="shared" si="220"/>
        <v>43816</v>
      </c>
      <c r="CU72" s="748">
        <f t="shared" ref="CU72:CZ72" si="221">+CU12</f>
        <v>43846</v>
      </c>
      <c r="CV72" s="748">
        <f t="shared" si="221"/>
        <v>43876</v>
      </c>
      <c r="CW72" s="748">
        <f t="shared" si="221"/>
        <v>43906</v>
      </c>
      <c r="CX72" s="748">
        <f t="shared" si="221"/>
        <v>43936</v>
      </c>
      <c r="CY72" s="748">
        <f t="shared" si="221"/>
        <v>43966</v>
      </c>
      <c r="CZ72" s="748">
        <f t="shared" si="221"/>
        <v>43996</v>
      </c>
      <c r="DA72" s="748">
        <f t="shared" ref="DA72:DF72" si="222">+DA12</f>
        <v>44026</v>
      </c>
      <c r="DB72" s="748">
        <f t="shared" si="222"/>
        <v>44056</v>
      </c>
      <c r="DC72" s="748">
        <f t="shared" si="222"/>
        <v>44086</v>
      </c>
      <c r="DD72" s="748">
        <f t="shared" si="222"/>
        <v>44116</v>
      </c>
      <c r="DE72" s="748">
        <f t="shared" si="222"/>
        <v>44146</v>
      </c>
      <c r="DF72" s="748">
        <f t="shared" si="222"/>
        <v>44176</v>
      </c>
      <c r="DG72" s="748">
        <f t="shared" ref="DG72:DL72" si="223">+DG12</f>
        <v>44206</v>
      </c>
      <c r="DH72" s="748">
        <f t="shared" si="223"/>
        <v>44236</v>
      </c>
      <c r="DI72" s="748">
        <f t="shared" si="223"/>
        <v>44266</v>
      </c>
      <c r="DJ72" s="748">
        <f t="shared" si="223"/>
        <v>44296</v>
      </c>
      <c r="DK72" s="748">
        <f t="shared" si="223"/>
        <v>44326</v>
      </c>
      <c r="DL72" s="748">
        <f t="shared" si="223"/>
        <v>44356</v>
      </c>
      <c r="DM72" s="748">
        <f t="shared" ref="DM72:DR72" si="224">+DM12</f>
        <v>44386</v>
      </c>
      <c r="DN72" s="748">
        <f t="shared" si="224"/>
        <v>44416</v>
      </c>
      <c r="DO72" s="748">
        <f t="shared" si="224"/>
        <v>44446</v>
      </c>
      <c r="DP72" s="748">
        <f t="shared" si="224"/>
        <v>44476</v>
      </c>
      <c r="DQ72" s="748">
        <f t="shared" si="224"/>
        <v>44506</v>
      </c>
      <c r="DR72" s="748">
        <f t="shared" si="224"/>
        <v>44536</v>
      </c>
      <c r="DS72" s="748">
        <f t="shared" ref="DS72:DU72" si="225">+DS12</f>
        <v>44566</v>
      </c>
      <c r="DT72" s="748">
        <f t="shared" si="225"/>
        <v>44596</v>
      </c>
      <c r="DU72" s="748">
        <f t="shared" si="225"/>
        <v>44626</v>
      </c>
      <c r="DV72" s="748">
        <f t="shared" ref="DV72:DX72" si="226">+DV12</f>
        <v>44656</v>
      </c>
      <c r="DW72" s="748">
        <f t="shared" si="226"/>
        <v>44686</v>
      </c>
      <c r="DX72" s="748">
        <f t="shared" si="226"/>
        <v>44716</v>
      </c>
      <c r="DY72" s="748">
        <f t="shared" ref="DY72:EA72" si="227">+DY12</f>
        <v>44746</v>
      </c>
      <c r="DZ72" s="748">
        <f t="shared" si="227"/>
        <v>44776</v>
      </c>
      <c r="EA72" s="748">
        <f t="shared" si="227"/>
        <v>44806</v>
      </c>
      <c r="EB72" s="748">
        <f t="shared" ref="EB72:ED72" si="228">+EB12</f>
        <v>44836</v>
      </c>
      <c r="EC72" s="748">
        <f t="shared" si="228"/>
        <v>44866</v>
      </c>
      <c r="ED72" s="748">
        <f t="shared" si="228"/>
        <v>44896</v>
      </c>
    </row>
    <row r="73" spans="1:134" customFormat="1" ht="15">
      <c r="C73" s="8"/>
    </row>
    <row r="74" spans="1:134" customFormat="1" ht="15">
      <c r="A74" s="210" t="s">
        <v>2345</v>
      </c>
      <c r="B74" t="s">
        <v>2346</v>
      </c>
      <c r="C74" s="8"/>
      <c r="BW74" s="749">
        <v>25537.703129999998</v>
      </c>
      <c r="BX74" s="749">
        <v>25569.38091</v>
      </c>
      <c r="BY74" s="749">
        <v>25629.339929999998</v>
      </c>
      <c r="BZ74" s="749">
        <v>25705.333899999998</v>
      </c>
      <c r="CA74" s="749">
        <v>25790.760979999999</v>
      </c>
      <c r="CB74" s="749">
        <v>25830.275280000002</v>
      </c>
      <c r="CC74" s="749">
        <v>25852.232690000001</v>
      </c>
      <c r="CD74" s="749">
        <v>25925.983190000003</v>
      </c>
      <c r="CE74" s="749">
        <v>25893.012340000001</v>
      </c>
      <c r="CF74" s="749">
        <v>25992.2575</v>
      </c>
      <c r="CG74" s="749">
        <v>25966.855820000001</v>
      </c>
      <c r="CH74" s="749">
        <v>25903.685430000001</v>
      </c>
      <c r="CI74" s="749">
        <v>25867.705320000001</v>
      </c>
      <c r="CJ74" s="749">
        <v>25898.455109999999</v>
      </c>
      <c r="CK74" s="560">
        <v>25925.131819999999</v>
      </c>
      <c r="CL74" s="560">
        <v>25847.349969999999</v>
      </c>
      <c r="CM74" s="560">
        <v>25870.81739</v>
      </c>
      <c r="CN74" s="560">
        <v>25868.020230000002</v>
      </c>
      <c r="CO74" s="560">
        <v>25768.615089999999</v>
      </c>
      <c r="CP74" s="560">
        <v>25686.969590000001</v>
      </c>
      <c r="CQ74" s="560">
        <v>25634.262850000003</v>
      </c>
      <c r="CR74" s="560">
        <v>25695.380539999998</v>
      </c>
      <c r="CS74" s="560">
        <v>25691.903879999998</v>
      </c>
      <c r="CT74" s="560">
        <v>25704.516</v>
      </c>
      <c r="CU74" s="560">
        <v>25665.571920000002</v>
      </c>
      <c r="CV74" s="560">
        <v>25728.44166</v>
      </c>
      <c r="CW74" s="560">
        <v>25721.300809999997</v>
      </c>
      <c r="CX74" s="560">
        <v>25668.756000000001</v>
      </c>
      <c r="CY74" s="560">
        <v>25569.201969999998</v>
      </c>
      <c r="CZ74" s="560">
        <v>25464.047059999997</v>
      </c>
      <c r="DA74" s="560">
        <v>25456.79927</v>
      </c>
      <c r="DB74" s="560">
        <v>25416.773229999999</v>
      </c>
      <c r="DC74" s="560">
        <v>25432.97277</v>
      </c>
      <c r="DD74" s="560">
        <v>25393.55068</v>
      </c>
      <c r="DE74" s="560">
        <v>25333.30543</v>
      </c>
      <c r="DF74" s="560">
        <v>25075.278079999996</v>
      </c>
      <c r="DG74" s="560">
        <v>25241.811829999999</v>
      </c>
      <c r="DH74" s="560">
        <v>25273.973249999999</v>
      </c>
      <c r="DI74" s="560">
        <v>25387.42038</v>
      </c>
      <c r="DJ74" s="560">
        <v>25318.474699999999</v>
      </c>
      <c r="DK74" s="560">
        <v>25407.263769999998</v>
      </c>
      <c r="DL74" s="560">
        <v>25529.439879999998</v>
      </c>
      <c r="DM74" s="560">
        <f>+'Bal Sheet'!EN93</f>
        <v>25706.203600000001</v>
      </c>
      <c r="DN74" s="560">
        <f>+'Bal Sheet'!EO93</f>
        <v>25782.52836</v>
      </c>
      <c r="DO74" s="560">
        <f>+'Bal Sheet'!EP93</f>
        <v>25962.796670000003</v>
      </c>
      <c r="DP74" s="560">
        <f>+'Bal Sheet'!EQ93</f>
        <v>26074.226340000001</v>
      </c>
      <c r="DQ74" s="560">
        <f>+'Bal Sheet'!ER93</f>
        <v>26300.461460000002</v>
      </c>
      <c r="DR74" s="560">
        <f>+'Bal Sheet'!ES93</f>
        <v>26450.409190000002</v>
      </c>
      <c r="DS74" s="560">
        <f>+'Bal Sheet'!ET93</f>
        <v>26724.60528</v>
      </c>
      <c r="DT74" s="560">
        <f>+'Bal Sheet'!EU93</f>
        <v>26837.940440000002</v>
      </c>
      <c r="DU74" s="560">
        <f>+'Bal Sheet'!EV93</f>
        <v>27025.575949999999</v>
      </c>
      <c r="DV74" s="560">
        <f>+'Bal Sheet'!EW93</f>
        <v>27142.982909999999</v>
      </c>
      <c r="DW74" s="560">
        <f>+'Bal Sheet'!EX93</f>
        <v>27369.426920000002</v>
      </c>
      <c r="DX74" s="560">
        <f>+'Bal Sheet'!EY93</f>
        <v>27734.4241</v>
      </c>
      <c r="DY74" s="560">
        <f>+'Bal Sheet'!EZ93</f>
        <v>27952.511770000001</v>
      </c>
      <c r="DZ74" s="560">
        <f>+'Bal Sheet'!FA93</f>
        <v>28170.52145</v>
      </c>
      <c r="EA74" s="560">
        <f>+'Bal Sheet'!FB93</f>
        <v>28457.241420000002</v>
      </c>
      <c r="EB74" s="560">
        <f>+'Bal Sheet'!FC93</f>
        <v>28627.534520000001</v>
      </c>
      <c r="EC74" s="560">
        <f>+'Bal Sheet'!FD93</f>
        <v>28840.164270000001</v>
      </c>
      <c r="ED74" s="560">
        <f>+'Bal Sheet'!FE93</f>
        <v>29144.41906</v>
      </c>
    </row>
    <row r="75" spans="1:134" customFormat="1" ht="15">
      <c r="A75" s="210" t="s">
        <v>2347</v>
      </c>
      <c r="B75" t="s">
        <v>2348</v>
      </c>
      <c r="C75" s="8"/>
      <c r="BW75" s="749">
        <v>826</v>
      </c>
      <c r="BX75" s="749">
        <v>826</v>
      </c>
      <c r="BY75" s="749">
        <v>826</v>
      </c>
      <c r="BZ75" s="749">
        <v>826</v>
      </c>
      <c r="CA75" s="749">
        <v>826</v>
      </c>
      <c r="CB75" s="749">
        <v>836</v>
      </c>
      <c r="CC75" s="749">
        <v>836</v>
      </c>
      <c r="CD75" s="749">
        <v>661</v>
      </c>
      <c r="CE75" s="749">
        <v>661</v>
      </c>
      <c r="CF75" s="749">
        <v>511</v>
      </c>
      <c r="CG75" s="749">
        <v>511</v>
      </c>
      <c r="CH75" s="749">
        <v>511</v>
      </c>
      <c r="CI75" s="749">
        <v>511</v>
      </c>
      <c r="CJ75" s="749">
        <v>511</v>
      </c>
      <c r="CK75" s="562">
        <v>511</v>
      </c>
      <c r="CL75" s="562">
        <v>521</v>
      </c>
      <c r="CM75" s="562">
        <v>521</v>
      </c>
      <c r="CN75" s="562">
        <v>521</v>
      </c>
      <c r="CO75" s="562">
        <v>605</v>
      </c>
      <c r="CP75" s="562">
        <v>595</v>
      </c>
      <c r="CQ75" s="562">
        <v>569</v>
      </c>
      <c r="CR75" s="562">
        <v>569</v>
      </c>
      <c r="CS75" s="562">
        <v>569</v>
      </c>
      <c r="CT75" s="562">
        <v>569</v>
      </c>
      <c r="CU75" s="562">
        <v>569</v>
      </c>
      <c r="CV75" s="562">
        <v>594</v>
      </c>
      <c r="CW75" s="562">
        <v>594</v>
      </c>
      <c r="CX75" s="562">
        <v>594</v>
      </c>
      <c r="CY75" s="562">
        <v>594</v>
      </c>
      <c r="CZ75" s="562">
        <v>594</v>
      </c>
      <c r="DA75" s="562">
        <v>594</v>
      </c>
      <c r="DB75" s="562">
        <v>594</v>
      </c>
      <c r="DC75" s="562">
        <v>594</v>
      </c>
      <c r="DD75" s="562">
        <v>594</v>
      </c>
      <c r="DE75" s="562">
        <v>594</v>
      </c>
      <c r="DF75" s="562">
        <v>594</v>
      </c>
      <c r="DG75" s="562">
        <v>594</v>
      </c>
      <c r="DH75" s="562">
        <v>589</v>
      </c>
      <c r="DI75" s="562">
        <v>589</v>
      </c>
      <c r="DJ75" s="562">
        <v>589</v>
      </c>
      <c r="DK75" s="562">
        <v>589</v>
      </c>
      <c r="DL75" s="562">
        <v>589</v>
      </c>
      <c r="DM75" s="562">
        <f>+'Bal Sheet'!EN78</f>
        <v>579</v>
      </c>
      <c r="DN75" s="562">
        <f>+'Bal Sheet'!EO78</f>
        <v>579</v>
      </c>
      <c r="DO75" s="562">
        <f>+'Bal Sheet'!EP78</f>
        <v>579</v>
      </c>
      <c r="DP75" s="562">
        <f>+'Bal Sheet'!EQ78</f>
        <v>604</v>
      </c>
      <c r="DQ75" s="562">
        <f>+'Bal Sheet'!ER78</f>
        <v>604</v>
      </c>
      <c r="DR75" s="562">
        <f>+'Bal Sheet'!ES78</f>
        <v>604</v>
      </c>
      <c r="DS75" s="562">
        <f>+'Bal Sheet'!ET78</f>
        <v>604</v>
      </c>
      <c r="DT75" s="562">
        <f>+'Bal Sheet'!EU78</f>
        <v>604</v>
      </c>
      <c r="DU75" s="562">
        <f>+'Bal Sheet'!EV78</f>
        <v>604</v>
      </c>
      <c r="DV75" s="562">
        <f>+'Bal Sheet'!EW78</f>
        <v>604</v>
      </c>
      <c r="DW75" s="562">
        <f>+'Bal Sheet'!EX78</f>
        <v>614</v>
      </c>
      <c r="DX75" s="562">
        <f>+'Bal Sheet'!EY78</f>
        <v>614</v>
      </c>
      <c r="DY75" s="562">
        <f>+'Bal Sheet'!EZ78</f>
        <v>614</v>
      </c>
      <c r="DZ75" s="562">
        <f>+'Bal Sheet'!FA78</f>
        <v>614</v>
      </c>
      <c r="EA75" s="562">
        <f>+'Bal Sheet'!FB78</f>
        <v>614</v>
      </c>
      <c r="EB75" s="562">
        <f>+'Bal Sheet'!FC78</f>
        <v>614</v>
      </c>
      <c r="EC75" s="562">
        <f>+'Bal Sheet'!FD78</f>
        <v>614</v>
      </c>
      <c r="ED75" s="562">
        <f>+'Bal Sheet'!FE78</f>
        <v>715</v>
      </c>
    </row>
    <row r="76" spans="1:134" customFormat="1" ht="15">
      <c r="A76" s="210" t="s">
        <v>2349</v>
      </c>
      <c r="B76" t="s">
        <v>2350</v>
      </c>
      <c r="C76" s="8"/>
      <c r="BW76" s="750">
        <v>418.29614000000004</v>
      </c>
      <c r="BX76" s="750">
        <v>420.2747</v>
      </c>
      <c r="BY76" s="750">
        <v>398.13698999999997</v>
      </c>
      <c r="BZ76" s="750">
        <v>18.499890000000001</v>
      </c>
      <c r="CA76" s="750">
        <v>17.96782</v>
      </c>
      <c r="CB76" s="750">
        <v>11.903780000000001</v>
      </c>
      <c r="CC76" s="750">
        <v>11.903780000000001</v>
      </c>
      <c r="CD76" s="750">
        <v>11.931760000000001</v>
      </c>
      <c r="CE76" s="750">
        <v>10.16513</v>
      </c>
      <c r="CF76" s="750">
        <v>0.55321000000000009</v>
      </c>
      <c r="CG76" s="750">
        <v>0.55321000000000009</v>
      </c>
      <c r="CH76" s="750">
        <v>0.55321000000000009</v>
      </c>
      <c r="CI76" s="750">
        <v>0.55321000000000009</v>
      </c>
      <c r="CJ76" s="750">
        <v>0.52522999999999997</v>
      </c>
      <c r="CK76" s="807">
        <v>0.52522999999999997</v>
      </c>
      <c r="CL76" s="807">
        <v>-2.26512</v>
      </c>
      <c r="CM76" s="807">
        <v>1.2217199999999999</v>
      </c>
      <c r="CN76" s="807">
        <v>1.4446300000000001</v>
      </c>
      <c r="CO76" s="807">
        <v>1.4446300000000001</v>
      </c>
      <c r="CP76" s="807">
        <v>4.1596299999999999</v>
      </c>
      <c r="CQ76" s="807">
        <v>-2.3749600000000002</v>
      </c>
      <c r="CR76" s="807">
        <v>2.0500400000000001</v>
      </c>
      <c r="CS76" s="807">
        <v>5.9486000000000008</v>
      </c>
      <c r="CT76" s="807">
        <v>5.9486000000000008</v>
      </c>
      <c r="CU76" s="807">
        <v>5.9486000000000008</v>
      </c>
      <c r="CV76" s="807">
        <v>7.5486000000000004</v>
      </c>
      <c r="CW76" s="807">
        <v>37.371169999999999</v>
      </c>
      <c r="CX76" s="807">
        <v>37.371169999999999</v>
      </c>
      <c r="CY76" s="807">
        <v>32.093110000000003</v>
      </c>
      <c r="CZ76" s="807">
        <v>31.462919999999997</v>
      </c>
      <c r="DA76" s="807">
        <v>31.20412</v>
      </c>
      <c r="DB76" s="807">
        <v>34.579120000000003</v>
      </c>
      <c r="DC76" s="807">
        <v>28.95168</v>
      </c>
      <c r="DD76" s="807">
        <v>26.57002</v>
      </c>
      <c r="DE76" s="807">
        <v>26.57002</v>
      </c>
      <c r="DF76" s="807">
        <v>26.425129999999999</v>
      </c>
      <c r="DG76" s="807">
        <v>35.625129999999999</v>
      </c>
      <c r="DH76" s="807">
        <v>49.118730000000006</v>
      </c>
      <c r="DI76" s="807">
        <v>48.930610000000001</v>
      </c>
      <c r="DJ76" s="807">
        <v>48.868660000000006</v>
      </c>
      <c r="DK76" s="807">
        <v>46.580419999999997</v>
      </c>
      <c r="DL76" s="807">
        <v>47.880420000000001</v>
      </c>
      <c r="DM76" s="807">
        <f>+'Bal Sheet'!EN84</f>
        <v>48.230419999999995</v>
      </c>
      <c r="DN76" s="807">
        <f>+'Bal Sheet'!EO84</f>
        <v>48.230419999999995</v>
      </c>
      <c r="DO76" s="807">
        <f>+'Bal Sheet'!EP84</f>
        <v>48.230419999999995</v>
      </c>
      <c r="DP76" s="807">
        <f>+'Bal Sheet'!EQ84</f>
        <v>51.395890000000001</v>
      </c>
      <c r="DQ76" s="807">
        <f>+'Bal Sheet'!ER84</f>
        <v>51.289389999999997</v>
      </c>
      <c r="DR76" s="807">
        <f>+'Bal Sheet'!ES84</f>
        <v>51.289389999999997</v>
      </c>
      <c r="DS76" s="807">
        <f>+'Bal Sheet'!ET84</f>
        <v>51.289389999999997</v>
      </c>
      <c r="DT76" s="807">
        <f>+'Bal Sheet'!EU84</f>
        <v>52.022760000000005</v>
      </c>
      <c r="DU76" s="807">
        <f>+'Bal Sheet'!EV84</f>
        <v>87.422029999999992</v>
      </c>
      <c r="DV76" s="807">
        <f>+'Bal Sheet'!EW84</f>
        <v>87.422029999999992</v>
      </c>
      <c r="DW76" s="807">
        <f>+'Bal Sheet'!EX84</f>
        <v>87.422029999999992</v>
      </c>
      <c r="DX76" s="807">
        <f>+'Bal Sheet'!EY84</f>
        <v>91.297029999999992</v>
      </c>
      <c r="DY76" s="807">
        <f>+'Bal Sheet'!EZ84</f>
        <v>91.297029999999992</v>
      </c>
      <c r="DZ76" s="807">
        <f>+'Bal Sheet'!FA84</f>
        <v>91.297029999999992</v>
      </c>
      <c r="EA76" s="807">
        <f>+'Bal Sheet'!FB84</f>
        <v>93.897030000000001</v>
      </c>
      <c r="EB76" s="807">
        <f>+'Bal Sheet'!FC84</f>
        <v>93.727220000000003</v>
      </c>
      <c r="EC76" s="807">
        <f>+'Bal Sheet'!FD84</f>
        <v>93.246369999999999</v>
      </c>
      <c r="ED76" s="807">
        <f>+'Bal Sheet'!FE84</f>
        <v>93.246369999999999</v>
      </c>
    </row>
    <row r="77" spans="1:134" customFormat="1" ht="15">
      <c r="B77" s="564" t="s">
        <v>2344</v>
      </c>
      <c r="C77" s="8"/>
      <c r="BW77" s="749">
        <f t="shared" ref="BW77:CS77" si="229">SUM(BW74:BW76)</f>
        <v>26781.999269999997</v>
      </c>
      <c r="BX77" s="749">
        <f t="shared" si="229"/>
        <v>26815.655610000002</v>
      </c>
      <c r="BY77" s="749">
        <f t="shared" si="229"/>
        <v>26853.476919999997</v>
      </c>
      <c r="BZ77" s="749">
        <f t="shared" si="229"/>
        <v>26549.833789999997</v>
      </c>
      <c r="CA77" s="749">
        <f t="shared" si="229"/>
        <v>26634.728800000001</v>
      </c>
      <c r="CB77" s="749">
        <f t="shared" si="229"/>
        <v>26678.179060000002</v>
      </c>
      <c r="CC77" s="749">
        <f t="shared" si="229"/>
        <v>26700.136470000001</v>
      </c>
      <c r="CD77" s="749">
        <f t="shared" si="229"/>
        <v>26598.914950000002</v>
      </c>
      <c r="CE77" s="749">
        <f t="shared" si="229"/>
        <v>26564.177470000002</v>
      </c>
      <c r="CF77" s="749">
        <f t="shared" si="229"/>
        <v>26503.810709999998</v>
      </c>
      <c r="CG77" s="749">
        <f t="shared" si="229"/>
        <v>26478.409029999999</v>
      </c>
      <c r="CH77" s="749">
        <f t="shared" si="229"/>
        <v>26415.23864</v>
      </c>
      <c r="CI77" s="749">
        <f t="shared" si="229"/>
        <v>26379.258529999999</v>
      </c>
      <c r="CJ77" s="749">
        <f t="shared" si="229"/>
        <v>26409.980339999998</v>
      </c>
      <c r="CK77" s="749">
        <f t="shared" si="229"/>
        <v>26436.657049999998</v>
      </c>
      <c r="CL77" s="749">
        <f t="shared" si="229"/>
        <v>26366.084849999999</v>
      </c>
      <c r="CM77" s="749">
        <f t="shared" si="229"/>
        <v>26393.039110000002</v>
      </c>
      <c r="CN77" s="749">
        <f t="shared" si="229"/>
        <v>26390.464860000004</v>
      </c>
      <c r="CO77" s="749">
        <f t="shared" si="229"/>
        <v>26375.059720000001</v>
      </c>
      <c r="CP77" s="749">
        <f t="shared" si="229"/>
        <v>26286.129219999999</v>
      </c>
      <c r="CQ77" s="749">
        <f t="shared" si="229"/>
        <v>26200.887890000002</v>
      </c>
      <c r="CR77" s="749">
        <f t="shared" si="229"/>
        <v>26266.430579999997</v>
      </c>
      <c r="CS77" s="749">
        <f t="shared" si="229"/>
        <v>26266.852479999998</v>
      </c>
      <c r="CT77" s="749">
        <f t="shared" ref="CT77:CY77" si="230">SUM(CT74:CT76)</f>
        <v>26279.464599999999</v>
      </c>
      <c r="CU77" s="749">
        <f t="shared" si="230"/>
        <v>26240.520520000002</v>
      </c>
      <c r="CV77" s="749">
        <f t="shared" si="230"/>
        <v>26329.990259999999</v>
      </c>
      <c r="CW77" s="749">
        <f t="shared" si="230"/>
        <v>26352.671979999996</v>
      </c>
      <c r="CX77" s="749">
        <f t="shared" si="230"/>
        <v>26300.12717</v>
      </c>
      <c r="CY77" s="749">
        <f t="shared" si="230"/>
        <v>26195.29508</v>
      </c>
      <c r="CZ77" s="749">
        <f t="shared" ref="CZ77:DF77" si="231">SUM(CZ74:CZ76)</f>
        <v>26089.509979999999</v>
      </c>
      <c r="DA77" s="749">
        <f t="shared" si="231"/>
        <v>26082.003389999998</v>
      </c>
      <c r="DB77" s="749">
        <f t="shared" si="231"/>
        <v>26045.352349999997</v>
      </c>
      <c r="DC77" s="749">
        <f t="shared" si="231"/>
        <v>26055.924449999999</v>
      </c>
      <c r="DD77" s="749">
        <f t="shared" si="231"/>
        <v>26014.120699999999</v>
      </c>
      <c r="DE77" s="749">
        <f t="shared" si="231"/>
        <v>25953.87545</v>
      </c>
      <c r="DF77" s="749">
        <f t="shared" si="231"/>
        <v>25695.703209999996</v>
      </c>
      <c r="DG77" s="749">
        <f t="shared" ref="DG77:DL77" si="232">SUM(DG74:DG76)</f>
        <v>25871.436959999999</v>
      </c>
      <c r="DH77" s="749">
        <f t="shared" si="232"/>
        <v>25912.091979999997</v>
      </c>
      <c r="DI77" s="749">
        <f t="shared" si="232"/>
        <v>26025.350989999999</v>
      </c>
      <c r="DJ77" s="749">
        <f t="shared" si="232"/>
        <v>25956.343359999999</v>
      </c>
      <c r="DK77" s="749">
        <f t="shared" si="232"/>
        <v>26042.844189999996</v>
      </c>
      <c r="DL77" s="749">
        <f t="shared" si="232"/>
        <v>26166.320299999999</v>
      </c>
      <c r="DM77" s="749">
        <f t="shared" ref="DM77:DR77" si="233">SUM(DM74:DM76)</f>
        <v>26333.434020000001</v>
      </c>
      <c r="DN77" s="749">
        <f t="shared" si="233"/>
        <v>26409.75878</v>
      </c>
      <c r="DO77" s="749">
        <f t="shared" si="233"/>
        <v>26590.027090000003</v>
      </c>
      <c r="DP77" s="749">
        <f t="shared" si="233"/>
        <v>26729.622230000001</v>
      </c>
      <c r="DQ77" s="749">
        <f t="shared" si="233"/>
        <v>26955.750850000004</v>
      </c>
      <c r="DR77" s="749">
        <f t="shared" si="233"/>
        <v>27105.698580000004</v>
      </c>
      <c r="DS77" s="749">
        <f t="shared" ref="DS77:DU77" si="234">SUM(DS74:DS76)</f>
        <v>27379.894670000001</v>
      </c>
      <c r="DT77" s="749">
        <f t="shared" si="234"/>
        <v>27493.963200000002</v>
      </c>
      <c r="DU77" s="749">
        <f t="shared" si="234"/>
        <v>27716.99798</v>
      </c>
      <c r="DV77" s="749">
        <f t="shared" ref="DV77:DX77" si="235">SUM(DV74:DV76)</f>
        <v>27834.40494</v>
      </c>
      <c r="DW77" s="749">
        <f t="shared" si="235"/>
        <v>28070.848950000003</v>
      </c>
      <c r="DX77" s="749">
        <f t="shared" si="235"/>
        <v>28439.721130000002</v>
      </c>
      <c r="DY77" s="749">
        <f t="shared" ref="DY77:EA77" si="236">SUM(DY74:DY76)</f>
        <v>28657.808800000003</v>
      </c>
      <c r="DZ77" s="749">
        <f t="shared" si="236"/>
        <v>28875.818480000002</v>
      </c>
      <c r="EA77" s="749">
        <f t="shared" si="236"/>
        <v>29165.138450000002</v>
      </c>
      <c r="EB77" s="749">
        <f t="shared" ref="EB77:ED77" si="237">SUM(EB74:EB76)</f>
        <v>29335.261740000002</v>
      </c>
      <c r="EC77" s="749">
        <f t="shared" si="237"/>
        <v>29547.410640000002</v>
      </c>
      <c r="ED77" s="749">
        <f t="shared" si="237"/>
        <v>29952.665430000001</v>
      </c>
    </row>
    <row r="78" spans="1:134" customFormat="1" ht="15">
      <c r="C78" s="8"/>
      <c r="BW78" s="749"/>
      <c r="BX78" s="749"/>
      <c r="BY78" s="749"/>
      <c r="BZ78" s="749"/>
      <c r="CA78" s="749"/>
      <c r="CB78" s="749"/>
      <c r="CC78" s="749"/>
      <c r="CD78" s="749"/>
      <c r="CE78" s="749"/>
      <c r="CF78" s="749"/>
      <c r="CG78" s="749"/>
      <c r="CH78" s="749"/>
      <c r="CI78" s="749"/>
      <c r="CJ78" s="749"/>
      <c r="CK78" s="749"/>
      <c r="CL78" s="749"/>
      <c r="CM78" s="749"/>
      <c r="CN78" s="749"/>
      <c r="CO78" s="749"/>
      <c r="CP78" s="749"/>
      <c r="CQ78" s="749"/>
      <c r="CR78" s="749"/>
      <c r="CS78" s="749"/>
      <c r="CT78" s="749"/>
      <c r="CU78" s="749"/>
      <c r="CV78" s="749"/>
      <c r="CW78" s="749"/>
      <c r="CX78" s="749"/>
      <c r="CY78" s="749"/>
      <c r="CZ78" s="749"/>
      <c r="DA78" s="749"/>
      <c r="DB78" s="749"/>
      <c r="DC78" s="749"/>
      <c r="DD78" s="749"/>
      <c r="DE78" s="749"/>
      <c r="DF78" s="749"/>
      <c r="DG78" s="749"/>
      <c r="DH78" s="749"/>
      <c r="DI78" s="749"/>
      <c r="DJ78" s="749"/>
      <c r="DK78" s="749"/>
      <c r="DL78" s="749"/>
      <c r="DM78" s="749"/>
      <c r="DN78" s="749"/>
      <c r="DO78" s="749"/>
      <c r="DP78" s="749"/>
      <c r="DQ78" s="749"/>
      <c r="DR78" s="749"/>
      <c r="DS78" s="749"/>
      <c r="DT78" s="749"/>
      <c r="DU78" s="749"/>
      <c r="DV78" s="749"/>
      <c r="DW78" s="749"/>
      <c r="DX78" s="749"/>
      <c r="DY78" s="749"/>
      <c r="DZ78" s="749"/>
      <c r="EA78" s="749"/>
      <c r="EB78" s="749"/>
      <c r="EC78" s="749"/>
      <c r="ED78" s="749"/>
    </row>
    <row r="79" spans="1:134" customFormat="1" ht="15">
      <c r="B79" s="751" t="s">
        <v>2351</v>
      </c>
      <c r="C79" s="8"/>
      <c r="BW79" s="749"/>
      <c r="BX79" s="749"/>
      <c r="BY79" s="749"/>
      <c r="BZ79" s="749"/>
      <c r="CA79" s="749"/>
      <c r="CB79" s="749"/>
      <c r="CC79" s="749"/>
      <c r="CD79" s="749"/>
      <c r="CE79" s="749"/>
      <c r="CF79" s="749"/>
      <c r="CG79" s="749"/>
      <c r="CH79" s="749"/>
      <c r="CI79" s="749">
        <f t="shared" ref="CI79:CS79" si="238">SUM(BW77:CI77)/13</f>
        <v>26611.832249999999</v>
      </c>
      <c r="CJ79" s="749">
        <f t="shared" si="238"/>
        <v>26583.215409230768</v>
      </c>
      <c r="CK79" s="380">
        <f t="shared" si="238"/>
        <v>26554.061673846154</v>
      </c>
      <c r="CL79" s="380">
        <f t="shared" si="238"/>
        <v>26516.569976153845</v>
      </c>
      <c r="CM79" s="380">
        <f t="shared" si="238"/>
        <v>26504.508846923072</v>
      </c>
      <c r="CN79" s="380">
        <f t="shared" si="238"/>
        <v>26485.719313076926</v>
      </c>
      <c r="CO79" s="380">
        <f t="shared" si="238"/>
        <v>26462.402440769234</v>
      </c>
      <c r="CP79" s="380">
        <f t="shared" si="238"/>
        <v>26430.555729230771</v>
      </c>
      <c r="CQ79" s="380">
        <f t="shared" si="238"/>
        <v>26399.938263076925</v>
      </c>
      <c r="CR79" s="380">
        <f t="shared" si="238"/>
        <v>26377.03465615385</v>
      </c>
      <c r="CS79" s="380">
        <f t="shared" si="238"/>
        <v>26358.807099999998</v>
      </c>
      <c r="CT79" s="380">
        <f t="shared" ref="CT79:DL79" si="239">SUM(CH77:CT77)/13</f>
        <v>26343.503682307692</v>
      </c>
      <c r="CU79" s="380">
        <f t="shared" si="239"/>
        <v>26330.06382692308</v>
      </c>
      <c r="CV79" s="380">
        <f t="shared" si="239"/>
        <v>26326.273959999999</v>
      </c>
      <c r="CW79" s="380">
        <f t="shared" si="239"/>
        <v>26321.865624615384</v>
      </c>
      <c r="CX79" s="380">
        <f t="shared" si="239"/>
        <v>26311.363326153842</v>
      </c>
      <c r="CY79" s="380">
        <f t="shared" si="239"/>
        <v>26298.225651538462</v>
      </c>
      <c r="CZ79" s="380">
        <f t="shared" si="239"/>
        <v>26274.877256923071</v>
      </c>
      <c r="DA79" s="380">
        <f t="shared" si="239"/>
        <v>26251.149451538455</v>
      </c>
      <c r="DB79" s="380">
        <f t="shared" si="239"/>
        <v>26225.787346153837</v>
      </c>
      <c r="DC79" s="380">
        <f t="shared" si="239"/>
        <v>26208.079286923075</v>
      </c>
      <c r="DD79" s="380">
        <f t="shared" si="239"/>
        <v>26193.712579999996</v>
      </c>
      <c r="DE79" s="380">
        <f t="shared" si="239"/>
        <v>26169.6698776923</v>
      </c>
      <c r="DF79" s="380">
        <f t="shared" si="239"/>
        <v>26125.735318461542</v>
      </c>
      <c r="DG79" s="380">
        <f t="shared" si="239"/>
        <v>26094.348576923079</v>
      </c>
      <c r="DH79" s="380">
        <f t="shared" si="239"/>
        <v>26069.084843076918</v>
      </c>
      <c r="DI79" s="380">
        <f t="shared" si="239"/>
        <v>26045.651053076919</v>
      </c>
      <c r="DJ79" s="380">
        <f t="shared" si="239"/>
        <v>26015.164236153843</v>
      </c>
      <c r="DK79" s="380">
        <f t="shared" si="239"/>
        <v>25995.373237692304</v>
      </c>
      <c r="DL79" s="380">
        <f t="shared" si="239"/>
        <v>25993.14440846154</v>
      </c>
      <c r="DM79" s="380">
        <f t="shared" ref="DM79:EA79" si="240">SUM(DA77:DM77)/13</f>
        <v>26011.907796153842</v>
      </c>
      <c r="DN79" s="380">
        <f t="shared" si="240"/>
        <v>26037.119749230766</v>
      </c>
      <c r="DO79" s="380">
        <f t="shared" si="240"/>
        <v>26079.017806153843</v>
      </c>
      <c r="DP79" s="380">
        <f t="shared" si="240"/>
        <v>26130.840712307687</v>
      </c>
      <c r="DQ79" s="380">
        <f t="shared" si="240"/>
        <v>26203.273800769231</v>
      </c>
      <c r="DR79" s="380">
        <f t="shared" si="240"/>
        <v>26291.87558</v>
      </c>
      <c r="DS79" s="380">
        <f t="shared" si="240"/>
        <v>26421.42876923077</v>
      </c>
      <c r="DT79" s="380">
        <f t="shared" si="240"/>
        <v>26546.238480000004</v>
      </c>
      <c r="DU79" s="380">
        <f t="shared" si="240"/>
        <v>26685.077403076924</v>
      </c>
      <c r="DV79" s="380">
        <f t="shared" si="240"/>
        <v>26824.235399230769</v>
      </c>
      <c r="DW79" s="380">
        <f t="shared" si="240"/>
        <v>26986.889675384617</v>
      </c>
      <c r="DX79" s="380">
        <f t="shared" si="240"/>
        <v>27171.264824615388</v>
      </c>
      <c r="DY79" s="380">
        <f t="shared" si="240"/>
        <v>27362.917786153848</v>
      </c>
      <c r="DZ79" s="380">
        <f t="shared" si="240"/>
        <v>27558.485821538467</v>
      </c>
      <c r="EA79" s="380">
        <f t="shared" si="240"/>
        <v>27770.438103846158</v>
      </c>
      <c r="EB79" s="380">
        <f t="shared" ref="EB79" si="241">SUM(DP77:EB77)/13</f>
        <v>27981.610000000004</v>
      </c>
      <c r="EC79" s="380">
        <f t="shared" ref="EC79" si="242">SUM(DQ77:EC77)/13</f>
        <v>28198.36295461539</v>
      </c>
      <c r="ED79" s="380">
        <f t="shared" ref="ED79" si="243">SUM(DR77:ED77)/13</f>
        <v>28428.894845384617</v>
      </c>
    </row>
    <row r="80" spans="1:134" customFormat="1" ht="15">
      <c r="C80" s="8"/>
      <c r="BW80" s="749"/>
      <c r="BX80" s="749"/>
      <c r="BY80" s="749"/>
      <c r="BZ80" s="749"/>
      <c r="CA80" s="749"/>
      <c r="CB80" s="749"/>
      <c r="CC80" s="749"/>
      <c r="CD80" s="749"/>
      <c r="CE80" s="749"/>
      <c r="CF80" s="749"/>
      <c r="CG80" s="749"/>
      <c r="CH80" s="749"/>
      <c r="CI80" s="749"/>
      <c r="CJ80" s="749"/>
      <c r="CK80" s="749"/>
      <c r="CL80" s="749"/>
      <c r="CM80" s="749"/>
      <c r="CN80" s="749"/>
      <c r="CO80" s="749"/>
      <c r="CP80" s="749"/>
      <c r="CQ80" s="749"/>
      <c r="CR80" s="749"/>
      <c r="CS80" s="749"/>
      <c r="CT80" s="749"/>
      <c r="CU80" s="749"/>
      <c r="CV80" s="749"/>
      <c r="CW80" s="749"/>
      <c r="CX80" s="749"/>
      <c r="CY80" s="749"/>
      <c r="CZ80" s="749"/>
      <c r="DA80" s="749"/>
      <c r="DB80" s="749"/>
      <c r="DC80" s="749"/>
      <c r="DD80" s="749"/>
      <c r="DE80" s="749"/>
      <c r="DF80" s="749"/>
      <c r="DG80" s="749"/>
      <c r="DH80" s="749"/>
      <c r="DI80" s="749"/>
      <c r="DJ80" s="749"/>
      <c r="DK80" s="749"/>
      <c r="DL80" s="749"/>
      <c r="DM80" s="749"/>
      <c r="DN80" s="749"/>
      <c r="DO80" s="749"/>
      <c r="DP80" s="749"/>
      <c r="DQ80" s="749"/>
      <c r="DR80" s="749"/>
      <c r="DS80" s="749"/>
      <c r="DT80" s="749"/>
      <c r="DU80" s="749"/>
      <c r="DV80" s="749"/>
      <c r="DW80" s="749"/>
      <c r="DX80" s="749"/>
      <c r="DY80" s="749"/>
      <c r="DZ80" s="749"/>
      <c r="EA80" s="749"/>
      <c r="EB80" s="749"/>
      <c r="EC80" s="749"/>
      <c r="ED80" s="749"/>
    </row>
    <row r="81" spans="1:144" customFormat="1" ht="15">
      <c r="C81" s="8"/>
      <c r="BW81" s="749"/>
      <c r="BX81" s="749"/>
      <c r="BY81" s="749"/>
      <c r="BZ81" s="749"/>
      <c r="CA81" s="749"/>
      <c r="CB81" s="749"/>
      <c r="CC81" s="749"/>
      <c r="CD81" s="749"/>
      <c r="CE81" s="749"/>
      <c r="CF81" s="749"/>
      <c r="CG81" s="749"/>
      <c r="CH81" s="749"/>
      <c r="CI81" s="749"/>
      <c r="CJ81" s="749"/>
      <c r="CK81" s="749"/>
      <c r="CL81" s="749"/>
      <c r="CM81" s="749"/>
      <c r="CN81" s="749"/>
      <c r="CO81" s="749"/>
      <c r="CP81" s="749"/>
      <c r="CQ81" s="749"/>
      <c r="CR81" s="749"/>
      <c r="CS81" s="749"/>
      <c r="CT81" s="749"/>
      <c r="CU81" s="749"/>
      <c r="CV81" s="749"/>
      <c r="CW81" s="749"/>
      <c r="CX81" s="749"/>
      <c r="CY81" s="749"/>
      <c r="CZ81" s="749"/>
      <c r="DA81" s="749"/>
      <c r="DB81" s="749"/>
      <c r="DC81" s="749"/>
      <c r="DD81" s="749"/>
      <c r="DE81" s="749"/>
      <c r="DF81" s="749"/>
      <c r="DG81" s="749"/>
      <c r="DH81" s="749"/>
      <c r="DI81" s="749"/>
      <c r="DJ81" s="749"/>
      <c r="DK81" s="749"/>
      <c r="DL81" s="749"/>
      <c r="DM81" s="749"/>
      <c r="DN81" s="749"/>
      <c r="DO81" s="749"/>
      <c r="DP81" s="749"/>
      <c r="DQ81" s="749"/>
      <c r="DR81" s="749"/>
      <c r="DS81" s="749"/>
      <c r="DT81" s="749"/>
      <c r="DU81" s="749"/>
      <c r="DV81" s="749"/>
      <c r="DW81" s="749"/>
      <c r="DX81" s="749"/>
      <c r="DY81" s="749"/>
      <c r="DZ81" s="749"/>
      <c r="EA81" s="749"/>
      <c r="EB81" s="749"/>
      <c r="EC81" s="749"/>
      <c r="ED81" s="749"/>
    </row>
    <row r="82" spans="1:144" customFormat="1" ht="15">
      <c r="C82" s="8"/>
      <c r="BW82" s="749"/>
      <c r="BX82" s="749"/>
      <c r="BY82" s="749"/>
      <c r="BZ82" s="749"/>
      <c r="CA82" s="749"/>
      <c r="CB82" s="749"/>
      <c r="CC82" s="749"/>
      <c r="CD82" s="749"/>
      <c r="CE82" s="749"/>
      <c r="CF82" s="749"/>
      <c r="CG82" s="749"/>
      <c r="CH82" s="749"/>
      <c r="CI82" s="749"/>
      <c r="CJ82" s="749"/>
      <c r="CK82" s="749"/>
      <c r="CL82" s="749"/>
      <c r="CM82" s="749"/>
      <c r="CN82" s="749"/>
      <c r="CO82" s="749"/>
      <c r="CP82" s="749"/>
      <c r="CQ82" s="749"/>
      <c r="CR82" s="749"/>
      <c r="CS82" s="749"/>
      <c r="CT82" s="749"/>
      <c r="CU82" s="749"/>
      <c r="CV82" s="749"/>
      <c r="CW82" s="749"/>
      <c r="CX82" s="749"/>
      <c r="CY82" s="749"/>
      <c r="CZ82" s="749"/>
      <c r="DA82" s="749"/>
      <c r="DB82" s="749"/>
      <c r="DC82" s="749"/>
      <c r="DD82" s="749"/>
      <c r="DE82" s="749"/>
      <c r="DF82" s="749"/>
      <c r="DG82" s="749"/>
      <c r="DH82" s="749"/>
      <c r="DI82" s="749"/>
      <c r="DJ82" s="749"/>
      <c r="DK82" s="749"/>
      <c r="DL82" s="749"/>
      <c r="DM82" s="749"/>
      <c r="DN82" s="749"/>
      <c r="DO82" s="749"/>
      <c r="DP82" s="749"/>
      <c r="DQ82" s="749"/>
      <c r="DR82" s="749"/>
      <c r="DS82" s="749"/>
      <c r="DT82" s="749"/>
      <c r="DU82" s="749"/>
      <c r="DV82" s="749"/>
      <c r="DW82" s="749"/>
      <c r="DX82" s="749"/>
      <c r="DY82" s="749"/>
      <c r="DZ82" s="749"/>
      <c r="EA82" s="749"/>
      <c r="EB82" s="749"/>
      <c r="EC82" s="749"/>
      <c r="ED82" s="749"/>
    </row>
    <row r="83" spans="1:144" customFormat="1" ht="15">
      <c r="B83" s="556" t="s">
        <v>2352</v>
      </c>
      <c r="C83" s="8"/>
      <c r="BW83" s="748">
        <f t="shared" ref="BW83:CT83" si="244">BW72</f>
        <v>43126</v>
      </c>
      <c r="BX83" s="748">
        <f t="shared" si="244"/>
        <v>43156</v>
      </c>
      <c r="BY83" s="748">
        <f t="shared" si="244"/>
        <v>43186</v>
      </c>
      <c r="BZ83" s="748">
        <f t="shared" si="244"/>
        <v>43216</v>
      </c>
      <c r="CA83" s="748">
        <f t="shared" si="244"/>
        <v>43246</v>
      </c>
      <c r="CB83" s="748">
        <f t="shared" si="244"/>
        <v>43276</v>
      </c>
      <c r="CC83" s="748">
        <f t="shared" si="244"/>
        <v>43306</v>
      </c>
      <c r="CD83" s="748">
        <f t="shared" si="244"/>
        <v>43336</v>
      </c>
      <c r="CE83" s="748">
        <f t="shared" si="244"/>
        <v>43366</v>
      </c>
      <c r="CF83" s="748">
        <f t="shared" si="244"/>
        <v>43396</v>
      </c>
      <c r="CG83" s="748">
        <f t="shared" si="244"/>
        <v>43426</v>
      </c>
      <c r="CH83" s="748">
        <f t="shared" si="244"/>
        <v>43456</v>
      </c>
      <c r="CI83" s="748">
        <f t="shared" si="244"/>
        <v>43486</v>
      </c>
      <c r="CJ83" s="748">
        <f t="shared" si="244"/>
        <v>43516</v>
      </c>
      <c r="CK83" s="748">
        <f t="shared" si="244"/>
        <v>43546</v>
      </c>
      <c r="CL83" s="748">
        <f t="shared" si="244"/>
        <v>43576</v>
      </c>
      <c r="CM83" s="748">
        <f t="shared" si="244"/>
        <v>43606</v>
      </c>
      <c r="CN83" s="748">
        <f t="shared" si="244"/>
        <v>43636</v>
      </c>
      <c r="CO83" s="748">
        <f t="shared" si="244"/>
        <v>43666</v>
      </c>
      <c r="CP83" s="748">
        <f t="shared" si="244"/>
        <v>43696</v>
      </c>
      <c r="CQ83" s="748">
        <f t="shared" si="244"/>
        <v>43726</v>
      </c>
      <c r="CR83" s="748">
        <f t="shared" si="244"/>
        <v>43756</v>
      </c>
      <c r="CS83" s="748">
        <f t="shared" si="244"/>
        <v>43786</v>
      </c>
      <c r="CT83" s="748">
        <f t="shared" si="244"/>
        <v>43816</v>
      </c>
      <c r="CU83" s="748">
        <f t="shared" ref="CU83:CZ83" si="245">CU72</f>
        <v>43846</v>
      </c>
      <c r="CV83" s="748">
        <f t="shared" si="245"/>
        <v>43876</v>
      </c>
      <c r="CW83" s="748">
        <f t="shared" si="245"/>
        <v>43906</v>
      </c>
      <c r="CX83" s="748">
        <f t="shared" si="245"/>
        <v>43936</v>
      </c>
      <c r="CY83" s="748">
        <f t="shared" si="245"/>
        <v>43966</v>
      </c>
      <c r="CZ83" s="748">
        <f t="shared" si="245"/>
        <v>43996</v>
      </c>
      <c r="DA83" s="748">
        <f t="shared" ref="DA83:DF83" si="246">DA72</f>
        <v>44026</v>
      </c>
      <c r="DB83" s="748">
        <f t="shared" si="246"/>
        <v>44056</v>
      </c>
      <c r="DC83" s="748">
        <f t="shared" si="246"/>
        <v>44086</v>
      </c>
      <c r="DD83" s="748">
        <f t="shared" si="246"/>
        <v>44116</v>
      </c>
      <c r="DE83" s="748">
        <f t="shared" si="246"/>
        <v>44146</v>
      </c>
      <c r="DF83" s="748">
        <f t="shared" si="246"/>
        <v>44176</v>
      </c>
      <c r="DG83" s="748">
        <f t="shared" ref="DG83:DL83" si="247">DG72</f>
        <v>44206</v>
      </c>
      <c r="DH83" s="748">
        <f t="shared" si="247"/>
        <v>44236</v>
      </c>
      <c r="DI83" s="748">
        <f t="shared" si="247"/>
        <v>44266</v>
      </c>
      <c r="DJ83" s="748">
        <f t="shared" si="247"/>
        <v>44296</v>
      </c>
      <c r="DK83" s="748">
        <f t="shared" si="247"/>
        <v>44326</v>
      </c>
      <c r="DL83" s="748">
        <f t="shared" si="247"/>
        <v>44356</v>
      </c>
      <c r="DM83" s="748">
        <f t="shared" ref="DM83:DR83" si="248">DM72</f>
        <v>44386</v>
      </c>
      <c r="DN83" s="748">
        <f t="shared" si="248"/>
        <v>44416</v>
      </c>
      <c r="DO83" s="748">
        <f t="shared" si="248"/>
        <v>44446</v>
      </c>
      <c r="DP83" s="748">
        <f t="shared" si="248"/>
        <v>44476</v>
      </c>
      <c r="DQ83" s="748">
        <f t="shared" si="248"/>
        <v>44506</v>
      </c>
      <c r="DR83" s="748">
        <f t="shared" si="248"/>
        <v>44536</v>
      </c>
      <c r="DS83" s="748">
        <f t="shared" ref="DS83:DU83" si="249">DS72</f>
        <v>44566</v>
      </c>
      <c r="DT83" s="748">
        <f t="shared" si="249"/>
        <v>44596</v>
      </c>
      <c r="DU83" s="748">
        <f t="shared" si="249"/>
        <v>44626</v>
      </c>
      <c r="DV83" s="748">
        <f t="shared" ref="DV83:DX83" si="250">DV72</f>
        <v>44656</v>
      </c>
      <c r="DW83" s="748">
        <f t="shared" si="250"/>
        <v>44686</v>
      </c>
      <c r="DX83" s="748">
        <f t="shared" si="250"/>
        <v>44716</v>
      </c>
      <c r="DY83" s="748">
        <f t="shared" ref="DY83:EA83" si="251">DY72</f>
        <v>44746</v>
      </c>
      <c r="DZ83" s="748">
        <f t="shared" si="251"/>
        <v>44776</v>
      </c>
      <c r="EA83" s="748">
        <f t="shared" si="251"/>
        <v>44806</v>
      </c>
      <c r="EB83" s="748">
        <f t="shared" ref="EB83:ED83" si="252">EB72</f>
        <v>44836</v>
      </c>
      <c r="EC83" s="748">
        <f t="shared" si="252"/>
        <v>44866</v>
      </c>
      <c r="ED83" s="748">
        <f t="shared" si="252"/>
        <v>44896</v>
      </c>
    </row>
    <row r="84" spans="1:144" customFormat="1" ht="15">
      <c r="B84" s="556"/>
      <c r="C84" s="8"/>
      <c r="BW84" s="748"/>
      <c r="BX84" s="748"/>
      <c r="BY84" s="748"/>
      <c r="BZ84" s="748"/>
      <c r="CA84" s="748"/>
      <c r="CB84" s="748"/>
      <c r="CC84" s="748"/>
      <c r="CD84" s="748"/>
      <c r="CE84" s="748"/>
      <c r="CF84" s="748"/>
      <c r="CG84" s="748"/>
      <c r="CH84" s="748"/>
      <c r="CI84" s="748"/>
      <c r="CJ84" s="748"/>
      <c r="CK84" s="748"/>
      <c r="CL84" s="748"/>
      <c r="CM84" s="748"/>
      <c r="CN84" s="748"/>
      <c r="CO84" s="748"/>
      <c r="CP84" s="748"/>
      <c r="CQ84" s="748"/>
      <c r="CR84" s="748"/>
      <c r="CS84" s="748"/>
      <c r="CT84" s="748"/>
      <c r="CU84" s="748"/>
      <c r="CV84" s="748"/>
      <c r="CW84" s="748"/>
      <c r="CX84" s="748"/>
      <c r="CY84" s="748"/>
      <c r="CZ84" s="748"/>
      <c r="DA84" s="748"/>
      <c r="DB84" s="748"/>
      <c r="DC84" s="748"/>
      <c r="DD84" s="748"/>
      <c r="DE84" s="748"/>
      <c r="DF84" s="748"/>
      <c r="DG84" s="748"/>
      <c r="DH84" s="748"/>
      <c r="DI84" s="748"/>
      <c r="DJ84" s="748"/>
      <c r="DK84" s="748"/>
      <c r="DL84" s="748"/>
      <c r="DM84" s="748"/>
      <c r="DN84" s="748"/>
      <c r="DO84" s="748"/>
      <c r="DP84" s="748"/>
      <c r="DQ84" s="748"/>
      <c r="DR84" s="748"/>
      <c r="DS84" s="748"/>
      <c r="DT84" s="748"/>
      <c r="DU84" s="748"/>
      <c r="DV84" s="748"/>
      <c r="DW84" s="748"/>
      <c r="DX84" s="748"/>
      <c r="DY84" s="748"/>
      <c r="DZ84" s="748"/>
      <c r="EA84" s="748"/>
      <c r="EB84" s="748"/>
      <c r="EC84" s="748"/>
      <c r="ED84" s="748"/>
    </row>
    <row r="85" spans="1:144" customFormat="1" ht="15">
      <c r="A85" s="210" t="s">
        <v>2353</v>
      </c>
      <c r="B85" s="751" t="s">
        <v>2354</v>
      </c>
      <c r="C85" s="8"/>
      <c r="BW85" s="419">
        <v>54.753900000000002</v>
      </c>
      <c r="BX85" s="419">
        <v>54.723210000000002</v>
      </c>
      <c r="BY85" s="419">
        <v>54.72401</v>
      </c>
      <c r="BZ85" s="419">
        <v>54.676439999999999</v>
      </c>
      <c r="CA85" s="419">
        <v>54.806870000000004</v>
      </c>
      <c r="CB85" s="419">
        <v>54.842580000000005</v>
      </c>
      <c r="CC85" s="419">
        <v>54.86506</v>
      </c>
      <c r="CD85" s="568">
        <v>55.003699999999995</v>
      </c>
      <c r="CE85" s="568">
        <v>54.93974</v>
      </c>
      <c r="CF85" s="568">
        <v>55.067250000000001</v>
      </c>
      <c r="CG85" s="568">
        <v>55.437959999999997</v>
      </c>
      <c r="CH85" s="568">
        <v>48.365769999999998</v>
      </c>
      <c r="CI85" s="568">
        <v>55.169550000000001</v>
      </c>
      <c r="CJ85" s="568">
        <v>55.205349999999996</v>
      </c>
      <c r="CK85" s="568">
        <v>55.33399</v>
      </c>
      <c r="CL85" s="568">
        <v>55.16516</v>
      </c>
      <c r="CM85" s="568">
        <v>55.280230000000003</v>
      </c>
      <c r="CN85" s="568">
        <v>55.284570000000002</v>
      </c>
      <c r="CO85" s="568">
        <v>55.091999999999999</v>
      </c>
      <c r="CP85" s="568">
        <v>54.934139999999999</v>
      </c>
      <c r="CQ85" s="568">
        <v>54.913050000000005</v>
      </c>
      <c r="CR85" s="568">
        <v>55.028129999999997</v>
      </c>
      <c r="CS85" s="568">
        <v>55.015550000000005</v>
      </c>
      <c r="CT85" s="568">
        <v>42.623800000000003</v>
      </c>
      <c r="CU85" s="568">
        <v>55.003349999999998</v>
      </c>
      <c r="CV85" s="568">
        <v>55.161089999999994</v>
      </c>
      <c r="CW85" s="568">
        <v>55.20035</v>
      </c>
      <c r="CX85" s="568">
        <v>55.19061</v>
      </c>
      <c r="CY85" s="568">
        <v>55.06964</v>
      </c>
      <c r="CZ85" s="568">
        <v>54.910879999999999</v>
      </c>
      <c r="DA85" s="568">
        <v>54.900400000000005</v>
      </c>
      <c r="DB85" s="568">
        <v>54.798300000000005</v>
      </c>
      <c r="DC85" s="568">
        <v>54.84346</v>
      </c>
      <c r="DD85" s="568">
        <v>54.75067</v>
      </c>
      <c r="DE85" s="568">
        <v>54.601169999999996</v>
      </c>
      <c r="DF85" s="568">
        <v>43.181760000000004</v>
      </c>
      <c r="DG85" s="568">
        <v>54.454269999999994</v>
      </c>
      <c r="DH85" s="568">
        <v>54.502220000000001</v>
      </c>
      <c r="DI85" s="568">
        <v>54.70138</v>
      </c>
      <c r="DJ85" s="568">
        <v>54.612589999999997</v>
      </c>
      <c r="DK85" s="568">
        <v>54.794779999999996</v>
      </c>
      <c r="DL85" s="568">
        <v>55.070860000000003</v>
      </c>
      <c r="DM85" s="568">
        <f>VLOOKUP("7500030",'Input IS ACCTS'!$A$6:$DH$513,94,FALSE)/1000</f>
        <v>55.44567</v>
      </c>
      <c r="DN85" s="568">
        <f>VLOOKUP("7500030",'Input IS ACCTS'!$A$6:$DH$513,95,FALSE)/1000</f>
        <v>55.611719999999998</v>
      </c>
      <c r="DO85" s="568">
        <f>VLOOKUP("7500030",'Input IS ACCTS'!$A$6:$DH$513,96,FALSE)/1000</f>
        <v>55.997819999999997</v>
      </c>
      <c r="DP85" s="568">
        <f>VLOOKUP("7500030",'Input IS ACCTS'!$A$6:$DH$513,97,FALSE)/1000</f>
        <v>56.225650000000002</v>
      </c>
      <c r="DQ85" s="568">
        <f>VLOOKUP("7500030",'Input IS ACCTS'!$A$6:$DH$513,98,FALSE)/1000</f>
        <v>56.674930000000003</v>
      </c>
      <c r="DR85" s="568">
        <f>VLOOKUP("7500030",'Input IS ACCTS'!$A$6:$DH$513,99,FALSE)/1000</f>
        <v>46.80744</v>
      </c>
      <c r="DS85" s="568">
        <f>VLOOKUP("7500030",'Input IS ACCTS'!$A$6:$DH$513,100,FALSE)/1000</f>
        <v>57.503329999999998</v>
      </c>
      <c r="DT85" s="568">
        <f>VLOOKUP("7500030",'Input IS ACCTS'!$A$6:$DH$513,101,FALSE)/1000</f>
        <v>57.771410000000003</v>
      </c>
      <c r="DU85" s="568">
        <f>VLOOKUP("7500030",'Input IS ACCTS'!$A$6:$DH$513,102,FALSE)/1000</f>
        <v>58.107459999999996</v>
      </c>
      <c r="DV85" s="568">
        <f>VLOOKUP("7500030",'Input IS ACCTS'!$A$6:$DH$513,103,FALSE)/1000</f>
        <v>58.306139999999999</v>
      </c>
      <c r="DW85" s="568">
        <f>VLOOKUP("7500030",'Input IS ACCTS'!$A$6:$DH$513,104,FALSE)/1000</f>
        <v>58.701509999999999</v>
      </c>
      <c r="DX85" s="568">
        <f>VLOOKUP("7500030",'Input IS ACCTS'!$A$6:$DH$513,105,FALSE)/1000</f>
        <v>59.319919999999996</v>
      </c>
      <c r="DY85" s="568">
        <f>VLOOKUP("7500030",'Input IS ACCTS'!$A$6:$DH$513,106,FALSE)/1000</f>
        <v>59.722239999999999</v>
      </c>
      <c r="DZ85" s="568">
        <f>VLOOKUP("7500030",'Input IS ACCTS'!$A$6:$DH$513,107,FALSE)/1000</f>
        <v>60.098949999999995</v>
      </c>
      <c r="EA85" s="568">
        <f>VLOOKUP("7500030",'Input IS ACCTS'!$A$6:$DH$513,108,FALSE)/1000</f>
        <v>60.62424</v>
      </c>
      <c r="EB85" s="568">
        <f>VLOOKUP("7500030",'Input IS ACCTS'!$A$6:$DH$513,109,FALSE)/1000</f>
        <v>60.904249999999998</v>
      </c>
      <c r="EC85" s="568">
        <f>VLOOKUP("7500030",'Input IS ACCTS'!$A$6:$DH$513,110,FALSE)/1000</f>
        <v>61.298940000000002</v>
      </c>
      <c r="ED85" s="568">
        <f>VLOOKUP("7500030",'Input IS ACCTS'!$A$6:$DH$513,111,FALSE)/1000</f>
        <v>51.968530000000001</v>
      </c>
    </row>
    <row r="86" spans="1:144" customFormat="1" ht="15">
      <c r="B86" s="564" t="s">
        <v>2355</v>
      </c>
      <c r="C86" s="8"/>
      <c r="BW86" s="749">
        <f t="shared" ref="BW86:CT86" si="253">SUM(BW85:BW85)</f>
        <v>54.753900000000002</v>
      </c>
      <c r="BX86" s="749">
        <f t="shared" si="253"/>
        <v>54.723210000000002</v>
      </c>
      <c r="BY86" s="749">
        <f t="shared" si="253"/>
        <v>54.72401</v>
      </c>
      <c r="BZ86" s="749">
        <f t="shared" si="253"/>
        <v>54.676439999999999</v>
      </c>
      <c r="CA86" s="749">
        <f t="shared" si="253"/>
        <v>54.806870000000004</v>
      </c>
      <c r="CB86" s="749">
        <f t="shared" si="253"/>
        <v>54.842580000000005</v>
      </c>
      <c r="CC86" s="749">
        <f t="shared" si="253"/>
        <v>54.86506</v>
      </c>
      <c r="CD86" s="749">
        <f t="shared" si="253"/>
        <v>55.003699999999995</v>
      </c>
      <c r="CE86" s="749">
        <f t="shared" si="253"/>
        <v>54.93974</v>
      </c>
      <c r="CF86" s="749">
        <f t="shared" si="253"/>
        <v>55.067250000000001</v>
      </c>
      <c r="CG86" s="749">
        <f t="shared" si="253"/>
        <v>55.437959999999997</v>
      </c>
      <c r="CH86" s="749">
        <f t="shared" si="253"/>
        <v>48.365769999999998</v>
      </c>
      <c r="CI86" s="749">
        <f t="shared" si="253"/>
        <v>55.169550000000001</v>
      </c>
      <c r="CJ86" s="749">
        <f t="shared" si="253"/>
        <v>55.205349999999996</v>
      </c>
      <c r="CK86" s="749">
        <f t="shared" si="253"/>
        <v>55.33399</v>
      </c>
      <c r="CL86" s="749">
        <f t="shared" si="253"/>
        <v>55.16516</v>
      </c>
      <c r="CM86" s="749">
        <f t="shared" si="253"/>
        <v>55.280230000000003</v>
      </c>
      <c r="CN86" s="749">
        <f t="shared" si="253"/>
        <v>55.284570000000002</v>
      </c>
      <c r="CO86" s="749">
        <f t="shared" si="253"/>
        <v>55.091999999999999</v>
      </c>
      <c r="CP86" s="749">
        <f t="shared" si="253"/>
        <v>54.934139999999999</v>
      </c>
      <c r="CQ86" s="749">
        <f t="shared" si="253"/>
        <v>54.913050000000005</v>
      </c>
      <c r="CR86" s="749">
        <f t="shared" si="253"/>
        <v>55.028129999999997</v>
      </c>
      <c r="CS86" s="749">
        <f t="shared" si="253"/>
        <v>55.015550000000005</v>
      </c>
      <c r="CT86" s="749">
        <f t="shared" si="253"/>
        <v>42.623800000000003</v>
      </c>
      <c r="CU86" s="749">
        <f t="shared" ref="CU86:CZ86" si="254">SUM(CU85:CU85)</f>
        <v>55.003349999999998</v>
      </c>
      <c r="CV86" s="749">
        <f t="shared" si="254"/>
        <v>55.161089999999994</v>
      </c>
      <c r="CW86" s="749">
        <f t="shared" si="254"/>
        <v>55.20035</v>
      </c>
      <c r="CX86" s="749">
        <f t="shared" si="254"/>
        <v>55.19061</v>
      </c>
      <c r="CY86" s="749">
        <f t="shared" si="254"/>
        <v>55.06964</v>
      </c>
      <c r="CZ86" s="749">
        <f t="shared" si="254"/>
        <v>54.910879999999999</v>
      </c>
      <c r="DA86" s="749">
        <f t="shared" ref="DA86:DF86" si="255">SUM(DA85:DA85)</f>
        <v>54.900400000000005</v>
      </c>
      <c r="DB86" s="749">
        <f t="shared" si="255"/>
        <v>54.798300000000005</v>
      </c>
      <c r="DC86" s="749">
        <f t="shared" si="255"/>
        <v>54.84346</v>
      </c>
      <c r="DD86" s="749">
        <f t="shared" si="255"/>
        <v>54.75067</v>
      </c>
      <c r="DE86" s="749">
        <f t="shared" si="255"/>
        <v>54.601169999999996</v>
      </c>
      <c r="DF86" s="749">
        <f t="shared" si="255"/>
        <v>43.181760000000004</v>
      </c>
      <c r="DG86" s="749">
        <f t="shared" ref="DG86:DL86" si="256">SUM(DG85:DG85)</f>
        <v>54.454269999999994</v>
      </c>
      <c r="DH86" s="749">
        <f t="shared" si="256"/>
        <v>54.502220000000001</v>
      </c>
      <c r="DI86" s="749">
        <f t="shared" si="256"/>
        <v>54.70138</v>
      </c>
      <c r="DJ86" s="749">
        <f t="shared" si="256"/>
        <v>54.612589999999997</v>
      </c>
      <c r="DK86" s="749">
        <f t="shared" si="256"/>
        <v>54.794779999999996</v>
      </c>
      <c r="DL86" s="749">
        <f t="shared" si="256"/>
        <v>55.070860000000003</v>
      </c>
      <c r="DM86" s="749">
        <f t="shared" ref="DM86:DR86" si="257">SUM(DM85:DM85)</f>
        <v>55.44567</v>
      </c>
      <c r="DN86" s="749">
        <f t="shared" si="257"/>
        <v>55.611719999999998</v>
      </c>
      <c r="DO86" s="749">
        <f t="shared" si="257"/>
        <v>55.997819999999997</v>
      </c>
      <c r="DP86" s="749">
        <f t="shared" si="257"/>
        <v>56.225650000000002</v>
      </c>
      <c r="DQ86" s="749">
        <f t="shared" si="257"/>
        <v>56.674930000000003</v>
      </c>
      <c r="DR86" s="749">
        <f t="shared" si="257"/>
        <v>46.80744</v>
      </c>
      <c r="DS86" s="749">
        <f t="shared" ref="DS86:DU86" si="258">SUM(DS85:DS85)</f>
        <v>57.503329999999998</v>
      </c>
      <c r="DT86" s="749">
        <f t="shared" si="258"/>
        <v>57.771410000000003</v>
      </c>
      <c r="DU86" s="749">
        <f t="shared" si="258"/>
        <v>58.107459999999996</v>
      </c>
      <c r="DV86" s="749">
        <f t="shared" ref="DV86:DX86" si="259">SUM(DV85:DV85)</f>
        <v>58.306139999999999</v>
      </c>
      <c r="DW86" s="749">
        <f t="shared" si="259"/>
        <v>58.701509999999999</v>
      </c>
      <c r="DX86" s="749">
        <f t="shared" si="259"/>
        <v>59.319919999999996</v>
      </c>
      <c r="DY86" s="749">
        <f t="shared" ref="DY86:EA86" si="260">SUM(DY85:DY85)</f>
        <v>59.722239999999999</v>
      </c>
      <c r="DZ86" s="749">
        <f t="shared" si="260"/>
        <v>60.098949999999995</v>
      </c>
      <c r="EA86" s="749">
        <f t="shared" si="260"/>
        <v>60.62424</v>
      </c>
      <c r="EB86" s="749">
        <f t="shared" ref="EB86:ED86" si="261">SUM(EB85:EB85)</f>
        <v>60.904249999999998</v>
      </c>
      <c r="EC86" s="749">
        <f t="shared" si="261"/>
        <v>61.298940000000002</v>
      </c>
      <c r="ED86" s="749">
        <f t="shared" si="261"/>
        <v>51.968530000000001</v>
      </c>
    </row>
    <row r="87" spans="1:144" customFormat="1" ht="15">
      <c r="C87" s="8"/>
      <c r="BW87" s="749"/>
      <c r="BX87" s="749"/>
      <c r="BY87" s="749"/>
      <c r="BZ87" s="749"/>
      <c r="CA87" s="749"/>
      <c r="CB87" s="749"/>
      <c r="CC87" s="749"/>
      <c r="CD87" s="749"/>
      <c r="CE87" s="749"/>
      <c r="CF87" s="749"/>
      <c r="CG87" s="749"/>
      <c r="CH87" s="749"/>
      <c r="CI87" s="749"/>
      <c r="CJ87" s="749"/>
      <c r="CK87" s="749"/>
      <c r="CL87" s="749"/>
      <c r="CM87" s="749"/>
      <c r="CN87" s="749"/>
      <c r="CO87" s="749"/>
      <c r="CP87" s="749"/>
      <c r="CQ87" s="749"/>
      <c r="CR87" s="749"/>
      <c r="CS87" s="749"/>
      <c r="CT87" s="749"/>
      <c r="CU87" s="749"/>
      <c r="CV87" s="749"/>
      <c r="CW87" s="749"/>
      <c r="CX87" s="749"/>
      <c r="CY87" s="749"/>
      <c r="CZ87" s="749"/>
      <c r="DA87" s="749"/>
      <c r="DB87" s="749"/>
      <c r="DC87" s="749"/>
      <c r="DD87" s="749"/>
      <c r="DE87" s="749"/>
      <c r="DF87" s="749"/>
      <c r="DG87" s="749"/>
      <c r="DH87" s="749"/>
      <c r="DI87" s="749"/>
      <c r="DJ87" s="749"/>
      <c r="DK87" s="749"/>
      <c r="DL87" s="749"/>
      <c r="DM87" s="749"/>
      <c r="DN87" s="749"/>
      <c r="DO87" s="749"/>
      <c r="DP87" s="749"/>
      <c r="DQ87" s="749"/>
      <c r="DR87" s="749"/>
      <c r="DS87" s="749"/>
      <c r="DT87" s="749"/>
      <c r="DU87" s="749"/>
      <c r="DV87" s="749"/>
      <c r="DW87" s="749"/>
      <c r="DX87" s="749"/>
      <c r="DY87" s="749"/>
      <c r="DZ87" s="749"/>
      <c r="EA87" s="749"/>
      <c r="EB87" s="749"/>
      <c r="EC87" s="749"/>
      <c r="ED87" s="749"/>
    </row>
    <row r="88" spans="1:144" customFormat="1" ht="15">
      <c r="B88" s="751" t="s">
        <v>2356</v>
      </c>
      <c r="C88" s="8"/>
      <c r="BW88" s="749"/>
      <c r="BX88" s="749"/>
      <c r="BY88" s="749"/>
      <c r="BZ88" s="749"/>
      <c r="CA88" s="749"/>
      <c r="CB88" s="749"/>
      <c r="CC88" s="749"/>
      <c r="CD88" s="749"/>
      <c r="CE88" s="749"/>
      <c r="CF88" s="749"/>
      <c r="CG88" s="749"/>
      <c r="CH88" s="749"/>
      <c r="CI88" s="749">
        <f t="shared" ref="CI88:CS88" si="262">SUM(BX86:CI86)</f>
        <v>652.62214000000006</v>
      </c>
      <c r="CJ88" s="749">
        <f t="shared" si="262"/>
        <v>653.1042799999999</v>
      </c>
      <c r="CK88" s="380">
        <f t="shared" si="262"/>
        <v>653.71425999999997</v>
      </c>
      <c r="CL88" s="380">
        <f t="shared" si="262"/>
        <v>654.20297999999991</v>
      </c>
      <c r="CM88" s="380">
        <f t="shared" si="262"/>
        <v>654.67633999999998</v>
      </c>
      <c r="CN88" s="380">
        <f t="shared" si="262"/>
        <v>655.11833000000001</v>
      </c>
      <c r="CO88" s="380">
        <f t="shared" si="262"/>
        <v>655.34527000000003</v>
      </c>
      <c r="CP88" s="380">
        <f t="shared" si="262"/>
        <v>655.27571</v>
      </c>
      <c r="CQ88" s="380">
        <f t="shared" si="262"/>
        <v>655.24901999999997</v>
      </c>
      <c r="CR88" s="380">
        <f t="shared" si="262"/>
        <v>655.20989999999995</v>
      </c>
      <c r="CS88" s="380">
        <f t="shared" si="262"/>
        <v>654.78749000000005</v>
      </c>
      <c r="CT88" s="380">
        <f t="shared" ref="CT88:DL88" si="263">SUM(CI86:CT86)</f>
        <v>649.0455199999999</v>
      </c>
      <c r="CU88" s="380">
        <f t="shared" si="263"/>
        <v>648.87931999999989</v>
      </c>
      <c r="CV88" s="380">
        <f t="shared" si="263"/>
        <v>648.83505999999988</v>
      </c>
      <c r="CW88" s="380">
        <f t="shared" si="263"/>
        <v>648.70141999999987</v>
      </c>
      <c r="CX88" s="380">
        <f t="shared" si="263"/>
        <v>648.72686999999996</v>
      </c>
      <c r="CY88" s="380">
        <f t="shared" si="263"/>
        <v>648.51628000000005</v>
      </c>
      <c r="CZ88" s="380">
        <f t="shared" si="263"/>
        <v>648.14259000000015</v>
      </c>
      <c r="DA88" s="380">
        <f t="shared" si="263"/>
        <v>647.95099000000005</v>
      </c>
      <c r="DB88" s="380">
        <f t="shared" si="263"/>
        <v>647.81515000000002</v>
      </c>
      <c r="DC88" s="380">
        <f t="shared" si="263"/>
        <v>647.74556000000018</v>
      </c>
      <c r="DD88" s="380">
        <f t="shared" si="263"/>
        <v>647.46810000000005</v>
      </c>
      <c r="DE88" s="380">
        <f t="shared" si="263"/>
        <v>647.05372</v>
      </c>
      <c r="DF88" s="380">
        <f t="shared" si="263"/>
        <v>647.61167999999998</v>
      </c>
      <c r="DG88" s="380">
        <f t="shared" si="263"/>
        <v>647.06259999999997</v>
      </c>
      <c r="DH88" s="380">
        <f t="shared" si="263"/>
        <v>646.40373</v>
      </c>
      <c r="DI88" s="380">
        <f t="shared" si="263"/>
        <v>645.9047599999999</v>
      </c>
      <c r="DJ88" s="380">
        <f t="shared" si="263"/>
        <v>645.32673999999997</v>
      </c>
      <c r="DK88" s="380">
        <f t="shared" si="263"/>
        <v>645.05187999999998</v>
      </c>
      <c r="DL88" s="380">
        <f t="shared" si="263"/>
        <v>645.21186</v>
      </c>
      <c r="DM88" s="380">
        <f t="shared" ref="DM88:EA88" si="264">SUM(DB86:DM86)</f>
        <v>645.75713000000007</v>
      </c>
      <c r="DN88" s="380">
        <f t="shared" si="264"/>
        <v>646.57055000000003</v>
      </c>
      <c r="DO88" s="380">
        <f t="shared" si="264"/>
        <v>647.72491000000002</v>
      </c>
      <c r="DP88" s="380">
        <f t="shared" si="264"/>
        <v>649.19988999999998</v>
      </c>
      <c r="DQ88" s="380">
        <f t="shared" si="264"/>
        <v>651.27364999999998</v>
      </c>
      <c r="DR88" s="380">
        <f t="shared" si="264"/>
        <v>654.89933000000008</v>
      </c>
      <c r="DS88" s="380">
        <f t="shared" si="264"/>
        <v>657.94839000000002</v>
      </c>
      <c r="DT88" s="380">
        <f t="shared" si="264"/>
        <v>661.21758</v>
      </c>
      <c r="DU88" s="380">
        <f t="shared" si="264"/>
        <v>664.62365999999997</v>
      </c>
      <c r="DV88" s="380">
        <f t="shared" si="264"/>
        <v>668.31720999999993</v>
      </c>
      <c r="DW88" s="380">
        <f t="shared" si="264"/>
        <v>672.22393999999997</v>
      </c>
      <c r="DX88" s="380">
        <f t="shared" si="264"/>
        <v>676.47299999999996</v>
      </c>
      <c r="DY88" s="380">
        <f t="shared" si="264"/>
        <v>680.74956999999995</v>
      </c>
      <c r="DZ88" s="380">
        <f t="shared" si="264"/>
        <v>685.23680000000002</v>
      </c>
      <c r="EA88" s="380">
        <f t="shared" si="264"/>
        <v>689.86321999999996</v>
      </c>
      <c r="EB88" s="380">
        <f t="shared" ref="EB88" si="265">SUM(DQ86:EB86)</f>
        <v>694.54181999999992</v>
      </c>
      <c r="EC88" s="380">
        <f t="shared" ref="EC88" si="266">SUM(DR86:EC86)</f>
        <v>699.16583000000003</v>
      </c>
      <c r="ED88" s="380">
        <f t="shared" ref="ED88" si="267">SUM(DS86:ED86)</f>
        <v>704.32692000000009</v>
      </c>
    </row>
    <row r="89" spans="1:144" customFormat="1" ht="15">
      <c r="C89" s="8"/>
      <c r="BW89" s="749"/>
      <c r="BX89" s="749"/>
      <c r="BY89" s="749"/>
      <c r="BZ89" s="749"/>
      <c r="CA89" s="749"/>
      <c r="CB89" s="749"/>
      <c r="CC89" s="749"/>
      <c r="CD89" s="749"/>
      <c r="CE89" s="749"/>
      <c r="CF89" s="749"/>
      <c r="CG89" s="749"/>
      <c r="CH89" s="749"/>
      <c r="CI89" s="749"/>
      <c r="CJ89" s="749"/>
      <c r="CK89" s="749"/>
      <c r="CL89" s="749"/>
      <c r="CM89" s="749"/>
      <c r="CN89" s="749"/>
      <c r="CO89" s="749"/>
      <c r="CP89" s="749"/>
      <c r="CQ89" s="749"/>
      <c r="CR89" s="749"/>
      <c r="CS89" s="749"/>
      <c r="CT89" s="749"/>
      <c r="CU89" s="749"/>
      <c r="CV89" s="749"/>
      <c r="CW89" s="749"/>
      <c r="CX89" s="749"/>
      <c r="CY89" s="749"/>
      <c r="CZ89" s="749"/>
      <c r="DA89" s="749"/>
      <c r="DB89" s="749"/>
      <c r="DC89" s="749"/>
      <c r="DD89" s="749"/>
      <c r="DE89" s="749"/>
      <c r="DF89" s="749"/>
      <c r="DG89" s="749"/>
      <c r="DH89" s="749"/>
      <c r="DI89" s="749"/>
      <c r="DJ89" s="749"/>
      <c r="DK89" s="749"/>
      <c r="DL89" s="749"/>
      <c r="DM89" s="749"/>
      <c r="DN89" s="749"/>
      <c r="DO89" s="749"/>
      <c r="DP89" s="749"/>
      <c r="DQ89" s="749"/>
      <c r="DR89" s="749"/>
      <c r="DS89" s="749"/>
      <c r="DT89" s="749"/>
      <c r="DU89" s="749"/>
      <c r="DV89" s="749"/>
      <c r="DW89" s="749"/>
      <c r="DX89" s="749"/>
      <c r="DY89" s="749"/>
      <c r="DZ89" s="749"/>
      <c r="EA89" s="749"/>
      <c r="EB89" s="749"/>
      <c r="EC89" s="749"/>
      <c r="ED89" s="749"/>
    </row>
    <row r="90" spans="1:144" customFormat="1" ht="15.75">
      <c r="B90" s="17" t="s">
        <v>2357</v>
      </c>
      <c r="C90" s="8"/>
      <c r="BW90" s="752"/>
      <c r="BX90" s="752"/>
      <c r="BY90" s="752"/>
      <c r="BZ90" s="752"/>
      <c r="CA90" s="752"/>
      <c r="CB90" s="752"/>
      <c r="CC90" s="752"/>
      <c r="CD90" s="752"/>
      <c r="CE90" s="752"/>
      <c r="CF90" s="752"/>
      <c r="CG90" s="752"/>
      <c r="CH90" s="752"/>
      <c r="CI90" s="752">
        <f t="shared" ref="CI90:CS90" si="268">ROUND(CI88/CI79,4)</f>
        <v>2.4500000000000001E-2</v>
      </c>
      <c r="CJ90" s="752">
        <f t="shared" si="268"/>
        <v>2.46E-2</v>
      </c>
      <c r="CK90" s="733">
        <f t="shared" si="268"/>
        <v>2.46E-2</v>
      </c>
      <c r="CL90" s="733">
        <f t="shared" si="268"/>
        <v>2.47E-2</v>
      </c>
      <c r="CM90" s="733">
        <f t="shared" si="268"/>
        <v>2.47E-2</v>
      </c>
      <c r="CN90" s="733">
        <f t="shared" si="268"/>
        <v>2.47E-2</v>
      </c>
      <c r="CO90" s="733">
        <f t="shared" si="268"/>
        <v>2.4799999999999999E-2</v>
      </c>
      <c r="CP90" s="733">
        <f t="shared" si="268"/>
        <v>2.4799999999999999E-2</v>
      </c>
      <c r="CQ90" s="733">
        <f t="shared" si="268"/>
        <v>2.4799999999999999E-2</v>
      </c>
      <c r="CR90" s="733">
        <f t="shared" si="268"/>
        <v>2.4799999999999999E-2</v>
      </c>
      <c r="CS90" s="733">
        <f t="shared" si="268"/>
        <v>2.4799999999999999E-2</v>
      </c>
      <c r="CT90" s="733">
        <f t="shared" ref="CT90:CY90" si="269">ROUND(CT88/CT79,4)</f>
        <v>2.46E-2</v>
      </c>
      <c r="CU90" s="733">
        <f t="shared" si="269"/>
        <v>2.46E-2</v>
      </c>
      <c r="CV90" s="733">
        <f t="shared" si="269"/>
        <v>2.46E-2</v>
      </c>
      <c r="CW90" s="733">
        <f t="shared" si="269"/>
        <v>2.46E-2</v>
      </c>
      <c r="CX90" s="733">
        <f t="shared" si="269"/>
        <v>2.47E-2</v>
      </c>
      <c r="CY90" s="733">
        <f t="shared" si="269"/>
        <v>2.47E-2</v>
      </c>
      <c r="CZ90" s="733">
        <f t="shared" ref="CZ90:DF90" si="270">ROUND(CZ88/CZ79,4)</f>
        <v>2.47E-2</v>
      </c>
      <c r="DA90" s="733">
        <f t="shared" si="270"/>
        <v>2.47E-2</v>
      </c>
      <c r="DB90" s="733">
        <f t="shared" si="270"/>
        <v>2.47E-2</v>
      </c>
      <c r="DC90" s="733">
        <f t="shared" si="270"/>
        <v>2.47E-2</v>
      </c>
      <c r="DD90" s="733">
        <f t="shared" si="270"/>
        <v>2.47E-2</v>
      </c>
      <c r="DE90" s="733">
        <f t="shared" si="270"/>
        <v>2.47E-2</v>
      </c>
      <c r="DF90" s="733">
        <f t="shared" si="270"/>
        <v>2.4799999999999999E-2</v>
      </c>
      <c r="DG90" s="733">
        <f t="shared" ref="DG90:DL90" si="271">ROUND(DG88/DG79,4)</f>
        <v>2.4799999999999999E-2</v>
      </c>
      <c r="DH90" s="733">
        <f t="shared" si="271"/>
        <v>2.4799999999999999E-2</v>
      </c>
      <c r="DI90" s="733">
        <f t="shared" si="271"/>
        <v>2.4799999999999999E-2</v>
      </c>
      <c r="DJ90" s="733">
        <f t="shared" si="271"/>
        <v>2.4799999999999999E-2</v>
      </c>
      <c r="DK90" s="733">
        <f t="shared" si="271"/>
        <v>2.4799999999999999E-2</v>
      </c>
      <c r="DL90" s="733">
        <f t="shared" si="271"/>
        <v>2.4799999999999999E-2</v>
      </c>
      <c r="DM90" s="733">
        <f t="shared" ref="DM90:DR90" si="272">ROUND(DM88/DM79,4)</f>
        <v>2.4799999999999999E-2</v>
      </c>
      <c r="DN90" s="733">
        <f t="shared" si="272"/>
        <v>2.4799999999999999E-2</v>
      </c>
      <c r="DO90" s="733">
        <f t="shared" si="272"/>
        <v>2.4799999999999999E-2</v>
      </c>
      <c r="DP90" s="733">
        <f t="shared" si="272"/>
        <v>2.4799999999999999E-2</v>
      </c>
      <c r="DQ90" s="733">
        <f t="shared" si="272"/>
        <v>2.4899999999999999E-2</v>
      </c>
      <c r="DR90" s="733">
        <f t="shared" si="272"/>
        <v>2.4899999999999999E-2</v>
      </c>
      <c r="DS90" s="733">
        <f t="shared" ref="DS90:DU90" si="273">ROUND(DS88/DS79,4)</f>
        <v>2.4899999999999999E-2</v>
      </c>
      <c r="DT90" s="733">
        <f t="shared" si="273"/>
        <v>2.4899999999999999E-2</v>
      </c>
      <c r="DU90" s="733">
        <f t="shared" si="273"/>
        <v>2.4899999999999999E-2</v>
      </c>
      <c r="DV90" s="733">
        <f t="shared" ref="DV90:DX90" si="274">ROUND(DV88/DV79,4)</f>
        <v>2.4899999999999999E-2</v>
      </c>
      <c r="DW90" s="733">
        <f t="shared" si="274"/>
        <v>2.4899999999999999E-2</v>
      </c>
      <c r="DX90" s="733">
        <f t="shared" si="274"/>
        <v>2.4899999999999999E-2</v>
      </c>
      <c r="DY90" s="733">
        <f t="shared" ref="DY90:EA90" si="275">ROUND(DY88/DY79,4)</f>
        <v>2.4899999999999999E-2</v>
      </c>
      <c r="DZ90" s="733">
        <f t="shared" si="275"/>
        <v>2.4899999999999999E-2</v>
      </c>
      <c r="EA90" s="733">
        <f t="shared" si="275"/>
        <v>2.4799999999999999E-2</v>
      </c>
      <c r="EB90" s="733">
        <f t="shared" ref="EB90:ED90" si="276">ROUND(EB88/EB79,4)</f>
        <v>2.4799999999999999E-2</v>
      </c>
      <c r="EC90" s="733">
        <f t="shared" si="276"/>
        <v>2.4799999999999999E-2</v>
      </c>
      <c r="ED90" s="733">
        <f t="shared" si="276"/>
        <v>2.4799999999999999E-2</v>
      </c>
    </row>
    <row r="91" spans="1:144" customFormat="1" ht="15">
      <c r="C91" s="8"/>
      <c r="BW91" s="749"/>
      <c r="BX91" s="749"/>
      <c r="BY91" s="749"/>
      <c r="BZ91" s="749"/>
      <c r="CA91" s="749"/>
      <c r="CB91" s="749"/>
      <c r="CC91" s="749"/>
      <c r="CD91" s="749"/>
      <c r="CE91" s="749"/>
      <c r="CF91" s="749"/>
      <c r="CG91" s="749"/>
      <c r="CH91" s="749"/>
      <c r="CI91" s="749"/>
      <c r="CJ91" s="749"/>
      <c r="CK91" s="559"/>
      <c r="CL91" s="559"/>
      <c r="CM91" s="559"/>
      <c r="CN91" s="559"/>
      <c r="CO91" s="559"/>
      <c r="CP91" s="559"/>
      <c r="CQ91" s="559"/>
      <c r="CR91" s="559"/>
      <c r="CS91" s="559"/>
      <c r="CT91" s="559"/>
      <c r="CU91" s="559"/>
      <c r="CV91" s="559"/>
      <c r="CW91" s="559"/>
      <c r="CX91" s="559"/>
      <c r="CY91" s="559"/>
      <c r="CZ91" s="559"/>
      <c r="DA91" s="559"/>
      <c r="DB91" s="559"/>
      <c r="DC91" s="559"/>
      <c r="DD91" s="559"/>
      <c r="DE91" s="559"/>
      <c r="DF91" s="559"/>
      <c r="DG91" s="559"/>
      <c r="DH91" s="559"/>
      <c r="DI91" s="559"/>
      <c r="DJ91" s="559"/>
      <c r="DK91" s="559"/>
      <c r="DL91" s="559"/>
      <c r="DM91" s="559"/>
      <c r="DN91" s="559"/>
      <c r="DO91" s="559"/>
      <c r="DP91" s="559"/>
      <c r="DQ91" s="559"/>
      <c r="DR91" s="559"/>
      <c r="DS91" s="559"/>
      <c r="DT91" s="559"/>
      <c r="DU91" s="559"/>
      <c r="DV91" s="559"/>
      <c r="DW91" s="559"/>
      <c r="DX91" s="559"/>
      <c r="DY91" s="559"/>
      <c r="DZ91" s="559"/>
      <c r="EA91" s="559"/>
      <c r="EB91" s="559"/>
      <c r="EC91" s="559"/>
      <c r="ED91" s="559"/>
    </row>
    <row r="92" spans="1:144" customFormat="1" ht="15.75">
      <c r="B92" s="17" t="s">
        <v>2358</v>
      </c>
      <c r="C92" s="8"/>
      <c r="BW92" s="752"/>
      <c r="BX92" s="752"/>
      <c r="BY92" s="752"/>
      <c r="BZ92" s="752"/>
      <c r="CA92" s="752"/>
      <c r="CB92" s="752"/>
      <c r="CC92" s="752"/>
      <c r="CD92" s="752"/>
      <c r="CE92" s="752"/>
      <c r="CF92" s="752"/>
      <c r="CG92" s="752"/>
      <c r="CH92" s="752"/>
      <c r="CI92" s="752">
        <f t="shared" ref="CI92:CT92" si="277">ROUND(CI88/CI77,4)</f>
        <v>2.47E-2</v>
      </c>
      <c r="CJ92" s="752">
        <f t="shared" si="277"/>
        <v>2.47E-2</v>
      </c>
      <c r="CK92" s="733">
        <f t="shared" si="277"/>
        <v>2.47E-2</v>
      </c>
      <c r="CL92" s="733">
        <f t="shared" si="277"/>
        <v>2.4799999999999999E-2</v>
      </c>
      <c r="CM92" s="733">
        <f t="shared" si="277"/>
        <v>2.4799999999999999E-2</v>
      </c>
      <c r="CN92" s="733">
        <f t="shared" si="277"/>
        <v>2.4799999999999999E-2</v>
      </c>
      <c r="CO92" s="733">
        <f t="shared" si="277"/>
        <v>2.4799999999999999E-2</v>
      </c>
      <c r="CP92" s="733">
        <f t="shared" si="277"/>
        <v>2.4899999999999999E-2</v>
      </c>
      <c r="CQ92" s="733">
        <f t="shared" si="277"/>
        <v>2.5000000000000001E-2</v>
      </c>
      <c r="CR92" s="733">
        <f t="shared" si="277"/>
        <v>2.4899999999999999E-2</v>
      </c>
      <c r="CS92" s="733">
        <f t="shared" si="277"/>
        <v>2.4899999999999999E-2</v>
      </c>
      <c r="CT92" s="733">
        <f t="shared" si="277"/>
        <v>2.47E-2</v>
      </c>
      <c r="CU92" s="733">
        <f t="shared" ref="CU92:CZ92" si="278">ROUND(CU88/CU77,4)</f>
        <v>2.47E-2</v>
      </c>
      <c r="CV92" s="733">
        <f t="shared" si="278"/>
        <v>2.46E-2</v>
      </c>
      <c r="CW92" s="733">
        <f t="shared" si="278"/>
        <v>2.46E-2</v>
      </c>
      <c r="CX92" s="733">
        <f t="shared" si="278"/>
        <v>2.47E-2</v>
      </c>
      <c r="CY92" s="733">
        <f t="shared" si="278"/>
        <v>2.4799999999999999E-2</v>
      </c>
      <c r="CZ92" s="733">
        <f t="shared" si="278"/>
        <v>2.4799999999999999E-2</v>
      </c>
      <c r="DA92" s="733">
        <f t="shared" ref="DA92:DF92" si="279">ROUND(DA88/DA77,4)</f>
        <v>2.4799999999999999E-2</v>
      </c>
      <c r="DB92" s="733">
        <f t="shared" si="279"/>
        <v>2.4899999999999999E-2</v>
      </c>
      <c r="DC92" s="733">
        <f t="shared" si="279"/>
        <v>2.4899999999999999E-2</v>
      </c>
      <c r="DD92" s="733">
        <f t="shared" si="279"/>
        <v>2.4899999999999999E-2</v>
      </c>
      <c r="DE92" s="733">
        <f t="shared" si="279"/>
        <v>2.4899999999999999E-2</v>
      </c>
      <c r="DF92" s="733">
        <f t="shared" si="279"/>
        <v>2.52E-2</v>
      </c>
      <c r="DG92" s="733">
        <f t="shared" ref="DG92:DL92" si="280">ROUND(DG88/DG77,4)</f>
        <v>2.5000000000000001E-2</v>
      </c>
      <c r="DH92" s="733">
        <f t="shared" si="280"/>
        <v>2.4899999999999999E-2</v>
      </c>
      <c r="DI92" s="733">
        <f t="shared" si="280"/>
        <v>2.4799999999999999E-2</v>
      </c>
      <c r="DJ92" s="733">
        <f t="shared" si="280"/>
        <v>2.4899999999999999E-2</v>
      </c>
      <c r="DK92" s="733">
        <f t="shared" si="280"/>
        <v>2.4799999999999999E-2</v>
      </c>
      <c r="DL92" s="733">
        <f t="shared" si="280"/>
        <v>2.47E-2</v>
      </c>
      <c r="DM92" s="733">
        <f t="shared" ref="DM92:DR92" si="281">ROUND(DM88/DM77,4)</f>
        <v>2.4500000000000001E-2</v>
      </c>
      <c r="DN92" s="733">
        <f t="shared" si="281"/>
        <v>2.4500000000000001E-2</v>
      </c>
      <c r="DO92" s="733">
        <f t="shared" si="281"/>
        <v>2.4400000000000002E-2</v>
      </c>
      <c r="DP92" s="733">
        <f t="shared" si="281"/>
        <v>2.4299999999999999E-2</v>
      </c>
      <c r="DQ92" s="733">
        <f t="shared" si="281"/>
        <v>2.4199999999999999E-2</v>
      </c>
      <c r="DR92" s="733">
        <f t="shared" si="281"/>
        <v>2.4199999999999999E-2</v>
      </c>
      <c r="DS92" s="733">
        <f t="shared" ref="DS92:DU92" si="282">ROUND(DS88/DS77,4)</f>
        <v>2.4E-2</v>
      </c>
      <c r="DT92" s="733">
        <f t="shared" si="282"/>
        <v>2.4E-2</v>
      </c>
      <c r="DU92" s="733">
        <f t="shared" si="282"/>
        <v>2.4E-2</v>
      </c>
      <c r="DV92" s="733">
        <f t="shared" ref="DV92:DX92" si="283">ROUND(DV88/DV77,4)</f>
        <v>2.4E-2</v>
      </c>
      <c r="DW92" s="733">
        <f t="shared" si="283"/>
        <v>2.3900000000000001E-2</v>
      </c>
      <c r="DX92" s="733">
        <f t="shared" si="283"/>
        <v>2.3800000000000002E-2</v>
      </c>
      <c r="DY92" s="733">
        <f t="shared" ref="DY92:EA92" si="284">ROUND(DY88/DY77,4)</f>
        <v>2.3800000000000002E-2</v>
      </c>
      <c r="DZ92" s="733">
        <f t="shared" si="284"/>
        <v>2.3699999999999999E-2</v>
      </c>
      <c r="EA92" s="733">
        <f t="shared" si="284"/>
        <v>2.3699999999999999E-2</v>
      </c>
      <c r="EB92" s="733">
        <f t="shared" ref="EB92:ED92" si="285">ROUND(EB88/EB77,4)</f>
        <v>2.3699999999999999E-2</v>
      </c>
      <c r="EC92" s="733">
        <f t="shared" si="285"/>
        <v>2.3699999999999999E-2</v>
      </c>
      <c r="ED92" s="733">
        <f t="shared" si="285"/>
        <v>2.35E-2</v>
      </c>
    </row>
    <row r="93" spans="1:144" ht="15">
      <c r="C93" s="8"/>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EN93"/>
    </row>
    <row r="94" spans="1:14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EN94"/>
    </row>
    <row r="95" spans="1:144">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EN95"/>
    </row>
    <row r="96" spans="1:144">
      <c r="EN96"/>
    </row>
    <row r="97" spans="144:144">
      <c r="EN97"/>
    </row>
  </sheetData>
  <mergeCells count="1">
    <mergeCell ref="EF21:EM22"/>
  </mergeCells>
  <phoneticPr fontId="142" type="noConversion"/>
  <pageMargins left="0.25" right="0.25" top="0.75" bottom="0.75" header="0.3" footer="0.3"/>
  <pageSetup scale="31" fitToHeight="0" orientation="landscape" r:id="rId1"/>
  <customProperties>
    <customPr name="_pios_id" r:id="rId2"/>
    <customPr name="EpmWorksheetKeyString_GUID" r:id="rId3"/>
  </customPropertie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pageSetUpPr fitToPage="1"/>
  </sheetPr>
  <dimension ref="A1:CY42"/>
  <sheetViews>
    <sheetView zoomScale="70" zoomScaleNormal="70" workbookViewId="0">
      <pane xSplit="79" ySplit="4" topLeftCell="CK5" activePane="bottomRight" state="frozen"/>
      <selection pane="topRight" activeCell="CB1" sqref="CB1"/>
      <selection pane="bottomLeft" activeCell="A5" sqref="A5"/>
      <selection pane="bottomRight" activeCell="CX30" sqref="CX30:CX33"/>
    </sheetView>
  </sheetViews>
  <sheetFormatPr defaultColWidth="8.85546875" defaultRowHeight="12.75"/>
  <cols>
    <col min="1" max="1" width="38" style="460" customWidth="1"/>
    <col min="2" max="2" width="19.85546875" style="460" customWidth="1"/>
    <col min="3" max="13" width="14.5703125" style="460" hidden="1" customWidth="1"/>
    <col min="14" max="14" width="18.5703125" style="460" hidden="1" customWidth="1"/>
    <col min="15" max="15" width="18.42578125" style="460" hidden="1" customWidth="1"/>
    <col min="16" max="17" width="19.42578125" style="460" hidden="1" customWidth="1"/>
    <col min="18" max="19" width="18.5703125" style="460" hidden="1" customWidth="1"/>
    <col min="20" max="20" width="18.85546875" style="460" hidden="1" customWidth="1"/>
    <col min="21" max="22" width="19.42578125" style="460" hidden="1" customWidth="1"/>
    <col min="23" max="23" width="18.5703125" style="460" hidden="1" customWidth="1"/>
    <col min="24" max="24" width="18.140625" style="460" hidden="1" customWidth="1"/>
    <col min="25" max="34" width="18.5703125" style="460" hidden="1" customWidth="1"/>
    <col min="35" max="35" width="20.140625" style="460" hidden="1" customWidth="1"/>
    <col min="36" max="36" width="21.85546875" style="460" hidden="1" customWidth="1"/>
    <col min="37" max="37" width="19.85546875" style="460" hidden="1" customWidth="1"/>
    <col min="38" max="38" width="20.140625" style="460" hidden="1" customWidth="1"/>
    <col min="39" max="40" width="20.85546875" style="460" hidden="1" customWidth="1"/>
    <col min="41" max="41" width="20.42578125" style="460" hidden="1" customWidth="1"/>
    <col min="42" max="42" width="21.85546875" style="460" hidden="1" customWidth="1"/>
    <col min="43" max="43" width="20.42578125" style="460" hidden="1" customWidth="1"/>
    <col min="44" max="79" width="21.42578125" style="460" hidden="1" customWidth="1"/>
    <col min="80" max="83" width="21.42578125" style="460" bestFit="1" customWidth="1"/>
    <col min="84" max="98" width="21.42578125" style="460" customWidth="1"/>
    <col min="99" max="99" width="20.5703125" style="460" bestFit="1" customWidth="1"/>
    <col min="100" max="100" width="13.5703125" style="460" bestFit="1" customWidth="1"/>
    <col min="101" max="102" width="15.140625" style="460" bestFit="1" customWidth="1"/>
    <col min="103" max="16384" width="8.85546875" style="460"/>
  </cols>
  <sheetData>
    <row r="1" spans="1:103">
      <c r="A1" s="1004" t="s">
        <v>2655</v>
      </c>
    </row>
    <row r="2" spans="1:103">
      <c r="C2" s="468" t="s">
        <v>1732</v>
      </c>
      <c r="D2" s="468" t="s">
        <v>1732</v>
      </c>
      <c r="E2" s="468" t="s">
        <v>1732</v>
      </c>
      <c r="F2" s="468" t="s">
        <v>1732</v>
      </c>
      <c r="G2" s="468" t="s">
        <v>1732</v>
      </c>
      <c r="H2" s="468" t="s">
        <v>1732</v>
      </c>
      <c r="I2" s="468" t="s">
        <v>1732</v>
      </c>
      <c r="J2" s="468" t="s">
        <v>1732</v>
      </c>
      <c r="K2" s="468" t="s">
        <v>1732</v>
      </c>
      <c r="L2" s="468" t="s">
        <v>1732</v>
      </c>
      <c r="M2" s="468" t="s">
        <v>1732</v>
      </c>
      <c r="N2" s="468" t="s">
        <v>1732</v>
      </c>
      <c r="O2" s="468" t="s">
        <v>1732</v>
      </c>
      <c r="P2" s="468" t="s">
        <v>1732</v>
      </c>
      <c r="Q2" s="468" t="s">
        <v>1732</v>
      </c>
      <c r="R2" s="468" t="s">
        <v>1732</v>
      </c>
      <c r="S2" s="468" t="s">
        <v>1732</v>
      </c>
      <c r="T2" s="468" t="s">
        <v>1732</v>
      </c>
      <c r="U2" s="468" t="s">
        <v>1732</v>
      </c>
      <c r="V2" s="468" t="s">
        <v>1732</v>
      </c>
      <c r="W2" s="468" t="s">
        <v>1732</v>
      </c>
      <c r="X2" s="468" t="s">
        <v>1732</v>
      </c>
      <c r="Y2" s="468" t="s">
        <v>1732</v>
      </c>
      <c r="Z2" s="468" t="s">
        <v>1732</v>
      </c>
      <c r="AA2" s="468" t="s">
        <v>1732</v>
      </c>
      <c r="AB2" s="468" t="s">
        <v>1732</v>
      </c>
      <c r="AC2" s="468" t="s">
        <v>1732</v>
      </c>
      <c r="AD2" s="468" t="s">
        <v>1732</v>
      </c>
      <c r="AE2" s="468" t="s">
        <v>1732</v>
      </c>
      <c r="AF2" s="468" t="s">
        <v>1732</v>
      </c>
      <c r="AG2" s="468" t="s">
        <v>1732</v>
      </c>
      <c r="AH2" s="468" t="s">
        <v>1732</v>
      </c>
      <c r="AI2" s="468" t="s">
        <v>1732</v>
      </c>
      <c r="AJ2" s="468" t="s">
        <v>1732</v>
      </c>
      <c r="AK2" s="468" t="s">
        <v>1732</v>
      </c>
      <c r="AL2" s="468" t="s">
        <v>1732</v>
      </c>
      <c r="AM2" s="468" t="s">
        <v>1732</v>
      </c>
      <c r="AN2" s="468" t="s">
        <v>1732</v>
      </c>
      <c r="AO2" s="468" t="s">
        <v>1732</v>
      </c>
      <c r="AP2" s="468" t="s">
        <v>1732</v>
      </c>
      <c r="AQ2" s="468" t="s">
        <v>1732</v>
      </c>
      <c r="AR2" s="468" t="s">
        <v>1732</v>
      </c>
      <c r="AS2" s="468" t="s">
        <v>1732</v>
      </c>
      <c r="AT2" s="468" t="s">
        <v>1732</v>
      </c>
      <c r="AU2" s="468" t="s">
        <v>1732</v>
      </c>
      <c r="AV2" s="468" t="s">
        <v>1732</v>
      </c>
      <c r="AW2" s="468" t="s">
        <v>1732</v>
      </c>
      <c r="AX2" s="468" t="s">
        <v>1732</v>
      </c>
      <c r="AY2" s="468" t="s">
        <v>1732</v>
      </c>
      <c r="AZ2" s="468" t="s">
        <v>1732</v>
      </c>
      <c r="BA2" s="468" t="s">
        <v>1732</v>
      </c>
      <c r="BB2" s="468" t="s">
        <v>1732</v>
      </c>
      <c r="BC2" s="468" t="s">
        <v>1732</v>
      </c>
      <c r="BD2" s="468" t="s">
        <v>1732</v>
      </c>
      <c r="BE2" s="468" t="s">
        <v>1732</v>
      </c>
      <c r="BF2" s="468" t="s">
        <v>1732</v>
      </c>
      <c r="BG2" s="468" t="s">
        <v>1732</v>
      </c>
      <c r="BH2" s="468" t="s">
        <v>1732</v>
      </c>
      <c r="BI2" s="468" t="s">
        <v>1732</v>
      </c>
      <c r="BJ2" s="468" t="s">
        <v>1732</v>
      </c>
      <c r="BK2" s="468" t="s">
        <v>1732</v>
      </c>
      <c r="BL2" s="468" t="s">
        <v>1732</v>
      </c>
      <c r="BM2" s="472" t="s">
        <v>1732</v>
      </c>
      <c r="BN2" s="472" t="s">
        <v>1732</v>
      </c>
      <c r="BO2" s="472" t="s">
        <v>1732</v>
      </c>
      <c r="BP2" s="472" t="s">
        <v>1732</v>
      </c>
      <c r="BQ2" s="472" t="s">
        <v>1732</v>
      </c>
      <c r="BR2" s="472" t="s">
        <v>1732</v>
      </c>
      <c r="BS2" s="472" t="s">
        <v>1732</v>
      </c>
      <c r="BT2" s="472" t="s">
        <v>1732</v>
      </c>
      <c r="BU2" s="472" t="s">
        <v>1732</v>
      </c>
      <c r="BV2" s="472" t="s">
        <v>1732</v>
      </c>
      <c r="BW2" s="472" t="s">
        <v>1732</v>
      </c>
      <c r="BX2" s="472" t="s">
        <v>1732</v>
      </c>
      <c r="BY2" s="472" t="s">
        <v>1732</v>
      </c>
      <c r="BZ2" s="472" t="s">
        <v>1732</v>
      </c>
      <c r="CA2" s="472" t="s">
        <v>1732</v>
      </c>
      <c r="CB2" s="472" t="s">
        <v>1732</v>
      </c>
      <c r="CC2" s="472" t="s">
        <v>1732</v>
      </c>
      <c r="CD2" s="472" t="s">
        <v>1732</v>
      </c>
      <c r="CE2" s="472" t="s">
        <v>1732</v>
      </c>
      <c r="CF2" s="472" t="s">
        <v>1732</v>
      </c>
      <c r="CG2" s="472" t="s">
        <v>1732</v>
      </c>
      <c r="CH2" s="472" t="s">
        <v>1732</v>
      </c>
      <c r="CI2" s="472" t="s">
        <v>1732</v>
      </c>
      <c r="CJ2" s="472" t="s">
        <v>1732</v>
      </c>
      <c r="CK2" s="472" t="s">
        <v>1732</v>
      </c>
      <c r="CL2" s="472" t="s">
        <v>1732</v>
      </c>
      <c r="CM2" s="472" t="s">
        <v>1732</v>
      </c>
      <c r="CN2" s="472" t="s">
        <v>1732</v>
      </c>
      <c r="CO2" s="472" t="s">
        <v>1732</v>
      </c>
      <c r="CP2" s="472" t="s">
        <v>1732</v>
      </c>
      <c r="CQ2" s="472" t="s">
        <v>1732</v>
      </c>
      <c r="CR2" s="472" t="s">
        <v>1732</v>
      </c>
      <c r="CS2" s="472" t="s">
        <v>1732</v>
      </c>
      <c r="CT2" s="472" t="s">
        <v>1732</v>
      </c>
    </row>
    <row r="3" spans="1:103">
      <c r="A3" s="1005"/>
      <c r="B3" s="1005"/>
      <c r="C3" s="461">
        <v>2015</v>
      </c>
      <c r="D3" s="461">
        <v>2015</v>
      </c>
      <c r="E3" s="461">
        <v>2015</v>
      </c>
      <c r="F3" s="461">
        <v>2015</v>
      </c>
      <c r="G3" s="461">
        <v>2015</v>
      </c>
      <c r="H3" s="461">
        <v>2015</v>
      </c>
      <c r="I3" s="461">
        <v>2015</v>
      </c>
      <c r="J3" s="461">
        <v>2015</v>
      </c>
      <c r="K3" s="461">
        <v>2015</v>
      </c>
      <c r="L3" s="461">
        <v>2015</v>
      </c>
      <c r="M3" s="461">
        <v>2015</v>
      </c>
      <c r="N3" s="461">
        <v>2015</v>
      </c>
      <c r="O3" s="461">
        <v>2016</v>
      </c>
      <c r="P3" s="461">
        <v>2016</v>
      </c>
      <c r="Q3" s="461">
        <v>2016</v>
      </c>
      <c r="R3" s="461">
        <v>2016</v>
      </c>
      <c r="S3" s="461">
        <v>2016</v>
      </c>
      <c r="T3" s="461">
        <v>2016</v>
      </c>
      <c r="U3" s="461">
        <v>2016</v>
      </c>
      <c r="V3" s="461">
        <v>2016</v>
      </c>
      <c r="W3" s="461">
        <v>2016</v>
      </c>
      <c r="X3" s="461">
        <v>2016</v>
      </c>
      <c r="Y3" s="461">
        <v>2016</v>
      </c>
      <c r="Z3" s="461">
        <v>2016</v>
      </c>
      <c r="AA3" s="461">
        <v>2017</v>
      </c>
      <c r="AB3" s="461">
        <f t="shared" ref="AB3:BA3" si="0">+AA3</f>
        <v>2017</v>
      </c>
      <c r="AC3" s="461">
        <f t="shared" si="0"/>
        <v>2017</v>
      </c>
      <c r="AD3" s="461">
        <f t="shared" si="0"/>
        <v>2017</v>
      </c>
      <c r="AE3" s="461">
        <f t="shared" si="0"/>
        <v>2017</v>
      </c>
      <c r="AF3" s="461">
        <f t="shared" si="0"/>
        <v>2017</v>
      </c>
      <c r="AG3" s="461">
        <f t="shared" si="0"/>
        <v>2017</v>
      </c>
      <c r="AH3" s="461">
        <f t="shared" si="0"/>
        <v>2017</v>
      </c>
      <c r="AI3" s="461">
        <f t="shared" si="0"/>
        <v>2017</v>
      </c>
      <c r="AJ3" s="461">
        <f t="shared" si="0"/>
        <v>2017</v>
      </c>
      <c r="AK3" s="461">
        <f t="shared" si="0"/>
        <v>2017</v>
      </c>
      <c r="AL3" s="461">
        <f t="shared" si="0"/>
        <v>2017</v>
      </c>
      <c r="AM3" s="461">
        <v>2018</v>
      </c>
      <c r="AN3" s="461">
        <f t="shared" si="0"/>
        <v>2018</v>
      </c>
      <c r="AO3" s="461">
        <f t="shared" si="0"/>
        <v>2018</v>
      </c>
      <c r="AP3" s="461">
        <f t="shared" si="0"/>
        <v>2018</v>
      </c>
      <c r="AQ3" s="461">
        <f t="shared" si="0"/>
        <v>2018</v>
      </c>
      <c r="AR3" s="461">
        <f t="shared" si="0"/>
        <v>2018</v>
      </c>
      <c r="AS3" s="461">
        <f t="shared" si="0"/>
        <v>2018</v>
      </c>
      <c r="AT3" s="461">
        <f t="shared" si="0"/>
        <v>2018</v>
      </c>
      <c r="AU3" s="461">
        <f t="shared" si="0"/>
        <v>2018</v>
      </c>
      <c r="AV3" s="461">
        <f t="shared" si="0"/>
        <v>2018</v>
      </c>
      <c r="AW3" s="461">
        <f t="shared" si="0"/>
        <v>2018</v>
      </c>
      <c r="AX3" s="461">
        <f t="shared" si="0"/>
        <v>2018</v>
      </c>
      <c r="AY3" s="461">
        <v>2019</v>
      </c>
      <c r="AZ3" s="461">
        <f t="shared" si="0"/>
        <v>2019</v>
      </c>
      <c r="BA3" s="461">
        <f t="shared" si="0"/>
        <v>2019</v>
      </c>
      <c r="BB3" s="461">
        <f t="shared" ref="BB3:BG3" si="1">+AY3</f>
        <v>2019</v>
      </c>
      <c r="BC3" s="461">
        <f t="shared" si="1"/>
        <v>2019</v>
      </c>
      <c r="BD3" s="461">
        <f t="shared" si="1"/>
        <v>2019</v>
      </c>
      <c r="BE3" s="461">
        <f t="shared" si="1"/>
        <v>2019</v>
      </c>
      <c r="BF3" s="461">
        <f t="shared" si="1"/>
        <v>2019</v>
      </c>
      <c r="BG3" s="461">
        <f t="shared" si="1"/>
        <v>2019</v>
      </c>
      <c r="BH3" s="461">
        <f>+BE3</f>
        <v>2019</v>
      </c>
      <c r="BI3" s="461">
        <f>+BF3</f>
        <v>2019</v>
      </c>
      <c r="BJ3" s="461">
        <f>+BG3</f>
        <v>2019</v>
      </c>
      <c r="BK3" s="803" t="s">
        <v>2441</v>
      </c>
      <c r="BL3" s="461" t="str">
        <f t="shared" ref="BL3:CB3" si="2">+BK3</f>
        <v>2020</v>
      </c>
      <c r="BM3" s="461" t="str">
        <f t="shared" si="2"/>
        <v>2020</v>
      </c>
      <c r="BN3" s="461" t="str">
        <f t="shared" si="2"/>
        <v>2020</v>
      </c>
      <c r="BO3" s="461" t="str">
        <f t="shared" si="2"/>
        <v>2020</v>
      </c>
      <c r="BP3" s="461" t="str">
        <f t="shared" si="2"/>
        <v>2020</v>
      </c>
      <c r="BQ3" s="461" t="str">
        <f t="shared" si="2"/>
        <v>2020</v>
      </c>
      <c r="BR3" s="461" t="str">
        <f t="shared" si="2"/>
        <v>2020</v>
      </c>
      <c r="BS3" s="461" t="str">
        <f t="shared" si="2"/>
        <v>2020</v>
      </c>
      <c r="BT3" s="461" t="str">
        <f t="shared" si="2"/>
        <v>2020</v>
      </c>
      <c r="BU3" s="461" t="str">
        <f t="shared" si="2"/>
        <v>2020</v>
      </c>
      <c r="BV3" s="461" t="str">
        <f t="shared" si="2"/>
        <v>2020</v>
      </c>
      <c r="BW3" s="461">
        <v>2021</v>
      </c>
      <c r="BX3" s="461">
        <f t="shared" si="2"/>
        <v>2021</v>
      </c>
      <c r="BY3" s="461">
        <f t="shared" si="2"/>
        <v>2021</v>
      </c>
      <c r="BZ3" s="461">
        <f t="shared" si="2"/>
        <v>2021</v>
      </c>
      <c r="CA3" s="461">
        <f t="shared" si="2"/>
        <v>2021</v>
      </c>
      <c r="CB3" s="461">
        <f t="shared" si="2"/>
        <v>2021</v>
      </c>
      <c r="CC3" s="461">
        <f t="shared" ref="CC3:CQ3" si="3">+CB3</f>
        <v>2021</v>
      </c>
      <c r="CD3" s="461">
        <f t="shared" si="3"/>
        <v>2021</v>
      </c>
      <c r="CE3" s="461">
        <f t="shared" si="3"/>
        <v>2021</v>
      </c>
      <c r="CF3" s="461">
        <f t="shared" si="3"/>
        <v>2021</v>
      </c>
      <c r="CG3" s="461">
        <f t="shared" si="3"/>
        <v>2021</v>
      </c>
      <c r="CH3" s="461">
        <f t="shared" si="3"/>
        <v>2021</v>
      </c>
      <c r="CI3" s="461">
        <v>2022</v>
      </c>
      <c r="CJ3" s="461">
        <f t="shared" si="3"/>
        <v>2022</v>
      </c>
      <c r="CK3" s="461">
        <f t="shared" si="3"/>
        <v>2022</v>
      </c>
      <c r="CL3" s="461">
        <f t="shared" si="3"/>
        <v>2022</v>
      </c>
      <c r="CM3" s="461">
        <f t="shared" si="3"/>
        <v>2022</v>
      </c>
      <c r="CN3" s="461">
        <f t="shared" si="3"/>
        <v>2022</v>
      </c>
      <c r="CO3" s="461">
        <f t="shared" si="3"/>
        <v>2022</v>
      </c>
      <c r="CP3" s="461">
        <f t="shared" si="3"/>
        <v>2022</v>
      </c>
      <c r="CQ3" s="461">
        <f t="shared" si="3"/>
        <v>2022</v>
      </c>
      <c r="CR3" s="461">
        <f t="shared" ref="CR3" si="4">+CQ3</f>
        <v>2022</v>
      </c>
      <c r="CS3" s="461">
        <f t="shared" ref="CS3" si="5">+CR3</f>
        <v>2022</v>
      </c>
      <c r="CT3" s="461">
        <f t="shared" ref="CT3" si="6">+CS3</f>
        <v>2022</v>
      </c>
      <c r="CU3" s="1005" t="s">
        <v>1713</v>
      </c>
      <c r="CV3" s="1005" t="s">
        <v>1714</v>
      </c>
      <c r="CW3" s="1005" t="s">
        <v>1715</v>
      </c>
      <c r="CX3" s="1005" t="s">
        <v>1755</v>
      </c>
    </row>
    <row r="4" spans="1:103">
      <c r="A4" s="1006" t="s">
        <v>1716</v>
      </c>
      <c r="B4" s="1007"/>
      <c r="C4" s="462" t="s">
        <v>1718</v>
      </c>
      <c r="D4" s="462" t="s">
        <v>1719</v>
      </c>
      <c r="E4" s="462" t="s">
        <v>1720</v>
      </c>
      <c r="F4" s="462" t="s">
        <v>1721</v>
      </c>
      <c r="G4" s="462" t="s">
        <v>476</v>
      </c>
      <c r="H4" s="462" t="s">
        <v>1722</v>
      </c>
      <c r="I4" s="462" t="s">
        <v>1723</v>
      </c>
      <c r="J4" s="462" t="s">
        <v>1724</v>
      </c>
      <c r="K4" s="462" t="s">
        <v>1725</v>
      </c>
      <c r="L4" s="462" t="s">
        <v>1726</v>
      </c>
      <c r="M4" s="462" t="s">
        <v>1727</v>
      </c>
      <c r="N4" s="462" t="s">
        <v>1717</v>
      </c>
      <c r="O4" s="462" t="s">
        <v>1718</v>
      </c>
      <c r="P4" s="462" t="s">
        <v>1719</v>
      </c>
      <c r="Q4" s="462" t="s">
        <v>1720</v>
      </c>
      <c r="R4" s="462" t="s">
        <v>1721</v>
      </c>
      <c r="S4" s="462" t="s">
        <v>476</v>
      </c>
      <c r="T4" s="462" t="s">
        <v>1722</v>
      </c>
      <c r="U4" s="462" t="s">
        <v>1723</v>
      </c>
      <c r="V4" s="462" t="s">
        <v>1724</v>
      </c>
      <c r="W4" s="462" t="s">
        <v>1728</v>
      </c>
      <c r="X4" s="462" t="s">
        <v>1726</v>
      </c>
      <c r="Y4" s="462" t="s">
        <v>1727</v>
      </c>
      <c r="Z4" s="462" t="s">
        <v>1717</v>
      </c>
      <c r="AA4" s="462" t="s">
        <v>1718</v>
      </c>
      <c r="AB4" s="462" t="s">
        <v>1719</v>
      </c>
      <c r="AC4" s="462" t="s">
        <v>1720</v>
      </c>
      <c r="AD4" s="462" t="s">
        <v>1721</v>
      </c>
      <c r="AE4" s="462" t="s">
        <v>476</v>
      </c>
      <c r="AF4" s="462" t="s">
        <v>1722</v>
      </c>
      <c r="AG4" s="462" t="s">
        <v>1723</v>
      </c>
      <c r="AH4" s="462" t="s">
        <v>1724</v>
      </c>
      <c r="AI4" s="462" t="s">
        <v>1725</v>
      </c>
      <c r="AJ4" s="462" t="s">
        <v>1726</v>
      </c>
      <c r="AK4" s="462" t="s">
        <v>1727</v>
      </c>
      <c r="AL4" s="462" t="s">
        <v>1717</v>
      </c>
      <c r="AM4" s="462" t="s">
        <v>1718</v>
      </c>
      <c r="AN4" s="462" t="s">
        <v>1719</v>
      </c>
      <c r="AO4" s="462" t="s">
        <v>2225</v>
      </c>
      <c r="AP4" s="462" t="s">
        <v>1721</v>
      </c>
      <c r="AQ4" s="462" t="s">
        <v>476</v>
      </c>
      <c r="AR4" s="462" t="s">
        <v>1722</v>
      </c>
      <c r="AS4" s="462" t="s">
        <v>1723</v>
      </c>
      <c r="AT4" s="462" t="s">
        <v>1724</v>
      </c>
      <c r="AU4" s="462" t="s">
        <v>1725</v>
      </c>
      <c r="AV4" s="462" t="s">
        <v>1726</v>
      </c>
      <c r="AW4" s="462" t="s">
        <v>1727</v>
      </c>
      <c r="AX4" s="462" t="s">
        <v>1717</v>
      </c>
      <c r="AY4" s="462" t="s">
        <v>1718</v>
      </c>
      <c r="AZ4" s="462" t="s">
        <v>1719</v>
      </c>
      <c r="BA4" s="462" t="s">
        <v>1720</v>
      </c>
      <c r="BB4" s="462" t="s">
        <v>1721</v>
      </c>
      <c r="BC4" s="462" t="s">
        <v>476</v>
      </c>
      <c r="BD4" s="462" t="s">
        <v>1722</v>
      </c>
      <c r="BE4" s="462" t="s">
        <v>1723</v>
      </c>
      <c r="BF4" s="462" t="s">
        <v>1724</v>
      </c>
      <c r="BG4" s="462" t="s">
        <v>1725</v>
      </c>
      <c r="BH4" s="462" t="s">
        <v>1726</v>
      </c>
      <c r="BI4" s="462" t="s">
        <v>1727</v>
      </c>
      <c r="BJ4" s="462" t="s">
        <v>1717</v>
      </c>
      <c r="BK4" s="462" t="s">
        <v>1718</v>
      </c>
      <c r="BL4" s="462" t="s">
        <v>1719</v>
      </c>
      <c r="BM4" s="462" t="s">
        <v>1720</v>
      </c>
      <c r="BN4" s="462" t="s">
        <v>1721</v>
      </c>
      <c r="BO4" s="462" t="s">
        <v>476</v>
      </c>
      <c r="BP4" s="462" t="s">
        <v>1722</v>
      </c>
      <c r="BQ4" s="462" t="s">
        <v>1723</v>
      </c>
      <c r="BR4" s="462" t="s">
        <v>1724</v>
      </c>
      <c r="BS4" s="462" t="s">
        <v>1725</v>
      </c>
      <c r="BT4" s="462" t="s">
        <v>1726</v>
      </c>
      <c r="BU4" s="462" t="s">
        <v>1727</v>
      </c>
      <c r="BV4" s="462" t="s">
        <v>1717</v>
      </c>
      <c r="BW4" s="462" t="s">
        <v>1718</v>
      </c>
      <c r="BX4" s="462" t="s">
        <v>1719</v>
      </c>
      <c r="BY4" s="462" t="s">
        <v>1720</v>
      </c>
      <c r="BZ4" s="462" t="s">
        <v>1721</v>
      </c>
      <c r="CA4" s="462" t="s">
        <v>476</v>
      </c>
      <c r="CB4" s="462" t="s">
        <v>1722</v>
      </c>
      <c r="CC4" s="462" t="s">
        <v>1723</v>
      </c>
      <c r="CD4" s="462" t="s">
        <v>1724</v>
      </c>
      <c r="CE4" s="462" t="s">
        <v>2694</v>
      </c>
      <c r="CF4" s="462" t="s">
        <v>1726</v>
      </c>
      <c r="CG4" s="462" t="s">
        <v>1727</v>
      </c>
      <c r="CH4" s="462" t="s">
        <v>1717</v>
      </c>
      <c r="CI4" s="462" t="s">
        <v>1718</v>
      </c>
      <c r="CJ4" s="462" t="s">
        <v>1719</v>
      </c>
      <c r="CK4" s="462" t="s">
        <v>2839</v>
      </c>
      <c r="CL4" s="462" t="s">
        <v>2863</v>
      </c>
      <c r="CM4" s="462" t="s">
        <v>476</v>
      </c>
      <c r="CN4" s="462" t="s">
        <v>2701</v>
      </c>
      <c r="CO4" s="462" t="s">
        <v>2702</v>
      </c>
      <c r="CP4" s="462" t="s">
        <v>1724</v>
      </c>
      <c r="CQ4" s="462" t="s">
        <v>2694</v>
      </c>
      <c r="CR4" s="462" t="s">
        <v>1726</v>
      </c>
      <c r="CS4" s="462" t="s">
        <v>1727</v>
      </c>
      <c r="CT4" s="462" t="s">
        <v>1717</v>
      </c>
      <c r="CU4" s="1007" t="s">
        <v>215</v>
      </c>
      <c r="CV4" s="1007" t="s">
        <v>108</v>
      </c>
      <c r="CW4" s="1007" t="s">
        <v>1714</v>
      </c>
      <c r="CX4" s="1007" t="s">
        <v>1714</v>
      </c>
    </row>
    <row r="5" spans="1:103">
      <c r="B5" s="1238" t="s">
        <v>2887</v>
      </c>
      <c r="N5" s="463"/>
      <c r="O5" s="463"/>
      <c r="P5" s="463"/>
      <c r="Q5" s="463"/>
      <c r="R5" s="463"/>
      <c r="S5" s="463"/>
      <c r="T5" s="463"/>
      <c r="U5" s="463"/>
      <c r="V5" s="463"/>
      <c r="W5" s="463"/>
      <c r="X5" s="463"/>
      <c r="Y5" s="463"/>
      <c r="Z5" s="464"/>
      <c r="AA5" s="464"/>
      <c r="AB5" s="464"/>
      <c r="AC5" s="464"/>
      <c r="AD5" s="464"/>
      <c r="AE5" s="464"/>
      <c r="AF5" s="464"/>
      <c r="AG5" s="464"/>
      <c r="AH5" s="464"/>
      <c r="AI5" s="464"/>
      <c r="AJ5" s="464"/>
      <c r="AK5" s="464"/>
      <c r="AL5" s="464"/>
      <c r="AM5" s="464"/>
      <c r="AN5" s="464"/>
      <c r="AO5" s="464"/>
      <c r="AP5" s="464"/>
      <c r="AQ5" s="464"/>
      <c r="AR5" s="464"/>
      <c r="AS5" s="464"/>
      <c r="AT5" s="464"/>
      <c r="AU5" s="464"/>
      <c r="AV5" s="464"/>
      <c r="AW5" s="464"/>
      <c r="AX5" s="464"/>
      <c r="AY5" s="464"/>
      <c r="AZ5" s="464"/>
      <c r="BA5" s="464"/>
      <c r="BB5" s="464"/>
      <c r="BC5" s="464"/>
      <c r="BD5" s="464"/>
      <c r="BE5" s="464"/>
      <c r="BF5" s="464"/>
      <c r="BG5" s="464"/>
      <c r="BH5" s="464"/>
      <c r="BI5" s="464"/>
      <c r="BJ5" s="464"/>
      <c r="BK5" s="464"/>
      <c r="BL5" s="464"/>
      <c r="BM5" s="464"/>
      <c r="BN5" s="464"/>
      <c r="BO5" s="464"/>
      <c r="BP5" s="464"/>
      <c r="BQ5" s="464"/>
      <c r="BR5" s="464"/>
      <c r="BS5" s="464"/>
      <c r="BT5" s="464"/>
      <c r="BU5" s="464"/>
      <c r="BV5" s="464"/>
      <c r="BW5" s="464"/>
      <c r="BX5" s="464"/>
      <c r="BY5" s="464"/>
      <c r="BZ5" s="464"/>
      <c r="CA5" s="464"/>
      <c r="CB5" s="464"/>
      <c r="CC5" s="464"/>
      <c r="CD5" s="464"/>
      <c r="CE5" s="464"/>
      <c r="CF5" s="464"/>
      <c r="CG5" s="464"/>
      <c r="CH5" s="464"/>
      <c r="CI5" s="464"/>
      <c r="CJ5" s="464"/>
      <c r="CK5" s="464"/>
      <c r="CL5" s="464"/>
      <c r="CM5" s="464"/>
      <c r="CN5" s="464"/>
      <c r="CO5" s="464"/>
      <c r="CP5" s="464"/>
      <c r="CQ5" s="464"/>
      <c r="CR5" s="464"/>
      <c r="CS5" s="464"/>
      <c r="CT5" s="464"/>
    </row>
    <row r="6" spans="1:103">
      <c r="A6" s="460" t="s">
        <v>2496</v>
      </c>
      <c r="C6" s="467">
        <v>27122220.820000008</v>
      </c>
      <c r="D6" s="467">
        <v>23274785.040000007</v>
      </c>
      <c r="E6" s="467">
        <v>23412774.070000008</v>
      </c>
      <c r="F6" s="467">
        <v>25301512.820000008</v>
      </c>
      <c r="G6" s="467">
        <v>25316022.720000006</v>
      </c>
      <c r="H6" s="467">
        <v>25327671.550000008</v>
      </c>
      <c r="I6" s="467">
        <v>25524138.810000006</v>
      </c>
      <c r="J6" s="467">
        <v>25546342.670000006</v>
      </c>
      <c r="K6" s="467">
        <v>25683034.190000005</v>
      </c>
      <c r="L6" s="467">
        <v>25683034.190000005</v>
      </c>
      <c r="M6" s="467">
        <v>25694057.070000008</v>
      </c>
      <c r="N6" s="465">
        <v>26532905.040000007</v>
      </c>
      <c r="O6" s="465">
        <v>26532905.040000007</v>
      </c>
      <c r="P6" s="465">
        <v>26532905.040000007</v>
      </c>
      <c r="Q6" s="465">
        <v>25703600.430000007</v>
      </c>
      <c r="R6" s="465">
        <v>26518925.500000007</v>
      </c>
      <c r="S6" s="465">
        <v>26518925.500000007</v>
      </c>
      <c r="T6" s="465">
        <v>26869931.700000007</v>
      </c>
      <c r="U6" s="465">
        <v>28231711.190000005</v>
      </c>
      <c r="V6" s="465">
        <v>28232905.440000005</v>
      </c>
      <c r="W6" s="465">
        <v>28261932.970000006</v>
      </c>
      <c r="X6" s="465">
        <v>28360389.520000007</v>
      </c>
      <c r="Y6" s="465">
        <v>28361048.010000005</v>
      </c>
      <c r="Z6" s="465">
        <v>27473621.810000006</v>
      </c>
      <c r="AA6" s="465">
        <v>27473621.810000006</v>
      </c>
      <c r="AB6" s="465">
        <v>27473621.810000006</v>
      </c>
      <c r="AC6" s="465">
        <v>27353219.320000004</v>
      </c>
      <c r="AD6" s="465">
        <v>27353219.320000004</v>
      </c>
      <c r="AE6" s="465">
        <v>27353219.320000004</v>
      </c>
      <c r="AF6" s="465">
        <v>27408443.580000006</v>
      </c>
      <c r="AG6" s="465">
        <v>27410970.310000006</v>
      </c>
      <c r="AH6" s="465">
        <v>27472871.440000005</v>
      </c>
      <c r="AI6" s="465">
        <v>27473768.350000005</v>
      </c>
      <c r="AJ6" s="465">
        <v>27473768.350000005</v>
      </c>
      <c r="AK6" s="465">
        <v>27473768.350000005</v>
      </c>
      <c r="AL6" s="465">
        <v>27758393.900000006</v>
      </c>
      <c r="AM6" s="465">
        <v>27758656.830000006</v>
      </c>
      <c r="AN6" s="465">
        <v>27761368.230000004</v>
      </c>
      <c r="AO6" s="465">
        <v>27764121.780000005</v>
      </c>
      <c r="AP6" s="465">
        <v>27768049.710000008</v>
      </c>
      <c r="AQ6" s="465">
        <v>27769652.690000009</v>
      </c>
      <c r="AR6" s="465">
        <v>27809445.990000006</v>
      </c>
      <c r="AS6" s="465">
        <v>28098367.100000005</v>
      </c>
      <c r="AT6" s="465">
        <v>28127234.310000006</v>
      </c>
      <c r="AU6" s="465">
        <v>28160734.870000005</v>
      </c>
      <c r="AV6" s="465">
        <v>28956443.330000006</v>
      </c>
      <c r="AW6" s="465">
        <v>28992080.640000008</v>
      </c>
      <c r="AX6" s="465">
        <v>29531617.920000009</v>
      </c>
      <c r="AY6" s="465">
        <v>29649013.780000009</v>
      </c>
      <c r="AZ6" s="465">
        <v>29682459.090000007</v>
      </c>
      <c r="BA6" s="465">
        <v>29670926.760000009</v>
      </c>
      <c r="BB6" s="465">
        <v>29680125.300000008</v>
      </c>
      <c r="BC6" s="465">
        <v>29701149.360000007</v>
      </c>
      <c r="BD6" s="465">
        <v>29702336.660000008</v>
      </c>
      <c r="BE6" s="465">
        <v>29688764.900000006</v>
      </c>
      <c r="BF6" s="465">
        <v>29700701.380000006</v>
      </c>
      <c r="BG6" s="465">
        <v>30822508.170000006</v>
      </c>
      <c r="BH6" s="465">
        <v>30937112.410000004</v>
      </c>
      <c r="BI6" s="465">
        <v>31122493.990000002</v>
      </c>
      <c r="BJ6" s="465">
        <v>32175006.760000002</v>
      </c>
      <c r="BK6" s="465">
        <v>31792251.930000011</v>
      </c>
      <c r="BL6" s="465">
        <v>31993128.680000011</v>
      </c>
      <c r="BM6" s="1009">
        <v>31998986.610000011</v>
      </c>
      <c r="BN6" s="1009">
        <v>32001473.000000011</v>
      </c>
      <c r="BO6" s="1009">
        <v>32022308.260000013</v>
      </c>
      <c r="BP6" s="1009">
        <v>32157124.800000012</v>
      </c>
      <c r="BQ6" s="1009">
        <v>32177873.220000014</v>
      </c>
      <c r="BR6" s="1009">
        <v>32172179.540000014</v>
      </c>
      <c r="BS6" s="1009">
        <v>32203902.220000014</v>
      </c>
      <c r="BT6" s="1009">
        <v>48408162.870000012</v>
      </c>
      <c r="BU6" s="1009">
        <v>48483373.840000011</v>
      </c>
      <c r="BV6" s="1009">
        <v>48478260.140000008</v>
      </c>
      <c r="BW6" s="1009">
        <v>48520969.56000001</v>
      </c>
      <c r="BX6" s="1009">
        <v>48581349.230000012</v>
      </c>
      <c r="BY6" s="1009">
        <v>51161065.390000015</v>
      </c>
      <c r="BZ6" s="1009">
        <v>54007188.340000018</v>
      </c>
      <c r="CA6" s="1009">
        <v>54260805.94000002</v>
      </c>
      <c r="CB6" s="1009">
        <v>54522728.830000021</v>
      </c>
      <c r="CC6" s="1009">
        <v>54781504.630000018</v>
      </c>
      <c r="CD6" s="1009">
        <v>54881827.300000019</v>
      </c>
      <c r="CE6" s="1009">
        <v>54910165.470000021</v>
      </c>
      <c r="CF6" s="1009">
        <v>54936571.37000002</v>
      </c>
      <c r="CG6" s="1009">
        <v>54972457.290000021</v>
      </c>
      <c r="CH6" s="1009">
        <v>54992605.890000023</v>
      </c>
      <c r="CI6" s="1009">
        <v>55035399.480000027</v>
      </c>
      <c r="CJ6" s="1009">
        <v>60916503.630000025</v>
      </c>
      <c r="CK6" s="1009">
        <v>61040714.390000023</v>
      </c>
      <c r="CL6" s="1009">
        <v>61062145.750000022</v>
      </c>
      <c r="CM6" s="1009">
        <v>61122973.260000028</v>
      </c>
      <c r="CN6" s="1009">
        <v>60971998.020000026</v>
      </c>
      <c r="CO6" s="1009">
        <v>60994395.18000003</v>
      </c>
      <c r="CP6" s="1009">
        <v>60991233.480000027</v>
      </c>
      <c r="CQ6" s="1009">
        <v>61039831.870000027</v>
      </c>
      <c r="CR6" s="1009">
        <v>61061595.990000024</v>
      </c>
      <c r="CS6" s="1009">
        <v>61701383.310000017</v>
      </c>
      <c r="CT6" s="1009">
        <v>61701027.730000019</v>
      </c>
      <c r="CU6" s="934">
        <f>AVERAGE(CH6:CT6)</f>
        <v>60202446.767692335</v>
      </c>
      <c r="CV6" s="1275">
        <v>0</v>
      </c>
      <c r="CW6" s="931">
        <f>CU6*$CV$6</f>
        <v>0</v>
      </c>
      <c r="CX6" s="931">
        <f>CN6*$CV$6</f>
        <v>0</v>
      </c>
      <c r="CY6" s="1277" t="s">
        <v>2935</v>
      </c>
    </row>
    <row r="7" spans="1:103">
      <c r="A7" s="460" t="s">
        <v>2497</v>
      </c>
      <c r="C7" s="467">
        <v>8853561.9000000004</v>
      </c>
      <c r="D7" s="467">
        <v>8873021.2699999996</v>
      </c>
      <c r="E7" s="467">
        <v>8873021.2699999996</v>
      </c>
      <c r="F7" s="467">
        <v>15928730.639999999</v>
      </c>
      <c r="G7" s="467">
        <v>15929286.52</v>
      </c>
      <c r="H7" s="467">
        <v>16951646.539999999</v>
      </c>
      <c r="I7" s="467">
        <v>16965671.34</v>
      </c>
      <c r="J7" s="467">
        <v>16966359.859999999</v>
      </c>
      <c r="K7" s="467">
        <v>16966359.859999999</v>
      </c>
      <c r="L7" s="467">
        <v>16966445.489999998</v>
      </c>
      <c r="M7" s="467">
        <v>16975311.07</v>
      </c>
      <c r="N7" s="465">
        <v>16975311.07</v>
      </c>
      <c r="O7" s="465">
        <v>16975657.689999998</v>
      </c>
      <c r="P7" s="465">
        <v>16978007.449999999</v>
      </c>
      <c r="Q7" s="465">
        <v>16988525.949999999</v>
      </c>
      <c r="R7" s="465">
        <v>16988048.139999997</v>
      </c>
      <c r="S7" s="465">
        <v>16988591.34</v>
      </c>
      <c r="T7" s="465">
        <v>16944144.989999998</v>
      </c>
      <c r="U7" s="465">
        <v>16944144.989999998</v>
      </c>
      <c r="V7" s="465">
        <v>16944144.989999998</v>
      </c>
      <c r="W7" s="465">
        <v>16944144.989999998</v>
      </c>
      <c r="X7" s="465">
        <v>17883811.459999997</v>
      </c>
      <c r="Y7" s="465">
        <v>17914966.43</v>
      </c>
      <c r="Z7" s="465">
        <v>17921337.209999997</v>
      </c>
      <c r="AA7" s="465">
        <v>17919318.899999999</v>
      </c>
      <c r="AB7" s="465">
        <v>17920457.84</v>
      </c>
      <c r="AC7" s="465">
        <v>20764197.559999999</v>
      </c>
      <c r="AD7" s="465">
        <v>20223591.32</v>
      </c>
      <c r="AE7" s="465">
        <v>20248097.899999999</v>
      </c>
      <c r="AF7" s="465">
        <v>20248097.899999999</v>
      </c>
      <c r="AG7" s="465">
        <v>20220477.77</v>
      </c>
      <c r="AH7" s="465">
        <v>21624717.300000001</v>
      </c>
      <c r="AI7" s="465">
        <v>21651474.700000003</v>
      </c>
      <c r="AJ7" s="465">
        <v>21755609.359999999</v>
      </c>
      <c r="AK7" s="465">
        <v>21770389.719999999</v>
      </c>
      <c r="AL7" s="465">
        <v>21775427.5</v>
      </c>
      <c r="AM7" s="465">
        <v>21776805.189999998</v>
      </c>
      <c r="AN7" s="465">
        <v>21783981.060000002</v>
      </c>
      <c r="AO7" s="465">
        <v>22819110.91</v>
      </c>
      <c r="AP7" s="465">
        <v>23130760.769999996</v>
      </c>
      <c r="AQ7" s="465">
        <v>23138431.339999996</v>
      </c>
      <c r="AR7" s="465">
        <v>22868671.949999999</v>
      </c>
      <c r="AS7" s="465">
        <v>23206807.100000001</v>
      </c>
      <c r="AT7" s="465">
        <v>23208550.049999997</v>
      </c>
      <c r="AU7" s="465">
        <v>23208755.739999998</v>
      </c>
      <c r="AV7" s="465">
        <v>23209261.599999998</v>
      </c>
      <c r="AW7" s="465">
        <v>23181574.93</v>
      </c>
      <c r="AX7" s="465">
        <v>15545203.509999998</v>
      </c>
      <c r="AY7" s="465">
        <v>15545203.509999998</v>
      </c>
      <c r="AZ7" s="465">
        <v>15545203.509999998</v>
      </c>
      <c r="BA7" s="465">
        <v>15545203.509999998</v>
      </c>
      <c r="BB7" s="465">
        <v>15545203.509999998</v>
      </c>
      <c r="BC7" s="465">
        <v>15545203.509999998</v>
      </c>
      <c r="BD7" s="465">
        <v>15545203.509999998</v>
      </c>
      <c r="BE7" s="465">
        <v>15545203.509999998</v>
      </c>
      <c r="BF7" s="465">
        <v>15545203.509999998</v>
      </c>
      <c r="BG7" s="465">
        <v>15545203.509999998</v>
      </c>
      <c r="BH7" s="465">
        <v>15545203.509999998</v>
      </c>
      <c r="BI7" s="465">
        <v>15545203.509999998</v>
      </c>
      <c r="BJ7" s="465">
        <v>15545203.509999998</v>
      </c>
      <c r="BK7" s="465">
        <v>15545203.509999998</v>
      </c>
      <c r="BL7" s="465">
        <v>9370593.9599999972</v>
      </c>
      <c r="BM7" s="1009">
        <v>9370593.9599999972</v>
      </c>
      <c r="BN7" s="1009">
        <v>9370593.9599999972</v>
      </c>
      <c r="BO7" s="1009">
        <v>9370593.9599999972</v>
      </c>
      <c r="BP7" s="1009">
        <v>9370593.9599999972</v>
      </c>
      <c r="BQ7" s="1009">
        <v>9370593.9599999972</v>
      </c>
      <c r="BR7" s="1009">
        <v>9370593.9599999972</v>
      </c>
      <c r="BS7" s="1009">
        <v>9370593.9599999972</v>
      </c>
      <c r="BT7" s="1009">
        <v>9370593.9599999972</v>
      </c>
      <c r="BU7" s="1009">
        <v>9370593.9599999972</v>
      </c>
      <c r="BV7" s="1009">
        <v>9370593.9599999972</v>
      </c>
      <c r="BW7" s="1009">
        <v>9370593.9599999972</v>
      </c>
      <c r="BX7" s="1009">
        <v>9370593.9599999972</v>
      </c>
      <c r="BY7" s="1009">
        <v>9370593.9599999972</v>
      </c>
      <c r="BZ7" s="1009">
        <v>14778384.609999998</v>
      </c>
      <c r="CA7" s="1009">
        <v>14848921.069999997</v>
      </c>
      <c r="CB7" s="1009">
        <v>14871070.779999997</v>
      </c>
      <c r="CC7" s="1009">
        <v>14898793.979999997</v>
      </c>
      <c r="CD7" s="1009">
        <v>14917227.629999999</v>
      </c>
      <c r="CE7" s="1009">
        <v>14932436.819999998</v>
      </c>
      <c r="CF7" s="1009">
        <v>14962749.169999998</v>
      </c>
      <c r="CG7" s="1009">
        <v>14964756.229999997</v>
      </c>
      <c r="CH7" s="1009">
        <v>14985872.639999997</v>
      </c>
      <c r="CI7" s="1009">
        <v>15014410.719999999</v>
      </c>
      <c r="CJ7" s="1009">
        <v>15014536.279999999</v>
      </c>
      <c r="CK7" s="1009">
        <v>15014773.549999999</v>
      </c>
      <c r="CL7" s="1009">
        <v>16110325.779999997</v>
      </c>
      <c r="CM7" s="1009">
        <v>16111864.919999998</v>
      </c>
      <c r="CN7" s="1009">
        <v>16112289.359999996</v>
      </c>
      <c r="CO7" s="1009">
        <v>16113616.439999998</v>
      </c>
      <c r="CP7" s="1009">
        <v>16122643.739999998</v>
      </c>
      <c r="CQ7" s="1009">
        <v>16122904.329999998</v>
      </c>
      <c r="CR7" s="1009">
        <v>16122904.329999998</v>
      </c>
      <c r="CS7" s="1009">
        <v>16123094.299999999</v>
      </c>
      <c r="CT7" s="1009">
        <v>16157149.269999998</v>
      </c>
      <c r="CU7" s="934">
        <f t="shared" ref="CU7:CU10" si="7">AVERAGE(CH7:CT7)</f>
        <v>15778952.743076922</v>
      </c>
      <c r="CV7" s="1275">
        <v>7.3807086944409012E-3</v>
      </c>
      <c r="CW7" s="932">
        <f>CU7*$CV$7</f>
        <v>116459.85369999995</v>
      </c>
      <c r="CX7" s="932">
        <f>CN7*$CV$7</f>
        <v>118920.1141666996</v>
      </c>
      <c r="CY7" s="1277" t="s">
        <v>2935</v>
      </c>
    </row>
    <row r="8" spans="1:103">
      <c r="A8" s="460" t="s">
        <v>2498</v>
      </c>
      <c r="C8" s="467">
        <v>18841525.760000002</v>
      </c>
      <c r="D8" s="467">
        <v>18841525.760000002</v>
      </c>
      <c r="E8" s="467">
        <v>18841525.760000002</v>
      </c>
      <c r="F8" s="467">
        <v>18841525.760000002</v>
      </c>
      <c r="G8" s="467">
        <v>18841525.760000002</v>
      </c>
      <c r="H8" s="467">
        <v>19078258.93</v>
      </c>
      <c r="I8" s="467">
        <v>19088267.359999999</v>
      </c>
      <c r="J8" s="467">
        <v>19088267.359999999</v>
      </c>
      <c r="K8" s="467">
        <v>19382968.570000004</v>
      </c>
      <c r="L8" s="467">
        <v>19402077.350000005</v>
      </c>
      <c r="M8" s="467">
        <v>19402077.350000005</v>
      </c>
      <c r="N8" s="465">
        <v>19415983.030000005</v>
      </c>
      <c r="O8" s="465">
        <v>19425215.570000004</v>
      </c>
      <c r="P8" s="465">
        <v>19464633.710000005</v>
      </c>
      <c r="Q8" s="465">
        <v>19464633.710000005</v>
      </c>
      <c r="R8" s="465">
        <v>19464633.710000005</v>
      </c>
      <c r="S8" s="465">
        <v>19471898.270000003</v>
      </c>
      <c r="T8" s="465">
        <v>16249481.790000001</v>
      </c>
      <c r="U8" s="465">
        <v>16276704.979999999</v>
      </c>
      <c r="V8" s="465">
        <v>16276704.979999999</v>
      </c>
      <c r="W8" s="465">
        <v>16347488.020000001</v>
      </c>
      <c r="X8" s="465">
        <v>16347488.020000001</v>
      </c>
      <c r="Y8" s="465">
        <v>16353154.85</v>
      </c>
      <c r="Z8" s="465">
        <v>22099195.510000002</v>
      </c>
      <c r="AA8" s="465">
        <v>22305302.120000001</v>
      </c>
      <c r="AB8" s="465">
        <v>22317638.260000002</v>
      </c>
      <c r="AC8" s="465">
        <v>22436863.310000002</v>
      </c>
      <c r="AD8" s="465">
        <v>22486202.010000002</v>
      </c>
      <c r="AE8" s="465">
        <v>22521450.52</v>
      </c>
      <c r="AF8" s="465">
        <v>22547694.52</v>
      </c>
      <c r="AG8" s="465">
        <v>22548751.98</v>
      </c>
      <c r="AH8" s="465">
        <v>22767306.220000003</v>
      </c>
      <c r="AI8" s="465">
        <v>22785351.769999992</v>
      </c>
      <c r="AJ8" s="465">
        <v>22815861.260000002</v>
      </c>
      <c r="AK8" s="465">
        <v>22869684.079999998</v>
      </c>
      <c r="AL8" s="465">
        <v>22924033.75</v>
      </c>
      <c r="AM8" s="465">
        <v>22923872.179999996</v>
      </c>
      <c r="AN8" s="465">
        <v>22923643.699999996</v>
      </c>
      <c r="AO8" s="465">
        <v>22939299.629999995</v>
      </c>
      <c r="AP8" s="465">
        <v>22944926.150000002</v>
      </c>
      <c r="AQ8" s="465">
        <v>22975068.630000003</v>
      </c>
      <c r="AR8" s="465">
        <v>23013625.819999997</v>
      </c>
      <c r="AS8" s="465">
        <v>23246076.870000001</v>
      </c>
      <c r="AT8" s="465">
        <v>23279832.93</v>
      </c>
      <c r="AU8" s="465">
        <v>23283192.900000002</v>
      </c>
      <c r="AV8" s="465">
        <v>23299049.099999998</v>
      </c>
      <c r="AW8" s="465">
        <v>23330695.27</v>
      </c>
      <c r="AX8" s="465">
        <v>23403571.59</v>
      </c>
      <c r="AY8" s="465">
        <v>23409526.109999999</v>
      </c>
      <c r="AZ8" s="465">
        <v>23400003.099999998</v>
      </c>
      <c r="BA8" s="465">
        <v>23434221.979999997</v>
      </c>
      <c r="BB8" s="465">
        <v>23723493.639999997</v>
      </c>
      <c r="BC8" s="465">
        <v>24156462.139999997</v>
      </c>
      <c r="BD8" s="465">
        <v>24592215.719999995</v>
      </c>
      <c r="BE8" s="465">
        <v>24608741.159999996</v>
      </c>
      <c r="BF8" s="465">
        <v>24673802.829999998</v>
      </c>
      <c r="BG8" s="465">
        <v>24831120.379999995</v>
      </c>
      <c r="BH8" s="465">
        <v>24889535.539999995</v>
      </c>
      <c r="BI8" s="465">
        <v>24969555.619999994</v>
      </c>
      <c r="BJ8" s="465">
        <v>25121264.709999993</v>
      </c>
      <c r="BK8" s="465">
        <v>24928274.75</v>
      </c>
      <c r="BL8" s="465">
        <v>24938133.240000002</v>
      </c>
      <c r="BM8" s="1009">
        <v>25044611.290000003</v>
      </c>
      <c r="BN8" s="1009">
        <v>25179193.080000002</v>
      </c>
      <c r="BO8" s="1009">
        <v>25180135.760000002</v>
      </c>
      <c r="BP8" s="1009">
        <v>25178945.489999998</v>
      </c>
      <c r="BQ8" s="1009">
        <v>25226895.669999994</v>
      </c>
      <c r="BR8" s="1009">
        <v>25256618.929999996</v>
      </c>
      <c r="BS8" s="1009">
        <v>25247102.950000003</v>
      </c>
      <c r="BT8" s="1009">
        <v>25253798.300000001</v>
      </c>
      <c r="BU8" s="1009">
        <v>25287559.989999998</v>
      </c>
      <c r="BV8" s="1009">
        <v>25343700.120000001</v>
      </c>
      <c r="BW8" s="1009">
        <v>25354697.579999998</v>
      </c>
      <c r="BX8" s="1009">
        <v>25354825.559999999</v>
      </c>
      <c r="BY8" s="1009">
        <v>25385327.510000002</v>
      </c>
      <c r="BZ8" s="1009">
        <v>25387160.740000002</v>
      </c>
      <c r="CA8" s="1009">
        <v>25385915.290000003</v>
      </c>
      <c r="CB8" s="1009">
        <v>25412779.590000004</v>
      </c>
      <c r="CC8" s="1009">
        <v>25494715.100000005</v>
      </c>
      <c r="CD8" s="1009">
        <v>25615885.910000008</v>
      </c>
      <c r="CE8" s="1009">
        <v>25628210.520000007</v>
      </c>
      <c r="CF8" s="1009">
        <v>25734094.840000004</v>
      </c>
      <c r="CG8" s="1009">
        <v>25742152.080000002</v>
      </c>
      <c r="CH8" s="1009">
        <v>25824228.16</v>
      </c>
      <c r="CI8" s="1009">
        <v>25821062.57</v>
      </c>
      <c r="CJ8" s="1009">
        <v>25828201.110000003</v>
      </c>
      <c r="CK8" s="1009">
        <v>25829152.170000002</v>
      </c>
      <c r="CL8" s="1009">
        <v>25842850.230000004</v>
      </c>
      <c r="CM8" s="1009">
        <v>25842850.230000004</v>
      </c>
      <c r="CN8" s="1009">
        <v>25934211.340000004</v>
      </c>
      <c r="CO8" s="1009">
        <v>25955193.590000004</v>
      </c>
      <c r="CP8" s="1009">
        <v>26352767.299999997</v>
      </c>
      <c r="CQ8" s="1009">
        <v>26189107.450000003</v>
      </c>
      <c r="CR8" s="1009">
        <v>26221109.289999999</v>
      </c>
      <c r="CS8" s="1009">
        <v>26460730.340000004</v>
      </c>
      <c r="CT8" s="1009">
        <v>26530873.120000005</v>
      </c>
      <c r="CU8" s="934">
        <f t="shared" si="7"/>
        <v>26048641.300000008</v>
      </c>
      <c r="CV8" s="1275">
        <v>3.647536422561895E-2</v>
      </c>
      <c r="CW8" s="932">
        <f>CU8*$CV$8</f>
        <v>950133.67900000059</v>
      </c>
      <c r="CX8" s="932">
        <f>CN8*$CV$8</f>
        <v>945959.80453067739</v>
      </c>
      <c r="CY8" s="1277" t="s">
        <v>2935</v>
      </c>
    </row>
    <row r="9" spans="1:103">
      <c r="A9" s="460" t="s">
        <v>2499</v>
      </c>
      <c r="C9" s="467">
        <v>131346.76999999999</v>
      </c>
      <c r="D9" s="467">
        <v>131346.76999999999</v>
      </c>
      <c r="E9" s="467">
        <v>131346.76999999999</v>
      </c>
      <c r="F9" s="467">
        <v>131346.76999999999</v>
      </c>
      <c r="G9" s="467">
        <v>131346.76999999999</v>
      </c>
      <c r="H9" s="467">
        <v>134180.01999999999</v>
      </c>
      <c r="I9" s="467">
        <v>134180.01999999999</v>
      </c>
      <c r="J9" s="467">
        <v>134180.01999999999</v>
      </c>
      <c r="K9" s="467">
        <v>137555.26999999999</v>
      </c>
      <c r="L9" s="467">
        <v>137555.26999999999</v>
      </c>
      <c r="M9" s="467">
        <v>149950.79</v>
      </c>
      <c r="N9" s="465">
        <v>15790.82</v>
      </c>
      <c r="O9" s="465">
        <v>15790.82</v>
      </c>
      <c r="P9" s="465">
        <v>15790.82</v>
      </c>
      <c r="Q9" s="465">
        <v>15790.82</v>
      </c>
      <c r="R9" s="465">
        <v>15790.82</v>
      </c>
      <c r="S9" s="465">
        <v>15790.82</v>
      </c>
      <c r="T9" s="465">
        <v>15790.82</v>
      </c>
      <c r="U9" s="465">
        <v>28184.34</v>
      </c>
      <c r="V9" s="465">
        <v>28184.34</v>
      </c>
      <c r="W9" s="465">
        <v>28184.34</v>
      </c>
      <c r="X9" s="465">
        <v>28184.34</v>
      </c>
      <c r="Y9" s="465">
        <v>28184.34</v>
      </c>
      <c r="Z9" s="465">
        <v>28184.34</v>
      </c>
      <c r="AA9" s="465">
        <v>28184.34</v>
      </c>
      <c r="AB9" s="465">
        <v>28184.34</v>
      </c>
      <c r="AC9" s="465">
        <v>28184.34</v>
      </c>
      <c r="AD9" s="465">
        <v>28184.34</v>
      </c>
      <c r="AE9" s="465">
        <v>28184.34</v>
      </c>
      <c r="AF9" s="465">
        <v>28184.34</v>
      </c>
      <c r="AG9" s="465">
        <v>28184.34</v>
      </c>
      <c r="AH9" s="465">
        <v>28184.34</v>
      </c>
      <c r="AI9" s="465">
        <v>28184.34</v>
      </c>
      <c r="AJ9" s="465">
        <v>28184.34</v>
      </c>
      <c r="AK9" s="465">
        <v>28184.34</v>
      </c>
      <c r="AL9" s="465">
        <v>28184.34</v>
      </c>
      <c r="AM9" s="465">
        <v>28184.34</v>
      </c>
      <c r="AN9" s="465">
        <v>28184.34</v>
      </c>
      <c r="AO9" s="465">
        <v>28184.34</v>
      </c>
      <c r="AP9" s="465">
        <v>28184.34</v>
      </c>
      <c r="AQ9" s="465">
        <v>28184.34</v>
      </c>
      <c r="AR9" s="465">
        <v>28184.34</v>
      </c>
      <c r="AS9" s="465">
        <v>28184.34</v>
      </c>
      <c r="AT9" s="465">
        <v>28184.34</v>
      </c>
      <c r="AU9" s="465">
        <v>28184.34</v>
      </c>
      <c r="AV9" s="465">
        <v>28184.34</v>
      </c>
      <c r="AW9" s="465">
        <v>28184.34</v>
      </c>
      <c r="AX9" s="465">
        <v>162344.31</v>
      </c>
      <c r="AY9" s="465">
        <v>162344.31</v>
      </c>
      <c r="AZ9" s="465">
        <v>162344.31</v>
      </c>
      <c r="BA9" s="465">
        <v>162344.31</v>
      </c>
      <c r="BB9" s="465">
        <v>162344.31</v>
      </c>
      <c r="BC9" s="465">
        <v>162344.31</v>
      </c>
      <c r="BD9" s="465">
        <v>162344.31</v>
      </c>
      <c r="BE9" s="465">
        <v>162344.31</v>
      </c>
      <c r="BF9" s="465">
        <v>162344.31</v>
      </c>
      <c r="BG9" s="465">
        <v>162344.31</v>
      </c>
      <c r="BH9" s="465">
        <v>162344.31</v>
      </c>
      <c r="BI9" s="465">
        <v>162344.31</v>
      </c>
      <c r="BJ9" s="465">
        <v>162344.31</v>
      </c>
      <c r="BK9" s="465">
        <v>162344.31</v>
      </c>
      <c r="BL9" s="465">
        <v>162344.31</v>
      </c>
      <c r="BM9" s="1009">
        <v>162344.31</v>
      </c>
      <c r="BN9" s="1009">
        <v>162344.31</v>
      </c>
      <c r="BO9" s="1009">
        <v>162344.31</v>
      </c>
      <c r="BP9" s="1009">
        <v>162344.31</v>
      </c>
      <c r="BQ9" s="1009">
        <v>162344.31</v>
      </c>
      <c r="BR9" s="1009">
        <v>162344.31</v>
      </c>
      <c r="BS9" s="1009">
        <v>162344.31</v>
      </c>
      <c r="BT9" s="1009">
        <v>162344.31</v>
      </c>
      <c r="BU9" s="1009">
        <v>162344.31</v>
      </c>
      <c r="BV9" s="1009">
        <v>162344.31</v>
      </c>
      <c r="BW9" s="1009">
        <v>162344.31</v>
      </c>
      <c r="BX9" s="1009">
        <v>162344.31</v>
      </c>
      <c r="BY9" s="1009">
        <v>162344.31</v>
      </c>
      <c r="BZ9" s="1009">
        <v>162344.31</v>
      </c>
      <c r="CA9" s="1009">
        <v>162344.31</v>
      </c>
      <c r="CB9" s="1009">
        <v>162344.31</v>
      </c>
      <c r="CC9" s="1009">
        <v>162344.31</v>
      </c>
      <c r="CD9" s="1009">
        <v>162344.31</v>
      </c>
      <c r="CE9" s="1009">
        <v>162344.31</v>
      </c>
      <c r="CF9" s="1009">
        <v>162344.31</v>
      </c>
      <c r="CG9" s="1009">
        <v>162344.31</v>
      </c>
      <c r="CH9" s="1009">
        <v>162344.31</v>
      </c>
      <c r="CI9" s="1009">
        <v>162344.31</v>
      </c>
      <c r="CJ9" s="1009">
        <v>162344.31</v>
      </c>
      <c r="CK9" s="1009">
        <v>162344.31</v>
      </c>
      <c r="CL9" s="1009">
        <v>162344.31</v>
      </c>
      <c r="CM9" s="1009">
        <v>162344.31</v>
      </c>
      <c r="CN9" s="1009">
        <v>162344.31</v>
      </c>
      <c r="CO9" s="1009">
        <v>162344.31</v>
      </c>
      <c r="CP9" s="1009">
        <v>162344.31</v>
      </c>
      <c r="CQ9" s="1009">
        <v>162344.31</v>
      </c>
      <c r="CR9" s="1009">
        <v>162344.31</v>
      </c>
      <c r="CS9" s="1009">
        <v>162344.31</v>
      </c>
      <c r="CT9" s="1009">
        <v>162344.31</v>
      </c>
      <c r="CU9" s="934">
        <f t="shared" si="7"/>
        <v>162344.31000000003</v>
      </c>
      <c r="CV9" s="1275">
        <v>2.5599830385185669E-2</v>
      </c>
      <c r="CW9" s="932">
        <f>CU9*$CV$9</f>
        <v>4155.9868000000024</v>
      </c>
      <c r="CX9" s="932">
        <f>CN9*$CV$9</f>
        <v>4155.9868000000015</v>
      </c>
      <c r="CY9" s="1277" t="s">
        <v>2935</v>
      </c>
    </row>
    <row r="10" spans="1:103">
      <c r="A10" s="460" t="s">
        <v>2500</v>
      </c>
      <c r="C10" s="467">
        <v>6074194.9300000006</v>
      </c>
      <c r="D10" s="467">
        <v>5140241.870000001</v>
      </c>
      <c r="E10" s="467">
        <v>5140241.870000001</v>
      </c>
      <c r="F10" s="467">
        <v>5152959.1000000006</v>
      </c>
      <c r="G10" s="467">
        <v>5152959.1000000006</v>
      </c>
      <c r="H10" s="467">
        <v>5211356.6400000006</v>
      </c>
      <c r="I10" s="467">
        <v>5229723.290000001</v>
      </c>
      <c r="J10" s="467">
        <v>5229192.8800000008</v>
      </c>
      <c r="K10" s="467">
        <v>5231353.4000000004</v>
      </c>
      <c r="L10" s="467">
        <v>5244213.1500000004</v>
      </c>
      <c r="M10" s="467">
        <v>5282644.0000000009</v>
      </c>
      <c r="N10" s="465">
        <v>6763928.4800000004</v>
      </c>
      <c r="O10" s="465">
        <v>7282485.7800000003</v>
      </c>
      <c r="P10" s="465">
        <v>7282485.7800000003</v>
      </c>
      <c r="Q10" s="465">
        <v>7296465.3200000003</v>
      </c>
      <c r="R10" s="465">
        <v>7296465.3200000003</v>
      </c>
      <c r="S10" s="465">
        <v>7296465.3200000003</v>
      </c>
      <c r="T10" s="465">
        <v>7741893.5700000003</v>
      </c>
      <c r="U10" s="465">
        <v>7726125.5300000012</v>
      </c>
      <c r="V10" s="465">
        <v>7726125.5300000012</v>
      </c>
      <c r="W10" s="465">
        <v>7726251.1400000006</v>
      </c>
      <c r="X10" s="465">
        <v>7727508.8000000007</v>
      </c>
      <c r="Y10" s="465">
        <v>7727642.0700000012</v>
      </c>
      <c r="Z10" s="465">
        <v>5967697.9100000011</v>
      </c>
      <c r="AA10" s="465">
        <v>5955147.1000000006</v>
      </c>
      <c r="AB10" s="465">
        <v>5955147.1000000006</v>
      </c>
      <c r="AC10" s="465">
        <v>4757689.3600000013</v>
      </c>
      <c r="AD10" s="465">
        <v>4794132.4300000016</v>
      </c>
      <c r="AE10" s="465">
        <v>4825637.7400000012</v>
      </c>
      <c r="AF10" s="465">
        <v>4825637.7400000012</v>
      </c>
      <c r="AG10" s="465">
        <v>4842925.0900000017</v>
      </c>
      <c r="AH10" s="465">
        <v>4845993.3300000019</v>
      </c>
      <c r="AI10" s="465">
        <v>4845993.3300000019</v>
      </c>
      <c r="AJ10" s="465">
        <v>4853710.8500000015</v>
      </c>
      <c r="AK10" s="465">
        <v>4854269.5200000014</v>
      </c>
      <c r="AL10" s="465">
        <v>4869187.0200000014</v>
      </c>
      <c r="AM10" s="465">
        <v>4884341.0900000017</v>
      </c>
      <c r="AN10" s="465">
        <v>5098578.4400000013</v>
      </c>
      <c r="AO10" s="465">
        <v>5130554.7100000009</v>
      </c>
      <c r="AP10" s="465">
        <v>5139860.3200000022</v>
      </c>
      <c r="AQ10" s="465">
        <v>5139860.3200000022</v>
      </c>
      <c r="AR10" s="465">
        <v>5142948.3300000019</v>
      </c>
      <c r="AS10" s="465">
        <v>5142948.3300000019</v>
      </c>
      <c r="AT10" s="465">
        <v>5144626.9200000018</v>
      </c>
      <c r="AU10" s="465">
        <v>5144626.9200000018</v>
      </c>
      <c r="AV10" s="465">
        <v>5150677.8600000013</v>
      </c>
      <c r="AW10" s="465">
        <v>5227619.8800000008</v>
      </c>
      <c r="AX10" s="465">
        <v>6814990.9900000012</v>
      </c>
      <c r="AY10" s="465">
        <v>6780881.0000000009</v>
      </c>
      <c r="AZ10" s="465">
        <v>7198374.7800000003</v>
      </c>
      <c r="BA10" s="465">
        <v>7209859.9699999997</v>
      </c>
      <c r="BB10" s="465">
        <v>7245072.5300000003</v>
      </c>
      <c r="BC10" s="465">
        <v>7285139.1000000006</v>
      </c>
      <c r="BD10" s="465">
        <v>7285139.1000000006</v>
      </c>
      <c r="BE10" s="465">
        <v>7283050.6800000006</v>
      </c>
      <c r="BF10" s="465">
        <v>7303792.4199999999</v>
      </c>
      <c r="BG10" s="465">
        <v>7310747.7200000007</v>
      </c>
      <c r="BH10" s="465">
        <v>7600936.620000001</v>
      </c>
      <c r="BI10" s="465">
        <v>7606392.8400000008</v>
      </c>
      <c r="BJ10" s="465">
        <v>8456252.5900000017</v>
      </c>
      <c r="BK10" s="465">
        <v>8386023.7600000007</v>
      </c>
      <c r="BL10" s="465">
        <v>8655946.5200000014</v>
      </c>
      <c r="BM10" s="1009">
        <v>8723248.6100000013</v>
      </c>
      <c r="BN10" s="1009">
        <v>8745541.4800000023</v>
      </c>
      <c r="BO10" s="1009">
        <v>8771560.8400000017</v>
      </c>
      <c r="BP10" s="1009">
        <v>8876434.3100000024</v>
      </c>
      <c r="BQ10" s="1009">
        <v>8891991.7100000028</v>
      </c>
      <c r="BR10" s="1009">
        <v>8888253.2400000039</v>
      </c>
      <c r="BS10" s="1009">
        <v>8916651.0200000033</v>
      </c>
      <c r="BT10" s="1009">
        <v>8991938.2600000035</v>
      </c>
      <c r="BU10" s="1009">
        <v>8995845.0500000026</v>
      </c>
      <c r="BV10" s="1009">
        <v>8918826.2500000019</v>
      </c>
      <c r="BW10" s="1009">
        <v>8920181.7600000016</v>
      </c>
      <c r="BX10" s="1009">
        <v>6568167.540000001</v>
      </c>
      <c r="BY10" s="1009">
        <v>6568167.540000001</v>
      </c>
      <c r="BZ10" s="1009">
        <v>6568592.3200000012</v>
      </c>
      <c r="CA10" s="1009">
        <v>6568592.3200000012</v>
      </c>
      <c r="CB10" s="1009">
        <v>6568592.3200000012</v>
      </c>
      <c r="CC10" s="1009">
        <v>6607888.9600000009</v>
      </c>
      <c r="CD10" s="1009">
        <v>6545262.3900000015</v>
      </c>
      <c r="CE10" s="1009">
        <v>6545262.3900000015</v>
      </c>
      <c r="CF10" s="1009">
        <v>6553035.2200000007</v>
      </c>
      <c r="CG10" s="1009">
        <v>6553202.8900000015</v>
      </c>
      <c r="CH10" s="1009">
        <v>6553368.7800000012</v>
      </c>
      <c r="CI10" s="1009">
        <v>6553537.1900000013</v>
      </c>
      <c r="CJ10" s="1009">
        <v>6553705.2500000009</v>
      </c>
      <c r="CK10" s="1009">
        <v>6553872.9000000013</v>
      </c>
      <c r="CL10" s="1009">
        <v>6587897.3800000008</v>
      </c>
      <c r="CM10" s="1009">
        <v>6588066.2600000016</v>
      </c>
      <c r="CN10" s="1009">
        <v>6591287.2500000019</v>
      </c>
      <c r="CO10" s="1009">
        <v>6610015.0500000007</v>
      </c>
      <c r="CP10" s="1009">
        <v>6625614.9200000018</v>
      </c>
      <c r="CQ10" s="1009">
        <v>6636257.9500000011</v>
      </c>
      <c r="CR10" s="1009">
        <v>6660221.4700000007</v>
      </c>
      <c r="CS10" s="1009">
        <v>6664667.1100000013</v>
      </c>
      <c r="CT10" s="1009">
        <v>6698287.4500000011</v>
      </c>
      <c r="CU10" s="934">
        <f t="shared" si="7"/>
        <v>6605907.6123076929</v>
      </c>
      <c r="CV10" s="1275">
        <v>5.9410082813827316E-3</v>
      </c>
      <c r="CW10" s="1008">
        <f>CU10*$CV$10</f>
        <v>39245.75183076923</v>
      </c>
      <c r="CX10" s="1008">
        <f>CN10*$CV$10</f>
        <v>39158.892137222421</v>
      </c>
      <c r="CY10" s="1277" t="s">
        <v>2935</v>
      </c>
    </row>
    <row r="11" spans="1:103" ht="13.5" thickBot="1">
      <c r="C11" s="466">
        <f t="shared" ref="C11:M11" si="8">SUM(C6:C10)</f>
        <v>61022850.180000007</v>
      </c>
      <c r="D11" s="466">
        <f t="shared" si="8"/>
        <v>56260920.710000008</v>
      </c>
      <c r="E11" s="466">
        <f t="shared" si="8"/>
        <v>56398909.74000001</v>
      </c>
      <c r="F11" s="466">
        <f t="shared" si="8"/>
        <v>65356075.090000018</v>
      </c>
      <c r="G11" s="466">
        <f t="shared" si="8"/>
        <v>65371140.87000002</v>
      </c>
      <c r="H11" s="466">
        <f t="shared" si="8"/>
        <v>66703113.680000007</v>
      </c>
      <c r="I11" s="466">
        <f t="shared" si="8"/>
        <v>66941980.820000008</v>
      </c>
      <c r="J11" s="466">
        <f t="shared" si="8"/>
        <v>66964342.790000007</v>
      </c>
      <c r="K11" s="466">
        <f t="shared" si="8"/>
        <v>67401271.290000007</v>
      </c>
      <c r="L11" s="466">
        <f t="shared" si="8"/>
        <v>67433325.450000018</v>
      </c>
      <c r="M11" s="466">
        <f t="shared" si="8"/>
        <v>67504040.280000016</v>
      </c>
      <c r="N11" s="466">
        <f>SUM(N6:N10)</f>
        <v>69703918.440000013</v>
      </c>
      <c r="O11" s="466">
        <f t="shared" ref="O11:Z11" si="9">SUM(O6:O10)</f>
        <v>70232054.900000006</v>
      </c>
      <c r="P11" s="466">
        <f t="shared" si="9"/>
        <v>70273822.800000012</v>
      </c>
      <c r="Q11" s="466">
        <f t="shared" si="9"/>
        <v>69469016.230000019</v>
      </c>
      <c r="R11" s="466">
        <f t="shared" si="9"/>
        <v>70283863.49000001</v>
      </c>
      <c r="S11" s="466">
        <f t="shared" si="9"/>
        <v>70291671.25</v>
      </c>
      <c r="T11" s="466">
        <f t="shared" si="9"/>
        <v>67821242.870000005</v>
      </c>
      <c r="U11" s="466">
        <f t="shared" si="9"/>
        <v>69206871.030000001</v>
      </c>
      <c r="V11" s="466">
        <f t="shared" si="9"/>
        <v>69208065.280000001</v>
      </c>
      <c r="W11" s="466">
        <f t="shared" si="9"/>
        <v>69308001.460000008</v>
      </c>
      <c r="X11" s="466">
        <f t="shared" si="9"/>
        <v>70347382.140000015</v>
      </c>
      <c r="Y11" s="466">
        <f t="shared" si="9"/>
        <v>70384995.700000018</v>
      </c>
      <c r="Z11" s="466">
        <f t="shared" si="9"/>
        <v>73490036.780000001</v>
      </c>
      <c r="AA11" s="466">
        <f t="shared" ref="AA11:AF11" si="10">SUM(AA6:AA10)</f>
        <v>73681574.270000011</v>
      </c>
      <c r="AB11" s="466">
        <f t="shared" si="10"/>
        <v>73695049.350000009</v>
      </c>
      <c r="AC11" s="466">
        <f t="shared" si="10"/>
        <v>75340153.890000001</v>
      </c>
      <c r="AD11" s="466">
        <f t="shared" si="10"/>
        <v>74885329.420000017</v>
      </c>
      <c r="AE11" s="466">
        <f t="shared" si="10"/>
        <v>74976589.819999993</v>
      </c>
      <c r="AF11" s="466">
        <f t="shared" si="10"/>
        <v>75058058.079999998</v>
      </c>
      <c r="AG11" s="466">
        <f t="shared" ref="AG11:AL11" si="11">SUM(AG6:AG10)</f>
        <v>75051309.49000001</v>
      </c>
      <c r="AH11" s="466">
        <f t="shared" si="11"/>
        <v>76739072.63000001</v>
      </c>
      <c r="AI11" s="466">
        <f t="shared" si="11"/>
        <v>76784772.49000001</v>
      </c>
      <c r="AJ11" s="466">
        <f t="shared" si="11"/>
        <v>76927134.160000026</v>
      </c>
      <c r="AK11" s="466">
        <f t="shared" si="11"/>
        <v>76996296.010000005</v>
      </c>
      <c r="AL11" s="466">
        <f t="shared" si="11"/>
        <v>77355226.510000005</v>
      </c>
      <c r="AM11" s="466">
        <f t="shared" ref="AM11:AR11" si="12">SUM(AM6:AM10)</f>
        <v>77371859.63000001</v>
      </c>
      <c r="AN11" s="466">
        <f t="shared" si="12"/>
        <v>77595755.770000011</v>
      </c>
      <c r="AO11" s="466">
        <f t="shared" si="12"/>
        <v>78681271.370000005</v>
      </c>
      <c r="AP11" s="466">
        <f t="shared" si="12"/>
        <v>79011781.290000021</v>
      </c>
      <c r="AQ11" s="466">
        <f t="shared" si="12"/>
        <v>79051197.320000008</v>
      </c>
      <c r="AR11" s="466">
        <f t="shared" si="12"/>
        <v>78862876.430000007</v>
      </c>
      <c r="AS11" s="466">
        <f t="shared" ref="AS11:AX11" si="13">SUM(AS6:AS10)</f>
        <v>79722383.74000001</v>
      </c>
      <c r="AT11" s="466">
        <f t="shared" si="13"/>
        <v>79788428.549999997</v>
      </c>
      <c r="AU11" s="466">
        <f t="shared" si="13"/>
        <v>79825494.770000011</v>
      </c>
      <c r="AV11" s="466">
        <f t="shared" si="13"/>
        <v>80643616.230000004</v>
      </c>
      <c r="AW11" s="466">
        <f t="shared" si="13"/>
        <v>80760155.060000002</v>
      </c>
      <c r="AX11" s="466">
        <f t="shared" si="13"/>
        <v>75457728.320000008</v>
      </c>
      <c r="AY11" s="466">
        <f t="shared" ref="AY11:BD11" si="14">SUM(AY6:AY10)</f>
        <v>75546968.710000008</v>
      </c>
      <c r="AZ11" s="466">
        <f t="shared" si="14"/>
        <v>75988384.790000007</v>
      </c>
      <c r="BA11" s="466">
        <f t="shared" si="14"/>
        <v>76022556.530000001</v>
      </c>
      <c r="BB11" s="466">
        <f t="shared" si="14"/>
        <v>76356239.290000007</v>
      </c>
      <c r="BC11" s="466">
        <f t="shared" si="14"/>
        <v>76850298.420000002</v>
      </c>
      <c r="BD11" s="466">
        <f t="shared" si="14"/>
        <v>77287239.299999997</v>
      </c>
      <c r="BE11" s="466">
        <f t="shared" ref="BE11:BJ11" si="15">SUM(BE6:BE10)</f>
        <v>77288104.560000002</v>
      </c>
      <c r="BF11" s="466">
        <f t="shared" si="15"/>
        <v>77385844.450000003</v>
      </c>
      <c r="BG11" s="466">
        <f t="shared" si="15"/>
        <v>78671924.090000004</v>
      </c>
      <c r="BH11" s="466">
        <f t="shared" si="15"/>
        <v>79135132.390000001</v>
      </c>
      <c r="BI11" s="466">
        <f t="shared" si="15"/>
        <v>79405990.269999996</v>
      </c>
      <c r="BJ11" s="466">
        <f t="shared" si="15"/>
        <v>81460071.879999995</v>
      </c>
      <c r="BK11" s="466">
        <f>SUM(BK6:BK10)</f>
        <v>80814098.26000002</v>
      </c>
      <c r="BL11" s="466">
        <f>SUM(BL6:BL10)</f>
        <v>75120146.710000008</v>
      </c>
      <c r="BM11" s="1013">
        <f>SUM(BM6:BM10)</f>
        <v>75299784.780000016</v>
      </c>
      <c r="BN11" s="1013">
        <f>SUM(BN6:BN10)</f>
        <v>75459145.830000013</v>
      </c>
      <c r="BO11" s="1013">
        <f>SUM(BO6:BO10)</f>
        <v>75506943.130000025</v>
      </c>
      <c r="BP11" s="1013">
        <f t="shared" ref="BP11:BV11" si="16">SUM(BP6:BP10)</f>
        <v>75745442.870000005</v>
      </c>
      <c r="BQ11" s="1013">
        <f t="shared" si="16"/>
        <v>75829698.870000005</v>
      </c>
      <c r="BR11" s="1013">
        <f t="shared" si="16"/>
        <v>75849989.980000019</v>
      </c>
      <c r="BS11" s="1013">
        <f t="shared" si="16"/>
        <v>75900594.460000008</v>
      </c>
      <c r="BT11" s="1013">
        <f t="shared" si="16"/>
        <v>92186837.700000018</v>
      </c>
      <c r="BU11" s="1013">
        <f t="shared" si="16"/>
        <v>92299717.150000006</v>
      </c>
      <c r="BV11" s="1013">
        <f t="shared" si="16"/>
        <v>92273724.780000016</v>
      </c>
      <c r="BW11" s="1013">
        <f t="shared" ref="BW11:CU11" si="17">SUM(BW6:BW10)</f>
        <v>92328787.170000017</v>
      </c>
      <c r="BX11" s="1013">
        <f t="shared" si="17"/>
        <v>90037280.600000024</v>
      </c>
      <c r="BY11" s="1013">
        <f t="shared" si="17"/>
        <v>92647498.710000023</v>
      </c>
      <c r="BZ11" s="1013">
        <f t="shared" si="17"/>
        <v>100903670.32000004</v>
      </c>
      <c r="CA11" s="1013">
        <f t="shared" si="17"/>
        <v>101226578.93000004</v>
      </c>
      <c r="CB11" s="1013">
        <f t="shared" si="17"/>
        <v>101537515.83000003</v>
      </c>
      <c r="CC11" s="1013">
        <f t="shared" ref="CC11:CH11" si="18">SUM(CC6:CC10)</f>
        <v>101945246.98000002</v>
      </c>
      <c r="CD11" s="1013">
        <f t="shared" si="18"/>
        <v>102122547.54000004</v>
      </c>
      <c r="CE11" s="1013">
        <f t="shared" si="18"/>
        <v>102178419.51000004</v>
      </c>
      <c r="CF11" s="1013">
        <f t="shared" si="18"/>
        <v>102348794.91000003</v>
      </c>
      <c r="CG11" s="1013">
        <f t="shared" si="18"/>
        <v>102394912.80000001</v>
      </c>
      <c r="CH11" s="1013">
        <f t="shared" si="18"/>
        <v>102518419.78000002</v>
      </c>
      <c r="CI11" s="1013">
        <f t="shared" ref="CI11:CK11" si="19">SUM(CI6:CI10)</f>
        <v>102586754.27000001</v>
      </c>
      <c r="CJ11" s="1013">
        <f t="shared" si="19"/>
        <v>108475290.58000003</v>
      </c>
      <c r="CK11" s="1013">
        <f t="shared" si="19"/>
        <v>108600857.32000004</v>
      </c>
      <c r="CL11" s="1013">
        <f t="shared" ref="CL11:CN11" si="20">SUM(CL6:CL10)</f>
        <v>109765563.45000002</v>
      </c>
      <c r="CM11" s="1013">
        <f t="shared" si="20"/>
        <v>109828098.98000003</v>
      </c>
      <c r="CN11" s="1013">
        <f t="shared" si="20"/>
        <v>109772130.28000003</v>
      </c>
      <c r="CO11" s="1013">
        <f t="shared" ref="CO11:CQ11" si="21">SUM(CO6:CO10)</f>
        <v>109835564.57000004</v>
      </c>
      <c r="CP11" s="1013">
        <f t="shared" si="21"/>
        <v>110254603.75000003</v>
      </c>
      <c r="CQ11" s="1013">
        <f t="shared" si="21"/>
        <v>110150445.91000003</v>
      </c>
      <c r="CR11" s="1013">
        <f t="shared" ref="CR11:CT11" si="22">SUM(CR6:CR10)</f>
        <v>110228175.39000002</v>
      </c>
      <c r="CS11" s="1013">
        <f t="shared" si="22"/>
        <v>111112219.37000002</v>
      </c>
      <c r="CT11" s="1013">
        <f t="shared" si="22"/>
        <v>111249681.88000003</v>
      </c>
      <c r="CU11" s="1014">
        <f t="shared" si="17"/>
        <v>108798292.73307697</v>
      </c>
      <c r="CW11" s="1017">
        <f>SUM(CW6:CW10)</f>
        <v>1109995.2713307699</v>
      </c>
      <c r="CX11" s="1017">
        <f>SUM(CX6:CX10)</f>
        <v>1108194.7976345995</v>
      </c>
    </row>
    <row r="12" spans="1:103" ht="13.5" thickTop="1">
      <c r="A12" s="460" t="s">
        <v>1715</v>
      </c>
      <c r="CU12" s="935"/>
    </row>
    <row r="13" spans="1:103">
      <c r="CU13" s="935"/>
    </row>
    <row r="14" spans="1:103">
      <c r="CU14" s="935"/>
    </row>
    <row r="15" spans="1:103">
      <c r="A15" s="1005"/>
      <c r="B15" s="1005"/>
      <c r="C15" s="461">
        <v>2015</v>
      </c>
      <c r="D15" s="461">
        <v>2015</v>
      </c>
      <c r="E15" s="461">
        <v>2015</v>
      </c>
      <c r="F15" s="461">
        <v>2015</v>
      </c>
      <c r="G15" s="461">
        <v>2015</v>
      </c>
      <c r="H15" s="461">
        <v>2015</v>
      </c>
      <c r="I15" s="461">
        <v>2015</v>
      </c>
      <c r="J15" s="461">
        <v>2015</v>
      </c>
      <c r="K15" s="461">
        <v>2015</v>
      </c>
      <c r="L15" s="461">
        <v>2015</v>
      </c>
      <c r="M15" s="461">
        <v>2015</v>
      </c>
      <c r="N15" s="461">
        <v>2015</v>
      </c>
      <c r="O15" s="461">
        <v>2016</v>
      </c>
      <c r="P15" s="461">
        <v>2016</v>
      </c>
      <c r="Q15" s="461">
        <v>2016</v>
      </c>
      <c r="R15" s="461">
        <v>2016</v>
      </c>
      <c r="S15" s="461">
        <v>2016</v>
      </c>
      <c r="T15" s="461">
        <v>2016</v>
      </c>
      <c r="U15" s="461">
        <v>2016</v>
      </c>
      <c r="V15" s="461">
        <v>2016</v>
      </c>
      <c r="W15" s="461">
        <v>2016</v>
      </c>
      <c r="X15" s="461">
        <v>2016</v>
      </c>
      <c r="Y15" s="461">
        <v>2016</v>
      </c>
      <c r="Z15" s="461">
        <v>2016</v>
      </c>
      <c r="AA15" s="461">
        <f t="shared" ref="AA15:AF15" si="23">+AA3</f>
        <v>2017</v>
      </c>
      <c r="AB15" s="461">
        <f t="shared" si="23"/>
        <v>2017</v>
      </c>
      <c r="AC15" s="461">
        <f t="shared" si="23"/>
        <v>2017</v>
      </c>
      <c r="AD15" s="461">
        <f t="shared" si="23"/>
        <v>2017</v>
      </c>
      <c r="AE15" s="461">
        <f t="shared" si="23"/>
        <v>2017</v>
      </c>
      <c r="AF15" s="461">
        <f t="shared" si="23"/>
        <v>2017</v>
      </c>
      <c r="AG15" s="461">
        <f t="shared" ref="AG15:AI16" si="24">+AG3</f>
        <v>2017</v>
      </c>
      <c r="AH15" s="461">
        <f t="shared" si="24"/>
        <v>2017</v>
      </c>
      <c r="AI15" s="461">
        <f t="shared" si="24"/>
        <v>2017</v>
      </c>
      <c r="AJ15" s="461">
        <f t="shared" ref="AJ15:AL16" si="25">+AJ3</f>
        <v>2017</v>
      </c>
      <c r="AK15" s="461">
        <f t="shared" si="25"/>
        <v>2017</v>
      </c>
      <c r="AL15" s="461">
        <f t="shared" si="25"/>
        <v>2017</v>
      </c>
      <c r="AM15" s="461">
        <f t="shared" ref="AM15:AO16" si="26">+AM3</f>
        <v>2018</v>
      </c>
      <c r="AN15" s="461">
        <f t="shared" si="26"/>
        <v>2018</v>
      </c>
      <c r="AO15" s="461">
        <f t="shared" si="26"/>
        <v>2018</v>
      </c>
      <c r="AP15" s="461">
        <f t="shared" ref="AP15:AR16" si="27">+AP3</f>
        <v>2018</v>
      </c>
      <c r="AQ15" s="461">
        <f t="shared" si="27"/>
        <v>2018</v>
      </c>
      <c r="AR15" s="461">
        <f t="shared" si="27"/>
        <v>2018</v>
      </c>
      <c r="AS15" s="461">
        <f t="shared" ref="AS15:AU16" si="28">+AS3</f>
        <v>2018</v>
      </c>
      <c r="AT15" s="461">
        <f t="shared" si="28"/>
        <v>2018</v>
      </c>
      <c r="AU15" s="461">
        <f t="shared" si="28"/>
        <v>2018</v>
      </c>
      <c r="AV15" s="461">
        <f t="shared" ref="AV15:AX16" si="29">+AV3</f>
        <v>2018</v>
      </c>
      <c r="AW15" s="461">
        <f t="shared" si="29"/>
        <v>2018</v>
      </c>
      <c r="AX15" s="461">
        <f t="shared" si="29"/>
        <v>2018</v>
      </c>
      <c r="AY15" s="461">
        <f t="shared" ref="AY15:BB16" si="30">+AY3</f>
        <v>2019</v>
      </c>
      <c r="AZ15" s="461">
        <f t="shared" si="30"/>
        <v>2019</v>
      </c>
      <c r="BA15" s="461">
        <f t="shared" si="30"/>
        <v>2019</v>
      </c>
      <c r="BB15" s="461">
        <f t="shared" si="30"/>
        <v>2019</v>
      </c>
      <c r="BC15" s="461">
        <f t="shared" ref="BC15:BG16" si="31">+BC3</f>
        <v>2019</v>
      </c>
      <c r="BD15" s="461">
        <f t="shared" si="31"/>
        <v>2019</v>
      </c>
      <c r="BE15" s="461">
        <f t="shared" si="31"/>
        <v>2019</v>
      </c>
      <c r="BF15" s="461">
        <f t="shared" si="31"/>
        <v>2019</v>
      </c>
      <c r="BG15" s="461">
        <f t="shared" si="31"/>
        <v>2019</v>
      </c>
      <c r="BH15" s="461">
        <f t="shared" ref="BH15:BJ16" si="32">+BH3</f>
        <v>2019</v>
      </c>
      <c r="BI15" s="461">
        <f t="shared" si="32"/>
        <v>2019</v>
      </c>
      <c r="BJ15" s="461">
        <f t="shared" si="32"/>
        <v>2019</v>
      </c>
      <c r="BK15" s="461" t="str">
        <f t="shared" ref="BK15:BM16" si="33">+BK3</f>
        <v>2020</v>
      </c>
      <c r="BL15" s="461" t="str">
        <f t="shared" si="33"/>
        <v>2020</v>
      </c>
      <c r="BM15" s="461" t="str">
        <f t="shared" si="33"/>
        <v>2020</v>
      </c>
      <c r="BN15" s="461" t="str">
        <f t="shared" ref="BN15:BP16" si="34">+BN3</f>
        <v>2020</v>
      </c>
      <c r="BO15" s="461" t="str">
        <f t="shared" si="34"/>
        <v>2020</v>
      </c>
      <c r="BP15" s="461" t="str">
        <f t="shared" si="34"/>
        <v>2020</v>
      </c>
      <c r="BQ15" s="461" t="str">
        <f t="shared" ref="BQ15:BS16" si="35">+BQ3</f>
        <v>2020</v>
      </c>
      <c r="BR15" s="461" t="str">
        <f t="shared" si="35"/>
        <v>2020</v>
      </c>
      <c r="BS15" s="461" t="str">
        <f t="shared" si="35"/>
        <v>2020</v>
      </c>
      <c r="BT15" s="461" t="str">
        <f t="shared" ref="BT15:BV16" si="36">+BT3</f>
        <v>2020</v>
      </c>
      <c r="BU15" s="461" t="str">
        <f t="shared" si="36"/>
        <v>2020</v>
      </c>
      <c r="BV15" s="461" t="str">
        <f t="shared" si="36"/>
        <v>2020</v>
      </c>
      <c r="BW15" s="461">
        <f t="shared" ref="BW15:BY16" si="37">+BW3</f>
        <v>2021</v>
      </c>
      <c r="BX15" s="461">
        <f t="shared" si="37"/>
        <v>2021</v>
      </c>
      <c r="BY15" s="461">
        <f t="shared" si="37"/>
        <v>2021</v>
      </c>
      <c r="BZ15" s="461">
        <f t="shared" ref="BZ15:CB16" si="38">+BZ3</f>
        <v>2021</v>
      </c>
      <c r="CA15" s="461">
        <f t="shared" si="38"/>
        <v>2021</v>
      </c>
      <c r="CB15" s="461">
        <f t="shared" si="38"/>
        <v>2021</v>
      </c>
      <c r="CC15" s="461">
        <f t="shared" ref="CC15:CE16" si="39">+CC3</f>
        <v>2021</v>
      </c>
      <c r="CD15" s="461">
        <f t="shared" si="39"/>
        <v>2021</v>
      </c>
      <c r="CE15" s="461">
        <f t="shared" si="39"/>
        <v>2021</v>
      </c>
      <c r="CF15" s="461">
        <f t="shared" ref="CF15:CH16" si="40">+CF3</f>
        <v>2021</v>
      </c>
      <c r="CG15" s="461">
        <f t="shared" si="40"/>
        <v>2021</v>
      </c>
      <c r="CH15" s="461">
        <f t="shared" si="40"/>
        <v>2021</v>
      </c>
      <c r="CI15" s="461">
        <f t="shared" ref="CI15:CK15" si="41">+CI3</f>
        <v>2022</v>
      </c>
      <c r="CJ15" s="461">
        <f t="shared" si="41"/>
        <v>2022</v>
      </c>
      <c r="CK15" s="461">
        <f t="shared" si="41"/>
        <v>2022</v>
      </c>
      <c r="CL15" s="461">
        <f t="shared" ref="CL15:CN15" si="42">+CL3</f>
        <v>2022</v>
      </c>
      <c r="CM15" s="461">
        <f t="shared" si="42"/>
        <v>2022</v>
      </c>
      <c r="CN15" s="461">
        <f t="shared" si="42"/>
        <v>2022</v>
      </c>
      <c r="CO15" s="461">
        <f t="shared" ref="CO15:CQ15" si="43">+CO3</f>
        <v>2022</v>
      </c>
      <c r="CP15" s="461">
        <f t="shared" si="43"/>
        <v>2022</v>
      </c>
      <c r="CQ15" s="461">
        <f t="shared" si="43"/>
        <v>2022</v>
      </c>
      <c r="CR15" s="461">
        <f t="shared" ref="CR15:CT15" si="44">+CR3</f>
        <v>2022</v>
      </c>
      <c r="CS15" s="461">
        <f t="shared" si="44"/>
        <v>2022</v>
      </c>
      <c r="CT15" s="461">
        <f t="shared" si="44"/>
        <v>2022</v>
      </c>
      <c r="CU15" s="1011" t="s">
        <v>1713</v>
      </c>
      <c r="CV15" s="1005" t="s">
        <v>1714</v>
      </c>
      <c r="CW15" s="1005" t="s">
        <v>1715</v>
      </c>
      <c r="CX15" s="1005" t="str">
        <f>+CX3</f>
        <v>YEAR-END</v>
      </c>
    </row>
    <row r="16" spans="1:103">
      <c r="A16" s="1006" t="s">
        <v>1729</v>
      </c>
      <c r="B16" s="1007"/>
      <c r="C16" s="462" t="s">
        <v>1718</v>
      </c>
      <c r="D16" s="462" t="s">
        <v>1719</v>
      </c>
      <c r="E16" s="462" t="s">
        <v>1720</v>
      </c>
      <c r="F16" s="462" t="s">
        <v>1721</v>
      </c>
      <c r="G16" s="462" t="s">
        <v>476</v>
      </c>
      <c r="H16" s="462" t="s">
        <v>1722</v>
      </c>
      <c r="I16" s="462" t="s">
        <v>1723</v>
      </c>
      <c r="J16" s="462" t="s">
        <v>1724</v>
      </c>
      <c r="K16" s="462" t="s">
        <v>1725</v>
      </c>
      <c r="L16" s="462" t="s">
        <v>1726</v>
      </c>
      <c r="M16" s="462" t="s">
        <v>1727</v>
      </c>
      <c r="N16" s="462" t="s">
        <v>1717</v>
      </c>
      <c r="O16" s="462" t="s">
        <v>1718</v>
      </c>
      <c r="P16" s="462" t="s">
        <v>1719</v>
      </c>
      <c r="Q16" s="462" t="s">
        <v>1720</v>
      </c>
      <c r="R16" s="462" t="s">
        <v>1721</v>
      </c>
      <c r="S16" s="462" t="s">
        <v>476</v>
      </c>
      <c r="T16" s="462" t="s">
        <v>1722</v>
      </c>
      <c r="U16" s="462" t="s">
        <v>1723</v>
      </c>
      <c r="V16" s="462" t="s">
        <v>1724</v>
      </c>
      <c r="W16" s="462" t="s">
        <v>1728</v>
      </c>
      <c r="X16" s="462" t="s">
        <v>1726</v>
      </c>
      <c r="Y16" s="462" t="s">
        <v>1727</v>
      </c>
      <c r="Z16" s="462" t="s">
        <v>1717</v>
      </c>
      <c r="AA16" s="462" t="s">
        <v>1718</v>
      </c>
      <c r="AB16" s="462" t="s">
        <v>1719</v>
      </c>
      <c r="AC16" s="462" t="s">
        <v>1720</v>
      </c>
      <c r="AD16" s="462" t="str">
        <f>+AD4</f>
        <v>Apr</v>
      </c>
      <c r="AE16" s="462" t="str">
        <f>+AE4</f>
        <v>May</v>
      </c>
      <c r="AF16" s="462" t="str">
        <f>+AF4</f>
        <v>Jun</v>
      </c>
      <c r="AG16" s="462" t="str">
        <f t="shared" si="24"/>
        <v>Jul</v>
      </c>
      <c r="AH16" s="462" t="str">
        <f t="shared" si="24"/>
        <v>Aug</v>
      </c>
      <c r="AI16" s="462" t="str">
        <f t="shared" si="24"/>
        <v>Sep</v>
      </c>
      <c r="AJ16" s="462" t="str">
        <f t="shared" si="25"/>
        <v>Oct</v>
      </c>
      <c r="AK16" s="462" t="str">
        <f t="shared" si="25"/>
        <v>Nov</v>
      </c>
      <c r="AL16" s="462" t="str">
        <f t="shared" si="25"/>
        <v>Dec</v>
      </c>
      <c r="AM16" s="462" t="str">
        <f t="shared" si="26"/>
        <v>Jan</v>
      </c>
      <c r="AN16" s="462" t="str">
        <f t="shared" si="26"/>
        <v>Feb</v>
      </c>
      <c r="AO16" s="462" t="str">
        <f t="shared" si="26"/>
        <v xml:space="preserve">Mar </v>
      </c>
      <c r="AP16" s="462" t="str">
        <f t="shared" si="27"/>
        <v>Apr</v>
      </c>
      <c r="AQ16" s="462" t="str">
        <f t="shared" si="27"/>
        <v>May</v>
      </c>
      <c r="AR16" s="462" t="str">
        <f t="shared" si="27"/>
        <v>Jun</v>
      </c>
      <c r="AS16" s="462" t="str">
        <f t="shared" si="28"/>
        <v>Jul</v>
      </c>
      <c r="AT16" s="462" t="str">
        <f t="shared" si="28"/>
        <v>Aug</v>
      </c>
      <c r="AU16" s="462" t="str">
        <f t="shared" si="28"/>
        <v>Sep</v>
      </c>
      <c r="AV16" s="462" t="str">
        <f t="shared" si="29"/>
        <v>Oct</v>
      </c>
      <c r="AW16" s="462" t="str">
        <f t="shared" si="29"/>
        <v>Nov</v>
      </c>
      <c r="AX16" s="462" t="str">
        <f t="shared" si="29"/>
        <v>Dec</v>
      </c>
      <c r="AY16" s="462" t="str">
        <f t="shared" si="30"/>
        <v>Jan</v>
      </c>
      <c r="AZ16" s="462" t="str">
        <f t="shared" si="30"/>
        <v>Feb</v>
      </c>
      <c r="BA16" s="462" t="str">
        <f t="shared" si="30"/>
        <v>Mar</v>
      </c>
      <c r="BB16" s="462" t="str">
        <f>+BB4</f>
        <v>Apr</v>
      </c>
      <c r="BC16" s="462" t="str">
        <f t="shared" si="31"/>
        <v>May</v>
      </c>
      <c r="BD16" s="462" t="str">
        <f t="shared" si="31"/>
        <v>Jun</v>
      </c>
      <c r="BE16" s="462" t="str">
        <f t="shared" si="31"/>
        <v>Jul</v>
      </c>
      <c r="BF16" s="462" t="str">
        <f t="shared" si="31"/>
        <v>Aug</v>
      </c>
      <c r="BG16" s="462" t="str">
        <f t="shared" si="31"/>
        <v>Sep</v>
      </c>
      <c r="BH16" s="462" t="str">
        <f t="shared" si="32"/>
        <v>Oct</v>
      </c>
      <c r="BI16" s="462" t="str">
        <f t="shared" si="32"/>
        <v>Nov</v>
      </c>
      <c r="BJ16" s="462" t="str">
        <f t="shared" si="32"/>
        <v>Dec</v>
      </c>
      <c r="BK16" s="462" t="str">
        <f t="shared" si="33"/>
        <v>Jan</v>
      </c>
      <c r="BL16" s="462" t="str">
        <f t="shared" si="33"/>
        <v>Feb</v>
      </c>
      <c r="BM16" s="462" t="str">
        <f t="shared" si="33"/>
        <v>Mar</v>
      </c>
      <c r="BN16" s="462" t="str">
        <f t="shared" si="34"/>
        <v>Apr</v>
      </c>
      <c r="BO16" s="462" t="str">
        <f t="shared" si="34"/>
        <v>May</v>
      </c>
      <c r="BP16" s="462" t="str">
        <f t="shared" si="34"/>
        <v>Jun</v>
      </c>
      <c r="BQ16" s="462" t="str">
        <f t="shared" si="35"/>
        <v>Jul</v>
      </c>
      <c r="BR16" s="462" t="str">
        <f t="shared" si="35"/>
        <v>Aug</v>
      </c>
      <c r="BS16" s="462" t="str">
        <f t="shared" si="35"/>
        <v>Sep</v>
      </c>
      <c r="BT16" s="462" t="str">
        <f t="shared" si="36"/>
        <v>Oct</v>
      </c>
      <c r="BU16" s="462" t="str">
        <f t="shared" si="36"/>
        <v>Nov</v>
      </c>
      <c r="BV16" s="462" t="str">
        <f t="shared" si="36"/>
        <v>Dec</v>
      </c>
      <c r="BW16" s="462" t="str">
        <f t="shared" si="37"/>
        <v>Jan</v>
      </c>
      <c r="BX16" s="462" t="str">
        <f t="shared" si="37"/>
        <v>Feb</v>
      </c>
      <c r="BY16" s="462" t="str">
        <f t="shared" si="37"/>
        <v>Mar</v>
      </c>
      <c r="BZ16" s="462" t="str">
        <f t="shared" si="38"/>
        <v>Apr</v>
      </c>
      <c r="CA16" s="462" t="str">
        <f t="shared" si="38"/>
        <v>May</v>
      </c>
      <c r="CB16" s="462" t="str">
        <f t="shared" si="38"/>
        <v>Jun</v>
      </c>
      <c r="CC16" s="462" t="str">
        <f t="shared" si="39"/>
        <v>Jul</v>
      </c>
      <c r="CD16" s="462" t="str">
        <f t="shared" si="39"/>
        <v>Aug</v>
      </c>
      <c r="CE16" s="462" t="str">
        <f t="shared" si="39"/>
        <v>Sept</v>
      </c>
      <c r="CF16" s="462" t="str">
        <f t="shared" si="40"/>
        <v>Oct</v>
      </c>
      <c r="CG16" s="462" t="str">
        <f t="shared" si="40"/>
        <v>Nov</v>
      </c>
      <c r="CH16" s="462" t="str">
        <f t="shared" si="40"/>
        <v>Dec</v>
      </c>
      <c r="CI16" s="462" t="str">
        <f t="shared" ref="CI16:CK16" si="45">+CI4</f>
        <v>Jan</v>
      </c>
      <c r="CJ16" s="462" t="str">
        <f t="shared" si="45"/>
        <v>Feb</v>
      </c>
      <c r="CK16" s="462" t="str">
        <f t="shared" si="45"/>
        <v>March</v>
      </c>
      <c r="CL16" s="462" t="str">
        <f t="shared" ref="CL16:CN16" si="46">+CL4</f>
        <v>April</v>
      </c>
      <c r="CM16" s="462" t="str">
        <f t="shared" si="46"/>
        <v>May</v>
      </c>
      <c r="CN16" s="462" t="str">
        <f t="shared" si="46"/>
        <v>June</v>
      </c>
      <c r="CO16" s="462" t="str">
        <f t="shared" ref="CO16:CQ16" si="47">+CO4</f>
        <v>July</v>
      </c>
      <c r="CP16" s="462" t="str">
        <f t="shared" si="47"/>
        <v>Aug</v>
      </c>
      <c r="CQ16" s="462" t="str">
        <f t="shared" si="47"/>
        <v>Sept</v>
      </c>
      <c r="CR16" s="462" t="str">
        <f t="shared" ref="CR16:CT16" si="48">+CR4</f>
        <v>Oct</v>
      </c>
      <c r="CS16" s="462" t="str">
        <f t="shared" si="48"/>
        <v>Nov</v>
      </c>
      <c r="CT16" s="462" t="str">
        <f t="shared" si="48"/>
        <v>Dec</v>
      </c>
      <c r="CU16" s="1012" t="s">
        <v>215</v>
      </c>
      <c r="CV16" s="1007" t="s">
        <v>108</v>
      </c>
      <c r="CW16" s="1007" t="s">
        <v>1714</v>
      </c>
      <c r="CX16" s="1007" t="s">
        <v>1714</v>
      </c>
    </row>
    <row r="17" spans="1:103">
      <c r="B17" s="475" t="str">
        <f>+B5</f>
        <v>updated through Sept'22</v>
      </c>
      <c r="CU17" s="935"/>
    </row>
    <row r="18" spans="1:103">
      <c r="A18" s="460" t="s">
        <v>2496</v>
      </c>
      <c r="C18" s="467">
        <v>-16644955.83</v>
      </c>
      <c r="D18" s="467">
        <v>-10940448.600000001</v>
      </c>
      <c r="E18" s="467">
        <v>-11070346.330000002</v>
      </c>
      <c r="F18" s="467">
        <v>-11201014.500000002</v>
      </c>
      <c r="G18" s="467">
        <v>-11342012.800000001</v>
      </c>
      <c r="H18" s="467">
        <v>-11482966.73</v>
      </c>
      <c r="I18" s="467">
        <v>-11623985.689999999</v>
      </c>
      <c r="J18" s="467">
        <v>-11766101.6</v>
      </c>
      <c r="K18" s="467">
        <v>-11908735.35</v>
      </c>
      <c r="L18" s="467">
        <v>-12052007.91</v>
      </c>
      <c r="M18" s="467">
        <v>-12194902.059999999</v>
      </c>
      <c r="N18" s="465">
        <v>-13095348.719999999</v>
      </c>
      <c r="O18" s="465">
        <v>-13241153.499999998</v>
      </c>
      <c r="P18" s="465">
        <v>-13386958.279999999</v>
      </c>
      <c r="Q18" s="465">
        <v>-13532763.059999999</v>
      </c>
      <c r="R18" s="465">
        <v>-13678489.789999999</v>
      </c>
      <c r="S18" s="465">
        <v>-13824216.52</v>
      </c>
      <c r="T18" s="465">
        <v>-13969943.25</v>
      </c>
      <c r="U18" s="465">
        <v>-14117629.759999998</v>
      </c>
      <c r="V18" s="465">
        <v>-14272919.539999999</v>
      </c>
      <c r="W18" s="465">
        <v>-14428215.99</v>
      </c>
      <c r="X18" s="465">
        <v>-14583674.51</v>
      </c>
      <c r="Y18" s="465">
        <v>-14739682.739999998</v>
      </c>
      <c r="Z18" s="465">
        <v>-10183291.469999999</v>
      </c>
      <c r="AA18" s="465">
        <v>-10334851.370000001</v>
      </c>
      <c r="AB18" s="465">
        <v>-10486411.270000001</v>
      </c>
      <c r="AC18" s="465">
        <v>-10518104.790000003</v>
      </c>
      <c r="AD18" s="465">
        <v>-10668992.450000003</v>
      </c>
      <c r="AE18" s="465">
        <v>-10819880.110000005</v>
      </c>
      <c r="AF18" s="465">
        <v>-10970767.770000005</v>
      </c>
      <c r="AG18" s="465">
        <v>-11121963.770000005</v>
      </c>
      <c r="AH18" s="465">
        <v>-11273173.870000007</v>
      </c>
      <c r="AI18" s="465">
        <v>-11424729.590000005</v>
      </c>
      <c r="AJ18" s="465">
        <v>-11576290.320000004</v>
      </c>
      <c r="AK18" s="465">
        <v>-11727851.050000004</v>
      </c>
      <c r="AL18" s="465">
        <v>-11879411.780000003</v>
      </c>
      <c r="AM18" s="465">
        <v>-12032561.660000004</v>
      </c>
      <c r="AN18" s="465">
        <v>-12185713.010000004</v>
      </c>
      <c r="AO18" s="465">
        <v>-12338879.500000002</v>
      </c>
      <c r="AP18" s="465">
        <v>-12492061.369999999</v>
      </c>
      <c r="AQ18" s="465">
        <v>-12645265.17</v>
      </c>
      <c r="AR18" s="465">
        <v>-12798477.920000004</v>
      </c>
      <c r="AS18" s="465">
        <v>-12951912.850000003</v>
      </c>
      <c r="AT18" s="465">
        <v>-13106960.920000002</v>
      </c>
      <c r="AU18" s="465">
        <v>-13262170.160000002</v>
      </c>
      <c r="AV18" s="465">
        <v>-13417566.450000001</v>
      </c>
      <c r="AW18" s="465">
        <v>-13577405.440000001</v>
      </c>
      <c r="AX18" s="465">
        <v>-12971602.4</v>
      </c>
      <c r="AY18" s="465">
        <v>-13136019.52</v>
      </c>
      <c r="AZ18" s="465">
        <v>-13300930.27</v>
      </c>
      <c r="BA18" s="465">
        <v>-13465708.799999999</v>
      </c>
      <c r="BB18" s="465">
        <v>-13630474.829999998</v>
      </c>
      <c r="BC18" s="465">
        <v>-13795292.209999999</v>
      </c>
      <c r="BD18" s="465">
        <v>-13960226.979999999</v>
      </c>
      <c r="BE18" s="465">
        <v>-14125168.379999999</v>
      </c>
      <c r="BF18" s="465">
        <v>-14290034.01</v>
      </c>
      <c r="BG18" s="465">
        <v>-14454966.279999999</v>
      </c>
      <c r="BH18" s="465">
        <v>-14626161.969999999</v>
      </c>
      <c r="BI18" s="465">
        <v>-14797997.539999999</v>
      </c>
      <c r="BJ18" s="465">
        <v>-14970868.149999999</v>
      </c>
      <c r="BK18" s="465">
        <v>-14759277.889999999</v>
      </c>
      <c r="BL18" s="465">
        <v>-14935887.979999997</v>
      </c>
      <c r="BM18" s="1009">
        <v>-15113619.629999997</v>
      </c>
      <c r="BN18" s="1009">
        <v>-15291383.989999998</v>
      </c>
      <c r="BO18" s="1009">
        <v>-15469162.229999997</v>
      </c>
      <c r="BP18" s="1009">
        <v>-15647056.799999997</v>
      </c>
      <c r="BQ18" s="1009">
        <v>-15825704.1</v>
      </c>
      <c r="BR18" s="1009">
        <v>-16004467.24</v>
      </c>
      <c r="BS18" s="1009">
        <v>-16183198.589999996</v>
      </c>
      <c r="BT18" s="1009">
        <v>-16362107.059999997</v>
      </c>
      <c r="BU18" s="1009">
        <v>-16631489.319999997</v>
      </c>
      <c r="BV18" s="1009">
        <v>-16901291.509999998</v>
      </c>
      <c r="BW18" s="1009">
        <v>-17167038.679999996</v>
      </c>
      <c r="BX18" s="1009">
        <v>-17433020.749999996</v>
      </c>
      <c r="BY18" s="1009">
        <v>-17699334.909999996</v>
      </c>
      <c r="BZ18" s="1009">
        <v>-17979837.509999998</v>
      </c>
      <c r="CA18" s="1009">
        <v>-18275993.779999997</v>
      </c>
      <c r="CB18" s="1009">
        <v>-18573544.949999996</v>
      </c>
      <c r="CC18" s="1009">
        <v>-18872536.699999996</v>
      </c>
      <c r="CD18" s="1009">
        <v>-19172951.709999997</v>
      </c>
      <c r="CE18" s="1009">
        <v>-19473918.499999996</v>
      </c>
      <c r="CF18" s="1009">
        <v>-19775041.149999999</v>
      </c>
      <c r="CG18" s="1009">
        <v>-20076309.030000001</v>
      </c>
      <c r="CH18" s="1009">
        <v>-20377774.279999997</v>
      </c>
      <c r="CI18" s="1009">
        <v>-20679350.349999998</v>
      </c>
      <c r="CJ18" s="1009">
        <v>-20981161.789999999</v>
      </c>
      <c r="CK18" s="1009">
        <v>-21315319.289999999</v>
      </c>
      <c r="CL18" s="1009">
        <v>-21650159.959999997</v>
      </c>
      <c r="CM18" s="1009">
        <v>-21985118.499999996</v>
      </c>
      <c r="CN18" s="1009">
        <v>-22172586.829999994</v>
      </c>
      <c r="CO18" s="1009">
        <v>-22507049.549999993</v>
      </c>
      <c r="CP18" s="1009">
        <v>-22841635.459999993</v>
      </c>
      <c r="CQ18" s="1009">
        <v>-23176203.979999993</v>
      </c>
      <c r="CR18" s="1009">
        <v>-23511039.789999992</v>
      </c>
      <c r="CS18" s="1009">
        <v>-23845995.299999993</v>
      </c>
      <c r="CT18" s="1009">
        <v>-24184469.639999993</v>
      </c>
      <c r="CU18" s="934">
        <f t="shared" ref="CU18:CU22" si="49">AVERAGE(CH18:CT18)</f>
        <v>-22248297.286153838</v>
      </c>
      <c r="CV18" s="1275">
        <v>0</v>
      </c>
      <c r="CW18" s="931">
        <f>CU18*$CV$18</f>
        <v>0</v>
      </c>
      <c r="CX18" s="931">
        <f>CN18*$CV$18</f>
        <v>0</v>
      </c>
      <c r="CY18" s="1277" t="s">
        <v>2936</v>
      </c>
    </row>
    <row r="19" spans="1:103">
      <c r="A19" s="460" t="s">
        <v>2497</v>
      </c>
      <c r="C19" s="467">
        <v>-623872.14999999944</v>
      </c>
      <c r="D19" s="467">
        <v>-625964.54999999981</v>
      </c>
      <c r="E19" s="467">
        <v>-628058.23999999964</v>
      </c>
      <c r="F19" s="467">
        <v>-630151.92999999947</v>
      </c>
      <c r="G19" s="467">
        <v>-633214.34999999951</v>
      </c>
      <c r="H19" s="467">
        <v>-636277.36999999941</v>
      </c>
      <c r="I19" s="467">
        <v>-639340.38999999943</v>
      </c>
      <c r="J19" s="467">
        <v>-642403.40999999945</v>
      </c>
      <c r="K19" s="467">
        <v>-645466.49999999942</v>
      </c>
      <c r="L19" s="467">
        <v>-648529.58999999939</v>
      </c>
      <c r="M19" s="467">
        <v>-651592.76999999944</v>
      </c>
      <c r="N19" s="465">
        <v>-654665.54999999935</v>
      </c>
      <c r="O19" s="465">
        <v>-657738.32999999938</v>
      </c>
      <c r="P19" s="465">
        <v>-660811.48999999918</v>
      </c>
      <c r="Q19" s="465">
        <v>-663887.18999999925</v>
      </c>
      <c r="R19" s="465">
        <v>-666974.28999999899</v>
      </c>
      <c r="S19" s="465">
        <v>-670063.45999999903</v>
      </c>
      <c r="T19" s="465">
        <v>-673153.21999999904</v>
      </c>
      <c r="U19" s="465">
        <v>-631680.179999999</v>
      </c>
      <c r="V19" s="465">
        <v>-679332.99999999907</v>
      </c>
      <c r="W19" s="465">
        <v>-682422.8899999992</v>
      </c>
      <c r="X19" s="465">
        <v>-685512.77999999898</v>
      </c>
      <c r="Y19" s="465">
        <v>-689620.63999999897</v>
      </c>
      <c r="Z19" s="465">
        <v>-631761.98999999918</v>
      </c>
      <c r="AA19" s="465">
        <v>-620416.39999999886</v>
      </c>
      <c r="AB19" s="465">
        <v>-624535.40999999864</v>
      </c>
      <c r="AC19" s="465">
        <v>-628655.65999999887</v>
      </c>
      <c r="AD19" s="465">
        <v>-635856.62999999872</v>
      </c>
      <c r="AE19" s="465">
        <v>-642471.93999999855</v>
      </c>
      <c r="AF19" s="465">
        <v>-649113.79999999853</v>
      </c>
      <c r="AG19" s="465">
        <v>-655755.65999999864</v>
      </c>
      <c r="AH19" s="465">
        <v>-662397.28999999876</v>
      </c>
      <c r="AI19" s="465">
        <v>-669038.91999999876</v>
      </c>
      <c r="AJ19" s="465">
        <v>-675702.43999999831</v>
      </c>
      <c r="AK19" s="465">
        <v>-682457.70999999868</v>
      </c>
      <c r="AL19" s="465">
        <v>-689212.62999999837</v>
      </c>
      <c r="AM19" s="465">
        <v>-695967.54999999842</v>
      </c>
      <c r="AN19" s="465">
        <v>-702724.10999999847</v>
      </c>
      <c r="AO19" s="465">
        <v>-709488.44999999821</v>
      </c>
      <c r="AP19" s="465">
        <v>-717374.18</v>
      </c>
      <c r="AQ19" s="465">
        <v>-725597.53</v>
      </c>
      <c r="AR19" s="465">
        <v>-733829.1899999982</v>
      </c>
      <c r="AS19" s="465">
        <v>-741762.94999999844</v>
      </c>
      <c r="AT19" s="465">
        <v>-750035.3199999982</v>
      </c>
      <c r="AU19" s="465">
        <v>-758308.11999999825</v>
      </c>
      <c r="AV19" s="465">
        <v>-766580.91999999818</v>
      </c>
      <c r="AW19" s="465">
        <v>-774853.71999999799</v>
      </c>
      <c r="AX19" s="465">
        <v>15464.41</v>
      </c>
      <c r="AY19" s="465">
        <v>15464.41</v>
      </c>
      <c r="AZ19" s="465">
        <v>15464.41</v>
      </c>
      <c r="BA19" s="465">
        <v>15464.41</v>
      </c>
      <c r="BB19" s="465">
        <v>15464.41</v>
      </c>
      <c r="BC19" s="465">
        <v>15464.41</v>
      </c>
      <c r="BD19" s="465">
        <v>15464.41</v>
      </c>
      <c r="BE19" s="465">
        <v>15464.41</v>
      </c>
      <c r="BF19" s="465">
        <v>15464.41</v>
      </c>
      <c r="BG19" s="465">
        <v>60224.61</v>
      </c>
      <c r="BH19" s="465">
        <v>60224.61</v>
      </c>
      <c r="BI19" s="465">
        <v>60224.61</v>
      </c>
      <c r="BJ19" s="465">
        <v>60224.61</v>
      </c>
      <c r="BK19" s="465">
        <v>60224.61</v>
      </c>
      <c r="BL19" s="465">
        <v>60224.600000000413</v>
      </c>
      <c r="BM19" s="1009">
        <v>60224.600000000413</v>
      </c>
      <c r="BN19" s="1009">
        <v>60224.600000000413</v>
      </c>
      <c r="BO19" s="1009">
        <v>60224.600000000413</v>
      </c>
      <c r="BP19" s="1009">
        <v>60224.600000000413</v>
      </c>
      <c r="BQ19" s="1009">
        <v>60224.600000000559</v>
      </c>
      <c r="BR19" s="1009">
        <v>60224.600000000559</v>
      </c>
      <c r="BS19" s="1009">
        <v>60224.600000000413</v>
      </c>
      <c r="BT19" s="1009">
        <v>60224.600000000413</v>
      </c>
      <c r="BU19" s="1009">
        <v>60224.600000000413</v>
      </c>
      <c r="BV19" s="1009">
        <v>60224.600000000413</v>
      </c>
      <c r="BW19" s="1009">
        <v>60224.600000000413</v>
      </c>
      <c r="BX19" s="1009">
        <v>60224.600000000413</v>
      </c>
      <c r="BY19" s="1009">
        <v>60224.600000000413</v>
      </c>
      <c r="BZ19" s="1009">
        <v>60224.600000000413</v>
      </c>
      <c r="CA19" s="1009">
        <v>60224.600000000413</v>
      </c>
      <c r="CB19" s="1009">
        <v>60224.600000000413</v>
      </c>
      <c r="CC19" s="1009">
        <v>60224.600000000413</v>
      </c>
      <c r="CD19" s="1009">
        <v>60224.600000000413</v>
      </c>
      <c r="CE19" s="1009">
        <v>60224.600000000413</v>
      </c>
      <c r="CF19" s="1009">
        <v>60224.600000000413</v>
      </c>
      <c r="CG19" s="1009">
        <v>60224.600000000413</v>
      </c>
      <c r="CH19" s="1009">
        <v>60224.600000000413</v>
      </c>
      <c r="CI19" s="1009">
        <v>60224.600000000413</v>
      </c>
      <c r="CJ19" s="1009">
        <v>60224.600000000413</v>
      </c>
      <c r="CK19" s="1009">
        <v>60224.600000000413</v>
      </c>
      <c r="CL19" s="1009">
        <v>60224.600000000413</v>
      </c>
      <c r="CM19" s="1009">
        <v>60224.600000000413</v>
      </c>
      <c r="CN19" s="1009">
        <v>60224.600000000413</v>
      </c>
      <c r="CO19" s="1009">
        <v>60224.600000000413</v>
      </c>
      <c r="CP19" s="1009">
        <v>60224.600000000413</v>
      </c>
      <c r="CQ19" s="1009">
        <v>60224.600000000413</v>
      </c>
      <c r="CR19" s="1009">
        <v>60224.600000000413</v>
      </c>
      <c r="CS19" s="1009">
        <v>60224.600000000413</v>
      </c>
      <c r="CT19" s="1009">
        <v>60224.600000000413</v>
      </c>
      <c r="CU19" s="934">
        <f t="shared" si="49"/>
        <v>60224.600000000435</v>
      </c>
      <c r="CV19" s="1275">
        <v>7.7372172730846792E-3</v>
      </c>
      <c r="CW19" s="932">
        <f>CU19*$CV$19</f>
        <v>465.97081538461896</v>
      </c>
      <c r="CX19" s="932">
        <f>CN19*$CV$19</f>
        <v>465.97081538461879</v>
      </c>
      <c r="CY19" s="1277" t="s">
        <v>2936</v>
      </c>
    </row>
    <row r="20" spans="1:103">
      <c r="A20" s="460" t="s">
        <v>2498</v>
      </c>
      <c r="C20" s="467">
        <v>-7487099.330000001</v>
      </c>
      <c r="D20" s="467">
        <v>-7526352.5000000009</v>
      </c>
      <c r="E20" s="467">
        <v>-7565605.6700000018</v>
      </c>
      <c r="F20" s="467">
        <v>-7604858.8400000017</v>
      </c>
      <c r="G20" s="467">
        <v>-7644112.0099999998</v>
      </c>
      <c r="H20" s="467">
        <v>-7683365.1800000016</v>
      </c>
      <c r="I20" s="467">
        <v>-7723111.5500000007</v>
      </c>
      <c r="J20" s="467">
        <v>-7762878.7800000021</v>
      </c>
      <c r="K20" s="467">
        <v>-7802646.0100000016</v>
      </c>
      <c r="L20" s="467">
        <v>-7843027.2100000018</v>
      </c>
      <c r="M20" s="467">
        <v>-7883448.2199999997</v>
      </c>
      <c r="N20" s="465">
        <v>-7928741.2700000023</v>
      </c>
      <c r="O20" s="465">
        <v>-7969191.2500000019</v>
      </c>
      <c r="P20" s="465">
        <v>-8009660.4600000009</v>
      </c>
      <c r="Q20" s="465">
        <v>-8050211.79</v>
      </c>
      <c r="R20" s="465">
        <v>-8090763.120000001</v>
      </c>
      <c r="S20" s="465">
        <v>-8131314.4500000002</v>
      </c>
      <c r="T20" s="465">
        <v>-4919074.32</v>
      </c>
      <c r="U20" s="465">
        <v>-4952927.4200000027</v>
      </c>
      <c r="V20" s="465">
        <v>-4986837.2300000014</v>
      </c>
      <c r="W20" s="465">
        <v>-5020747.0400000019</v>
      </c>
      <c r="X20" s="465">
        <v>-5054804.3100000015</v>
      </c>
      <c r="Y20" s="465">
        <v>-5088861.5800000038</v>
      </c>
      <c r="Z20" s="465">
        <v>-4878745.3900000034</v>
      </c>
      <c r="AA20" s="465">
        <v>-4924785.3800000027</v>
      </c>
      <c r="AB20" s="465">
        <v>-4971254.7600000035</v>
      </c>
      <c r="AC20" s="465">
        <v>-5010763.4200000037</v>
      </c>
      <c r="AD20" s="465">
        <v>-5057506.8900000043</v>
      </c>
      <c r="AE20" s="465">
        <v>-5104353.1500000041</v>
      </c>
      <c r="AF20" s="465">
        <v>-5140403.2500000047</v>
      </c>
      <c r="AG20" s="465">
        <v>-5187377.6300000045</v>
      </c>
      <c r="AH20" s="465">
        <v>-5234354.2100000037</v>
      </c>
      <c r="AI20" s="465">
        <v>-5279170.1100000041</v>
      </c>
      <c r="AJ20" s="465">
        <v>-5326639.6000000043</v>
      </c>
      <c r="AK20" s="465">
        <v>-5374172.6600000029</v>
      </c>
      <c r="AL20" s="465">
        <v>-5421817.8500000043</v>
      </c>
      <c r="AM20" s="465">
        <v>-5469576.2600000026</v>
      </c>
      <c r="AN20" s="465">
        <v>-5517334.3400000045</v>
      </c>
      <c r="AO20" s="465">
        <v>-5565091.9400000032</v>
      </c>
      <c r="AP20" s="465">
        <v>-5612882.1499999994</v>
      </c>
      <c r="AQ20" s="465">
        <v>-5660684.0899999999</v>
      </c>
      <c r="AR20" s="465">
        <v>-5708548.820000004</v>
      </c>
      <c r="AS20" s="465">
        <v>-5753853.8800000045</v>
      </c>
      <c r="AT20" s="465">
        <v>-5802283.2200000035</v>
      </c>
      <c r="AU20" s="465">
        <v>-5850782.8900000034</v>
      </c>
      <c r="AV20" s="465">
        <v>-5899289.5600000052</v>
      </c>
      <c r="AW20" s="465">
        <v>-5947829.2400000049</v>
      </c>
      <c r="AX20" s="465">
        <v>-5996434.8600000022</v>
      </c>
      <c r="AY20" s="465">
        <v>-6045192.3000000026</v>
      </c>
      <c r="AZ20" s="465">
        <v>-6093962.1400000025</v>
      </c>
      <c r="BA20" s="465">
        <v>-6142712.1400000025</v>
      </c>
      <c r="BB20" s="465">
        <v>-6191533.4400000023</v>
      </c>
      <c r="BC20" s="465">
        <v>-6240957.3800000027</v>
      </c>
      <c r="BD20" s="465">
        <v>-6291283.3400000026</v>
      </c>
      <c r="BE20" s="465">
        <v>-6342517.1200000029</v>
      </c>
      <c r="BF20" s="465">
        <v>-6393785.3300000029</v>
      </c>
      <c r="BG20" s="465">
        <v>-6416789.8200000031</v>
      </c>
      <c r="BH20" s="465">
        <v>-6468521.3200000031</v>
      </c>
      <c r="BI20" s="465">
        <v>-6520374.5200000033</v>
      </c>
      <c r="BJ20" s="465">
        <v>-6572394.4200000037</v>
      </c>
      <c r="BK20" s="465">
        <v>-6468939.3800000036</v>
      </c>
      <c r="BL20" s="465">
        <v>-6520873.3000000017</v>
      </c>
      <c r="BM20" s="1009">
        <v>-6572827.75</v>
      </c>
      <c r="BN20" s="1009">
        <v>-6625004.0300000021</v>
      </c>
      <c r="BO20" s="1009">
        <v>-6677460.6800000025</v>
      </c>
      <c r="BP20" s="1009">
        <v>-6729919.3000000017</v>
      </c>
      <c r="BQ20" s="1009">
        <v>-6782375.4400000023</v>
      </c>
      <c r="BR20" s="1009">
        <v>-6834931.4700000025</v>
      </c>
      <c r="BS20" s="1009">
        <v>-6878020.7800000021</v>
      </c>
      <c r="BT20" s="1009">
        <v>-6929802.9000000032</v>
      </c>
      <c r="BU20" s="1009">
        <v>-6982414.9700000035</v>
      </c>
      <c r="BV20" s="1009">
        <v>-7035097.3900000025</v>
      </c>
      <c r="BW20" s="1009">
        <v>-7094232.6900000023</v>
      </c>
      <c r="BX20" s="1009">
        <v>-7153393.6500000022</v>
      </c>
      <c r="BY20" s="1009">
        <v>-7212554.9100000039</v>
      </c>
      <c r="BZ20" s="1009">
        <v>-7271787.3400000045</v>
      </c>
      <c r="CA20" s="1009">
        <v>-7331024.0500000035</v>
      </c>
      <c r="CB20" s="1009">
        <v>-7390257.8500000061</v>
      </c>
      <c r="CC20" s="1009">
        <v>-7449554.3300000047</v>
      </c>
      <c r="CD20" s="1009">
        <v>-7509042.0000000037</v>
      </c>
      <c r="CE20" s="1009">
        <v>-7568812.4100000048</v>
      </c>
      <c r="CF20" s="1009">
        <v>-7628611.5800000075</v>
      </c>
      <c r="CG20" s="1009">
        <v>-7688657.8100000052</v>
      </c>
      <c r="CH20" s="1009">
        <v>-7748722.8400000054</v>
      </c>
      <c r="CI20" s="1009">
        <v>-7808979.3800000045</v>
      </c>
      <c r="CJ20" s="1009">
        <v>-7869228.5300000049</v>
      </c>
      <c r="CK20" s="1009">
        <v>-7929494.3300000057</v>
      </c>
      <c r="CL20" s="1009">
        <v>-7989762.3500000061</v>
      </c>
      <c r="CM20" s="1009">
        <v>-8050062.3300000047</v>
      </c>
      <c r="CN20" s="1009">
        <v>-8110362.3100000033</v>
      </c>
      <c r="CO20" s="1009">
        <v>-8170875.4700000044</v>
      </c>
      <c r="CP20" s="1009">
        <v>-8231437.6000000043</v>
      </c>
      <c r="CQ20" s="1009">
        <v>-8292927.400000005</v>
      </c>
      <c r="CR20" s="1009">
        <v>-8354035.320000005</v>
      </c>
      <c r="CS20" s="1009">
        <v>-8415217.9200000037</v>
      </c>
      <c r="CT20" s="1009">
        <v>-8476959.6300000027</v>
      </c>
      <c r="CU20" s="934">
        <f t="shared" si="49"/>
        <v>-8111389.646923081</v>
      </c>
      <c r="CV20" s="1275">
        <v>4.7010294398723951E-2</v>
      </c>
      <c r="CW20" s="932">
        <f>CU20*$CV$20</f>
        <v>-381318.81528461556</v>
      </c>
      <c r="CX20" s="932">
        <f>CN20*$CV$20</f>
        <v>-381270.519873415</v>
      </c>
      <c r="CY20" s="1277" t="s">
        <v>2936</v>
      </c>
    </row>
    <row r="21" spans="1:103">
      <c r="A21" s="460" t="s">
        <v>2499</v>
      </c>
      <c r="C21" s="467">
        <v>-17930.449999999968</v>
      </c>
      <c r="D21" s="467">
        <v>-18204.089999999967</v>
      </c>
      <c r="E21" s="467">
        <v>-18477.729999999967</v>
      </c>
      <c r="F21" s="467">
        <v>-18751.369999999966</v>
      </c>
      <c r="G21" s="467">
        <v>-19025.009999999966</v>
      </c>
      <c r="H21" s="467">
        <v>-19298.649999999965</v>
      </c>
      <c r="I21" s="467">
        <v>-19578.189999999966</v>
      </c>
      <c r="J21" s="467">
        <v>-19857.729999999967</v>
      </c>
      <c r="K21" s="467">
        <v>-20137.269999999964</v>
      </c>
      <c r="L21" s="467">
        <v>-20423.839999999964</v>
      </c>
      <c r="M21" s="467">
        <v>-20710.409999999963</v>
      </c>
      <c r="N21" s="465">
        <v>-10885.819999999963</v>
      </c>
      <c r="O21" s="465">
        <v>-10918.709999999963</v>
      </c>
      <c r="P21" s="465">
        <v>-10951.599999999962</v>
      </c>
      <c r="Q21" s="465">
        <v>-10984.489999999962</v>
      </c>
      <c r="R21" s="465">
        <v>-11017.379999999961</v>
      </c>
      <c r="S21" s="465">
        <v>-11050.26999999996</v>
      </c>
      <c r="T21" s="465">
        <v>-11083.159999999956</v>
      </c>
      <c r="U21" s="465">
        <v>-11116.049999999956</v>
      </c>
      <c r="V21" s="465">
        <v>-11174.759999999955</v>
      </c>
      <c r="W21" s="465">
        <v>-11233.469999999954</v>
      </c>
      <c r="X21" s="465">
        <v>-11292.179999999953</v>
      </c>
      <c r="Y21" s="465">
        <v>-11350.889999999952</v>
      </c>
      <c r="Z21" s="465">
        <v>-11387.639999999948</v>
      </c>
      <c r="AA21" s="465">
        <v>-11446.349999999948</v>
      </c>
      <c r="AB21" s="465">
        <v>-11505.059999999947</v>
      </c>
      <c r="AC21" s="465">
        <v>-11563.769999999946</v>
      </c>
      <c r="AD21" s="465">
        <v>-11622.479999999945</v>
      </c>
      <c r="AE21" s="465">
        <v>-11681.189999999944</v>
      </c>
      <c r="AF21" s="465">
        <v>-11739.899999999943</v>
      </c>
      <c r="AG21" s="465">
        <v>-11798.609999999942</v>
      </c>
      <c r="AH21" s="465">
        <v>-11857.319999999949</v>
      </c>
      <c r="AI21" s="465">
        <v>-11916.029999999948</v>
      </c>
      <c r="AJ21" s="465">
        <v>-11974.739999999947</v>
      </c>
      <c r="AK21" s="465">
        <v>-12033.449999999946</v>
      </c>
      <c r="AL21" s="465">
        <v>-12092.159999999945</v>
      </c>
      <c r="AM21" s="465">
        <v>-12150.869999999944</v>
      </c>
      <c r="AN21" s="465">
        <v>-12209.579999999944</v>
      </c>
      <c r="AO21" s="465">
        <v>-12268.289999999943</v>
      </c>
      <c r="AP21" s="465">
        <v>-12326.999999999942</v>
      </c>
      <c r="AQ21" s="465">
        <v>-12385.709999999941</v>
      </c>
      <c r="AR21" s="465">
        <v>-12444.41999999994</v>
      </c>
      <c r="AS21" s="465">
        <v>-12503.129999999939</v>
      </c>
      <c r="AT21" s="465">
        <v>-12561.839999999938</v>
      </c>
      <c r="AU21" s="465">
        <v>-12620.549999999937</v>
      </c>
      <c r="AV21" s="465">
        <v>-12679.259999999937</v>
      </c>
      <c r="AW21" s="465">
        <v>-12737.969999999936</v>
      </c>
      <c r="AX21" s="465">
        <v>-32835.819999999934</v>
      </c>
      <c r="AY21" s="465">
        <v>-33174.029999999941</v>
      </c>
      <c r="AZ21" s="465">
        <v>-33512.239999999932</v>
      </c>
      <c r="BA21" s="465">
        <v>-33850.449999999939</v>
      </c>
      <c r="BB21" s="465">
        <v>-34188.659999999931</v>
      </c>
      <c r="BC21" s="465">
        <v>-34526.869999999937</v>
      </c>
      <c r="BD21" s="465">
        <v>-34865.079999999929</v>
      </c>
      <c r="BE21" s="465">
        <v>-35203.289999999935</v>
      </c>
      <c r="BF21" s="465">
        <v>-35541.499999999927</v>
      </c>
      <c r="BG21" s="465">
        <v>-35879.709999999934</v>
      </c>
      <c r="BH21" s="465">
        <v>-36217.919999999925</v>
      </c>
      <c r="BI21" s="465">
        <v>-36556.129999999932</v>
      </c>
      <c r="BJ21" s="465">
        <v>-36894.339999999924</v>
      </c>
      <c r="BK21" s="465">
        <v>-37232.549999999937</v>
      </c>
      <c r="BL21" s="465">
        <v>-37570.759999999937</v>
      </c>
      <c r="BM21" s="1009">
        <v>-37908.969999999936</v>
      </c>
      <c r="BN21" s="1009">
        <v>-38247.179999999935</v>
      </c>
      <c r="BO21" s="1009">
        <v>-38585.389999999934</v>
      </c>
      <c r="BP21" s="1009">
        <v>-38923.599999999933</v>
      </c>
      <c r="BQ21" s="1009">
        <v>-39261.809999999932</v>
      </c>
      <c r="BR21" s="1009">
        <v>-39600.019999999931</v>
      </c>
      <c r="BS21" s="1009">
        <v>-39938.22999999993</v>
      </c>
      <c r="BT21" s="1009">
        <v>-40276.43999999993</v>
      </c>
      <c r="BU21" s="1009">
        <v>-40614.649999999929</v>
      </c>
      <c r="BV21" s="1009">
        <v>-40952.859999999928</v>
      </c>
      <c r="BW21" s="1009">
        <v>-41288.729999999923</v>
      </c>
      <c r="BX21" s="1009">
        <v>-41624.599999999926</v>
      </c>
      <c r="BY21" s="1009">
        <v>-41960.469999999928</v>
      </c>
      <c r="BZ21" s="1009">
        <v>-42296.339999999924</v>
      </c>
      <c r="CA21" s="1009">
        <v>-42632.209999999919</v>
      </c>
      <c r="CB21" s="1009">
        <v>-42968.079999999914</v>
      </c>
      <c r="CC21" s="1009">
        <v>-43303.94999999991</v>
      </c>
      <c r="CD21" s="1009">
        <v>-43639.819999999905</v>
      </c>
      <c r="CE21" s="1009">
        <v>-43975.689999999908</v>
      </c>
      <c r="CF21" s="1009">
        <v>-44311.55999999991</v>
      </c>
      <c r="CG21" s="1009">
        <v>-44647.429999999906</v>
      </c>
      <c r="CH21" s="1009">
        <v>-44983.299999999901</v>
      </c>
      <c r="CI21" s="1009">
        <v>-45319.169999999904</v>
      </c>
      <c r="CJ21" s="1009">
        <v>-45655.039999999892</v>
      </c>
      <c r="CK21" s="1009">
        <v>-45990.909999999894</v>
      </c>
      <c r="CL21" s="1009">
        <v>-46326.779999999897</v>
      </c>
      <c r="CM21" s="1009">
        <v>-46662.649999999892</v>
      </c>
      <c r="CN21" s="1009">
        <v>-46998.519999999895</v>
      </c>
      <c r="CO21" s="1009">
        <v>-47334.389999999898</v>
      </c>
      <c r="CP21" s="1009">
        <v>-47670.259999999893</v>
      </c>
      <c r="CQ21" s="1009">
        <v>-48006.129999999888</v>
      </c>
      <c r="CR21" s="1009">
        <v>-48341.999999999884</v>
      </c>
      <c r="CS21" s="1009">
        <v>-48677.869999999879</v>
      </c>
      <c r="CT21" s="1009">
        <v>-49013.739999999882</v>
      </c>
      <c r="CU21" s="934">
        <f t="shared" si="49"/>
        <v>-46998.519999999895</v>
      </c>
      <c r="CV21" s="1275">
        <v>1.2024472914662654E-2</v>
      </c>
      <c r="CW21" s="1008">
        <f>CU21*$CV$21</f>
        <v>-565.13243076922981</v>
      </c>
      <c r="CX21" s="1008">
        <f>CN21*$CV$21</f>
        <v>-565.13243076922981</v>
      </c>
      <c r="CY21" s="1277" t="s">
        <v>2936</v>
      </c>
    </row>
    <row r="22" spans="1:103">
      <c r="A22" s="460" t="s">
        <v>2500</v>
      </c>
      <c r="C22" s="467">
        <v>-4533332.2200000025</v>
      </c>
      <c r="D22" s="467">
        <v>-3662652.0400000019</v>
      </c>
      <c r="E22" s="467">
        <v>-3716196.2400000021</v>
      </c>
      <c r="F22" s="467">
        <v>-3769740.4400000023</v>
      </c>
      <c r="G22" s="467">
        <v>-3823417.1100000022</v>
      </c>
      <c r="H22" s="467">
        <v>-3877093.7800000026</v>
      </c>
      <c r="I22" s="467">
        <v>-3931378.7700000028</v>
      </c>
      <c r="J22" s="467">
        <v>-3985855.0800000029</v>
      </c>
      <c r="K22" s="467">
        <v>-4040325.8600000031</v>
      </c>
      <c r="L22" s="467">
        <v>-4094819.1500000032</v>
      </c>
      <c r="M22" s="467">
        <v>-4149446.4000000032</v>
      </c>
      <c r="N22" s="465">
        <v>-4886958.2500000037</v>
      </c>
      <c r="O22" s="465">
        <v>-4950309.6900000032</v>
      </c>
      <c r="P22" s="465">
        <v>-5019062.7700000033</v>
      </c>
      <c r="Q22" s="465">
        <v>-5087815.8500000034</v>
      </c>
      <c r="R22" s="465">
        <v>-5156646.9800000042</v>
      </c>
      <c r="S22" s="465">
        <v>-5225478.1100000041</v>
      </c>
      <c r="T22" s="465">
        <v>-5294309.2400000039</v>
      </c>
      <c r="U22" s="465">
        <v>-5366335.0800000038</v>
      </c>
      <c r="V22" s="465">
        <v>-5438179.9300000034</v>
      </c>
      <c r="W22" s="465">
        <v>-5510024.780000004</v>
      </c>
      <c r="X22" s="465">
        <v>-5581870.3300000038</v>
      </c>
      <c r="Y22" s="465">
        <v>-5653722.9100000029</v>
      </c>
      <c r="Z22" s="465">
        <v>-4083448.590000004</v>
      </c>
      <c r="AA22" s="465">
        <v>-4136562.8500000043</v>
      </c>
      <c r="AB22" s="465">
        <v>-4189548.4600000046</v>
      </c>
      <c r="AC22" s="465">
        <v>-3041370.7900000052</v>
      </c>
      <c r="AD22" s="465">
        <v>-3082756.9900000049</v>
      </c>
      <c r="AE22" s="465">
        <v>-3124388.0400000047</v>
      </c>
      <c r="AF22" s="465">
        <v>-3166194.9900000044</v>
      </c>
      <c r="AG22" s="465">
        <v>-3208001.9400000041</v>
      </c>
      <c r="AH22" s="465">
        <v>-3249951.0600000042</v>
      </c>
      <c r="AI22" s="465">
        <v>-3291917.320000004</v>
      </c>
      <c r="AJ22" s="465">
        <v>-3333883.5800000038</v>
      </c>
      <c r="AK22" s="465">
        <v>-3375901.1100000036</v>
      </c>
      <c r="AL22" s="465">
        <v>-3417921.7500000037</v>
      </c>
      <c r="AM22" s="465">
        <v>-3460025.680000003</v>
      </c>
      <c r="AN22" s="465">
        <v>-3502284.9400000032</v>
      </c>
      <c r="AO22" s="465">
        <v>-3545971.8100000033</v>
      </c>
      <c r="AP22" s="465">
        <v>-3589844.5200000042</v>
      </c>
      <c r="AQ22" s="465">
        <v>-3633769.1900000041</v>
      </c>
      <c r="AR22" s="465">
        <v>-3677693.8600000022</v>
      </c>
      <c r="AS22" s="465">
        <v>-3721635.7700000023</v>
      </c>
      <c r="AT22" s="465">
        <v>-3765577.6800000025</v>
      </c>
      <c r="AU22" s="465">
        <v>-3809528.9600000018</v>
      </c>
      <c r="AV22" s="465">
        <v>-3853480.2400000021</v>
      </c>
      <c r="AW22" s="465">
        <v>-3897465.3000000017</v>
      </c>
      <c r="AX22" s="465">
        <v>-4484796.6600000011</v>
      </c>
      <c r="AY22" s="465">
        <v>-4538144.4300000016</v>
      </c>
      <c r="AZ22" s="465">
        <v>-4591305.9000000013</v>
      </c>
      <c r="BA22" s="465">
        <v>-4648279.2600000016</v>
      </c>
      <c r="BB22" s="465">
        <v>-4705316.7400000012</v>
      </c>
      <c r="BC22" s="465">
        <v>-4762715.1600000011</v>
      </c>
      <c r="BD22" s="465">
        <v>-4820447.790000001</v>
      </c>
      <c r="BE22" s="465">
        <v>-4878180.4200000009</v>
      </c>
      <c r="BF22" s="465">
        <v>-4935901.0000000019</v>
      </c>
      <c r="BG22" s="465">
        <v>-4993792.3200000012</v>
      </c>
      <c r="BH22" s="465">
        <v>-5051739.4900000012</v>
      </c>
      <c r="BI22" s="465">
        <v>-5111106.0900000017</v>
      </c>
      <c r="BJ22" s="465">
        <v>-5170513.8200000012</v>
      </c>
      <c r="BK22" s="465">
        <v>-5160958.42</v>
      </c>
      <c r="BL22" s="465">
        <v>-5228534.9600000009</v>
      </c>
      <c r="BM22" s="1009">
        <v>-5298840.7200000007</v>
      </c>
      <c r="BN22" s="1009">
        <v>-5369761.5999999996</v>
      </c>
      <c r="BO22" s="1009">
        <v>-5440868.8200000003</v>
      </c>
      <c r="BP22" s="1009">
        <v>-5512203.2800000003</v>
      </c>
      <c r="BQ22" s="1009">
        <v>-5584602.5300000012</v>
      </c>
      <c r="BR22" s="1009">
        <v>-5657161.2400000021</v>
      </c>
      <c r="BS22" s="1009">
        <v>-5729681.629999999</v>
      </c>
      <c r="BT22" s="1009">
        <v>-5802493.0999999996</v>
      </c>
      <c r="BU22" s="1009">
        <v>-5876076.25</v>
      </c>
      <c r="BV22" s="1009">
        <v>-5865736.5</v>
      </c>
      <c r="BW22" s="1009">
        <v>-5932151.8100000005</v>
      </c>
      <c r="BX22" s="1009">
        <v>-3644781.01</v>
      </c>
      <c r="BY22" s="1009">
        <v>-3691630.67</v>
      </c>
      <c r="BZ22" s="1009">
        <v>-3738480.3300000005</v>
      </c>
      <c r="CA22" s="1009">
        <v>-3785333.92</v>
      </c>
      <c r="CB22" s="1009">
        <v>-3832187.51</v>
      </c>
      <c r="CC22" s="1009">
        <v>-3879041.1</v>
      </c>
      <c r="CD22" s="1009">
        <v>-3925880.1799999988</v>
      </c>
      <c r="CE22" s="1009">
        <v>-3972915.6199999992</v>
      </c>
      <c r="CF22" s="1009">
        <v>-4019951.0599999996</v>
      </c>
      <c r="CG22" s="1009">
        <v>-4067058.3899999997</v>
      </c>
      <c r="CH22" s="1009">
        <v>-4114167.2799999993</v>
      </c>
      <c r="CI22" s="1009">
        <v>-4161277.6999999983</v>
      </c>
      <c r="CJ22" s="1009">
        <v>-4208389.6799999988</v>
      </c>
      <c r="CK22" s="1009">
        <v>-4255503.209999999</v>
      </c>
      <c r="CL22" s="1009">
        <v>-4302618.2899999991</v>
      </c>
      <c r="CM22" s="1009">
        <v>-4349966.4699999988</v>
      </c>
      <c r="CN22" s="1009">
        <v>-4395735.63</v>
      </c>
      <c r="CO22" s="1009">
        <v>-4443120.96</v>
      </c>
      <c r="CP22" s="1009">
        <v>-4490670.379999999</v>
      </c>
      <c r="CQ22" s="1009">
        <v>-4538320.919999999</v>
      </c>
      <c r="CR22" s="1009">
        <v>-4586031.5399999991</v>
      </c>
      <c r="CS22" s="1009">
        <v>-4633874.5699999994</v>
      </c>
      <c r="CT22" s="1009">
        <v>-4681758.8099999987</v>
      </c>
      <c r="CU22" s="934">
        <f t="shared" si="49"/>
        <v>-4397033.4953846149</v>
      </c>
      <c r="CV22" s="1275">
        <v>8.6395508002659032E-3</v>
      </c>
      <c r="CW22" s="1008">
        <f>CU22*$CV$22</f>
        <v>-37988.394253846134</v>
      </c>
      <c r="CX22" s="1008">
        <f>CN22*$CV$22</f>
        <v>-37977.18127992384</v>
      </c>
      <c r="CY22" s="1277" t="s">
        <v>2936</v>
      </c>
    </row>
    <row r="23" spans="1:103" ht="13.5" thickBot="1">
      <c r="C23" s="466">
        <f>SUM(C18:C22)</f>
        <v>-29307189.980000004</v>
      </c>
      <c r="D23" s="466">
        <f>SUM(D18:D22)</f>
        <v>-22773621.780000005</v>
      </c>
      <c r="E23" s="466">
        <f t="shared" ref="E23:Z23" si="50">SUM(E18:E22)</f>
        <v>-22998684.210000005</v>
      </c>
      <c r="F23" s="466">
        <f t="shared" si="50"/>
        <v>-23224517.080000006</v>
      </c>
      <c r="G23" s="466">
        <f t="shared" si="50"/>
        <v>-23461781.280000005</v>
      </c>
      <c r="H23" s="466">
        <f t="shared" si="50"/>
        <v>-23699001.710000001</v>
      </c>
      <c r="I23" s="466">
        <f t="shared" si="50"/>
        <v>-23937394.590000004</v>
      </c>
      <c r="J23" s="466">
        <f t="shared" si="50"/>
        <v>-24177096.600000005</v>
      </c>
      <c r="K23" s="466">
        <f t="shared" si="50"/>
        <v>-24417310.990000002</v>
      </c>
      <c r="L23" s="466">
        <f t="shared" si="50"/>
        <v>-24658807.700000003</v>
      </c>
      <c r="M23" s="466">
        <f t="shared" si="50"/>
        <v>-24900099.859999999</v>
      </c>
      <c r="N23" s="466">
        <f t="shared" si="50"/>
        <v>-26576599.610000003</v>
      </c>
      <c r="O23" s="466">
        <f t="shared" si="50"/>
        <v>-26829311.480000004</v>
      </c>
      <c r="P23" s="466">
        <f t="shared" si="50"/>
        <v>-27087444.600000001</v>
      </c>
      <c r="Q23" s="466">
        <f t="shared" si="50"/>
        <v>-27345662.380000003</v>
      </c>
      <c r="R23" s="466">
        <f t="shared" si="50"/>
        <v>-27603891.560000002</v>
      </c>
      <c r="S23" s="466">
        <f t="shared" si="50"/>
        <v>-27862122.810000002</v>
      </c>
      <c r="T23" s="466">
        <f t="shared" si="50"/>
        <v>-24867563.190000005</v>
      </c>
      <c r="U23" s="466">
        <f t="shared" si="50"/>
        <v>-25079688.490000002</v>
      </c>
      <c r="V23" s="466">
        <f t="shared" si="50"/>
        <v>-25388444.460000005</v>
      </c>
      <c r="W23" s="466">
        <f t="shared" si="50"/>
        <v>-25652644.170000006</v>
      </c>
      <c r="X23" s="466">
        <f t="shared" si="50"/>
        <v>-25917154.110000007</v>
      </c>
      <c r="Y23" s="466">
        <f t="shared" si="50"/>
        <v>-26183238.760000005</v>
      </c>
      <c r="Z23" s="466">
        <f t="shared" si="50"/>
        <v>-19788635.080000006</v>
      </c>
      <c r="AA23" s="466">
        <f t="shared" ref="AA23:AF23" si="51">SUM(AA18:AA22)</f>
        <v>-20028062.350000005</v>
      </c>
      <c r="AB23" s="466">
        <f t="shared" si="51"/>
        <v>-20283254.960000008</v>
      </c>
      <c r="AC23" s="466">
        <f t="shared" si="51"/>
        <v>-19210458.430000011</v>
      </c>
      <c r="AD23" s="466">
        <f t="shared" si="51"/>
        <v>-19456735.440000013</v>
      </c>
      <c r="AE23" s="466">
        <f t="shared" si="51"/>
        <v>-19702774.430000015</v>
      </c>
      <c r="AF23" s="466">
        <f t="shared" si="51"/>
        <v>-19938219.710000012</v>
      </c>
      <c r="AG23" s="466">
        <f t="shared" ref="AG23:AL23" si="52">SUM(AG18:AG22)</f>
        <v>-20184897.610000014</v>
      </c>
      <c r="AH23" s="466">
        <f t="shared" si="52"/>
        <v>-20431733.750000015</v>
      </c>
      <c r="AI23" s="466">
        <f t="shared" si="52"/>
        <v>-20676771.970000014</v>
      </c>
      <c r="AJ23" s="466">
        <f t="shared" si="52"/>
        <v>-20924490.680000007</v>
      </c>
      <c r="AK23" s="466">
        <f t="shared" si="52"/>
        <v>-21172415.980000008</v>
      </c>
      <c r="AL23" s="466">
        <f t="shared" si="52"/>
        <v>-21420456.170000009</v>
      </c>
      <c r="AM23" s="466">
        <f t="shared" ref="AM23:AR23" si="53">SUM(AM18:AM22)</f>
        <v>-21670282.020000011</v>
      </c>
      <c r="AN23" s="466">
        <f t="shared" si="53"/>
        <v>-21920265.980000004</v>
      </c>
      <c r="AO23" s="466">
        <f t="shared" si="53"/>
        <v>-22171699.990000002</v>
      </c>
      <c r="AP23" s="466">
        <f t="shared" si="53"/>
        <v>-22424489.220000003</v>
      </c>
      <c r="AQ23" s="466">
        <f t="shared" si="53"/>
        <v>-22677701.690000005</v>
      </c>
      <c r="AR23" s="466">
        <f t="shared" si="53"/>
        <v>-22930994.210000012</v>
      </c>
      <c r="AS23" s="466">
        <f t="shared" ref="AS23:AX23" si="54">SUM(AS18:AS22)</f>
        <v>-23181668.580000009</v>
      </c>
      <c r="AT23" s="466">
        <f t="shared" si="54"/>
        <v>-23437418.980000008</v>
      </c>
      <c r="AU23" s="466">
        <f t="shared" si="54"/>
        <v>-23693410.680000007</v>
      </c>
      <c r="AV23" s="466">
        <f t="shared" si="54"/>
        <v>-23949596.430000007</v>
      </c>
      <c r="AW23" s="466">
        <f t="shared" si="54"/>
        <v>-24210291.670000006</v>
      </c>
      <c r="AX23" s="466">
        <f t="shared" si="54"/>
        <v>-23470205.330000002</v>
      </c>
      <c r="AY23" s="466">
        <f t="shared" ref="AY23:BD23" si="55">SUM(AY18:AY22)</f>
        <v>-23737065.870000005</v>
      </c>
      <c r="AZ23" s="466">
        <f t="shared" si="55"/>
        <v>-24004246.140000001</v>
      </c>
      <c r="BA23" s="466">
        <f t="shared" si="55"/>
        <v>-24275086.240000002</v>
      </c>
      <c r="BB23" s="466">
        <f t="shared" si="55"/>
        <v>-24546049.260000002</v>
      </c>
      <c r="BC23" s="466">
        <f t="shared" si="55"/>
        <v>-24818027.210000001</v>
      </c>
      <c r="BD23" s="466">
        <f t="shared" si="55"/>
        <v>-25091358.780000001</v>
      </c>
      <c r="BE23" s="466">
        <f t="shared" ref="BE23:BJ23" si="56">SUM(BE18:BE22)</f>
        <v>-25365604.800000004</v>
      </c>
      <c r="BF23" s="466">
        <f t="shared" si="56"/>
        <v>-25639797.430000007</v>
      </c>
      <c r="BG23" s="466">
        <f t="shared" si="56"/>
        <v>-25841203.520000003</v>
      </c>
      <c r="BH23" s="466">
        <f t="shared" si="56"/>
        <v>-26122416.090000004</v>
      </c>
      <c r="BI23" s="466">
        <f t="shared" si="56"/>
        <v>-26405809.670000002</v>
      </c>
      <c r="BJ23" s="466">
        <f t="shared" si="56"/>
        <v>-26690446.120000001</v>
      </c>
      <c r="BK23" s="466">
        <f>SUM(BK18:BK22)</f>
        <v>-26366183.630000003</v>
      </c>
      <c r="BL23" s="466">
        <f>SUM(BL18:BL22)</f>
        <v>-26662642.400000002</v>
      </c>
      <c r="BM23" s="1013">
        <f>SUM(BM18:BM22)</f>
        <v>-26962972.469999999</v>
      </c>
      <c r="BN23" s="1013">
        <f>SUM(BN18:BN22)</f>
        <v>-27264172.200000003</v>
      </c>
      <c r="BO23" s="1013">
        <f>SUM(BO18:BO22)</f>
        <v>-27565852.52</v>
      </c>
      <c r="BP23" s="1013">
        <f t="shared" ref="BP23:BV23" si="57">SUM(BP18:BP22)</f>
        <v>-27867878.380000003</v>
      </c>
      <c r="BQ23" s="1013">
        <f t="shared" si="57"/>
        <v>-28171719.280000001</v>
      </c>
      <c r="BR23" s="1013">
        <f t="shared" si="57"/>
        <v>-28475935.370000005</v>
      </c>
      <c r="BS23" s="1013">
        <f t="shared" si="57"/>
        <v>-28770614.629999999</v>
      </c>
      <c r="BT23" s="1013">
        <f t="shared" si="57"/>
        <v>-29074454.899999999</v>
      </c>
      <c r="BU23" s="1013">
        <f t="shared" si="57"/>
        <v>-29470370.59</v>
      </c>
      <c r="BV23" s="1013">
        <f t="shared" si="57"/>
        <v>-29782853.659999996</v>
      </c>
      <c r="BW23" s="1013">
        <f t="shared" ref="BW23:CB23" si="58">SUM(BW18:BW22)</f>
        <v>-30174487.309999995</v>
      </c>
      <c r="BX23" s="1013">
        <f t="shared" si="58"/>
        <v>-28212595.409999996</v>
      </c>
      <c r="BY23" s="1013">
        <f t="shared" si="58"/>
        <v>-28585256.359999999</v>
      </c>
      <c r="BZ23" s="1013">
        <f t="shared" si="58"/>
        <v>-28972176.920000002</v>
      </c>
      <c r="CA23" s="1013">
        <f t="shared" si="58"/>
        <v>-29374759.359999999</v>
      </c>
      <c r="CB23" s="1013">
        <f t="shared" si="58"/>
        <v>-29778733.789999999</v>
      </c>
      <c r="CC23" s="1013">
        <f t="shared" ref="CC23:CU23" si="59">SUM(CC18:CC22)</f>
        <v>-30184211.48</v>
      </c>
      <c r="CD23" s="1013">
        <f t="shared" si="59"/>
        <v>-30591289.109999999</v>
      </c>
      <c r="CE23" s="1013">
        <f t="shared" si="59"/>
        <v>-30999397.619999997</v>
      </c>
      <c r="CF23" s="1013">
        <f t="shared" si="59"/>
        <v>-31407690.75</v>
      </c>
      <c r="CG23" s="1013">
        <f t="shared" si="59"/>
        <v>-31816448.060000006</v>
      </c>
      <c r="CH23" s="1013">
        <f t="shared" si="59"/>
        <v>-32225423.100000001</v>
      </c>
      <c r="CI23" s="1013">
        <f t="shared" ref="CI23:CK23" si="60">SUM(CI18:CI22)</f>
        <v>-32634702</v>
      </c>
      <c r="CJ23" s="1013">
        <f t="shared" si="60"/>
        <v>-33044210.440000001</v>
      </c>
      <c r="CK23" s="1013">
        <f t="shared" si="60"/>
        <v>-33486083.140000001</v>
      </c>
      <c r="CL23" s="1013">
        <f t="shared" ref="CL23:CN23" si="61">SUM(CL18:CL22)</f>
        <v>-33928642.780000001</v>
      </c>
      <c r="CM23" s="1013">
        <f t="shared" si="61"/>
        <v>-34371585.349999994</v>
      </c>
      <c r="CN23" s="1013">
        <f t="shared" si="61"/>
        <v>-34665458.689999998</v>
      </c>
      <c r="CO23" s="1013">
        <f t="shared" ref="CO23:CQ23" si="62">SUM(CO18:CO22)</f>
        <v>-35108155.769999996</v>
      </c>
      <c r="CP23" s="1013">
        <f t="shared" si="62"/>
        <v>-35551189.099999994</v>
      </c>
      <c r="CQ23" s="1013">
        <f t="shared" si="62"/>
        <v>-35995233.829999998</v>
      </c>
      <c r="CR23" s="1013">
        <f t="shared" ref="CR23:CT23" si="63">SUM(CR18:CR22)</f>
        <v>-36439224.049999997</v>
      </c>
      <c r="CS23" s="1013">
        <f t="shared" si="63"/>
        <v>-36883541.059999995</v>
      </c>
      <c r="CT23" s="1013">
        <f t="shared" si="63"/>
        <v>-37331977.219999991</v>
      </c>
      <c r="CU23" s="1014">
        <f t="shared" si="59"/>
        <v>-34743494.348461531</v>
      </c>
      <c r="CW23" s="1017">
        <f>SUM(CW18:CW22)</f>
        <v>-419406.37115384627</v>
      </c>
      <c r="CX23" s="1017">
        <f>SUM(CX18:CX22)</f>
        <v>-419346.8627687234</v>
      </c>
    </row>
    <row r="24" spans="1:103" ht="13.5" thickTop="1">
      <c r="A24" s="460" t="s">
        <v>1715</v>
      </c>
      <c r="CU24" s="935"/>
    </row>
    <row r="25" spans="1:103">
      <c r="CU25" s="935"/>
    </row>
    <row r="26" spans="1:103">
      <c r="A26" s="1005"/>
      <c r="B26" s="1005"/>
      <c r="C26" s="461">
        <v>2015</v>
      </c>
      <c r="D26" s="461">
        <v>2015</v>
      </c>
      <c r="E26" s="461">
        <v>2015</v>
      </c>
      <c r="F26" s="461">
        <v>2015</v>
      </c>
      <c r="G26" s="461">
        <v>2015</v>
      </c>
      <c r="H26" s="461">
        <v>2015</v>
      </c>
      <c r="I26" s="461">
        <v>2015</v>
      </c>
      <c r="J26" s="461">
        <v>2015</v>
      </c>
      <c r="K26" s="461">
        <v>2015</v>
      </c>
      <c r="L26" s="461">
        <v>2015</v>
      </c>
      <c r="M26" s="461">
        <v>2015</v>
      </c>
      <c r="N26" s="461">
        <v>2015</v>
      </c>
      <c r="O26" s="461">
        <v>2016</v>
      </c>
      <c r="P26" s="461">
        <v>2016</v>
      </c>
      <c r="Q26" s="461">
        <v>2016</v>
      </c>
      <c r="R26" s="461">
        <v>2016</v>
      </c>
      <c r="S26" s="461">
        <v>2016</v>
      </c>
      <c r="T26" s="461">
        <v>2016</v>
      </c>
      <c r="U26" s="461">
        <v>2016</v>
      </c>
      <c r="V26" s="461">
        <v>2016</v>
      </c>
      <c r="W26" s="461">
        <v>2016</v>
      </c>
      <c r="X26" s="461">
        <v>2016</v>
      </c>
      <c r="Y26" s="461">
        <v>2016</v>
      </c>
      <c r="Z26" s="461">
        <v>2016</v>
      </c>
      <c r="AA26" s="461">
        <f t="shared" ref="AA26:AF26" si="64">+AA3</f>
        <v>2017</v>
      </c>
      <c r="AB26" s="461">
        <f t="shared" si="64"/>
        <v>2017</v>
      </c>
      <c r="AC26" s="461">
        <f t="shared" si="64"/>
        <v>2017</v>
      </c>
      <c r="AD26" s="461">
        <f t="shared" si="64"/>
        <v>2017</v>
      </c>
      <c r="AE26" s="461">
        <f t="shared" si="64"/>
        <v>2017</v>
      </c>
      <c r="AF26" s="461">
        <f t="shared" si="64"/>
        <v>2017</v>
      </c>
      <c r="AG26" s="461">
        <f t="shared" ref="AG26:AI27" si="65">+AG3</f>
        <v>2017</v>
      </c>
      <c r="AH26" s="461">
        <f t="shared" si="65"/>
        <v>2017</v>
      </c>
      <c r="AI26" s="461">
        <f t="shared" si="65"/>
        <v>2017</v>
      </c>
      <c r="AJ26" s="461">
        <f t="shared" ref="AJ26:AL27" si="66">+AJ3</f>
        <v>2017</v>
      </c>
      <c r="AK26" s="461">
        <f t="shared" si="66"/>
        <v>2017</v>
      </c>
      <c r="AL26" s="461">
        <f t="shared" si="66"/>
        <v>2017</v>
      </c>
      <c r="AM26" s="461">
        <f t="shared" ref="AM26:AO27" si="67">+AM3</f>
        <v>2018</v>
      </c>
      <c r="AN26" s="461">
        <f t="shared" si="67"/>
        <v>2018</v>
      </c>
      <c r="AO26" s="461">
        <f t="shared" si="67"/>
        <v>2018</v>
      </c>
      <c r="AP26" s="461">
        <f t="shared" ref="AP26:AR27" si="68">+AP3</f>
        <v>2018</v>
      </c>
      <c r="AQ26" s="461">
        <f t="shared" si="68"/>
        <v>2018</v>
      </c>
      <c r="AR26" s="461">
        <f t="shared" si="68"/>
        <v>2018</v>
      </c>
      <c r="AS26" s="461">
        <f t="shared" ref="AS26:AU27" si="69">+AS3</f>
        <v>2018</v>
      </c>
      <c r="AT26" s="461">
        <f t="shared" si="69"/>
        <v>2018</v>
      </c>
      <c r="AU26" s="461">
        <f t="shared" si="69"/>
        <v>2018</v>
      </c>
      <c r="AV26" s="461">
        <f t="shared" ref="AV26:AX27" si="70">+AV3</f>
        <v>2018</v>
      </c>
      <c r="AW26" s="461">
        <f t="shared" si="70"/>
        <v>2018</v>
      </c>
      <c r="AX26" s="461">
        <f t="shared" si="70"/>
        <v>2018</v>
      </c>
      <c r="AY26" s="461">
        <f t="shared" ref="AY26:BB27" si="71">+AY3</f>
        <v>2019</v>
      </c>
      <c r="AZ26" s="461">
        <f t="shared" si="71"/>
        <v>2019</v>
      </c>
      <c r="BA26" s="461">
        <f t="shared" si="71"/>
        <v>2019</v>
      </c>
      <c r="BB26" s="461">
        <f t="shared" si="71"/>
        <v>2019</v>
      </c>
      <c r="BC26" s="461">
        <f t="shared" ref="BC26:BG27" si="72">+BC3</f>
        <v>2019</v>
      </c>
      <c r="BD26" s="461">
        <f t="shared" si="72"/>
        <v>2019</v>
      </c>
      <c r="BE26" s="461">
        <f t="shared" si="72"/>
        <v>2019</v>
      </c>
      <c r="BF26" s="461">
        <f t="shared" si="72"/>
        <v>2019</v>
      </c>
      <c r="BG26" s="461">
        <f t="shared" si="72"/>
        <v>2019</v>
      </c>
      <c r="BH26" s="461">
        <f t="shared" ref="BH26:BJ27" si="73">+BH3</f>
        <v>2019</v>
      </c>
      <c r="BI26" s="461">
        <f t="shared" si="73"/>
        <v>2019</v>
      </c>
      <c r="BJ26" s="461">
        <f t="shared" si="73"/>
        <v>2019</v>
      </c>
      <c r="BK26" s="461" t="str">
        <f t="shared" ref="BK26:BM27" si="74">+BK3</f>
        <v>2020</v>
      </c>
      <c r="BL26" s="461" t="str">
        <f t="shared" si="74"/>
        <v>2020</v>
      </c>
      <c r="BM26" s="461" t="str">
        <f t="shared" si="74"/>
        <v>2020</v>
      </c>
      <c r="BN26" s="461" t="str">
        <f t="shared" ref="BN26:BP27" si="75">+BN3</f>
        <v>2020</v>
      </c>
      <c r="BO26" s="461" t="str">
        <f t="shared" si="75"/>
        <v>2020</v>
      </c>
      <c r="BP26" s="461" t="str">
        <f t="shared" si="75"/>
        <v>2020</v>
      </c>
      <c r="BQ26" s="461" t="str">
        <f t="shared" ref="BQ26:BS27" si="76">+BQ3</f>
        <v>2020</v>
      </c>
      <c r="BR26" s="461" t="str">
        <f t="shared" si="76"/>
        <v>2020</v>
      </c>
      <c r="BS26" s="461" t="str">
        <f t="shared" si="76"/>
        <v>2020</v>
      </c>
      <c r="BT26" s="461" t="str">
        <f t="shared" ref="BT26:BV27" si="77">+BT3</f>
        <v>2020</v>
      </c>
      <c r="BU26" s="461" t="str">
        <f t="shared" si="77"/>
        <v>2020</v>
      </c>
      <c r="BV26" s="461" t="str">
        <f t="shared" si="77"/>
        <v>2020</v>
      </c>
      <c r="BW26" s="461">
        <f t="shared" ref="BW26:BY27" si="78">+BW3</f>
        <v>2021</v>
      </c>
      <c r="BX26" s="461">
        <f t="shared" si="78"/>
        <v>2021</v>
      </c>
      <c r="BY26" s="461">
        <f t="shared" si="78"/>
        <v>2021</v>
      </c>
      <c r="BZ26" s="461">
        <f t="shared" ref="BZ26:CB27" si="79">+BZ3</f>
        <v>2021</v>
      </c>
      <c r="CA26" s="461">
        <f t="shared" si="79"/>
        <v>2021</v>
      </c>
      <c r="CB26" s="461">
        <f t="shared" si="79"/>
        <v>2021</v>
      </c>
      <c r="CC26" s="461">
        <f t="shared" ref="CC26:CE27" si="80">+CC3</f>
        <v>2021</v>
      </c>
      <c r="CD26" s="461">
        <f t="shared" si="80"/>
        <v>2021</v>
      </c>
      <c r="CE26" s="461">
        <f t="shared" si="80"/>
        <v>2021</v>
      </c>
      <c r="CF26" s="461">
        <f t="shared" ref="CF26:CH27" si="81">+CF3</f>
        <v>2021</v>
      </c>
      <c r="CG26" s="461">
        <f t="shared" si="81"/>
        <v>2021</v>
      </c>
      <c r="CH26" s="461">
        <f t="shared" si="81"/>
        <v>2021</v>
      </c>
      <c r="CI26" s="461">
        <f t="shared" ref="CI26:CK26" si="82">+CI3</f>
        <v>2022</v>
      </c>
      <c r="CJ26" s="461">
        <f t="shared" si="82"/>
        <v>2022</v>
      </c>
      <c r="CK26" s="461">
        <f t="shared" si="82"/>
        <v>2022</v>
      </c>
      <c r="CL26" s="461">
        <f t="shared" ref="CL26:CN26" si="83">+CL3</f>
        <v>2022</v>
      </c>
      <c r="CM26" s="461">
        <f t="shared" si="83"/>
        <v>2022</v>
      </c>
      <c r="CN26" s="461">
        <f t="shared" si="83"/>
        <v>2022</v>
      </c>
      <c r="CO26" s="461">
        <f t="shared" ref="CO26:CQ26" si="84">+CO3</f>
        <v>2022</v>
      </c>
      <c r="CP26" s="461">
        <f t="shared" si="84"/>
        <v>2022</v>
      </c>
      <c r="CQ26" s="461">
        <f t="shared" si="84"/>
        <v>2022</v>
      </c>
      <c r="CR26" s="461">
        <f t="shared" ref="CR26:CT26" si="85">+CR3</f>
        <v>2022</v>
      </c>
      <c r="CS26" s="461">
        <f t="shared" si="85"/>
        <v>2022</v>
      </c>
      <c r="CT26" s="461">
        <f t="shared" si="85"/>
        <v>2022</v>
      </c>
      <c r="CU26" s="1011" t="s">
        <v>1829</v>
      </c>
      <c r="CV26" s="1005" t="s">
        <v>1714</v>
      </c>
      <c r="CW26" s="1005" t="s">
        <v>1730</v>
      </c>
      <c r="CX26" s="472"/>
    </row>
    <row r="27" spans="1:103">
      <c r="A27" s="1006" t="s">
        <v>1731</v>
      </c>
      <c r="B27" s="1007"/>
      <c r="C27" s="462" t="s">
        <v>1718</v>
      </c>
      <c r="D27" s="462" t="s">
        <v>1719</v>
      </c>
      <c r="E27" s="462" t="s">
        <v>1720</v>
      </c>
      <c r="F27" s="462" t="s">
        <v>1721</v>
      </c>
      <c r="G27" s="462" t="s">
        <v>476</v>
      </c>
      <c r="H27" s="462" t="s">
        <v>1722</v>
      </c>
      <c r="I27" s="462" t="s">
        <v>1723</v>
      </c>
      <c r="J27" s="462" t="s">
        <v>1724</v>
      </c>
      <c r="K27" s="462" t="s">
        <v>1725</v>
      </c>
      <c r="L27" s="462" t="s">
        <v>1726</v>
      </c>
      <c r="M27" s="462" t="s">
        <v>1727</v>
      </c>
      <c r="N27" s="462" t="s">
        <v>1717</v>
      </c>
      <c r="O27" s="462" t="s">
        <v>1718</v>
      </c>
      <c r="P27" s="462" t="s">
        <v>1719</v>
      </c>
      <c r="Q27" s="462" t="s">
        <v>1720</v>
      </c>
      <c r="R27" s="462" t="s">
        <v>1721</v>
      </c>
      <c r="S27" s="462" t="s">
        <v>476</v>
      </c>
      <c r="T27" s="462" t="s">
        <v>1722</v>
      </c>
      <c r="U27" s="462" t="s">
        <v>1723</v>
      </c>
      <c r="V27" s="462" t="s">
        <v>1724</v>
      </c>
      <c r="W27" s="462" t="s">
        <v>1728</v>
      </c>
      <c r="X27" s="462" t="s">
        <v>1726</v>
      </c>
      <c r="Y27" s="462" t="s">
        <v>1727</v>
      </c>
      <c r="Z27" s="462" t="s">
        <v>1717</v>
      </c>
      <c r="AA27" s="462" t="s">
        <v>1718</v>
      </c>
      <c r="AB27" s="462" t="s">
        <v>1719</v>
      </c>
      <c r="AC27" s="462" t="s">
        <v>1720</v>
      </c>
      <c r="AD27" s="462" t="str">
        <f>+AD4</f>
        <v>Apr</v>
      </c>
      <c r="AE27" s="462" t="str">
        <f>+AE4</f>
        <v>May</v>
      </c>
      <c r="AF27" s="462" t="str">
        <f>+AF4</f>
        <v>Jun</v>
      </c>
      <c r="AG27" s="462" t="str">
        <f t="shared" si="65"/>
        <v>Jul</v>
      </c>
      <c r="AH27" s="462" t="str">
        <f t="shared" si="65"/>
        <v>Aug</v>
      </c>
      <c r="AI27" s="462" t="str">
        <f t="shared" si="65"/>
        <v>Sep</v>
      </c>
      <c r="AJ27" s="462" t="str">
        <f t="shared" si="66"/>
        <v>Oct</v>
      </c>
      <c r="AK27" s="462" t="str">
        <f t="shared" si="66"/>
        <v>Nov</v>
      </c>
      <c r="AL27" s="462" t="str">
        <f t="shared" si="66"/>
        <v>Dec</v>
      </c>
      <c r="AM27" s="462" t="str">
        <f t="shared" si="67"/>
        <v>Jan</v>
      </c>
      <c r="AN27" s="462" t="str">
        <f t="shared" si="67"/>
        <v>Feb</v>
      </c>
      <c r="AO27" s="462" t="str">
        <f t="shared" si="67"/>
        <v xml:space="preserve">Mar </v>
      </c>
      <c r="AP27" s="462" t="str">
        <f t="shared" si="68"/>
        <v>Apr</v>
      </c>
      <c r="AQ27" s="462" t="str">
        <f t="shared" si="68"/>
        <v>May</v>
      </c>
      <c r="AR27" s="462" t="str">
        <f t="shared" si="68"/>
        <v>Jun</v>
      </c>
      <c r="AS27" s="462" t="str">
        <f t="shared" si="69"/>
        <v>Jul</v>
      </c>
      <c r="AT27" s="462" t="str">
        <f t="shared" si="69"/>
        <v>Aug</v>
      </c>
      <c r="AU27" s="462" t="str">
        <f t="shared" si="69"/>
        <v>Sep</v>
      </c>
      <c r="AV27" s="462" t="str">
        <f t="shared" si="70"/>
        <v>Oct</v>
      </c>
      <c r="AW27" s="462" t="str">
        <f t="shared" si="70"/>
        <v>Nov</v>
      </c>
      <c r="AX27" s="462" t="str">
        <f t="shared" si="70"/>
        <v>Dec</v>
      </c>
      <c r="AY27" s="462" t="str">
        <f t="shared" si="71"/>
        <v>Jan</v>
      </c>
      <c r="AZ27" s="462" t="str">
        <f t="shared" si="71"/>
        <v>Feb</v>
      </c>
      <c r="BA27" s="462" t="str">
        <f t="shared" si="71"/>
        <v>Mar</v>
      </c>
      <c r="BB27" s="462" t="str">
        <f t="shared" si="71"/>
        <v>Apr</v>
      </c>
      <c r="BC27" s="462" t="str">
        <f t="shared" si="72"/>
        <v>May</v>
      </c>
      <c r="BD27" s="462" t="str">
        <f t="shared" si="72"/>
        <v>Jun</v>
      </c>
      <c r="BE27" s="462" t="str">
        <f t="shared" si="72"/>
        <v>Jul</v>
      </c>
      <c r="BF27" s="462" t="str">
        <f t="shared" si="72"/>
        <v>Aug</v>
      </c>
      <c r="BG27" s="462" t="str">
        <f t="shared" si="72"/>
        <v>Sep</v>
      </c>
      <c r="BH27" s="462" t="str">
        <f t="shared" si="73"/>
        <v>Oct</v>
      </c>
      <c r="BI27" s="462" t="str">
        <f t="shared" si="73"/>
        <v>Nov</v>
      </c>
      <c r="BJ27" s="462" t="str">
        <f t="shared" si="73"/>
        <v>Dec</v>
      </c>
      <c r="BK27" s="462" t="str">
        <f t="shared" si="74"/>
        <v>Jan</v>
      </c>
      <c r="BL27" s="462" t="str">
        <f t="shared" si="74"/>
        <v>Feb</v>
      </c>
      <c r="BM27" s="462" t="str">
        <f t="shared" si="74"/>
        <v>Mar</v>
      </c>
      <c r="BN27" s="462" t="str">
        <f t="shared" si="75"/>
        <v>Apr</v>
      </c>
      <c r="BO27" s="462" t="str">
        <f t="shared" si="75"/>
        <v>May</v>
      </c>
      <c r="BP27" s="462" t="str">
        <f t="shared" si="75"/>
        <v>Jun</v>
      </c>
      <c r="BQ27" s="462" t="str">
        <f t="shared" si="76"/>
        <v>Jul</v>
      </c>
      <c r="BR27" s="462" t="str">
        <f t="shared" si="76"/>
        <v>Aug</v>
      </c>
      <c r="BS27" s="462" t="str">
        <f t="shared" si="76"/>
        <v>Sep</v>
      </c>
      <c r="BT27" s="462" t="str">
        <f t="shared" si="77"/>
        <v>Oct</v>
      </c>
      <c r="BU27" s="462" t="str">
        <f t="shared" si="77"/>
        <v>Nov</v>
      </c>
      <c r="BV27" s="462" t="str">
        <f t="shared" si="77"/>
        <v>Dec</v>
      </c>
      <c r="BW27" s="462" t="str">
        <f t="shared" si="78"/>
        <v>Jan</v>
      </c>
      <c r="BX27" s="462" t="str">
        <f t="shared" si="78"/>
        <v>Feb</v>
      </c>
      <c r="BY27" s="462" t="str">
        <f t="shared" si="78"/>
        <v>Mar</v>
      </c>
      <c r="BZ27" s="462" t="str">
        <f t="shared" si="79"/>
        <v>Apr</v>
      </c>
      <c r="CA27" s="462" t="str">
        <f t="shared" si="79"/>
        <v>May</v>
      </c>
      <c r="CB27" s="462" t="str">
        <f t="shared" si="79"/>
        <v>Jun</v>
      </c>
      <c r="CC27" s="462" t="str">
        <f t="shared" si="80"/>
        <v>Jul</v>
      </c>
      <c r="CD27" s="462" t="str">
        <f t="shared" si="80"/>
        <v>Aug</v>
      </c>
      <c r="CE27" s="462" t="str">
        <f t="shared" si="80"/>
        <v>Sept</v>
      </c>
      <c r="CF27" s="462" t="str">
        <f t="shared" si="81"/>
        <v>Oct</v>
      </c>
      <c r="CG27" s="462" t="str">
        <f t="shared" si="81"/>
        <v>Nov</v>
      </c>
      <c r="CH27" s="462" t="str">
        <f t="shared" si="81"/>
        <v>Dec</v>
      </c>
      <c r="CI27" s="462" t="str">
        <f t="shared" ref="CI27:CK27" si="86">+CI4</f>
        <v>Jan</v>
      </c>
      <c r="CJ27" s="462" t="str">
        <f t="shared" si="86"/>
        <v>Feb</v>
      </c>
      <c r="CK27" s="462" t="str">
        <f t="shared" si="86"/>
        <v>March</v>
      </c>
      <c r="CL27" s="462" t="str">
        <f t="shared" ref="CL27:CN27" si="87">+CL4</f>
        <v>April</v>
      </c>
      <c r="CM27" s="462" t="str">
        <f t="shared" si="87"/>
        <v>May</v>
      </c>
      <c r="CN27" s="462" t="str">
        <f t="shared" si="87"/>
        <v>June</v>
      </c>
      <c r="CO27" s="462" t="str">
        <f t="shared" ref="CO27:CQ27" si="88">+CO4</f>
        <v>July</v>
      </c>
      <c r="CP27" s="462" t="str">
        <f t="shared" si="88"/>
        <v>Aug</v>
      </c>
      <c r="CQ27" s="462" t="str">
        <f t="shared" si="88"/>
        <v>Sept</v>
      </c>
      <c r="CR27" s="462" t="str">
        <f t="shared" ref="CR27:CT27" si="89">+CR4</f>
        <v>Oct</v>
      </c>
      <c r="CS27" s="462" t="str">
        <f t="shared" si="89"/>
        <v>Nov</v>
      </c>
      <c r="CT27" s="462" t="str">
        <f t="shared" si="89"/>
        <v>Dec</v>
      </c>
      <c r="CU27" s="1012" t="s">
        <v>1</v>
      </c>
      <c r="CV27" s="1007" t="s">
        <v>108</v>
      </c>
      <c r="CW27" s="1007" t="s">
        <v>1714</v>
      </c>
      <c r="CX27" s="473"/>
    </row>
    <row r="28" spans="1:103">
      <c r="B28" s="475" t="str">
        <f>+B5</f>
        <v>updated through Sept'22</v>
      </c>
      <c r="CU28" s="935"/>
      <c r="CV28" s="1010"/>
    </row>
    <row r="29" spans="1:103">
      <c r="A29" s="460" t="s">
        <v>2496</v>
      </c>
      <c r="C29" s="467">
        <v>149742.79999999999</v>
      </c>
      <c r="D29" s="467">
        <v>149742.79999999999</v>
      </c>
      <c r="E29" s="467">
        <v>129897.73000000001</v>
      </c>
      <c r="F29" s="467">
        <v>130668.17</v>
      </c>
      <c r="G29" s="467">
        <v>140998.29999999999</v>
      </c>
      <c r="H29" s="467">
        <v>140953.93</v>
      </c>
      <c r="I29" s="467">
        <v>141018.96</v>
      </c>
      <c r="J29" s="467">
        <v>142115.91</v>
      </c>
      <c r="K29" s="467">
        <v>142633.75</v>
      </c>
      <c r="L29" s="467">
        <v>143272.56</v>
      </c>
      <c r="M29" s="467">
        <v>142894.15</v>
      </c>
      <c r="N29" s="467">
        <v>142955.69</v>
      </c>
      <c r="O29" s="465">
        <v>145804.78</v>
      </c>
      <c r="P29" s="465">
        <v>145804.78</v>
      </c>
      <c r="Q29" s="465">
        <v>145804.78</v>
      </c>
      <c r="R29" s="465">
        <v>145726.73000000001</v>
      </c>
      <c r="S29" s="465">
        <v>145726.73000000001</v>
      </c>
      <c r="T29" s="477">
        <v>145726.73000000001</v>
      </c>
      <c r="U29" s="477">
        <v>147686.51</v>
      </c>
      <c r="V29" s="477">
        <v>155289.78</v>
      </c>
      <c r="W29" s="477">
        <v>155296.44999999998</v>
      </c>
      <c r="X29" s="477">
        <v>155458.51999999999</v>
      </c>
      <c r="Y29" s="477">
        <v>156008.22999999998</v>
      </c>
      <c r="Z29" s="477">
        <v>156514.70000000001</v>
      </c>
      <c r="AA29" s="477">
        <v>151559.9</v>
      </c>
      <c r="AB29" s="477">
        <v>151559.9</v>
      </c>
      <c r="AC29" s="477">
        <v>151559.9</v>
      </c>
      <c r="AD29" s="477">
        <v>150887.66</v>
      </c>
      <c r="AE29" s="477">
        <v>150887.66</v>
      </c>
      <c r="AF29" s="477">
        <v>150887.66</v>
      </c>
      <c r="AG29" s="477">
        <v>151196</v>
      </c>
      <c r="AH29" s="477">
        <v>151210.1</v>
      </c>
      <c r="AI29" s="477">
        <v>151555.72</v>
      </c>
      <c r="AJ29" s="477">
        <v>151560.73000000001</v>
      </c>
      <c r="AK29" s="477">
        <v>151560.73000000001</v>
      </c>
      <c r="AL29" s="477">
        <v>151560.73000000001</v>
      </c>
      <c r="AM29" s="477">
        <v>153149.88</v>
      </c>
      <c r="AN29" s="477">
        <v>153151.35</v>
      </c>
      <c r="AO29" s="477">
        <v>153166.49000000002</v>
      </c>
      <c r="AP29" s="477">
        <v>153181.87000000002</v>
      </c>
      <c r="AQ29" s="477">
        <v>153203.80000000002</v>
      </c>
      <c r="AR29" s="477">
        <v>153212.75</v>
      </c>
      <c r="AS29" s="477">
        <v>153434.93000000002</v>
      </c>
      <c r="AT29" s="477">
        <v>155048.07</v>
      </c>
      <c r="AU29" s="477">
        <v>155209.24000000002</v>
      </c>
      <c r="AV29" s="477">
        <v>155396.29</v>
      </c>
      <c r="AW29" s="477">
        <v>159838.99000000002</v>
      </c>
      <c r="AX29" s="477">
        <v>160037.96000000002</v>
      </c>
      <c r="AY29" s="477">
        <v>164417.12</v>
      </c>
      <c r="AZ29" s="477">
        <v>164910.75</v>
      </c>
      <c r="BA29" s="477">
        <v>164778.53</v>
      </c>
      <c r="BB29" s="477">
        <v>164766.03</v>
      </c>
      <c r="BC29" s="477">
        <v>164817.38</v>
      </c>
      <c r="BD29" s="477">
        <v>164934.76999999999</v>
      </c>
      <c r="BE29" s="477">
        <v>164941.4</v>
      </c>
      <c r="BF29" s="477">
        <v>164865.63</v>
      </c>
      <c r="BG29" s="477">
        <v>164932.26999999999</v>
      </c>
      <c r="BH29" s="477">
        <v>171195.69</v>
      </c>
      <c r="BI29" s="477">
        <v>171835.57</v>
      </c>
      <c r="BJ29" s="477">
        <v>172870.61</v>
      </c>
      <c r="BK29" s="477">
        <v>178747.14</v>
      </c>
      <c r="BL29" s="477">
        <v>176610.09</v>
      </c>
      <c r="BM29" s="1009">
        <v>177731.65</v>
      </c>
      <c r="BN29" s="1009">
        <v>177764.36</v>
      </c>
      <c r="BO29" s="1009">
        <v>177778.24</v>
      </c>
      <c r="BP29" s="1009">
        <v>177894.57</v>
      </c>
      <c r="BQ29" s="1009">
        <v>178647.3</v>
      </c>
      <c r="BR29" s="1009">
        <v>178763.14</v>
      </c>
      <c r="BS29" s="1009">
        <v>178731.35</v>
      </c>
      <c r="BT29" s="1009">
        <v>178908.47</v>
      </c>
      <c r="BU29" s="1009">
        <v>269382.26</v>
      </c>
      <c r="BV29" s="1009">
        <v>269802.19</v>
      </c>
      <c r="BW29" s="1009">
        <v>265747.17000000004</v>
      </c>
      <c r="BX29" s="1009">
        <v>265982.07</v>
      </c>
      <c r="BY29" s="1009">
        <v>266314.16000000003</v>
      </c>
      <c r="BZ29" s="1009">
        <v>280502.60000000003</v>
      </c>
      <c r="CA29" s="1009">
        <v>296156.27</v>
      </c>
      <c r="CB29" s="1009">
        <v>297551.17000000004</v>
      </c>
      <c r="CC29" s="1009">
        <v>298991.75</v>
      </c>
      <c r="CD29" s="1009">
        <v>300415.01</v>
      </c>
      <c r="CE29" s="1009">
        <v>300966.79000000004</v>
      </c>
      <c r="CF29" s="1009">
        <v>301122.65000000002</v>
      </c>
      <c r="CG29" s="1009">
        <v>301267.88000000006</v>
      </c>
      <c r="CH29" s="1009">
        <v>301465.25000000006</v>
      </c>
      <c r="CI29" s="1009">
        <v>301576.07</v>
      </c>
      <c r="CJ29" s="1009">
        <v>301811.44000000006</v>
      </c>
      <c r="CK29" s="1009">
        <v>334157.5</v>
      </c>
      <c r="CL29" s="1009">
        <v>334840.67</v>
      </c>
      <c r="CM29" s="1009">
        <v>334958.54000000004</v>
      </c>
      <c r="CN29" s="1009">
        <v>335293.09000000003</v>
      </c>
      <c r="CO29" s="1009">
        <v>334462.71999999997</v>
      </c>
      <c r="CP29" s="1009">
        <v>334585.91000000003</v>
      </c>
      <c r="CQ29" s="1009">
        <v>334568.52</v>
      </c>
      <c r="CR29" s="1009">
        <v>334835.81</v>
      </c>
      <c r="CS29" s="1009">
        <v>334955.51</v>
      </c>
      <c r="CT29" s="1009">
        <v>338474.33999999997</v>
      </c>
      <c r="CU29" s="934">
        <f>SUM(CI29:CT29)</f>
        <v>3954520.12</v>
      </c>
      <c r="CV29" s="1275">
        <v>0</v>
      </c>
      <c r="CW29" s="931">
        <f>CU29*$CV$29</f>
        <v>0</v>
      </c>
      <c r="CX29" s="1277" t="s">
        <v>2937</v>
      </c>
    </row>
    <row r="30" spans="1:103">
      <c r="A30" s="460" t="s">
        <v>2497</v>
      </c>
      <c r="C30" s="467">
        <v>2092.2999999999997</v>
      </c>
      <c r="D30" s="467">
        <v>2092.4</v>
      </c>
      <c r="E30" s="467">
        <v>2093.69</v>
      </c>
      <c r="F30" s="467">
        <v>2093.69</v>
      </c>
      <c r="G30" s="467">
        <v>3062.42</v>
      </c>
      <c r="H30" s="467">
        <v>3063.0199999999995</v>
      </c>
      <c r="I30" s="467">
        <v>3063.0199999999995</v>
      </c>
      <c r="J30" s="467">
        <v>3063.0199999999995</v>
      </c>
      <c r="K30" s="467">
        <v>3063.09</v>
      </c>
      <c r="L30" s="467">
        <v>3063.09</v>
      </c>
      <c r="M30" s="467">
        <v>3063.1800000000003</v>
      </c>
      <c r="N30" s="467">
        <v>3072.7799999999997</v>
      </c>
      <c r="O30" s="465">
        <v>3072.7799999999997</v>
      </c>
      <c r="P30" s="465">
        <v>3073.16</v>
      </c>
      <c r="Q30" s="465">
        <v>3075.7</v>
      </c>
      <c r="R30" s="465">
        <v>3087.1000000000004</v>
      </c>
      <c r="S30" s="465">
        <v>3089.17</v>
      </c>
      <c r="T30" s="477">
        <v>3089.76</v>
      </c>
      <c r="U30" s="477">
        <v>3089.8900000000003</v>
      </c>
      <c r="V30" s="477">
        <v>3089.8900000000003</v>
      </c>
      <c r="W30" s="477">
        <v>3089.8900000000003</v>
      </c>
      <c r="X30" s="477">
        <v>3089.8900000000003</v>
      </c>
      <c r="Y30" s="477">
        <v>4107.8599999999997</v>
      </c>
      <c r="Z30" s="477">
        <v>4111.8999999999996</v>
      </c>
      <c r="AA30" s="477">
        <v>4118.82</v>
      </c>
      <c r="AB30" s="477">
        <v>4119.0099999999993</v>
      </c>
      <c r="AC30" s="477">
        <v>4120.25</v>
      </c>
      <c r="AD30" s="477">
        <v>7200.97</v>
      </c>
      <c r="AE30" s="477">
        <v>6615.31</v>
      </c>
      <c r="AF30" s="477">
        <v>6641.86</v>
      </c>
      <c r="AG30" s="477">
        <v>6641.8599999999988</v>
      </c>
      <c r="AH30" s="477">
        <v>6641.6299999999983</v>
      </c>
      <c r="AI30" s="477">
        <v>6641.6299999999983</v>
      </c>
      <c r="AJ30" s="477">
        <v>6663.5199999999995</v>
      </c>
      <c r="AK30" s="477">
        <v>6755.2699999999995</v>
      </c>
      <c r="AL30" s="477">
        <v>6754.9199999999992</v>
      </c>
      <c r="AM30" s="477">
        <v>6754.9199999999992</v>
      </c>
      <c r="AN30" s="477">
        <v>6756.5599999999986</v>
      </c>
      <c r="AO30" s="477">
        <v>6764.3399999999992</v>
      </c>
      <c r="AP30" s="477">
        <v>7885.7299999999987</v>
      </c>
      <c r="AQ30" s="477">
        <v>8223.3499999999985</v>
      </c>
      <c r="AR30" s="477">
        <v>8231.66</v>
      </c>
      <c r="AS30" s="477">
        <v>7933.7599999999993</v>
      </c>
      <c r="AT30" s="477">
        <v>8272.369999999999</v>
      </c>
      <c r="AU30" s="477">
        <v>8272.7999999999993</v>
      </c>
      <c r="AV30" s="477">
        <v>8272.7999999999993</v>
      </c>
      <c r="AW30" s="477">
        <v>8272.7999999999993</v>
      </c>
      <c r="AX30" s="477">
        <v>8272.74</v>
      </c>
      <c r="AY30" s="477">
        <v>0</v>
      </c>
      <c r="AZ30" s="477">
        <v>0</v>
      </c>
      <c r="BA30" s="477">
        <v>0</v>
      </c>
      <c r="BB30" s="477">
        <v>0</v>
      </c>
      <c r="BC30" s="477">
        <v>0</v>
      </c>
      <c r="BD30" s="477">
        <v>0</v>
      </c>
      <c r="BE30" s="477">
        <v>0</v>
      </c>
      <c r="BF30" s="477">
        <v>0</v>
      </c>
      <c r="BG30" s="477">
        <v>0</v>
      </c>
      <c r="BH30" s="477">
        <v>0</v>
      </c>
      <c r="BI30" s="477">
        <v>0</v>
      </c>
      <c r="BJ30" s="477">
        <v>0</v>
      </c>
      <c r="BK30" s="477">
        <v>0</v>
      </c>
      <c r="BL30" s="477">
        <v>0</v>
      </c>
      <c r="BM30" s="1009">
        <v>0</v>
      </c>
      <c r="BN30" s="1009">
        <v>0</v>
      </c>
      <c r="BO30" s="1009">
        <v>0</v>
      </c>
      <c r="BP30" s="1009">
        <v>0</v>
      </c>
      <c r="BQ30" s="1009">
        <v>0</v>
      </c>
      <c r="BR30" s="1009">
        <v>0</v>
      </c>
      <c r="BS30" s="1009">
        <v>0</v>
      </c>
      <c r="BT30" s="1009">
        <v>0</v>
      </c>
      <c r="BU30" s="1009">
        <v>0</v>
      </c>
      <c r="BV30" s="1009">
        <v>0</v>
      </c>
      <c r="BW30" s="1009">
        <v>0</v>
      </c>
      <c r="BX30" s="1009">
        <v>0</v>
      </c>
      <c r="BY30" s="1009">
        <v>0</v>
      </c>
      <c r="BZ30" s="1009">
        <v>0</v>
      </c>
      <c r="CA30" s="1009">
        <v>0</v>
      </c>
      <c r="CB30" s="1009">
        <v>0</v>
      </c>
      <c r="CC30" s="1009">
        <v>0</v>
      </c>
      <c r="CD30" s="1009">
        <v>0</v>
      </c>
      <c r="CE30" s="1009">
        <v>0</v>
      </c>
      <c r="CF30" s="1009">
        <v>0</v>
      </c>
      <c r="CG30" s="1009">
        <v>0</v>
      </c>
      <c r="CH30" s="1009">
        <v>0</v>
      </c>
      <c r="CI30" s="1009">
        <v>0</v>
      </c>
      <c r="CJ30" s="1009">
        <v>0</v>
      </c>
      <c r="CK30" s="1009">
        <v>0</v>
      </c>
      <c r="CL30" s="1009">
        <v>0</v>
      </c>
      <c r="CM30" s="1009">
        <v>0</v>
      </c>
      <c r="CN30" s="1009">
        <v>0</v>
      </c>
      <c r="CO30" s="1009">
        <v>0</v>
      </c>
      <c r="CP30" s="1009">
        <v>0</v>
      </c>
      <c r="CQ30" s="1009">
        <v>0</v>
      </c>
      <c r="CR30" s="1009">
        <v>0</v>
      </c>
      <c r="CS30" s="1009">
        <v>0</v>
      </c>
      <c r="CT30" s="1009">
        <v>0</v>
      </c>
      <c r="CU30" s="934">
        <f t="shared" ref="CU30:CU33" si="90">SUM(CI30:CT30)</f>
        <v>0</v>
      </c>
      <c r="CV30" s="1275">
        <v>7.7372172730846792E-3</v>
      </c>
      <c r="CW30" s="932">
        <f>CU30*$CV$30</f>
        <v>0</v>
      </c>
      <c r="CX30" s="1277" t="s">
        <v>2937</v>
      </c>
    </row>
    <row r="31" spans="1:103">
      <c r="A31" s="460" t="s">
        <v>2498</v>
      </c>
      <c r="C31" s="467">
        <v>39253.169999999991</v>
      </c>
      <c r="D31" s="467">
        <v>39253.169999999991</v>
      </c>
      <c r="E31" s="467">
        <v>39253.169999999991</v>
      </c>
      <c r="F31" s="467">
        <v>39253.169999999991</v>
      </c>
      <c r="G31" s="467">
        <v>39253.169999999991</v>
      </c>
      <c r="H31" s="467">
        <v>39253.169999999991</v>
      </c>
      <c r="I31" s="467">
        <v>39746.369999999995</v>
      </c>
      <c r="J31" s="467">
        <v>39767.229999999996</v>
      </c>
      <c r="K31" s="467">
        <v>39767.229999999996</v>
      </c>
      <c r="L31" s="467">
        <v>40381.199999999997</v>
      </c>
      <c r="M31" s="467">
        <v>40421.01</v>
      </c>
      <c r="N31" s="467">
        <v>40421.01</v>
      </c>
      <c r="O31" s="465">
        <v>40449.979999999996</v>
      </c>
      <c r="P31" s="465">
        <v>40469.209999999992</v>
      </c>
      <c r="Q31" s="465">
        <v>40551.329999999994</v>
      </c>
      <c r="R31" s="465">
        <v>40551.329999999994</v>
      </c>
      <c r="S31" s="465">
        <v>40551.329999999994</v>
      </c>
      <c r="T31" s="477">
        <v>40566.459999999992</v>
      </c>
      <c r="U31" s="477">
        <v>33853.1</v>
      </c>
      <c r="V31" s="477">
        <v>33909.81</v>
      </c>
      <c r="W31" s="477">
        <v>33909.81</v>
      </c>
      <c r="X31" s="477">
        <v>34057.269999999997</v>
      </c>
      <c r="Y31" s="477">
        <v>34057.269999999997</v>
      </c>
      <c r="Z31" s="477">
        <v>34069.079999999994</v>
      </c>
      <c r="AA31" s="477">
        <v>46039.99</v>
      </c>
      <c r="AB31" s="477">
        <v>46469.37999999999</v>
      </c>
      <c r="AC31" s="477">
        <v>46495.079999999994</v>
      </c>
      <c r="AD31" s="477">
        <v>46743.47</v>
      </c>
      <c r="AE31" s="477">
        <v>46846.26</v>
      </c>
      <c r="AF31" s="477">
        <v>46919.69</v>
      </c>
      <c r="AG31" s="477">
        <v>46974.37999999999</v>
      </c>
      <c r="AH31" s="477">
        <v>46976.579999999987</v>
      </c>
      <c r="AI31" s="477">
        <v>47431.899999999994</v>
      </c>
      <c r="AJ31" s="477">
        <v>47469.49</v>
      </c>
      <c r="AK31" s="477">
        <v>47533.06</v>
      </c>
      <c r="AL31" s="477">
        <v>47645.189999999995</v>
      </c>
      <c r="AM31" s="477">
        <v>47758.409999999996</v>
      </c>
      <c r="AN31" s="477">
        <v>47758.080000000002</v>
      </c>
      <c r="AO31" s="477">
        <v>47757.599999999999</v>
      </c>
      <c r="AP31" s="477">
        <v>47790.209999999992</v>
      </c>
      <c r="AQ31" s="477">
        <v>47801.939999999995</v>
      </c>
      <c r="AR31" s="477">
        <v>47864.73</v>
      </c>
      <c r="AS31" s="477">
        <v>47945.060000000005</v>
      </c>
      <c r="AT31" s="477">
        <v>48429.339999999989</v>
      </c>
      <c r="AU31" s="477">
        <v>48499.669999999991</v>
      </c>
      <c r="AV31" s="477">
        <v>48506.67</v>
      </c>
      <c r="AW31" s="477">
        <v>48539.679999999993</v>
      </c>
      <c r="AX31" s="477">
        <v>48605.619999999995</v>
      </c>
      <c r="AY31" s="477">
        <v>48757.439999999995</v>
      </c>
      <c r="AZ31" s="477">
        <v>48769.839999999989</v>
      </c>
      <c r="BA31" s="477">
        <v>48749.999999999993</v>
      </c>
      <c r="BB31" s="477">
        <v>48821.299999999996</v>
      </c>
      <c r="BC31" s="477">
        <v>49423.939999999988</v>
      </c>
      <c r="BD31" s="477">
        <v>50325.959999999992</v>
      </c>
      <c r="BE31" s="477">
        <v>51233.779999999992</v>
      </c>
      <c r="BF31" s="477">
        <v>51268.209999999992</v>
      </c>
      <c r="BG31" s="477">
        <v>51403.749999999993</v>
      </c>
      <c r="BH31" s="477">
        <v>51731.499999999993</v>
      </c>
      <c r="BI31" s="477">
        <v>51853.19999999999</v>
      </c>
      <c r="BJ31" s="477">
        <v>52019.89999999998</v>
      </c>
      <c r="BK31" s="477">
        <v>52335.969999999987</v>
      </c>
      <c r="BL31" s="477">
        <v>51933.919999999991</v>
      </c>
      <c r="BM31" s="1009">
        <v>51954.44999999999</v>
      </c>
      <c r="BN31" s="1009">
        <v>52176.279999999992</v>
      </c>
      <c r="BO31" s="1009">
        <v>52456.649999999987</v>
      </c>
      <c r="BP31" s="1009">
        <v>52458.619999999988</v>
      </c>
      <c r="BQ31" s="1009">
        <v>52456.139999999992</v>
      </c>
      <c r="BR31" s="1009">
        <v>52556.029999999984</v>
      </c>
      <c r="BS31" s="1009">
        <v>52617.959999999985</v>
      </c>
      <c r="BT31" s="1009">
        <v>52598.119999999988</v>
      </c>
      <c r="BU31" s="1009">
        <v>52612.069999999985</v>
      </c>
      <c r="BV31" s="1009">
        <v>52682.419999999991</v>
      </c>
      <c r="BW31" s="1009">
        <v>59135.299999999996</v>
      </c>
      <c r="BX31" s="1009">
        <v>59160.959999999985</v>
      </c>
      <c r="BY31" s="1009">
        <v>59161.259999999987</v>
      </c>
      <c r="BZ31" s="1009">
        <v>59232.429999999986</v>
      </c>
      <c r="CA31" s="1009">
        <v>59236.709999999985</v>
      </c>
      <c r="CB31" s="1009">
        <v>59233.799999999996</v>
      </c>
      <c r="CC31" s="1009">
        <v>59296.479999999989</v>
      </c>
      <c r="CD31" s="1009">
        <v>59487.669999999991</v>
      </c>
      <c r="CE31" s="1009">
        <v>59770.409999999996</v>
      </c>
      <c r="CF31" s="1009">
        <v>59799.169999999991</v>
      </c>
      <c r="CG31" s="1009">
        <v>60046.229999999989</v>
      </c>
      <c r="CH31" s="1009">
        <v>60065.029999999992</v>
      </c>
      <c r="CI31" s="1009">
        <v>60256.539999999986</v>
      </c>
      <c r="CJ31" s="1009">
        <v>60249.149999999987</v>
      </c>
      <c r="CK31" s="1009">
        <v>60265.799999999996</v>
      </c>
      <c r="CL31" s="1009">
        <v>60268.02</v>
      </c>
      <c r="CM31" s="1009">
        <v>60299.979999999989</v>
      </c>
      <c r="CN31" s="1009">
        <v>60299.979999999989</v>
      </c>
      <c r="CO31" s="1009">
        <v>60513.159999999989</v>
      </c>
      <c r="CP31" s="1009">
        <v>60562.12999999999</v>
      </c>
      <c r="CQ31" s="1009">
        <v>61489.799999999988</v>
      </c>
      <c r="CR31" s="1009">
        <v>61107.919999999991</v>
      </c>
      <c r="CS31" s="1009">
        <v>61182.599999999991</v>
      </c>
      <c r="CT31" s="1009">
        <v>61741.709999999992</v>
      </c>
      <c r="CU31" s="934">
        <f t="shared" si="90"/>
        <v>728236.7899999998</v>
      </c>
      <c r="CV31" s="1275">
        <v>4.7010294398723951E-2</v>
      </c>
      <c r="CW31" s="932">
        <f>CU31*$CV$31</f>
        <v>34234.625889881703</v>
      </c>
      <c r="CX31" s="1277" t="s">
        <v>2937</v>
      </c>
    </row>
    <row r="32" spans="1:103">
      <c r="A32" s="460" t="s">
        <v>2499</v>
      </c>
      <c r="C32" s="467">
        <v>273.64</v>
      </c>
      <c r="D32" s="467">
        <v>273.64</v>
      </c>
      <c r="E32" s="467">
        <v>273.64</v>
      </c>
      <c r="F32" s="467">
        <v>273.64</v>
      </c>
      <c r="G32" s="467">
        <v>273.64</v>
      </c>
      <c r="H32" s="467">
        <v>273.64</v>
      </c>
      <c r="I32" s="467">
        <v>279.54000000000002</v>
      </c>
      <c r="J32" s="467">
        <v>279.54000000000002</v>
      </c>
      <c r="K32" s="467">
        <v>279.54000000000002</v>
      </c>
      <c r="L32" s="467">
        <v>286.57</v>
      </c>
      <c r="M32" s="467">
        <v>286.57</v>
      </c>
      <c r="N32" s="467">
        <v>312.39</v>
      </c>
      <c r="O32" s="465">
        <v>312.39</v>
      </c>
      <c r="P32" s="465">
        <v>312.39</v>
      </c>
      <c r="Q32" s="465">
        <v>312.39</v>
      </c>
      <c r="R32" s="465">
        <v>312.39</v>
      </c>
      <c r="S32" s="465">
        <v>312.39</v>
      </c>
      <c r="T32" s="477">
        <v>312.39</v>
      </c>
      <c r="U32" s="477">
        <v>312.39</v>
      </c>
      <c r="V32" s="477">
        <v>338.21</v>
      </c>
      <c r="W32" s="477">
        <v>338.21</v>
      </c>
      <c r="X32" s="477">
        <v>338.21</v>
      </c>
      <c r="Y32" s="477">
        <v>338.21</v>
      </c>
      <c r="Z32" s="477">
        <v>338.21</v>
      </c>
      <c r="AA32" s="477">
        <v>338.21</v>
      </c>
      <c r="AB32" s="477">
        <v>338.21</v>
      </c>
      <c r="AC32" s="477">
        <v>338.21</v>
      </c>
      <c r="AD32" s="477">
        <v>338.21</v>
      </c>
      <c r="AE32" s="477">
        <v>338.21</v>
      </c>
      <c r="AF32" s="477">
        <v>338.21</v>
      </c>
      <c r="AG32" s="477">
        <v>338.21</v>
      </c>
      <c r="AH32" s="477">
        <v>338.21</v>
      </c>
      <c r="AI32" s="477">
        <v>338.21</v>
      </c>
      <c r="AJ32" s="477">
        <v>338.21</v>
      </c>
      <c r="AK32" s="477">
        <v>338.21</v>
      </c>
      <c r="AL32" s="477">
        <v>338.21</v>
      </c>
      <c r="AM32" s="477">
        <v>338.21</v>
      </c>
      <c r="AN32" s="477">
        <v>338.21</v>
      </c>
      <c r="AO32" s="477">
        <v>338.21</v>
      </c>
      <c r="AP32" s="477">
        <v>338.21</v>
      </c>
      <c r="AQ32" s="477">
        <v>338.21</v>
      </c>
      <c r="AR32" s="477">
        <v>338.21</v>
      </c>
      <c r="AS32" s="477">
        <v>338.21</v>
      </c>
      <c r="AT32" s="477">
        <v>338.21</v>
      </c>
      <c r="AU32" s="477">
        <v>338.21</v>
      </c>
      <c r="AV32" s="477">
        <v>338.21</v>
      </c>
      <c r="AW32" s="477">
        <v>338.21</v>
      </c>
      <c r="AX32" s="477">
        <v>338.21</v>
      </c>
      <c r="AY32" s="477">
        <v>338.21</v>
      </c>
      <c r="AZ32" s="477">
        <v>338.21</v>
      </c>
      <c r="BA32" s="477">
        <v>338.21</v>
      </c>
      <c r="BB32" s="477">
        <v>338.21</v>
      </c>
      <c r="BC32" s="477">
        <v>338.21</v>
      </c>
      <c r="BD32" s="477">
        <v>338.21</v>
      </c>
      <c r="BE32" s="477">
        <v>338.21</v>
      </c>
      <c r="BF32" s="477">
        <v>338.21</v>
      </c>
      <c r="BG32" s="477">
        <v>338.21</v>
      </c>
      <c r="BH32" s="477">
        <v>338.21</v>
      </c>
      <c r="BI32" s="477">
        <v>338.21</v>
      </c>
      <c r="BJ32" s="477">
        <v>338.21</v>
      </c>
      <c r="BK32" s="477">
        <v>338.21</v>
      </c>
      <c r="BL32" s="477">
        <v>338.21</v>
      </c>
      <c r="BM32" s="1009">
        <v>338.21</v>
      </c>
      <c r="BN32" s="1009">
        <v>338.21</v>
      </c>
      <c r="BO32" s="1009">
        <v>338.21</v>
      </c>
      <c r="BP32" s="1009">
        <v>338.21</v>
      </c>
      <c r="BQ32" s="1009">
        <v>338.21</v>
      </c>
      <c r="BR32" s="1009">
        <v>338.21</v>
      </c>
      <c r="BS32" s="1009">
        <v>338.21</v>
      </c>
      <c r="BT32" s="1009">
        <v>338.21</v>
      </c>
      <c r="BU32" s="1009">
        <v>338.21</v>
      </c>
      <c r="BV32" s="1009">
        <v>338.21</v>
      </c>
      <c r="BW32" s="1009">
        <v>335.87</v>
      </c>
      <c r="BX32" s="1009">
        <v>335.87</v>
      </c>
      <c r="BY32" s="1009">
        <v>335.87</v>
      </c>
      <c r="BZ32" s="1009">
        <v>335.87</v>
      </c>
      <c r="CA32" s="1009">
        <v>335.87</v>
      </c>
      <c r="CB32" s="1009">
        <v>335.87</v>
      </c>
      <c r="CC32" s="1009">
        <v>335.87</v>
      </c>
      <c r="CD32" s="1009">
        <v>335.87</v>
      </c>
      <c r="CE32" s="1009">
        <v>335.87</v>
      </c>
      <c r="CF32" s="1009">
        <v>335.87</v>
      </c>
      <c r="CG32" s="1009">
        <v>335.87</v>
      </c>
      <c r="CH32" s="1009">
        <v>335.87</v>
      </c>
      <c r="CI32" s="1009">
        <v>335.87</v>
      </c>
      <c r="CJ32" s="1009">
        <v>335.87</v>
      </c>
      <c r="CK32" s="1009">
        <v>335.87</v>
      </c>
      <c r="CL32" s="1009">
        <v>335.87</v>
      </c>
      <c r="CM32" s="1009">
        <v>335.87</v>
      </c>
      <c r="CN32" s="1009">
        <v>335.87</v>
      </c>
      <c r="CO32" s="1009">
        <v>335.87</v>
      </c>
      <c r="CP32" s="1009">
        <v>335.87</v>
      </c>
      <c r="CQ32" s="1009">
        <v>335.87</v>
      </c>
      <c r="CR32" s="1009">
        <v>335.87</v>
      </c>
      <c r="CS32" s="1009">
        <v>335.87</v>
      </c>
      <c r="CT32" s="1009">
        <v>335.87</v>
      </c>
      <c r="CU32" s="934">
        <f t="shared" si="90"/>
        <v>4030.4399999999991</v>
      </c>
      <c r="CV32" s="1275">
        <v>1.2024472914662654E-2</v>
      </c>
      <c r="CW32" s="932">
        <f>CU32*$CV$32</f>
        <v>48.463916614172938</v>
      </c>
      <c r="CX32" s="1277" t="s">
        <v>2937</v>
      </c>
    </row>
    <row r="33" spans="1:102">
      <c r="A33" s="460" t="s">
        <v>2500</v>
      </c>
      <c r="C33" s="467">
        <v>62812.28</v>
      </c>
      <c r="D33" s="467">
        <v>63272.88</v>
      </c>
      <c r="E33" s="467">
        <v>53544.200000000004</v>
      </c>
      <c r="F33" s="467">
        <v>53544.200000000004</v>
      </c>
      <c r="G33" s="467">
        <v>53676.67</v>
      </c>
      <c r="H33" s="467">
        <v>53676.67</v>
      </c>
      <c r="I33" s="467">
        <v>54284.990000000005</v>
      </c>
      <c r="J33" s="467">
        <v>54476.310000000005</v>
      </c>
      <c r="K33" s="467">
        <v>54470.780000000006</v>
      </c>
      <c r="L33" s="467">
        <v>54493.290000000008</v>
      </c>
      <c r="M33" s="467">
        <v>54627.25</v>
      </c>
      <c r="N33" s="467">
        <v>55027.57</v>
      </c>
      <c r="O33" s="465">
        <v>63351.44</v>
      </c>
      <c r="P33" s="465">
        <v>68753.08</v>
      </c>
      <c r="Q33" s="465">
        <v>68753.08</v>
      </c>
      <c r="R33" s="465">
        <v>68831.13</v>
      </c>
      <c r="S33" s="465">
        <v>68831.13</v>
      </c>
      <c r="T33" s="477">
        <v>68831.13</v>
      </c>
      <c r="U33" s="477">
        <v>72025.84</v>
      </c>
      <c r="V33" s="477">
        <v>71844.849999999991</v>
      </c>
      <c r="W33" s="477">
        <v>71844.849999999991</v>
      </c>
      <c r="X33" s="477">
        <v>71845.55</v>
      </c>
      <c r="Y33" s="477">
        <v>71852.58</v>
      </c>
      <c r="Z33" s="477">
        <v>60184.58</v>
      </c>
      <c r="AA33" s="477">
        <v>53114.259999999995</v>
      </c>
      <c r="AB33" s="477">
        <v>52985.61</v>
      </c>
      <c r="AC33" s="477">
        <v>52985.61</v>
      </c>
      <c r="AD33" s="477">
        <v>41386.199999999997</v>
      </c>
      <c r="AE33" s="477">
        <v>41631.050000000003</v>
      </c>
      <c r="AF33" s="477">
        <v>41806.949999999997</v>
      </c>
      <c r="AG33" s="477">
        <v>41806.949999999997</v>
      </c>
      <c r="AH33" s="477">
        <v>41949.120000000003</v>
      </c>
      <c r="AI33" s="477">
        <v>41966.26</v>
      </c>
      <c r="AJ33" s="477">
        <v>41966.26</v>
      </c>
      <c r="AK33" s="477">
        <v>42017.53</v>
      </c>
      <c r="AL33" s="477">
        <v>42020.639999999999</v>
      </c>
      <c r="AM33" s="477">
        <v>42103.93</v>
      </c>
      <c r="AN33" s="477">
        <v>42259.259999999995</v>
      </c>
      <c r="AO33" s="477">
        <v>43686.869999999995</v>
      </c>
      <c r="AP33" s="477">
        <v>43872.710000000006</v>
      </c>
      <c r="AQ33" s="477">
        <v>43924.670000000006</v>
      </c>
      <c r="AR33" s="477">
        <v>43924.670000000006</v>
      </c>
      <c r="AS33" s="477">
        <v>43941.91</v>
      </c>
      <c r="AT33" s="477">
        <v>43941.91</v>
      </c>
      <c r="AU33" s="477">
        <v>43951.280000000006</v>
      </c>
      <c r="AV33" s="477">
        <v>43951.280000000006</v>
      </c>
      <c r="AW33" s="477">
        <v>43985.060000000005</v>
      </c>
      <c r="AX33" s="477">
        <v>44414.66</v>
      </c>
      <c r="AY33" s="477">
        <v>53347.770000000004</v>
      </c>
      <c r="AZ33" s="477">
        <v>53161.47</v>
      </c>
      <c r="BA33" s="477">
        <v>56973.36</v>
      </c>
      <c r="BB33" s="477">
        <v>57037.48</v>
      </c>
      <c r="BC33" s="477">
        <v>57398.42</v>
      </c>
      <c r="BD33" s="477">
        <v>57732.63</v>
      </c>
      <c r="BE33" s="477">
        <v>57732.63</v>
      </c>
      <c r="BF33" s="477">
        <v>57720.58</v>
      </c>
      <c r="BG33" s="477">
        <v>57891.32</v>
      </c>
      <c r="BH33" s="477">
        <v>57947.170000000006</v>
      </c>
      <c r="BI33" s="477">
        <v>59366.6</v>
      </c>
      <c r="BJ33" s="477">
        <v>59407.729999999996</v>
      </c>
      <c r="BK33" s="477">
        <v>67928.710000000006</v>
      </c>
      <c r="BL33" s="477">
        <v>67576.540000000008</v>
      </c>
      <c r="BM33" s="1009">
        <v>70305.759999999995</v>
      </c>
      <c r="BN33" s="1009">
        <v>70920.88</v>
      </c>
      <c r="BO33" s="1009">
        <v>71107.22</v>
      </c>
      <c r="BP33" s="1009">
        <v>71334.460000000006</v>
      </c>
      <c r="BQ33" s="1009">
        <v>72399.25</v>
      </c>
      <c r="BR33" s="1009">
        <v>72558.710000000006</v>
      </c>
      <c r="BS33" s="1009">
        <v>72520.39</v>
      </c>
      <c r="BT33" s="1009">
        <v>72811.47</v>
      </c>
      <c r="BU33" s="1009">
        <v>73583.150000000009</v>
      </c>
      <c r="BV33" s="1009">
        <v>73623.199999999997</v>
      </c>
      <c r="BW33" s="1009">
        <v>66415.310000000012</v>
      </c>
      <c r="BX33" s="1009">
        <v>66427.850000000006</v>
      </c>
      <c r="BY33" s="1009">
        <v>46849.66</v>
      </c>
      <c r="BZ33" s="1009">
        <v>46849.66</v>
      </c>
      <c r="CA33" s="1009">
        <v>46853.59</v>
      </c>
      <c r="CB33" s="1009">
        <v>46853.59</v>
      </c>
      <c r="CC33" s="1009">
        <v>46853.59</v>
      </c>
      <c r="CD33" s="1009">
        <v>46839.079999999994</v>
      </c>
      <c r="CE33" s="1009">
        <v>47035.439999999995</v>
      </c>
      <c r="CF33" s="1009">
        <v>47035.439999999995</v>
      </c>
      <c r="CG33" s="1009">
        <v>47107.329999999994</v>
      </c>
      <c r="CH33" s="1009">
        <v>47108.89</v>
      </c>
      <c r="CI33" s="1009">
        <v>47110.42</v>
      </c>
      <c r="CJ33" s="1009">
        <v>47111.98</v>
      </c>
      <c r="CK33" s="1009">
        <v>47113.53</v>
      </c>
      <c r="CL33" s="1009">
        <v>47115.079999999994</v>
      </c>
      <c r="CM33" s="1009">
        <v>47348.18</v>
      </c>
      <c r="CN33" s="1009">
        <v>47349.750000000007</v>
      </c>
      <c r="CO33" s="1009">
        <v>47385.33</v>
      </c>
      <c r="CP33" s="1009">
        <v>47549.42</v>
      </c>
      <c r="CQ33" s="1009">
        <v>47650.540000000008</v>
      </c>
      <c r="CR33" s="1009">
        <v>47710.62</v>
      </c>
      <c r="CS33" s="1009">
        <v>47843.03</v>
      </c>
      <c r="CT33" s="1009">
        <v>47884.240000000005</v>
      </c>
      <c r="CU33" s="934">
        <f t="shared" si="90"/>
        <v>569172.12</v>
      </c>
      <c r="CV33" s="1275">
        <v>8.6395508002659032E-3</v>
      </c>
      <c r="CW33" s="1008">
        <f>CU33*$CV$33</f>
        <v>4917.3914448350406</v>
      </c>
      <c r="CX33" s="1277" t="s">
        <v>2937</v>
      </c>
    </row>
    <row r="34" spans="1:102" ht="15.75" thickBot="1">
      <c r="C34" s="466">
        <f>SUM(C29:C33)</f>
        <v>254174.18999999997</v>
      </c>
      <c r="D34" s="466">
        <f t="shared" ref="D34:Z34" si="91">SUM(D29:D33)</f>
        <v>254634.88999999998</v>
      </c>
      <c r="E34" s="466">
        <f t="shared" si="91"/>
        <v>225062.43000000002</v>
      </c>
      <c r="F34" s="466">
        <f t="shared" si="91"/>
        <v>225832.87</v>
      </c>
      <c r="G34" s="466">
        <f t="shared" si="91"/>
        <v>237264.2</v>
      </c>
      <c r="H34" s="466">
        <f t="shared" si="91"/>
        <v>237220.43</v>
      </c>
      <c r="I34" s="466">
        <f t="shared" si="91"/>
        <v>238392.88</v>
      </c>
      <c r="J34" s="466">
        <f t="shared" si="91"/>
        <v>239702.00999999998</v>
      </c>
      <c r="K34" s="466">
        <f t="shared" si="91"/>
        <v>240214.39</v>
      </c>
      <c r="L34" s="466">
        <f t="shared" si="91"/>
        <v>241496.71</v>
      </c>
      <c r="M34" s="466">
        <f t="shared" si="91"/>
        <v>241292.16</v>
      </c>
      <c r="N34" s="466">
        <f t="shared" si="91"/>
        <v>241789.44000000003</v>
      </c>
      <c r="O34" s="466">
        <f t="shared" si="91"/>
        <v>252991.37</v>
      </c>
      <c r="P34" s="466">
        <f t="shared" si="91"/>
        <v>258412.62</v>
      </c>
      <c r="Q34" s="466">
        <f t="shared" si="91"/>
        <v>258497.28000000003</v>
      </c>
      <c r="R34" s="466">
        <f t="shared" si="91"/>
        <v>258508.68000000002</v>
      </c>
      <c r="S34" s="466">
        <f t="shared" si="91"/>
        <v>258510.75000000003</v>
      </c>
      <c r="T34" s="466">
        <f t="shared" si="91"/>
        <v>258526.47000000003</v>
      </c>
      <c r="U34" s="466">
        <f t="shared" si="91"/>
        <v>256967.73000000004</v>
      </c>
      <c r="V34" s="466">
        <f t="shared" si="91"/>
        <v>264472.53999999998</v>
      </c>
      <c r="W34" s="466">
        <f t="shared" si="91"/>
        <v>264479.20999999996</v>
      </c>
      <c r="X34" s="466">
        <f t="shared" si="91"/>
        <v>264789.44</v>
      </c>
      <c r="Y34" s="466">
        <f t="shared" si="91"/>
        <v>266364.14999999997</v>
      </c>
      <c r="Z34" s="466">
        <f t="shared" si="91"/>
        <v>255218.46999999997</v>
      </c>
      <c r="AA34" s="466">
        <f t="shared" ref="AA34:AF34" si="92">SUM(AA29:AA33)</f>
        <v>255171.18</v>
      </c>
      <c r="AB34" s="466">
        <f t="shared" si="92"/>
        <v>255472.11</v>
      </c>
      <c r="AC34" s="466">
        <f t="shared" si="92"/>
        <v>255499.05</v>
      </c>
      <c r="AD34" s="466">
        <f t="shared" si="92"/>
        <v>246556.51</v>
      </c>
      <c r="AE34" s="466">
        <f t="shared" si="92"/>
        <v>246318.49</v>
      </c>
      <c r="AF34" s="466">
        <f t="shared" si="92"/>
        <v>246594.37</v>
      </c>
      <c r="AG34" s="466">
        <f t="shared" ref="AG34:AL34" si="93">SUM(AG29:AG33)</f>
        <v>246957.39999999997</v>
      </c>
      <c r="AH34" s="466">
        <f t="shared" si="93"/>
        <v>247115.63999999998</v>
      </c>
      <c r="AI34" s="466">
        <f t="shared" si="93"/>
        <v>247933.72</v>
      </c>
      <c r="AJ34" s="466">
        <f t="shared" si="93"/>
        <v>247998.21</v>
      </c>
      <c r="AK34" s="466">
        <f t="shared" si="93"/>
        <v>248204.79999999999</v>
      </c>
      <c r="AL34" s="466">
        <f t="shared" si="93"/>
        <v>248319.69</v>
      </c>
      <c r="AM34" s="466">
        <f t="shared" ref="AM34:AR34" si="94">SUM(AM29:AM33)</f>
        <v>250105.35</v>
      </c>
      <c r="AN34" s="466">
        <f t="shared" si="94"/>
        <v>250263.45999999996</v>
      </c>
      <c r="AO34" s="466">
        <f t="shared" si="94"/>
        <v>251713.51</v>
      </c>
      <c r="AP34" s="466">
        <f t="shared" si="94"/>
        <v>253068.73000000004</v>
      </c>
      <c r="AQ34" s="466">
        <f t="shared" si="94"/>
        <v>253491.97000000003</v>
      </c>
      <c r="AR34" s="466">
        <f t="shared" si="94"/>
        <v>253572.02000000002</v>
      </c>
      <c r="AS34" s="466">
        <f t="shared" ref="AS34:AX34" si="95">SUM(AS29:AS33)</f>
        <v>253593.87000000002</v>
      </c>
      <c r="AT34" s="466">
        <f t="shared" si="95"/>
        <v>256029.9</v>
      </c>
      <c r="AU34" s="466">
        <f t="shared" si="95"/>
        <v>256271.19999999998</v>
      </c>
      <c r="AV34" s="466">
        <f t="shared" si="95"/>
        <v>256465.25</v>
      </c>
      <c r="AW34" s="466">
        <f t="shared" si="95"/>
        <v>260974.74</v>
      </c>
      <c r="AX34" s="466">
        <f t="shared" si="95"/>
        <v>261669.19</v>
      </c>
      <c r="AY34" s="466">
        <f t="shared" ref="AY34:BD34" si="96">SUM(AY29:AY33)</f>
        <v>266860.53999999998</v>
      </c>
      <c r="AZ34" s="466">
        <f t="shared" si="96"/>
        <v>267180.27</v>
      </c>
      <c r="BA34" s="466">
        <f t="shared" si="96"/>
        <v>270840.09999999998</v>
      </c>
      <c r="BB34" s="466">
        <f t="shared" si="96"/>
        <v>270963.01999999996</v>
      </c>
      <c r="BC34" s="466">
        <f t="shared" si="96"/>
        <v>271977.95</v>
      </c>
      <c r="BD34" s="466">
        <f t="shared" si="96"/>
        <v>273331.56999999995</v>
      </c>
      <c r="BE34" s="466">
        <f t="shared" ref="BE34:BJ34" si="97">SUM(BE29:BE33)</f>
        <v>274246.01999999996</v>
      </c>
      <c r="BF34" s="466">
        <f t="shared" si="97"/>
        <v>274192.63</v>
      </c>
      <c r="BG34" s="466">
        <f t="shared" si="97"/>
        <v>274565.55</v>
      </c>
      <c r="BH34" s="466">
        <f t="shared" si="97"/>
        <v>281212.57</v>
      </c>
      <c r="BI34" s="466">
        <f t="shared" si="97"/>
        <v>283393.57999999996</v>
      </c>
      <c r="BJ34" s="466">
        <f t="shared" si="97"/>
        <v>284636.44999999995</v>
      </c>
      <c r="BK34" s="466">
        <f t="shared" ref="BK34:BP34" si="98">SUM(BK29:BK33)</f>
        <v>299350.02999999997</v>
      </c>
      <c r="BL34" s="466">
        <f t="shared" si="98"/>
        <v>296458.76</v>
      </c>
      <c r="BM34" s="1013">
        <f t="shared" si="98"/>
        <v>300330.06999999995</v>
      </c>
      <c r="BN34" s="1013">
        <f t="shared" si="98"/>
        <v>301199.73</v>
      </c>
      <c r="BO34" s="1013">
        <f t="shared" si="98"/>
        <v>301680.31999999995</v>
      </c>
      <c r="BP34" s="1013">
        <f t="shared" si="98"/>
        <v>302025.86</v>
      </c>
      <c r="BQ34" s="1013">
        <f t="shared" ref="BQ34:BV34" si="99">SUM(BQ29:BQ33)</f>
        <v>303840.89999999997</v>
      </c>
      <c r="BR34" s="1013">
        <f t="shared" si="99"/>
        <v>304216.08999999997</v>
      </c>
      <c r="BS34" s="1013">
        <f t="shared" si="99"/>
        <v>304207.90999999997</v>
      </c>
      <c r="BT34" s="1013">
        <f t="shared" si="99"/>
        <v>304656.27</v>
      </c>
      <c r="BU34" s="1013">
        <f t="shared" si="99"/>
        <v>395915.69000000006</v>
      </c>
      <c r="BV34" s="1013">
        <f t="shared" si="99"/>
        <v>396446.02</v>
      </c>
      <c r="BW34" s="1013">
        <f t="shared" ref="BW34:CB34" si="100">SUM(BW29:BW33)</f>
        <v>391633.65</v>
      </c>
      <c r="BX34" s="1013">
        <f t="shared" si="100"/>
        <v>391906.75</v>
      </c>
      <c r="BY34" s="1013">
        <f t="shared" si="100"/>
        <v>372660.95000000007</v>
      </c>
      <c r="BZ34" s="1013">
        <f t="shared" si="100"/>
        <v>386920.56000000006</v>
      </c>
      <c r="CA34" s="1013">
        <f t="shared" si="100"/>
        <v>402582.43999999994</v>
      </c>
      <c r="CB34" s="1013">
        <f t="shared" si="100"/>
        <v>403974.43000000005</v>
      </c>
      <c r="CC34" s="1013">
        <f t="shared" ref="CC34:CU34" si="101">SUM(CC29:CC33)</f>
        <v>405477.68999999994</v>
      </c>
      <c r="CD34" s="1013">
        <f t="shared" si="101"/>
        <v>407077.63</v>
      </c>
      <c r="CE34" s="1013">
        <f t="shared" si="101"/>
        <v>408108.51</v>
      </c>
      <c r="CF34" s="1013">
        <f t="shared" si="101"/>
        <v>408293.13</v>
      </c>
      <c r="CG34" s="1013">
        <f t="shared" si="101"/>
        <v>408757.31000000006</v>
      </c>
      <c r="CH34" s="1013">
        <f t="shared" si="101"/>
        <v>408975.04000000004</v>
      </c>
      <c r="CI34" s="1013">
        <f t="shared" ref="CI34:CK34" si="102">SUM(CI29:CI33)</f>
        <v>409278.89999999997</v>
      </c>
      <c r="CJ34" s="1013">
        <f t="shared" si="102"/>
        <v>409508.44</v>
      </c>
      <c r="CK34" s="1013">
        <f t="shared" si="102"/>
        <v>441872.69999999995</v>
      </c>
      <c r="CL34" s="1013">
        <f t="shared" ref="CL34:CN34" si="103">SUM(CL29:CL33)</f>
        <v>442559.64</v>
      </c>
      <c r="CM34" s="1013">
        <f t="shared" si="103"/>
        <v>442942.57</v>
      </c>
      <c r="CN34" s="1013">
        <f t="shared" si="103"/>
        <v>443278.69</v>
      </c>
      <c r="CO34" s="1013">
        <f t="shared" ref="CO34:CQ34" si="104">SUM(CO29:CO33)</f>
        <v>442697.07999999996</v>
      </c>
      <c r="CP34" s="1013">
        <f t="shared" si="104"/>
        <v>443033.33</v>
      </c>
      <c r="CQ34" s="1013">
        <f t="shared" si="104"/>
        <v>444044.73</v>
      </c>
      <c r="CR34" s="1013">
        <f t="shared" ref="CR34:CT34" si="105">SUM(CR29:CR33)</f>
        <v>443990.22</v>
      </c>
      <c r="CS34" s="1013">
        <f t="shared" si="105"/>
        <v>444317.01</v>
      </c>
      <c r="CT34" s="1013">
        <f t="shared" si="105"/>
        <v>448436.15999999992</v>
      </c>
      <c r="CU34" s="1014">
        <f t="shared" si="101"/>
        <v>5255959.4700000007</v>
      </c>
      <c r="CW34" s="1017">
        <f>SUM(CW29:CW33)</f>
        <v>39200.481251330915</v>
      </c>
      <c r="CX34" s="474"/>
    </row>
    <row r="35" spans="1:102" ht="13.5" thickTop="1">
      <c r="A35" s="460" t="s">
        <v>1762</v>
      </c>
      <c r="CU35" s="935"/>
    </row>
    <row r="36" spans="1:102">
      <c r="CU36" s="935"/>
    </row>
    <row r="37" spans="1:102">
      <c r="A37" s="1005"/>
      <c r="B37" s="1005"/>
      <c r="C37" s="461">
        <v>2015</v>
      </c>
      <c r="D37" s="461">
        <v>2015</v>
      </c>
      <c r="E37" s="461">
        <v>2015</v>
      </c>
      <c r="F37" s="461">
        <v>2015</v>
      </c>
      <c r="G37" s="461">
        <v>2015</v>
      </c>
      <c r="H37" s="461">
        <v>2015</v>
      </c>
      <c r="I37" s="461">
        <v>2015</v>
      </c>
      <c r="J37" s="461">
        <v>2015</v>
      </c>
      <c r="K37" s="461">
        <v>2015</v>
      </c>
      <c r="L37" s="461">
        <v>2015</v>
      </c>
      <c r="M37" s="461">
        <v>2015</v>
      </c>
      <c r="N37" s="461">
        <v>2015</v>
      </c>
      <c r="O37" s="461">
        <v>2016</v>
      </c>
      <c r="P37" s="461">
        <v>2016</v>
      </c>
      <c r="Q37" s="461">
        <v>2016</v>
      </c>
      <c r="R37" s="461">
        <v>2016</v>
      </c>
      <c r="S37" s="461">
        <v>2016</v>
      </c>
      <c r="T37" s="461">
        <v>2016</v>
      </c>
      <c r="U37" s="461">
        <v>2016</v>
      </c>
      <c r="V37" s="461">
        <v>2016</v>
      </c>
      <c r="W37" s="461">
        <v>2016</v>
      </c>
      <c r="X37" s="461">
        <v>2016</v>
      </c>
      <c r="Y37" s="461">
        <v>2016</v>
      </c>
      <c r="Z37" s="461">
        <v>2016</v>
      </c>
      <c r="AA37" s="461">
        <v>2017</v>
      </c>
      <c r="AB37" s="461">
        <v>2017</v>
      </c>
      <c r="AC37" s="461">
        <v>2017</v>
      </c>
      <c r="AD37" s="461">
        <v>2017</v>
      </c>
      <c r="AE37" s="461">
        <v>2017</v>
      </c>
      <c r="AF37" s="461">
        <v>2017</v>
      </c>
      <c r="AG37" s="461">
        <v>2017</v>
      </c>
      <c r="AH37" s="461">
        <v>2017</v>
      </c>
      <c r="AI37" s="461">
        <v>2017</v>
      </c>
      <c r="AJ37" s="461">
        <v>2017</v>
      </c>
      <c r="AK37" s="461">
        <v>2017</v>
      </c>
      <c r="AL37" s="461">
        <v>2017</v>
      </c>
      <c r="AM37" s="461">
        <v>2018</v>
      </c>
      <c r="AN37" s="461">
        <v>2018</v>
      </c>
      <c r="AO37" s="461">
        <v>2018</v>
      </c>
      <c r="AP37" s="461">
        <v>2018</v>
      </c>
      <c r="AQ37" s="461">
        <v>2018</v>
      </c>
      <c r="AR37" s="461">
        <v>2018</v>
      </c>
      <c r="AS37" s="461">
        <v>2018</v>
      </c>
      <c r="AT37" s="461">
        <v>2018</v>
      </c>
      <c r="AU37" s="461">
        <v>2018</v>
      </c>
      <c r="AV37" s="461">
        <v>2018</v>
      </c>
      <c r="AW37" s="461">
        <v>2018</v>
      </c>
      <c r="AX37" s="461">
        <v>2018</v>
      </c>
      <c r="AY37" s="461">
        <v>2019</v>
      </c>
      <c r="AZ37" s="461">
        <v>2019</v>
      </c>
      <c r="BA37" s="461">
        <v>2019</v>
      </c>
      <c r="BB37" s="461">
        <v>2019</v>
      </c>
      <c r="BC37" s="461">
        <v>2019</v>
      </c>
      <c r="BD37" s="461">
        <v>2019</v>
      </c>
      <c r="BE37" s="461">
        <v>2019</v>
      </c>
      <c r="BF37" s="461">
        <v>2019</v>
      </c>
      <c r="BG37" s="461">
        <v>2019</v>
      </c>
      <c r="BH37" s="461">
        <v>2019</v>
      </c>
      <c r="BI37" s="461">
        <v>2019</v>
      </c>
      <c r="BJ37" s="461">
        <v>2019</v>
      </c>
      <c r="BK37" s="461" t="str">
        <f t="shared" ref="BK37:BM38" si="106">+BK26</f>
        <v>2020</v>
      </c>
      <c r="BL37" s="461" t="str">
        <f t="shared" si="106"/>
        <v>2020</v>
      </c>
      <c r="BM37" s="461" t="str">
        <f t="shared" si="106"/>
        <v>2020</v>
      </c>
      <c r="BN37" s="461" t="str">
        <f t="shared" ref="BN37:BP38" si="107">+BN26</f>
        <v>2020</v>
      </c>
      <c r="BO37" s="461" t="str">
        <f t="shared" si="107"/>
        <v>2020</v>
      </c>
      <c r="BP37" s="461" t="str">
        <f t="shared" si="107"/>
        <v>2020</v>
      </c>
      <c r="BQ37" s="461" t="str">
        <f t="shared" ref="BQ37:BS38" si="108">+BQ26</f>
        <v>2020</v>
      </c>
      <c r="BR37" s="461" t="str">
        <f t="shared" si="108"/>
        <v>2020</v>
      </c>
      <c r="BS37" s="461" t="str">
        <f t="shared" si="108"/>
        <v>2020</v>
      </c>
      <c r="BT37" s="461" t="str">
        <f t="shared" ref="BT37:BV38" si="109">+BT26</f>
        <v>2020</v>
      </c>
      <c r="BU37" s="461" t="str">
        <f t="shared" si="109"/>
        <v>2020</v>
      </c>
      <c r="BV37" s="461" t="str">
        <f t="shared" si="109"/>
        <v>2020</v>
      </c>
      <c r="BW37" s="461">
        <f t="shared" ref="BW37:BY38" si="110">+BW26</f>
        <v>2021</v>
      </c>
      <c r="BX37" s="461">
        <f t="shared" si="110"/>
        <v>2021</v>
      </c>
      <c r="BY37" s="461">
        <f t="shared" si="110"/>
        <v>2021</v>
      </c>
      <c r="BZ37" s="461">
        <f t="shared" ref="BZ37:CB38" si="111">+BZ26</f>
        <v>2021</v>
      </c>
      <c r="CA37" s="461">
        <f t="shared" si="111"/>
        <v>2021</v>
      </c>
      <c r="CB37" s="461">
        <f t="shared" si="111"/>
        <v>2021</v>
      </c>
      <c r="CC37" s="461">
        <f t="shared" ref="CC37:CE38" si="112">+CC26</f>
        <v>2021</v>
      </c>
      <c r="CD37" s="461">
        <f t="shared" si="112"/>
        <v>2021</v>
      </c>
      <c r="CE37" s="461">
        <f t="shared" si="112"/>
        <v>2021</v>
      </c>
      <c r="CF37" s="461">
        <f t="shared" ref="CF37:CH38" si="113">+CF26</f>
        <v>2021</v>
      </c>
      <c r="CG37" s="461">
        <f t="shared" si="113"/>
        <v>2021</v>
      </c>
      <c r="CH37" s="461">
        <f t="shared" si="113"/>
        <v>2021</v>
      </c>
      <c r="CI37" s="461">
        <f t="shared" ref="CI37:CK37" si="114">+CI26</f>
        <v>2022</v>
      </c>
      <c r="CJ37" s="461">
        <f t="shared" si="114"/>
        <v>2022</v>
      </c>
      <c r="CK37" s="461">
        <f t="shared" si="114"/>
        <v>2022</v>
      </c>
      <c r="CL37" s="461">
        <f t="shared" ref="CL37:CN37" si="115">+CL26</f>
        <v>2022</v>
      </c>
      <c r="CM37" s="461">
        <f t="shared" si="115"/>
        <v>2022</v>
      </c>
      <c r="CN37" s="461">
        <f t="shared" si="115"/>
        <v>2022</v>
      </c>
      <c r="CO37" s="461">
        <f t="shared" ref="CO37:CQ37" si="116">+CO26</f>
        <v>2022</v>
      </c>
      <c r="CP37" s="461">
        <f t="shared" si="116"/>
        <v>2022</v>
      </c>
      <c r="CQ37" s="461">
        <f t="shared" si="116"/>
        <v>2022</v>
      </c>
      <c r="CR37" s="461">
        <f t="shared" ref="CR37:CT37" si="117">+CR26</f>
        <v>2022</v>
      </c>
      <c r="CS37" s="461">
        <f t="shared" si="117"/>
        <v>2022</v>
      </c>
      <c r="CT37" s="461">
        <f t="shared" si="117"/>
        <v>2022</v>
      </c>
      <c r="CU37" s="1011" t="s">
        <v>1713</v>
      </c>
      <c r="CV37" s="1005" t="str">
        <f>+CX3</f>
        <v>YEAR-END</v>
      </c>
    </row>
    <row r="38" spans="1:102">
      <c r="A38" s="1006" t="s">
        <v>2326</v>
      </c>
      <c r="B38" s="1007"/>
      <c r="C38" s="462" t="s">
        <v>1718</v>
      </c>
      <c r="D38" s="462" t="s">
        <v>1719</v>
      </c>
      <c r="E38" s="462" t="s">
        <v>1720</v>
      </c>
      <c r="F38" s="462" t="s">
        <v>1721</v>
      </c>
      <c r="G38" s="462" t="s">
        <v>476</v>
      </c>
      <c r="H38" s="462" t="s">
        <v>1722</v>
      </c>
      <c r="I38" s="462" t="s">
        <v>1723</v>
      </c>
      <c r="J38" s="462" t="s">
        <v>1724</v>
      </c>
      <c r="K38" s="462" t="s">
        <v>1725</v>
      </c>
      <c r="L38" s="462" t="s">
        <v>1726</v>
      </c>
      <c r="M38" s="462" t="s">
        <v>1727</v>
      </c>
      <c r="N38" s="462" t="s">
        <v>1717</v>
      </c>
      <c r="O38" s="462" t="s">
        <v>1718</v>
      </c>
      <c r="P38" s="462" t="s">
        <v>1719</v>
      </c>
      <c r="Q38" s="462" t="s">
        <v>1720</v>
      </c>
      <c r="R38" s="462" t="s">
        <v>1721</v>
      </c>
      <c r="S38" s="462" t="s">
        <v>476</v>
      </c>
      <c r="T38" s="462" t="s">
        <v>1722</v>
      </c>
      <c r="U38" s="462" t="s">
        <v>1723</v>
      </c>
      <c r="V38" s="462" t="s">
        <v>1724</v>
      </c>
      <c r="W38" s="462" t="s">
        <v>1728</v>
      </c>
      <c r="X38" s="462" t="s">
        <v>1726</v>
      </c>
      <c r="Y38" s="462" t="s">
        <v>1727</v>
      </c>
      <c r="Z38" s="462" t="s">
        <v>1717</v>
      </c>
      <c r="AA38" s="462" t="s">
        <v>1718</v>
      </c>
      <c r="AB38" s="462" t="s">
        <v>1719</v>
      </c>
      <c r="AC38" s="462" t="s">
        <v>1720</v>
      </c>
      <c r="AD38" s="462" t="s">
        <v>1721</v>
      </c>
      <c r="AE38" s="462" t="s">
        <v>476</v>
      </c>
      <c r="AF38" s="462" t="s">
        <v>1722</v>
      </c>
      <c r="AG38" s="462" t="s">
        <v>1723</v>
      </c>
      <c r="AH38" s="462" t="s">
        <v>1724</v>
      </c>
      <c r="AI38" s="462" t="s">
        <v>1728</v>
      </c>
      <c r="AJ38" s="462" t="s">
        <v>1726</v>
      </c>
      <c r="AK38" s="462" t="s">
        <v>1727</v>
      </c>
      <c r="AL38" s="462" t="s">
        <v>1717</v>
      </c>
      <c r="AM38" s="462" t="s">
        <v>1718</v>
      </c>
      <c r="AN38" s="462" t="s">
        <v>1719</v>
      </c>
      <c r="AO38" s="462" t="s">
        <v>1720</v>
      </c>
      <c r="AP38" s="462" t="s">
        <v>1721</v>
      </c>
      <c r="AQ38" s="462" t="s">
        <v>476</v>
      </c>
      <c r="AR38" s="462" t="s">
        <v>1722</v>
      </c>
      <c r="AS38" s="462" t="s">
        <v>1723</v>
      </c>
      <c r="AT38" s="462" t="s">
        <v>1724</v>
      </c>
      <c r="AU38" s="462" t="s">
        <v>1728</v>
      </c>
      <c r="AV38" s="462" t="s">
        <v>1726</v>
      </c>
      <c r="AW38" s="462" t="s">
        <v>1727</v>
      </c>
      <c r="AX38" s="462" t="s">
        <v>1717</v>
      </c>
      <c r="AY38" s="462" t="s">
        <v>1718</v>
      </c>
      <c r="AZ38" s="462" t="s">
        <v>1719</v>
      </c>
      <c r="BA38" s="462" t="s">
        <v>1720</v>
      </c>
      <c r="BB38" s="462" t="s">
        <v>1721</v>
      </c>
      <c r="BC38" s="462" t="s">
        <v>476</v>
      </c>
      <c r="BD38" s="462" t="s">
        <v>1722</v>
      </c>
      <c r="BE38" s="462" t="s">
        <v>1723</v>
      </c>
      <c r="BF38" s="462" t="s">
        <v>1724</v>
      </c>
      <c r="BG38" s="462" t="s">
        <v>1725</v>
      </c>
      <c r="BH38" s="462" t="s">
        <v>1726</v>
      </c>
      <c r="BI38" s="462" t="s">
        <v>1727</v>
      </c>
      <c r="BJ38" s="462" t="s">
        <v>1717</v>
      </c>
      <c r="BK38" s="462" t="str">
        <f t="shared" si="106"/>
        <v>Jan</v>
      </c>
      <c r="BL38" s="462" t="str">
        <f t="shared" si="106"/>
        <v>Feb</v>
      </c>
      <c r="BM38" s="462" t="str">
        <f t="shared" si="106"/>
        <v>Mar</v>
      </c>
      <c r="BN38" s="462" t="str">
        <f t="shared" si="107"/>
        <v>Apr</v>
      </c>
      <c r="BO38" s="462" t="str">
        <f t="shared" si="107"/>
        <v>May</v>
      </c>
      <c r="BP38" s="462" t="str">
        <f t="shared" si="107"/>
        <v>Jun</v>
      </c>
      <c r="BQ38" s="462" t="str">
        <f t="shared" si="108"/>
        <v>Jul</v>
      </c>
      <c r="BR38" s="462" t="str">
        <f t="shared" si="108"/>
        <v>Aug</v>
      </c>
      <c r="BS38" s="462" t="str">
        <f t="shared" si="108"/>
        <v>Sep</v>
      </c>
      <c r="BT38" s="462" t="str">
        <f t="shared" si="109"/>
        <v>Oct</v>
      </c>
      <c r="BU38" s="462" t="str">
        <f t="shared" si="109"/>
        <v>Nov</v>
      </c>
      <c r="BV38" s="462" t="str">
        <f t="shared" si="109"/>
        <v>Dec</v>
      </c>
      <c r="BW38" s="462" t="str">
        <f t="shared" si="110"/>
        <v>Jan</v>
      </c>
      <c r="BX38" s="462" t="str">
        <f t="shared" si="110"/>
        <v>Feb</v>
      </c>
      <c r="BY38" s="462" t="str">
        <f t="shared" si="110"/>
        <v>Mar</v>
      </c>
      <c r="BZ38" s="462" t="str">
        <f t="shared" si="111"/>
        <v>Apr</v>
      </c>
      <c r="CA38" s="462" t="str">
        <f t="shared" si="111"/>
        <v>May</v>
      </c>
      <c r="CB38" s="462" t="str">
        <f t="shared" si="111"/>
        <v>Jun</v>
      </c>
      <c r="CC38" s="462" t="str">
        <f t="shared" si="112"/>
        <v>Jul</v>
      </c>
      <c r="CD38" s="462" t="str">
        <f t="shared" si="112"/>
        <v>Aug</v>
      </c>
      <c r="CE38" s="462" t="str">
        <f t="shared" si="112"/>
        <v>Sept</v>
      </c>
      <c r="CF38" s="462" t="str">
        <f t="shared" si="113"/>
        <v>Oct</v>
      </c>
      <c r="CG38" s="462" t="str">
        <f t="shared" si="113"/>
        <v>Nov</v>
      </c>
      <c r="CH38" s="462" t="str">
        <f t="shared" si="113"/>
        <v>Dec</v>
      </c>
      <c r="CI38" s="462" t="str">
        <f t="shared" ref="CI38:CK38" si="118">+CI27</f>
        <v>Jan</v>
      </c>
      <c r="CJ38" s="462" t="str">
        <f t="shared" si="118"/>
        <v>Feb</v>
      </c>
      <c r="CK38" s="462" t="str">
        <f t="shared" si="118"/>
        <v>March</v>
      </c>
      <c r="CL38" s="462" t="str">
        <f t="shared" ref="CL38:CN38" si="119">+CL27</f>
        <v>April</v>
      </c>
      <c r="CM38" s="462" t="str">
        <f t="shared" si="119"/>
        <v>May</v>
      </c>
      <c r="CN38" s="462" t="str">
        <f t="shared" si="119"/>
        <v>June</v>
      </c>
      <c r="CO38" s="462" t="str">
        <f t="shared" ref="CO38:CQ38" si="120">+CO27</f>
        <v>July</v>
      </c>
      <c r="CP38" s="462" t="str">
        <f t="shared" si="120"/>
        <v>Aug</v>
      </c>
      <c r="CQ38" s="462" t="str">
        <f t="shared" si="120"/>
        <v>Sept</v>
      </c>
      <c r="CR38" s="462" t="str">
        <f t="shared" ref="CR38:CT38" si="121">+CR27</f>
        <v>Oct</v>
      </c>
      <c r="CS38" s="462" t="str">
        <f t="shared" si="121"/>
        <v>Nov</v>
      </c>
      <c r="CT38" s="462" t="str">
        <f t="shared" si="121"/>
        <v>Dec</v>
      </c>
      <c r="CU38" s="1012" t="s">
        <v>215</v>
      </c>
      <c r="CV38" s="1007" t="str">
        <f>+CX4</f>
        <v>NON-UTILITY</v>
      </c>
    </row>
    <row r="39" spans="1:102">
      <c r="B39" s="475" t="str">
        <f>+B28</f>
        <v>updated through Sept'22</v>
      </c>
      <c r="CU39" s="935"/>
    </row>
    <row r="40" spans="1:102" ht="13.5" thickBot="1">
      <c r="A40" s="460" t="s">
        <v>2326</v>
      </c>
      <c r="C40" s="467">
        <v>149742.79999999999</v>
      </c>
      <c r="D40" s="467">
        <v>149742.79999999999</v>
      </c>
      <c r="E40" s="467">
        <v>129897.73000000001</v>
      </c>
      <c r="F40" s="467">
        <v>130668.17</v>
      </c>
      <c r="G40" s="467">
        <v>140998.29999999999</v>
      </c>
      <c r="H40" s="467">
        <v>140953.93</v>
      </c>
      <c r="I40" s="467">
        <v>141018.96</v>
      </c>
      <c r="J40" s="467">
        <v>142115.91</v>
      </c>
      <c r="K40" s="467">
        <v>142633.75</v>
      </c>
      <c r="L40" s="467">
        <v>143272.56</v>
      </c>
      <c r="M40" s="467">
        <v>142894.15</v>
      </c>
      <c r="N40" s="467">
        <v>142955.69</v>
      </c>
      <c r="O40" s="465">
        <v>145804.78</v>
      </c>
      <c r="P40" s="465">
        <v>145804.78</v>
      </c>
      <c r="Q40" s="465">
        <v>145804.78</v>
      </c>
      <c r="R40" s="465">
        <v>145726.73000000001</v>
      </c>
      <c r="S40" s="465">
        <v>145726.73000000001</v>
      </c>
      <c r="T40" s="477">
        <v>145726.73000000001</v>
      </c>
      <c r="U40" s="477">
        <v>147686.51</v>
      </c>
      <c r="V40" s="477">
        <v>155289.78</v>
      </c>
      <c r="W40" s="477">
        <v>155296.44999999998</v>
      </c>
      <c r="X40" s="477">
        <v>155458.51999999999</v>
      </c>
      <c r="Y40" s="477">
        <v>156008.22999999998</v>
      </c>
      <c r="Z40" s="477">
        <v>156514.70000000001</v>
      </c>
      <c r="AA40" s="477">
        <v>151559.9</v>
      </c>
      <c r="AB40" s="477">
        <v>151559.9</v>
      </c>
      <c r="AC40" s="477">
        <v>151559.9</v>
      </c>
      <c r="AD40" s="477">
        <v>150887.66</v>
      </c>
      <c r="AE40" s="477">
        <v>150887.66</v>
      </c>
      <c r="AF40" s="477">
        <v>150887.66</v>
      </c>
      <c r="AG40" s="477">
        <v>151196</v>
      </c>
      <c r="AH40" s="477">
        <v>151210.1</v>
      </c>
      <c r="AI40" s="477">
        <v>151555.72</v>
      </c>
      <c r="AJ40" s="477">
        <v>151560.73000000001</v>
      </c>
      <c r="AK40" s="477">
        <v>151560.73000000001</v>
      </c>
      <c r="AL40" s="477">
        <v>151560.73000000001</v>
      </c>
      <c r="AM40" s="477">
        <v>153149.88</v>
      </c>
      <c r="AN40" s="477">
        <v>153151.35</v>
      </c>
      <c r="AO40" s="477">
        <v>153166.49000000002</v>
      </c>
      <c r="AP40" s="477">
        <v>153181.87000000002</v>
      </c>
      <c r="AQ40" s="477">
        <v>153203.80000000002</v>
      </c>
      <c r="AR40" s="477">
        <v>153212.75</v>
      </c>
      <c r="AS40" s="477">
        <v>153434.93000000002</v>
      </c>
      <c r="AT40" s="477">
        <v>155048.07</v>
      </c>
      <c r="AU40" s="465">
        <v>191108.77</v>
      </c>
      <c r="AV40" s="465">
        <v>624624.66999999993</v>
      </c>
      <c r="AW40" s="465">
        <v>1535006.97</v>
      </c>
      <c r="AX40" s="465">
        <v>1942104.6199999999</v>
      </c>
      <c r="AY40" s="465">
        <v>2581705.5049999999</v>
      </c>
      <c r="AZ40" s="465">
        <v>3546639.9849561998</v>
      </c>
      <c r="BA40" s="465">
        <v>4202766.5627509803</v>
      </c>
      <c r="BB40" s="465">
        <v>4995958.1285789488</v>
      </c>
      <c r="BC40" s="465">
        <v>6418430.1443875916</v>
      </c>
      <c r="BD40" s="465">
        <v>7554875.1457964759</v>
      </c>
      <c r="BE40" s="465">
        <v>8142600.2635803977</v>
      </c>
      <c r="BF40" s="465">
        <v>10240112.528299566</v>
      </c>
      <c r="BG40" s="465">
        <v>17927740.088667721</v>
      </c>
      <c r="BH40" s="465">
        <v>19792445.726132132</v>
      </c>
      <c r="BI40" s="465">
        <v>22093562.047576163</v>
      </c>
      <c r="BJ40" s="465">
        <v>31119823.52</v>
      </c>
      <c r="BK40" s="465">
        <f>+'Input Seg of CWIP'!B51</f>
        <v>38134367.370000005</v>
      </c>
      <c r="BL40" s="465">
        <f>+'Input Seg of CWIP'!C51</f>
        <v>49003384.75</v>
      </c>
      <c r="BM40" s="465">
        <f>+'Input Seg of CWIP'!D51</f>
        <v>52803058.25</v>
      </c>
      <c r="BN40" s="465">
        <f>+'Input Seg of CWIP'!E51</f>
        <v>63024653.970000006</v>
      </c>
      <c r="BO40" s="465">
        <f>+'Input Seg of CWIP'!F51</f>
        <v>77436623.799999997</v>
      </c>
      <c r="BP40" s="465">
        <f>+'Input Seg of CWIP'!G51</f>
        <v>83147027.359999985</v>
      </c>
      <c r="BQ40" s="465">
        <f>+'Input Seg of CWIP'!H51</f>
        <v>89682876.159999982</v>
      </c>
      <c r="BR40" s="465">
        <f>+'Input Seg of CWIP'!I51</f>
        <v>103095655.92999999</v>
      </c>
      <c r="BS40" s="465">
        <f>+'Input Seg of CWIP'!J51</f>
        <v>112522287.88</v>
      </c>
      <c r="BT40" s="465">
        <f>+'Input Seg of CWIP'!K51</f>
        <v>59452135.789999992</v>
      </c>
      <c r="BU40" s="465">
        <f>+'Input Seg of CWIP'!L51</f>
        <v>68292195.310000002</v>
      </c>
      <c r="BV40" s="465">
        <f>+'Input Seg of CWIP'!M51</f>
        <v>79339265.74000001</v>
      </c>
      <c r="BW40" s="465">
        <f>+'Input Seg of CWIP'!N51</f>
        <v>88385984.609999985</v>
      </c>
      <c r="BX40" s="465">
        <f>+'Input Seg of CWIP'!O51</f>
        <v>104457855.14999999</v>
      </c>
      <c r="BY40" s="465">
        <f>+'Input Seg of CWIP'!P51</f>
        <v>110307718.14000002</v>
      </c>
      <c r="BZ40" s="465">
        <f>+'Input Seg of CWIP'!Q51</f>
        <v>59491141.020000003</v>
      </c>
      <c r="CA40" s="465">
        <f>+'Input Seg of CWIP'!R51</f>
        <v>60442190.489999995</v>
      </c>
      <c r="CB40" s="465">
        <f>+'Input Seg of CWIP'!S51</f>
        <v>64079387.059999995</v>
      </c>
      <c r="CC40" s="465">
        <f>+'Input Seg of CWIP'!T51</f>
        <v>70787873.819999978</v>
      </c>
      <c r="CD40" s="465">
        <f>+'Input Seg of CWIP'!U51</f>
        <v>81016991.160000011</v>
      </c>
      <c r="CE40" s="465">
        <f>+'Input Seg of CWIP'!V51</f>
        <v>86698874.180000007</v>
      </c>
      <c r="CF40" s="465">
        <f>+'Input Seg of CWIP'!W51</f>
        <v>91643818.049999997</v>
      </c>
      <c r="CG40" s="465">
        <f>+'Input Seg of CWIP'!X51</f>
        <v>41525749.979999989</v>
      </c>
      <c r="CH40" s="465">
        <f>+'Input Seg of CWIP'!Y51</f>
        <v>46994371.799999997</v>
      </c>
      <c r="CI40" s="465">
        <f>+'Input Seg of CWIP'!Z51</f>
        <v>50664098.729999997</v>
      </c>
      <c r="CJ40" s="465">
        <f>+'Input Seg of CWIP'!AA51</f>
        <v>55923290.370000005</v>
      </c>
      <c r="CK40" s="465">
        <f>+'Input Seg of CWIP'!AB51</f>
        <v>59928247.349999994</v>
      </c>
      <c r="CL40" s="465">
        <f>+'Input Seg of CWIP'!AC51</f>
        <v>67630803.189999998</v>
      </c>
      <c r="CM40" s="465">
        <f>+'Input Seg of CWIP'!AD51</f>
        <v>73420459.430000007</v>
      </c>
      <c r="CN40" s="465">
        <f>+'Input Seg of CWIP'!AE51</f>
        <v>84152855.219999999</v>
      </c>
      <c r="CO40" s="465">
        <f>+'Input Seg of CWIP'!AF51</f>
        <v>91775466.670000002</v>
      </c>
      <c r="CP40" s="465">
        <f>+'Input Seg of CWIP'!AG51</f>
        <v>97196340.579999983</v>
      </c>
      <c r="CQ40" s="465">
        <f>+'Input Seg of CWIP'!AH51</f>
        <v>102973210.47</v>
      </c>
      <c r="CR40" s="465">
        <f>+'Input Seg of CWIP'!AI51</f>
        <v>64943143.119999997</v>
      </c>
      <c r="CS40" s="465">
        <f>+'Input Seg of CWIP'!AJ51</f>
        <v>67714820.459999993</v>
      </c>
      <c r="CT40" s="465">
        <f>+'Input Seg of CWIP'!AK51</f>
        <v>75970345.810000002</v>
      </c>
      <c r="CU40" s="1018">
        <f>AVERAGE(CH40:CT40)</f>
        <v>72252881.015384614</v>
      </c>
      <c r="CV40" s="1017">
        <f>+CN40</f>
        <v>84152855.219999999</v>
      </c>
    </row>
    <row r="41" spans="1:102" ht="13.5" thickTop="1"/>
    <row r="42" spans="1:102">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row>
  </sheetData>
  <phoneticPr fontId="66" type="noConversion"/>
  <pageMargins left="0.7" right="0.7" top="0.75" bottom="0.75" header="0.3" footer="0.3"/>
  <pageSetup paperSize="5" scale="31" orientation="landscape" r:id="rId1"/>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2060"/>
    <pageSetUpPr fitToPage="1"/>
  </sheetPr>
  <dimension ref="A1:AO59"/>
  <sheetViews>
    <sheetView zoomScaleNormal="100" zoomScaleSheetLayoutView="85" workbookViewId="0">
      <pane xSplit="1" ySplit="5" topLeftCell="AA24" activePane="bottomRight" state="frozen"/>
      <selection pane="topRight" activeCell="B1" sqref="B1"/>
      <selection pane="bottomLeft" activeCell="A6" sqref="A6"/>
      <selection pane="bottomRight" activeCell="AL53" sqref="AL53"/>
    </sheetView>
  </sheetViews>
  <sheetFormatPr defaultColWidth="9" defaultRowHeight="12.75"/>
  <cols>
    <col min="1" max="1" width="39.5703125" style="813" bestFit="1" customWidth="1"/>
    <col min="2" max="5" width="12.85546875" style="813" hidden="1" customWidth="1"/>
    <col min="6" max="9" width="13.42578125" style="813" hidden="1" customWidth="1"/>
    <col min="10" max="10" width="15.140625" style="813" hidden="1" customWidth="1"/>
    <col min="11" max="14" width="14.85546875" style="813" hidden="1" customWidth="1"/>
    <col min="15" max="16" width="15.140625" style="813" hidden="1" customWidth="1"/>
    <col min="17" max="20" width="13.42578125" style="813" hidden="1" customWidth="1"/>
    <col min="21" max="21" width="16" style="813" hidden="1" customWidth="1"/>
    <col min="22" max="24" width="16.5703125" style="813" hidden="1" customWidth="1"/>
    <col min="25" max="37" width="16.5703125" style="813" customWidth="1"/>
    <col min="38" max="38" width="14.85546875" style="813" customWidth="1"/>
    <col min="39" max="39" width="15" style="813" customWidth="1"/>
    <col min="40" max="40" width="9" style="813"/>
    <col min="41" max="41" width="14.5703125" style="813" bestFit="1" customWidth="1"/>
    <col min="42" max="16384" width="9" style="813"/>
  </cols>
  <sheetData>
    <row r="1" spans="1:38" ht="15.75">
      <c r="A1" s="1079" t="s">
        <v>204</v>
      </c>
      <c r="D1" s="1080"/>
      <c r="E1" s="1080"/>
      <c r="F1" s="1081"/>
      <c r="G1" s="1082"/>
      <c r="H1" s="1080"/>
      <c r="I1" s="1080"/>
      <c r="J1" s="1080"/>
      <c r="K1" s="1080"/>
      <c r="L1" s="1080"/>
      <c r="M1" s="1080"/>
      <c r="N1" s="1080"/>
      <c r="O1" s="1080"/>
      <c r="P1" s="1080"/>
      <c r="Q1" s="1080"/>
      <c r="R1" s="1080"/>
      <c r="S1" s="1080"/>
      <c r="T1" s="1080"/>
      <c r="U1" s="1080"/>
      <c r="V1" s="1080"/>
      <c r="W1" s="1080"/>
      <c r="X1" s="1080"/>
      <c r="Y1" s="1080"/>
      <c r="Z1" s="1080"/>
      <c r="AA1" s="1080"/>
      <c r="AB1" s="1080"/>
      <c r="AC1" s="1080"/>
      <c r="AD1" s="1080"/>
      <c r="AE1" s="1080"/>
      <c r="AF1" s="1080"/>
      <c r="AG1" s="1080"/>
      <c r="AH1" s="1080"/>
      <c r="AI1" s="1080"/>
      <c r="AJ1" s="1080"/>
      <c r="AK1" s="1080"/>
      <c r="AL1" s="1080"/>
    </row>
    <row r="2" spans="1:38" ht="15.75">
      <c r="A2" s="1079" t="s">
        <v>2306</v>
      </c>
      <c r="B2" s="1080"/>
      <c r="C2" s="1080"/>
      <c r="D2" s="1080"/>
      <c r="E2" s="1080"/>
      <c r="F2" s="1080"/>
      <c r="G2" s="1080"/>
      <c r="H2" s="1080"/>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row>
    <row r="3" spans="1:38">
      <c r="A3" s="1083"/>
      <c r="B3" s="1084" t="s">
        <v>214</v>
      </c>
      <c r="C3" s="1084" t="s">
        <v>214</v>
      </c>
      <c r="D3" s="1084" t="s">
        <v>214</v>
      </c>
      <c r="E3" s="1084" t="s">
        <v>214</v>
      </c>
      <c r="F3" s="1084" t="s">
        <v>214</v>
      </c>
      <c r="G3" s="1084" t="s">
        <v>214</v>
      </c>
      <c r="H3" s="1084" t="s">
        <v>214</v>
      </c>
      <c r="I3" s="1084" t="s">
        <v>214</v>
      </c>
      <c r="J3" s="1084" t="s">
        <v>214</v>
      </c>
      <c r="K3" s="1084" t="s">
        <v>214</v>
      </c>
      <c r="L3" s="1084" t="s">
        <v>214</v>
      </c>
      <c r="M3" s="1084" t="s">
        <v>214</v>
      </c>
      <c r="N3" s="1084" t="s">
        <v>214</v>
      </c>
      <c r="O3" s="1084" t="s">
        <v>214</v>
      </c>
      <c r="P3" s="1084" t="s">
        <v>214</v>
      </c>
      <c r="Q3" s="1084" t="s">
        <v>214</v>
      </c>
      <c r="R3" s="1084" t="s">
        <v>214</v>
      </c>
      <c r="S3" s="1084" t="s">
        <v>214</v>
      </c>
      <c r="T3" s="1084" t="s">
        <v>214</v>
      </c>
      <c r="U3" s="1084" t="s">
        <v>214</v>
      </c>
      <c r="V3" s="1084" t="s">
        <v>214</v>
      </c>
      <c r="W3" s="1084" t="s">
        <v>214</v>
      </c>
      <c r="X3" s="1084" t="s">
        <v>214</v>
      </c>
      <c r="Y3" s="1084" t="s">
        <v>214</v>
      </c>
      <c r="Z3" s="1084" t="s">
        <v>214</v>
      </c>
      <c r="AA3" s="1084" t="s">
        <v>214</v>
      </c>
      <c r="AB3" s="1084" t="s">
        <v>214</v>
      </c>
      <c r="AC3" s="1084" t="s">
        <v>214</v>
      </c>
      <c r="AD3" s="1084" t="s">
        <v>214</v>
      </c>
      <c r="AE3" s="1084" t="s">
        <v>214</v>
      </c>
      <c r="AF3" s="1084" t="s">
        <v>214</v>
      </c>
      <c r="AG3" s="1084" t="s">
        <v>214</v>
      </c>
      <c r="AH3" s="1084" t="s">
        <v>214</v>
      </c>
      <c r="AI3" s="1084" t="s">
        <v>214</v>
      </c>
      <c r="AJ3" s="1084" t="s">
        <v>214</v>
      </c>
      <c r="AK3" s="1084" t="s">
        <v>214</v>
      </c>
      <c r="AL3" s="1085"/>
    </row>
    <row r="4" spans="1:38">
      <c r="A4" s="1083"/>
      <c r="B4" s="1086">
        <v>2020</v>
      </c>
      <c r="C4" s="1086">
        <v>2020</v>
      </c>
      <c r="D4" s="1086">
        <v>2020</v>
      </c>
      <c r="E4" s="1086">
        <v>2020</v>
      </c>
      <c r="F4" s="1086">
        <v>2020</v>
      </c>
      <c r="G4" s="1086">
        <v>2020</v>
      </c>
      <c r="H4" s="1086">
        <v>2020</v>
      </c>
      <c r="I4" s="1086">
        <v>2020</v>
      </c>
      <c r="J4" s="1086">
        <v>2020</v>
      </c>
      <c r="K4" s="1086">
        <v>2020</v>
      </c>
      <c r="L4" s="1086">
        <v>2020</v>
      </c>
      <c r="M4" s="1086">
        <v>2020</v>
      </c>
      <c r="N4" s="1086">
        <v>2021</v>
      </c>
      <c r="O4" s="1086">
        <v>2021</v>
      </c>
      <c r="P4" s="1086">
        <v>2021</v>
      </c>
      <c r="Q4" s="1086">
        <v>2021</v>
      </c>
      <c r="R4" s="1086">
        <v>2021</v>
      </c>
      <c r="S4" s="1086">
        <v>2021</v>
      </c>
      <c r="T4" s="1086">
        <v>2021</v>
      </c>
      <c r="U4" s="1086">
        <v>2021</v>
      </c>
      <c r="V4" s="1086">
        <v>2021</v>
      </c>
      <c r="W4" s="1086">
        <v>2021</v>
      </c>
      <c r="X4" s="1086">
        <v>2021</v>
      </c>
      <c r="Y4" s="1086">
        <v>2021</v>
      </c>
      <c r="Z4" s="1086">
        <v>2022</v>
      </c>
      <c r="AA4" s="1086">
        <v>2022</v>
      </c>
      <c r="AB4" s="1086">
        <v>2022</v>
      </c>
      <c r="AC4" s="1086">
        <v>2022</v>
      </c>
      <c r="AD4" s="1086">
        <v>2022</v>
      </c>
      <c r="AE4" s="1086">
        <v>2022</v>
      </c>
      <c r="AF4" s="1086">
        <v>2022</v>
      </c>
      <c r="AG4" s="1086">
        <v>2022</v>
      </c>
      <c r="AH4" s="1086">
        <v>2022</v>
      </c>
      <c r="AI4" s="1086">
        <v>2022</v>
      </c>
      <c r="AJ4" s="1086">
        <v>2022</v>
      </c>
      <c r="AK4" s="1086">
        <v>2022</v>
      </c>
      <c r="AL4" s="1085" t="s">
        <v>2325</v>
      </c>
    </row>
    <row r="5" spans="1:38">
      <c r="A5" s="811"/>
      <c r="B5" s="1087" t="s">
        <v>2308</v>
      </c>
      <c r="C5" s="1087" t="s">
        <v>2309</v>
      </c>
      <c r="D5" s="1087" t="s">
        <v>1720</v>
      </c>
      <c r="E5" s="1087" t="s">
        <v>1721</v>
      </c>
      <c r="F5" s="1087" t="s">
        <v>476</v>
      </c>
      <c r="G5" s="1087" t="s">
        <v>2701</v>
      </c>
      <c r="H5" s="1087" t="s">
        <v>2702</v>
      </c>
      <c r="I5" s="1087" t="s">
        <v>2314</v>
      </c>
      <c r="J5" s="1087" t="s">
        <v>2315</v>
      </c>
      <c r="K5" s="1087" t="s">
        <v>2323</v>
      </c>
      <c r="L5" s="1087" t="s">
        <v>2324</v>
      </c>
      <c r="M5" s="1087" t="s">
        <v>2307</v>
      </c>
      <c r="N5" s="1087" t="s">
        <v>2308</v>
      </c>
      <c r="O5" s="1087" t="s">
        <v>2309</v>
      </c>
      <c r="P5" s="1087" t="s">
        <v>2310</v>
      </c>
      <c r="Q5" s="1087" t="s">
        <v>2311</v>
      </c>
      <c r="R5" s="1087" t="s">
        <v>296</v>
      </c>
      <c r="S5" s="1087" t="s">
        <v>2703</v>
      </c>
      <c r="T5" s="1087" t="s">
        <v>2704</v>
      </c>
      <c r="U5" s="1087" t="s">
        <v>2705</v>
      </c>
      <c r="V5" s="1087" t="s">
        <v>2706</v>
      </c>
      <c r="W5" s="1087" t="s">
        <v>2710</v>
      </c>
      <c r="X5" s="1087" t="s">
        <v>2711</v>
      </c>
      <c r="Y5" s="1087" t="s">
        <v>2712</v>
      </c>
      <c r="Z5" s="1087" t="s">
        <v>2840</v>
      </c>
      <c r="AA5" s="1087" t="s">
        <v>2841</v>
      </c>
      <c r="AB5" s="1087" t="s">
        <v>2842</v>
      </c>
      <c r="AC5" s="1087" t="s">
        <v>2864</v>
      </c>
      <c r="AD5" s="1087" t="s">
        <v>296</v>
      </c>
      <c r="AE5" s="1087" t="s">
        <v>2703</v>
      </c>
      <c r="AF5" s="1087" t="s">
        <v>2704</v>
      </c>
      <c r="AG5" s="1087" t="s">
        <v>2314</v>
      </c>
      <c r="AH5" s="1087" t="s">
        <v>2883</v>
      </c>
      <c r="AI5" s="1087" t="s">
        <v>2323</v>
      </c>
      <c r="AJ5" s="1087" t="s">
        <v>2324</v>
      </c>
      <c r="AK5" s="1087" t="s">
        <v>2307</v>
      </c>
      <c r="AL5" s="1085" t="s">
        <v>3</v>
      </c>
    </row>
    <row r="6" spans="1:38" s="738" customFormat="1">
      <c r="A6" s="811" t="s">
        <v>2316</v>
      </c>
      <c r="B6" s="735">
        <v>87383269.209999964</v>
      </c>
      <c r="C6" s="735">
        <v>89788572.589999974</v>
      </c>
      <c r="D6" s="735">
        <v>92714028.869999975</v>
      </c>
      <c r="E6" s="735">
        <v>105186283.92999998</v>
      </c>
      <c r="F6" s="735">
        <v>119487898.44999997</v>
      </c>
      <c r="G6" s="735">
        <v>129123895.41999996</v>
      </c>
      <c r="H6" s="735">
        <v>142981953.91999996</v>
      </c>
      <c r="I6" s="735">
        <v>160185910.00999996</v>
      </c>
      <c r="J6" s="1088">
        <v>169862754.33999997</v>
      </c>
      <c r="K6" s="1088">
        <v>123028338.82999998</v>
      </c>
      <c r="L6" s="1088">
        <v>131449528.65999997</v>
      </c>
      <c r="M6" s="1088">
        <v>140807877.94999996</v>
      </c>
      <c r="N6" s="1088">
        <v>142689499.02999997</v>
      </c>
      <c r="O6" s="1088">
        <v>158270839.90999997</v>
      </c>
      <c r="P6" s="1088">
        <v>168655143.24999997</v>
      </c>
      <c r="Q6" s="1088">
        <v>116700530.18999998</v>
      </c>
      <c r="R6" s="1088">
        <v>118593709.78999999</v>
      </c>
      <c r="S6" s="1088">
        <v>130442949.62</v>
      </c>
      <c r="T6" s="1088">
        <v>145786057.19</v>
      </c>
      <c r="U6" s="1088">
        <v>159472172.24000001</v>
      </c>
      <c r="V6" s="1088">
        <v>174423907.45999998</v>
      </c>
      <c r="W6" s="1088">
        <v>191413442.61999997</v>
      </c>
      <c r="X6" s="1088">
        <v>142092425.80000001</v>
      </c>
      <c r="Y6" s="1088">
        <v>147483849.61000001</v>
      </c>
      <c r="Z6" s="1088">
        <v>158111229.03999999</v>
      </c>
      <c r="AA6" s="1088">
        <v>162199578.14999998</v>
      </c>
      <c r="AB6" s="1088">
        <v>174470939.96999997</v>
      </c>
      <c r="AC6" s="1088">
        <v>184225626.89999998</v>
      </c>
      <c r="AD6" s="1088">
        <v>188333223.03999996</v>
      </c>
      <c r="AE6" s="1088">
        <v>201983440.95999995</v>
      </c>
      <c r="AF6" s="1088">
        <v>212538815.98999995</v>
      </c>
      <c r="AG6" s="1088">
        <v>225280632.12999997</v>
      </c>
      <c r="AH6" s="1088">
        <v>235379560.06999999</v>
      </c>
      <c r="AI6" s="1088">
        <v>200850235.99000001</v>
      </c>
      <c r="AJ6" s="1088">
        <v>210666560.54000002</v>
      </c>
      <c r="AK6" s="1088">
        <v>246108951.70000002</v>
      </c>
      <c r="AL6" s="739">
        <f>AVERAGE(Y6:AK6)</f>
        <v>195971741.85307691</v>
      </c>
    </row>
    <row r="7" spans="1:38" s="738" customFormat="1">
      <c r="A7" s="811"/>
      <c r="B7" s="735"/>
      <c r="C7" s="735"/>
      <c r="D7" s="735"/>
      <c r="E7" s="735"/>
      <c r="F7" s="735"/>
      <c r="G7" s="735"/>
      <c r="H7" s="735"/>
      <c r="I7" s="735"/>
      <c r="J7" s="1088"/>
      <c r="K7" s="1088"/>
      <c r="L7" s="1088"/>
      <c r="M7" s="1088"/>
      <c r="N7" s="1088"/>
      <c r="O7" s="1088"/>
      <c r="P7" s="1088"/>
      <c r="Q7" s="1088"/>
      <c r="R7" s="1088"/>
      <c r="S7" s="1088"/>
      <c r="T7" s="1088"/>
      <c r="U7" s="1089"/>
      <c r="V7" s="1089"/>
      <c r="W7" s="1089"/>
      <c r="X7" s="1089"/>
      <c r="Y7" s="1089"/>
      <c r="Z7" s="1089"/>
      <c r="AA7" s="1089"/>
      <c r="AB7" s="1089"/>
      <c r="AC7" s="1089"/>
      <c r="AD7" s="1089"/>
      <c r="AE7" s="1089"/>
      <c r="AF7" s="1089"/>
      <c r="AG7" s="1089"/>
      <c r="AH7" s="1089"/>
      <c r="AI7" s="1089"/>
      <c r="AJ7" s="1089"/>
      <c r="AK7" s="1089"/>
    </row>
    <row r="8" spans="1:38" s="738" customFormat="1">
      <c r="A8" s="811" t="s">
        <v>2317</v>
      </c>
      <c r="B8" s="1090">
        <v>12490817</v>
      </c>
      <c r="C8" s="1090">
        <v>11355400</v>
      </c>
      <c r="D8" s="1090">
        <v>5601979</v>
      </c>
      <c r="E8" s="1090">
        <v>5754830.4700000053</v>
      </c>
      <c r="F8" s="1090">
        <v>6938960</v>
      </c>
      <c r="G8" s="1090">
        <v>8967752</v>
      </c>
      <c r="H8" s="1090">
        <v>12024239</v>
      </c>
      <c r="I8" s="1090">
        <v>10102599</v>
      </c>
      <c r="J8" s="1091">
        <v>12309244</v>
      </c>
      <c r="K8" s="1091">
        <v>14357561</v>
      </c>
      <c r="L8" s="1091">
        <v>12700799.160000008</v>
      </c>
      <c r="M8" s="1091">
        <v>8641341</v>
      </c>
      <c r="N8" s="1091">
        <v>2319854.9499999983</v>
      </c>
      <c r="O8" s="1091">
        <v>3524153.8599999985</v>
      </c>
      <c r="P8" s="1091">
        <v>4408930.5799999982</v>
      </c>
      <c r="Q8" s="1091">
        <v>5911920.629999998</v>
      </c>
      <c r="R8" s="1091">
        <v>6669148.5099999988</v>
      </c>
      <c r="S8" s="1091">
        <v>8995091.5600000005</v>
      </c>
      <c r="T8" s="1091">
        <v>9683800.120000001</v>
      </c>
      <c r="U8" s="1091">
        <v>10904281.080000002</v>
      </c>
      <c r="V8" s="1091">
        <v>13613275.609999999</v>
      </c>
      <c r="W8" s="1091">
        <v>16499702.82</v>
      </c>
      <c r="X8" s="1091">
        <v>18104785.010000002</v>
      </c>
      <c r="Y8" s="1091">
        <v>17609019.299999993</v>
      </c>
      <c r="Z8" s="1091">
        <v>19063994.659999989</v>
      </c>
      <c r="AA8" s="1091">
        <v>21502720.589999992</v>
      </c>
      <c r="AB8" s="1091">
        <v>21532547.269999996</v>
      </c>
      <c r="AC8" s="1091">
        <v>25338716.019999996</v>
      </c>
      <c r="AD8" s="1091">
        <v>25088444.069999997</v>
      </c>
      <c r="AE8" s="1091">
        <v>23154816.789999995</v>
      </c>
      <c r="AF8" s="1091">
        <v>24265890.989999995</v>
      </c>
      <c r="AG8" s="1091">
        <v>25424090.259999994</v>
      </c>
      <c r="AH8" s="1091">
        <v>27187158.869999997</v>
      </c>
      <c r="AI8" s="1091">
        <v>29366428.499999996</v>
      </c>
      <c r="AJ8" s="1091">
        <v>30732956.279999997</v>
      </c>
      <c r="AK8" s="1091">
        <v>34717713.829999998</v>
      </c>
      <c r="AL8" s="739">
        <f>AVERAGE(Y8:AK8)</f>
        <v>24998807.494615376</v>
      </c>
    </row>
    <row r="9" spans="1:38" s="738" customFormat="1">
      <c r="A9" s="811"/>
      <c r="B9" s="735"/>
      <c r="C9" s="735"/>
      <c r="D9" s="735"/>
      <c r="E9" s="735"/>
      <c r="F9" s="735"/>
      <c r="G9" s="1090"/>
      <c r="H9" s="735"/>
      <c r="I9" s="735"/>
      <c r="J9" s="735"/>
      <c r="K9" s="735"/>
      <c r="L9" s="735"/>
      <c r="M9" s="735"/>
      <c r="N9" s="735"/>
      <c r="O9" s="735"/>
      <c r="P9" s="735"/>
      <c r="Q9" s="735"/>
      <c r="R9" s="735"/>
      <c r="S9" s="735"/>
      <c r="T9" s="735"/>
      <c r="U9" s="1089"/>
      <c r="V9" s="1089"/>
      <c r="W9" s="1089"/>
      <c r="X9" s="1089"/>
      <c r="Y9" s="1089"/>
      <c r="Z9" s="1089"/>
      <c r="AA9" s="1089"/>
      <c r="AB9" s="1089"/>
      <c r="AC9" s="1089"/>
      <c r="AD9" s="1089"/>
      <c r="AE9" s="1089"/>
      <c r="AF9" s="1089"/>
      <c r="AG9" s="1089"/>
      <c r="AH9" s="1089"/>
      <c r="AI9" s="1089"/>
      <c r="AJ9" s="1089"/>
      <c r="AK9" s="1089"/>
      <c r="AL9" s="739"/>
    </row>
    <row r="10" spans="1:38" s="738" customFormat="1">
      <c r="A10" s="812" t="s">
        <v>2318</v>
      </c>
      <c r="B10" s="735"/>
      <c r="C10" s="735"/>
      <c r="D10" s="735"/>
      <c r="E10" s="735"/>
      <c r="F10" s="735"/>
      <c r="G10" s="1090"/>
      <c r="H10" s="735"/>
      <c r="I10" s="735"/>
      <c r="J10" s="735"/>
      <c r="K10" s="735"/>
      <c r="L10" s="735"/>
      <c r="M10" s="735"/>
      <c r="N10" s="735"/>
      <c r="O10" s="735"/>
      <c r="P10" s="735"/>
      <c r="Q10" s="735"/>
      <c r="R10" s="735"/>
      <c r="S10" s="735"/>
      <c r="T10" s="735"/>
      <c r="U10" s="1089"/>
      <c r="V10" s="1089"/>
      <c r="W10" s="1089"/>
      <c r="X10" s="1089"/>
      <c r="Y10" s="1089"/>
      <c r="Z10" s="1089"/>
      <c r="AA10" s="1089"/>
      <c r="AB10" s="1089"/>
      <c r="AC10" s="1089"/>
      <c r="AD10" s="1089"/>
      <c r="AE10" s="1089"/>
      <c r="AF10" s="1089"/>
      <c r="AG10" s="1089"/>
      <c r="AH10" s="1089"/>
      <c r="AI10" s="1089"/>
      <c r="AJ10" s="1089"/>
      <c r="AK10" s="1089"/>
      <c r="AL10" s="739"/>
    </row>
    <row r="11" spans="1:38" s="738" customFormat="1">
      <c r="A11" s="1272" t="s">
        <v>2483</v>
      </c>
      <c r="B11" s="1090">
        <v>35966.47</v>
      </c>
      <c r="C11" s="1090">
        <v>36140.68</v>
      </c>
      <c r="D11" s="1090">
        <v>36315.74</v>
      </c>
      <c r="E11" s="1090">
        <v>36491.65</v>
      </c>
      <c r="F11" s="1090">
        <v>36668.410000000003</v>
      </c>
      <c r="G11" s="1090">
        <v>36846.03</v>
      </c>
      <c r="H11" s="1090">
        <v>37024.51</v>
      </c>
      <c r="I11" s="1090">
        <v>37203.85</v>
      </c>
      <c r="J11" s="1090">
        <v>37384.06</v>
      </c>
      <c r="K11" s="1090">
        <v>0</v>
      </c>
      <c r="L11" s="1090">
        <v>0</v>
      </c>
      <c r="M11" s="1090">
        <v>0</v>
      </c>
      <c r="N11" s="1090">
        <v>0</v>
      </c>
      <c r="O11" s="1019">
        <v>0</v>
      </c>
      <c r="P11" s="1019">
        <v>0</v>
      </c>
      <c r="Q11" s="1019">
        <v>0</v>
      </c>
      <c r="R11" s="1019">
        <v>0</v>
      </c>
      <c r="S11" s="1019">
        <v>0</v>
      </c>
      <c r="T11" s="1019">
        <v>0</v>
      </c>
      <c r="U11" s="1092"/>
      <c r="V11" s="1092"/>
      <c r="W11" s="1092"/>
      <c r="X11" s="1092"/>
      <c r="Y11" s="1092">
        <v>10625873.82</v>
      </c>
      <c r="Z11" s="1092">
        <v>11053579.039999999</v>
      </c>
      <c r="AA11" s="1092">
        <v>11638629.689999999</v>
      </c>
      <c r="AB11" s="1092">
        <v>12248762</v>
      </c>
      <c r="AC11" s="1092">
        <v>16243479.02</v>
      </c>
      <c r="AD11" s="1092">
        <v>18929466.030000001</v>
      </c>
      <c r="AE11" s="1092">
        <v>26128027.109999999</v>
      </c>
      <c r="AF11" s="1092">
        <v>31680921.5</v>
      </c>
      <c r="AG11" s="1092">
        <v>35709953.840000004</v>
      </c>
      <c r="AH11" s="1092">
        <v>39600985.079999998</v>
      </c>
      <c r="AI11" s="1092">
        <v>0</v>
      </c>
      <c r="AJ11" s="1092">
        <v>0</v>
      </c>
      <c r="AK11" s="1092">
        <v>0</v>
      </c>
      <c r="AL11" s="739"/>
    </row>
    <row r="12" spans="1:38" s="738" customFormat="1">
      <c r="A12" s="1273" t="s">
        <v>2663</v>
      </c>
      <c r="B12" s="1090">
        <v>11563420.58</v>
      </c>
      <c r="C12" s="1090">
        <v>12797920.4</v>
      </c>
      <c r="D12" s="1090">
        <v>13179220.09</v>
      </c>
      <c r="E12" s="1090">
        <v>13701761.6</v>
      </c>
      <c r="F12" s="1090">
        <v>14624102.279999999</v>
      </c>
      <c r="G12" s="1090">
        <v>15093980.33</v>
      </c>
      <c r="H12" s="1090">
        <v>15363584.6</v>
      </c>
      <c r="I12" s="1090">
        <v>15506451.199999999</v>
      </c>
      <c r="J12" s="1090">
        <v>15645200.52</v>
      </c>
      <c r="K12" s="1090">
        <v>0</v>
      </c>
      <c r="L12" s="1090">
        <v>0</v>
      </c>
      <c r="M12" s="1090">
        <v>0</v>
      </c>
      <c r="N12" s="1090">
        <v>0</v>
      </c>
      <c r="O12" s="1019">
        <v>0</v>
      </c>
      <c r="P12" s="1019">
        <v>0</v>
      </c>
      <c r="Q12" s="1019">
        <v>0</v>
      </c>
      <c r="R12" s="1019">
        <v>0</v>
      </c>
      <c r="S12" s="1019">
        <v>0</v>
      </c>
      <c r="T12" s="1019">
        <v>0</v>
      </c>
      <c r="U12" s="1092"/>
      <c r="V12" s="1092"/>
      <c r="W12" s="1092"/>
      <c r="X12" s="1092"/>
      <c r="Y12" s="1092">
        <v>3784390.32</v>
      </c>
      <c r="Z12" s="1092">
        <v>3647810.4</v>
      </c>
      <c r="AA12" s="1092">
        <v>4259059.04</v>
      </c>
      <c r="AB12" s="1092">
        <v>3947592.61</v>
      </c>
      <c r="AC12" s="1092">
        <v>4002652.54</v>
      </c>
      <c r="AD12" s="1092">
        <v>4762246.13</v>
      </c>
      <c r="AE12" s="1092">
        <v>5059340.7799999993</v>
      </c>
      <c r="AF12" s="1092">
        <v>5122721.66</v>
      </c>
      <c r="AG12" s="1092">
        <v>5939681.9299999997</v>
      </c>
      <c r="AH12" s="1092">
        <v>6244003.8799999999</v>
      </c>
      <c r="AI12" s="1092">
        <v>6378308.7000000002</v>
      </c>
      <c r="AJ12" s="1092">
        <v>6828779.0999999996</v>
      </c>
      <c r="AK12" s="1092">
        <v>6940539.4900000002</v>
      </c>
      <c r="AL12" s="739"/>
    </row>
    <row r="13" spans="1:38" s="738" customFormat="1">
      <c r="A13" s="1271" t="s">
        <v>2546</v>
      </c>
      <c r="B13" s="1090">
        <v>5653928.8300000001</v>
      </c>
      <c r="C13" s="1090">
        <v>6231215.7699999996</v>
      </c>
      <c r="D13" s="1090">
        <v>6941969.7999999998</v>
      </c>
      <c r="E13" s="1090">
        <v>8502316.1199999992</v>
      </c>
      <c r="F13" s="1090">
        <v>10800031.24</v>
      </c>
      <c r="G13" s="1090">
        <v>11579288.860000001</v>
      </c>
      <c r="H13" s="1090">
        <v>16452212.01</v>
      </c>
      <c r="I13" s="1090">
        <v>18398754.93</v>
      </c>
      <c r="J13" s="1090">
        <v>23818486.459999997</v>
      </c>
      <c r="K13" s="1090">
        <v>30028288.229999997</v>
      </c>
      <c r="L13" s="1090">
        <v>35534986.920000002</v>
      </c>
      <c r="M13" s="1090">
        <v>42456805.880000003</v>
      </c>
      <c r="N13" s="1090">
        <v>47108105.390000001</v>
      </c>
      <c r="O13" s="1019">
        <v>51009048.789999999</v>
      </c>
      <c r="P13" s="1019">
        <v>54576485.420000002</v>
      </c>
      <c r="Q13" s="1019">
        <v>33566445.549999997</v>
      </c>
      <c r="R13" s="1019">
        <v>32527303.059999999</v>
      </c>
      <c r="S13" s="1019">
        <v>33126683.870000001</v>
      </c>
      <c r="T13" s="1019">
        <v>33515852.16</v>
      </c>
      <c r="U13" s="1093">
        <v>33777550.729999997</v>
      </c>
      <c r="V13" s="1093">
        <v>34261231.649999999</v>
      </c>
      <c r="W13" s="1093">
        <v>34619873.990000002</v>
      </c>
      <c r="X13" s="1093">
        <v>0</v>
      </c>
      <c r="Y13" s="1093">
        <v>2775979.63</v>
      </c>
      <c r="Z13" s="1093">
        <v>2801890.3</v>
      </c>
      <c r="AA13" s="1093">
        <v>2835587.36</v>
      </c>
      <c r="AB13" s="1093">
        <v>3073004.82</v>
      </c>
      <c r="AC13" s="1093">
        <v>3103899.87</v>
      </c>
      <c r="AD13" s="1093">
        <v>3356404.79</v>
      </c>
      <c r="AE13" s="1093">
        <v>3582732.67</v>
      </c>
      <c r="AF13" s="1093">
        <v>3658572.06</v>
      </c>
      <c r="AG13" s="1093">
        <v>3706749.84</v>
      </c>
      <c r="AH13" s="1093">
        <v>0</v>
      </c>
      <c r="AI13" s="1093">
        <v>0</v>
      </c>
      <c r="AJ13" s="1093">
        <v>0</v>
      </c>
      <c r="AK13" s="1093">
        <v>0</v>
      </c>
      <c r="AL13" s="739">
        <f t="shared" ref="AL13:AL50" si="0">AVERAGE(Y13:AK13)</f>
        <v>2222678.5646153842</v>
      </c>
    </row>
    <row r="14" spans="1:38" s="738" customFormat="1">
      <c r="A14" s="1271" t="s">
        <v>2571</v>
      </c>
      <c r="B14" s="1090">
        <v>8454930.4499999993</v>
      </c>
      <c r="C14" s="1090">
        <v>8598185.2499999981</v>
      </c>
      <c r="D14" s="1090">
        <v>8909166.6099999994</v>
      </c>
      <c r="E14" s="1090">
        <v>9535443.3800000008</v>
      </c>
      <c r="F14" s="1090">
        <v>10285629.649999999</v>
      </c>
      <c r="G14" s="1090">
        <v>10720718.02</v>
      </c>
      <c r="H14" s="1090">
        <v>11170804.560000001</v>
      </c>
      <c r="I14" s="1090">
        <v>11779183.77</v>
      </c>
      <c r="J14" s="1090">
        <v>14193553.000000002</v>
      </c>
      <c r="K14" s="1090">
        <v>15739461.930000002</v>
      </c>
      <c r="L14" s="1090">
        <v>18370602.200000003</v>
      </c>
      <c r="M14" s="1090">
        <v>20839387.149999999</v>
      </c>
      <c r="N14" s="1090">
        <v>23767842.66</v>
      </c>
      <c r="O14" s="1019">
        <v>26133116</v>
      </c>
      <c r="P14" s="1019">
        <v>28293958.349999998</v>
      </c>
      <c r="Q14" s="1019">
        <v>66551.69</v>
      </c>
      <c r="R14" s="1019">
        <v>66880.39</v>
      </c>
      <c r="S14" s="1019">
        <v>67978.13</v>
      </c>
      <c r="T14" s="1019">
        <v>69000.17</v>
      </c>
      <c r="U14" s="1093">
        <v>69334.38</v>
      </c>
      <c r="V14" s="1093">
        <v>69858.63</v>
      </c>
      <c r="W14" s="1093">
        <v>0</v>
      </c>
      <c r="X14" s="1093">
        <v>0</v>
      </c>
      <c r="Y14" s="1093">
        <v>123508.02</v>
      </c>
      <c r="Z14" s="1093">
        <v>124107.04</v>
      </c>
      <c r="AA14" s="1093">
        <v>128008.12</v>
      </c>
      <c r="AB14" s="1093">
        <v>128649.56</v>
      </c>
      <c r="AC14" s="1093">
        <v>129275.77</v>
      </c>
      <c r="AD14" s="1093">
        <v>129905.09</v>
      </c>
      <c r="AE14" s="1093">
        <v>130537.47</v>
      </c>
      <c r="AF14" s="1093">
        <v>131172.92000000001</v>
      </c>
      <c r="AG14" s="1093">
        <v>132614.21</v>
      </c>
      <c r="AH14" s="1093">
        <v>173742</v>
      </c>
      <c r="AI14" s="1093">
        <v>176677.73</v>
      </c>
      <c r="AJ14" s="1093">
        <v>270655.57</v>
      </c>
      <c r="AK14" s="1093">
        <v>274777.67</v>
      </c>
      <c r="AL14" s="739">
        <f t="shared" si="0"/>
        <v>157971.62846153846</v>
      </c>
    </row>
    <row r="15" spans="1:38" s="738" customFormat="1">
      <c r="A15" s="1271" t="s">
        <v>2572</v>
      </c>
      <c r="B15" s="1090">
        <v>12314178.949999999</v>
      </c>
      <c r="C15" s="1090">
        <v>21177952.149999999</v>
      </c>
      <c r="D15" s="1090">
        <v>23555505.949999999</v>
      </c>
      <c r="E15" s="1090">
        <v>30897112.730000004</v>
      </c>
      <c r="F15" s="1090">
        <v>41159933</v>
      </c>
      <c r="G15" s="1090">
        <v>45148714.710000001</v>
      </c>
      <c r="H15" s="1090">
        <v>45985695.18</v>
      </c>
      <c r="I15" s="1090">
        <v>46646722.869999997</v>
      </c>
      <c r="J15" s="1090">
        <v>46801929.340000004</v>
      </c>
      <c r="K15" s="1090">
        <v>0</v>
      </c>
      <c r="L15" s="1090">
        <v>0</v>
      </c>
      <c r="M15" s="1090">
        <v>0</v>
      </c>
      <c r="N15" s="1090">
        <v>0</v>
      </c>
      <c r="O15" s="1019">
        <v>0</v>
      </c>
      <c r="P15" s="1019">
        <v>0</v>
      </c>
      <c r="Q15" s="1019">
        <v>0</v>
      </c>
      <c r="R15" s="1019">
        <v>0</v>
      </c>
      <c r="S15" s="1019">
        <v>0</v>
      </c>
      <c r="T15" s="1019">
        <v>0</v>
      </c>
      <c r="U15" s="1093">
        <v>0</v>
      </c>
      <c r="V15" s="1093">
        <v>0</v>
      </c>
      <c r="W15" s="1093">
        <v>0</v>
      </c>
      <c r="X15" s="1093">
        <v>0</v>
      </c>
      <c r="Y15" s="1093">
        <v>3061604.59</v>
      </c>
      <c r="Z15" s="1093">
        <v>3084242.93</v>
      </c>
      <c r="AA15" s="1093">
        <v>3114987.7</v>
      </c>
      <c r="AB15" s="1093">
        <v>3148230.07</v>
      </c>
      <c r="AC15" s="1093">
        <v>3173455.65</v>
      </c>
      <c r="AD15" s="1093">
        <v>3193690.9</v>
      </c>
      <c r="AE15" s="1093">
        <v>3209351.73</v>
      </c>
      <c r="AF15" s="1093">
        <v>3228405.36</v>
      </c>
      <c r="AG15" s="1093">
        <v>3244112.88</v>
      </c>
      <c r="AH15" s="1093">
        <v>3270792.91</v>
      </c>
      <c r="AI15" s="1093">
        <v>3289131.5</v>
      </c>
      <c r="AJ15" s="1093">
        <v>3319637.1</v>
      </c>
      <c r="AK15" s="1093">
        <v>3449833.16</v>
      </c>
      <c r="AL15" s="739">
        <f t="shared" si="0"/>
        <v>3214421.2676923079</v>
      </c>
    </row>
    <row r="16" spans="1:38" s="738" customFormat="1">
      <c r="A16" s="1271" t="s">
        <v>2573</v>
      </c>
      <c r="B16" s="1090">
        <v>37843.699999999997</v>
      </c>
      <c r="C16" s="1090">
        <v>43581.279999999999</v>
      </c>
      <c r="D16" s="1090">
        <v>45236.79</v>
      </c>
      <c r="E16" s="1090">
        <v>201042.97</v>
      </c>
      <c r="F16" s="1090">
        <v>217714.44</v>
      </c>
      <c r="G16" s="1090">
        <v>227176.14</v>
      </c>
      <c r="H16" s="1090">
        <v>256962.88</v>
      </c>
      <c r="I16" s="1090">
        <v>853949.96</v>
      </c>
      <c r="J16" s="1090">
        <v>1702922.55</v>
      </c>
      <c r="K16" s="1090">
        <v>2737541.36</v>
      </c>
      <c r="L16" s="1090">
        <v>3329403.46</v>
      </c>
      <c r="M16" s="1090">
        <v>4269034</v>
      </c>
      <c r="N16" s="1090">
        <v>4957028.16</v>
      </c>
      <c r="O16" s="1019">
        <v>5532640.9100000001</v>
      </c>
      <c r="P16" s="1019">
        <v>6645237.3700000001</v>
      </c>
      <c r="Q16" s="1019">
        <v>7480664.0800000001</v>
      </c>
      <c r="R16" s="1019">
        <v>8082126.6299999999</v>
      </c>
      <c r="S16" s="1019">
        <v>8357770.54</v>
      </c>
      <c r="T16" s="1019">
        <v>8631551.1899999995</v>
      </c>
      <c r="U16" s="1093">
        <v>8773776.7699999996</v>
      </c>
      <c r="V16" s="1093">
        <v>8988650.3000000007</v>
      </c>
      <c r="W16" s="1093">
        <v>9119456.1699999999</v>
      </c>
      <c r="X16" s="1093">
        <v>9394496.5899999999</v>
      </c>
      <c r="Y16" s="1093">
        <v>25001.27</v>
      </c>
      <c r="Z16" s="1093">
        <v>32511.83</v>
      </c>
      <c r="AA16" s="1093">
        <v>1544637.4</v>
      </c>
      <c r="AB16" s="1093">
        <v>1937034.65</v>
      </c>
      <c r="AC16" s="1093">
        <v>1920236.59</v>
      </c>
      <c r="AD16" s="1093">
        <v>1942060.19</v>
      </c>
      <c r="AE16" s="1093">
        <v>1999078.75</v>
      </c>
      <c r="AF16" s="1093">
        <v>2261392.5499999998</v>
      </c>
      <c r="AG16" s="1093">
        <v>2279380.9500000002</v>
      </c>
      <c r="AH16" s="1093">
        <v>2290458.4900000002</v>
      </c>
      <c r="AI16" s="1093">
        <v>2299516.38</v>
      </c>
      <c r="AJ16" s="1093">
        <v>2310715.52</v>
      </c>
      <c r="AK16" s="1093">
        <v>2321964.08</v>
      </c>
      <c r="AL16" s="739">
        <f t="shared" si="0"/>
        <v>1781845.2807692306</v>
      </c>
    </row>
    <row r="17" spans="1:38" s="738" customFormat="1">
      <c r="A17" s="1271" t="s">
        <v>2575</v>
      </c>
      <c r="B17" s="1090">
        <v>74098.39</v>
      </c>
      <c r="C17" s="1090">
        <v>118389.22</v>
      </c>
      <c r="D17" s="1090">
        <v>135643.26999999999</v>
      </c>
      <c r="E17" s="1090">
        <v>150485.51999999999</v>
      </c>
      <c r="F17" s="1090">
        <v>249196.17</v>
      </c>
      <c r="G17" s="1090">
        <v>267266.46000000002</v>
      </c>
      <c r="H17" s="1090">
        <v>338293.91</v>
      </c>
      <c r="I17" s="1090">
        <v>528350.93999999994</v>
      </c>
      <c r="J17" s="1094">
        <v>844177.5</v>
      </c>
      <c r="K17" s="1094">
        <v>904687.89</v>
      </c>
      <c r="L17" s="1094">
        <v>892704.11</v>
      </c>
      <c r="M17" s="1094">
        <v>922425.54</v>
      </c>
      <c r="N17" s="1094">
        <v>930788.44000000006</v>
      </c>
      <c r="O17" s="1019">
        <v>1083244.07</v>
      </c>
      <c r="P17" s="1019">
        <v>1101921.94</v>
      </c>
      <c r="Q17" s="1019">
        <v>1140501.23</v>
      </c>
      <c r="R17" s="1019">
        <v>1151575.6200000001</v>
      </c>
      <c r="S17" s="1019">
        <v>1171259.42</v>
      </c>
      <c r="T17" s="1019">
        <v>1219219.8999999999</v>
      </c>
      <c r="U17" s="1093">
        <v>1265137.6000000001</v>
      </c>
      <c r="V17" s="1095">
        <v>0</v>
      </c>
      <c r="W17" s="1103">
        <v>0</v>
      </c>
      <c r="X17" s="1103">
        <v>0</v>
      </c>
      <c r="Y17" s="1103">
        <v>1479707.32</v>
      </c>
      <c r="Z17" s="1103">
        <v>1621913.96</v>
      </c>
      <c r="AA17" s="1103">
        <v>1646003.77</v>
      </c>
      <c r="AB17" s="1103">
        <v>1593324.41</v>
      </c>
      <c r="AC17" s="1103">
        <v>1811352.49</v>
      </c>
      <c r="AD17" s="1103">
        <v>2005694.73</v>
      </c>
      <c r="AE17" s="1103">
        <v>2015005.64</v>
      </c>
      <c r="AF17" s="1103">
        <v>2070850.61</v>
      </c>
      <c r="AG17" s="1103">
        <v>2110375.59</v>
      </c>
      <c r="AH17" s="1103">
        <v>1958182.97</v>
      </c>
      <c r="AI17" s="1103">
        <v>1968110.67</v>
      </c>
      <c r="AJ17" s="1103">
        <v>1977691.44</v>
      </c>
      <c r="AK17" s="1103">
        <v>1987318.84</v>
      </c>
      <c r="AL17" s="739">
        <f t="shared" si="0"/>
        <v>1865040.9569230773</v>
      </c>
    </row>
    <row r="18" spans="1:38" s="738" customFormat="1">
      <c r="A18" s="1271" t="s">
        <v>2664</v>
      </c>
      <c r="B18" s="1090">
        <v>0</v>
      </c>
      <c r="C18" s="1090">
        <v>0</v>
      </c>
      <c r="D18" s="1019">
        <v>0</v>
      </c>
      <c r="E18" s="1090">
        <v>0</v>
      </c>
      <c r="F18" s="1090">
        <v>52902.23</v>
      </c>
      <c r="G18" s="1090">
        <v>62565.13</v>
      </c>
      <c r="H18" s="1090">
        <v>67776.100000000006</v>
      </c>
      <c r="I18" s="1090">
        <v>9334465.0299999993</v>
      </c>
      <c r="J18" s="1090">
        <v>9453108.8599999994</v>
      </c>
      <c r="K18" s="1090">
        <v>9998286.540000001</v>
      </c>
      <c r="L18" s="1090">
        <v>10067833.35</v>
      </c>
      <c r="M18" s="1090">
        <v>10618180.779999999</v>
      </c>
      <c r="N18" s="1090">
        <v>10717214.880000001</v>
      </c>
      <c r="O18" s="1019">
        <v>11098600</v>
      </c>
      <c r="P18" s="1019">
        <v>11435627.34</v>
      </c>
      <c r="Q18" s="1019">
        <v>12058288.02</v>
      </c>
      <c r="R18" s="1019">
        <v>12848339.200000001</v>
      </c>
      <c r="S18" s="1019">
        <v>13772991.170000002</v>
      </c>
      <c r="T18" s="1019">
        <v>19145361.530000001</v>
      </c>
      <c r="U18" s="1093">
        <v>26028514.520000003</v>
      </c>
      <c r="V18" s="1093">
        <v>27414013.170000002</v>
      </c>
      <c r="W18" s="1103">
        <v>29578660.280000001</v>
      </c>
      <c r="X18" s="1103">
        <v>9931458.3000000007</v>
      </c>
      <c r="Y18" s="1103">
        <v>278259.56</v>
      </c>
      <c r="Z18" s="1103">
        <v>281223.12</v>
      </c>
      <c r="AA18" s="1103">
        <v>352807.23</v>
      </c>
      <c r="AB18" s="1103">
        <v>362289.46</v>
      </c>
      <c r="AC18" s="1103">
        <v>367691.34</v>
      </c>
      <c r="AD18" s="1103">
        <v>0</v>
      </c>
      <c r="AE18" s="1103">
        <v>0</v>
      </c>
      <c r="AF18" s="1103">
        <v>0</v>
      </c>
      <c r="AG18" s="1103">
        <v>0</v>
      </c>
      <c r="AH18" s="1103">
        <v>0</v>
      </c>
      <c r="AI18" s="1103">
        <v>0</v>
      </c>
      <c r="AJ18" s="1103">
        <v>0</v>
      </c>
      <c r="AK18" s="1103">
        <v>0</v>
      </c>
      <c r="AL18" s="739">
        <f t="shared" si="0"/>
        <v>126328.51615384615</v>
      </c>
    </row>
    <row r="19" spans="1:38" s="738" customFormat="1">
      <c r="A19" s="1271" t="s">
        <v>2665</v>
      </c>
      <c r="B19" s="1090">
        <v>0</v>
      </c>
      <c r="C19" s="1090">
        <v>0</v>
      </c>
      <c r="D19" s="1019">
        <v>0</v>
      </c>
      <c r="E19" s="1090">
        <v>0</v>
      </c>
      <c r="F19" s="1090">
        <v>10446.379999999999</v>
      </c>
      <c r="G19" s="1090">
        <v>10471.68</v>
      </c>
      <c r="H19" s="1090">
        <v>10522.41</v>
      </c>
      <c r="I19" s="1090">
        <v>10573.38</v>
      </c>
      <c r="J19" s="1090">
        <v>12617.15</v>
      </c>
      <c r="K19" s="1090">
        <v>12673.44</v>
      </c>
      <c r="L19" s="1090">
        <v>14997.96</v>
      </c>
      <c r="M19" s="1090">
        <v>21657.67</v>
      </c>
      <c r="N19" s="1090">
        <v>26124.11</v>
      </c>
      <c r="O19" s="1019">
        <v>28059.96</v>
      </c>
      <c r="P19" s="1019">
        <v>30307.17</v>
      </c>
      <c r="Q19" s="1019">
        <v>35330.699999999997</v>
      </c>
      <c r="R19" s="1019">
        <v>38067.910000000003</v>
      </c>
      <c r="S19" s="1019">
        <v>40958.720000000001</v>
      </c>
      <c r="T19" s="1019">
        <v>42946.6</v>
      </c>
      <c r="U19" s="1093">
        <v>45476.56</v>
      </c>
      <c r="V19" s="1095">
        <v>0</v>
      </c>
      <c r="W19" s="1103">
        <v>0</v>
      </c>
      <c r="X19" s="1103">
        <v>0</v>
      </c>
      <c r="Y19" s="1103">
        <v>3049430.85</v>
      </c>
      <c r="Z19" s="1103">
        <v>3063358.79</v>
      </c>
      <c r="AA19" s="1103">
        <v>3409342.87</v>
      </c>
      <c r="AB19" s="1103">
        <v>3426697.39</v>
      </c>
      <c r="AC19" s="1103">
        <v>3443374.74</v>
      </c>
      <c r="AD19" s="1103">
        <v>3467752.59</v>
      </c>
      <c r="AE19" s="1103">
        <v>3677261.9</v>
      </c>
      <c r="AF19" s="1103">
        <v>3696287.31</v>
      </c>
      <c r="AG19" s="1103">
        <v>3716227.77</v>
      </c>
      <c r="AH19" s="1103">
        <v>5585735.6900000004</v>
      </c>
      <c r="AI19" s="1103">
        <v>5608607.8200000003</v>
      </c>
      <c r="AJ19" s="1103">
        <v>5637139.0899999999</v>
      </c>
      <c r="AK19" s="1103">
        <v>5673191.1100000003</v>
      </c>
      <c r="AL19" s="739">
        <f t="shared" si="0"/>
        <v>4111877.5323076923</v>
      </c>
    </row>
    <row r="20" spans="1:38" s="738" customFormat="1">
      <c r="A20" s="1271" t="s">
        <v>2750</v>
      </c>
      <c r="B20" s="1090">
        <v>0</v>
      </c>
      <c r="C20" s="1090">
        <v>0</v>
      </c>
      <c r="D20" s="1090">
        <v>0</v>
      </c>
      <c r="E20" s="1090">
        <v>0</v>
      </c>
      <c r="F20" s="1090">
        <v>0</v>
      </c>
      <c r="G20" s="1090">
        <v>0</v>
      </c>
      <c r="H20" s="1090">
        <v>0</v>
      </c>
      <c r="I20" s="1090">
        <v>0</v>
      </c>
      <c r="J20" s="1090">
        <v>0</v>
      </c>
      <c r="K20" s="1090">
        <v>0</v>
      </c>
      <c r="L20" s="1090">
        <v>26221</v>
      </c>
      <c r="M20" s="1090">
        <v>45636.1</v>
      </c>
      <c r="N20" s="1090">
        <v>69799.72</v>
      </c>
      <c r="O20" s="1019">
        <v>93662.399999999994</v>
      </c>
      <c r="P20" s="1019">
        <v>105872.7</v>
      </c>
      <c r="Q20" s="1019">
        <v>132168.70000000001</v>
      </c>
      <c r="R20" s="1019">
        <v>142978.12</v>
      </c>
      <c r="S20" s="1019">
        <v>226065.41</v>
      </c>
      <c r="T20" s="1019">
        <v>242099.03</v>
      </c>
      <c r="U20" s="1093">
        <v>296974.73</v>
      </c>
      <c r="V20" s="1093">
        <v>325381.05</v>
      </c>
      <c r="W20" s="1093">
        <v>1292732.6200000001</v>
      </c>
      <c r="X20" s="1093">
        <v>3520048.38</v>
      </c>
      <c r="Y20" s="1093">
        <v>398915.03</v>
      </c>
      <c r="Z20" s="1093">
        <v>1562434.66</v>
      </c>
      <c r="AA20" s="1093">
        <v>1603769.1</v>
      </c>
      <c r="AB20" s="1093">
        <v>1629682.82</v>
      </c>
      <c r="AC20" s="1093">
        <v>1648268.25</v>
      </c>
      <c r="AD20" s="1093">
        <v>1554950.54</v>
      </c>
      <c r="AE20" s="1093">
        <v>1562766.64</v>
      </c>
      <c r="AF20" s="1093">
        <v>1570374.19</v>
      </c>
      <c r="AG20" s="1093">
        <v>0</v>
      </c>
      <c r="AH20" s="1093">
        <v>0</v>
      </c>
      <c r="AI20" s="1093">
        <v>0</v>
      </c>
      <c r="AJ20" s="1093">
        <v>0</v>
      </c>
      <c r="AK20" s="1093">
        <v>0</v>
      </c>
      <c r="AL20" s="739">
        <f t="shared" si="0"/>
        <v>887012.40230769233</v>
      </c>
    </row>
    <row r="21" spans="1:38" s="738" customFormat="1">
      <c r="A21" s="1271" t="s">
        <v>2545</v>
      </c>
      <c r="B21" s="1090">
        <v>0</v>
      </c>
      <c r="C21" s="1090">
        <v>0</v>
      </c>
      <c r="D21" s="1090">
        <v>0</v>
      </c>
      <c r="E21" s="1090">
        <v>0</v>
      </c>
      <c r="F21" s="1090">
        <v>0</v>
      </c>
      <c r="G21" s="1090">
        <v>0</v>
      </c>
      <c r="H21" s="1090">
        <v>0</v>
      </c>
      <c r="I21" s="1090">
        <v>0</v>
      </c>
      <c r="J21" s="1090">
        <v>0</v>
      </c>
      <c r="K21" s="1090">
        <v>0</v>
      </c>
      <c r="L21" s="1090">
        <v>0</v>
      </c>
      <c r="M21" s="1090">
        <v>28441.37</v>
      </c>
      <c r="N21" s="1090">
        <v>28510.25</v>
      </c>
      <c r="O21" s="1019">
        <v>35231.279999999999</v>
      </c>
      <c r="P21" s="1019">
        <v>96710.45</v>
      </c>
      <c r="Q21" s="1019">
        <v>105529.55</v>
      </c>
      <c r="R21" s="1019">
        <v>4408.57</v>
      </c>
      <c r="S21" s="1019">
        <v>7526.61</v>
      </c>
      <c r="T21" s="1019">
        <v>24607.21</v>
      </c>
      <c r="U21" s="1093">
        <v>31630.45</v>
      </c>
      <c r="V21" s="1093">
        <v>2384054.41</v>
      </c>
      <c r="W21" s="1093">
        <v>2441933.41</v>
      </c>
      <c r="X21" s="1093">
        <v>2590723.65</v>
      </c>
      <c r="Y21" s="1093">
        <v>10099072.75</v>
      </c>
      <c r="Z21" s="1093">
        <v>10770965.390000001</v>
      </c>
      <c r="AA21" s="1093">
        <v>11952732.68</v>
      </c>
      <c r="AB21" s="1093">
        <v>13260904.439999999</v>
      </c>
      <c r="AC21" s="1093">
        <v>14137710.35</v>
      </c>
      <c r="AD21" s="1093">
        <v>14892471.24</v>
      </c>
      <c r="AE21" s="1093">
        <v>15469254.93</v>
      </c>
      <c r="AF21" s="1093">
        <v>16089941.060000001</v>
      </c>
      <c r="AG21" s="1093">
        <v>16693628.359999999</v>
      </c>
      <c r="AH21" s="1093">
        <v>19240922.789999999</v>
      </c>
      <c r="AI21" s="1093">
        <v>19609597.609999999</v>
      </c>
      <c r="AJ21" s="1093">
        <v>20130268.48</v>
      </c>
      <c r="AK21" s="1093">
        <v>21459411.350000001</v>
      </c>
      <c r="AL21" s="739">
        <f t="shared" si="0"/>
        <v>15677452.417692307</v>
      </c>
    </row>
    <row r="22" spans="1:38" s="738" customFormat="1">
      <c r="A22" s="1271" t="s">
        <v>2319</v>
      </c>
      <c r="B22" s="1090">
        <v>0</v>
      </c>
      <c r="C22" s="1090">
        <v>0</v>
      </c>
      <c r="D22" s="1090">
        <v>0</v>
      </c>
      <c r="E22" s="1090">
        <v>0</v>
      </c>
      <c r="F22" s="1090">
        <v>0</v>
      </c>
      <c r="G22" s="1090">
        <v>0</v>
      </c>
      <c r="H22" s="1090">
        <v>0</v>
      </c>
      <c r="I22" s="1090">
        <v>0</v>
      </c>
      <c r="J22" s="1090">
        <v>12908.44</v>
      </c>
      <c r="K22" s="1090">
        <v>31196.400000000001</v>
      </c>
      <c r="L22" s="1090">
        <v>55446.31</v>
      </c>
      <c r="M22" s="1090">
        <v>137697.25</v>
      </c>
      <c r="N22" s="1090">
        <v>780571</v>
      </c>
      <c r="O22" s="1019">
        <v>905129.29</v>
      </c>
      <c r="P22" s="1019">
        <v>1738610.72</v>
      </c>
      <c r="Q22" s="1019">
        <v>2405127.2799999998</v>
      </c>
      <c r="R22" s="1019">
        <v>2914780.05</v>
      </c>
      <c r="S22" s="1019">
        <v>4401227.33</v>
      </c>
      <c r="T22" s="1019">
        <v>4730220.25</v>
      </c>
      <c r="U22" s="1093">
        <v>5669806.9199999999</v>
      </c>
      <c r="V22" s="1093">
        <v>7968148.5</v>
      </c>
      <c r="W22" s="1093">
        <v>8883174.2300000004</v>
      </c>
      <c r="X22" s="1093">
        <v>9889307.2300000004</v>
      </c>
      <c r="Y22" s="1093">
        <v>11062109.029999999</v>
      </c>
      <c r="Z22" s="1093">
        <v>12160752.93</v>
      </c>
      <c r="AA22" s="1093">
        <v>13374694.35</v>
      </c>
      <c r="AB22" s="1093">
        <v>14509464.33</v>
      </c>
      <c r="AC22" s="1093">
        <v>16101181.59</v>
      </c>
      <c r="AD22" s="1093">
        <v>17265101.120000001</v>
      </c>
      <c r="AE22" s="1093">
        <v>18774309.48</v>
      </c>
      <c r="AF22" s="1093">
        <v>19380187.920000002</v>
      </c>
      <c r="AG22" s="1093">
        <v>20490836.489999998</v>
      </c>
      <c r="AH22" s="1093">
        <v>21260859.57</v>
      </c>
      <c r="AI22" s="1093">
        <v>21988990.629999999</v>
      </c>
      <c r="AJ22" s="1093">
        <v>22699347.850000001</v>
      </c>
      <c r="AK22" s="1093">
        <v>23369328.379999999</v>
      </c>
      <c r="AL22" s="739">
        <f t="shared" si="0"/>
        <v>17879781.820769228</v>
      </c>
    </row>
    <row r="23" spans="1:38" s="738" customFormat="1">
      <c r="A23" s="1271" t="s">
        <v>2574</v>
      </c>
      <c r="B23" s="1019"/>
      <c r="C23" s="1019"/>
      <c r="D23" s="1019"/>
      <c r="E23" s="1019"/>
      <c r="F23" s="1019"/>
      <c r="G23" s="1090"/>
      <c r="H23" s="1019"/>
      <c r="I23" s="1019"/>
      <c r="J23" s="1019"/>
      <c r="K23" s="1019"/>
      <c r="L23" s="1019"/>
      <c r="M23" s="1019">
        <v>0</v>
      </c>
      <c r="N23" s="1019">
        <v>0</v>
      </c>
      <c r="O23" s="1019">
        <v>3664638.77</v>
      </c>
      <c r="P23" s="1019">
        <v>3844303</v>
      </c>
      <c r="Q23" s="1019">
        <v>0</v>
      </c>
      <c r="R23" s="1019">
        <v>0</v>
      </c>
      <c r="S23" s="1019">
        <v>0</v>
      </c>
      <c r="T23" s="1019">
        <v>0</v>
      </c>
      <c r="U23" s="1093">
        <v>0</v>
      </c>
      <c r="V23" s="1093">
        <v>0</v>
      </c>
      <c r="W23" s="1093">
        <v>0</v>
      </c>
      <c r="X23" s="1093">
        <v>0</v>
      </c>
      <c r="Y23" s="1093">
        <v>162995.32999999999</v>
      </c>
      <c r="Z23" s="1093">
        <v>165837.63</v>
      </c>
      <c r="AA23" s="1093">
        <v>168663.35</v>
      </c>
      <c r="AB23" s="1093">
        <v>178835.20000000001</v>
      </c>
      <c r="AC23" s="1093">
        <v>185033.14</v>
      </c>
      <c r="AD23" s="1093">
        <v>224228.48000000001</v>
      </c>
      <c r="AE23" s="1093">
        <v>465655.59</v>
      </c>
      <c r="AF23" s="1103">
        <v>467337.19</v>
      </c>
      <c r="AG23" s="1103">
        <v>471280.71</v>
      </c>
      <c r="AH23" s="1103">
        <v>493244.83</v>
      </c>
      <c r="AI23" s="1103">
        <v>662390.59</v>
      </c>
      <c r="AJ23" s="1103">
        <v>1026882.33</v>
      </c>
      <c r="AK23" s="1103">
        <v>1210353.6299999999</v>
      </c>
      <c r="AL23" s="739">
        <f t="shared" si="0"/>
        <v>452518.30769230769</v>
      </c>
    </row>
    <row r="24" spans="1:38" s="738" customFormat="1">
      <c r="A24" s="1271" t="s">
        <v>2751</v>
      </c>
      <c r="B24" s="1019"/>
      <c r="C24" s="1019"/>
      <c r="D24" s="1019"/>
      <c r="E24" s="1019"/>
      <c r="F24" s="1019"/>
      <c r="G24" s="1090"/>
      <c r="H24" s="1019"/>
      <c r="I24" s="1019"/>
      <c r="J24" s="1019"/>
      <c r="K24" s="1019"/>
      <c r="L24" s="1019"/>
      <c r="M24" s="1019">
        <v>0</v>
      </c>
      <c r="N24" s="1019">
        <v>0</v>
      </c>
      <c r="O24" s="1019">
        <v>74596.42</v>
      </c>
      <c r="P24" s="1019">
        <v>106228.99</v>
      </c>
      <c r="Q24" s="1019">
        <v>106667.81</v>
      </c>
      <c r="R24" s="1019">
        <v>107191.07</v>
      </c>
      <c r="S24" s="1019">
        <v>118290.15</v>
      </c>
      <c r="T24" s="1019">
        <v>118840.24</v>
      </c>
      <c r="U24" s="1093">
        <v>119418.75</v>
      </c>
      <c r="V24" s="1093">
        <v>120000.08</v>
      </c>
      <c r="W24" s="1093">
        <v>121415.07</v>
      </c>
      <c r="X24" s="1093">
        <v>122004.1</v>
      </c>
      <c r="Y24" s="1093">
        <v>67524.28</v>
      </c>
      <c r="Z24" s="1093">
        <v>99454.12</v>
      </c>
      <c r="AA24" s="1093">
        <v>106349.02</v>
      </c>
      <c r="AB24" s="1093">
        <v>106875.29</v>
      </c>
      <c r="AC24" s="1093">
        <v>107395.5</v>
      </c>
      <c r="AD24" s="1093">
        <v>107918.3</v>
      </c>
      <c r="AE24" s="1093">
        <v>108443.65</v>
      </c>
      <c r="AF24" s="1093">
        <v>108971.56</v>
      </c>
      <c r="AG24" s="1093">
        <v>109502.03</v>
      </c>
      <c r="AH24" s="1093">
        <v>110035.08</v>
      </c>
      <c r="AI24" s="1093">
        <v>110570.73</v>
      </c>
      <c r="AJ24" s="1093">
        <v>111108.99</v>
      </c>
      <c r="AK24" s="1093">
        <v>111649.87</v>
      </c>
      <c r="AL24" s="739">
        <f t="shared" si="0"/>
        <v>105061.41692307692</v>
      </c>
    </row>
    <row r="25" spans="1:38" s="738" customFormat="1">
      <c r="A25" s="1271" t="s">
        <v>2855</v>
      </c>
      <c r="B25" s="1019"/>
      <c r="C25" s="1019"/>
      <c r="D25" s="1019"/>
      <c r="E25" s="1019"/>
      <c r="F25" s="1019"/>
      <c r="G25" s="1090"/>
      <c r="H25" s="1019"/>
      <c r="I25" s="1019"/>
      <c r="J25" s="1019"/>
      <c r="K25" s="1019"/>
      <c r="L25" s="1019"/>
      <c r="M25" s="1019">
        <v>0</v>
      </c>
      <c r="N25" s="1019">
        <v>0</v>
      </c>
      <c r="O25" s="1019">
        <v>2079530.85</v>
      </c>
      <c r="P25" s="1019">
        <v>2090240.87</v>
      </c>
      <c r="Q25" s="1019">
        <v>2100364.13</v>
      </c>
      <c r="R25" s="1019">
        <v>2145279.34</v>
      </c>
      <c r="S25" s="1019">
        <v>2186866.4700000002</v>
      </c>
      <c r="T25" s="1019">
        <v>2443931.54</v>
      </c>
      <c r="U25" s="1093">
        <v>2624455.92</v>
      </c>
      <c r="V25" s="1093">
        <v>2823321.68</v>
      </c>
      <c r="W25" s="1093">
        <v>2935376.71</v>
      </c>
      <c r="X25" s="1093">
        <v>2987883.51</v>
      </c>
      <c r="Y25" s="1093">
        <v>0</v>
      </c>
      <c r="Z25" s="1093">
        <v>194016.59</v>
      </c>
      <c r="AA25" s="1093">
        <v>-211981.31</v>
      </c>
      <c r="AB25" s="1093">
        <v>376900.3</v>
      </c>
      <c r="AC25" s="1093">
        <v>1147530.6299999999</v>
      </c>
      <c r="AD25" s="1093">
        <v>1390524.81</v>
      </c>
      <c r="AE25" s="1093">
        <v>1487032.56</v>
      </c>
      <c r="AF25" s="1093">
        <v>1526453.29</v>
      </c>
      <c r="AG25" s="1093">
        <v>1675844.88</v>
      </c>
      <c r="AH25" s="1093">
        <v>1687433.87</v>
      </c>
      <c r="AI25" s="1093">
        <v>1824505.89</v>
      </c>
      <c r="AJ25" s="1093">
        <v>1836486.25</v>
      </c>
      <c r="AK25" s="1093">
        <v>1849169.55</v>
      </c>
      <c r="AL25" s="739">
        <f t="shared" si="0"/>
        <v>1137224.4084615386</v>
      </c>
    </row>
    <row r="26" spans="1:38" s="738" customFormat="1">
      <c r="A26" s="1271" t="s">
        <v>2916</v>
      </c>
      <c r="B26" s="1019"/>
      <c r="C26" s="1019"/>
      <c r="D26" s="1019"/>
      <c r="E26" s="1019"/>
      <c r="F26" s="1019"/>
      <c r="G26" s="1090"/>
      <c r="H26" s="1019"/>
      <c r="I26" s="1019"/>
      <c r="J26" s="1019"/>
      <c r="K26" s="1019"/>
      <c r="L26" s="1019"/>
      <c r="M26" s="1019">
        <v>0</v>
      </c>
      <c r="N26" s="1019">
        <v>0</v>
      </c>
      <c r="O26" s="1019">
        <v>52116.68</v>
      </c>
      <c r="P26" s="1019">
        <v>0</v>
      </c>
      <c r="Q26" s="1019">
        <v>0</v>
      </c>
      <c r="R26" s="1019">
        <v>0</v>
      </c>
      <c r="S26" s="1019">
        <v>0</v>
      </c>
      <c r="T26" s="1019">
        <v>0</v>
      </c>
      <c r="U26" s="1093">
        <v>0</v>
      </c>
      <c r="V26" s="1093">
        <v>0</v>
      </c>
      <c r="W26" s="1093">
        <v>0</v>
      </c>
      <c r="X26" s="1093">
        <v>0</v>
      </c>
      <c r="Y26" s="1093">
        <v>0</v>
      </c>
      <c r="Z26" s="1093">
        <v>0</v>
      </c>
      <c r="AA26" s="1093">
        <v>0</v>
      </c>
      <c r="AB26" s="1093">
        <v>0</v>
      </c>
      <c r="AC26" s="1093">
        <v>108265.72</v>
      </c>
      <c r="AD26" s="1093">
        <v>198044.49</v>
      </c>
      <c r="AE26" s="1093">
        <v>484056.32000000001</v>
      </c>
      <c r="AF26" s="1103">
        <v>592926</v>
      </c>
      <c r="AG26" s="1103">
        <v>706475.35</v>
      </c>
      <c r="AH26" s="1103">
        <v>846166.18</v>
      </c>
      <c r="AI26" s="1103">
        <v>770153.49</v>
      </c>
      <c r="AJ26" s="1103">
        <v>1042285.63</v>
      </c>
      <c r="AK26" s="1103">
        <v>6632136.46</v>
      </c>
      <c r="AL26" s="739">
        <f t="shared" si="0"/>
        <v>875423.81846153853</v>
      </c>
    </row>
    <row r="27" spans="1:38" s="738" customFormat="1">
      <c r="A27" s="1271" t="s">
        <v>2917</v>
      </c>
      <c r="B27" s="1019"/>
      <c r="C27" s="1019"/>
      <c r="D27" s="1019"/>
      <c r="E27" s="1019"/>
      <c r="F27" s="1019"/>
      <c r="G27" s="1090"/>
      <c r="H27" s="1019"/>
      <c r="I27" s="1019"/>
      <c r="J27" s="1019"/>
      <c r="K27" s="1019"/>
      <c r="L27" s="1019"/>
      <c r="M27" s="1019">
        <v>0</v>
      </c>
      <c r="N27" s="1019">
        <v>0</v>
      </c>
      <c r="O27" s="1019">
        <v>13595.9</v>
      </c>
      <c r="P27" s="1019">
        <v>14017.16</v>
      </c>
      <c r="Q27" s="1019">
        <v>14514.89</v>
      </c>
      <c r="R27" s="1019">
        <v>14585.16</v>
      </c>
      <c r="S27" s="1019">
        <v>14770.75</v>
      </c>
      <c r="T27" s="1019">
        <v>14842.38</v>
      </c>
      <c r="U27" s="1093">
        <v>14914.63</v>
      </c>
      <c r="V27" s="1093">
        <v>14987.23</v>
      </c>
      <c r="W27" s="1093">
        <v>24783.18</v>
      </c>
      <c r="X27" s="1093">
        <v>24880.16</v>
      </c>
      <c r="Y27" s="1093">
        <v>0</v>
      </c>
      <c r="Z27" s="1093">
        <v>0</v>
      </c>
      <c r="AA27" s="1093">
        <v>0</v>
      </c>
      <c r="AB27" s="1093">
        <v>0</v>
      </c>
      <c r="AC27" s="1093">
        <v>0</v>
      </c>
      <c r="AD27" s="1093">
        <v>0</v>
      </c>
      <c r="AE27" s="1093">
        <v>0</v>
      </c>
      <c r="AF27" s="1093">
        <v>0</v>
      </c>
      <c r="AG27" s="1093">
        <v>0</v>
      </c>
      <c r="AH27" s="1093">
        <v>0</v>
      </c>
      <c r="AI27" s="1093">
        <v>0</v>
      </c>
      <c r="AJ27" s="1093">
        <v>0</v>
      </c>
      <c r="AK27" s="1093">
        <v>0</v>
      </c>
      <c r="AL27" s="739">
        <f t="shared" si="0"/>
        <v>0</v>
      </c>
    </row>
    <row r="28" spans="1:38" s="738" customFormat="1">
      <c r="A28" s="1271" t="s">
        <v>2320</v>
      </c>
      <c r="B28" s="1019"/>
      <c r="C28" s="1019"/>
      <c r="D28" s="1019"/>
      <c r="E28" s="1019"/>
      <c r="F28" s="1019"/>
      <c r="G28" s="1090"/>
      <c r="H28" s="1019"/>
      <c r="I28" s="1019"/>
      <c r="J28" s="1019"/>
      <c r="K28" s="1019"/>
      <c r="L28" s="1019"/>
      <c r="M28" s="1019">
        <v>0</v>
      </c>
      <c r="N28" s="1019">
        <v>0</v>
      </c>
      <c r="O28" s="1019">
        <v>457.21</v>
      </c>
      <c r="P28" s="1019">
        <v>459.43</v>
      </c>
      <c r="Q28" s="1019">
        <v>0</v>
      </c>
      <c r="R28" s="1019">
        <v>0</v>
      </c>
      <c r="S28" s="1019">
        <v>0</v>
      </c>
      <c r="T28" s="1019">
        <v>0</v>
      </c>
      <c r="U28" s="1093">
        <v>0</v>
      </c>
      <c r="V28" s="1093">
        <v>0</v>
      </c>
      <c r="W28" s="1093">
        <v>0</v>
      </c>
      <c r="X28" s="1093">
        <v>0</v>
      </c>
      <c r="Y28" s="1093">
        <v>0</v>
      </c>
      <c r="Z28" s="1093">
        <v>0</v>
      </c>
      <c r="AA28" s="1093">
        <v>0</v>
      </c>
      <c r="AB28" s="1093">
        <v>0</v>
      </c>
      <c r="AC28" s="1093">
        <v>0</v>
      </c>
      <c r="AD28" s="1093">
        <v>0</v>
      </c>
      <c r="AE28" s="1093">
        <v>0</v>
      </c>
      <c r="AF28" s="1103">
        <v>0</v>
      </c>
      <c r="AG28" s="1103">
        <v>0</v>
      </c>
      <c r="AH28" s="1103">
        <v>0</v>
      </c>
      <c r="AI28" s="1103">
        <v>0</v>
      </c>
      <c r="AJ28" s="1103">
        <v>0</v>
      </c>
      <c r="AK28" s="1103">
        <v>0</v>
      </c>
      <c r="AL28" s="739">
        <f t="shared" si="0"/>
        <v>0</v>
      </c>
    </row>
    <row r="29" spans="1:38" s="738" customFormat="1">
      <c r="A29" s="1271" t="s">
        <v>2661</v>
      </c>
      <c r="B29" s="1019"/>
      <c r="C29" s="1019"/>
      <c r="D29" s="1019"/>
      <c r="E29" s="1019"/>
      <c r="F29" s="1019"/>
      <c r="G29" s="1090"/>
      <c r="H29" s="1019"/>
      <c r="I29" s="1019"/>
      <c r="J29" s="1019"/>
      <c r="K29" s="1019"/>
      <c r="L29" s="1019"/>
      <c r="M29" s="1019">
        <v>0</v>
      </c>
      <c r="N29" s="1019">
        <v>0</v>
      </c>
      <c r="O29" s="1019">
        <v>2221925.2799999998</v>
      </c>
      <c r="P29" s="1019">
        <v>0</v>
      </c>
      <c r="Q29" s="1019">
        <v>0</v>
      </c>
      <c r="R29" s="1019">
        <v>0</v>
      </c>
      <c r="S29" s="1019">
        <v>0</v>
      </c>
      <c r="T29" s="1019">
        <v>0</v>
      </c>
      <c r="U29" s="1093">
        <v>0</v>
      </c>
      <c r="V29" s="1093">
        <v>0</v>
      </c>
      <c r="W29" s="1093">
        <v>0</v>
      </c>
      <c r="X29" s="1093">
        <v>0</v>
      </c>
      <c r="Y29" s="1093">
        <v>0</v>
      </c>
      <c r="Z29" s="1093">
        <v>0</v>
      </c>
      <c r="AA29" s="1093">
        <v>0</v>
      </c>
      <c r="AB29" s="1093">
        <v>0</v>
      </c>
      <c r="AC29" s="1093">
        <v>0</v>
      </c>
      <c r="AD29" s="1093">
        <v>0</v>
      </c>
      <c r="AE29" s="1093">
        <v>0</v>
      </c>
      <c r="AF29" s="1103">
        <v>0</v>
      </c>
      <c r="AG29" s="1103">
        <v>0</v>
      </c>
      <c r="AH29" s="1103">
        <v>0</v>
      </c>
      <c r="AI29" s="1103">
        <v>0</v>
      </c>
      <c r="AJ29" s="1103">
        <v>0</v>
      </c>
      <c r="AK29" s="1103">
        <v>0</v>
      </c>
      <c r="AL29" s="739">
        <f t="shared" si="0"/>
        <v>0</v>
      </c>
    </row>
    <row r="30" spans="1:38" s="738" customFormat="1">
      <c r="A30" s="1271" t="s">
        <v>2911</v>
      </c>
      <c r="B30" s="1019"/>
      <c r="C30" s="1019"/>
      <c r="D30" s="1019"/>
      <c r="E30" s="1019"/>
      <c r="F30" s="1019"/>
      <c r="G30" s="1090"/>
      <c r="H30" s="1019"/>
      <c r="I30" s="1019"/>
      <c r="J30" s="1019"/>
      <c r="K30" s="1019"/>
      <c r="L30" s="1019"/>
      <c r="M30" s="1019">
        <v>0</v>
      </c>
      <c r="N30" s="1019">
        <v>0</v>
      </c>
      <c r="O30" s="1019">
        <v>117630.43</v>
      </c>
      <c r="P30" s="1019">
        <v>128166.79</v>
      </c>
      <c r="Q30" s="1019">
        <v>129193.52</v>
      </c>
      <c r="R30" s="1019">
        <v>132489.24</v>
      </c>
      <c r="S30" s="1019">
        <v>133127.71</v>
      </c>
      <c r="T30" s="1019">
        <v>133775.76999999999</v>
      </c>
      <c r="U30" s="1093">
        <v>141590.06</v>
      </c>
      <c r="V30" s="1093">
        <v>142261.89000000001</v>
      </c>
      <c r="W30" s="1093">
        <v>142954.42000000001</v>
      </c>
      <c r="X30" s="1093">
        <v>145354.47</v>
      </c>
      <c r="Y30" s="1093">
        <v>0</v>
      </c>
      <c r="Z30" s="1093">
        <v>0</v>
      </c>
      <c r="AA30" s="1093">
        <v>0</v>
      </c>
      <c r="AB30" s="1093">
        <v>0</v>
      </c>
      <c r="AC30" s="1093">
        <v>0</v>
      </c>
      <c r="AD30" s="1093">
        <v>0</v>
      </c>
      <c r="AE30" s="1093">
        <v>0</v>
      </c>
      <c r="AF30" s="1093">
        <v>0</v>
      </c>
      <c r="AG30" s="1093">
        <v>0</v>
      </c>
      <c r="AH30" s="1093">
        <v>0</v>
      </c>
      <c r="AI30" s="1093">
        <v>0</v>
      </c>
      <c r="AJ30" s="1093">
        <v>67605.399999999994</v>
      </c>
      <c r="AK30" s="1093">
        <v>93916.12</v>
      </c>
      <c r="AL30" s="739">
        <f t="shared" si="0"/>
        <v>12424.732307692308</v>
      </c>
    </row>
    <row r="31" spans="1:38" s="738" customFormat="1">
      <c r="A31" s="1271" t="s">
        <v>2918</v>
      </c>
      <c r="B31" s="1019"/>
      <c r="C31" s="1019"/>
      <c r="D31" s="1019"/>
      <c r="E31" s="1019"/>
      <c r="F31" s="1019"/>
      <c r="G31" s="1090"/>
      <c r="H31" s="1019"/>
      <c r="I31" s="1019"/>
      <c r="J31" s="1019"/>
      <c r="K31" s="1019"/>
      <c r="L31" s="1019"/>
      <c r="M31" s="1019">
        <v>0</v>
      </c>
      <c r="N31" s="1019">
        <v>0</v>
      </c>
      <c r="O31" s="1019">
        <v>256002.99000000002</v>
      </c>
      <c r="P31" s="1019">
        <v>0</v>
      </c>
      <c r="Q31" s="1019">
        <v>0</v>
      </c>
      <c r="R31" s="1019">
        <v>0</v>
      </c>
      <c r="S31" s="1019">
        <v>0</v>
      </c>
      <c r="T31" s="1019">
        <v>0</v>
      </c>
      <c r="U31" s="1093">
        <v>0</v>
      </c>
      <c r="V31" s="1093">
        <v>0</v>
      </c>
      <c r="W31" s="1093">
        <v>0</v>
      </c>
      <c r="X31" s="1093">
        <v>0</v>
      </c>
      <c r="Y31" s="1093">
        <v>0</v>
      </c>
      <c r="Z31" s="1093">
        <v>0</v>
      </c>
      <c r="AA31" s="1093">
        <v>0</v>
      </c>
      <c r="AB31" s="1093">
        <v>0</v>
      </c>
      <c r="AC31" s="1093">
        <v>0</v>
      </c>
      <c r="AD31" s="1093">
        <v>0</v>
      </c>
      <c r="AE31" s="1093">
        <v>0</v>
      </c>
      <c r="AF31" s="1103">
        <v>0</v>
      </c>
      <c r="AG31" s="1103">
        <v>0</v>
      </c>
      <c r="AH31" s="1103">
        <v>0</v>
      </c>
      <c r="AI31" s="1103">
        <v>44908.82</v>
      </c>
      <c r="AJ31" s="1103">
        <v>242914.89</v>
      </c>
      <c r="AK31" s="1103">
        <v>250917.34</v>
      </c>
      <c r="AL31" s="739">
        <f t="shared" si="0"/>
        <v>41441.619230769233</v>
      </c>
    </row>
    <row r="32" spans="1:38" s="738" customFormat="1">
      <c r="A32" s="1271" t="s">
        <v>2919</v>
      </c>
      <c r="B32" s="1019"/>
      <c r="C32" s="1019"/>
      <c r="D32" s="1019"/>
      <c r="E32" s="1019"/>
      <c r="F32" s="1019"/>
      <c r="G32" s="1090"/>
      <c r="H32" s="1019"/>
      <c r="I32" s="1019"/>
      <c r="J32" s="1019"/>
      <c r="K32" s="1019"/>
      <c r="L32" s="1019"/>
      <c r="M32" s="1019">
        <v>0</v>
      </c>
      <c r="N32" s="1019">
        <v>0</v>
      </c>
      <c r="O32" s="1019">
        <v>58627.92</v>
      </c>
      <c r="P32" s="1019">
        <v>0</v>
      </c>
      <c r="Q32" s="1019">
        <v>0</v>
      </c>
      <c r="R32" s="1019">
        <v>0</v>
      </c>
      <c r="S32" s="1019">
        <v>0</v>
      </c>
      <c r="T32" s="1019">
        <v>0</v>
      </c>
      <c r="U32" s="1093">
        <v>0</v>
      </c>
      <c r="V32" s="1093">
        <v>0</v>
      </c>
      <c r="W32" s="1093">
        <v>0</v>
      </c>
      <c r="X32" s="1093">
        <v>0</v>
      </c>
      <c r="Y32" s="1093">
        <v>0</v>
      </c>
      <c r="Z32" s="1093">
        <v>0</v>
      </c>
      <c r="AA32" s="1093">
        <v>0</v>
      </c>
      <c r="AB32" s="1093">
        <v>0</v>
      </c>
      <c r="AC32" s="1093">
        <v>0</v>
      </c>
      <c r="AD32" s="1093">
        <v>0</v>
      </c>
      <c r="AE32" s="1093">
        <v>0</v>
      </c>
      <c r="AF32" s="1103">
        <v>188951.49</v>
      </c>
      <c r="AG32" s="1103">
        <v>209675.75</v>
      </c>
      <c r="AH32" s="1103">
        <v>210647.13</v>
      </c>
      <c r="AI32" s="1103">
        <v>211672.56</v>
      </c>
      <c r="AJ32" s="1103">
        <v>213302.82</v>
      </c>
      <c r="AK32" s="1103">
        <v>345838.76</v>
      </c>
      <c r="AL32" s="739">
        <f t="shared" si="0"/>
        <v>106160.65461538461</v>
      </c>
    </row>
    <row r="33" spans="1:38" s="738" customFormat="1">
      <c r="A33" s="1271" t="s">
        <v>2920</v>
      </c>
      <c r="B33" s="1019"/>
      <c r="C33" s="1019"/>
      <c r="D33" s="1019"/>
      <c r="E33" s="1019"/>
      <c r="F33" s="1019"/>
      <c r="G33" s="1090"/>
      <c r="H33" s="1019"/>
      <c r="I33" s="1019"/>
      <c r="J33" s="1019"/>
      <c r="K33" s="1019"/>
      <c r="L33" s="1019"/>
      <c r="M33" s="1019">
        <v>0</v>
      </c>
      <c r="N33" s="1019">
        <v>0</v>
      </c>
      <c r="O33" s="1019">
        <v>0</v>
      </c>
      <c r="P33" s="1019">
        <v>99570.44</v>
      </c>
      <c r="Q33" s="1019">
        <v>130884.73</v>
      </c>
      <c r="R33" s="1019">
        <v>131448.10999999999</v>
      </c>
      <c r="S33" s="1019">
        <v>132087.99</v>
      </c>
      <c r="T33" s="1019">
        <v>132730.98000000001</v>
      </c>
      <c r="U33" s="1093">
        <v>133377.10999999999</v>
      </c>
      <c r="V33" s="1093">
        <v>134159.85999999999</v>
      </c>
      <c r="W33" s="1093">
        <v>134812.63</v>
      </c>
      <c r="X33" s="1093">
        <v>236795.94</v>
      </c>
      <c r="Y33" s="1093">
        <v>0</v>
      </c>
      <c r="Z33" s="1093">
        <v>0</v>
      </c>
      <c r="AA33" s="1093">
        <v>0</v>
      </c>
      <c r="AB33" s="1093">
        <v>0</v>
      </c>
      <c r="AC33" s="1093">
        <v>0</v>
      </c>
      <c r="AD33" s="1093">
        <v>0</v>
      </c>
      <c r="AE33" s="1093">
        <v>0</v>
      </c>
      <c r="AF33" s="1093">
        <v>0</v>
      </c>
      <c r="AG33" s="1093">
        <v>0</v>
      </c>
      <c r="AH33" s="1093">
        <v>0</v>
      </c>
      <c r="AI33" s="1093">
        <v>0</v>
      </c>
      <c r="AJ33" s="1093">
        <v>0</v>
      </c>
      <c r="AK33" s="1093">
        <v>0</v>
      </c>
      <c r="AL33" s="739">
        <f t="shared" si="0"/>
        <v>0</v>
      </c>
    </row>
    <row r="34" spans="1:38" s="738" customFormat="1">
      <c r="A34" s="1271" t="s">
        <v>2921</v>
      </c>
      <c r="B34" s="1019"/>
      <c r="C34" s="1019"/>
      <c r="D34" s="1019"/>
      <c r="E34" s="1019"/>
      <c r="F34" s="1019"/>
      <c r="G34" s="1090"/>
      <c r="H34" s="1019"/>
      <c r="I34" s="1019"/>
      <c r="J34" s="1019"/>
      <c r="K34" s="1019"/>
      <c r="L34" s="1019"/>
      <c r="M34" s="1019"/>
      <c r="N34" s="1019"/>
      <c r="O34" s="1019"/>
      <c r="P34" s="1019"/>
      <c r="Q34" s="1019"/>
      <c r="R34" s="1019"/>
      <c r="S34" s="1019"/>
      <c r="T34" s="1019"/>
      <c r="U34" s="1093"/>
      <c r="V34" s="1093"/>
      <c r="W34" s="1093"/>
      <c r="X34" s="1093"/>
      <c r="Y34" s="1093">
        <v>0</v>
      </c>
      <c r="Z34" s="1093">
        <v>0</v>
      </c>
      <c r="AA34" s="1093">
        <v>0</v>
      </c>
      <c r="AB34" s="1093">
        <v>0</v>
      </c>
      <c r="AC34" s="1093">
        <v>0</v>
      </c>
      <c r="AD34" s="1093">
        <v>0</v>
      </c>
      <c r="AE34" s="1093">
        <v>0</v>
      </c>
      <c r="AF34" s="1093">
        <v>0</v>
      </c>
      <c r="AG34" s="1093">
        <v>0</v>
      </c>
      <c r="AH34" s="1093">
        <v>0</v>
      </c>
      <c r="AI34" s="1093">
        <v>0</v>
      </c>
      <c r="AJ34" s="1093">
        <v>0</v>
      </c>
      <c r="AK34" s="1093">
        <v>0</v>
      </c>
      <c r="AL34" s="739">
        <f t="shared" si="0"/>
        <v>0</v>
      </c>
    </row>
    <row r="35" spans="1:38" s="738" customFormat="1">
      <c r="A35" s="1271" t="s">
        <v>2922</v>
      </c>
      <c r="B35" s="1019"/>
      <c r="C35" s="1019"/>
      <c r="D35" s="1019"/>
      <c r="E35" s="1019"/>
      <c r="F35" s="1019"/>
      <c r="G35" s="1090"/>
      <c r="H35" s="1019"/>
      <c r="I35" s="1019"/>
      <c r="J35" s="1019"/>
      <c r="K35" s="1019"/>
      <c r="L35" s="1019"/>
      <c r="M35" s="1019"/>
      <c r="N35" s="1019"/>
      <c r="O35" s="1019"/>
      <c r="P35" s="1019"/>
      <c r="Q35" s="1019"/>
      <c r="R35" s="1019"/>
      <c r="S35" s="1019"/>
      <c r="T35" s="1019"/>
      <c r="U35" s="1093"/>
      <c r="V35" s="1093"/>
      <c r="W35" s="1093"/>
      <c r="X35" s="1093"/>
      <c r="Y35" s="1093">
        <v>0</v>
      </c>
      <c r="Z35" s="1093">
        <v>0</v>
      </c>
      <c r="AA35" s="1093">
        <v>0</v>
      </c>
      <c r="AB35" s="1093">
        <v>0</v>
      </c>
      <c r="AC35" s="1093">
        <v>0</v>
      </c>
      <c r="AD35" s="1093">
        <v>0</v>
      </c>
      <c r="AE35" s="1093">
        <v>0</v>
      </c>
      <c r="AF35" s="1093">
        <v>0</v>
      </c>
      <c r="AG35" s="1093">
        <v>0</v>
      </c>
      <c r="AH35" s="1093">
        <v>0</v>
      </c>
      <c r="AI35" s="1093">
        <v>0</v>
      </c>
      <c r="AJ35" s="1093">
        <v>0</v>
      </c>
      <c r="AK35" s="1093">
        <v>0</v>
      </c>
      <c r="AL35" s="739">
        <f t="shared" si="0"/>
        <v>0</v>
      </c>
    </row>
    <row r="36" spans="1:38" s="738" customFormat="1">
      <c r="A36" s="1271" t="s">
        <v>2923</v>
      </c>
      <c r="B36" s="1019"/>
      <c r="C36" s="1019"/>
      <c r="D36" s="1019"/>
      <c r="E36" s="1019"/>
      <c r="F36" s="1019"/>
      <c r="G36" s="1090"/>
      <c r="H36" s="1019"/>
      <c r="I36" s="1019"/>
      <c r="J36" s="1019"/>
      <c r="K36" s="1019"/>
      <c r="L36" s="1019"/>
      <c r="M36" s="1019"/>
      <c r="N36" s="1019"/>
      <c r="O36" s="1019"/>
      <c r="P36" s="1019"/>
      <c r="Q36" s="1019"/>
      <c r="R36" s="1019"/>
      <c r="S36" s="1019"/>
      <c r="T36" s="1019"/>
      <c r="U36" s="1093"/>
      <c r="V36" s="1093"/>
      <c r="W36" s="1093"/>
      <c r="X36" s="1093"/>
      <c r="Y36" s="1093">
        <v>0</v>
      </c>
      <c r="Z36" s="1093">
        <v>0</v>
      </c>
      <c r="AA36" s="1093">
        <v>0</v>
      </c>
      <c r="AB36" s="1093">
        <v>0</v>
      </c>
      <c r="AC36" s="1093">
        <v>0</v>
      </c>
      <c r="AD36" s="1093">
        <v>0</v>
      </c>
      <c r="AE36" s="1093">
        <v>0</v>
      </c>
      <c r="AF36" s="1093">
        <v>0</v>
      </c>
      <c r="AG36" s="1093">
        <v>0</v>
      </c>
      <c r="AH36" s="1093">
        <v>0</v>
      </c>
      <c r="AI36" s="1093">
        <v>0</v>
      </c>
      <c r="AJ36" s="1093">
        <v>0</v>
      </c>
      <c r="AK36" s="1093">
        <v>0</v>
      </c>
      <c r="AL36" s="739">
        <f t="shared" si="0"/>
        <v>0</v>
      </c>
    </row>
    <row r="37" spans="1:38" s="738" customFormat="1">
      <c r="A37" s="1271" t="s">
        <v>2924</v>
      </c>
      <c r="B37" s="1019"/>
      <c r="C37" s="1019"/>
      <c r="D37" s="1019"/>
      <c r="E37" s="1019"/>
      <c r="F37" s="1019"/>
      <c r="G37" s="1090"/>
      <c r="H37" s="1019"/>
      <c r="I37" s="1019"/>
      <c r="J37" s="1019"/>
      <c r="K37" s="1019"/>
      <c r="L37" s="1019"/>
      <c r="M37" s="1019"/>
      <c r="N37" s="1019"/>
      <c r="O37" s="1019"/>
      <c r="P37" s="1019"/>
      <c r="Q37" s="1019"/>
      <c r="R37" s="1019"/>
      <c r="S37" s="1019"/>
      <c r="T37" s="1019"/>
      <c r="U37" s="1093"/>
      <c r="V37" s="1093"/>
      <c r="W37" s="1093"/>
      <c r="X37" s="1093"/>
      <c r="Y37" s="1093">
        <v>0</v>
      </c>
      <c r="Z37" s="1093">
        <v>0</v>
      </c>
      <c r="AA37" s="1093">
        <v>0</v>
      </c>
      <c r="AB37" s="1093">
        <v>0</v>
      </c>
      <c r="AC37" s="1093">
        <v>0</v>
      </c>
      <c r="AD37" s="1093">
        <v>0</v>
      </c>
      <c r="AE37" s="1093">
        <v>0</v>
      </c>
      <c r="AF37" s="1093">
        <v>0</v>
      </c>
      <c r="AG37" s="1093">
        <v>0</v>
      </c>
      <c r="AH37" s="1093">
        <v>0</v>
      </c>
      <c r="AI37" s="1093">
        <v>0</v>
      </c>
      <c r="AJ37" s="1093">
        <v>0</v>
      </c>
      <c r="AK37" s="1093">
        <v>0</v>
      </c>
      <c r="AL37" s="739">
        <f t="shared" si="0"/>
        <v>0</v>
      </c>
    </row>
    <row r="38" spans="1:38" s="738" customFormat="1">
      <c r="A38" s="1271" t="s">
        <v>2925</v>
      </c>
      <c r="B38" s="1019"/>
      <c r="C38" s="1019"/>
      <c r="D38" s="1019"/>
      <c r="E38" s="1019"/>
      <c r="F38" s="1019"/>
      <c r="G38" s="1090"/>
      <c r="H38" s="1019"/>
      <c r="I38" s="1019"/>
      <c r="J38" s="1019"/>
      <c r="K38" s="1019"/>
      <c r="L38" s="1019"/>
      <c r="M38" s="1019"/>
      <c r="N38" s="1019"/>
      <c r="O38" s="1019"/>
      <c r="P38" s="1019"/>
      <c r="Q38" s="1019"/>
      <c r="R38" s="1019"/>
      <c r="S38" s="1019"/>
      <c r="T38" s="1019"/>
      <c r="U38" s="1093"/>
      <c r="V38" s="1093"/>
      <c r="W38" s="1093"/>
      <c r="X38" s="1093"/>
      <c r="Y38" s="1093">
        <v>0</v>
      </c>
      <c r="Z38" s="1093">
        <v>0</v>
      </c>
      <c r="AA38" s="1093">
        <v>0</v>
      </c>
      <c r="AB38" s="1093">
        <v>0</v>
      </c>
      <c r="AC38" s="1093">
        <v>0</v>
      </c>
      <c r="AD38" s="1093">
        <v>0</v>
      </c>
      <c r="AE38" s="1093">
        <v>0</v>
      </c>
      <c r="AF38" s="1093">
        <v>0</v>
      </c>
      <c r="AG38" s="1093">
        <v>0</v>
      </c>
      <c r="AH38" s="1093">
        <v>0</v>
      </c>
      <c r="AI38" s="1093">
        <v>0</v>
      </c>
      <c r="AJ38" s="1093">
        <v>0</v>
      </c>
      <c r="AK38" s="1093">
        <v>0</v>
      </c>
      <c r="AL38" s="739">
        <f t="shared" si="0"/>
        <v>0</v>
      </c>
    </row>
    <row r="39" spans="1:38" s="738" customFormat="1">
      <c r="A39" s="1271" t="s">
        <v>2926</v>
      </c>
      <c r="B39" s="1019"/>
      <c r="C39" s="1019"/>
      <c r="D39" s="1019"/>
      <c r="E39" s="1019"/>
      <c r="F39" s="1019"/>
      <c r="G39" s="1090"/>
      <c r="H39" s="1019"/>
      <c r="I39" s="1019"/>
      <c r="J39" s="1019"/>
      <c r="K39" s="1019"/>
      <c r="L39" s="1019"/>
      <c r="M39" s="1019"/>
      <c r="N39" s="1019"/>
      <c r="O39" s="1019"/>
      <c r="P39" s="1019"/>
      <c r="Q39" s="1019"/>
      <c r="R39" s="1019"/>
      <c r="S39" s="1019"/>
      <c r="T39" s="1019"/>
      <c r="U39" s="1093"/>
      <c r="V39" s="1093"/>
      <c r="W39" s="1093"/>
      <c r="X39" s="1093"/>
      <c r="Y39" s="1093">
        <v>0</v>
      </c>
      <c r="Z39" s="1093">
        <v>0</v>
      </c>
      <c r="AA39" s="1093">
        <v>0</v>
      </c>
      <c r="AB39" s="1093">
        <v>0</v>
      </c>
      <c r="AC39" s="1093">
        <v>0</v>
      </c>
      <c r="AD39" s="1093">
        <v>0</v>
      </c>
      <c r="AE39" s="1093">
        <v>0</v>
      </c>
      <c r="AF39" s="1093">
        <v>0</v>
      </c>
      <c r="AG39" s="1093">
        <v>0</v>
      </c>
      <c r="AH39" s="1093">
        <v>0</v>
      </c>
      <c r="AI39" s="1093">
        <v>0</v>
      </c>
      <c r="AJ39" s="1093">
        <v>0</v>
      </c>
      <c r="AK39" s="1093">
        <v>0</v>
      </c>
      <c r="AL39" s="739">
        <f t="shared" si="0"/>
        <v>0</v>
      </c>
    </row>
    <row r="40" spans="1:38" s="738" customFormat="1">
      <c r="A40" s="1271" t="s">
        <v>2927</v>
      </c>
      <c r="B40" s="1019"/>
      <c r="C40" s="1019"/>
      <c r="D40" s="1019"/>
      <c r="E40" s="1019"/>
      <c r="F40" s="1019"/>
      <c r="G40" s="1090"/>
      <c r="H40" s="1019"/>
      <c r="I40" s="1019"/>
      <c r="J40" s="1019"/>
      <c r="K40" s="1019"/>
      <c r="L40" s="1019"/>
      <c r="M40" s="1019"/>
      <c r="N40" s="1019"/>
      <c r="O40" s="1019"/>
      <c r="P40" s="1019"/>
      <c r="Q40" s="1019"/>
      <c r="R40" s="1019"/>
      <c r="S40" s="1019"/>
      <c r="T40" s="1019"/>
      <c r="U40" s="1093"/>
      <c r="V40" s="1093"/>
      <c r="W40" s="1093"/>
      <c r="X40" s="1093"/>
      <c r="Y40" s="1093">
        <v>0</v>
      </c>
      <c r="Z40" s="1093">
        <v>0</v>
      </c>
      <c r="AA40" s="1093">
        <v>0</v>
      </c>
      <c r="AB40" s="1093">
        <v>0</v>
      </c>
      <c r="AC40" s="1093">
        <v>0</v>
      </c>
      <c r="AD40" s="1093">
        <v>0</v>
      </c>
      <c r="AE40" s="1093">
        <v>0</v>
      </c>
      <c r="AF40" s="1093">
        <v>0</v>
      </c>
      <c r="AG40" s="1093">
        <v>0</v>
      </c>
      <c r="AH40" s="1093">
        <v>0</v>
      </c>
      <c r="AI40" s="1093">
        <v>0</v>
      </c>
      <c r="AJ40" s="1093">
        <v>0</v>
      </c>
      <c r="AK40" s="1093">
        <v>0</v>
      </c>
      <c r="AL40" s="739">
        <f t="shared" si="0"/>
        <v>0</v>
      </c>
    </row>
    <row r="41" spans="1:38" s="738" customFormat="1">
      <c r="A41" s="1271" t="s">
        <v>2663</v>
      </c>
      <c r="B41" s="1019"/>
      <c r="C41" s="1019"/>
      <c r="D41" s="1019"/>
      <c r="E41" s="1019"/>
      <c r="F41" s="1019"/>
      <c r="G41" s="1090"/>
      <c r="H41" s="1019"/>
      <c r="I41" s="1019"/>
      <c r="J41" s="1019"/>
      <c r="K41" s="1019"/>
      <c r="L41" s="1019"/>
      <c r="M41" s="1019">
        <v>0</v>
      </c>
      <c r="N41" s="1019">
        <v>0</v>
      </c>
      <c r="O41" s="1019">
        <v>0</v>
      </c>
      <c r="P41" s="1019">
        <v>0</v>
      </c>
      <c r="Q41" s="1019">
        <v>18909.14</v>
      </c>
      <c r="R41" s="1019">
        <v>18955.169999999998</v>
      </c>
      <c r="S41" s="1019">
        <v>19047.439999999999</v>
      </c>
      <c r="T41" s="1019">
        <v>19140.16</v>
      </c>
      <c r="U41" s="1093">
        <v>19233.34</v>
      </c>
      <c r="V41" s="1093">
        <v>23722.87</v>
      </c>
      <c r="W41" s="1093">
        <v>37270.18</v>
      </c>
      <c r="X41" s="1093">
        <v>266317.44</v>
      </c>
      <c r="Y41" s="1093">
        <v>0</v>
      </c>
      <c r="Z41" s="1093">
        <v>0</v>
      </c>
      <c r="AA41" s="1093">
        <v>0</v>
      </c>
      <c r="AB41" s="1093">
        <v>0</v>
      </c>
      <c r="AC41" s="1093">
        <v>0</v>
      </c>
      <c r="AD41" s="1093">
        <v>0</v>
      </c>
      <c r="AE41" s="1093">
        <v>0</v>
      </c>
      <c r="AF41" s="1103">
        <v>0</v>
      </c>
      <c r="AG41" s="1103">
        <v>0</v>
      </c>
      <c r="AH41" s="1103">
        <v>0</v>
      </c>
      <c r="AI41" s="1103">
        <v>0</v>
      </c>
      <c r="AJ41" s="1103">
        <v>0</v>
      </c>
      <c r="AK41" s="1103">
        <v>0</v>
      </c>
      <c r="AL41" s="739">
        <f t="shared" si="0"/>
        <v>0</v>
      </c>
    </row>
    <row r="42" spans="1:38" s="738" customFormat="1">
      <c r="A42" s="1271" t="s">
        <v>2928</v>
      </c>
      <c r="B42" s="1019"/>
      <c r="C42" s="1019"/>
      <c r="D42" s="1019"/>
      <c r="E42" s="1019"/>
      <c r="F42" s="1019"/>
      <c r="G42" s="1090"/>
      <c r="H42" s="1019"/>
      <c r="I42" s="1019"/>
      <c r="J42" s="1019"/>
      <c r="K42" s="1019"/>
      <c r="L42" s="1019"/>
      <c r="M42" s="1019">
        <v>0</v>
      </c>
      <c r="N42" s="1019">
        <v>0</v>
      </c>
      <c r="O42" s="1019">
        <v>0</v>
      </c>
      <c r="P42" s="1019">
        <v>0</v>
      </c>
      <c r="Q42" s="1019">
        <v>0</v>
      </c>
      <c r="R42" s="1019">
        <v>115782.85</v>
      </c>
      <c r="S42" s="1019">
        <v>302735.34999999998</v>
      </c>
      <c r="T42" s="1019">
        <v>303754.71000000002</v>
      </c>
      <c r="U42" s="1093">
        <v>2005798.69</v>
      </c>
      <c r="V42" s="1093">
        <v>2029082.86</v>
      </c>
      <c r="W42" s="1093">
        <v>2040935.89</v>
      </c>
      <c r="X42" s="1093">
        <v>2053773.02</v>
      </c>
      <c r="Y42" s="1093">
        <v>0</v>
      </c>
      <c r="Z42" s="1093">
        <v>0</v>
      </c>
      <c r="AA42" s="1093">
        <v>0</v>
      </c>
      <c r="AB42" s="1093">
        <v>0</v>
      </c>
      <c r="AC42" s="1093">
        <v>0</v>
      </c>
      <c r="AD42" s="1093">
        <v>0</v>
      </c>
      <c r="AE42" s="1093">
        <v>0</v>
      </c>
      <c r="AF42" s="1093">
        <v>0</v>
      </c>
      <c r="AG42" s="1093">
        <v>0</v>
      </c>
      <c r="AH42" s="1093">
        <v>0</v>
      </c>
      <c r="AI42" s="1093">
        <v>0</v>
      </c>
      <c r="AJ42" s="1093">
        <v>0</v>
      </c>
      <c r="AK42" s="1093">
        <v>0</v>
      </c>
      <c r="AL42" s="739">
        <f t="shared" si="0"/>
        <v>0</v>
      </c>
    </row>
    <row r="43" spans="1:38" s="738" customFormat="1">
      <c r="A43" s="1271" t="s">
        <v>2929</v>
      </c>
      <c r="B43" s="1019"/>
      <c r="C43" s="1019"/>
      <c r="D43" s="1019"/>
      <c r="E43" s="1019"/>
      <c r="F43" s="1019"/>
      <c r="G43" s="1090"/>
      <c r="H43" s="1019"/>
      <c r="I43" s="1019"/>
      <c r="J43" s="1019"/>
      <c r="K43" s="1019"/>
      <c r="L43" s="1019"/>
      <c r="M43" s="1019">
        <v>0</v>
      </c>
      <c r="N43" s="1019">
        <v>0</v>
      </c>
      <c r="O43" s="1019">
        <v>0</v>
      </c>
      <c r="P43" s="1019">
        <v>0</v>
      </c>
      <c r="Q43" s="1019">
        <v>0</v>
      </c>
      <c r="R43" s="1019">
        <v>0</v>
      </c>
      <c r="S43" s="1019">
        <v>0</v>
      </c>
      <c r="T43" s="1019">
        <v>0</v>
      </c>
      <c r="U43" s="1019">
        <v>0</v>
      </c>
      <c r="V43" s="1019">
        <v>0</v>
      </c>
      <c r="W43" s="1093">
        <v>270439.27</v>
      </c>
      <c r="X43" s="1093">
        <v>362707.19</v>
      </c>
      <c r="Y43" s="1093">
        <v>0</v>
      </c>
      <c r="Z43" s="1093">
        <v>0</v>
      </c>
      <c r="AA43" s="1093">
        <v>0</v>
      </c>
      <c r="AB43" s="1093">
        <v>0</v>
      </c>
      <c r="AC43" s="1093">
        <v>0</v>
      </c>
      <c r="AD43" s="1093">
        <v>0</v>
      </c>
      <c r="AE43" s="1093">
        <v>0</v>
      </c>
      <c r="AF43" s="1093">
        <v>0</v>
      </c>
      <c r="AG43" s="1093">
        <v>0</v>
      </c>
      <c r="AH43" s="1093">
        <v>0</v>
      </c>
      <c r="AI43" s="1093">
        <v>0</v>
      </c>
      <c r="AJ43" s="1093">
        <v>0</v>
      </c>
      <c r="AK43" s="1093">
        <v>0</v>
      </c>
      <c r="AL43" s="739">
        <f t="shared" si="0"/>
        <v>0</v>
      </c>
    </row>
    <row r="44" spans="1:38" s="738" customFormat="1">
      <c r="A44" s="1271" t="s">
        <v>2930</v>
      </c>
      <c r="B44" s="1019"/>
      <c r="C44" s="1019"/>
      <c r="D44" s="1019"/>
      <c r="E44" s="1019"/>
      <c r="F44" s="1019"/>
      <c r="G44" s="1090"/>
      <c r="H44" s="1019"/>
      <c r="I44" s="1019"/>
      <c r="J44" s="1019"/>
      <c r="K44" s="1019"/>
      <c r="L44" s="1019"/>
      <c r="M44" s="1019">
        <v>0</v>
      </c>
      <c r="N44" s="1019">
        <v>0</v>
      </c>
      <c r="O44" s="1019">
        <v>0</v>
      </c>
      <c r="P44" s="1019">
        <v>0</v>
      </c>
      <c r="Q44" s="1019">
        <v>0</v>
      </c>
      <c r="R44" s="1019">
        <v>0</v>
      </c>
      <c r="S44" s="1019">
        <v>0</v>
      </c>
      <c r="T44" s="1019">
        <v>0</v>
      </c>
      <c r="U44" s="1019">
        <v>0</v>
      </c>
      <c r="V44" s="1019">
        <v>0</v>
      </c>
      <c r="W44" s="1019">
        <v>0</v>
      </c>
      <c r="X44" s="1019">
        <v>0</v>
      </c>
      <c r="Y44" s="1093">
        <v>0</v>
      </c>
      <c r="Z44" s="1093">
        <v>0</v>
      </c>
      <c r="AA44" s="1093">
        <v>0</v>
      </c>
      <c r="AB44" s="1093">
        <v>0</v>
      </c>
      <c r="AC44" s="1093">
        <v>0</v>
      </c>
      <c r="AD44" s="1093">
        <v>0</v>
      </c>
      <c r="AE44" s="1093">
        <v>0</v>
      </c>
      <c r="AF44" s="1093">
        <v>0</v>
      </c>
      <c r="AG44" s="1093">
        <v>0</v>
      </c>
      <c r="AH44" s="1093">
        <v>0</v>
      </c>
      <c r="AI44" s="1093">
        <v>0</v>
      </c>
      <c r="AJ44" s="1093">
        <v>0</v>
      </c>
      <c r="AK44" s="1093">
        <v>0</v>
      </c>
      <c r="AL44" s="739">
        <f t="shared" si="0"/>
        <v>0</v>
      </c>
    </row>
    <row r="45" spans="1:38" s="738" customFormat="1">
      <c r="A45" s="1271" t="s">
        <v>2931</v>
      </c>
      <c r="B45" s="1019">
        <v>0</v>
      </c>
      <c r="C45" s="1019">
        <v>0</v>
      </c>
      <c r="D45" s="1019">
        <v>0</v>
      </c>
      <c r="E45" s="1019">
        <v>0</v>
      </c>
      <c r="F45" s="1019">
        <v>0</v>
      </c>
      <c r="G45" s="1019">
        <v>0</v>
      </c>
      <c r="H45" s="1019">
        <v>0</v>
      </c>
      <c r="I45" s="1019">
        <v>0</v>
      </c>
      <c r="J45" s="1019">
        <v>0</v>
      </c>
      <c r="K45" s="1019">
        <v>0</v>
      </c>
      <c r="L45" s="1019">
        <v>0</v>
      </c>
      <c r="M45" s="1019">
        <v>0</v>
      </c>
      <c r="N45" s="1019">
        <v>0</v>
      </c>
      <c r="O45" s="1019">
        <v>0</v>
      </c>
      <c r="P45" s="1019">
        <v>0</v>
      </c>
      <c r="Q45" s="1019">
        <v>0</v>
      </c>
      <c r="R45" s="1019">
        <v>0</v>
      </c>
      <c r="S45" s="1019">
        <v>0</v>
      </c>
      <c r="T45" s="1019">
        <v>0</v>
      </c>
      <c r="U45" s="1019">
        <v>0</v>
      </c>
      <c r="V45" s="1019">
        <v>0</v>
      </c>
      <c r="W45" s="1019">
        <v>0</v>
      </c>
      <c r="X45" s="1019">
        <v>0</v>
      </c>
      <c r="Y45" s="1019">
        <v>0</v>
      </c>
      <c r="Z45" s="1093">
        <v>0</v>
      </c>
      <c r="AA45" s="1093">
        <v>0</v>
      </c>
      <c r="AB45" s="1093">
        <v>0</v>
      </c>
      <c r="AC45" s="1093">
        <v>0</v>
      </c>
      <c r="AD45" s="1093">
        <v>0</v>
      </c>
      <c r="AE45" s="1093">
        <v>0</v>
      </c>
      <c r="AF45" s="1093">
        <v>0</v>
      </c>
      <c r="AG45" s="1093">
        <v>0</v>
      </c>
      <c r="AH45" s="1093">
        <v>0</v>
      </c>
      <c r="AI45" s="1093">
        <v>0</v>
      </c>
      <c r="AJ45" s="1093">
        <v>0</v>
      </c>
      <c r="AK45" s="1093">
        <v>0</v>
      </c>
      <c r="AL45" s="739">
        <f t="shared" si="0"/>
        <v>0</v>
      </c>
    </row>
    <row r="46" spans="1:38" s="738" customFormat="1">
      <c r="A46" s="1271" t="s">
        <v>2932</v>
      </c>
      <c r="B46" s="1019">
        <v>0</v>
      </c>
      <c r="C46" s="1019">
        <v>0</v>
      </c>
      <c r="D46" s="1019">
        <v>0</v>
      </c>
      <c r="E46" s="1019">
        <v>0</v>
      </c>
      <c r="F46" s="1019">
        <v>0</v>
      </c>
      <c r="G46" s="1019">
        <v>0</v>
      </c>
      <c r="H46" s="1019">
        <v>0</v>
      </c>
      <c r="I46" s="1019">
        <v>0</v>
      </c>
      <c r="J46" s="1019">
        <v>0</v>
      </c>
      <c r="K46" s="1019">
        <v>0</v>
      </c>
      <c r="L46" s="1019">
        <v>0</v>
      </c>
      <c r="M46" s="1019">
        <v>0</v>
      </c>
      <c r="N46" s="1019">
        <v>0</v>
      </c>
      <c r="O46" s="1019">
        <v>0</v>
      </c>
      <c r="P46" s="1019">
        <v>0</v>
      </c>
      <c r="Q46" s="1019">
        <v>0</v>
      </c>
      <c r="R46" s="1019">
        <v>0</v>
      </c>
      <c r="S46" s="1019">
        <v>0</v>
      </c>
      <c r="T46" s="1019">
        <v>0</v>
      </c>
      <c r="U46" s="1019">
        <v>0</v>
      </c>
      <c r="V46" s="1019">
        <v>0</v>
      </c>
      <c r="W46" s="1019">
        <v>0</v>
      </c>
      <c r="X46" s="1019">
        <v>0</v>
      </c>
      <c r="Y46" s="1019">
        <v>0</v>
      </c>
      <c r="Z46" s="1019">
        <v>0</v>
      </c>
      <c r="AA46" s="1019">
        <v>0</v>
      </c>
      <c r="AB46" s="1019">
        <v>0</v>
      </c>
      <c r="AC46" s="1093">
        <v>0</v>
      </c>
      <c r="AD46" s="1093">
        <v>0</v>
      </c>
      <c r="AE46" s="1093">
        <v>0</v>
      </c>
      <c r="AF46" s="1093">
        <v>0</v>
      </c>
      <c r="AG46" s="1093">
        <v>0</v>
      </c>
      <c r="AH46" s="1093">
        <v>0</v>
      </c>
      <c r="AI46" s="1093">
        <v>0</v>
      </c>
      <c r="AJ46" s="1093">
        <v>0</v>
      </c>
      <c r="AK46" s="1093">
        <v>0</v>
      </c>
      <c r="AL46" s="739">
        <f t="shared" si="0"/>
        <v>0</v>
      </c>
    </row>
    <row r="47" spans="1:38" s="738" customFormat="1">
      <c r="A47" s="1271" t="s">
        <v>2933</v>
      </c>
      <c r="B47" s="1019"/>
      <c r="C47" s="1019"/>
      <c r="D47" s="1019"/>
      <c r="E47" s="1019"/>
      <c r="F47" s="1019"/>
      <c r="G47" s="1019"/>
      <c r="H47" s="1019"/>
      <c r="I47" s="1019"/>
      <c r="J47" s="1019"/>
      <c r="K47" s="1019"/>
      <c r="L47" s="1019"/>
      <c r="M47" s="1019"/>
      <c r="N47" s="1019"/>
      <c r="O47" s="1019"/>
      <c r="P47" s="1019"/>
      <c r="Q47" s="1019"/>
      <c r="R47" s="1019"/>
      <c r="S47" s="1019"/>
      <c r="T47" s="1019"/>
      <c r="U47" s="1019"/>
      <c r="V47" s="1019">
        <v>0</v>
      </c>
      <c r="W47" s="1019">
        <v>0</v>
      </c>
      <c r="X47" s="1019">
        <v>0</v>
      </c>
      <c r="Y47" s="1019">
        <v>0</v>
      </c>
      <c r="Z47" s="1019">
        <v>0</v>
      </c>
      <c r="AA47" s="1019">
        <v>0</v>
      </c>
      <c r="AB47" s="1019">
        <v>0</v>
      </c>
      <c r="AC47" s="1019">
        <v>0</v>
      </c>
      <c r="AD47" s="1019">
        <v>0</v>
      </c>
      <c r="AE47" s="1019">
        <v>0</v>
      </c>
      <c r="AF47" s="1093">
        <v>0</v>
      </c>
      <c r="AG47" s="1093">
        <v>0</v>
      </c>
      <c r="AH47" s="1093">
        <v>0</v>
      </c>
      <c r="AI47" s="1093">
        <v>0</v>
      </c>
      <c r="AJ47" s="1093">
        <v>0</v>
      </c>
      <c r="AK47" s="1093">
        <v>0</v>
      </c>
      <c r="AL47" s="739">
        <f t="shared" si="0"/>
        <v>0</v>
      </c>
    </row>
    <row r="48" spans="1:38" s="738" customFormat="1">
      <c r="A48" s="1271" t="s">
        <v>2662</v>
      </c>
      <c r="B48" s="1019"/>
      <c r="C48" s="1019"/>
      <c r="D48" s="1019"/>
      <c r="E48" s="1019"/>
      <c r="F48" s="1019"/>
      <c r="G48" s="1019"/>
      <c r="H48" s="1019"/>
      <c r="I48" s="1019"/>
      <c r="J48" s="1019"/>
      <c r="K48" s="1019"/>
      <c r="L48" s="1019"/>
      <c r="M48" s="1019"/>
      <c r="N48" s="1019"/>
      <c r="O48" s="1019"/>
      <c r="P48" s="1019"/>
      <c r="Q48" s="1019"/>
      <c r="R48" s="1019"/>
      <c r="S48" s="1019"/>
      <c r="T48" s="1019"/>
      <c r="U48" s="1019"/>
      <c r="V48" s="1019"/>
      <c r="W48" s="1019"/>
      <c r="X48" s="1019"/>
      <c r="Y48" s="1093">
        <v>0</v>
      </c>
      <c r="Z48" s="1093">
        <v>0</v>
      </c>
      <c r="AA48" s="1093">
        <v>0</v>
      </c>
      <c r="AB48" s="1093">
        <v>0</v>
      </c>
      <c r="AC48" s="1093">
        <v>0</v>
      </c>
      <c r="AD48" s="1093">
        <v>0</v>
      </c>
      <c r="AE48" s="1093">
        <v>0</v>
      </c>
      <c r="AF48" s="1093">
        <v>0</v>
      </c>
      <c r="AG48" s="1093">
        <v>0</v>
      </c>
      <c r="AH48" s="1093">
        <v>0</v>
      </c>
      <c r="AI48" s="1093">
        <v>0</v>
      </c>
      <c r="AJ48" s="1093">
        <v>0</v>
      </c>
      <c r="AK48" s="1093">
        <v>0</v>
      </c>
      <c r="AL48" s="739">
        <f t="shared" si="0"/>
        <v>0</v>
      </c>
    </row>
    <row r="49" spans="1:41" s="738" customFormat="1">
      <c r="A49" s="1271" t="s">
        <v>2934</v>
      </c>
      <c r="B49" s="1019"/>
      <c r="C49" s="1019"/>
      <c r="D49" s="1019"/>
      <c r="E49" s="1019"/>
      <c r="F49" s="1019"/>
      <c r="G49" s="1019"/>
      <c r="H49" s="1019"/>
      <c r="I49" s="1019"/>
      <c r="J49" s="1019"/>
      <c r="K49" s="1019"/>
      <c r="L49" s="1019"/>
      <c r="M49" s="1019"/>
      <c r="N49" s="1019"/>
      <c r="O49" s="1019"/>
      <c r="P49" s="1019"/>
      <c r="Q49" s="1019"/>
      <c r="R49" s="1019"/>
      <c r="S49" s="1019"/>
      <c r="T49" s="1019"/>
      <c r="U49" s="1019"/>
      <c r="V49" s="1019"/>
      <c r="W49" s="1019"/>
      <c r="X49" s="1019"/>
      <c r="Y49" s="1093">
        <v>0</v>
      </c>
      <c r="Z49" s="1093">
        <v>0</v>
      </c>
      <c r="AA49" s="1093">
        <v>0</v>
      </c>
      <c r="AB49" s="1093">
        <v>0</v>
      </c>
      <c r="AC49" s="1093">
        <v>0</v>
      </c>
      <c r="AD49" s="1093">
        <v>0</v>
      </c>
      <c r="AE49" s="1093">
        <v>0</v>
      </c>
      <c r="AF49" s="1093">
        <v>0</v>
      </c>
      <c r="AG49" s="1093">
        <v>0</v>
      </c>
      <c r="AH49" s="1093">
        <v>0</v>
      </c>
      <c r="AI49" s="1093">
        <v>0</v>
      </c>
      <c r="AJ49" s="1093">
        <v>0</v>
      </c>
      <c r="AK49" s="1093">
        <v>0</v>
      </c>
      <c r="AL49" s="739">
        <f t="shared" si="0"/>
        <v>0</v>
      </c>
    </row>
    <row r="50" spans="1:41" s="738" customFormat="1">
      <c r="A50" s="21" t="s">
        <v>2912</v>
      </c>
      <c r="B50" s="1019"/>
      <c r="C50" s="1019"/>
      <c r="D50" s="1019"/>
      <c r="E50" s="1019"/>
      <c r="F50" s="1019"/>
      <c r="G50" s="1019"/>
      <c r="H50" s="1019"/>
      <c r="I50" s="1019"/>
      <c r="J50" s="1019"/>
      <c r="K50" s="1019"/>
      <c r="L50" s="1019"/>
      <c r="M50" s="1019"/>
      <c r="N50" s="1019"/>
      <c r="O50" s="1019"/>
      <c r="P50" s="1019"/>
      <c r="Q50" s="1019"/>
      <c r="R50" s="1019"/>
      <c r="S50" s="1019"/>
      <c r="T50" s="1019"/>
      <c r="U50" s="1019"/>
      <c r="V50" s="1019"/>
      <c r="W50" s="1019"/>
      <c r="X50" s="1019"/>
      <c r="Y50" s="1093"/>
      <c r="Z50" s="1093"/>
      <c r="AA50" s="1093"/>
      <c r="AB50" s="1093"/>
      <c r="AC50" s="1093"/>
      <c r="AD50" s="1093"/>
      <c r="AE50" s="1093"/>
      <c r="AF50" s="1093"/>
      <c r="AG50" s="1093"/>
      <c r="AH50" s="1093"/>
      <c r="AI50" s="1093"/>
      <c r="AJ50" s="1093"/>
      <c r="AK50" s="1093"/>
      <c r="AL50" s="739" t="e">
        <f t="shared" si="0"/>
        <v>#DIV/0!</v>
      </c>
    </row>
    <row r="51" spans="1:41" s="739" customFormat="1">
      <c r="A51" s="812" t="s">
        <v>2321</v>
      </c>
      <c r="B51" s="736">
        <v>38134367.370000005</v>
      </c>
      <c r="C51" s="736">
        <v>49003384.75</v>
      </c>
      <c r="D51" s="736">
        <v>52803058.25</v>
      </c>
      <c r="E51" s="736">
        <v>63024653.970000006</v>
      </c>
      <c r="F51" s="736">
        <v>77436623.799999997</v>
      </c>
      <c r="G51" s="736">
        <v>83147027.359999985</v>
      </c>
      <c r="H51" s="736">
        <v>89682876.159999982</v>
      </c>
      <c r="I51" s="736">
        <v>103095655.92999999</v>
      </c>
      <c r="J51" s="736">
        <v>112522287.88</v>
      </c>
      <c r="K51" s="736">
        <v>59452135.789999992</v>
      </c>
      <c r="L51" s="736">
        <v>68292195.310000002</v>
      </c>
      <c r="M51" s="736">
        <v>79339265.74000001</v>
      </c>
      <c r="N51" s="736">
        <v>88385984.609999985</v>
      </c>
      <c r="O51" s="736">
        <v>104457855.14999999</v>
      </c>
      <c r="P51" s="736">
        <v>110307718.14000002</v>
      </c>
      <c r="Q51" s="736">
        <v>59491141.020000003</v>
      </c>
      <c r="R51" s="736">
        <v>60442190.489999995</v>
      </c>
      <c r="S51" s="736">
        <v>64079387.059999995</v>
      </c>
      <c r="T51" s="736">
        <v>70787873.819999978</v>
      </c>
      <c r="U51" s="736">
        <v>81016991.160000011</v>
      </c>
      <c r="V51" s="736">
        <v>86698874.180000007</v>
      </c>
      <c r="W51" s="736">
        <v>91643818.049999997</v>
      </c>
      <c r="X51" s="736">
        <v>41525749.979999989</v>
      </c>
      <c r="Y51" s="736">
        <v>46994371.799999997</v>
      </c>
      <c r="Z51" s="736">
        <v>50664098.729999997</v>
      </c>
      <c r="AA51" s="736">
        <v>55923290.370000005</v>
      </c>
      <c r="AB51" s="736">
        <v>59928247.349999994</v>
      </c>
      <c r="AC51" s="736">
        <v>67630803.189999998</v>
      </c>
      <c r="AD51" s="736">
        <v>73420459.430000007</v>
      </c>
      <c r="AE51" s="736">
        <v>84152855.219999999</v>
      </c>
      <c r="AF51" s="736">
        <v>91775466.670000002</v>
      </c>
      <c r="AG51" s="736">
        <v>97196340.579999983</v>
      </c>
      <c r="AH51" s="736">
        <v>102973210.47</v>
      </c>
      <c r="AI51" s="736">
        <v>64943143.119999997</v>
      </c>
      <c r="AJ51" s="736">
        <v>67714820.459999993</v>
      </c>
      <c r="AK51" s="736">
        <v>75970345.810000002</v>
      </c>
      <c r="AL51" s="736">
        <f t="shared" ref="AL51:AL53" si="1">AVERAGE(Y51:AK51)</f>
        <v>72252881.015384614</v>
      </c>
      <c r="AN51" s="738"/>
    </row>
    <row r="52" spans="1:41" s="738" customFormat="1">
      <c r="A52" s="812"/>
      <c r="B52" s="735"/>
      <c r="C52" s="735"/>
      <c r="D52" s="735"/>
      <c r="E52" s="735"/>
      <c r="F52" s="735"/>
      <c r="G52" s="735"/>
      <c r="H52" s="735"/>
      <c r="I52" s="735"/>
      <c r="J52" s="735"/>
      <c r="K52" s="735"/>
      <c r="L52" s="735"/>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O52" s="739"/>
    </row>
    <row r="53" spans="1:41" s="739" customFormat="1">
      <c r="A53" s="1096" t="s">
        <v>2322</v>
      </c>
      <c r="B53" s="1097">
        <v>36758084.839999959</v>
      </c>
      <c r="C53" s="1097">
        <v>29429787.839999974</v>
      </c>
      <c r="D53" s="1097">
        <v>34308991.619999975</v>
      </c>
      <c r="E53" s="1097">
        <v>36406799.489999972</v>
      </c>
      <c r="F53" s="1097">
        <v>35112314.649999976</v>
      </c>
      <c r="G53" s="1097">
        <v>37009116.059999973</v>
      </c>
      <c r="H53" s="1097">
        <v>41274838.759999976</v>
      </c>
      <c r="I53" s="1097">
        <v>46987655.079999968</v>
      </c>
      <c r="J53" s="1097">
        <v>45031222.459999979</v>
      </c>
      <c r="K53" s="1097">
        <v>49218642.039999992</v>
      </c>
      <c r="L53" s="1097">
        <v>50456534.189999953</v>
      </c>
      <c r="M53" s="1097">
        <v>52827271.209999949</v>
      </c>
      <c r="N53" s="1097">
        <v>51983659.469999999</v>
      </c>
      <c r="O53" s="1097">
        <v>50288830.899999991</v>
      </c>
      <c r="P53" s="1097">
        <v>53938494.529999942</v>
      </c>
      <c r="Q53" s="1097">
        <v>51297468.539999984</v>
      </c>
      <c r="R53" s="1097">
        <v>51482370.789999992</v>
      </c>
      <c r="S53" s="1097">
        <v>57368471.000000007</v>
      </c>
      <c r="T53" s="1097">
        <v>65314383.250000015</v>
      </c>
      <c r="U53" s="1097">
        <v>67550899.999999985</v>
      </c>
      <c r="V53" s="1097">
        <v>74111757.669999957</v>
      </c>
      <c r="W53" s="1097">
        <v>83269921.749999985</v>
      </c>
      <c r="X53" s="1097">
        <v>82461890.810000017</v>
      </c>
      <c r="Y53" s="1097">
        <v>82880458.51000002</v>
      </c>
      <c r="Z53" s="1097">
        <v>88383135.650000006</v>
      </c>
      <c r="AA53" s="1097">
        <v>84773567.189999968</v>
      </c>
      <c r="AB53" s="1097">
        <v>93010145.349999994</v>
      </c>
      <c r="AC53" s="1097">
        <v>91256107.689999998</v>
      </c>
      <c r="AD53" s="1097">
        <v>89824319.539999962</v>
      </c>
      <c r="AE53" s="1097">
        <v>94675768.949999958</v>
      </c>
      <c r="AF53" s="1097">
        <v>96497458.329999939</v>
      </c>
      <c r="AG53" s="1097">
        <v>102660201.28999999</v>
      </c>
      <c r="AH53" s="1097">
        <v>105219190.72999999</v>
      </c>
      <c r="AI53" s="1097">
        <v>106540664.37</v>
      </c>
      <c r="AJ53" s="1097">
        <v>112218783.80000003</v>
      </c>
      <c r="AK53" s="1097">
        <v>135420892.06</v>
      </c>
      <c r="AL53" s="739">
        <f t="shared" si="1"/>
        <v>98720053.343076915</v>
      </c>
    </row>
    <row r="54" spans="1:41" s="738" customFormat="1">
      <c r="A54" s="1096"/>
      <c r="B54" s="735"/>
      <c r="C54" s="735"/>
      <c r="D54" s="735"/>
      <c r="E54" s="735"/>
      <c r="F54" s="735"/>
      <c r="G54" s="735"/>
      <c r="H54" s="735"/>
      <c r="I54" s="735"/>
      <c r="J54" s="735"/>
      <c r="K54" s="735"/>
      <c r="L54" s="735"/>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row>
    <row r="55" spans="1:41" s="738" customFormat="1">
      <c r="A55" s="813"/>
      <c r="B55" s="737"/>
      <c r="C55" s="737"/>
      <c r="D55" s="737"/>
      <c r="E55" s="737"/>
      <c r="F55" s="737"/>
      <c r="I55" s="737"/>
      <c r="J55" s="737"/>
      <c r="K55" s="737"/>
      <c r="P55" s="735"/>
      <c r="Q55" s="735"/>
      <c r="R55" s="735"/>
      <c r="S55" s="735"/>
      <c r="T55" s="735"/>
      <c r="V55" s="735">
        <v>0</v>
      </c>
      <c r="W55" s="735"/>
      <c r="X55" s="735"/>
      <c r="Y55" s="735"/>
      <c r="Z55" s="735"/>
      <c r="AA55" s="735"/>
      <c r="AB55" s="735"/>
      <c r="AC55" s="735"/>
      <c r="AD55" s="735"/>
      <c r="AE55" s="735"/>
      <c r="AF55" s="735"/>
      <c r="AG55" s="735"/>
      <c r="AH55" s="735"/>
      <c r="AI55" s="735"/>
      <c r="AJ55" s="735"/>
      <c r="AK55" s="735"/>
      <c r="AL55" s="735"/>
      <c r="AM55" s="735"/>
    </row>
    <row r="56" spans="1:41">
      <c r="B56" s="1098"/>
      <c r="C56" s="1098"/>
      <c r="D56" s="1098"/>
      <c r="E56" s="1098"/>
      <c r="F56" s="1098"/>
      <c r="G56" s="1098"/>
      <c r="H56" s="1098"/>
      <c r="I56" s="1098"/>
      <c r="J56" s="1098"/>
      <c r="K56" s="1098"/>
      <c r="L56" s="1098"/>
      <c r="M56" s="1098"/>
      <c r="N56" s="1098"/>
      <c r="O56" s="1098"/>
      <c r="P56" s="1098"/>
      <c r="Q56" s="1098"/>
      <c r="R56" s="1098"/>
      <c r="S56" s="1098" t="s">
        <v>2688</v>
      </c>
      <c r="T56" s="1098"/>
      <c r="U56" s="1098"/>
      <c r="V56" s="1098"/>
      <c r="W56" s="1098"/>
      <c r="X56" s="1098"/>
      <c r="Y56" s="1098"/>
      <c r="Z56" s="1098"/>
      <c r="AA56" s="1098"/>
      <c r="AB56" s="1098"/>
      <c r="AC56" s="1098"/>
      <c r="AD56" s="1098"/>
      <c r="AE56" s="1098"/>
      <c r="AF56" s="1098"/>
      <c r="AG56" s="1098"/>
      <c r="AH56" s="1098"/>
      <c r="AI56" s="1098"/>
      <c r="AJ56" s="1098"/>
      <c r="AK56" s="1098"/>
      <c r="AL56" s="1098"/>
      <c r="AM56" s="1099"/>
    </row>
    <row r="57" spans="1:41">
      <c r="AM57" s="1099"/>
    </row>
    <row r="59" spans="1:41">
      <c r="AI59" s="1258" t="s">
        <v>2900</v>
      </c>
    </row>
  </sheetData>
  <phoneticPr fontId="66" type="noConversion"/>
  <pageMargins left="0.7" right="0.7" top="0.75" bottom="0.75" header="0.3" footer="0.3"/>
  <pageSetup scale="20" orientation="landscape" r:id="rId1"/>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2060"/>
    <pageSetUpPr fitToPage="1"/>
  </sheetPr>
  <dimension ref="A1:N39"/>
  <sheetViews>
    <sheetView workbookViewId="0"/>
  </sheetViews>
  <sheetFormatPr defaultRowHeight="12.75"/>
  <cols>
    <col min="1" max="1" width="20" customWidth="1"/>
    <col min="2" max="2" width="15.85546875" customWidth="1"/>
    <col min="3" max="14" width="11.5703125" customWidth="1"/>
  </cols>
  <sheetData>
    <row r="1" spans="1:14">
      <c r="A1" s="42" t="s">
        <v>2856</v>
      </c>
    </row>
    <row r="3" spans="1:14" ht="15" hidden="1">
      <c r="B3" s="702">
        <v>43070</v>
      </c>
      <c r="C3" s="702">
        <v>43101</v>
      </c>
      <c r="D3" s="702">
        <v>43132</v>
      </c>
      <c r="E3" s="702">
        <v>43160</v>
      </c>
      <c r="F3" s="702">
        <v>43191</v>
      </c>
      <c r="G3" s="702">
        <v>43221</v>
      </c>
      <c r="H3" s="702">
        <v>43252</v>
      </c>
      <c r="I3" s="702">
        <v>43282</v>
      </c>
      <c r="J3" s="702">
        <v>43313</v>
      </c>
      <c r="K3" s="702">
        <v>43344</v>
      </c>
      <c r="L3" s="702">
        <v>43374</v>
      </c>
      <c r="M3" s="702">
        <v>43405</v>
      </c>
      <c r="N3" s="702">
        <v>43435</v>
      </c>
    </row>
    <row r="4" spans="1:14" ht="21.6" hidden="1" customHeight="1">
      <c r="A4" s="703">
        <v>42736</v>
      </c>
      <c r="B4">
        <v>0.38574999999999998</v>
      </c>
    </row>
    <row r="5" spans="1:14" ht="21.6" hidden="1" customHeight="1">
      <c r="A5" s="703">
        <v>42767</v>
      </c>
      <c r="B5">
        <v>0.38574999999999998</v>
      </c>
      <c r="C5">
        <v>0.38574999999999998</v>
      </c>
    </row>
    <row r="6" spans="1:14" ht="21.6" hidden="1" customHeight="1">
      <c r="A6" s="703">
        <v>42795</v>
      </c>
      <c r="B6">
        <v>0.38574999999999998</v>
      </c>
      <c r="C6">
        <v>0.38574999999999998</v>
      </c>
      <c r="D6">
        <v>0.38574999999999998</v>
      </c>
    </row>
    <row r="7" spans="1:14" ht="21.6" hidden="1" customHeight="1">
      <c r="A7" s="703">
        <v>42826</v>
      </c>
      <c r="B7">
        <v>0.38574999999999998</v>
      </c>
      <c r="C7">
        <v>0.38574999999999998</v>
      </c>
      <c r="D7">
        <v>0.38574999999999998</v>
      </c>
      <c r="E7">
        <v>0.38574999999999998</v>
      </c>
    </row>
    <row r="8" spans="1:14" ht="21.6" hidden="1" customHeight="1">
      <c r="A8" s="703">
        <v>42856</v>
      </c>
      <c r="B8">
        <v>0.38574999999999998</v>
      </c>
      <c r="C8">
        <v>0.38574999999999998</v>
      </c>
      <c r="D8">
        <v>0.38574999999999998</v>
      </c>
      <c r="E8">
        <v>0.38574999999999998</v>
      </c>
      <c r="F8">
        <v>0.38574999999999998</v>
      </c>
    </row>
    <row r="9" spans="1:14" ht="21.6" hidden="1" customHeight="1">
      <c r="A9" s="703">
        <v>42887</v>
      </c>
      <c r="B9">
        <v>0.38574999999999998</v>
      </c>
      <c r="C9">
        <v>0.38574999999999998</v>
      </c>
      <c r="D9">
        <v>0.38574999999999998</v>
      </c>
      <c r="E9">
        <v>0.38574999999999998</v>
      </c>
      <c r="F9">
        <v>0.38574999999999998</v>
      </c>
      <c r="G9">
        <v>0.38574999999999998</v>
      </c>
    </row>
    <row r="10" spans="1:14" ht="21.6" hidden="1" customHeight="1">
      <c r="A10" s="703">
        <v>42917</v>
      </c>
      <c r="B10">
        <v>0.38574999999999998</v>
      </c>
      <c r="C10">
        <v>0.38574999999999998</v>
      </c>
      <c r="D10">
        <v>0.38574999999999998</v>
      </c>
      <c r="E10">
        <v>0.38574999999999998</v>
      </c>
      <c r="F10">
        <v>0.38574999999999998</v>
      </c>
      <c r="G10">
        <v>0.38574999999999998</v>
      </c>
      <c r="H10">
        <v>0.38574999999999998</v>
      </c>
    </row>
    <row r="11" spans="1:14" ht="21.6" hidden="1" customHeight="1">
      <c r="A11" s="703">
        <v>42948</v>
      </c>
      <c r="B11">
        <v>0.38574999999999998</v>
      </c>
      <c r="C11">
        <v>0.38574999999999998</v>
      </c>
      <c r="D11">
        <v>0.38574999999999998</v>
      </c>
      <c r="E11">
        <v>0.38574999999999998</v>
      </c>
      <c r="F11">
        <v>0.38574999999999998</v>
      </c>
      <c r="G11">
        <v>0.38574999999999998</v>
      </c>
      <c r="H11">
        <v>0.38574999999999998</v>
      </c>
      <c r="I11">
        <v>0.38574999999999998</v>
      </c>
    </row>
    <row r="12" spans="1:14" ht="21.6" hidden="1" customHeight="1">
      <c r="A12" s="703">
        <v>42979</v>
      </c>
      <c r="B12">
        <v>0.38574999999999998</v>
      </c>
      <c r="C12">
        <v>0.38574999999999998</v>
      </c>
      <c r="D12">
        <v>0.38574999999999998</v>
      </c>
      <c r="E12">
        <v>0.38574999999999998</v>
      </c>
      <c r="F12">
        <v>0.38574999999999998</v>
      </c>
      <c r="G12">
        <v>0.38574999999999998</v>
      </c>
      <c r="H12">
        <v>0.38574999999999998</v>
      </c>
      <c r="I12">
        <v>0.38574999999999998</v>
      </c>
      <c r="J12">
        <v>0.38574999999999998</v>
      </c>
    </row>
    <row r="13" spans="1:14" ht="21.6" hidden="1" customHeight="1">
      <c r="A13" s="703">
        <v>43009</v>
      </c>
      <c r="B13">
        <v>0.38574999999999998</v>
      </c>
      <c r="C13">
        <v>0.38574999999999998</v>
      </c>
      <c r="D13">
        <v>0.38574999999999998</v>
      </c>
      <c r="E13">
        <v>0.38574999999999998</v>
      </c>
      <c r="F13">
        <v>0.38574999999999998</v>
      </c>
      <c r="G13">
        <v>0.38574999999999998</v>
      </c>
      <c r="H13">
        <v>0.38574999999999998</v>
      </c>
      <c r="I13">
        <v>0.38574999999999998</v>
      </c>
      <c r="J13">
        <v>0.38574999999999998</v>
      </c>
      <c r="K13">
        <v>0.38574999999999998</v>
      </c>
    </row>
    <row r="14" spans="1:14" ht="21.6" hidden="1" customHeight="1">
      <c r="A14" s="703">
        <v>43040</v>
      </c>
      <c r="B14">
        <v>0.38574999999999998</v>
      </c>
      <c r="C14">
        <v>0.38574999999999998</v>
      </c>
      <c r="D14">
        <v>0.38574999999999998</v>
      </c>
      <c r="E14">
        <v>0.38574999999999998</v>
      </c>
      <c r="F14">
        <v>0.38574999999999998</v>
      </c>
      <c r="G14">
        <v>0.38574999999999998</v>
      </c>
      <c r="H14">
        <v>0.38574999999999998</v>
      </c>
      <c r="I14">
        <v>0.38574999999999998</v>
      </c>
      <c r="J14">
        <v>0.38574999999999998</v>
      </c>
      <c r="K14">
        <v>0.38574999999999998</v>
      </c>
      <c r="L14">
        <v>0.38574999999999998</v>
      </c>
    </row>
    <row r="15" spans="1:14" ht="21.6" hidden="1" customHeight="1">
      <c r="A15" s="703">
        <v>43070</v>
      </c>
      <c r="B15">
        <v>0.38574999999999998</v>
      </c>
      <c r="C15">
        <v>0.38574999999999998</v>
      </c>
      <c r="D15">
        <v>0.38574999999999998</v>
      </c>
      <c r="E15">
        <v>0.38574999999999998</v>
      </c>
      <c r="F15">
        <v>0.38574999999999998</v>
      </c>
      <c r="G15">
        <v>0.38574999999999998</v>
      </c>
      <c r="H15">
        <v>0.38574999999999998</v>
      </c>
      <c r="I15">
        <v>0.38574999999999998</v>
      </c>
      <c r="J15">
        <v>0.38574999999999998</v>
      </c>
      <c r="K15">
        <v>0.38574999999999998</v>
      </c>
      <c r="L15">
        <v>0.38574999999999998</v>
      </c>
      <c r="M15">
        <v>0.38574999999999998</v>
      </c>
    </row>
    <row r="16" spans="1:14" ht="21.6" hidden="1" customHeight="1">
      <c r="A16" s="703">
        <v>43101</v>
      </c>
      <c r="B16" s="703"/>
      <c r="C16">
        <v>0.25345000000000001</v>
      </c>
      <c r="D16">
        <v>0.25345000000000001</v>
      </c>
      <c r="E16">
        <v>0.25345000000000001</v>
      </c>
      <c r="F16">
        <v>0.25345000000000001</v>
      </c>
      <c r="G16">
        <v>0.25345000000000001</v>
      </c>
      <c r="H16">
        <v>0.25345000000000001</v>
      </c>
      <c r="I16">
        <v>0.25345000000000001</v>
      </c>
      <c r="J16">
        <v>0.25345000000000001</v>
      </c>
      <c r="K16">
        <v>0.25345000000000001</v>
      </c>
      <c r="L16">
        <v>0.25345000000000001</v>
      </c>
      <c r="M16">
        <v>0.25345000000000001</v>
      </c>
      <c r="N16">
        <v>0.25345000000000001</v>
      </c>
    </row>
    <row r="17" spans="1:14" ht="21.6" hidden="1" customHeight="1">
      <c r="A17" s="703">
        <v>43132</v>
      </c>
      <c r="B17" s="703"/>
      <c r="D17">
        <v>0.25345000000000001</v>
      </c>
      <c r="E17">
        <v>0.25345000000000001</v>
      </c>
      <c r="F17">
        <v>0.25345000000000001</v>
      </c>
      <c r="G17">
        <v>0.25345000000000001</v>
      </c>
      <c r="H17">
        <v>0.25345000000000001</v>
      </c>
      <c r="I17">
        <v>0.25345000000000001</v>
      </c>
      <c r="J17">
        <v>0.25345000000000001</v>
      </c>
      <c r="K17">
        <v>0.25345000000000001</v>
      </c>
      <c r="L17">
        <v>0.25345000000000001</v>
      </c>
      <c r="M17">
        <v>0.25345000000000001</v>
      </c>
      <c r="N17">
        <v>0.25345000000000001</v>
      </c>
    </row>
    <row r="18" spans="1:14" ht="21.6" hidden="1" customHeight="1">
      <c r="A18" s="703">
        <v>43160</v>
      </c>
      <c r="B18" s="703"/>
      <c r="E18">
        <v>0.25345000000000001</v>
      </c>
      <c r="F18">
        <v>0.25345000000000001</v>
      </c>
      <c r="G18">
        <v>0.25345000000000001</v>
      </c>
      <c r="H18">
        <v>0.25345000000000001</v>
      </c>
      <c r="I18">
        <v>0.25345000000000001</v>
      </c>
      <c r="J18">
        <v>0.25345000000000001</v>
      </c>
      <c r="K18">
        <v>0.25345000000000001</v>
      </c>
      <c r="L18">
        <v>0.25345000000000001</v>
      </c>
      <c r="M18">
        <v>0.25345000000000001</v>
      </c>
      <c r="N18">
        <v>0.25345000000000001</v>
      </c>
    </row>
    <row r="19" spans="1:14" ht="21.6" hidden="1" customHeight="1">
      <c r="A19" s="703">
        <v>43191</v>
      </c>
      <c r="B19" s="703"/>
      <c r="F19">
        <v>0.25345000000000001</v>
      </c>
      <c r="G19">
        <v>0.25345000000000001</v>
      </c>
      <c r="H19">
        <v>0.25345000000000001</v>
      </c>
      <c r="I19">
        <v>0.25345000000000001</v>
      </c>
      <c r="J19">
        <v>0.25345000000000001</v>
      </c>
      <c r="K19">
        <v>0.25345000000000001</v>
      </c>
      <c r="L19">
        <v>0.25345000000000001</v>
      </c>
      <c r="M19">
        <v>0.25345000000000001</v>
      </c>
      <c r="N19">
        <v>0.25345000000000001</v>
      </c>
    </row>
    <row r="20" spans="1:14" ht="21.6" hidden="1" customHeight="1">
      <c r="A20" s="703">
        <v>43221</v>
      </c>
      <c r="B20" s="703"/>
      <c r="G20">
        <v>0.25345000000000001</v>
      </c>
      <c r="H20">
        <v>0.25345000000000001</v>
      </c>
      <c r="I20">
        <v>0.25345000000000001</v>
      </c>
      <c r="J20">
        <v>0.25345000000000001</v>
      </c>
      <c r="K20">
        <v>0.25345000000000001</v>
      </c>
      <c r="L20">
        <v>0.25345000000000001</v>
      </c>
      <c r="M20">
        <v>0.25345000000000001</v>
      </c>
      <c r="N20">
        <v>0.25345000000000001</v>
      </c>
    </row>
    <row r="21" spans="1:14" ht="21.6" hidden="1" customHeight="1">
      <c r="A21" s="703">
        <v>43252</v>
      </c>
      <c r="B21" s="703"/>
      <c r="H21">
        <v>0.25345000000000001</v>
      </c>
      <c r="I21">
        <v>0.25345000000000001</v>
      </c>
      <c r="J21">
        <v>0.25345000000000001</v>
      </c>
      <c r="K21">
        <v>0.25345000000000001</v>
      </c>
      <c r="L21">
        <v>0.25345000000000001</v>
      </c>
      <c r="M21">
        <v>0.25345000000000001</v>
      </c>
      <c r="N21">
        <v>0.25345000000000001</v>
      </c>
    </row>
    <row r="22" spans="1:14" ht="21.6" hidden="1" customHeight="1">
      <c r="A22" s="703">
        <v>43282</v>
      </c>
      <c r="B22" s="703"/>
      <c r="I22">
        <v>0.25345000000000001</v>
      </c>
      <c r="J22">
        <v>0.25345000000000001</v>
      </c>
      <c r="K22">
        <v>0.25345000000000001</v>
      </c>
      <c r="L22">
        <v>0.25345000000000001</v>
      </c>
      <c r="M22">
        <v>0.25345000000000001</v>
      </c>
      <c r="N22">
        <v>0.25345000000000001</v>
      </c>
    </row>
    <row r="23" spans="1:14" ht="21.6" hidden="1" customHeight="1">
      <c r="A23" s="703">
        <v>43313</v>
      </c>
      <c r="B23" s="703"/>
      <c r="J23">
        <v>0.25345000000000001</v>
      </c>
      <c r="K23">
        <v>0.25345000000000001</v>
      </c>
      <c r="L23">
        <v>0.25345000000000001</v>
      </c>
      <c r="M23">
        <v>0.25345000000000001</v>
      </c>
      <c r="N23">
        <v>0.25345000000000001</v>
      </c>
    </row>
    <row r="24" spans="1:14" ht="21.6" hidden="1" customHeight="1">
      <c r="A24" s="703">
        <v>43344</v>
      </c>
      <c r="B24" s="703"/>
      <c r="K24">
        <v>0.25345000000000001</v>
      </c>
      <c r="L24">
        <v>0.25345000000000001</v>
      </c>
      <c r="M24">
        <v>0.25345000000000001</v>
      </c>
      <c r="N24">
        <v>0.25345000000000001</v>
      </c>
    </row>
    <row r="25" spans="1:14" ht="21.6" hidden="1" customHeight="1">
      <c r="A25" s="703">
        <v>43374</v>
      </c>
      <c r="B25" s="703"/>
      <c r="L25">
        <v>0.25345000000000001</v>
      </c>
      <c r="M25">
        <v>0.25345000000000001</v>
      </c>
      <c r="N25">
        <v>0.25345000000000001</v>
      </c>
    </row>
    <row r="26" spans="1:14" ht="21.6" hidden="1" customHeight="1">
      <c r="A26" s="703">
        <v>43405</v>
      </c>
      <c r="B26" s="703"/>
      <c r="M26">
        <v>0.25345000000000001</v>
      </c>
      <c r="N26">
        <v>0.25345000000000001</v>
      </c>
    </row>
    <row r="27" spans="1:14" ht="21.6" hidden="1" customHeight="1">
      <c r="A27" s="703">
        <v>43435</v>
      </c>
      <c r="B27" s="703"/>
      <c r="N27">
        <v>0.25345000000000001</v>
      </c>
    </row>
    <row r="28" spans="1:14" ht="15" hidden="1">
      <c r="A28" s="704"/>
      <c r="B28" s="704"/>
    </row>
    <row r="29" spans="1:14" ht="16.5" hidden="1" thickBot="1">
      <c r="A29" s="705" t="s">
        <v>2201</v>
      </c>
      <c r="B29" s="706">
        <f>ROUND(SUM(B4:B27)/12,5)</f>
        <v>0.38574999999999998</v>
      </c>
      <c r="C29" s="707">
        <f>ROUND(SUM(C4:C27)/12,5)</f>
        <v>0.37473000000000001</v>
      </c>
      <c r="D29" s="707">
        <f t="shared" ref="D29:N29" si="0">SUM(D4:D27)/12</f>
        <v>0.36369999999999991</v>
      </c>
      <c r="E29" s="707">
        <f t="shared" si="0"/>
        <v>0.35267499999999991</v>
      </c>
      <c r="F29" s="707">
        <f t="shared" si="0"/>
        <v>0.34164999999999995</v>
      </c>
      <c r="G29" s="707">
        <f t="shared" si="0"/>
        <v>0.33062499999999995</v>
      </c>
      <c r="H29" s="707">
        <f t="shared" si="0"/>
        <v>0.31959999999999994</v>
      </c>
      <c r="I29" s="707">
        <f t="shared" si="0"/>
        <v>0.30857499999999999</v>
      </c>
      <c r="J29" s="707">
        <f t="shared" si="0"/>
        <v>0.29754999999999998</v>
      </c>
      <c r="K29" s="707">
        <f t="shared" si="0"/>
        <v>0.28652499999999997</v>
      </c>
      <c r="L29" s="707">
        <f t="shared" si="0"/>
        <v>0.27549999999999997</v>
      </c>
      <c r="M29" s="707">
        <f t="shared" si="0"/>
        <v>0.26447499999999996</v>
      </c>
      <c r="N29" s="707">
        <f t="shared" si="0"/>
        <v>0.25345000000000001</v>
      </c>
    </row>
    <row r="30" spans="1:14" ht="20.45" hidden="1" customHeight="1" thickTop="1">
      <c r="A30" s="705" t="s">
        <v>2201</v>
      </c>
      <c r="B30" s="708">
        <f>1-B29</f>
        <v>0.61424999999999996</v>
      </c>
      <c r="C30" s="709">
        <f>1-C29</f>
        <v>0.62526999999999999</v>
      </c>
      <c r="D30" s="709">
        <f t="shared" ref="D30:N30" si="1">1-D29</f>
        <v>0.63630000000000009</v>
      </c>
      <c r="E30" s="709">
        <f t="shared" si="1"/>
        <v>0.64732500000000015</v>
      </c>
      <c r="F30" s="709">
        <f t="shared" si="1"/>
        <v>0.65834999999999999</v>
      </c>
      <c r="G30" s="709">
        <f t="shared" si="1"/>
        <v>0.66937500000000005</v>
      </c>
      <c r="H30" s="709">
        <f t="shared" si="1"/>
        <v>0.68040000000000012</v>
      </c>
      <c r="I30" s="709">
        <f t="shared" si="1"/>
        <v>0.69142499999999996</v>
      </c>
      <c r="J30" s="709">
        <f t="shared" si="1"/>
        <v>0.70245000000000002</v>
      </c>
      <c r="K30" s="709">
        <f t="shared" si="1"/>
        <v>0.71347500000000008</v>
      </c>
      <c r="L30" s="709">
        <f t="shared" si="1"/>
        <v>0.72450000000000003</v>
      </c>
      <c r="M30" s="709">
        <f t="shared" si="1"/>
        <v>0.73552499999999998</v>
      </c>
      <c r="N30" s="709">
        <f t="shared" si="1"/>
        <v>0.74655000000000005</v>
      </c>
    </row>
    <row r="31" spans="1:14" s="710" customFormat="1" ht="18.75" hidden="1">
      <c r="A31" s="711"/>
      <c r="B31" s="711"/>
      <c r="C31" s="712">
        <v>43101</v>
      </c>
      <c r="D31" s="712">
        <v>43132</v>
      </c>
      <c r="E31" s="712">
        <v>43160</v>
      </c>
      <c r="F31" s="712">
        <v>43191</v>
      </c>
      <c r="G31" s="712">
        <v>43221</v>
      </c>
      <c r="H31" s="712">
        <v>43252</v>
      </c>
      <c r="I31" s="712">
        <v>43282</v>
      </c>
      <c r="J31" s="712">
        <v>43313</v>
      </c>
      <c r="K31" s="712">
        <v>43344</v>
      </c>
      <c r="L31" s="712">
        <v>43374</v>
      </c>
      <c r="M31" s="712">
        <v>43405</v>
      </c>
      <c r="N31" s="712">
        <v>43435</v>
      </c>
    </row>
    <row r="32" spans="1:14" ht="15" hidden="1">
      <c r="A32" s="704"/>
      <c r="B32" s="713" t="s">
        <v>2202</v>
      </c>
      <c r="C32" s="714" t="s">
        <v>2203</v>
      </c>
      <c r="D32" s="714" t="s">
        <v>2203</v>
      </c>
      <c r="E32" s="714" t="s">
        <v>2203</v>
      </c>
      <c r="F32" s="714" t="s">
        <v>2203</v>
      </c>
      <c r="G32" s="714" t="s">
        <v>2203</v>
      </c>
      <c r="H32" s="714" t="s">
        <v>2203</v>
      </c>
      <c r="I32" s="714" t="s">
        <v>2203</v>
      </c>
      <c r="J32" s="714" t="s">
        <v>2203</v>
      </c>
      <c r="K32" s="714" t="s">
        <v>2203</v>
      </c>
      <c r="L32" s="714" t="s">
        <v>2203</v>
      </c>
      <c r="M32" s="714" t="s">
        <v>2203</v>
      </c>
      <c r="N32" s="714" t="s">
        <v>2203</v>
      </c>
    </row>
    <row r="33" spans="1:14" ht="15" hidden="1">
      <c r="A33" s="704"/>
      <c r="B33" s="713" t="s">
        <v>2204</v>
      </c>
      <c r="C33" s="714" t="s">
        <v>2205</v>
      </c>
      <c r="D33" s="714" t="s">
        <v>2205</v>
      </c>
      <c r="E33" s="714" t="s">
        <v>2205</v>
      </c>
      <c r="F33" s="714" t="s">
        <v>2205</v>
      </c>
      <c r="G33" s="714" t="s">
        <v>2205</v>
      </c>
      <c r="H33" s="714" t="s">
        <v>2205</v>
      </c>
      <c r="I33" s="714" t="s">
        <v>2205</v>
      </c>
      <c r="J33" s="714" t="s">
        <v>2205</v>
      </c>
      <c r="K33" s="714" t="s">
        <v>2205</v>
      </c>
      <c r="L33" s="714" t="s">
        <v>2205</v>
      </c>
      <c r="M33" s="714" t="s">
        <v>2205</v>
      </c>
      <c r="N33" s="714" t="s">
        <v>2205</v>
      </c>
    </row>
    <row r="34" spans="1:14" ht="15" hidden="1">
      <c r="B34" s="713" t="s">
        <v>169</v>
      </c>
      <c r="C34" s="714" t="s">
        <v>2206</v>
      </c>
      <c r="D34" s="714" t="s">
        <v>2206</v>
      </c>
      <c r="E34" s="714" t="s">
        <v>2206</v>
      </c>
      <c r="F34" s="714" t="s">
        <v>2206</v>
      </c>
      <c r="G34" s="714" t="s">
        <v>2206</v>
      </c>
      <c r="H34" s="714" t="s">
        <v>2206</v>
      </c>
      <c r="I34" s="714" t="s">
        <v>2206</v>
      </c>
      <c r="J34" s="714" t="s">
        <v>2206</v>
      </c>
      <c r="K34" s="714" t="s">
        <v>2206</v>
      </c>
      <c r="L34" s="714" t="s">
        <v>2206</v>
      </c>
      <c r="M34" s="714" t="s">
        <v>2206</v>
      </c>
      <c r="N34" s="714" t="s">
        <v>2206</v>
      </c>
    </row>
    <row r="35" spans="1:14" ht="15">
      <c r="B35" s="715"/>
      <c r="C35" s="714"/>
      <c r="D35" s="714"/>
      <c r="E35" s="714"/>
      <c r="F35" s="714"/>
      <c r="G35" s="714"/>
      <c r="H35" s="714"/>
      <c r="I35" s="714"/>
      <c r="J35" s="714"/>
      <c r="K35" s="714"/>
      <c r="L35" s="714"/>
      <c r="M35" s="714"/>
      <c r="N35" s="714"/>
    </row>
    <row r="36" spans="1:14">
      <c r="A36" s="17" t="s">
        <v>2494</v>
      </c>
      <c r="B36" s="1243">
        <v>0.25345000000000001</v>
      </c>
      <c r="C36" s="715"/>
      <c r="D36" s="715"/>
      <c r="E36" s="715"/>
      <c r="F36" s="715"/>
      <c r="G36" s="715"/>
      <c r="H36" s="715"/>
      <c r="I36" s="715"/>
      <c r="J36" s="715"/>
      <c r="K36" s="715"/>
      <c r="L36" s="715"/>
      <c r="M36" s="715"/>
      <c r="N36" s="715"/>
    </row>
    <row r="37" spans="1:14">
      <c r="A37" s="130" t="s">
        <v>2495</v>
      </c>
      <c r="B37" s="1244">
        <f>1-B36</f>
        <v>0.74655000000000005</v>
      </c>
      <c r="C37" s="715"/>
      <c r="D37" s="715"/>
      <c r="E37" s="715"/>
      <c r="F37" s="715"/>
      <c r="G37" s="715"/>
      <c r="H37" s="715"/>
      <c r="I37" s="715"/>
      <c r="J37" s="715"/>
      <c r="K37" s="715"/>
      <c r="L37" s="715"/>
      <c r="M37" s="715"/>
      <c r="N37" s="715"/>
    </row>
    <row r="38" spans="1:14">
      <c r="B38" s="715"/>
      <c r="C38" s="715"/>
      <c r="D38" s="715"/>
      <c r="E38" s="715"/>
      <c r="F38" s="715"/>
      <c r="G38" s="715"/>
      <c r="H38" s="715"/>
      <c r="I38" s="715"/>
      <c r="J38" s="715"/>
      <c r="K38" s="715"/>
      <c r="L38" s="715"/>
      <c r="M38" s="715"/>
      <c r="N38" s="715"/>
    </row>
    <row r="39" spans="1:14">
      <c r="B39" s="715"/>
      <c r="C39" s="715"/>
      <c r="D39" s="715"/>
      <c r="E39" s="715"/>
      <c r="F39" s="715"/>
      <c r="G39" s="715"/>
      <c r="H39" s="715"/>
      <c r="I39" s="715"/>
      <c r="J39" s="715"/>
      <c r="K39" s="715"/>
      <c r="L39" s="715"/>
      <c r="M39" s="715"/>
      <c r="N39" s="715"/>
    </row>
  </sheetData>
  <pageMargins left="0.7" right="0.7" top="0.75" bottom="0.75" header="0.3" footer="0.3"/>
  <pageSetup orientation="landscape" r:id="rId1"/>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2060"/>
    <pageSetUpPr fitToPage="1"/>
  </sheetPr>
  <dimension ref="A1:U278"/>
  <sheetViews>
    <sheetView view="pageBreakPreview" topLeftCell="A247" zoomScale="60" zoomScaleNormal="100" workbookViewId="0">
      <selection activeCell="T275" sqref="T275"/>
    </sheetView>
  </sheetViews>
  <sheetFormatPr defaultRowHeight="12.75"/>
  <cols>
    <col min="1" max="1" width="11.5703125" bestFit="1" customWidth="1"/>
    <col min="2" max="2" width="18.42578125" customWidth="1"/>
    <col min="3" max="3" width="12.5703125" bestFit="1" customWidth="1"/>
    <col min="4" max="4" width="20.42578125" customWidth="1"/>
    <col min="5" max="5" width="12.5703125" bestFit="1" customWidth="1"/>
    <col min="6" max="6" width="18.5703125" bestFit="1" customWidth="1"/>
    <col min="7" max="7" width="16.5703125" customWidth="1"/>
    <col min="8" max="8" width="18.140625" hidden="1" customWidth="1"/>
    <col min="9" max="9" width="18.42578125" hidden="1" customWidth="1"/>
    <col min="10" max="10" width="18.42578125" bestFit="1" customWidth="1"/>
    <col min="11" max="11" width="11.85546875" bestFit="1" customWidth="1"/>
    <col min="12" max="12" width="12.42578125" bestFit="1" customWidth="1"/>
    <col min="13" max="13" width="10.42578125" customWidth="1"/>
    <col min="14" max="14" width="9.42578125" bestFit="1" customWidth="1"/>
    <col min="19" max="19" width="19.85546875" bestFit="1" customWidth="1"/>
    <col min="20" max="20" width="9.85546875" bestFit="1" customWidth="1"/>
    <col min="21" max="21" width="18.85546875" customWidth="1"/>
  </cols>
  <sheetData>
    <row r="1" spans="1:21" ht="15">
      <c r="A1" s="8"/>
      <c r="B1" s="6" t="s">
        <v>204</v>
      </c>
      <c r="C1" s="6"/>
      <c r="D1" s="6"/>
      <c r="E1" s="8"/>
      <c r="F1" s="8"/>
      <c r="G1" s="8"/>
      <c r="H1" s="8"/>
      <c r="I1" s="8"/>
      <c r="J1" s="8"/>
      <c r="K1" s="8"/>
      <c r="L1" s="8"/>
      <c r="M1" s="8"/>
      <c r="N1" s="8"/>
      <c r="O1" s="8"/>
      <c r="P1" s="8"/>
      <c r="Q1" s="8"/>
      <c r="R1" s="8"/>
      <c r="S1" s="8"/>
      <c r="T1" s="8"/>
      <c r="U1" s="8"/>
    </row>
    <row r="2" spans="1:21" ht="15">
      <c r="A2" s="8"/>
      <c r="B2" s="8"/>
      <c r="C2" s="8"/>
      <c r="D2" s="8"/>
      <c r="E2" s="8"/>
      <c r="F2" s="8"/>
      <c r="G2" s="8"/>
      <c r="H2" s="8"/>
      <c r="I2" s="8"/>
      <c r="J2" s="8"/>
      <c r="K2" s="8"/>
      <c r="L2" s="8"/>
      <c r="M2" s="8"/>
      <c r="N2" s="8"/>
      <c r="O2" s="8"/>
      <c r="P2" s="8"/>
      <c r="Q2" s="8"/>
      <c r="R2" s="8"/>
      <c r="S2" s="8"/>
      <c r="T2" s="8"/>
      <c r="U2" s="8"/>
    </row>
    <row r="3" spans="1:21" ht="15">
      <c r="A3" s="8"/>
      <c r="B3" s="8"/>
      <c r="C3" s="8"/>
      <c r="D3" s="8"/>
      <c r="E3" s="8"/>
      <c r="F3" s="8"/>
      <c r="G3" s="8"/>
      <c r="H3" s="8"/>
      <c r="I3" s="8"/>
      <c r="J3" s="8"/>
      <c r="K3" s="8"/>
      <c r="L3" s="8"/>
      <c r="M3" s="8"/>
      <c r="N3" s="8"/>
      <c r="O3" s="8"/>
      <c r="P3" s="8"/>
      <c r="Q3" s="8"/>
      <c r="R3" s="8"/>
      <c r="S3" s="8"/>
      <c r="T3" s="8"/>
      <c r="U3" s="8"/>
    </row>
    <row r="4" spans="1:21" ht="15">
      <c r="A4" s="8"/>
      <c r="C4" s="8"/>
      <c r="D4" s="8"/>
      <c r="E4" s="8"/>
      <c r="F4" s="8"/>
    </row>
    <row r="5" spans="1:21" ht="15">
      <c r="A5" s="8"/>
      <c r="B5" s="8"/>
      <c r="C5" s="8"/>
      <c r="D5" s="8"/>
      <c r="E5" s="8"/>
      <c r="F5" s="8"/>
    </row>
    <row r="6" spans="1:21" ht="15.75">
      <c r="A6" s="12" t="s">
        <v>518</v>
      </c>
      <c r="B6" s="8"/>
      <c r="C6" s="7"/>
      <c r="D6" s="8"/>
      <c r="E6" s="8"/>
      <c r="F6" s="8"/>
    </row>
    <row r="7" spans="1:21" ht="15">
      <c r="A7" s="8"/>
      <c r="B7" s="8"/>
      <c r="C7" s="8"/>
      <c r="D7" s="8"/>
      <c r="E7" s="8"/>
      <c r="F7" s="8"/>
    </row>
    <row r="8" spans="1:21" ht="15">
      <c r="A8" s="8"/>
      <c r="B8" s="8">
        <f>5032-2947</f>
        <v>2085</v>
      </c>
      <c r="C8" s="8"/>
      <c r="D8" s="8"/>
      <c r="E8" s="8"/>
      <c r="F8" s="8"/>
    </row>
    <row r="9" spans="1:21" ht="15">
      <c r="A9" s="8"/>
      <c r="B9" s="9"/>
      <c r="C9" s="9"/>
      <c r="D9" s="9"/>
      <c r="E9" s="9"/>
      <c r="F9" s="11">
        <v>1387151.6</v>
      </c>
    </row>
    <row r="10" spans="1:21" ht="15">
      <c r="A10" s="8"/>
      <c r="B10" s="9" t="s">
        <v>298</v>
      </c>
      <c r="C10" s="9" t="s">
        <v>299</v>
      </c>
      <c r="D10" s="9" t="s">
        <v>300</v>
      </c>
      <c r="E10" s="9" t="s">
        <v>299</v>
      </c>
      <c r="F10" s="8"/>
    </row>
    <row r="11" spans="1:21" ht="15">
      <c r="A11" s="8"/>
      <c r="B11" s="13" t="s">
        <v>301</v>
      </c>
      <c r="C11" s="13" t="s">
        <v>302</v>
      </c>
      <c r="D11" s="13" t="s">
        <v>303</v>
      </c>
      <c r="E11" s="13" t="s">
        <v>302</v>
      </c>
      <c r="F11" s="8"/>
    </row>
    <row r="12" spans="1:21" ht="15">
      <c r="A12" s="8"/>
      <c r="B12" s="9"/>
      <c r="C12" s="9"/>
      <c r="D12" s="9"/>
      <c r="E12" s="9"/>
    </row>
    <row r="13" spans="1:21" ht="16.5" customHeight="1">
      <c r="A13" s="8"/>
      <c r="B13" s="8"/>
      <c r="C13" s="8"/>
      <c r="D13" s="8" t="s">
        <v>304</v>
      </c>
      <c r="E13" s="8"/>
      <c r="F13" s="8"/>
    </row>
    <row r="14" spans="1:21" ht="16.5" hidden="1" customHeight="1">
      <c r="A14" s="16" t="s">
        <v>297</v>
      </c>
      <c r="B14" s="15">
        <v>2947</v>
      </c>
      <c r="C14" s="10"/>
      <c r="D14" s="15">
        <f>ROUND(F14/1000,0)</f>
        <v>1387</v>
      </c>
      <c r="E14" s="10"/>
      <c r="F14" s="14">
        <v>1387151.6</v>
      </c>
    </row>
    <row r="15" spans="1:21" ht="16.5" hidden="1" customHeight="1">
      <c r="A15" s="16" t="s">
        <v>312</v>
      </c>
      <c r="B15" s="15">
        <v>2947</v>
      </c>
      <c r="C15" s="10"/>
      <c r="D15" s="15">
        <f t="shared" ref="D15:D38" si="0">ROUND(F15/1000,0)</f>
        <v>1394</v>
      </c>
      <c r="E15" s="10"/>
      <c r="F15" s="11">
        <f t="shared" ref="F15:F38" si="1">F14+6637.1</f>
        <v>1393788.7000000002</v>
      </c>
    </row>
    <row r="16" spans="1:21" ht="16.5" hidden="1" customHeight="1">
      <c r="A16" s="16" t="s">
        <v>313</v>
      </c>
      <c r="B16" s="15">
        <v>2947</v>
      </c>
      <c r="C16" s="10"/>
      <c r="D16" s="15">
        <f t="shared" si="0"/>
        <v>1400</v>
      </c>
      <c r="E16" s="10"/>
      <c r="F16" s="11">
        <f t="shared" si="1"/>
        <v>1400425.8000000003</v>
      </c>
    </row>
    <row r="17" spans="1:6" ht="16.5" hidden="1" customHeight="1">
      <c r="A17" s="16" t="s">
        <v>314</v>
      </c>
      <c r="B17" s="15">
        <v>2947</v>
      </c>
      <c r="C17" s="10"/>
      <c r="D17" s="15">
        <f t="shared" si="0"/>
        <v>1407</v>
      </c>
      <c r="E17" s="10"/>
      <c r="F17" s="11">
        <f t="shared" si="1"/>
        <v>1407062.9000000004</v>
      </c>
    </row>
    <row r="18" spans="1:6" ht="16.5" hidden="1" customHeight="1">
      <c r="A18" s="16" t="s">
        <v>315</v>
      </c>
      <c r="B18" s="15">
        <v>2947</v>
      </c>
      <c r="C18" s="10"/>
      <c r="D18" s="15">
        <f t="shared" si="0"/>
        <v>1414</v>
      </c>
      <c r="E18" s="10"/>
      <c r="F18" s="11">
        <f t="shared" si="1"/>
        <v>1413700.0000000005</v>
      </c>
    </row>
    <row r="19" spans="1:6" ht="16.5" hidden="1" customHeight="1">
      <c r="A19" s="16" t="s">
        <v>316</v>
      </c>
      <c r="B19" s="15">
        <v>2947</v>
      </c>
      <c r="C19" s="10"/>
      <c r="D19" s="15">
        <f t="shared" si="0"/>
        <v>1420</v>
      </c>
      <c r="E19" s="10"/>
      <c r="F19" s="11">
        <f t="shared" si="1"/>
        <v>1420337.1000000006</v>
      </c>
    </row>
    <row r="20" spans="1:6" ht="16.5" hidden="1" customHeight="1">
      <c r="A20" s="16" t="s">
        <v>317</v>
      </c>
      <c r="B20" s="15">
        <v>2947</v>
      </c>
      <c r="C20" s="10"/>
      <c r="D20" s="15">
        <f t="shared" si="0"/>
        <v>1427</v>
      </c>
      <c r="E20" s="10"/>
      <c r="F20" s="11">
        <f t="shared" si="1"/>
        <v>1426974.2000000007</v>
      </c>
    </row>
    <row r="21" spans="1:6" ht="16.5" hidden="1" customHeight="1">
      <c r="A21" s="16" t="s">
        <v>318</v>
      </c>
      <c r="B21" s="15">
        <v>2947</v>
      </c>
      <c r="C21" s="10"/>
      <c r="D21" s="15">
        <f t="shared" si="0"/>
        <v>1434</v>
      </c>
      <c r="E21" s="10"/>
      <c r="F21" s="11">
        <f t="shared" si="1"/>
        <v>1433611.3000000007</v>
      </c>
    </row>
    <row r="22" spans="1:6" ht="16.5" hidden="1" customHeight="1">
      <c r="A22" s="16" t="s">
        <v>319</v>
      </c>
      <c r="B22" s="15">
        <v>2947</v>
      </c>
      <c r="C22" s="10"/>
      <c r="D22" s="15">
        <f>ROUND(F22/1000,0)</f>
        <v>1440</v>
      </c>
      <c r="E22" s="10"/>
      <c r="F22" s="11">
        <f t="shared" si="1"/>
        <v>1440248.4000000008</v>
      </c>
    </row>
    <row r="23" spans="1:6" ht="16.5" hidden="1" customHeight="1">
      <c r="A23" s="16" t="s">
        <v>320</v>
      </c>
      <c r="B23" s="15">
        <v>2947</v>
      </c>
      <c r="C23" s="10"/>
      <c r="D23" s="15">
        <f t="shared" si="0"/>
        <v>1447</v>
      </c>
      <c r="E23" s="10"/>
      <c r="F23" s="11">
        <f t="shared" si="1"/>
        <v>1446885.5000000009</v>
      </c>
    </row>
    <row r="24" spans="1:6" ht="16.5" hidden="1" customHeight="1">
      <c r="A24" s="16" t="s">
        <v>321</v>
      </c>
      <c r="B24" s="15">
        <v>2947</v>
      </c>
      <c r="C24" s="10"/>
      <c r="D24" s="15">
        <f t="shared" si="0"/>
        <v>1454</v>
      </c>
      <c r="E24" s="10"/>
      <c r="F24" s="11">
        <f t="shared" si="1"/>
        <v>1453522.600000001</v>
      </c>
    </row>
    <row r="25" spans="1:6" ht="16.5" hidden="1" customHeight="1">
      <c r="A25" s="16" t="s">
        <v>322</v>
      </c>
      <c r="B25" s="15">
        <v>2947</v>
      </c>
      <c r="C25" s="10"/>
      <c r="D25" s="15">
        <f>ROUND(F25/1000,0)</f>
        <v>1460</v>
      </c>
      <c r="E25" s="10"/>
      <c r="F25" s="11">
        <f t="shared" si="1"/>
        <v>1460159.7000000011</v>
      </c>
    </row>
    <row r="26" spans="1:6" ht="16.5" hidden="1" customHeight="1">
      <c r="A26" s="16" t="s">
        <v>323</v>
      </c>
      <c r="B26" s="15">
        <v>2947</v>
      </c>
      <c r="C26" s="10">
        <f>ROUND((SUM(B14:B26)/13),0)</f>
        <v>2947</v>
      </c>
      <c r="D26" s="15">
        <f>ROUND(F26/1000,0)</f>
        <v>1467</v>
      </c>
      <c r="E26" s="10">
        <f t="shared" ref="E26:E38" si="2">ROUND((SUM(D14:D26)/13),2)</f>
        <v>1427</v>
      </c>
      <c r="F26" s="11">
        <f t="shared" si="1"/>
        <v>1466796.8000000012</v>
      </c>
    </row>
    <row r="27" spans="1:6" ht="16.5" hidden="1" customHeight="1">
      <c r="A27" s="16" t="s">
        <v>364</v>
      </c>
      <c r="B27" s="15">
        <v>2947</v>
      </c>
      <c r="C27" s="10">
        <f t="shared" ref="C27:C39" si="3">ROUND((SUM(B15:B27)/13),0)</f>
        <v>2947</v>
      </c>
      <c r="D27" s="15">
        <f t="shared" si="0"/>
        <v>1473</v>
      </c>
      <c r="E27" s="10">
        <f t="shared" si="2"/>
        <v>1433.62</v>
      </c>
      <c r="F27" s="11">
        <f t="shared" si="1"/>
        <v>1473433.9000000013</v>
      </c>
    </row>
    <row r="28" spans="1:6" ht="16.5" hidden="1" customHeight="1">
      <c r="A28" s="16" t="s">
        <v>365</v>
      </c>
      <c r="B28" s="15">
        <v>2947</v>
      </c>
      <c r="C28" s="10">
        <f t="shared" si="3"/>
        <v>2947</v>
      </c>
      <c r="D28" s="15">
        <f t="shared" si="0"/>
        <v>1480</v>
      </c>
      <c r="E28" s="10">
        <f t="shared" si="2"/>
        <v>1440.23</v>
      </c>
      <c r="F28" s="11">
        <f t="shared" si="1"/>
        <v>1480071.0000000014</v>
      </c>
    </row>
    <row r="29" spans="1:6" ht="16.5" hidden="1" customHeight="1">
      <c r="A29" s="16" t="s">
        <v>366</v>
      </c>
      <c r="B29" s="15">
        <v>2947</v>
      </c>
      <c r="C29" s="10">
        <f t="shared" si="3"/>
        <v>2947</v>
      </c>
      <c r="D29" s="15">
        <f t="shared" si="0"/>
        <v>1487</v>
      </c>
      <c r="E29" s="10">
        <f t="shared" si="2"/>
        <v>1446.92</v>
      </c>
      <c r="F29" s="11">
        <f t="shared" si="1"/>
        <v>1486708.1000000015</v>
      </c>
    </row>
    <row r="30" spans="1:6" ht="16.5" hidden="1" customHeight="1">
      <c r="A30" s="16" t="s">
        <v>367</v>
      </c>
      <c r="B30" s="15">
        <v>2947</v>
      </c>
      <c r="C30" s="10">
        <f t="shared" si="3"/>
        <v>2947</v>
      </c>
      <c r="D30" s="15">
        <f t="shared" si="0"/>
        <v>1493</v>
      </c>
      <c r="E30" s="10">
        <f t="shared" si="2"/>
        <v>1453.54</v>
      </c>
      <c r="F30" s="11">
        <f t="shared" si="1"/>
        <v>1493345.2000000016</v>
      </c>
    </row>
    <row r="31" spans="1:6" ht="16.5" hidden="1" customHeight="1">
      <c r="A31" s="16" t="s">
        <v>368</v>
      </c>
      <c r="B31" s="15">
        <v>2947</v>
      </c>
      <c r="C31" s="10">
        <f t="shared" si="3"/>
        <v>2947</v>
      </c>
      <c r="D31" s="15">
        <f t="shared" si="0"/>
        <v>1500</v>
      </c>
      <c r="E31" s="10">
        <f t="shared" si="2"/>
        <v>1460.15</v>
      </c>
      <c r="F31" s="11">
        <f t="shared" si="1"/>
        <v>1499982.3000000017</v>
      </c>
    </row>
    <row r="32" spans="1:6" ht="16.5" hidden="1" customHeight="1">
      <c r="A32" s="16" t="s">
        <v>369</v>
      </c>
      <c r="B32" s="15">
        <v>2947</v>
      </c>
      <c r="C32" s="10">
        <f t="shared" si="3"/>
        <v>2947</v>
      </c>
      <c r="D32" s="15">
        <f t="shared" si="0"/>
        <v>1507</v>
      </c>
      <c r="E32" s="10">
        <f t="shared" si="2"/>
        <v>1466.85</v>
      </c>
      <c r="F32" s="11">
        <f t="shared" si="1"/>
        <v>1506619.4000000018</v>
      </c>
    </row>
    <row r="33" spans="1:6" ht="16.5" hidden="1" customHeight="1">
      <c r="A33" s="16" t="s">
        <v>370</v>
      </c>
      <c r="B33" s="15">
        <v>2947</v>
      </c>
      <c r="C33" s="10">
        <f t="shared" si="3"/>
        <v>2947</v>
      </c>
      <c r="D33" s="15">
        <f t="shared" si="0"/>
        <v>1513</v>
      </c>
      <c r="E33" s="10">
        <f t="shared" si="2"/>
        <v>1473.46</v>
      </c>
      <c r="F33" s="11">
        <f t="shared" si="1"/>
        <v>1513256.5000000019</v>
      </c>
    </row>
    <row r="34" spans="1:6" ht="16.5" hidden="1" customHeight="1">
      <c r="A34" s="16" t="s">
        <v>371</v>
      </c>
      <c r="B34" s="15">
        <v>2947</v>
      </c>
      <c r="C34" s="10">
        <f t="shared" si="3"/>
        <v>2947</v>
      </c>
      <c r="D34" s="15">
        <f>ROUND(F34/1000,0)</f>
        <v>1520</v>
      </c>
      <c r="E34" s="10">
        <f>ROUND((SUM(D22:D34)/13),2)</f>
        <v>1480.08</v>
      </c>
      <c r="F34" s="11">
        <f>F33+6637.1</f>
        <v>1519893.600000002</v>
      </c>
    </row>
    <row r="35" spans="1:6" ht="16.5" hidden="1" customHeight="1">
      <c r="A35" s="16" t="s">
        <v>372</v>
      </c>
      <c r="B35" s="15">
        <v>2947</v>
      </c>
      <c r="C35" s="10">
        <f t="shared" si="3"/>
        <v>2947</v>
      </c>
      <c r="D35" s="15">
        <f t="shared" si="0"/>
        <v>1527</v>
      </c>
      <c r="E35" s="10">
        <f t="shared" si="2"/>
        <v>1486.77</v>
      </c>
      <c r="F35" s="11">
        <f t="shared" si="1"/>
        <v>1526530.700000002</v>
      </c>
    </row>
    <row r="36" spans="1:6" ht="16.5" hidden="1" customHeight="1">
      <c r="A36" s="16" t="s">
        <v>373</v>
      </c>
      <c r="B36" s="15">
        <v>2947</v>
      </c>
      <c r="C36" s="10">
        <f t="shared" si="3"/>
        <v>2947</v>
      </c>
      <c r="D36" s="15">
        <f t="shared" si="0"/>
        <v>1533</v>
      </c>
      <c r="E36" s="10">
        <f t="shared" si="2"/>
        <v>1493.38</v>
      </c>
      <c r="F36" s="11">
        <f t="shared" si="1"/>
        <v>1533167.8000000021</v>
      </c>
    </row>
    <row r="37" spans="1:6" ht="16.5" hidden="1" customHeight="1">
      <c r="A37" s="16" t="s">
        <v>374</v>
      </c>
      <c r="B37" s="15">
        <v>2947</v>
      </c>
      <c r="C37" s="10">
        <f t="shared" si="3"/>
        <v>2947</v>
      </c>
      <c r="D37" s="15">
        <f t="shared" si="0"/>
        <v>1540</v>
      </c>
      <c r="E37" s="10">
        <f t="shared" si="2"/>
        <v>1500</v>
      </c>
      <c r="F37" s="11">
        <f t="shared" si="1"/>
        <v>1539804.9000000022</v>
      </c>
    </row>
    <row r="38" spans="1:6" ht="16.5" hidden="1" customHeight="1">
      <c r="A38" s="16" t="s">
        <v>375</v>
      </c>
      <c r="B38" s="15">
        <v>2947</v>
      </c>
      <c r="C38" s="10">
        <f t="shared" si="3"/>
        <v>2947</v>
      </c>
      <c r="D38" s="15">
        <f t="shared" si="0"/>
        <v>1546</v>
      </c>
      <c r="E38" s="10">
        <f t="shared" si="2"/>
        <v>1506.62</v>
      </c>
      <c r="F38" s="11">
        <f t="shared" si="1"/>
        <v>1546442.0000000023</v>
      </c>
    </row>
    <row r="39" spans="1:6" ht="16.5" hidden="1" customHeight="1">
      <c r="A39" s="38" t="s">
        <v>432</v>
      </c>
      <c r="B39" s="15">
        <v>2947</v>
      </c>
      <c r="C39" s="10">
        <f t="shared" si="3"/>
        <v>2947</v>
      </c>
      <c r="D39" s="15">
        <f t="shared" ref="D39:D44" si="4">ROUND(F39/1000,0)</f>
        <v>1553</v>
      </c>
      <c r="E39" s="10">
        <f t="shared" ref="E39:E44" si="5">ROUND((SUM(D27:D39)/13),2)</f>
        <v>1513.23</v>
      </c>
      <c r="F39" s="11">
        <f t="shared" ref="F39:F44" si="6">F38+6637.1</f>
        <v>1553079.1000000024</v>
      </c>
    </row>
    <row r="40" spans="1:6" ht="16.5" hidden="1" customHeight="1">
      <c r="A40" s="38" t="s">
        <v>433</v>
      </c>
      <c r="B40" s="15">
        <v>2947</v>
      </c>
      <c r="C40" s="10">
        <f t="shared" ref="C40:C45" si="7">ROUND((SUM(B28:B40)/13),0)</f>
        <v>2947</v>
      </c>
      <c r="D40" s="15">
        <f t="shared" si="4"/>
        <v>1560</v>
      </c>
      <c r="E40" s="10">
        <f t="shared" si="5"/>
        <v>1519.92</v>
      </c>
      <c r="F40" s="11">
        <f t="shared" si="6"/>
        <v>1559716.2000000025</v>
      </c>
    </row>
    <row r="41" spans="1:6" ht="16.5" hidden="1" customHeight="1">
      <c r="A41" s="37" t="s">
        <v>434</v>
      </c>
      <c r="B41" s="15">
        <v>2947</v>
      </c>
      <c r="C41" s="10">
        <f t="shared" si="7"/>
        <v>2947</v>
      </c>
      <c r="D41" s="15">
        <f t="shared" si="4"/>
        <v>1566</v>
      </c>
      <c r="E41" s="10">
        <f t="shared" si="5"/>
        <v>1526.54</v>
      </c>
      <c r="F41" s="11">
        <f t="shared" si="6"/>
        <v>1566353.3000000026</v>
      </c>
    </row>
    <row r="42" spans="1:6" ht="16.5" hidden="1" customHeight="1">
      <c r="A42" s="37" t="s">
        <v>435</v>
      </c>
      <c r="B42" s="15">
        <v>2947</v>
      </c>
      <c r="C42" s="10">
        <f t="shared" si="7"/>
        <v>2947</v>
      </c>
      <c r="D42" s="15">
        <f t="shared" si="4"/>
        <v>1573</v>
      </c>
      <c r="E42" s="10">
        <f t="shared" si="5"/>
        <v>1533.15</v>
      </c>
      <c r="F42" s="11">
        <f t="shared" si="6"/>
        <v>1572990.4000000027</v>
      </c>
    </row>
    <row r="43" spans="1:6" ht="16.5" hidden="1" customHeight="1">
      <c r="A43" s="37" t="s">
        <v>436</v>
      </c>
      <c r="B43" s="15">
        <v>2947</v>
      </c>
      <c r="C43" s="10">
        <f t="shared" si="7"/>
        <v>2947</v>
      </c>
      <c r="D43" s="15">
        <f t="shared" si="4"/>
        <v>1580</v>
      </c>
      <c r="E43" s="10">
        <f t="shared" si="5"/>
        <v>1539.85</v>
      </c>
      <c r="F43" s="11">
        <f t="shared" si="6"/>
        <v>1579627.5000000028</v>
      </c>
    </row>
    <row r="44" spans="1:6" ht="16.5" hidden="1" customHeight="1">
      <c r="A44" s="37" t="s">
        <v>437</v>
      </c>
      <c r="B44" s="15">
        <v>2947</v>
      </c>
      <c r="C44" s="10">
        <f t="shared" si="7"/>
        <v>2947</v>
      </c>
      <c r="D44" s="15">
        <f t="shared" si="4"/>
        <v>1586</v>
      </c>
      <c r="E44" s="10">
        <f t="shared" si="5"/>
        <v>1546.46</v>
      </c>
      <c r="F44" s="11">
        <f t="shared" si="6"/>
        <v>1586264.6000000029</v>
      </c>
    </row>
    <row r="45" spans="1:6" ht="16.5" hidden="1" customHeight="1">
      <c r="A45" s="37" t="s">
        <v>438</v>
      </c>
      <c r="B45" s="15">
        <v>2947</v>
      </c>
      <c r="C45" s="10">
        <f t="shared" si="7"/>
        <v>2947</v>
      </c>
      <c r="D45" s="15">
        <f t="shared" ref="D45:D50" si="8">ROUND(F45/1000,0)</f>
        <v>1593</v>
      </c>
      <c r="E45" s="10">
        <f t="shared" ref="E45:E50" si="9">ROUND((SUM(D33:D45)/13),2)</f>
        <v>1553.08</v>
      </c>
      <c r="F45" s="11">
        <f t="shared" ref="F45:F50" si="10">F44+6637.1</f>
        <v>1592901.700000003</v>
      </c>
    </row>
    <row r="46" spans="1:6" ht="16.5" hidden="1" customHeight="1">
      <c r="A46" s="37" t="s">
        <v>439</v>
      </c>
      <c r="B46" s="15">
        <v>2947</v>
      </c>
      <c r="C46" s="10">
        <f t="shared" ref="C46:C51" si="11">ROUND((SUM(B34:B46)/13),0)</f>
        <v>2947</v>
      </c>
      <c r="D46" s="15">
        <f t="shared" si="8"/>
        <v>1600</v>
      </c>
      <c r="E46" s="10">
        <f t="shared" si="9"/>
        <v>1559.77</v>
      </c>
      <c r="F46" s="11">
        <f t="shared" si="10"/>
        <v>1599538.8000000031</v>
      </c>
    </row>
    <row r="47" spans="1:6" ht="16.5" hidden="1" customHeight="1">
      <c r="A47" s="37" t="s">
        <v>440</v>
      </c>
      <c r="B47" s="15">
        <v>2947</v>
      </c>
      <c r="C47" s="10">
        <f t="shared" si="11"/>
        <v>2947</v>
      </c>
      <c r="D47" s="15">
        <f t="shared" si="8"/>
        <v>1606</v>
      </c>
      <c r="E47" s="10">
        <f t="shared" si="9"/>
        <v>1566.38</v>
      </c>
      <c r="F47" s="11">
        <f t="shared" si="10"/>
        <v>1606175.9000000032</v>
      </c>
    </row>
    <row r="48" spans="1:6" ht="16.5" hidden="1" customHeight="1">
      <c r="A48" s="37" t="s">
        <v>441</v>
      </c>
      <c r="B48" s="15">
        <v>2947</v>
      </c>
      <c r="C48" s="10">
        <f t="shared" si="11"/>
        <v>2947</v>
      </c>
      <c r="D48" s="15">
        <f t="shared" si="8"/>
        <v>1613</v>
      </c>
      <c r="E48" s="10">
        <f t="shared" si="9"/>
        <v>1573</v>
      </c>
      <c r="F48" s="11">
        <f t="shared" si="10"/>
        <v>1612813.0000000033</v>
      </c>
    </row>
    <row r="49" spans="1:6" ht="16.5" hidden="1" customHeight="1">
      <c r="A49" s="37" t="s">
        <v>442</v>
      </c>
      <c r="B49" s="15">
        <v>2947</v>
      </c>
      <c r="C49" s="10">
        <f t="shared" si="11"/>
        <v>2947</v>
      </c>
      <c r="D49" s="15">
        <f t="shared" si="8"/>
        <v>1619</v>
      </c>
      <c r="E49" s="10">
        <f t="shared" si="9"/>
        <v>1579.62</v>
      </c>
      <c r="F49" s="11">
        <f t="shared" si="10"/>
        <v>1619450.1000000034</v>
      </c>
    </row>
    <row r="50" spans="1:6" ht="16.5" hidden="1" customHeight="1">
      <c r="A50" s="37" t="s">
        <v>443</v>
      </c>
      <c r="B50" s="15">
        <v>2947</v>
      </c>
      <c r="C50" s="10">
        <f t="shared" si="11"/>
        <v>2947</v>
      </c>
      <c r="D50" s="15">
        <f t="shared" si="8"/>
        <v>1626</v>
      </c>
      <c r="E50" s="10">
        <f t="shared" si="9"/>
        <v>1586.23</v>
      </c>
      <c r="F50" s="11">
        <f t="shared" si="10"/>
        <v>1626087.2000000034</v>
      </c>
    </row>
    <row r="51" spans="1:6" ht="16.5" hidden="1" customHeight="1">
      <c r="A51" s="37" t="s">
        <v>444</v>
      </c>
      <c r="B51" s="15">
        <v>2947</v>
      </c>
      <c r="C51" s="10">
        <f t="shared" si="11"/>
        <v>2947</v>
      </c>
      <c r="D51" s="15">
        <f t="shared" ref="D51:D56" si="12">ROUND(F51/1000,0)</f>
        <v>1633</v>
      </c>
      <c r="E51" s="10">
        <f t="shared" ref="E51:E56" si="13">ROUND((SUM(D39:D51)/13),2)</f>
        <v>1592.92</v>
      </c>
      <c r="F51" s="11">
        <f t="shared" ref="F51:F56" si="14">F50+6637.1</f>
        <v>1632724.3000000035</v>
      </c>
    </row>
    <row r="52" spans="1:6" ht="16.5" hidden="1" customHeight="1">
      <c r="A52" s="38" t="s">
        <v>445</v>
      </c>
      <c r="B52" s="15">
        <v>2947</v>
      </c>
      <c r="C52" s="10">
        <f t="shared" ref="C52:C57" si="15">ROUND((SUM(B40:B52)/13),0)</f>
        <v>2947</v>
      </c>
      <c r="D52" s="15">
        <f t="shared" si="12"/>
        <v>1639</v>
      </c>
      <c r="E52" s="10">
        <f t="shared" si="13"/>
        <v>1599.54</v>
      </c>
      <c r="F52" s="11">
        <f t="shared" si="14"/>
        <v>1639361.4000000036</v>
      </c>
    </row>
    <row r="53" spans="1:6" ht="16.5" hidden="1" customHeight="1">
      <c r="A53" s="37" t="s">
        <v>446</v>
      </c>
      <c r="B53" s="15">
        <v>2947</v>
      </c>
      <c r="C53" s="10">
        <f t="shared" si="15"/>
        <v>2947</v>
      </c>
      <c r="D53" s="15">
        <f t="shared" si="12"/>
        <v>1646</v>
      </c>
      <c r="E53" s="10">
        <f t="shared" si="13"/>
        <v>1606.15</v>
      </c>
      <c r="F53" s="11">
        <f t="shared" si="14"/>
        <v>1645998.5000000037</v>
      </c>
    </row>
    <row r="54" spans="1:6" ht="16.5" hidden="1" customHeight="1">
      <c r="A54" s="37" t="s">
        <v>447</v>
      </c>
      <c r="B54" s="15">
        <v>2947</v>
      </c>
      <c r="C54" s="10">
        <f t="shared" si="15"/>
        <v>2947</v>
      </c>
      <c r="D54" s="15">
        <f t="shared" si="12"/>
        <v>1653</v>
      </c>
      <c r="E54" s="10">
        <f t="shared" si="13"/>
        <v>1612.85</v>
      </c>
      <c r="F54" s="11">
        <f t="shared" si="14"/>
        <v>1652635.6000000038</v>
      </c>
    </row>
    <row r="55" spans="1:6" ht="16.5" hidden="1" customHeight="1">
      <c r="A55" s="37" t="s">
        <v>448</v>
      </c>
      <c r="B55" s="15">
        <v>2947</v>
      </c>
      <c r="C55" s="10">
        <f t="shared" si="15"/>
        <v>2947</v>
      </c>
      <c r="D55" s="15">
        <f t="shared" si="12"/>
        <v>1659</v>
      </c>
      <c r="E55" s="10">
        <f t="shared" si="13"/>
        <v>1619.46</v>
      </c>
      <c r="F55" s="11">
        <f t="shared" si="14"/>
        <v>1659272.7000000039</v>
      </c>
    </row>
    <row r="56" spans="1:6" ht="16.5" hidden="1" customHeight="1">
      <c r="A56" s="37" t="s">
        <v>449</v>
      </c>
      <c r="B56" s="15">
        <v>2947</v>
      </c>
      <c r="C56" s="10">
        <f t="shared" si="15"/>
        <v>2947</v>
      </c>
      <c r="D56" s="15">
        <f t="shared" si="12"/>
        <v>1666</v>
      </c>
      <c r="E56" s="10">
        <f t="shared" si="13"/>
        <v>1626.08</v>
      </c>
      <c r="F56" s="11">
        <f t="shared" si="14"/>
        <v>1665909.800000004</v>
      </c>
    </row>
    <row r="57" spans="1:6" ht="16.5" hidden="1" customHeight="1">
      <c r="A57" s="37" t="s">
        <v>450</v>
      </c>
      <c r="B57" s="15">
        <v>2947</v>
      </c>
      <c r="C57" s="10">
        <f t="shared" si="15"/>
        <v>2947</v>
      </c>
      <c r="D57" s="15">
        <f t="shared" ref="D57:D62" si="16">ROUND(F57/1000,0)</f>
        <v>1673</v>
      </c>
      <c r="E57" s="10">
        <f t="shared" ref="E57:E62" si="17">ROUND((SUM(D45:D57)/13),2)</f>
        <v>1632.77</v>
      </c>
      <c r="F57" s="11">
        <f t="shared" ref="F57:F62" si="18">F56+6637.1</f>
        <v>1672546.9000000041</v>
      </c>
    </row>
    <row r="58" spans="1:6" ht="16.5" hidden="1" customHeight="1">
      <c r="A58" s="37" t="s">
        <v>451</v>
      </c>
      <c r="B58" s="15">
        <v>2947</v>
      </c>
      <c r="C58" s="10">
        <f>ROUND((SUM(B46:B58)/13),0)</f>
        <v>2947</v>
      </c>
      <c r="D58" s="15">
        <f t="shared" si="16"/>
        <v>1679</v>
      </c>
      <c r="E58" s="10">
        <f t="shared" si="17"/>
        <v>1639.38</v>
      </c>
      <c r="F58" s="11">
        <f t="shared" si="18"/>
        <v>1679184.0000000042</v>
      </c>
    </row>
    <row r="59" spans="1:6" ht="16.5" hidden="1" customHeight="1">
      <c r="A59" s="37" t="s">
        <v>452</v>
      </c>
      <c r="B59" s="15">
        <v>2947</v>
      </c>
      <c r="C59" s="10">
        <f>ROUND((SUM(B47:B59)/13),0)</f>
        <v>2947</v>
      </c>
      <c r="D59" s="15">
        <f t="shared" si="16"/>
        <v>1686</v>
      </c>
      <c r="E59" s="10">
        <f t="shared" si="17"/>
        <v>1646</v>
      </c>
      <c r="F59" s="11">
        <f t="shared" si="18"/>
        <v>1685821.1000000043</v>
      </c>
    </row>
    <row r="60" spans="1:6" ht="16.5" hidden="1" customHeight="1">
      <c r="A60" s="37" t="s">
        <v>453</v>
      </c>
      <c r="B60" s="15">
        <v>2947</v>
      </c>
      <c r="C60" s="10">
        <f>ROUND((SUM(B48:B60)/13),0)</f>
        <v>2947</v>
      </c>
      <c r="D60" s="15">
        <f t="shared" si="16"/>
        <v>1692</v>
      </c>
      <c r="E60" s="10">
        <f t="shared" si="17"/>
        <v>1652.62</v>
      </c>
      <c r="F60" s="11">
        <f t="shared" si="18"/>
        <v>1692458.2000000044</v>
      </c>
    </row>
    <row r="61" spans="1:6" ht="16.5" hidden="1" customHeight="1">
      <c r="A61" s="37" t="s">
        <v>454</v>
      </c>
      <c r="B61" s="15">
        <v>2947</v>
      </c>
      <c r="C61" s="10">
        <f>ROUND((SUM(B49:B61)/13),0)</f>
        <v>2947</v>
      </c>
      <c r="D61" s="15">
        <f t="shared" si="16"/>
        <v>1699</v>
      </c>
      <c r="E61" s="10">
        <f t="shared" si="17"/>
        <v>1659.23</v>
      </c>
      <c r="F61" s="11">
        <f t="shared" si="18"/>
        <v>1699095.3000000045</v>
      </c>
    </row>
    <row r="62" spans="1:6" ht="16.5" hidden="1" customHeight="1">
      <c r="A62" s="37" t="s">
        <v>455</v>
      </c>
      <c r="B62" s="15">
        <v>2947</v>
      </c>
      <c r="C62" s="10">
        <f>ROUND((SUM(B50:B62)/13),0)</f>
        <v>2947</v>
      </c>
      <c r="D62" s="15">
        <f t="shared" si="16"/>
        <v>1706</v>
      </c>
      <c r="E62" s="10">
        <f t="shared" si="17"/>
        <v>1665.92</v>
      </c>
      <c r="F62" s="11">
        <f t="shared" si="18"/>
        <v>1705732.4000000046</v>
      </c>
    </row>
    <row r="63" spans="1:6" ht="16.5" hidden="1" customHeight="1">
      <c r="A63" s="38" t="s">
        <v>456</v>
      </c>
      <c r="B63" s="15">
        <v>2947</v>
      </c>
      <c r="C63" s="10">
        <f t="shared" ref="C63:C74" si="19">ROUND((SUM(B51:B63)/13),0)</f>
        <v>2947</v>
      </c>
      <c r="D63" s="15">
        <f t="shared" ref="D63:D74" si="20">ROUND(F63/1000,0)</f>
        <v>1712</v>
      </c>
      <c r="E63" s="10">
        <f t="shared" ref="E63:E74" si="21">ROUND((SUM(D51:D63)/13),2)</f>
        <v>1672.54</v>
      </c>
      <c r="F63" s="11">
        <f t="shared" ref="F63:F74" si="22">F62+6637.1</f>
        <v>1712369.5000000047</v>
      </c>
    </row>
    <row r="64" spans="1:6" ht="16.5" hidden="1" customHeight="1">
      <c r="A64" s="38" t="s">
        <v>457</v>
      </c>
      <c r="B64" s="15">
        <v>2947</v>
      </c>
      <c r="C64" s="10">
        <f t="shared" si="19"/>
        <v>2947</v>
      </c>
      <c r="D64" s="15">
        <f t="shared" si="20"/>
        <v>1719</v>
      </c>
      <c r="E64" s="10">
        <f t="shared" si="21"/>
        <v>1679.15</v>
      </c>
      <c r="F64" s="11">
        <f t="shared" si="22"/>
        <v>1719006.6000000047</v>
      </c>
    </row>
    <row r="65" spans="1:6" ht="16.5" hidden="1" customHeight="1">
      <c r="A65" s="38" t="s">
        <v>458</v>
      </c>
      <c r="B65" s="15">
        <v>2947</v>
      </c>
      <c r="C65" s="10">
        <f t="shared" si="19"/>
        <v>2947</v>
      </c>
      <c r="D65" s="15">
        <f t="shared" si="20"/>
        <v>1726</v>
      </c>
      <c r="E65" s="10">
        <f t="shared" si="21"/>
        <v>1685.85</v>
      </c>
      <c r="F65" s="11">
        <f t="shared" si="22"/>
        <v>1725643.7000000048</v>
      </c>
    </row>
    <row r="66" spans="1:6" ht="16.5" hidden="1" customHeight="1">
      <c r="A66" s="38" t="s">
        <v>459</v>
      </c>
      <c r="B66" s="15">
        <v>2947</v>
      </c>
      <c r="C66" s="10">
        <f t="shared" si="19"/>
        <v>2947</v>
      </c>
      <c r="D66" s="15">
        <f t="shared" si="20"/>
        <v>1732</v>
      </c>
      <c r="E66" s="10">
        <f t="shared" si="21"/>
        <v>1692.46</v>
      </c>
      <c r="F66" s="11">
        <f t="shared" si="22"/>
        <v>1732280.8000000049</v>
      </c>
    </row>
    <row r="67" spans="1:6" ht="16.5" hidden="1" customHeight="1">
      <c r="A67" s="38" t="s">
        <v>460</v>
      </c>
      <c r="B67" s="15">
        <v>2947</v>
      </c>
      <c r="C67" s="10">
        <f t="shared" si="19"/>
        <v>2947</v>
      </c>
      <c r="D67" s="15">
        <f t="shared" si="20"/>
        <v>1739</v>
      </c>
      <c r="E67" s="10">
        <f t="shared" si="21"/>
        <v>1699.08</v>
      </c>
      <c r="F67" s="11">
        <f t="shared" si="22"/>
        <v>1738917.900000005</v>
      </c>
    </row>
    <row r="68" spans="1:6" ht="16.5" hidden="1" customHeight="1">
      <c r="A68" s="38" t="s">
        <v>461</v>
      </c>
      <c r="B68" s="15">
        <v>2947</v>
      </c>
      <c r="C68" s="10">
        <f t="shared" si="19"/>
        <v>2947</v>
      </c>
      <c r="D68" s="15">
        <f t="shared" si="20"/>
        <v>1746</v>
      </c>
      <c r="E68" s="10">
        <f t="shared" si="21"/>
        <v>1705.77</v>
      </c>
      <c r="F68" s="11">
        <f t="shared" si="22"/>
        <v>1745555.0000000051</v>
      </c>
    </row>
    <row r="69" spans="1:6" ht="16.5" hidden="1" customHeight="1">
      <c r="A69" s="38" t="s">
        <v>462</v>
      </c>
      <c r="B69" s="15">
        <v>2947</v>
      </c>
      <c r="C69" s="10">
        <f t="shared" si="19"/>
        <v>2947</v>
      </c>
      <c r="D69" s="15">
        <f t="shared" si="20"/>
        <v>1752</v>
      </c>
      <c r="E69" s="10">
        <f t="shared" si="21"/>
        <v>1712.38</v>
      </c>
      <c r="F69" s="11">
        <f t="shared" si="22"/>
        <v>1752192.1000000052</v>
      </c>
    </row>
    <row r="70" spans="1:6" ht="16.5" hidden="1" customHeight="1">
      <c r="A70" s="38" t="s">
        <v>463</v>
      </c>
      <c r="B70" s="15">
        <v>2947</v>
      </c>
      <c r="C70" s="10">
        <f t="shared" si="19"/>
        <v>2947</v>
      </c>
      <c r="D70" s="15">
        <f t="shared" si="20"/>
        <v>1759</v>
      </c>
      <c r="E70" s="10">
        <f t="shared" si="21"/>
        <v>1719</v>
      </c>
      <c r="F70" s="11">
        <f t="shared" si="22"/>
        <v>1758829.2000000053</v>
      </c>
    </row>
    <row r="71" spans="1:6" ht="16.5" hidden="1" customHeight="1">
      <c r="A71" s="38" t="s">
        <v>464</v>
      </c>
      <c r="B71" s="15">
        <v>2947</v>
      </c>
      <c r="C71" s="10">
        <f t="shared" si="19"/>
        <v>2947</v>
      </c>
      <c r="D71" s="15">
        <f t="shared" si="20"/>
        <v>1765</v>
      </c>
      <c r="E71" s="10">
        <f t="shared" si="21"/>
        <v>1725.62</v>
      </c>
      <c r="F71" s="11">
        <f t="shared" si="22"/>
        <v>1765466.3000000054</v>
      </c>
    </row>
    <row r="72" spans="1:6" ht="16.5" hidden="1" customHeight="1">
      <c r="A72" s="38" t="s">
        <v>465</v>
      </c>
      <c r="B72" s="15">
        <v>2947</v>
      </c>
      <c r="C72" s="10">
        <f t="shared" si="19"/>
        <v>2947</v>
      </c>
      <c r="D72" s="15">
        <f t="shared" si="20"/>
        <v>1772</v>
      </c>
      <c r="E72" s="10">
        <f t="shared" si="21"/>
        <v>1732.23</v>
      </c>
      <c r="F72" s="11">
        <f t="shared" si="22"/>
        <v>1772103.4000000055</v>
      </c>
    </row>
    <row r="73" spans="1:6" ht="16.5" hidden="1" customHeight="1">
      <c r="A73" s="38" t="s">
        <v>466</v>
      </c>
      <c r="B73" s="15">
        <v>2947</v>
      </c>
      <c r="C73" s="10">
        <f t="shared" si="19"/>
        <v>2947</v>
      </c>
      <c r="D73" s="15">
        <f t="shared" si="20"/>
        <v>1779</v>
      </c>
      <c r="E73" s="10">
        <f t="shared" si="21"/>
        <v>1738.92</v>
      </c>
      <c r="F73" s="11">
        <f t="shared" si="22"/>
        <v>1778740.5000000056</v>
      </c>
    </row>
    <row r="74" spans="1:6" ht="16.5" hidden="1" customHeight="1">
      <c r="A74" s="38" t="s">
        <v>467</v>
      </c>
      <c r="B74" s="15">
        <v>2947</v>
      </c>
      <c r="C74" s="10">
        <f t="shared" si="19"/>
        <v>2947</v>
      </c>
      <c r="D74" s="15">
        <f t="shared" si="20"/>
        <v>1785</v>
      </c>
      <c r="E74" s="10">
        <f t="shared" si="21"/>
        <v>1745.54</v>
      </c>
      <c r="F74" s="11">
        <f t="shared" si="22"/>
        <v>1785377.6000000057</v>
      </c>
    </row>
    <row r="75" spans="1:6" ht="16.5" hidden="1" customHeight="1">
      <c r="A75" s="46">
        <v>39083</v>
      </c>
      <c r="B75" s="15">
        <v>2947</v>
      </c>
      <c r="C75" s="10">
        <f t="shared" ref="C75:C86" si="23">ROUND((SUM(B63:B75)/13),0)</f>
        <v>2947</v>
      </c>
      <c r="D75" s="15">
        <f t="shared" ref="D75:D86" si="24">ROUND(F75/1000,0)</f>
        <v>1792</v>
      </c>
      <c r="E75" s="10">
        <f t="shared" ref="E75:E86" si="25">ROUND((SUM(D63:D75)/13),2)</f>
        <v>1752.15</v>
      </c>
      <c r="F75" s="11">
        <f t="shared" ref="F75:F86" si="26">F74+6637.1</f>
        <v>1792014.7000000058</v>
      </c>
    </row>
    <row r="76" spans="1:6" ht="16.5" hidden="1" customHeight="1">
      <c r="A76" s="46">
        <v>39114</v>
      </c>
      <c r="B76" s="15">
        <v>2947</v>
      </c>
      <c r="C76" s="10">
        <f t="shared" si="23"/>
        <v>2947</v>
      </c>
      <c r="D76" s="15">
        <f t="shared" si="24"/>
        <v>1799</v>
      </c>
      <c r="E76" s="10">
        <f t="shared" si="25"/>
        <v>1758.85</v>
      </c>
      <c r="F76" s="11">
        <f t="shared" si="26"/>
        <v>1798651.8000000059</v>
      </c>
    </row>
    <row r="77" spans="1:6" ht="16.5" hidden="1" customHeight="1">
      <c r="A77" s="46">
        <v>39142</v>
      </c>
      <c r="B77" s="15">
        <v>2947</v>
      </c>
      <c r="C77" s="10">
        <f t="shared" si="23"/>
        <v>2947</v>
      </c>
      <c r="D77" s="15">
        <f t="shared" si="24"/>
        <v>1805</v>
      </c>
      <c r="E77" s="10">
        <f t="shared" si="25"/>
        <v>1765.46</v>
      </c>
      <c r="F77" s="11">
        <f t="shared" si="26"/>
        <v>1805288.900000006</v>
      </c>
    </row>
    <row r="78" spans="1:6" ht="16.5" hidden="1" customHeight="1">
      <c r="A78" s="46">
        <v>39173</v>
      </c>
      <c r="B78" s="15">
        <v>2947</v>
      </c>
      <c r="C78" s="10">
        <f t="shared" si="23"/>
        <v>2947</v>
      </c>
      <c r="D78" s="15">
        <f t="shared" si="24"/>
        <v>1812</v>
      </c>
      <c r="E78" s="10">
        <f t="shared" si="25"/>
        <v>1772.08</v>
      </c>
      <c r="F78" s="11">
        <f t="shared" si="26"/>
        <v>1811926.0000000061</v>
      </c>
    </row>
    <row r="79" spans="1:6" ht="16.5" hidden="1" customHeight="1">
      <c r="A79" s="46">
        <v>39203</v>
      </c>
      <c r="B79" s="15">
        <v>2947</v>
      </c>
      <c r="C79" s="10">
        <f t="shared" si="23"/>
        <v>2947</v>
      </c>
      <c r="D79" s="15">
        <f t="shared" si="24"/>
        <v>1819</v>
      </c>
      <c r="E79" s="10">
        <f t="shared" si="25"/>
        <v>1778.77</v>
      </c>
      <c r="F79" s="11">
        <f t="shared" si="26"/>
        <v>1818563.1000000061</v>
      </c>
    </row>
    <row r="80" spans="1:6" ht="16.5" hidden="1" customHeight="1">
      <c r="A80" s="46">
        <v>39234</v>
      </c>
      <c r="B80" s="15">
        <v>2947</v>
      </c>
      <c r="C80" s="10">
        <f t="shared" si="23"/>
        <v>2947</v>
      </c>
      <c r="D80" s="15">
        <f t="shared" si="24"/>
        <v>1825</v>
      </c>
      <c r="E80" s="10">
        <f t="shared" si="25"/>
        <v>1785.38</v>
      </c>
      <c r="F80" s="11">
        <f t="shared" si="26"/>
        <v>1825200.2000000062</v>
      </c>
    </row>
    <row r="81" spans="1:7" ht="16.5" hidden="1" customHeight="1">
      <c r="A81" s="46">
        <v>39264</v>
      </c>
      <c r="B81" s="15">
        <v>2947</v>
      </c>
      <c r="C81" s="10">
        <f t="shared" si="23"/>
        <v>2947</v>
      </c>
      <c r="D81" s="15">
        <f t="shared" si="24"/>
        <v>1832</v>
      </c>
      <c r="E81" s="10">
        <f t="shared" si="25"/>
        <v>1792</v>
      </c>
      <c r="F81" s="11">
        <f t="shared" si="26"/>
        <v>1831837.3000000063</v>
      </c>
    </row>
    <row r="82" spans="1:7" ht="16.5" hidden="1" customHeight="1">
      <c r="A82" s="46">
        <v>39295</v>
      </c>
      <c r="B82" s="15">
        <v>2947</v>
      </c>
      <c r="C82" s="10">
        <f t="shared" si="23"/>
        <v>2947</v>
      </c>
      <c r="D82" s="15">
        <f t="shared" si="24"/>
        <v>1838</v>
      </c>
      <c r="E82" s="10">
        <f t="shared" si="25"/>
        <v>1798.62</v>
      </c>
      <c r="F82" s="11">
        <f t="shared" si="26"/>
        <v>1838474.4000000064</v>
      </c>
    </row>
    <row r="83" spans="1:7" ht="16.5" hidden="1" customHeight="1">
      <c r="A83" s="46">
        <v>39326</v>
      </c>
      <c r="B83" s="15">
        <v>2947</v>
      </c>
      <c r="C83" s="10">
        <f t="shared" si="23"/>
        <v>2947</v>
      </c>
      <c r="D83" s="15">
        <f t="shared" si="24"/>
        <v>1845</v>
      </c>
      <c r="E83" s="10">
        <f t="shared" si="25"/>
        <v>1805.23</v>
      </c>
      <c r="F83" s="11">
        <f t="shared" si="26"/>
        <v>1845111.5000000065</v>
      </c>
    </row>
    <row r="84" spans="1:7" ht="16.5" hidden="1" customHeight="1">
      <c r="A84" s="46">
        <v>39356</v>
      </c>
      <c r="B84" s="15">
        <v>2947</v>
      </c>
      <c r="C84" s="10">
        <f t="shared" si="23"/>
        <v>2947</v>
      </c>
      <c r="D84" s="15">
        <f t="shared" si="24"/>
        <v>1852</v>
      </c>
      <c r="E84" s="10">
        <f t="shared" si="25"/>
        <v>1811.92</v>
      </c>
      <c r="F84" s="11">
        <f t="shared" si="26"/>
        <v>1851748.6000000066</v>
      </c>
    </row>
    <row r="85" spans="1:7" ht="16.5" hidden="1" customHeight="1">
      <c r="A85" s="46">
        <v>39387</v>
      </c>
      <c r="B85" s="15">
        <v>2947</v>
      </c>
      <c r="C85" s="10">
        <f t="shared" si="23"/>
        <v>2947</v>
      </c>
      <c r="D85" s="15">
        <f t="shared" si="24"/>
        <v>1858</v>
      </c>
      <c r="E85" s="10">
        <f t="shared" si="25"/>
        <v>1818.54</v>
      </c>
      <c r="F85" s="11">
        <f t="shared" si="26"/>
        <v>1858385.7000000067</v>
      </c>
    </row>
    <row r="86" spans="1:7" ht="16.5" hidden="1" customHeight="1">
      <c r="A86" s="46">
        <v>39417</v>
      </c>
      <c r="B86" s="15">
        <v>2947</v>
      </c>
      <c r="C86" s="10">
        <f t="shared" si="23"/>
        <v>2947</v>
      </c>
      <c r="D86" s="15">
        <f t="shared" si="24"/>
        <v>1865</v>
      </c>
      <c r="E86" s="10">
        <f t="shared" si="25"/>
        <v>1825.15</v>
      </c>
      <c r="F86" s="11">
        <f t="shared" si="26"/>
        <v>1865022.8000000068</v>
      </c>
    </row>
    <row r="87" spans="1:7" ht="16.5" hidden="1" customHeight="1">
      <c r="A87" s="46">
        <v>39448</v>
      </c>
      <c r="B87" s="15">
        <v>2947</v>
      </c>
      <c r="C87" s="10">
        <f t="shared" ref="C87:C98" si="27">ROUND((SUM(B75:B87)/13),0)</f>
        <v>2947</v>
      </c>
      <c r="D87" s="15">
        <f t="shared" ref="D87:D98" si="28">ROUND(F87/1000,0)</f>
        <v>1872</v>
      </c>
      <c r="E87" s="10">
        <f t="shared" ref="E87:G102" si="29">ROUND((SUM(D75:D87)/13),2)</f>
        <v>1831.85</v>
      </c>
      <c r="F87" s="11">
        <f t="shared" ref="F87:F98" si="30">F86+6637.1</f>
        <v>1871659.9000000069</v>
      </c>
      <c r="G87" s="10">
        <f t="shared" si="29"/>
        <v>1831837.3</v>
      </c>
    </row>
    <row r="88" spans="1:7" ht="16.5" hidden="1" customHeight="1">
      <c r="A88" s="46">
        <v>39479</v>
      </c>
      <c r="B88" s="15">
        <v>2947</v>
      </c>
      <c r="C88" s="10">
        <f t="shared" si="27"/>
        <v>2947</v>
      </c>
      <c r="D88" s="15">
        <f t="shared" si="28"/>
        <v>1878</v>
      </c>
      <c r="E88" s="10">
        <f t="shared" si="29"/>
        <v>1838.46</v>
      </c>
      <c r="F88" s="11">
        <f t="shared" si="30"/>
        <v>1878297.000000007</v>
      </c>
      <c r="G88" s="10">
        <f t="shared" si="29"/>
        <v>1838474.4</v>
      </c>
    </row>
    <row r="89" spans="1:7" ht="16.5" hidden="1" customHeight="1">
      <c r="A89" s="46">
        <v>39508</v>
      </c>
      <c r="B89" s="15">
        <v>2947</v>
      </c>
      <c r="C89" s="10">
        <f t="shared" si="27"/>
        <v>2947</v>
      </c>
      <c r="D89" s="15">
        <f t="shared" si="28"/>
        <v>1885</v>
      </c>
      <c r="E89" s="10">
        <f t="shared" si="29"/>
        <v>1845.08</v>
      </c>
      <c r="F89" s="11">
        <f t="shared" si="30"/>
        <v>1884934.1000000071</v>
      </c>
      <c r="G89" s="10">
        <f t="shared" si="29"/>
        <v>1845111.5</v>
      </c>
    </row>
    <row r="90" spans="1:7" ht="16.5" hidden="1" customHeight="1">
      <c r="A90" s="46">
        <v>39539</v>
      </c>
      <c r="B90" s="15">
        <v>2947</v>
      </c>
      <c r="C90" s="10">
        <f t="shared" si="27"/>
        <v>2947</v>
      </c>
      <c r="D90" s="15">
        <f t="shared" si="28"/>
        <v>1892</v>
      </c>
      <c r="E90" s="10">
        <f t="shared" si="29"/>
        <v>1851.77</v>
      </c>
      <c r="F90" s="11">
        <f t="shared" si="30"/>
        <v>1891571.2000000072</v>
      </c>
      <c r="G90" s="10">
        <f t="shared" si="29"/>
        <v>1851748.6</v>
      </c>
    </row>
    <row r="91" spans="1:7" ht="16.5" hidden="1" customHeight="1">
      <c r="A91" s="46">
        <v>39569</v>
      </c>
      <c r="B91" s="15">
        <v>2947</v>
      </c>
      <c r="C91" s="10">
        <f t="shared" si="27"/>
        <v>2947</v>
      </c>
      <c r="D91" s="15">
        <f t="shared" si="28"/>
        <v>1898</v>
      </c>
      <c r="E91" s="10">
        <f t="shared" si="29"/>
        <v>1858.38</v>
      </c>
      <c r="F91" s="11">
        <f t="shared" si="30"/>
        <v>1898208.3000000073</v>
      </c>
      <c r="G91" s="10">
        <f t="shared" si="29"/>
        <v>1858385.7</v>
      </c>
    </row>
    <row r="92" spans="1:7" ht="16.5" hidden="1" customHeight="1">
      <c r="A92" s="46">
        <v>39600</v>
      </c>
      <c r="B92" s="15">
        <v>2947</v>
      </c>
      <c r="C92" s="10">
        <f t="shared" si="27"/>
        <v>2947</v>
      </c>
      <c r="D92" s="15">
        <f t="shared" si="28"/>
        <v>1905</v>
      </c>
      <c r="E92" s="10">
        <f t="shared" si="29"/>
        <v>1865</v>
      </c>
      <c r="F92" s="11">
        <f t="shared" si="30"/>
        <v>1904845.4000000074</v>
      </c>
      <c r="G92" s="10">
        <f t="shared" si="29"/>
        <v>1865022.8</v>
      </c>
    </row>
    <row r="93" spans="1:7" ht="16.5" hidden="1" customHeight="1">
      <c r="A93" s="46">
        <v>39630</v>
      </c>
      <c r="B93" s="15">
        <v>2947</v>
      </c>
      <c r="C93" s="10">
        <f t="shared" si="27"/>
        <v>2947</v>
      </c>
      <c r="D93" s="15">
        <f t="shared" si="28"/>
        <v>1911</v>
      </c>
      <c r="E93" s="10">
        <f t="shared" si="29"/>
        <v>1871.62</v>
      </c>
      <c r="F93" s="11">
        <f t="shared" si="30"/>
        <v>1911482.5000000075</v>
      </c>
      <c r="G93" s="10">
        <f t="shared" si="29"/>
        <v>1871659.9</v>
      </c>
    </row>
    <row r="94" spans="1:7" ht="16.5" hidden="1" customHeight="1">
      <c r="A94" s="46">
        <v>39661</v>
      </c>
      <c r="B94" s="15">
        <v>2947</v>
      </c>
      <c r="C94" s="10">
        <f>ROUND((SUM(B82:B94)/13),0)</f>
        <v>2947</v>
      </c>
      <c r="D94" s="15">
        <f t="shared" si="28"/>
        <v>1918</v>
      </c>
      <c r="E94" s="10">
        <f t="shared" si="29"/>
        <v>1878.23</v>
      </c>
      <c r="F94" s="11">
        <f t="shared" si="30"/>
        <v>1918119.6000000075</v>
      </c>
      <c r="G94" s="10">
        <f t="shared" si="29"/>
        <v>1878297</v>
      </c>
    </row>
    <row r="95" spans="1:7" ht="16.5" hidden="1" customHeight="1">
      <c r="A95" s="46">
        <v>39692</v>
      </c>
      <c r="B95" s="15">
        <v>2947</v>
      </c>
      <c r="C95" s="10">
        <f t="shared" si="27"/>
        <v>2947</v>
      </c>
      <c r="D95" s="15">
        <f t="shared" si="28"/>
        <v>1925</v>
      </c>
      <c r="E95" s="10">
        <f t="shared" si="29"/>
        <v>1884.92</v>
      </c>
      <c r="F95" s="11">
        <f t="shared" si="30"/>
        <v>1924756.7000000076</v>
      </c>
      <c r="G95" s="10">
        <f t="shared" si="29"/>
        <v>1884934.1</v>
      </c>
    </row>
    <row r="96" spans="1:7" ht="16.5" hidden="1" customHeight="1">
      <c r="A96" s="46">
        <v>39722</v>
      </c>
      <c r="B96" s="15">
        <v>2947</v>
      </c>
      <c r="C96" s="10">
        <f t="shared" si="27"/>
        <v>2947</v>
      </c>
      <c r="D96" s="15">
        <f t="shared" si="28"/>
        <v>1931</v>
      </c>
      <c r="E96" s="10">
        <f t="shared" si="29"/>
        <v>1891.54</v>
      </c>
      <c r="F96" s="11">
        <f t="shared" si="30"/>
        <v>1931393.8000000077</v>
      </c>
      <c r="G96" s="10">
        <f t="shared" si="29"/>
        <v>1891571.2</v>
      </c>
    </row>
    <row r="97" spans="1:7" ht="16.5" hidden="1" customHeight="1">
      <c r="A97" s="46">
        <v>39753</v>
      </c>
      <c r="B97" s="15">
        <v>2947</v>
      </c>
      <c r="C97" s="10">
        <f t="shared" si="27"/>
        <v>2947</v>
      </c>
      <c r="D97" s="15">
        <f t="shared" si="28"/>
        <v>1938</v>
      </c>
      <c r="E97" s="10">
        <f t="shared" si="29"/>
        <v>1898.15</v>
      </c>
      <c r="F97" s="11">
        <f t="shared" si="30"/>
        <v>1938030.9000000078</v>
      </c>
      <c r="G97" s="10">
        <f t="shared" si="29"/>
        <v>1898208.3</v>
      </c>
    </row>
    <row r="98" spans="1:7" ht="16.5" hidden="1" customHeight="1">
      <c r="A98" s="46">
        <v>39783</v>
      </c>
      <c r="B98" s="15">
        <v>2947</v>
      </c>
      <c r="C98" s="10">
        <f t="shared" si="27"/>
        <v>2947</v>
      </c>
      <c r="D98" s="15">
        <f t="shared" si="28"/>
        <v>1945</v>
      </c>
      <c r="E98" s="10">
        <f t="shared" si="29"/>
        <v>1904.85</v>
      </c>
      <c r="F98" s="11">
        <f t="shared" si="30"/>
        <v>1944668.0000000079</v>
      </c>
      <c r="G98" s="10">
        <f t="shared" si="29"/>
        <v>1904845.4</v>
      </c>
    </row>
    <row r="99" spans="1:7" ht="16.5" hidden="1" customHeight="1">
      <c r="A99" s="46">
        <v>39814</v>
      </c>
      <c r="B99" s="15">
        <v>2947</v>
      </c>
      <c r="C99" s="10">
        <f t="shared" ref="C99:C109" si="31">ROUND((SUM(B87:B99)/13),0)</f>
        <v>2947</v>
      </c>
      <c r="D99" s="15">
        <f t="shared" ref="D99:D109" si="32">ROUND(F99/1000,0)</f>
        <v>1951</v>
      </c>
      <c r="E99" s="10">
        <f t="shared" ref="E99:E109" si="33">ROUND((SUM(D87:D99)/13),2)</f>
        <v>1911.46</v>
      </c>
      <c r="F99" s="11">
        <f t="shared" ref="F99:F109" si="34">F98+6637.1</f>
        <v>1951305.100000008</v>
      </c>
      <c r="G99" s="10">
        <f t="shared" si="29"/>
        <v>1911482.5</v>
      </c>
    </row>
    <row r="100" spans="1:7" ht="16.5" hidden="1" customHeight="1">
      <c r="A100" s="46">
        <v>39845</v>
      </c>
      <c r="B100" s="15">
        <v>2947</v>
      </c>
      <c r="C100" s="10">
        <f t="shared" si="31"/>
        <v>2947</v>
      </c>
      <c r="D100" s="15">
        <f t="shared" si="32"/>
        <v>1958</v>
      </c>
      <c r="E100" s="10">
        <f t="shared" si="33"/>
        <v>1918.08</v>
      </c>
      <c r="F100" s="11">
        <f t="shared" si="34"/>
        <v>1957942.2000000081</v>
      </c>
      <c r="G100" s="10">
        <f t="shared" si="29"/>
        <v>1918119.6</v>
      </c>
    </row>
    <row r="101" spans="1:7" ht="16.5" hidden="1" customHeight="1">
      <c r="A101" s="46">
        <v>39873</v>
      </c>
      <c r="B101" s="15">
        <v>2947</v>
      </c>
      <c r="C101" s="10">
        <f t="shared" si="31"/>
        <v>2947</v>
      </c>
      <c r="D101" s="15">
        <f t="shared" si="32"/>
        <v>1965</v>
      </c>
      <c r="E101" s="10">
        <f t="shared" si="33"/>
        <v>1924.77</v>
      </c>
      <c r="F101" s="11">
        <f t="shared" si="34"/>
        <v>1964579.3000000082</v>
      </c>
      <c r="G101" s="10">
        <f t="shared" si="29"/>
        <v>1924756.7</v>
      </c>
    </row>
    <row r="102" spans="1:7" ht="16.5" hidden="1" customHeight="1">
      <c r="A102" s="46">
        <v>39904</v>
      </c>
      <c r="B102" s="15">
        <v>2947</v>
      </c>
      <c r="C102" s="10">
        <f t="shared" si="31"/>
        <v>2947</v>
      </c>
      <c r="D102" s="15">
        <f t="shared" si="32"/>
        <v>1971</v>
      </c>
      <c r="E102" s="10">
        <f t="shared" si="33"/>
        <v>1931.38</v>
      </c>
      <c r="F102" s="11">
        <f t="shared" si="34"/>
        <v>1971216.4000000083</v>
      </c>
      <c r="G102" s="10">
        <f t="shared" si="29"/>
        <v>1931393.8</v>
      </c>
    </row>
    <row r="103" spans="1:7" ht="16.5" hidden="1" customHeight="1">
      <c r="A103" s="46">
        <v>39934</v>
      </c>
      <c r="B103" s="15">
        <v>2947</v>
      </c>
      <c r="C103" s="10">
        <f t="shared" si="31"/>
        <v>2947</v>
      </c>
      <c r="D103" s="15">
        <f t="shared" si="32"/>
        <v>1978</v>
      </c>
      <c r="E103" s="10">
        <f t="shared" si="33"/>
        <v>1938</v>
      </c>
      <c r="F103" s="11">
        <f t="shared" si="34"/>
        <v>1977853.5000000084</v>
      </c>
      <c r="G103" s="10">
        <f t="shared" ref="G103:G110" si="35">ROUND((SUM(F91:F103)/13),2)</f>
        <v>1938030.9</v>
      </c>
    </row>
    <row r="104" spans="1:7" ht="16.5" hidden="1" customHeight="1">
      <c r="A104" s="46">
        <v>39965</v>
      </c>
      <c r="B104" s="15">
        <v>2947</v>
      </c>
      <c r="C104" s="10">
        <f t="shared" si="31"/>
        <v>2947</v>
      </c>
      <c r="D104" s="15">
        <f t="shared" si="32"/>
        <v>1984</v>
      </c>
      <c r="E104" s="10">
        <f t="shared" si="33"/>
        <v>1944.62</v>
      </c>
      <c r="F104" s="11">
        <f t="shared" si="34"/>
        <v>1984490.6000000085</v>
      </c>
      <c r="G104" s="10">
        <f t="shared" si="35"/>
        <v>1944668</v>
      </c>
    </row>
    <row r="105" spans="1:7" ht="16.5" hidden="1" customHeight="1">
      <c r="A105" s="46">
        <v>39995</v>
      </c>
      <c r="B105" s="15">
        <v>2947</v>
      </c>
      <c r="C105" s="10">
        <f t="shared" si="31"/>
        <v>2947</v>
      </c>
      <c r="D105" s="15">
        <f t="shared" si="32"/>
        <v>1991</v>
      </c>
      <c r="E105" s="10">
        <f t="shared" si="33"/>
        <v>1951.23</v>
      </c>
      <c r="F105" s="11">
        <f t="shared" si="34"/>
        <v>1991127.7000000086</v>
      </c>
      <c r="G105" s="10">
        <f t="shared" si="35"/>
        <v>1951305.1</v>
      </c>
    </row>
    <row r="106" spans="1:7" ht="16.5" hidden="1" customHeight="1">
      <c r="A106" s="46">
        <v>40026</v>
      </c>
      <c r="B106" s="15">
        <v>2947</v>
      </c>
      <c r="C106" s="10">
        <f t="shared" si="31"/>
        <v>2947</v>
      </c>
      <c r="D106" s="15">
        <f t="shared" si="32"/>
        <v>1998</v>
      </c>
      <c r="E106" s="10">
        <f t="shared" si="33"/>
        <v>1957.92</v>
      </c>
      <c r="F106" s="11">
        <f t="shared" si="34"/>
        <v>1997764.8000000087</v>
      </c>
      <c r="G106" s="10">
        <f t="shared" si="35"/>
        <v>1957942.2</v>
      </c>
    </row>
    <row r="107" spans="1:7" ht="16.5" hidden="1" customHeight="1">
      <c r="A107" s="46">
        <v>40057</v>
      </c>
      <c r="B107" s="15">
        <v>2947</v>
      </c>
      <c r="C107" s="10">
        <f t="shared" si="31"/>
        <v>2947</v>
      </c>
      <c r="D107" s="15">
        <f t="shared" si="32"/>
        <v>2004</v>
      </c>
      <c r="E107" s="10">
        <f t="shared" si="33"/>
        <v>1964.54</v>
      </c>
      <c r="F107" s="11">
        <f t="shared" si="34"/>
        <v>2004401.9000000088</v>
      </c>
      <c r="G107" s="10">
        <f t="shared" si="35"/>
        <v>1964579.3</v>
      </c>
    </row>
    <row r="108" spans="1:7" ht="16.5" hidden="1" customHeight="1">
      <c r="A108" s="46">
        <v>40087</v>
      </c>
      <c r="B108" s="15">
        <v>2947</v>
      </c>
      <c r="C108" s="10">
        <f t="shared" si="31"/>
        <v>2947</v>
      </c>
      <c r="D108" s="15">
        <f t="shared" si="32"/>
        <v>2011</v>
      </c>
      <c r="E108" s="10">
        <f t="shared" si="33"/>
        <v>1971.15</v>
      </c>
      <c r="F108" s="11">
        <f t="shared" si="34"/>
        <v>2011039.0000000088</v>
      </c>
      <c r="G108" s="10">
        <f t="shared" si="35"/>
        <v>1971216.4</v>
      </c>
    </row>
    <row r="109" spans="1:7" ht="16.5" hidden="1" customHeight="1">
      <c r="A109" s="46">
        <v>40118</v>
      </c>
      <c r="B109" s="15">
        <v>2947</v>
      </c>
      <c r="C109" s="10">
        <f t="shared" si="31"/>
        <v>2947</v>
      </c>
      <c r="D109" s="15">
        <f t="shared" si="32"/>
        <v>2018</v>
      </c>
      <c r="E109" s="10">
        <f t="shared" si="33"/>
        <v>1977.85</v>
      </c>
      <c r="F109" s="11">
        <f t="shared" si="34"/>
        <v>2017676.1000000089</v>
      </c>
      <c r="G109" s="10">
        <f t="shared" si="35"/>
        <v>1977853.5</v>
      </c>
    </row>
    <row r="110" spans="1:7" ht="16.5" hidden="1" customHeight="1">
      <c r="A110" s="46">
        <v>40148</v>
      </c>
      <c r="B110" s="15">
        <v>2947</v>
      </c>
      <c r="C110" s="10">
        <f>ROUND((SUM(B98:B110)/13),0)</f>
        <v>2947</v>
      </c>
      <c r="D110" s="15">
        <f>ROUND(F110/1000,0)</f>
        <v>2024</v>
      </c>
      <c r="E110" s="10">
        <f>ROUND((SUM(D98:D110)/13),2)</f>
        <v>1984.46</v>
      </c>
      <c r="F110" s="11">
        <f>F109+6637.1</f>
        <v>2024313.200000009</v>
      </c>
      <c r="G110" s="10">
        <f t="shared" si="35"/>
        <v>1984490.6</v>
      </c>
    </row>
    <row r="111" spans="1:7" ht="16.5" hidden="1" customHeight="1">
      <c r="A111" s="46">
        <v>40179</v>
      </c>
      <c r="B111" s="15">
        <v>2947</v>
      </c>
      <c r="C111" s="10">
        <f t="shared" ref="C111:C122" si="36">ROUND((SUM(B99:B111)/13),0)</f>
        <v>2947</v>
      </c>
      <c r="D111" s="15">
        <f t="shared" ref="D111:D122" si="37">ROUND(F111/1000,0)</f>
        <v>2031</v>
      </c>
      <c r="E111" s="10">
        <f t="shared" ref="E111:E122" si="38">ROUND((SUM(D99:D111)/13),2)</f>
        <v>1991.08</v>
      </c>
      <c r="F111" s="11">
        <f t="shared" ref="F111:F174" si="39">F110+6637.1</f>
        <v>2030950.3000000091</v>
      </c>
      <c r="G111" s="10">
        <f t="shared" ref="G111:G122" si="40">ROUND((SUM(F99:F111)/13),2)</f>
        <v>1991127.7</v>
      </c>
    </row>
    <row r="112" spans="1:7" ht="16.5" hidden="1" customHeight="1">
      <c r="A112" s="46">
        <v>40210</v>
      </c>
      <c r="B112" s="15">
        <v>2947</v>
      </c>
      <c r="C112" s="10">
        <f t="shared" si="36"/>
        <v>2947</v>
      </c>
      <c r="D112" s="15">
        <f t="shared" si="37"/>
        <v>2038</v>
      </c>
      <c r="E112" s="10">
        <f t="shared" si="38"/>
        <v>1997.77</v>
      </c>
      <c r="F112" s="11">
        <f t="shared" si="39"/>
        <v>2037587.4000000092</v>
      </c>
      <c r="G112" s="10">
        <f t="shared" si="40"/>
        <v>1997764.8</v>
      </c>
    </row>
    <row r="113" spans="1:7" ht="16.5" hidden="1" customHeight="1">
      <c r="A113" s="46">
        <v>40238</v>
      </c>
      <c r="B113" s="15">
        <v>2947</v>
      </c>
      <c r="C113" s="10">
        <f t="shared" si="36"/>
        <v>2947</v>
      </c>
      <c r="D113" s="15">
        <f t="shared" si="37"/>
        <v>2044</v>
      </c>
      <c r="E113" s="10">
        <f t="shared" si="38"/>
        <v>2004.38</v>
      </c>
      <c r="F113" s="11">
        <f t="shared" si="39"/>
        <v>2044224.5000000093</v>
      </c>
      <c r="G113" s="10">
        <f t="shared" si="40"/>
        <v>2004401.9</v>
      </c>
    </row>
    <row r="114" spans="1:7" ht="16.5" hidden="1" customHeight="1">
      <c r="A114" s="46">
        <v>40269</v>
      </c>
      <c r="B114" s="15">
        <v>2947</v>
      </c>
      <c r="C114" s="10">
        <f t="shared" si="36"/>
        <v>2947</v>
      </c>
      <c r="D114" s="15">
        <f t="shared" si="37"/>
        <v>2051</v>
      </c>
      <c r="E114" s="10">
        <f t="shared" si="38"/>
        <v>2011</v>
      </c>
      <c r="F114" s="11">
        <f t="shared" si="39"/>
        <v>2050861.6000000094</v>
      </c>
      <c r="G114" s="10">
        <f t="shared" si="40"/>
        <v>2011039</v>
      </c>
    </row>
    <row r="115" spans="1:7" ht="16.5" hidden="1" customHeight="1">
      <c r="A115" s="46">
        <v>40299</v>
      </c>
      <c r="B115" s="15">
        <v>2947</v>
      </c>
      <c r="C115" s="10">
        <f t="shared" si="36"/>
        <v>2947</v>
      </c>
      <c r="D115" s="15">
        <f t="shared" si="37"/>
        <v>2057</v>
      </c>
      <c r="E115" s="10">
        <f t="shared" si="38"/>
        <v>2017.62</v>
      </c>
      <c r="F115" s="11">
        <f t="shared" si="39"/>
        <v>2057498.7000000095</v>
      </c>
      <c r="G115" s="10">
        <f t="shared" si="40"/>
        <v>2017676.1</v>
      </c>
    </row>
    <row r="116" spans="1:7" ht="16.5" hidden="1" customHeight="1">
      <c r="A116" s="46">
        <v>40330</v>
      </c>
      <c r="B116" s="15">
        <v>2947</v>
      </c>
      <c r="C116" s="10">
        <f t="shared" si="36"/>
        <v>2947</v>
      </c>
      <c r="D116" s="15">
        <f t="shared" si="37"/>
        <v>2064</v>
      </c>
      <c r="E116" s="10">
        <f t="shared" si="38"/>
        <v>2024.23</v>
      </c>
      <c r="F116" s="11">
        <f t="shared" si="39"/>
        <v>2064135.8000000096</v>
      </c>
      <c r="G116" s="10">
        <f t="shared" si="40"/>
        <v>2024313.2</v>
      </c>
    </row>
    <row r="117" spans="1:7" ht="16.5" hidden="1" customHeight="1">
      <c r="A117" s="46">
        <v>40360</v>
      </c>
      <c r="B117" s="15">
        <v>2947</v>
      </c>
      <c r="C117" s="10">
        <f t="shared" si="36"/>
        <v>2947</v>
      </c>
      <c r="D117" s="15">
        <f t="shared" si="37"/>
        <v>2071</v>
      </c>
      <c r="E117" s="10">
        <f t="shared" si="38"/>
        <v>2030.92</v>
      </c>
      <c r="F117" s="11">
        <f t="shared" si="39"/>
        <v>2070772.9000000097</v>
      </c>
      <c r="G117" s="10">
        <f t="shared" si="40"/>
        <v>2030950.3</v>
      </c>
    </row>
    <row r="118" spans="1:7" ht="16.5" hidden="1" customHeight="1">
      <c r="A118" s="46">
        <v>40391</v>
      </c>
      <c r="B118" s="15">
        <v>2947</v>
      </c>
      <c r="C118" s="10">
        <f t="shared" si="36"/>
        <v>2947</v>
      </c>
      <c r="D118" s="15">
        <f t="shared" si="37"/>
        <v>2077</v>
      </c>
      <c r="E118" s="10">
        <f t="shared" si="38"/>
        <v>2037.54</v>
      </c>
      <c r="F118" s="11">
        <f t="shared" si="39"/>
        <v>2077410.0000000098</v>
      </c>
      <c r="G118" s="10">
        <f t="shared" si="40"/>
        <v>2037587.4</v>
      </c>
    </row>
    <row r="119" spans="1:7" ht="16.5" hidden="1" customHeight="1">
      <c r="A119" s="46">
        <v>40422</v>
      </c>
      <c r="B119" s="15">
        <v>2947</v>
      </c>
      <c r="C119" s="10">
        <f t="shared" si="36"/>
        <v>2947</v>
      </c>
      <c r="D119" s="15">
        <f t="shared" si="37"/>
        <v>2084</v>
      </c>
      <c r="E119" s="10">
        <f t="shared" si="38"/>
        <v>2044.15</v>
      </c>
      <c r="F119" s="11">
        <f t="shared" si="39"/>
        <v>2084047.1000000099</v>
      </c>
      <c r="G119" s="10">
        <f t="shared" si="40"/>
        <v>2044224.5</v>
      </c>
    </row>
    <row r="120" spans="1:7" ht="16.5" hidden="1" customHeight="1">
      <c r="A120" s="46">
        <v>40452</v>
      </c>
      <c r="B120" s="15">
        <v>2947</v>
      </c>
      <c r="C120" s="10">
        <f t="shared" si="36"/>
        <v>2947</v>
      </c>
      <c r="D120" s="15">
        <f t="shared" si="37"/>
        <v>2091</v>
      </c>
      <c r="E120" s="10">
        <f t="shared" si="38"/>
        <v>2050.85</v>
      </c>
      <c r="F120" s="11">
        <f t="shared" si="39"/>
        <v>2090684.20000001</v>
      </c>
      <c r="G120" s="10">
        <f t="shared" si="40"/>
        <v>2050861.6</v>
      </c>
    </row>
    <row r="121" spans="1:7" ht="16.5" hidden="1" customHeight="1">
      <c r="A121" s="46">
        <v>40483</v>
      </c>
      <c r="B121" s="15">
        <v>2947</v>
      </c>
      <c r="C121" s="10">
        <f t="shared" si="36"/>
        <v>2947</v>
      </c>
      <c r="D121" s="15">
        <f t="shared" si="37"/>
        <v>2097</v>
      </c>
      <c r="E121" s="10">
        <f t="shared" si="38"/>
        <v>2057.46</v>
      </c>
      <c r="F121" s="11">
        <f t="shared" si="39"/>
        <v>2097321.3000000101</v>
      </c>
      <c r="G121" s="10">
        <f t="shared" si="40"/>
        <v>2057498.7</v>
      </c>
    </row>
    <row r="122" spans="1:7" ht="16.5" hidden="1" customHeight="1">
      <c r="A122" s="46">
        <v>40513</v>
      </c>
      <c r="B122" s="15">
        <v>2947</v>
      </c>
      <c r="C122" s="10">
        <f t="shared" si="36"/>
        <v>2947</v>
      </c>
      <c r="D122" s="15">
        <f t="shared" si="37"/>
        <v>2104</v>
      </c>
      <c r="E122" s="10">
        <f t="shared" si="38"/>
        <v>2064.08</v>
      </c>
      <c r="F122" s="11">
        <f t="shared" si="39"/>
        <v>2103958.4000000102</v>
      </c>
      <c r="G122" s="10">
        <f t="shared" si="40"/>
        <v>2064135.8</v>
      </c>
    </row>
    <row r="123" spans="1:7" ht="16.5" hidden="1" customHeight="1">
      <c r="A123" s="46">
        <v>40544</v>
      </c>
      <c r="B123" s="15">
        <v>2947</v>
      </c>
      <c r="C123" s="10">
        <f t="shared" ref="C123:C128" si="41">ROUND((SUM(B111:B123)/13),0)</f>
        <v>2947</v>
      </c>
      <c r="D123" s="15">
        <f t="shared" ref="D123:D128" si="42">ROUND(F123/1000,0)</f>
        <v>2111</v>
      </c>
      <c r="E123" s="10">
        <f t="shared" ref="E123:E128" si="43">ROUND((SUM(D111:D123)/13),2)</f>
        <v>2070.77</v>
      </c>
      <c r="F123" s="11">
        <f>F122+6637.1</f>
        <v>2110595.5000000102</v>
      </c>
      <c r="G123" s="10">
        <f t="shared" ref="G123:G128" si="44">ROUND((SUM(F111:F123)/13),2)</f>
        <v>2070772.9</v>
      </c>
    </row>
    <row r="124" spans="1:7" ht="16.5" hidden="1" customHeight="1">
      <c r="A124" s="46">
        <v>40575</v>
      </c>
      <c r="B124" s="15">
        <v>2947</v>
      </c>
      <c r="C124" s="10">
        <f t="shared" si="41"/>
        <v>2947</v>
      </c>
      <c r="D124" s="15">
        <f t="shared" si="42"/>
        <v>2117</v>
      </c>
      <c r="E124" s="10">
        <f t="shared" si="43"/>
        <v>2077.38</v>
      </c>
      <c r="F124" s="11">
        <f t="shared" si="39"/>
        <v>2117232.6000000103</v>
      </c>
      <c r="G124" s="10">
        <f t="shared" si="44"/>
        <v>2077410</v>
      </c>
    </row>
    <row r="125" spans="1:7" ht="16.5" hidden="1" customHeight="1">
      <c r="A125" s="46">
        <v>40603</v>
      </c>
      <c r="B125" s="15">
        <v>2947</v>
      </c>
      <c r="C125" s="10">
        <f t="shared" si="41"/>
        <v>2947</v>
      </c>
      <c r="D125" s="15">
        <f t="shared" si="42"/>
        <v>2124</v>
      </c>
      <c r="E125" s="10">
        <f t="shared" si="43"/>
        <v>2084</v>
      </c>
      <c r="F125" s="11">
        <f t="shared" si="39"/>
        <v>2123869.7000000104</v>
      </c>
      <c r="G125" s="10">
        <f t="shared" si="44"/>
        <v>2084047.1</v>
      </c>
    </row>
    <row r="126" spans="1:7" ht="16.5" hidden="1" customHeight="1">
      <c r="A126" s="46">
        <v>40634</v>
      </c>
      <c r="B126" s="15">
        <v>2947</v>
      </c>
      <c r="C126" s="10">
        <f t="shared" si="41"/>
        <v>2947</v>
      </c>
      <c r="D126" s="15">
        <f t="shared" si="42"/>
        <v>2131</v>
      </c>
      <c r="E126" s="10">
        <f t="shared" si="43"/>
        <v>2090.69</v>
      </c>
      <c r="F126" s="11">
        <f t="shared" si="39"/>
        <v>2130506.8000000105</v>
      </c>
      <c r="G126" s="10">
        <f t="shared" si="44"/>
        <v>2090684.2</v>
      </c>
    </row>
    <row r="127" spans="1:7" ht="16.5" hidden="1" customHeight="1">
      <c r="A127" s="46">
        <v>40664</v>
      </c>
      <c r="B127" s="15">
        <v>2947</v>
      </c>
      <c r="C127" s="10">
        <f t="shared" si="41"/>
        <v>2947</v>
      </c>
      <c r="D127" s="15">
        <f t="shared" si="42"/>
        <v>2137</v>
      </c>
      <c r="E127" s="10">
        <f t="shared" si="43"/>
        <v>2097.31</v>
      </c>
      <c r="F127" s="11">
        <f t="shared" si="39"/>
        <v>2137143.9000000106</v>
      </c>
      <c r="G127" s="10">
        <f t="shared" si="44"/>
        <v>2097321.2999999998</v>
      </c>
    </row>
    <row r="128" spans="1:7" ht="16.5" hidden="1" customHeight="1">
      <c r="A128" s="46">
        <v>40695</v>
      </c>
      <c r="B128" s="15">
        <v>2947</v>
      </c>
      <c r="C128" s="10">
        <f t="shared" si="41"/>
        <v>2947</v>
      </c>
      <c r="D128" s="15">
        <f t="shared" si="42"/>
        <v>2144</v>
      </c>
      <c r="E128" s="10">
        <f t="shared" si="43"/>
        <v>2104</v>
      </c>
      <c r="F128" s="11">
        <f t="shared" si="39"/>
        <v>2143781.0000000107</v>
      </c>
      <c r="G128" s="10">
        <f t="shared" si="44"/>
        <v>2103958.4</v>
      </c>
    </row>
    <row r="129" spans="1:7" ht="16.5" hidden="1" customHeight="1">
      <c r="A129" s="46">
        <v>40725</v>
      </c>
      <c r="B129" s="15">
        <v>2947</v>
      </c>
      <c r="C129" s="10">
        <f t="shared" ref="C129:C134" si="45">ROUND((SUM(B117:B129)/13),0)</f>
        <v>2947</v>
      </c>
      <c r="D129" s="15">
        <f t="shared" ref="D129:D134" si="46">ROUND(F129/1000,0)</f>
        <v>2150</v>
      </c>
      <c r="E129" s="10">
        <f t="shared" ref="E129:E134" si="47">ROUND((SUM(D117:D129)/13),2)</f>
        <v>2110.62</v>
      </c>
      <c r="F129" s="11">
        <f t="shared" si="39"/>
        <v>2150418.1000000108</v>
      </c>
      <c r="G129" s="10">
        <f t="shared" ref="G129:G134" si="48">ROUND((SUM(F117:F129)/13),2)</f>
        <v>2110595.5</v>
      </c>
    </row>
    <row r="130" spans="1:7" ht="16.5" hidden="1" customHeight="1">
      <c r="A130" s="46">
        <v>40756</v>
      </c>
      <c r="B130" s="15">
        <v>2947</v>
      </c>
      <c r="C130" s="10">
        <f t="shared" si="45"/>
        <v>2947</v>
      </c>
      <c r="D130" s="15">
        <f t="shared" si="46"/>
        <v>2157</v>
      </c>
      <c r="E130" s="10">
        <f t="shared" si="47"/>
        <v>2117.23</v>
      </c>
      <c r="F130" s="11">
        <f t="shared" si="39"/>
        <v>2157055.2000000109</v>
      </c>
      <c r="G130" s="10">
        <f t="shared" si="48"/>
        <v>2117232.6</v>
      </c>
    </row>
    <row r="131" spans="1:7" ht="16.5" hidden="1" customHeight="1">
      <c r="A131" s="46">
        <v>40787</v>
      </c>
      <c r="B131" s="15">
        <v>2947</v>
      </c>
      <c r="C131" s="10">
        <f t="shared" si="45"/>
        <v>2947</v>
      </c>
      <c r="D131" s="15">
        <f t="shared" si="46"/>
        <v>2164</v>
      </c>
      <c r="E131" s="10">
        <f t="shared" si="47"/>
        <v>2123.92</v>
      </c>
      <c r="F131" s="11">
        <f t="shared" si="39"/>
        <v>2163692.300000011</v>
      </c>
      <c r="G131" s="10">
        <f t="shared" si="48"/>
        <v>2123869.7000000002</v>
      </c>
    </row>
    <row r="132" spans="1:7" ht="16.5" hidden="1" customHeight="1">
      <c r="A132" s="46">
        <v>40817</v>
      </c>
      <c r="B132" s="15">
        <v>2947</v>
      </c>
      <c r="C132" s="10">
        <f t="shared" si="45"/>
        <v>2947</v>
      </c>
      <c r="D132" s="15">
        <f t="shared" si="46"/>
        <v>2170</v>
      </c>
      <c r="E132" s="10">
        <f t="shared" si="47"/>
        <v>2130.54</v>
      </c>
      <c r="F132" s="11">
        <f t="shared" si="39"/>
        <v>2170329.4000000111</v>
      </c>
      <c r="G132" s="10">
        <f t="shared" si="48"/>
        <v>2130506.7999999998</v>
      </c>
    </row>
    <row r="133" spans="1:7" ht="16.5" hidden="1" customHeight="1">
      <c r="A133" s="46">
        <v>40848</v>
      </c>
      <c r="B133" s="15">
        <v>2947</v>
      </c>
      <c r="C133" s="10">
        <f t="shared" si="45"/>
        <v>2947</v>
      </c>
      <c r="D133" s="15">
        <f t="shared" si="46"/>
        <v>2177</v>
      </c>
      <c r="E133" s="10">
        <f t="shared" si="47"/>
        <v>2137.15</v>
      </c>
      <c r="F133" s="11">
        <f t="shared" si="39"/>
        <v>2176966.5000000112</v>
      </c>
      <c r="G133" s="10">
        <f t="shared" si="48"/>
        <v>2137143.9</v>
      </c>
    </row>
    <row r="134" spans="1:7" ht="16.5" hidden="1" customHeight="1">
      <c r="A134" s="46">
        <v>40878</v>
      </c>
      <c r="B134" s="15">
        <v>2947</v>
      </c>
      <c r="C134" s="10">
        <f t="shared" si="45"/>
        <v>2947</v>
      </c>
      <c r="D134" s="15">
        <f t="shared" si="46"/>
        <v>2184</v>
      </c>
      <c r="E134" s="10">
        <f t="shared" si="47"/>
        <v>2143.85</v>
      </c>
      <c r="F134" s="11">
        <f t="shared" si="39"/>
        <v>2183603.6000000113</v>
      </c>
      <c r="G134" s="10">
        <f t="shared" si="48"/>
        <v>2143781</v>
      </c>
    </row>
    <row r="135" spans="1:7" ht="16.5" hidden="1" customHeight="1">
      <c r="A135" s="46">
        <v>40939</v>
      </c>
      <c r="B135" s="15">
        <v>2947</v>
      </c>
      <c r="C135" s="10">
        <f t="shared" ref="C135:C140" si="49">ROUND((SUM(B123:B135)/13),0)</f>
        <v>2947</v>
      </c>
      <c r="D135" s="15">
        <f t="shared" ref="D135:D140" si="50">ROUND(F135/1000,0)</f>
        <v>2190</v>
      </c>
      <c r="E135" s="10">
        <f t="shared" ref="E135:E140" si="51">ROUND((SUM(D123:D135)/13),2)</f>
        <v>2150.46</v>
      </c>
      <c r="F135" s="11">
        <f t="shared" si="39"/>
        <v>2190240.7000000114</v>
      </c>
      <c r="G135" s="10">
        <f t="shared" ref="G135:G140" si="52">ROUND((SUM(F123:F135)/13),2)</f>
        <v>2150418.1</v>
      </c>
    </row>
    <row r="136" spans="1:7" ht="16.5" hidden="1" customHeight="1">
      <c r="A136" s="46">
        <v>40968</v>
      </c>
      <c r="B136" s="15">
        <v>2947</v>
      </c>
      <c r="C136" s="10">
        <f t="shared" si="49"/>
        <v>2947</v>
      </c>
      <c r="D136" s="15">
        <f t="shared" si="50"/>
        <v>2197</v>
      </c>
      <c r="E136" s="10">
        <f t="shared" si="51"/>
        <v>2157.08</v>
      </c>
      <c r="F136" s="11">
        <f t="shared" si="39"/>
        <v>2196877.8000000115</v>
      </c>
      <c r="G136" s="10">
        <f t="shared" si="52"/>
        <v>2157055.2000000002</v>
      </c>
    </row>
    <row r="137" spans="1:7" ht="16.5" hidden="1" customHeight="1">
      <c r="A137" s="46">
        <v>40999</v>
      </c>
      <c r="B137" s="15">
        <v>2947</v>
      </c>
      <c r="C137" s="10">
        <f t="shared" si="49"/>
        <v>2947</v>
      </c>
      <c r="D137" s="15">
        <f t="shared" si="50"/>
        <v>2204</v>
      </c>
      <c r="E137" s="10">
        <f t="shared" si="51"/>
        <v>2163.77</v>
      </c>
      <c r="F137" s="11">
        <f t="shared" si="39"/>
        <v>2203514.9000000115</v>
      </c>
      <c r="G137" s="10">
        <f t="shared" si="52"/>
        <v>2163692.2999999998</v>
      </c>
    </row>
    <row r="138" spans="1:7" ht="16.5" hidden="1" customHeight="1">
      <c r="A138" s="46">
        <v>41029</v>
      </c>
      <c r="B138" s="15">
        <v>2947</v>
      </c>
      <c r="C138" s="10">
        <f t="shared" si="49"/>
        <v>2947</v>
      </c>
      <c r="D138" s="15">
        <f t="shared" si="50"/>
        <v>2210</v>
      </c>
      <c r="E138" s="10">
        <f t="shared" si="51"/>
        <v>2170.38</v>
      </c>
      <c r="F138" s="11">
        <f t="shared" si="39"/>
        <v>2210152.0000000116</v>
      </c>
      <c r="G138" s="10">
        <f t="shared" si="52"/>
        <v>2170329.4</v>
      </c>
    </row>
    <row r="139" spans="1:7" ht="16.5" hidden="1" customHeight="1">
      <c r="A139" s="46">
        <v>41060</v>
      </c>
      <c r="B139" s="15">
        <v>2947</v>
      </c>
      <c r="C139" s="10">
        <f t="shared" si="49"/>
        <v>2947</v>
      </c>
      <c r="D139" s="15">
        <f t="shared" si="50"/>
        <v>2217</v>
      </c>
      <c r="E139" s="10">
        <f t="shared" si="51"/>
        <v>2177</v>
      </c>
      <c r="F139" s="11">
        <f t="shared" si="39"/>
        <v>2216789.1000000117</v>
      </c>
      <c r="G139" s="10">
        <f t="shared" si="52"/>
        <v>2176966.5</v>
      </c>
    </row>
    <row r="140" spans="1:7" ht="16.5" hidden="1" customHeight="1">
      <c r="A140" s="46">
        <v>41090</v>
      </c>
      <c r="B140" s="15">
        <v>2947</v>
      </c>
      <c r="C140" s="10">
        <f t="shared" si="49"/>
        <v>2947</v>
      </c>
      <c r="D140" s="15">
        <f t="shared" si="50"/>
        <v>2223</v>
      </c>
      <c r="E140" s="10">
        <f t="shared" si="51"/>
        <v>2183.62</v>
      </c>
      <c r="F140" s="11">
        <f t="shared" si="39"/>
        <v>2223426.2000000118</v>
      </c>
      <c r="G140" s="10">
        <f t="shared" si="52"/>
        <v>2183603.6</v>
      </c>
    </row>
    <row r="141" spans="1:7" ht="16.5" hidden="1" customHeight="1">
      <c r="A141" s="46">
        <v>41121</v>
      </c>
      <c r="B141" s="15">
        <v>2947</v>
      </c>
      <c r="C141" s="10">
        <f t="shared" ref="C141:C146" si="53">ROUND((SUM(B129:B141)/13),0)</f>
        <v>2947</v>
      </c>
      <c r="D141" s="15">
        <f t="shared" ref="D141:D146" si="54">ROUND(F141/1000,0)</f>
        <v>2230</v>
      </c>
      <c r="E141" s="10">
        <f t="shared" ref="E141:E146" si="55">ROUND((SUM(D129:D141)/13),2)</f>
        <v>2190.23</v>
      </c>
      <c r="F141" s="11">
        <f t="shared" si="39"/>
        <v>2230063.3000000119</v>
      </c>
      <c r="G141" s="10">
        <f t="shared" ref="G141:G146" si="56">ROUND((SUM(F129:F141)/13),2)</f>
        <v>2190240.7000000002</v>
      </c>
    </row>
    <row r="142" spans="1:7" ht="16.5" hidden="1" customHeight="1">
      <c r="A142" s="46">
        <v>41152</v>
      </c>
      <c r="B142" s="15">
        <v>2947</v>
      </c>
      <c r="C142" s="10">
        <f t="shared" si="53"/>
        <v>2947</v>
      </c>
      <c r="D142" s="15">
        <f t="shared" si="54"/>
        <v>2237</v>
      </c>
      <c r="E142" s="10">
        <f t="shared" si="55"/>
        <v>2196.92</v>
      </c>
      <c r="F142" s="11">
        <f t="shared" si="39"/>
        <v>2236700.400000012</v>
      </c>
      <c r="G142" s="10">
        <f t="shared" si="56"/>
        <v>2196877.7999999998</v>
      </c>
    </row>
    <row r="143" spans="1:7" ht="16.5" hidden="1" customHeight="1">
      <c r="A143" s="46">
        <v>41182</v>
      </c>
      <c r="B143" s="15">
        <v>2947</v>
      </c>
      <c r="C143" s="10">
        <f t="shared" si="53"/>
        <v>2947</v>
      </c>
      <c r="D143" s="15">
        <f t="shared" si="54"/>
        <v>2243</v>
      </c>
      <c r="E143" s="10">
        <f t="shared" si="55"/>
        <v>2203.54</v>
      </c>
      <c r="F143" s="11">
        <f t="shared" si="39"/>
        <v>2243337.5000000121</v>
      </c>
      <c r="G143" s="10">
        <f t="shared" si="56"/>
        <v>2203514.9</v>
      </c>
    </row>
    <row r="144" spans="1:7" ht="16.5" hidden="1" customHeight="1">
      <c r="A144" s="46">
        <v>41213</v>
      </c>
      <c r="B144" s="15">
        <v>2947</v>
      </c>
      <c r="C144" s="10">
        <f t="shared" si="53"/>
        <v>2947</v>
      </c>
      <c r="D144" s="15">
        <f t="shared" si="54"/>
        <v>2250</v>
      </c>
      <c r="E144" s="10">
        <f t="shared" si="55"/>
        <v>2210.15</v>
      </c>
      <c r="F144" s="11">
        <f t="shared" si="39"/>
        <v>2249974.6000000122</v>
      </c>
      <c r="G144" s="10">
        <f t="shared" si="56"/>
        <v>2210152</v>
      </c>
    </row>
    <row r="145" spans="1:7" ht="16.5" hidden="1" customHeight="1">
      <c r="A145" s="46">
        <v>41243</v>
      </c>
      <c r="B145" s="15">
        <v>2947</v>
      </c>
      <c r="C145" s="10">
        <f t="shared" si="53"/>
        <v>2947</v>
      </c>
      <c r="D145" s="15">
        <f t="shared" si="54"/>
        <v>2257</v>
      </c>
      <c r="E145" s="10">
        <f t="shared" si="55"/>
        <v>2216.85</v>
      </c>
      <c r="F145" s="11">
        <f t="shared" si="39"/>
        <v>2256611.7000000123</v>
      </c>
      <c r="G145" s="10">
        <f t="shared" si="56"/>
        <v>2216789.1</v>
      </c>
    </row>
    <row r="146" spans="1:7" ht="16.5" hidden="1" customHeight="1">
      <c r="A146" s="46">
        <v>41274</v>
      </c>
      <c r="B146" s="15">
        <v>2947</v>
      </c>
      <c r="C146" s="10">
        <f t="shared" si="53"/>
        <v>2947</v>
      </c>
      <c r="D146" s="15">
        <f t="shared" si="54"/>
        <v>2263</v>
      </c>
      <c r="E146" s="10">
        <f t="shared" si="55"/>
        <v>2223.46</v>
      </c>
      <c r="F146" s="11">
        <f t="shared" si="39"/>
        <v>2263248.8000000124</v>
      </c>
      <c r="G146" s="10">
        <f t="shared" si="56"/>
        <v>2223426.2000000002</v>
      </c>
    </row>
    <row r="147" spans="1:7" ht="16.5" hidden="1" customHeight="1">
      <c r="A147" s="46">
        <v>41305</v>
      </c>
      <c r="B147" s="15">
        <v>2947</v>
      </c>
      <c r="C147" s="10">
        <f t="shared" ref="C147:C152" si="57">ROUND((SUM(B135:B147)/13),0)</f>
        <v>2947</v>
      </c>
      <c r="D147" s="15">
        <f t="shared" ref="D147:D152" si="58">ROUND(F147/1000,0)</f>
        <v>2270</v>
      </c>
      <c r="E147" s="10">
        <f t="shared" ref="E147:E152" si="59">ROUND((SUM(D135:D147)/13),2)</f>
        <v>2230.08</v>
      </c>
      <c r="F147" s="11">
        <f>F146+6637.1</f>
        <v>2269885.9000000125</v>
      </c>
      <c r="G147" s="10">
        <f t="shared" ref="G147:G152" si="60">ROUND((SUM(F135:F147)/13),2)</f>
        <v>2230063.2999999998</v>
      </c>
    </row>
    <row r="148" spans="1:7" ht="16.5" hidden="1" customHeight="1">
      <c r="A148" s="46">
        <v>41333</v>
      </c>
      <c r="B148" s="15">
        <v>2947</v>
      </c>
      <c r="C148" s="10">
        <f t="shared" si="57"/>
        <v>2947</v>
      </c>
      <c r="D148" s="15">
        <f t="shared" si="58"/>
        <v>2277</v>
      </c>
      <c r="E148" s="10">
        <f t="shared" si="59"/>
        <v>2236.77</v>
      </c>
      <c r="F148" s="11">
        <f t="shared" si="39"/>
        <v>2276523.0000000126</v>
      </c>
      <c r="G148" s="10">
        <f t="shared" si="60"/>
        <v>2236700.4</v>
      </c>
    </row>
    <row r="149" spans="1:7" ht="16.5" hidden="1" customHeight="1">
      <c r="A149" s="46">
        <v>41364</v>
      </c>
      <c r="B149" s="15">
        <v>2947</v>
      </c>
      <c r="C149" s="10">
        <f t="shared" si="57"/>
        <v>2947</v>
      </c>
      <c r="D149" s="15">
        <f t="shared" si="58"/>
        <v>2283</v>
      </c>
      <c r="E149" s="10">
        <f t="shared" si="59"/>
        <v>2243.38</v>
      </c>
      <c r="F149" s="11">
        <f t="shared" si="39"/>
        <v>2283160.1000000127</v>
      </c>
      <c r="G149" s="10">
        <f t="shared" si="60"/>
        <v>2243337.5</v>
      </c>
    </row>
    <row r="150" spans="1:7" ht="16.5" hidden="1" customHeight="1">
      <c r="A150" s="46">
        <v>41394</v>
      </c>
      <c r="B150" s="15">
        <v>2947</v>
      </c>
      <c r="C150" s="10">
        <f t="shared" si="57"/>
        <v>2947</v>
      </c>
      <c r="D150" s="15">
        <f t="shared" si="58"/>
        <v>2290</v>
      </c>
      <c r="E150" s="10">
        <f t="shared" si="59"/>
        <v>2250</v>
      </c>
      <c r="F150" s="11">
        <f t="shared" si="39"/>
        <v>2289797.2000000128</v>
      </c>
      <c r="G150" s="10">
        <f t="shared" si="60"/>
        <v>2249974.6</v>
      </c>
    </row>
    <row r="151" spans="1:7" ht="16.5" hidden="1" customHeight="1">
      <c r="A151" s="46">
        <v>41425</v>
      </c>
      <c r="B151" s="15">
        <v>2947</v>
      </c>
      <c r="C151" s="10">
        <f t="shared" si="57"/>
        <v>2947</v>
      </c>
      <c r="D151" s="15">
        <f t="shared" si="58"/>
        <v>2296</v>
      </c>
      <c r="E151" s="10">
        <f t="shared" si="59"/>
        <v>2256.62</v>
      </c>
      <c r="F151" s="11">
        <f t="shared" si="39"/>
        <v>2296434.3000000129</v>
      </c>
      <c r="G151" s="10">
        <f t="shared" si="60"/>
        <v>2256611.7000000002</v>
      </c>
    </row>
    <row r="152" spans="1:7" ht="16.5" hidden="1" customHeight="1">
      <c r="A152" s="46">
        <v>41455</v>
      </c>
      <c r="B152" s="15">
        <v>2947</v>
      </c>
      <c r="C152" s="10">
        <f t="shared" si="57"/>
        <v>2947</v>
      </c>
      <c r="D152" s="15">
        <f t="shared" si="58"/>
        <v>2303</v>
      </c>
      <c r="E152" s="10">
        <f t="shared" si="59"/>
        <v>2263.23</v>
      </c>
      <c r="F152" s="11">
        <f t="shared" si="39"/>
        <v>2303071.4000000129</v>
      </c>
      <c r="G152" s="10">
        <f t="shared" si="60"/>
        <v>2263248.7999999998</v>
      </c>
    </row>
    <row r="153" spans="1:7" ht="16.5" hidden="1" customHeight="1">
      <c r="A153" s="46">
        <v>41486</v>
      </c>
      <c r="B153" s="15">
        <v>2947</v>
      </c>
      <c r="C153" s="10">
        <f t="shared" ref="C153:C158" si="61">ROUND((SUM(B141:B153)/13),0)</f>
        <v>2947</v>
      </c>
      <c r="D153" s="15">
        <f t="shared" ref="D153:D158" si="62">ROUND(F153/1000,0)</f>
        <v>2310</v>
      </c>
      <c r="E153" s="10">
        <f t="shared" ref="E153:E158" si="63">ROUND((SUM(D141:D153)/13),2)</f>
        <v>2269.92</v>
      </c>
      <c r="F153" s="11">
        <f t="shared" si="39"/>
        <v>2309708.500000013</v>
      </c>
      <c r="G153" s="10">
        <f t="shared" ref="G153:G158" si="64">ROUND((SUM(F141:F153)/13),2)</f>
        <v>2269885.9</v>
      </c>
    </row>
    <row r="154" spans="1:7" ht="16.5" hidden="1" customHeight="1">
      <c r="A154" s="46">
        <v>41517</v>
      </c>
      <c r="B154" s="15">
        <v>2947</v>
      </c>
      <c r="C154" s="10">
        <f t="shared" si="61"/>
        <v>2947</v>
      </c>
      <c r="D154" s="15">
        <f t="shared" si="62"/>
        <v>2316</v>
      </c>
      <c r="E154" s="10">
        <f t="shared" si="63"/>
        <v>2276.54</v>
      </c>
      <c r="F154" s="11">
        <f t="shared" si="39"/>
        <v>2316345.6000000131</v>
      </c>
      <c r="G154" s="10">
        <f t="shared" si="64"/>
        <v>2276523</v>
      </c>
    </row>
    <row r="155" spans="1:7" ht="16.5" hidden="1" customHeight="1">
      <c r="A155" s="46">
        <v>41547</v>
      </c>
      <c r="B155" s="15">
        <v>2947</v>
      </c>
      <c r="C155" s="10">
        <f t="shared" si="61"/>
        <v>2947</v>
      </c>
      <c r="D155" s="15">
        <f t="shared" si="62"/>
        <v>2323</v>
      </c>
      <c r="E155" s="10">
        <f t="shared" si="63"/>
        <v>2283.15</v>
      </c>
      <c r="F155" s="11">
        <f t="shared" si="39"/>
        <v>2322982.7000000132</v>
      </c>
      <c r="G155" s="10">
        <f t="shared" si="64"/>
        <v>2283160.1</v>
      </c>
    </row>
    <row r="156" spans="1:7" ht="16.5" hidden="1" customHeight="1">
      <c r="A156" s="46">
        <v>41578</v>
      </c>
      <c r="B156" s="15">
        <v>2947</v>
      </c>
      <c r="C156" s="10">
        <f t="shared" si="61"/>
        <v>2947</v>
      </c>
      <c r="D156" s="15">
        <f t="shared" si="62"/>
        <v>2330</v>
      </c>
      <c r="E156" s="10">
        <f t="shared" si="63"/>
        <v>2289.85</v>
      </c>
      <c r="F156" s="11">
        <f t="shared" si="39"/>
        <v>2329619.8000000133</v>
      </c>
      <c r="G156" s="10">
        <f t="shared" si="64"/>
        <v>2289797.2000000002</v>
      </c>
    </row>
    <row r="157" spans="1:7" ht="16.5" hidden="1" customHeight="1">
      <c r="A157" s="46">
        <v>41608</v>
      </c>
      <c r="B157" s="15">
        <v>2947</v>
      </c>
      <c r="C157" s="10">
        <f t="shared" si="61"/>
        <v>2947</v>
      </c>
      <c r="D157" s="15">
        <f t="shared" si="62"/>
        <v>2336</v>
      </c>
      <c r="E157" s="10">
        <f t="shared" si="63"/>
        <v>2296.46</v>
      </c>
      <c r="F157" s="11">
        <f t="shared" si="39"/>
        <v>2336256.9000000134</v>
      </c>
      <c r="G157" s="10">
        <f t="shared" si="64"/>
        <v>2296434.2999999998</v>
      </c>
    </row>
    <row r="158" spans="1:7" ht="16.5" hidden="1" customHeight="1">
      <c r="A158" s="46">
        <v>41639</v>
      </c>
      <c r="B158" s="15">
        <v>2947</v>
      </c>
      <c r="C158" s="10">
        <f t="shared" si="61"/>
        <v>2947</v>
      </c>
      <c r="D158" s="15">
        <f t="shared" si="62"/>
        <v>2343</v>
      </c>
      <c r="E158" s="10">
        <f t="shared" si="63"/>
        <v>2303.08</v>
      </c>
      <c r="F158" s="11">
        <f t="shared" si="39"/>
        <v>2342894.0000000135</v>
      </c>
      <c r="G158" s="10">
        <f t="shared" si="64"/>
        <v>2303071.4</v>
      </c>
    </row>
    <row r="159" spans="1:7" ht="16.5" hidden="1" customHeight="1">
      <c r="A159" s="46">
        <v>41670</v>
      </c>
      <c r="B159" s="15">
        <v>2947</v>
      </c>
      <c r="C159" s="10">
        <f t="shared" ref="C159:C164" si="65">ROUND((SUM(B147:B159)/13),0)</f>
        <v>2947</v>
      </c>
      <c r="D159" s="15">
        <f t="shared" ref="D159:D167" si="66">ROUND(F159/1000,0)</f>
        <v>2350</v>
      </c>
      <c r="E159" s="10">
        <f t="shared" ref="E159:E164" si="67">ROUND((SUM(D147:D159)/13),2)</f>
        <v>2309.77</v>
      </c>
      <c r="F159" s="11">
        <f t="shared" si="39"/>
        <v>2349531.1000000136</v>
      </c>
      <c r="G159" s="10">
        <f t="shared" ref="G159:G164" si="68">ROUND((SUM(F147:F159)/13),2)</f>
        <v>2309708.5</v>
      </c>
    </row>
    <row r="160" spans="1:7" ht="16.5" hidden="1" customHeight="1">
      <c r="A160" s="46">
        <v>41698</v>
      </c>
      <c r="B160" s="15">
        <v>2947</v>
      </c>
      <c r="C160" s="10">
        <f t="shared" si="65"/>
        <v>2947</v>
      </c>
      <c r="D160" s="15">
        <f t="shared" si="66"/>
        <v>2356</v>
      </c>
      <c r="E160" s="10">
        <f t="shared" si="67"/>
        <v>2316.38</v>
      </c>
      <c r="F160" s="11">
        <f t="shared" si="39"/>
        <v>2356168.2000000137</v>
      </c>
      <c r="G160" s="10">
        <f t="shared" si="68"/>
        <v>2316345.6</v>
      </c>
    </row>
    <row r="161" spans="1:7" ht="16.5" hidden="1" customHeight="1">
      <c r="A161" s="46">
        <v>41729</v>
      </c>
      <c r="B161" s="15">
        <v>2947</v>
      </c>
      <c r="C161" s="10">
        <f t="shared" si="65"/>
        <v>2947</v>
      </c>
      <c r="D161" s="15">
        <f t="shared" si="66"/>
        <v>2363</v>
      </c>
      <c r="E161" s="10">
        <f t="shared" si="67"/>
        <v>2323</v>
      </c>
      <c r="F161" s="11">
        <f t="shared" si="39"/>
        <v>2362805.3000000138</v>
      </c>
      <c r="G161" s="10">
        <f t="shared" si="68"/>
        <v>2322982.7000000002</v>
      </c>
    </row>
    <row r="162" spans="1:7" ht="16.5" hidden="1" customHeight="1">
      <c r="A162" s="46">
        <v>41759</v>
      </c>
      <c r="B162" s="15">
        <v>2947</v>
      </c>
      <c r="C162" s="10">
        <f t="shared" si="65"/>
        <v>2947</v>
      </c>
      <c r="D162" s="15">
        <f t="shared" si="66"/>
        <v>2369</v>
      </c>
      <c r="E162" s="10">
        <f t="shared" si="67"/>
        <v>2329.62</v>
      </c>
      <c r="F162" s="11">
        <f t="shared" si="39"/>
        <v>2369442.4000000139</v>
      </c>
      <c r="G162" s="10">
        <f t="shared" si="68"/>
        <v>2329619.7999999998</v>
      </c>
    </row>
    <row r="163" spans="1:7" ht="16.5" hidden="1" customHeight="1">
      <c r="A163" s="46">
        <v>41790</v>
      </c>
      <c r="B163" s="15">
        <v>2947</v>
      </c>
      <c r="C163" s="10">
        <f t="shared" si="65"/>
        <v>2947</v>
      </c>
      <c r="D163" s="15">
        <f t="shared" si="66"/>
        <v>2376</v>
      </c>
      <c r="E163" s="10">
        <f t="shared" si="67"/>
        <v>2336.23</v>
      </c>
      <c r="F163" s="11">
        <f t="shared" si="39"/>
        <v>2376079.500000014</v>
      </c>
      <c r="G163" s="10">
        <f t="shared" si="68"/>
        <v>2336256.9</v>
      </c>
    </row>
    <row r="164" spans="1:7" ht="16.5" hidden="1" customHeight="1">
      <c r="A164" s="46">
        <v>41820</v>
      </c>
      <c r="B164" s="15">
        <v>2947</v>
      </c>
      <c r="C164" s="10">
        <f t="shared" si="65"/>
        <v>2947</v>
      </c>
      <c r="D164" s="15">
        <f t="shared" si="66"/>
        <v>2383</v>
      </c>
      <c r="E164" s="10">
        <f t="shared" si="67"/>
        <v>2342.92</v>
      </c>
      <c r="F164" s="11">
        <f t="shared" si="39"/>
        <v>2382716.6000000141</v>
      </c>
      <c r="G164" s="10">
        <f t="shared" si="68"/>
        <v>2342894</v>
      </c>
    </row>
    <row r="165" spans="1:7" ht="16.5" hidden="1" customHeight="1">
      <c r="A165" s="46">
        <v>41851</v>
      </c>
      <c r="B165" s="15">
        <v>2947</v>
      </c>
      <c r="C165" s="10">
        <f t="shared" ref="C165:C170" si="69">ROUND((SUM(B153:B165)/13),0)</f>
        <v>2947</v>
      </c>
      <c r="D165" s="15">
        <f t="shared" si="66"/>
        <v>2389</v>
      </c>
      <c r="E165" s="10">
        <f t="shared" ref="E165:E170" si="70">ROUND((SUM(D153:D165)/13),2)</f>
        <v>2349.54</v>
      </c>
      <c r="F165" s="11">
        <f t="shared" si="39"/>
        <v>2389353.7000000142</v>
      </c>
      <c r="G165" s="10">
        <f t="shared" ref="G165:G170" si="71">ROUND((SUM(F153:F165)/13),2)</f>
        <v>2349531.1</v>
      </c>
    </row>
    <row r="166" spans="1:7" ht="16.5" hidden="1" customHeight="1">
      <c r="A166" s="46">
        <v>41882</v>
      </c>
      <c r="B166" s="15">
        <v>2947</v>
      </c>
      <c r="C166" s="10">
        <f t="shared" si="69"/>
        <v>2947</v>
      </c>
      <c r="D166" s="15">
        <f t="shared" si="66"/>
        <v>2396</v>
      </c>
      <c r="E166" s="10">
        <f t="shared" si="70"/>
        <v>2356.15</v>
      </c>
      <c r="F166" s="11">
        <f t="shared" si="39"/>
        <v>2395990.8000000142</v>
      </c>
      <c r="G166" s="10">
        <f t="shared" si="71"/>
        <v>2356168.2000000002</v>
      </c>
    </row>
    <row r="167" spans="1:7" ht="16.5" hidden="1" customHeight="1">
      <c r="A167" s="46">
        <v>41912</v>
      </c>
      <c r="B167" s="15">
        <v>2947</v>
      </c>
      <c r="C167" s="10">
        <f t="shared" si="69"/>
        <v>2947</v>
      </c>
      <c r="D167" s="15">
        <f t="shared" si="66"/>
        <v>2403</v>
      </c>
      <c r="E167" s="10">
        <f t="shared" si="70"/>
        <v>2362.85</v>
      </c>
      <c r="F167" s="11">
        <f t="shared" si="39"/>
        <v>2402627.9000000143</v>
      </c>
      <c r="G167" s="10">
        <f t="shared" si="71"/>
        <v>2362805.2999999998</v>
      </c>
    </row>
    <row r="168" spans="1:7" ht="16.5" hidden="1" customHeight="1">
      <c r="A168" s="46">
        <v>41943</v>
      </c>
      <c r="B168" s="15">
        <v>2947</v>
      </c>
      <c r="C168" s="10">
        <f t="shared" si="69"/>
        <v>2947</v>
      </c>
      <c r="D168" s="15">
        <f t="shared" ref="D168:D173" si="72">ROUND(F168/1000,0)</f>
        <v>2409</v>
      </c>
      <c r="E168" s="10">
        <f t="shared" si="70"/>
        <v>2369.46</v>
      </c>
      <c r="F168" s="11">
        <f t="shared" si="39"/>
        <v>2409265.0000000144</v>
      </c>
      <c r="G168" s="10">
        <f t="shared" si="71"/>
        <v>2369442.4</v>
      </c>
    </row>
    <row r="169" spans="1:7" ht="16.5" hidden="1" customHeight="1">
      <c r="A169" s="46">
        <v>41973</v>
      </c>
      <c r="B169" s="15">
        <v>2947</v>
      </c>
      <c r="C169" s="10">
        <f t="shared" si="69"/>
        <v>2947</v>
      </c>
      <c r="D169" s="15">
        <f t="shared" si="72"/>
        <v>2416</v>
      </c>
      <c r="E169" s="10">
        <f t="shared" si="70"/>
        <v>2376.08</v>
      </c>
      <c r="F169" s="11">
        <f t="shared" si="39"/>
        <v>2415902.1000000145</v>
      </c>
      <c r="G169" s="10">
        <f t="shared" si="71"/>
        <v>2376079.5</v>
      </c>
    </row>
    <row r="170" spans="1:7" ht="16.5" hidden="1" customHeight="1">
      <c r="A170" s="46">
        <v>42004</v>
      </c>
      <c r="B170" s="15">
        <v>2947</v>
      </c>
      <c r="C170" s="10">
        <f t="shared" si="69"/>
        <v>2947</v>
      </c>
      <c r="D170" s="15">
        <f t="shared" si="72"/>
        <v>2423</v>
      </c>
      <c r="E170" s="10">
        <f t="shared" si="70"/>
        <v>2382.77</v>
      </c>
      <c r="F170" s="11">
        <f t="shared" si="39"/>
        <v>2422539.2000000146</v>
      </c>
      <c r="G170" s="10">
        <f t="shared" si="71"/>
        <v>2382716.6</v>
      </c>
    </row>
    <row r="171" spans="1:7" ht="15" hidden="1">
      <c r="A171" s="46">
        <v>42035</v>
      </c>
      <c r="B171" s="15">
        <v>2947</v>
      </c>
      <c r="C171" s="10">
        <f t="shared" ref="C171:C176" si="73">ROUND((SUM(B159:B171)/13),0)</f>
        <v>2947</v>
      </c>
      <c r="D171" s="15">
        <f t="shared" si="72"/>
        <v>2429</v>
      </c>
      <c r="E171" s="10">
        <f t="shared" ref="E171:E176" si="74">ROUND((SUM(D159:D171)/13),2)</f>
        <v>2389.38</v>
      </c>
      <c r="F171" s="11">
        <f t="shared" si="39"/>
        <v>2429176.3000000147</v>
      </c>
      <c r="G171" s="10">
        <f>ROUND((SUM(F159:F171)/13),2)</f>
        <v>2389353.7000000002</v>
      </c>
    </row>
    <row r="172" spans="1:7" ht="15" hidden="1">
      <c r="A172" s="46">
        <v>42063</v>
      </c>
      <c r="B172" s="15">
        <v>2947</v>
      </c>
      <c r="C172" s="10">
        <f t="shared" si="73"/>
        <v>2947</v>
      </c>
      <c r="D172" s="15">
        <f t="shared" si="72"/>
        <v>2436</v>
      </c>
      <c r="E172" s="10">
        <f t="shared" si="74"/>
        <v>2396</v>
      </c>
      <c r="F172" s="11">
        <f t="shared" si="39"/>
        <v>2435813.4000000148</v>
      </c>
      <c r="G172" s="10">
        <f>ROUND((SUM(F160:F172)/13),2)</f>
        <v>2395990.7999999998</v>
      </c>
    </row>
    <row r="173" spans="1:7" ht="15" hidden="1">
      <c r="A173" s="46">
        <v>42094</v>
      </c>
      <c r="B173" s="15">
        <v>2947</v>
      </c>
      <c r="C173" s="10">
        <f t="shared" si="73"/>
        <v>2947</v>
      </c>
      <c r="D173" s="15">
        <f t="shared" si="72"/>
        <v>2442</v>
      </c>
      <c r="E173" s="10">
        <f t="shared" si="74"/>
        <v>2402.62</v>
      </c>
      <c r="F173" s="11">
        <f t="shared" si="39"/>
        <v>2442450.5000000149</v>
      </c>
      <c r="G173" s="10">
        <f>ROUND((SUM(F161:F173)/13),2)</f>
        <v>2402627.9</v>
      </c>
    </row>
    <row r="174" spans="1:7" ht="15" hidden="1">
      <c r="A174" s="46">
        <v>42124</v>
      </c>
      <c r="B174" s="15">
        <v>2947</v>
      </c>
      <c r="C174" s="10">
        <f t="shared" si="73"/>
        <v>2947</v>
      </c>
      <c r="D174" s="15">
        <f t="shared" ref="D174:D179" si="75">ROUND(F174/1000,0)</f>
        <v>2449</v>
      </c>
      <c r="E174" s="10">
        <f t="shared" si="74"/>
        <v>2409.23</v>
      </c>
      <c r="F174" s="11">
        <f t="shared" si="39"/>
        <v>2449087.600000015</v>
      </c>
      <c r="G174" s="10">
        <f>ROUND((SUM(F162:F174)/13),2)</f>
        <v>2409265</v>
      </c>
    </row>
    <row r="175" spans="1:7" ht="15" hidden="1">
      <c r="A175" s="46">
        <v>42155</v>
      </c>
      <c r="B175" s="15">
        <v>2947</v>
      </c>
      <c r="C175" s="10">
        <f t="shared" si="73"/>
        <v>2947</v>
      </c>
      <c r="D175" s="15">
        <f t="shared" si="75"/>
        <v>2456</v>
      </c>
      <c r="E175" s="10">
        <f t="shared" si="74"/>
        <v>2415.92</v>
      </c>
      <c r="F175" s="11">
        <f t="shared" ref="F175:F239" si="76">F174+6637.1</f>
        <v>2455724.7000000151</v>
      </c>
      <c r="G175" s="10">
        <f>ROUND((SUM(F163:F175)/13),2)</f>
        <v>2415902.1</v>
      </c>
    </row>
    <row r="176" spans="1:7" ht="15" hidden="1">
      <c r="A176" s="46">
        <v>42185</v>
      </c>
      <c r="B176" s="15">
        <v>2947</v>
      </c>
      <c r="C176" s="10">
        <f t="shared" si="73"/>
        <v>2947</v>
      </c>
      <c r="D176" s="15">
        <f t="shared" si="75"/>
        <v>2462</v>
      </c>
      <c r="E176" s="10">
        <f t="shared" si="74"/>
        <v>2422.54</v>
      </c>
      <c r="F176" s="11">
        <f t="shared" si="76"/>
        <v>2462361.8000000152</v>
      </c>
      <c r="G176" s="10">
        <f t="shared" ref="G176:G187" si="77">ROUND((SUM(F164:F176)/13),2)</f>
        <v>2422539.2000000002</v>
      </c>
    </row>
    <row r="177" spans="1:7" ht="15" hidden="1">
      <c r="A177" s="46">
        <v>42216</v>
      </c>
      <c r="B177" s="15">
        <v>2947</v>
      </c>
      <c r="C177" s="10">
        <f t="shared" ref="C177:C188" si="78">ROUND((SUM(B165:B177)/13),0)</f>
        <v>2947</v>
      </c>
      <c r="D177" s="15">
        <f t="shared" si="75"/>
        <v>2469</v>
      </c>
      <c r="E177" s="10">
        <f t="shared" ref="E177:E188" si="79">ROUND((SUM(D165:D177)/13),2)</f>
        <v>2429.15</v>
      </c>
      <c r="F177" s="11">
        <f t="shared" si="76"/>
        <v>2468998.9000000153</v>
      </c>
      <c r="G177" s="10">
        <f t="shared" si="77"/>
        <v>2429176.2999999998</v>
      </c>
    </row>
    <row r="178" spans="1:7" ht="15" hidden="1">
      <c r="A178" s="46">
        <v>42247</v>
      </c>
      <c r="B178" s="15">
        <v>2947</v>
      </c>
      <c r="C178" s="10">
        <f t="shared" si="78"/>
        <v>2947</v>
      </c>
      <c r="D178" s="15">
        <f t="shared" si="75"/>
        <v>2476</v>
      </c>
      <c r="E178" s="10">
        <f t="shared" si="79"/>
        <v>2435.85</v>
      </c>
      <c r="F178" s="11">
        <f t="shared" si="76"/>
        <v>2475636.0000000154</v>
      </c>
      <c r="G178" s="10">
        <f t="shared" si="77"/>
        <v>2435813.4</v>
      </c>
    </row>
    <row r="179" spans="1:7" ht="15" hidden="1">
      <c r="A179" s="46">
        <v>42277</v>
      </c>
      <c r="B179" s="15">
        <v>2947</v>
      </c>
      <c r="C179" s="10">
        <f t="shared" si="78"/>
        <v>2947</v>
      </c>
      <c r="D179" s="15">
        <f t="shared" si="75"/>
        <v>2482</v>
      </c>
      <c r="E179" s="10">
        <f t="shared" si="79"/>
        <v>2442.46</v>
      </c>
      <c r="F179" s="11">
        <f t="shared" si="76"/>
        <v>2482273.1000000155</v>
      </c>
      <c r="G179" s="10">
        <f t="shared" si="77"/>
        <v>2442450.5</v>
      </c>
    </row>
    <row r="180" spans="1:7" ht="15" hidden="1">
      <c r="A180" s="46">
        <v>42308</v>
      </c>
      <c r="B180" s="15">
        <v>2947</v>
      </c>
      <c r="C180" s="10">
        <f t="shared" si="78"/>
        <v>2947</v>
      </c>
      <c r="D180" s="15">
        <f>ROUND(F180/1000,0)</f>
        <v>2489</v>
      </c>
      <c r="E180" s="10">
        <f t="shared" si="79"/>
        <v>2449.08</v>
      </c>
      <c r="F180" s="11">
        <f t="shared" si="76"/>
        <v>2488910.2000000156</v>
      </c>
      <c r="G180" s="10">
        <f t="shared" si="77"/>
        <v>2449087.6</v>
      </c>
    </row>
    <row r="181" spans="1:7" ht="15" hidden="1">
      <c r="A181" s="46">
        <v>42338</v>
      </c>
      <c r="B181" s="15">
        <v>2947</v>
      </c>
      <c r="C181" s="10">
        <f t="shared" si="78"/>
        <v>2947</v>
      </c>
      <c r="D181" s="15">
        <f>ROUND(F181/1000,0)</f>
        <v>2496</v>
      </c>
      <c r="E181" s="10">
        <f t="shared" si="79"/>
        <v>2455.77</v>
      </c>
      <c r="F181" s="11">
        <f t="shared" si="76"/>
        <v>2495547.3000000156</v>
      </c>
      <c r="G181" s="10">
        <f t="shared" si="77"/>
        <v>2455724.7000000002</v>
      </c>
    </row>
    <row r="182" spans="1:7" ht="15" hidden="1">
      <c r="A182" s="46">
        <v>42369</v>
      </c>
      <c r="B182" s="15">
        <v>2947</v>
      </c>
      <c r="C182" s="10">
        <f t="shared" si="78"/>
        <v>2947</v>
      </c>
      <c r="D182" s="15">
        <f>ROUND(F182/1000,0)</f>
        <v>2502</v>
      </c>
      <c r="E182" s="10">
        <f t="shared" si="79"/>
        <v>2462.38</v>
      </c>
      <c r="F182" s="11">
        <f t="shared" si="76"/>
        <v>2502184.4000000157</v>
      </c>
      <c r="G182" s="10">
        <f t="shared" si="77"/>
        <v>2462361.7999999998</v>
      </c>
    </row>
    <row r="183" spans="1:7" ht="15" hidden="1">
      <c r="A183" s="46">
        <v>42400</v>
      </c>
      <c r="B183" s="15">
        <v>2947</v>
      </c>
      <c r="C183" s="10">
        <f t="shared" si="78"/>
        <v>2947</v>
      </c>
      <c r="D183" s="15">
        <f t="shared" ref="D183:D194" si="80">ROUND(F183/1000,0)</f>
        <v>2509</v>
      </c>
      <c r="E183" s="10">
        <f t="shared" si="79"/>
        <v>2469</v>
      </c>
      <c r="F183" s="11">
        <f t="shared" si="76"/>
        <v>2508821.5000000158</v>
      </c>
      <c r="G183" s="10">
        <f t="shared" si="77"/>
        <v>2468998.9</v>
      </c>
    </row>
    <row r="184" spans="1:7" ht="15" hidden="1">
      <c r="A184" s="46">
        <v>42429</v>
      </c>
      <c r="B184" s="15">
        <v>2947</v>
      </c>
      <c r="C184" s="10">
        <f t="shared" si="78"/>
        <v>2947</v>
      </c>
      <c r="D184" s="15">
        <f t="shared" si="80"/>
        <v>2515</v>
      </c>
      <c r="E184" s="10">
        <f t="shared" si="79"/>
        <v>2475.62</v>
      </c>
      <c r="F184" s="11">
        <f t="shared" si="76"/>
        <v>2515458.6000000159</v>
      </c>
      <c r="G184" s="10">
        <f t="shared" si="77"/>
        <v>2475636</v>
      </c>
    </row>
    <row r="185" spans="1:7" ht="15" hidden="1">
      <c r="A185" s="46">
        <v>42460</v>
      </c>
      <c r="B185" s="15">
        <v>2947</v>
      </c>
      <c r="C185" s="10">
        <f t="shared" si="78"/>
        <v>2947</v>
      </c>
      <c r="D185" s="15">
        <f t="shared" si="80"/>
        <v>2522</v>
      </c>
      <c r="E185" s="10">
        <f t="shared" si="79"/>
        <v>2482.23</v>
      </c>
      <c r="F185" s="11">
        <f t="shared" si="76"/>
        <v>2522095.700000016</v>
      </c>
      <c r="G185" s="10">
        <f t="shared" si="77"/>
        <v>2482273.1</v>
      </c>
    </row>
    <row r="186" spans="1:7" ht="15" hidden="1">
      <c r="A186" s="46">
        <v>42490</v>
      </c>
      <c r="B186" s="15">
        <v>2947</v>
      </c>
      <c r="C186" s="10">
        <f t="shared" si="78"/>
        <v>2947</v>
      </c>
      <c r="D186" s="15">
        <f t="shared" si="80"/>
        <v>2529</v>
      </c>
      <c r="E186" s="10">
        <f t="shared" si="79"/>
        <v>2488.92</v>
      </c>
      <c r="F186" s="11">
        <f t="shared" si="76"/>
        <v>2528732.8000000161</v>
      </c>
      <c r="G186" s="10">
        <f t="shared" si="77"/>
        <v>2488910.2000000002</v>
      </c>
    </row>
    <row r="187" spans="1:7" ht="15" hidden="1">
      <c r="A187" s="46">
        <v>42521</v>
      </c>
      <c r="B187" s="15">
        <v>2947</v>
      </c>
      <c r="C187" s="10">
        <f t="shared" si="78"/>
        <v>2947</v>
      </c>
      <c r="D187" s="15">
        <f t="shared" si="80"/>
        <v>2535</v>
      </c>
      <c r="E187" s="10">
        <f t="shared" si="79"/>
        <v>2495.54</v>
      </c>
      <c r="F187" s="11">
        <f t="shared" si="76"/>
        <v>2535369.9000000162</v>
      </c>
      <c r="G187" s="10">
        <f t="shared" si="77"/>
        <v>2495547.2999999998</v>
      </c>
    </row>
    <row r="188" spans="1:7" ht="15" hidden="1">
      <c r="A188" s="46">
        <v>42551</v>
      </c>
      <c r="B188" s="15">
        <v>2947</v>
      </c>
      <c r="C188" s="10">
        <f t="shared" si="78"/>
        <v>2947</v>
      </c>
      <c r="D188" s="15">
        <f t="shared" si="80"/>
        <v>2542</v>
      </c>
      <c r="E188" s="10">
        <f t="shared" si="79"/>
        <v>2502.15</v>
      </c>
      <c r="F188" s="11">
        <f t="shared" si="76"/>
        <v>2542007.0000000163</v>
      </c>
      <c r="G188" s="10">
        <f t="shared" ref="G188:G194" si="81">ROUND((SUM(F176:F188)/13),2)</f>
        <v>2502184.4</v>
      </c>
    </row>
    <row r="189" spans="1:7" ht="15" hidden="1">
      <c r="A189" s="46">
        <v>42582</v>
      </c>
      <c r="B189" s="15">
        <v>2947</v>
      </c>
      <c r="C189" s="10">
        <f t="shared" ref="C189:C194" si="82">ROUND((SUM(B177:B189)/13),0)</f>
        <v>2947</v>
      </c>
      <c r="D189" s="15">
        <f t="shared" si="80"/>
        <v>2549</v>
      </c>
      <c r="E189" s="10">
        <f t="shared" ref="E189:E194" si="83">ROUND((SUM(D177:D189)/13),2)</f>
        <v>2508.85</v>
      </c>
      <c r="F189" s="11">
        <f t="shared" si="76"/>
        <v>2548644.1000000164</v>
      </c>
      <c r="G189" s="10">
        <f t="shared" si="81"/>
        <v>2508821.5</v>
      </c>
    </row>
    <row r="190" spans="1:7" ht="15" hidden="1">
      <c r="A190" s="46">
        <v>42613</v>
      </c>
      <c r="B190" s="15">
        <v>2947</v>
      </c>
      <c r="C190" s="10">
        <f t="shared" si="82"/>
        <v>2947</v>
      </c>
      <c r="D190" s="15">
        <f t="shared" si="80"/>
        <v>2555</v>
      </c>
      <c r="E190" s="10">
        <f t="shared" si="83"/>
        <v>2515.46</v>
      </c>
      <c r="F190" s="11">
        <f t="shared" si="76"/>
        <v>2555281.2000000165</v>
      </c>
      <c r="G190" s="10">
        <f t="shared" si="81"/>
        <v>2515458.6</v>
      </c>
    </row>
    <row r="191" spans="1:7" ht="15" hidden="1">
      <c r="A191" s="46">
        <v>42643</v>
      </c>
      <c r="B191" s="15">
        <v>2947</v>
      </c>
      <c r="C191" s="10">
        <f t="shared" si="82"/>
        <v>2947</v>
      </c>
      <c r="D191" s="15">
        <f t="shared" si="80"/>
        <v>2562</v>
      </c>
      <c r="E191" s="10">
        <f t="shared" si="83"/>
        <v>2522.08</v>
      </c>
      <c r="F191" s="11">
        <f t="shared" si="76"/>
        <v>2561918.3000000166</v>
      </c>
      <c r="G191" s="10">
        <f t="shared" si="81"/>
        <v>2522095.7000000002</v>
      </c>
    </row>
    <row r="192" spans="1:7" ht="15" hidden="1">
      <c r="A192" s="46">
        <v>42674</v>
      </c>
      <c r="B192" s="15">
        <v>2947</v>
      </c>
      <c r="C192" s="10">
        <f t="shared" si="82"/>
        <v>2947</v>
      </c>
      <c r="D192" s="15">
        <f t="shared" si="80"/>
        <v>2569</v>
      </c>
      <c r="E192" s="10">
        <f t="shared" si="83"/>
        <v>2528.77</v>
      </c>
      <c r="F192" s="11">
        <f t="shared" si="76"/>
        <v>2568555.4000000167</v>
      </c>
      <c r="G192" s="10">
        <f t="shared" si="81"/>
        <v>2528732.7999999998</v>
      </c>
    </row>
    <row r="193" spans="1:7" ht="15" hidden="1">
      <c r="A193" s="46">
        <v>42704</v>
      </c>
      <c r="B193" s="15">
        <v>2947</v>
      </c>
      <c r="C193" s="10">
        <f t="shared" si="82"/>
        <v>2947</v>
      </c>
      <c r="D193" s="15">
        <f t="shared" si="80"/>
        <v>2575</v>
      </c>
      <c r="E193" s="10">
        <f t="shared" si="83"/>
        <v>2535.38</v>
      </c>
      <c r="F193" s="11">
        <f t="shared" si="76"/>
        <v>2575192.5000000168</v>
      </c>
      <c r="G193" s="10">
        <f t="shared" si="81"/>
        <v>2535369.9</v>
      </c>
    </row>
    <row r="194" spans="1:7" ht="15" hidden="1">
      <c r="A194" s="46">
        <v>42735</v>
      </c>
      <c r="B194" s="15">
        <v>2947</v>
      </c>
      <c r="C194" s="10">
        <f t="shared" si="82"/>
        <v>2947</v>
      </c>
      <c r="D194" s="15">
        <f t="shared" si="80"/>
        <v>2582</v>
      </c>
      <c r="E194" s="10">
        <f t="shared" si="83"/>
        <v>2542</v>
      </c>
      <c r="F194" s="11">
        <f t="shared" si="76"/>
        <v>2581829.6000000169</v>
      </c>
      <c r="G194" s="10">
        <f t="shared" si="81"/>
        <v>2542007</v>
      </c>
    </row>
    <row r="195" spans="1:7" ht="15" hidden="1">
      <c r="A195" s="46">
        <v>42766</v>
      </c>
      <c r="B195" s="15">
        <v>2947</v>
      </c>
      <c r="C195" s="10">
        <f t="shared" ref="C195:C212" si="84">ROUND((SUM(B183:B195)/13),0)</f>
        <v>2947</v>
      </c>
      <c r="D195" s="15">
        <f t="shared" ref="D195:D213" si="85">ROUND(F195/1000,0)</f>
        <v>2588</v>
      </c>
      <c r="E195" s="10">
        <f t="shared" ref="E195:E213" si="86">ROUND((SUM(D183:D195)/13),2)</f>
        <v>2548.62</v>
      </c>
      <c r="F195" s="11">
        <f t="shared" si="76"/>
        <v>2588466.700000017</v>
      </c>
      <c r="G195" s="10">
        <f t="shared" ref="G195:G213" si="87">ROUND((SUM(F183:F195)/13),2)</f>
        <v>2548644.1</v>
      </c>
    </row>
    <row r="196" spans="1:7" ht="15" hidden="1">
      <c r="A196" s="46">
        <v>42794</v>
      </c>
      <c r="B196" s="15">
        <v>2947</v>
      </c>
      <c r="C196" s="10">
        <f t="shared" si="84"/>
        <v>2947</v>
      </c>
      <c r="D196" s="15">
        <f t="shared" si="85"/>
        <v>2595</v>
      </c>
      <c r="E196" s="10">
        <f t="shared" si="86"/>
        <v>2555.23</v>
      </c>
      <c r="F196" s="11">
        <f t="shared" si="76"/>
        <v>2595103.800000017</v>
      </c>
      <c r="G196" s="10">
        <f t="shared" si="87"/>
        <v>2555281.2000000002</v>
      </c>
    </row>
    <row r="197" spans="1:7" ht="15" hidden="1">
      <c r="A197" s="46">
        <v>42825</v>
      </c>
      <c r="B197" s="15">
        <v>2947</v>
      </c>
      <c r="C197" s="10">
        <f t="shared" si="84"/>
        <v>2947</v>
      </c>
      <c r="D197" s="15">
        <f t="shared" si="85"/>
        <v>2602</v>
      </c>
      <c r="E197" s="10">
        <f t="shared" si="86"/>
        <v>2561.92</v>
      </c>
      <c r="F197" s="11">
        <f t="shared" si="76"/>
        <v>2601740.9000000171</v>
      </c>
      <c r="G197" s="10">
        <f t="shared" si="87"/>
        <v>2561918.2999999998</v>
      </c>
    </row>
    <row r="198" spans="1:7" ht="15" hidden="1">
      <c r="A198" s="46">
        <v>42855</v>
      </c>
      <c r="B198" s="15">
        <v>2947</v>
      </c>
      <c r="C198" s="10">
        <f t="shared" si="84"/>
        <v>2947</v>
      </c>
      <c r="D198" s="15">
        <f t="shared" si="85"/>
        <v>2608</v>
      </c>
      <c r="E198" s="10">
        <f t="shared" si="86"/>
        <v>2568.54</v>
      </c>
      <c r="F198" s="11">
        <f t="shared" si="76"/>
        <v>2608378.0000000172</v>
      </c>
      <c r="G198" s="10">
        <f t="shared" si="87"/>
        <v>2568555.4</v>
      </c>
    </row>
    <row r="199" spans="1:7" ht="15" hidden="1">
      <c r="A199" s="46">
        <v>42886</v>
      </c>
      <c r="B199" s="15">
        <v>2947</v>
      </c>
      <c r="C199" s="10">
        <f t="shared" si="84"/>
        <v>2947</v>
      </c>
      <c r="D199" s="15">
        <f t="shared" si="85"/>
        <v>2615</v>
      </c>
      <c r="E199" s="10">
        <f t="shared" si="86"/>
        <v>2575.15</v>
      </c>
      <c r="F199" s="11">
        <f t="shared" si="76"/>
        <v>2615015.1000000173</v>
      </c>
      <c r="G199" s="10">
        <f t="shared" si="87"/>
        <v>2575192.5</v>
      </c>
    </row>
    <row r="200" spans="1:7" ht="15" hidden="1">
      <c r="A200" s="46">
        <v>42916</v>
      </c>
      <c r="B200" s="15">
        <v>2947</v>
      </c>
      <c r="C200" s="10">
        <f t="shared" si="84"/>
        <v>2947</v>
      </c>
      <c r="D200" s="15">
        <f t="shared" si="85"/>
        <v>2622</v>
      </c>
      <c r="E200" s="10">
        <f t="shared" si="86"/>
        <v>2581.85</v>
      </c>
      <c r="F200" s="11">
        <f t="shared" si="76"/>
        <v>2621652.2000000174</v>
      </c>
      <c r="G200" s="10">
        <f t="shared" si="87"/>
        <v>2581829.6</v>
      </c>
    </row>
    <row r="201" spans="1:7" ht="15" hidden="1">
      <c r="A201" s="46">
        <v>42947</v>
      </c>
      <c r="B201" s="15">
        <v>2947</v>
      </c>
      <c r="C201" s="10">
        <f t="shared" si="84"/>
        <v>2947</v>
      </c>
      <c r="D201" s="15">
        <f t="shared" si="85"/>
        <v>2628</v>
      </c>
      <c r="E201" s="10">
        <f t="shared" si="86"/>
        <v>2588.46</v>
      </c>
      <c r="F201" s="11">
        <f t="shared" si="76"/>
        <v>2628289.3000000175</v>
      </c>
      <c r="G201" s="10">
        <f t="shared" si="87"/>
        <v>2588466.7000000002</v>
      </c>
    </row>
    <row r="202" spans="1:7" ht="15" hidden="1">
      <c r="A202" s="46">
        <v>42978</v>
      </c>
      <c r="B202" s="15">
        <v>2947</v>
      </c>
      <c r="C202" s="10">
        <f t="shared" si="84"/>
        <v>2947</v>
      </c>
      <c r="D202" s="15">
        <f t="shared" si="85"/>
        <v>2635</v>
      </c>
      <c r="E202" s="10">
        <f t="shared" si="86"/>
        <v>2595.08</v>
      </c>
      <c r="F202" s="11">
        <f t="shared" si="76"/>
        <v>2634926.4000000176</v>
      </c>
      <c r="G202" s="10">
        <f t="shared" si="87"/>
        <v>2595103.7999999998</v>
      </c>
    </row>
    <row r="203" spans="1:7" ht="15" hidden="1">
      <c r="A203" s="46">
        <v>43008</v>
      </c>
      <c r="B203" s="15">
        <v>2947</v>
      </c>
      <c r="C203" s="10">
        <f t="shared" si="84"/>
        <v>2947</v>
      </c>
      <c r="D203" s="15">
        <f t="shared" si="85"/>
        <v>2642</v>
      </c>
      <c r="E203" s="10">
        <f t="shared" si="86"/>
        <v>2601.77</v>
      </c>
      <c r="F203" s="11">
        <f t="shared" si="76"/>
        <v>2641563.5000000177</v>
      </c>
      <c r="G203" s="10">
        <f t="shared" si="87"/>
        <v>2601740.9</v>
      </c>
    </row>
    <row r="204" spans="1:7" ht="15" hidden="1">
      <c r="A204" s="46">
        <v>43039</v>
      </c>
      <c r="B204" s="15">
        <v>2947</v>
      </c>
      <c r="C204" s="10">
        <f t="shared" si="84"/>
        <v>2947</v>
      </c>
      <c r="D204" s="15">
        <f t="shared" si="85"/>
        <v>2648</v>
      </c>
      <c r="E204" s="10">
        <f t="shared" si="86"/>
        <v>2608.38</v>
      </c>
      <c r="F204" s="11">
        <f t="shared" si="76"/>
        <v>2648200.6000000178</v>
      </c>
      <c r="G204" s="10">
        <f t="shared" si="87"/>
        <v>2608378</v>
      </c>
    </row>
    <row r="205" spans="1:7" ht="15" hidden="1">
      <c r="A205" s="46">
        <v>43069</v>
      </c>
      <c r="B205" s="15">
        <v>2947</v>
      </c>
      <c r="C205" s="10">
        <f t="shared" si="84"/>
        <v>2947</v>
      </c>
      <c r="D205" s="15">
        <f t="shared" si="85"/>
        <v>2655</v>
      </c>
      <c r="E205" s="10">
        <f t="shared" si="86"/>
        <v>2615</v>
      </c>
      <c r="F205" s="11">
        <f t="shared" si="76"/>
        <v>2654837.7000000179</v>
      </c>
      <c r="G205" s="10">
        <f t="shared" si="87"/>
        <v>2615015.1</v>
      </c>
    </row>
    <row r="206" spans="1:7" ht="15" hidden="1">
      <c r="A206" s="46">
        <v>43100</v>
      </c>
      <c r="B206" s="15">
        <v>2947</v>
      </c>
      <c r="C206" s="10">
        <f t="shared" si="84"/>
        <v>2947</v>
      </c>
      <c r="D206" s="15">
        <f t="shared" si="85"/>
        <v>2661</v>
      </c>
      <c r="E206" s="10">
        <f t="shared" si="86"/>
        <v>2621.62</v>
      </c>
      <c r="F206" s="11">
        <f t="shared" si="76"/>
        <v>2661474.800000018</v>
      </c>
      <c r="G206" s="10">
        <f t="shared" si="87"/>
        <v>2621652.2000000002</v>
      </c>
    </row>
    <row r="207" spans="1:7" ht="15" hidden="1">
      <c r="A207" s="46">
        <v>43131</v>
      </c>
      <c r="B207" s="15">
        <v>2947</v>
      </c>
      <c r="C207" s="10">
        <f t="shared" si="84"/>
        <v>2947</v>
      </c>
      <c r="D207" s="15">
        <f t="shared" si="85"/>
        <v>2668</v>
      </c>
      <c r="E207" s="10">
        <f t="shared" si="86"/>
        <v>2628.23</v>
      </c>
      <c r="F207" s="11">
        <f t="shared" si="76"/>
        <v>2668111.9000000181</v>
      </c>
      <c r="G207" s="10">
        <f t="shared" si="87"/>
        <v>2628289.2999999998</v>
      </c>
    </row>
    <row r="208" spans="1:7" ht="15" hidden="1">
      <c r="A208" s="46">
        <v>43159</v>
      </c>
      <c r="B208" s="15">
        <v>2947</v>
      </c>
      <c r="C208" s="10">
        <f t="shared" si="84"/>
        <v>2947</v>
      </c>
      <c r="D208" s="15">
        <f t="shared" si="85"/>
        <v>2675</v>
      </c>
      <c r="E208" s="10">
        <f t="shared" si="86"/>
        <v>2634.92</v>
      </c>
      <c r="F208" s="11">
        <f t="shared" si="76"/>
        <v>2674749.0000000182</v>
      </c>
      <c r="G208" s="10">
        <f t="shared" si="87"/>
        <v>2634926.4</v>
      </c>
    </row>
    <row r="209" spans="1:17" ht="15" hidden="1">
      <c r="A209" s="46">
        <v>43190</v>
      </c>
      <c r="B209" s="15">
        <v>2947</v>
      </c>
      <c r="C209" s="10">
        <f t="shared" si="84"/>
        <v>2947</v>
      </c>
      <c r="D209" s="15">
        <f t="shared" si="85"/>
        <v>2681</v>
      </c>
      <c r="E209" s="10">
        <f t="shared" si="86"/>
        <v>2641.54</v>
      </c>
      <c r="F209" s="11">
        <f t="shared" si="76"/>
        <v>2681386.1000000183</v>
      </c>
      <c r="G209" s="10">
        <f t="shared" si="87"/>
        <v>2641563.5</v>
      </c>
    </row>
    <row r="210" spans="1:17" ht="15" hidden="1">
      <c r="A210" s="46">
        <v>43220</v>
      </c>
      <c r="B210" s="15">
        <v>2947</v>
      </c>
      <c r="C210" s="10">
        <f t="shared" si="84"/>
        <v>2947</v>
      </c>
      <c r="D210" s="15">
        <f t="shared" si="85"/>
        <v>2688</v>
      </c>
      <c r="E210" s="10">
        <f t="shared" si="86"/>
        <v>2648.15</v>
      </c>
      <c r="F210" s="11">
        <f t="shared" si="76"/>
        <v>2688023.2000000183</v>
      </c>
      <c r="G210" s="10">
        <f t="shared" si="87"/>
        <v>2648200.6</v>
      </c>
      <c r="Q210" s="17"/>
    </row>
    <row r="211" spans="1:17" ht="15" hidden="1">
      <c r="A211" s="46">
        <v>43251</v>
      </c>
      <c r="B211" s="15">
        <v>2947</v>
      </c>
      <c r="C211" s="10">
        <f t="shared" si="84"/>
        <v>2947</v>
      </c>
      <c r="D211" s="15">
        <f t="shared" si="85"/>
        <v>2695</v>
      </c>
      <c r="E211" s="10">
        <f t="shared" si="86"/>
        <v>2654.85</v>
      </c>
      <c r="F211" s="11">
        <f t="shared" si="76"/>
        <v>2694660.3000000184</v>
      </c>
      <c r="G211" s="10">
        <f t="shared" si="87"/>
        <v>2654837.7000000002</v>
      </c>
    </row>
    <row r="212" spans="1:17" ht="15" hidden="1">
      <c r="A212" s="46">
        <v>43281</v>
      </c>
      <c r="B212" s="15">
        <v>2947</v>
      </c>
      <c r="C212" s="10">
        <f t="shared" si="84"/>
        <v>2947</v>
      </c>
      <c r="D212" s="15">
        <f t="shared" si="85"/>
        <v>2701</v>
      </c>
      <c r="E212" s="10">
        <f t="shared" si="86"/>
        <v>2661.46</v>
      </c>
      <c r="F212" s="11">
        <f t="shared" si="76"/>
        <v>2701297.4000000185</v>
      </c>
      <c r="G212" s="10">
        <f t="shared" si="87"/>
        <v>2661474.7999999998</v>
      </c>
    </row>
    <row r="213" spans="1:17" ht="15" hidden="1">
      <c r="A213" s="46">
        <v>43312</v>
      </c>
      <c r="B213" s="15">
        <v>2947</v>
      </c>
      <c r="C213" s="10">
        <f>ROUND((SUM(B201:B213)/13),0)</f>
        <v>2947</v>
      </c>
      <c r="D213" s="15">
        <f t="shared" si="85"/>
        <v>2708</v>
      </c>
      <c r="E213" s="10">
        <f t="shared" si="86"/>
        <v>2668.08</v>
      </c>
      <c r="F213" s="11">
        <f t="shared" si="76"/>
        <v>2707934.5000000186</v>
      </c>
      <c r="G213" s="10">
        <f t="shared" si="87"/>
        <v>2668111.9</v>
      </c>
    </row>
    <row r="214" spans="1:17" ht="15" hidden="1">
      <c r="A214" s="46">
        <v>43343</v>
      </c>
      <c r="B214" s="15">
        <v>2947</v>
      </c>
      <c r="C214" s="10">
        <f t="shared" ref="C214:C228" si="88">ROUND((SUM(B202:B214)/13),0)</f>
        <v>2947</v>
      </c>
      <c r="D214" s="15">
        <f t="shared" ref="D214:D242" si="89">ROUND(F214/1000,0)</f>
        <v>2715</v>
      </c>
      <c r="E214" s="10">
        <f t="shared" ref="E214:E242" si="90">ROUND((SUM(D202:D214)/13),2)</f>
        <v>2674.77</v>
      </c>
      <c r="F214" s="11">
        <f t="shared" si="76"/>
        <v>2714571.6000000187</v>
      </c>
      <c r="G214" s="10">
        <f t="shared" ref="G214:G242" si="91">ROUND((SUM(F202:F214)/13),2)</f>
        <v>2674749</v>
      </c>
    </row>
    <row r="215" spans="1:17" ht="15" hidden="1">
      <c r="A215" s="46">
        <v>43373</v>
      </c>
      <c r="B215" s="15">
        <v>2947</v>
      </c>
      <c r="C215" s="10">
        <f t="shared" si="88"/>
        <v>2947</v>
      </c>
      <c r="D215" s="15">
        <f t="shared" si="89"/>
        <v>2721</v>
      </c>
      <c r="E215" s="10">
        <f t="shared" si="90"/>
        <v>2681.38</v>
      </c>
      <c r="F215" s="11">
        <f t="shared" si="76"/>
        <v>2721208.7000000188</v>
      </c>
      <c r="G215" s="10">
        <f t="shared" si="91"/>
        <v>2681386.1</v>
      </c>
    </row>
    <row r="216" spans="1:17" ht="15" hidden="1">
      <c r="A216" s="46">
        <v>43404</v>
      </c>
      <c r="B216" s="15">
        <v>2947</v>
      </c>
      <c r="C216" s="10">
        <f t="shared" si="88"/>
        <v>2947</v>
      </c>
      <c r="D216" s="15">
        <f t="shared" si="89"/>
        <v>2728</v>
      </c>
      <c r="E216" s="10">
        <f t="shared" si="90"/>
        <v>2688</v>
      </c>
      <c r="F216" s="11">
        <f t="shared" si="76"/>
        <v>2727845.8000000189</v>
      </c>
      <c r="G216" s="10">
        <f t="shared" si="91"/>
        <v>2688023.2</v>
      </c>
    </row>
    <row r="217" spans="1:17" ht="15" hidden="1">
      <c r="A217" s="46">
        <v>43434</v>
      </c>
      <c r="B217" s="15">
        <v>2947</v>
      </c>
      <c r="C217" s="10">
        <f t="shared" si="88"/>
        <v>2947</v>
      </c>
      <c r="D217" s="15">
        <f t="shared" si="89"/>
        <v>2734</v>
      </c>
      <c r="E217" s="10">
        <f t="shared" si="90"/>
        <v>2694.62</v>
      </c>
      <c r="F217" s="11">
        <f t="shared" si="76"/>
        <v>2734482.900000019</v>
      </c>
      <c r="G217" s="10">
        <f t="shared" si="91"/>
        <v>2694660.3</v>
      </c>
    </row>
    <row r="218" spans="1:17" ht="15" hidden="1">
      <c r="A218" s="46">
        <v>43465</v>
      </c>
      <c r="B218" s="15">
        <v>2947</v>
      </c>
      <c r="C218" s="10">
        <f t="shared" si="88"/>
        <v>2947</v>
      </c>
      <c r="D218" s="15">
        <f t="shared" si="89"/>
        <v>2741</v>
      </c>
      <c r="E218" s="10">
        <f t="shared" si="90"/>
        <v>2701.23</v>
      </c>
      <c r="F218" s="11">
        <f t="shared" si="76"/>
        <v>2741120.0000000191</v>
      </c>
      <c r="G218" s="10">
        <f t="shared" si="91"/>
        <v>2701297.4</v>
      </c>
    </row>
    <row r="219" spans="1:17" ht="15" hidden="1">
      <c r="A219" s="46">
        <v>43496</v>
      </c>
      <c r="B219" s="15">
        <v>2947</v>
      </c>
      <c r="C219" s="10">
        <f t="shared" si="88"/>
        <v>2947</v>
      </c>
      <c r="D219" s="15">
        <f t="shared" si="89"/>
        <v>2748</v>
      </c>
      <c r="E219" s="10">
        <f t="shared" si="90"/>
        <v>2707.92</v>
      </c>
      <c r="F219" s="11">
        <f t="shared" si="76"/>
        <v>2747757.1000000192</v>
      </c>
      <c r="G219" s="10">
        <f t="shared" si="91"/>
        <v>2707934.5</v>
      </c>
    </row>
    <row r="220" spans="1:17" ht="15" hidden="1">
      <c r="A220" s="46">
        <v>43524</v>
      </c>
      <c r="B220" s="15">
        <v>2947</v>
      </c>
      <c r="C220" s="10">
        <f t="shared" si="88"/>
        <v>2947</v>
      </c>
      <c r="D220" s="15">
        <f t="shared" si="89"/>
        <v>2754</v>
      </c>
      <c r="E220" s="10">
        <f t="shared" si="90"/>
        <v>2714.54</v>
      </c>
      <c r="F220" s="11">
        <f t="shared" si="76"/>
        <v>2754394.2000000193</v>
      </c>
      <c r="G220" s="10">
        <f t="shared" si="91"/>
        <v>2714571.6</v>
      </c>
    </row>
    <row r="221" spans="1:17" ht="15" hidden="1">
      <c r="A221" s="46">
        <v>43555</v>
      </c>
      <c r="B221" s="15">
        <v>2947</v>
      </c>
      <c r="C221" s="10">
        <f t="shared" si="88"/>
        <v>2947</v>
      </c>
      <c r="D221" s="15">
        <f t="shared" si="89"/>
        <v>2761</v>
      </c>
      <c r="E221" s="10">
        <f t="shared" si="90"/>
        <v>2721.15</v>
      </c>
      <c r="F221" s="11">
        <f t="shared" si="76"/>
        <v>2761031.3000000194</v>
      </c>
      <c r="G221" s="10">
        <f t="shared" si="91"/>
        <v>2721208.7</v>
      </c>
    </row>
    <row r="222" spans="1:17" ht="15" hidden="1">
      <c r="A222" s="46">
        <v>43585</v>
      </c>
      <c r="B222" s="15">
        <v>2947</v>
      </c>
      <c r="C222" s="10">
        <f t="shared" si="88"/>
        <v>2947</v>
      </c>
      <c r="D222" s="15">
        <f t="shared" si="89"/>
        <v>2768</v>
      </c>
      <c r="E222" s="10">
        <f t="shared" si="90"/>
        <v>2727.85</v>
      </c>
      <c r="F222" s="11">
        <f t="shared" si="76"/>
        <v>2767668.4000000195</v>
      </c>
      <c r="G222" s="10">
        <f t="shared" si="91"/>
        <v>2727845.8</v>
      </c>
    </row>
    <row r="223" spans="1:17" ht="15" hidden="1">
      <c r="A223" s="46">
        <v>43616</v>
      </c>
      <c r="B223" s="15">
        <v>2947</v>
      </c>
      <c r="C223" s="10">
        <f t="shared" si="88"/>
        <v>2947</v>
      </c>
      <c r="D223" s="15">
        <f t="shared" si="89"/>
        <v>2774</v>
      </c>
      <c r="E223" s="10">
        <f t="shared" si="90"/>
        <v>2734.46</v>
      </c>
      <c r="F223" s="11">
        <f t="shared" si="76"/>
        <v>2774305.5000000196</v>
      </c>
      <c r="G223" s="10">
        <f t="shared" si="91"/>
        <v>2734482.9</v>
      </c>
    </row>
    <row r="224" spans="1:17" ht="15" hidden="1">
      <c r="A224" s="46">
        <v>43646</v>
      </c>
      <c r="B224" s="15">
        <v>2947</v>
      </c>
      <c r="C224" s="10">
        <f t="shared" si="88"/>
        <v>2947</v>
      </c>
      <c r="D224" s="15">
        <f t="shared" si="89"/>
        <v>2781</v>
      </c>
      <c r="E224" s="10">
        <f t="shared" si="90"/>
        <v>2741.08</v>
      </c>
      <c r="F224" s="11">
        <f t="shared" si="76"/>
        <v>2780942.6000000197</v>
      </c>
      <c r="G224" s="10">
        <f t="shared" si="91"/>
        <v>2741120</v>
      </c>
    </row>
    <row r="225" spans="1:13" ht="15" hidden="1">
      <c r="A225" s="46">
        <v>43677</v>
      </c>
      <c r="B225" s="15">
        <v>2947</v>
      </c>
      <c r="C225" s="10">
        <f t="shared" si="88"/>
        <v>2947</v>
      </c>
      <c r="D225" s="15">
        <f t="shared" si="89"/>
        <v>2788</v>
      </c>
      <c r="E225" s="10">
        <f t="shared" si="90"/>
        <v>2747.77</v>
      </c>
      <c r="F225" s="11">
        <f t="shared" si="76"/>
        <v>2787579.7000000197</v>
      </c>
      <c r="G225" s="10">
        <f t="shared" si="91"/>
        <v>2747757.1</v>
      </c>
      <c r="L225" s="958">
        <f>5031897.24-F9</f>
        <v>3644745.64</v>
      </c>
      <c r="M225" t="s">
        <v>2579</v>
      </c>
    </row>
    <row r="226" spans="1:13" ht="15" hidden="1">
      <c r="A226" s="46">
        <v>43708</v>
      </c>
      <c r="B226" s="15">
        <v>2947</v>
      </c>
      <c r="C226" s="10">
        <f t="shared" si="88"/>
        <v>2947</v>
      </c>
      <c r="D226" s="15">
        <f t="shared" si="89"/>
        <v>2794</v>
      </c>
      <c r="E226" s="10">
        <f t="shared" si="90"/>
        <v>2754.38</v>
      </c>
      <c r="F226" s="11">
        <f t="shared" si="76"/>
        <v>2794216.8000000198</v>
      </c>
      <c r="G226" s="10">
        <f t="shared" si="91"/>
        <v>2754394.2</v>
      </c>
      <c r="L226" s="958">
        <f>5031897.24-5005041.43</f>
        <v>26855.810000000522</v>
      </c>
      <c r="M226" t="s">
        <v>2580</v>
      </c>
    </row>
    <row r="227" spans="1:13" ht="15" hidden="1">
      <c r="A227" s="46">
        <v>43738</v>
      </c>
      <c r="B227" s="15">
        <v>2947</v>
      </c>
      <c r="C227" s="10">
        <f t="shared" si="88"/>
        <v>2947</v>
      </c>
      <c r="D227" s="15">
        <f t="shared" si="89"/>
        <v>2801</v>
      </c>
      <c r="E227" s="10">
        <f t="shared" si="90"/>
        <v>2761</v>
      </c>
      <c r="F227" s="11">
        <f t="shared" si="76"/>
        <v>2800853.9000000199</v>
      </c>
      <c r="G227" s="10">
        <f t="shared" si="91"/>
        <v>2761031.3</v>
      </c>
      <c r="L227" s="958">
        <f>+L226+(5949.73*3)</f>
        <v>44705.000000000524</v>
      </c>
      <c r="M227" s="17" t="s">
        <v>2582</v>
      </c>
    </row>
    <row r="228" spans="1:13" ht="15" hidden="1">
      <c r="A228" s="46">
        <v>43769</v>
      </c>
      <c r="B228" s="15">
        <v>2947</v>
      </c>
      <c r="C228" s="10">
        <f t="shared" si="88"/>
        <v>2947</v>
      </c>
      <c r="D228" s="15">
        <f t="shared" si="89"/>
        <v>2807</v>
      </c>
      <c r="E228" s="10">
        <f t="shared" si="90"/>
        <v>2767.62</v>
      </c>
      <c r="F228" s="11">
        <f t="shared" si="76"/>
        <v>2807491.00000002</v>
      </c>
      <c r="G228" s="10">
        <f t="shared" si="91"/>
        <v>2767668.4</v>
      </c>
      <c r="L228" s="958"/>
    </row>
    <row r="229" spans="1:13" ht="15" hidden="1">
      <c r="A229" s="46">
        <v>43799</v>
      </c>
      <c r="B229" s="15">
        <v>2947</v>
      </c>
      <c r="C229" s="10">
        <f>ROUND((SUM(B217:B229)/13),0)</f>
        <v>2947</v>
      </c>
      <c r="D229" s="15">
        <f t="shared" si="89"/>
        <v>2814</v>
      </c>
      <c r="E229" s="10">
        <f t="shared" si="90"/>
        <v>2774.23</v>
      </c>
      <c r="F229" s="11">
        <f t="shared" si="76"/>
        <v>2814128.1000000201</v>
      </c>
      <c r="G229" s="10">
        <f t="shared" si="91"/>
        <v>2774305.5</v>
      </c>
      <c r="L229" s="958">
        <v>2946879</v>
      </c>
      <c r="M229" s="17" t="s">
        <v>2581</v>
      </c>
    </row>
    <row r="230" spans="1:13" ht="15" hidden="1">
      <c r="A230" s="46">
        <v>43830</v>
      </c>
      <c r="B230" s="15">
        <v>2947</v>
      </c>
      <c r="C230" s="10">
        <f t="shared" ref="C230:C239" si="92">ROUND((SUM(B218:B230)/13),0)</f>
        <v>2947</v>
      </c>
      <c r="D230" s="15">
        <f t="shared" si="89"/>
        <v>2821</v>
      </c>
      <c r="E230" s="10">
        <f t="shared" si="90"/>
        <v>2780.92</v>
      </c>
      <c r="F230" s="11">
        <f t="shared" si="76"/>
        <v>2820765.2000000202</v>
      </c>
      <c r="G230" s="10">
        <f t="shared" si="91"/>
        <v>2780942.6</v>
      </c>
      <c r="L230" s="958"/>
    </row>
    <row r="231" spans="1:13" ht="15" hidden="1">
      <c r="A231" s="46">
        <v>43861</v>
      </c>
      <c r="B231" s="15">
        <v>2947</v>
      </c>
      <c r="C231" s="10">
        <f t="shared" si="92"/>
        <v>2947</v>
      </c>
      <c r="D231" s="15">
        <f t="shared" si="89"/>
        <v>2827</v>
      </c>
      <c r="E231" s="10">
        <f t="shared" si="90"/>
        <v>2787.54</v>
      </c>
      <c r="F231" s="11">
        <f t="shared" si="76"/>
        <v>2827402.3000000203</v>
      </c>
      <c r="G231" s="10">
        <f t="shared" si="91"/>
        <v>2787579.7</v>
      </c>
    </row>
    <row r="232" spans="1:13" ht="15" hidden="1">
      <c r="A232" s="46">
        <v>43890</v>
      </c>
      <c r="B232" s="15">
        <v>2947</v>
      </c>
      <c r="C232" s="10">
        <f t="shared" si="92"/>
        <v>2947</v>
      </c>
      <c r="D232" s="15">
        <f t="shared" si="89"/>
        <v>2834</v>
      </c>
      <c r="E232" s="10">
        <f t="shared" si="90"/>
        <v>2794.15</v>
      </c>
      <c r="F232" s="11">
        <f t="shared" si="76"/>
        <v>2834039.4000000204</v>
      </c>
      <c r="G232" s="10">
        <f t="shared" si="91"/>
        <v>2794216.8</v>
      </c>
    </row>
    <row r="233" spans="1:13" ht="15" hidden="1">
      <c r="A233" s="46">
        <v>43921</v>
      </c>
      <c r="B233" s="15">
        <v>2947</v>
      </c>
      <c r="C233" s="10">
        <f t="shared" si="92"/>
        <v>2947</v>
      </c>
      <c r="D233" s="15">
        <f t="shared" si="89"/>
        <v>2841</v>
      </c>
      <c r="E233" s="10">
        <f t="shared" si="90"/>
        <v>2800.85</v>
      </c>
      <c r="F233" s="11">
        <f t="shared" si="76"/>
        <v>2840676.5000000205</v>
      </c>
      <c r="G233" s="10">
        <f t="shared" si="91"/>
        <v>2800853.9</v>
      </c>
    </row>
    <row r="234" spans="1:13" ht="15" hidden="1">
      <c r="A234" s="46">
        <v>43951</v>
      </c>
      <c r="B234" s="15">
        <v>2947</v>
      </c>
      <c r="C234" s="10">
        <f t="shared" si="92"/>
        <v>2947</v>
      </c>
      <c r="D234" s="15">
        <f t="shared" si="89"/>
        <v>2847</v>
      </c>
      <c r="E234" s="10">
        <f t="shared" si="90"/>
        <v>2807.46</v>
      </c>
      <c r="F234" s="11">
        <f t="shared" si="76"/>
        <v>2847313.6000000206</v>
      </c>
      <c r="G234" s="10">
        <f t="shared" si="91"/>
        <v>2807491</v>
      </c>
    </row>
    <row r="235" spans="1:13" ht="15" hidden="1">
      <c r="A235" s="46">
        <v>43982</v>
      </c>
      <c r="B235" s="15">
        <v>2947</v>
      </c>
      <c r="C235" s="10">
        <f t="shared" si="92"/>
        <v>2947</v>
      </c>
      <c r="D235" s="15">
        <f t="shared" si="89"/>
        <v>2854</v>
      </c>
      <c r="E235" s="10">
        <f t="shared" si="90"/>
        <v>2814.08</v>
      </c>
      <c r="F235" s="11">
        <f t="shared" si="76"/>
        <v>2853950.7000000207</v>
      </c>
      <c r="G235" s="10">
        <f t="shared" si="91"/>
        <v>2814128.1</v>
      </c>
    </row>
    <row r="236" spans="1:13" ht="15" hidden="1">
      <c r="A236" s="46">
        <v>44012</v>
      </c>
      <c r="B236" s="15">
        <v>2947</v>
      </c>
      <c r="C236" s="10">
        <f t="shared" si="92"/>
        <v>2947</v>
      </c>
      <c r="D236" s="15">
        <f t="shared" si="89"/>
        <v>2861</v>
      </c>
      <c r="E236" s="10">
        <f t="shared" si="90"/>
        <v>2820.77</v>
      </c>
      <c r="F236" s="11">
        <f t="shared" si="76"/>
        <v>2860587.8000000208</v>
      </c>
      <c r="G236" s="10">
        <f t="shared" si="91"/>
        <v>2820765.2</v>
      </c>
    </row>
    <row r="237" spans="1:13" ht="15" hidden="1">
      <c r="A237" s="46">
        <v>44043</v>
      </c>
      <c r="B237" s="15">
        <v>2947</v>
      </c>
      <c r="C237" s="10">
        <f t="shared" si="92"/>
        <v>2947</v>
      </c>
      <c r="D237" s="15">
        <f t="shared" si="89"/>
        <v>2867</v>
      </c>
      <c r="E237" s="10">
        <f t="shared" si="90"/>
        <v>2827.38</v>
      </c>
      <c r="F237" s="11">
        <f t="shared" si="76"/>
        <v>2867224.9000000209</v>
      </c>
      <c r="G237" s="10">
        <f t="shared" si="91"/>
        <v>2827402.3</v>
      </c>
    </row>
    <row r="238" spans="1:13" ht="15" hidden="1">
      <c r="A238" s="46">
        <v>44074</v>
      </c>
      <c r="B238" s="15">
        <v>2947</v>
      </c>
      <c r="C238" s="10">
        <f t="shared" si="92"/>
        <v>2947</v>
      </c>
      <c r="D238" s="15">
        <f t="shared" si="89"/>
        <v>2874</v>
      </c>
      <c r="E238" s="10">
        <f t="shared" si="90"/>
        <v>2834</v>
      </c>
      <c r="F238" s="11">
        <f t="shared" si="76"/>
        <v>2873862.000000021</v>
      </c>
      <c r="G238" s="10">
        <f t="shared" si="91"/>
        <v>2834039.4</v>
      </c>
    </row>
    <row r="239" spans="1:13" ht="15" hidden="1">
      <c r="A239" s="46">
        <v>44104</v>
      </c>
      <c r="B239" s="15">
        <v>2947</v>
      </c>
      <c r="C239" s="10">
        <f t="shared" si="92"/>
        <v>2947</v>
      </c>
      <c r="D239" s="15">
        <f t="shared" si="89"/>
        <v>2880</v>
      </c>
      <c r="E239" s="10">
        <f t="shared" si="90"/>
        <v>2840.62</v>
      </c>
      <c r="F239" s="11">
        <f t="shared" si="76"/>
        <v>2880499.100000021</v>
      </c>
      <c r="G239" s="10">
        <f t="shared" si="91"/>
        <v>2840676.5</v>
      </c>
    </row>
    <row r="240" spans="1:13" ht="15" hidden="1">
      <c r="A240" s="46">
        <v>44135</v>
      </c>
      <c r="B240" s="15">
        <v>2947</v>
      </c>
      <c r="C240" s="10">
        <f t="shared" ref="C240:C249" si="93">ROUND((SUM(B228:B240)/13),0)</f>
        <v>2947</v>
      </c>
      <c r="D240" s="15">
        <f t="shared" si="89"/>
        <v>2887</v>
      </c>
      <c r="E240" s="10">
        <f t="shared" si="90"/>
        <v>2847.23</v>
      </c>
      <c r="F240" s="11">
        <f>F239+6637.1</f>
        <v>2887136.2000000211</v>
      </c>
      <c r="G240" s="10">
        <f t="shared" si="91"/>
        <v>2847313.6</v>
      </c>
    </row>
    <row r="241" spans="1:7" ht="15" hidden="1">
      <c r="A241" s="46">
        <v>44165</v>
      </c>
      <c r="B241" s="15">
        <v>2947</v>
      </c>
      <c r="C241" s="10">
        <f t="shared" si="93"/>
        <v>2947</v>
      </c>
      <c r="D241" s="15">
        <f t="shared" si="89"/>
        <v>2894</v>
      </c>
      <c r="E241" s="10">
        <f t="shared" si="90"/>
        <v>2853.92</v>
      </c>
      <c r="F241" s="11">
        <f>F240+6637.1</f>
        <v>2893773.3000000212</v>
      </c>
      <c r="G241" s="10">
        <f t="shared" si="91"/>
        <v>2853950.7</v>
      </c>
    </row>
    <row r="242" spans="1:7" ht="15" hidden="1">
      <c r="A242" s="46">
        <v>44196</v>
      </c>
      <c r="B242" s="15">
        <v>2947</v>
      </c>
      <c r="C242" s="10">
        <f t="shared" si="93"/>
        <v>2947</v>
      </c>
      <c r="D242" s="15">
        <f t="shared" si="89"/>
        <v>2902</v>
      </c>
      <c r="E242" s="10">
        <f t="shared" si="90"/>
        <v>2860.69</v>
      </c>
      <c r="F242" s="959">
        <f>2946879-44705</f>
        <v>2902174</v>
      </c>
      <c r="G242" s="10">
        <f t="shared" si="91"/>
        <v>2860723.46</v>
      </c>
    </row>
    <row r="243" spans="1:7" ht="15" hidden="1">
      <c r="A243" s="46">
        <v>44227</v>
      </c>
      <c r="B243" s="15">
        <v>2947</v>
      </c>
      <c r="C243" s="10">
        <f t="shared" si="93"/>
        <v>2947</v>
      </c>
      <c r="D243" s="15">
        <f>ROUND(F243/1000,0)</f>
        <v>2908</v>
      </c>
      <c r="E243" s="10">
        <f>ROUND((SUM(D231:D243)/13),2)</f>
        <v>2867.38</v>
      </c>
      <c r="F243" s="959">
        <f t="shared" ref="F243:F248" si="94">F242+5949.73</f>
        <v>2908123.73</v>
      </c>
      <c r="G243" s="10">
        <f t="shared" ref="G243:G249" si="95">ROUND((SUM(F231:F243)/13),2)</f>
        <v>2867443.35</v>
      </c>
    </row>
    <row r="244" spans="1:7" ht="15" hidden="1">
      <c r="A244" s="46">
        <v>44255</v>
      </c>
      <c r="B244" s="15">
        <v>2947</v>
      </c>
      <c r="C244" s="10">
        <f t="shared" si="93"/>
        <v>2947</v>
      </c>
      <c r="D244" s="15">
        <f>ROUND(F244/1000,0)</f>
        <v>2914</v>
      </c>
      <c r="E244" s="10">
        <f>ROUND((SUM(D232:D244)/13),2)</f>
        <v>2874.08</v>
      </c>
      <c r="F244" s="959">
        <f t="shared" si="94"/>
        <v>2914073.46</v>
      </c>
      <c r="G244" s="10">
        <f t="shared" si="95"/>
        <v>2874110.36</v>
      </c>
    </row>
    <row r="245" spans="1:7" ht="15">
      <c r="A245" s="46">
        <v>44286</v>
      </c>
      <c r="B245" s="15">
        <v>2947</v>
      </c>
      <c r="C245" s="10">
        <f t="shared" si="93"/>
        <v>2947</v>
      </c>
      <c r="D245" s="15">
        <f t="shared" ref="D245:D261" si="96">ROUND(F245/1000,0)</f>
        <v>2920</v>
      </c>
      <c r="E245" s="10">
        <f t="shared" ref="E245:E260" si="97">ROUND((SUM(D233:D245)/13),2)</f>
        <v>2880.69</v>
      </c>
      <c r="F245" s="959">
        <f t="shared" si="94"/>
        <v>2920023.19</v>
      </c>
      <c r="G245" s="10">
        <f t="shared" si="95"/>
        <v>2880724.5</v>
      </c>
    </row>
    <row r="246" spans="1:7" ht="15">
      <c r="A246" s="46">
        <v>44316</v>
      </c>
      <c r="B246" s="15">
        <v>2947</v>
      </c>
      <c r="C246" s="10">
        <f t="shared" si="93"/>
        <v>2947</v>
      </c>
      <c r="D246" s="15">
        <f t="shared" si="96"/>
        <v>2926</v>
      </c>
      <c r="E246" s="10">
        <f t="shared" si="97"/>
        <v>2887.23</v>
      </c>
      <c r="F246" s="959">
        <f t="shared" si="94"/>
        <v>2925972.92</v>
      </c>
      <c r="G246" s="10">
        <f t="shared" si="95"/>
        <v>2887285.76</v>
      </c>
    </row>
    <row r="247" spans="1:7" ht="15">
      <c r="A247" s="46">
        <v>44347</v>
      </c>
      <c r="B247" s="15">
        <v>2947</v>
      </c>
      <c r="C247" s="10">
        <f t="shared" si="93"/>
        <v>2947</v>
      </c>
      <c r="D247" s="15">
        <f t="shared" si="96"/>
        <v>2932</v>
      </c>
      <c r="E247" s="10">
        <f t="shared" si="97"/>
        <v>2893.77</v>
      </c>
      <c r="F247" s="959">
        <f t="shared" si="94"/>
        <v>2931922.65</v>
      </c>
      <c r="G247" s="10">
        <f t="shared" si="95"/>
        <v>2893794.15</v>
      </c>
    </row>
    <row r="248" spans="1:7" ht="15">
      <c r="A248" s="46">
        <v>44377</v>
      </c>
      <c r="B248" s="15">
        <v>2947</v>
      </c>
      <c r="C248" s="10">
        <f t="shared" si="93"/>
        <v>2947</v>
      </c>
      <c r="D248" s="15">
        <f t="shared" si="96"/>
        <v>2938</v>
      </c>
      <c r="E248" s="10">
        <f t="shared" si="97"/>
        <v>2900.23</v>
      </c>
      <c r="F248" s="959">
        <f t="shared" si="94"/>
        <v>2937872.38</v>
      </c>
      <c r="G248" s="10">
        <f t="shared" si="95"/>
        <v>2900249.66</v>
      </c>
    </row>
    <row r="249" spans="1:7" ht="15">
      <c r="A249" s="46">
        <v>44408</v>
      </c>
      <c r="B249" s="15">
        <v>2947</v>
      </c>
      <c r="C249" s="10">
        <f t="shared" si="93"/>
        <v>2947</v>
      </c>
      <c r="D249" s="15">
        <f t="shared" si="96"/>
        <v>2947</v>
      </c>
      <c r="E249" s="10">
        <f t="shared" si="97"/>
        <v>2906.85</v>
      </c>
      <c r="F249" s="959">
        <f>F248+5949.73+3056.89</f>
        <v>2946879</v>
      </c>
      <c r="G249" s="10">
        <f t="shared" si="95"/>
        <v>2906887.45</v>
      </c>
    </row>
    <row r="250" spans="1:7" ht="15">
      <c r="A250" s="46">
        <v>44439</v>
      </c>
      <c r="B250" s="15">
        <v>2947</v>
      </c>
      <c r="C250" s="10">
        <f t="shared" ref="C250:C261" si="98">ROUND((SUM(B238:B250)/13),0)</f>
        <v>2947</v>
      </c>
      <c r="D250" s="15">
        <f t="shared" si="96"/>
        <v>2947</v>
      </c>
      <c r="E250" s="10">
        <f t="shared" si="97"/>
        <v>2913</v>
      </c>
      <c r="F250" s="11">
        <f>+F249</f>
        <v>2946879</v>
      </c>
      <c r="G250" s="10">
        <f t="shared" ref="G250:G260" si="99">ROUND((SUM(F238:F250)/13),2)</f>
        <v>2913014.69</v>
      </c>
    </row>
    <row r="251" spans="1:7" ht="15">
      <c r="A251" s="46">
        <v>44469</v>
      </c>
      <c r="B251" s="15">
        <v>2947</v>
      </c>
      <c r="C251" s="10">
        <f t="shared" si="98"/>
        <v>2947</v>
      </c>
      <c r="D251" s="15">
        <f t="shared" si="96"/>
        <v>2947</v>
      </c>
      <c r="E251" s="10">
        <f t="shared" si="97"/>
        <v>2918.62</v>
      </c>
      <c r="F251" s="11">
        <f>+F250</f>
        <v>2946879</v>
      </c>
      <c r="G251" s="10">
        <f t="shared" si="99"/>
        <v>2918631.38</v>
      </c>
    </row>
    <row r="252" spans="1:7" ht="15">
      <c r="A252" s="46">
        <v>44500</v>
      </c>
      <c r="B252" s="15">
        <v>2947</v>
      </c>
      <c r="C252" s="10">
        <f t="shared" si="98"/>
        <v>2947</v>
      </c>
      <c r="D252" s="15">
        <f t="shared" si="96"/>
        <v>2947</v>
      </c>
      <c r="E252" s="10">
        <f t="shared" si="97"/>
        <v>2923.77</v>
      </c>
      <c r="F252" s="11">
        <f t="shared" ref="F252:F260" si="100">+F251</f>
        <v>2946879</v>
      </c>
      <c r="G252" s="10">
        <f t="shared" si="99"/>
        <v>2923737.53</v>
      </c>
    </row>
    <row r="253" spans="1:7" ht="15">
      <c r="A253" s="46">
        <v>44530</v>
      </c>
      <c r="B253" s="15">
        <v>2947</v>
      </c>
      <c r="C253" s="10">
        <f t="shared" si="98"/>
        <v>2947</v>
      </c>
      <c r="D253" s="15">
        <f t="shared" si="96"/>
        <v>2947</v>
      </c>
      <c r="E253" s="10">
        <f t="shared" si="97"/>
        <v>2928.38</v>
      </c>
      <c r="F253" s="11">
        <f t="shared" si="100"/>
        <v>2946879</v>
      </c>
      <c r="G253" s="10">
        <f t="shared" si="99"/>
        <v>2928333.13</v>
      </c>
    </row>
    <row r="254" spans="1:7" ht="15">
      <c r="A254" s="46">
        <v>44561</v>
      </c>
      <c r="B254" s="15">
        <v>2947</v>
      </c>
      <c r="C254" s="10">
        <f t="shared" si="98"/>
        <v>2947</v>
      </c>
      <c r="D254" s="15">
        <f t="shared" si="96"/>
        <v>2947</v>
      </c>
      <c r="E254" s="10">
        <f t="shared" si="97"/>
        <v>2932.46</v>
      </c>
      <c r="F254" s="11">
        <f t="shared" si="100"/>
        <v>2946879</v>
      </c>
      <c r="G254" s="10">
        <f t="shared" si="99"/>
        <v>2932418.18</v>
      </c>
    </row>
    <row r="255" spans="1:7" ht="15">
      <c r="A255" s="46">
        <v>44592</v>
      </c>
      <c r="B255" s="15">
        <v>2947</v>
      </c>
      <c r="C255" s="10">
        <f t="shared" si="98"/>
        <v>2947</v>
      </c>
      <c r="D255" s="15">
        <f t="shared" si="96"/>
        <v>2947</v>
      </c>
      <c r="E255" s="10">
        <f t="shared" si="97"/>
        <v>2935.92</v>
      </c>
      <c r="F255" s="11">
        <f t="shared" si="100"/>
        <v>2946879</v>
      </c>
      <c r="G255" s="10">
        <f t="shared" si="99"/>
        <v>2935857.03</v>
      </c>
    </row>
    <row r="256" spans="1:7" ht="15">
      <c r="A256" s="46">
        <v>44620</v>
      </c>
      <c r="B256" s="15">
        <v>2947</v>
      </c>
      <c r="C256" s="10">
        <f t="shared" si="98"/>
        <v>2947</v>
      </c>
      <c r="D256" s="15">
        <f t="shared" si="96"/>
        <v>2947</v>
      </c>
      <c r="E256" s="10">
        <f t="shared" si="97"/>
        <v>2938.92</v>
      </c>
      <c r="F256" s="11">
        <f t="shared" si="100"/>
        <v>2946879</v>
      </c>
      <c r="G256" s="10">
        <f t="shared" si="99"/>
        <v>2938838.2</v>
      </c>
    </row>
    <row r="257" spans="1:20" ht="15">
      <c r="A257" s="46">
        <v>44651</v>
      </c>
      <c r="B257" s="15">
        <v>2947</v>
      </c>
      <c r="C257" s="10">
        <f t="shared" si="98"/>
        <v>2947</v>
      </c>
      <c r="D257" s="15">
        <f t="shared" si="96"/>
        <v>2947</v>
      </c>
      <c r="E257" s="10">
        <f t="shared" si="97"/>
        <v>2941.46</v>
      </c>
      <c r="F257" s="11">
        <f t="shared" si="100"/>
        <v>2946879</v>
      </c>
      <c r="G257" s="10">
        <f t="shared" si="99"/>
        <v>2941361.7</v>
      </c>
    </row>
    <row r="258" spans="1:20" ht="15">
      <c r="A258" s="46">
        <v>44681</v>
      </c>
      <c r="B258" s="15">
        <v>2947</v>
      </c>
      <c r="C258" s="10">
        <f t="shared" si="98"/>
        <v>2947</v>
      </c>
      <c r="D258" s="15">
        <f t="shared" si="96"/>
        <v>2947</v>
      </c>
      <c r="E258" s="10">
        <f t="shared" si="97"/>
        <v>2943.54</v>
      </c>
      <c r="F258" s="11">
        <f t="shared" si="100"/>
        <v>2946879</v>
      </c>
      <c r="G258" s="10">
        <f t="shared" si="99"/>
        <v>2943427.53</v>
      </c>
      <c r="S258" s="960" t="s">
        <v>2583</v>
      </c>
    </row>
    <row r="259" spans="1:20" ht="15">
      <c r="A259" s="46">
        <v>44712</v>
      </c>
      <c r="B259" s="15">
        <v>2947</v>
      </c>
      <c r="C259" s="10">
        <f t="shared" si="98"/>
        <v>2947</v>
      </c>
      <c r="D259" s="15">
        <f t="shared" si="96"/>
        <v>2947</v>
      </c>
      <c r="E259" s="10">
        <f t="shared" si="97"/>
        <v>2945.15</v>
      </c>
      <c r="F259" s="11">
        <f t="shared" si="100"/>
        <v>2946879</v>
      </c>
      <c r="G259" s="10">
        <f t="shared" si="99"/>
        <v>2945035.69</v>
      </c>
      <c r="S259" s="46">
        <v>44286</v>
      </c>
      <c r="T259" s="958">
        <f>+F245-F233</f>
        <v>79346.689999979455</v>
      </c>
    </row>
    <row r="260" spans="1:20" ht="15">
      <c r="A260" s="1239">
        <v>44742</v>
      </c>
      <c r="B260" s="1240">
        <v>2947</v>
      </c>
      <c r="C260" s="1241">
        <f t="shared" si="98"/>
        <v>2947</v>
      </c>
      <c r="D260" s="1240">
        <f t="shared" si="96"/>
        <v>2947</v>
      </c>
      <c r="E260" s="1241">
        <f t="shared" si="97"/>
        <v>2946.31</v>
      </c>
      <c r="F260" s="1242">
        <f t="shared" si="100"/>
        <v>2946879</v>
      </c>
      <c r="G260" s="1241">
        <f t="shared" si="99"/>
        <v>2946186.18</v>
      </c>
      <c r="S260" s="46">
        <v>44316</v>
      </c>
      <c r="T260" s="958">
        <f t="shared" ref="T260:T268" si="101">+F246-F234</f>
        <v>78659.319999979343</v>
      </c>
    </row>
    <row r="261" spans="1:20" ht="15">
      <c r="A261" s="46">
        <v>44773</v>
      </c>
      <c r="B261" s="15">
        <v>2947</v>
      </c>
      <c r="C261" s="10">
        <f t="shared" si="98"/>
        <v>2947</v>
      </c>
      <c r="D261" s="15">
        <f t="shared" si="96"/>
        <v>2947</v>
      </c>
      <c r="E261" s="10">
        <f>ROUND((SUM(D249:D261)/13),2)</f>
        <v>2947</v>
      </c>
      <c r="F261" s="11">
        <f>+F260</f>
        <v>2946879</v>
      </c>
      <c r="G261" s="10">
        <f>ROUND((SUM(F249:F261)/13),2)</f>
        <v>2946879</v>
      </c>
      <c r="S261" s="46">
        <v>44347</v>
      </c>
      <c r="T261" s="958">
        <f t="shared" si="101"/>
        <v>77971.949999979232</v>
      </c>
    </row>
    <row r="262" spans="1:20" ht="15">
      <c r="A262" s="46">
        <v>44804</v>
      </c>
      <c r="B262" s="15">
        <v>2947</v>
      </c>
      <c r="C262" s="10">
        <f t="shared" ref="C262:C266" si="102">ROUND((SUM(B250:B262)/13),0)</f>
        <v>2947</v>
      </c>
      <c r="D262" s="15">
        <f t="shared" ref="D262:D266" si="103">ROUND(F262/1000,0)</f>
        <v>2947</v>
      </c>
      <c r="E262" s="10">
        <f t="shared" ref="E262:E266" si="104">ROUND((SUM(D250:D262)/13),2)</f>
        <v>2947</v>
      </c>
      <c r="F262" s="11">
        <f t="shared" ref="F262:F266" si="105">+F261</f>
        <v>2946879</v>
      </c>
      <c r="G262" s="10">
        <f t="shared" ref="G262:G266" si="106">ROUND((SUM(F250:F262)/13),2)</f>
        <v>2946879</v>
      </c>
      <c r="S262" s="46">
        <v>44377</v>
      </c>
      <c r="T262" s="958">
        <f>+F248-F236</f>
        <v>77284.57999997912</v>
      </c>
    </row>
    <row r="263" spans="1:20" ht="14.25" customHeight="1">
      <c r="A263" s="46">
        <v>44834</v>
      </c>
      <c r="B263" s="15">
        <v>2947</v>
      </c>
      <c r="C263" s="10">
        <f t="shared" si="102"/>
        <v>2947</v>
      </c>
      <c r="D263" s="15">
        <f t="shared" si="103"/>
        <v>2947</v>
      </c>
      <c r="E263" s="10">
        <f t="shared" si="104"/>
        <v>2947</v>
      </c>
      <c r="F263" s="11">
        <f t="shared" si="105"/>
        <v>2946879</v>
      </c>
      <c r="G263" s="10">
        <f t="shared" si="106"/>
        <v>2946879</v>
      </c>
      <c r="S263" s="46">
        <v>44408</v>
      </c>
      <c r="T263" s="958">
        <f t="shared" si="101"/>
        <v>79654.099999979138</v>
      </c>
    </row>
    <row r="264" spans="1:20" ht="15">
      <c r="A264" s="46">
        <v>44865</v>
      </c>
      <c r="B264" s="15">
        <v>2947</v>
      </c>
      <c r="C264" s="10">
        <f t="shared" si="102"/>
        <v>2947</v>
      </c>
      <c r="D264" s="15">
        <f t="shared" si="103"/>
        <v>2947</v>
      </c>
      <c r="E264" s="10">
        <f t="shared" si="104"/>
        <v>2947</v>
      </c>
      <c r="F264" s="11">
        <f t="shared" si="105"/>
        <v>2946879</v>
      </c>
      <c r="G264" s="10">
        <f t="shared" si="106"/>
        <v>2946879</v>
      </c>
      <c r="S264" s="46">
        <v>44439</v>
      </c>
      <c r="T264" s="958">
        <f t="shared" si="101"/>
        <v>73016.999999979045</v>
      </c>
    </row>
    <row r="265" spans="1:20" ht="15">
      <c r="A265" s="46">
        <v>44895</v>
      </c>
      <c r="B265" s="15">
        <v>2947</v>
      </c>
      <c r="C265" s="10">
        <f t="shared" si="102"/>
        <v>2947</v>
      </c>
      <c r="D265" s="15">
        <f t="shared" si="103"/>
        <v>2947</v>
      </c>
      <c r="E265" s="10">
        <f t="shared" si="104"/>
        <v>2947</v>
      </c>
      <c r="F265" s="11">
        <f t="shared" si="105"/>
        <v>2946879</v>
      </c>
      <c r="G265" s="10">
        <f t="shared" si="106"/>
        <v>2946879</v>
      </c>
      <c r="S265" s="46">
        <v>44469</v>
      </c>
      <c r="T265" s="958">
        <f t="shared" si="101"/>
        <v>66379.899999978952</v>
      </c>
    </row>
    <row r="266" spans="1:20" ht="15">
      <c r="A266" s="46">
        <v>44926</v>
      </c>
      <c r="B266" s="15">
        <v>2947</v>
      </c>
      <c r="C266" s="10">
        <f t="shared" si="102"/>
        <v>2947</v>
      </c>
      <c r="D266" s="15">
        <f t="shared" si="103"/>
        <v>2947</v>
      </c>
      <c r="E266" s="10">
        <f t="shared" si="104"/>
        <v>2947</v>
      </c>
      <c r="F266" s="11">
        <f t="shared" si="105"/>
        <v>2946879</v>
      </c>
      <c r="G266" s="10">
        <f t="shared" si="106"/>
        <v>2946879</v>
      </c>
      <c r="S266" s="46">
        <v>44500</v>
      </c>
      <c r="T266" s="958">
        <f t="shared" si="101"/>
        <v>59742.799999978859</v>
      </c>
    </row>
    <row r="267" spans="1:20" ht="15">
      <c r="A267" s="46"/>
      <c r="B267" s="15"/>
      <c r="C267" s="10"/>
      <c r="D267" s="15"/>
      <c r="E267" s="10"/>
      <c r="F267" s="11"/>
      <c r="G267" s="10"/>
      <c r="S267" s="46">
        <v>44530</v>
      </c>
      <c r="T267" s="958">
        <f t="shared" si="101"/>
        <v>53105.699999978766</v>
      </c>
    </row>
    <row r="268" spans="1:20" ht="15">
      <c r="A268" s="46"/>
      <c r="B268" s="15"/>
      <c r="C268" s="10"/>
      <c r="D268" s="15"/>
      <c r="E268" s="10"/>
      <c r="F268" s="11"/>
      <c r="G268" s="10"/>
      <c r="S268" s="46">
        <v>44561</v>
      </c>
      <c r="T268" s="958">
        <f t="shared" si="101"/>
        <v>44705</v>
      </c>
    </row>
    <row r="269" spans="1:20" ht="15">
      <c r="S269" s="46">
        <v>44621</v>
      </c>
      <c r="T269" s="958">
        <f>+F257-F245</f>
        <v>26855.810000000056</v>
      </c>
    </row>
    <row r="270" spans="1:20" ht="15">
      <c r="S270" s="46">
        <v>44652</v>
      </c>
      <c r="T270" s="958">
        <f>+F258-F246</f>
        <v>20906.080000000075</v>
      </c>
    </row>
    <row r="271" spans="1:20" ht="15">
      <c r="S271" s="46">
        <v>44682</v>
      </c>
      <c r="T271" s="958">
        <f t="shared" ref="T271:T272" si="107">+F259-F247</f>
        <v>14956.350000000093</v>
      </c>
    </row>
    <row r="272" spans="1:20" ht="15">
      <c r="S272" s="46">
        <v>44713</v>
      </c>
      <c r="T272" s="958">
        <f t="shared" si="107"/>
        <v>9006.6200000001118</v>
      </c>
    </row>
    <row r="273" spans="19:20" ht="15">
      <c r="S273" s="1255">
        <v>44773</v>
      </c>
      <c r="T273" s="1256">
        <v>0</v>
      </c>
    </row>
    <row r="274" spans="19:20" ht="15">
      <c r="S274" s="1255">
        <v>44804</v>
      </c>
      <c r="T274" s="1256">
        <f>+T273</f>
        <v>0</v>
      </c>
    </row>
    <row r="275" spans="19:20" ht="15">
      <c r="S275" s="1255">
        <v>44834</v>
      </c>
      <c r="T275" s="1076">
        <f t="shared" ref="T275:T278" si="108">+T274</f>
        <v>0</v>
      </c>
    </row>
    <row r="276" spans="19:20" ht="15">
      <c r="S276" s="1255">
        <v>44865</v>
      </c>
      <c r="T276" s="1256">
        <f t="shared" si="108"/>
        <v>0</v>
      </c>
    </row>
    <row r="277" spans="19:20" ht="15">
      <c r="S277" s="1255">
        <v>44895</v>
      </c>
      <c r="T277" s="1256">
        <f t="shared" si="108"/>
        <v>0</v>
      </c>
    </row>
    <row r="278" spans="19:20" ht="15">
      <c r="S278" s="1255">
        <v>44926</v>
      </c>
      <c r="T278" s="1256">
        <f t="shared" si="108"/>
        <v>0</v>
      </c>
    </row>
  </sheetData>
  <phoneticPr fontId="0" type="noConversion"/>
  <printOptions horizontalCentered="1"/>
  <pageMargins left="0.25" right="0.25" top="0.25" bottom="0.5" header="0.3" footer="0.25"/>
  <pageSetup scale="91" orientation="landscape" r:id="rId1"/>
  <headerFooter alignWithMargins="0">
    <oddFooter>&amp;L&amp;D&amp;R&amp;Z&amp;F&amp;A</oddFooter>
  </headerFooter>
  <rowBreaks count="1" manualBreakCount="1">
    <brk id="130" max="6" man="1"/>
  </rowBreaks>
  <customProperties>
    <customPr name="_pios_id" r:id="rId2"/>
    <customPr name="EpmWorksheetKeyString_GUID" r:id="rId3"/>
  </customProperties>
  <drawing r:id="rId4"/>
  <legacy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B9469E761E20748A773F85B33816D32" ma:contentTypeVersion="2" ma:contentTypeDescription="Create a new document." ma:contentTypeScope="" ma:versionID="e5268eab065339c051eaf8aaeff5f44b">
  <xsd:schema xmlns:xsd="http://www.w3.org/2001/XMLSchema" xmlns:xs="http://www.w3.org/2001/XMLSchema" xmlns:p="http://schemas.microsoft.com/office/2006/metadata/properties" xmlns:ns2="9bbac886-2f20-4c15-ac8f-bd6773befed2" targetNamespace="http://schemas.microsoft.com/office/2006/metadata/properties" ma:root="true" ma:fieldsID="8de529939eb037e419d1462f88b80023" ns2:_="">
    <xsd:import namespace="9bbac886-2f20-4c15-ac8f-bd6773befed2"/>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bac886-2f20-4c15-ac8f-bd6773befe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67A1D9F-68E3-48E1-9304-07AB17BB96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bac886-2f20-4c15-ac8f-bd6773befe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C84AC8C-6DCB-4069-A88D-C69BB9BCEC71}">
  <ds:schemaRefs>
    <ds:schemaRef ds:uri="http://schemas.microsoft.com/sharepoint/v3/contenttype/forms"/>
  </ds:schemaRefs>
</ds:datastoreItem>
</file>

<file path=customXml/itemProps3.xml><?xml version="1.0" encoding="utf-8"?>
<ds:datastoreItem xmlns:ds="http://schemas.openxmlformats.org/officeDocument/2006/customXml" ds:itemID="{FE478BDA-4488-45B0-8697-742797AB1258}">
  <ds:schemaRefs>
    <ds:schemaRef ds:uri="http://purl.org/dc/terms/"/>
    <ds:schemaRef ds:uri="9bbac886-2f20-4c15-ac8f-bd6773befed2"/>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58</vt:i4>
      </vt:variant>
    </vt:vector>
  </HeadingPairs>
  <TitlesOfParts>
    <vt:vector size="96" baseType="lpstr">
      <vt:lpstr>INTERFACE</vt:lpstr>
      <vt:lpstr>Cover</vt:lpstr>
      <vt:lpstr>Drivers Tabs-&gt;</vt:lpstr>
      <vt:lpstr>Input</vt:lpstr>
      <vt:lpstr>Debt &amp; Cust Dep</vt:lpstr>
      <vt:lpstr>Input Plant</vt:lpstr>
      <vt:lpstr>Input Seg of CWIP</vt:lpstr>
      <vt:lpstr>Input Tax Rate</vt:lpstr>
      <vt:lpstr>Input WFNG</vt:lpstr>
      <vt:lpstr>Input IS ACCTS</vt:lpstr>
      <vt:lpstr>Input BS ACCTS</vt:lpstr>
      <vt:lpstr>Model Tabs -&gt;</vt:lpstr>
      <vt:lpstr>Bal Sheet</vt:lpstr>
      <vt:lpstr>IncomeStmt</vt:lpstr>
      <vt:lpstr>Cap Str 54.7%</vt:lpstr>
      <vt:lpstr>Int Synch</vt:lpstr>
      <vt:lpstr>Output Tabs-&gt;</vt:lpstr>
      <vt:lpstr>Market to Reg ROE</vt:lpstr>
      <vt:lpstr>Report</vt:lpstr>
      <vt:lpstr>Reconcil</vt:lpstr>
      <vt:lpstr>Comparison Report Tabs-&gt;</vt:lpstr>
      <vt:lpstr>COMP Prior Yr</vt:lpstr>
      <vt:lpstr>COMP Final Bud</vt:lpstr>
      <vt:lpstr>COMP Q1F Qrtly</vt:lpstr>
      <vt:lpstr>COMP Bud Qrtly</vt:lpstr>
      <vt:lpstr>COMP Q3F</vt:lpstr>
      <vt:lpstr>NOT UPDATED ---------&gt;</vt:lpstr>
      <vt:lpstr>Working Cap Comparison</vt:lpstr>
      <vt:lpstr>Report YE</vt:lpstr>
      <vt:lpstr>Reconcil YE</vt:lpstr>
      <vt:lpstr>AFUDC Sch A </vt:lpstr>
      <vt:lpstr>AFUDC Sch B</vt:lpstr>
      <vt:lpstr>AFUDC Sch C</vt:lpstr>
      <vt:lpstr>ROE Comparison</vt:lpstr>
      <vt:lpstr>COMP Org Bud Qrtly</vt:lpstr>
      <vt:lpstr>COMP Orginal Bud</vt:lpstr>
      <vt:lpstr>COMP Qrt vs prior Yr Qtr</vt:lpstr>
      <vt:lpstr>COMP 5+7F</vt:lpstr>
      <vt:lpstr>Bal_Sheet</vt:lpstr>
      <vt:lpstr>Interest_synch</vt:lpstr>
      <vt:lpstr>'AFUDC Sch A '!Print_Area</vt:lpstr>
      <vt:lpstr>'AFUDC Sch B'!Print_Area</vt:lpstr>
      <vt:lpstr>'AFUDC Sch C'!Print_Area</vt:lpstr>
      <vt:lpstr>'Bal Sheet'!Print_Area</vt:lpstr>
      <vt:lpstr>'COMP 5+7F'!Print_Area</vt:lpstr>
      <vt:lpstr>'COMP Bud Qrtly'!Print_Area</vt:lpstr>
      <vt:lpstr>'COMP Final Bud'!Print_Area</vt:lpstr>
      <vt:lpstr>'COMP Org Bud Qrtly'!Print_Area</vt:lpstr>
      <vt:lpstr>'COMP Orginal Bud'!Print_Area</vt:lpstr>
      <vt:lpstr>'COMP Prior Yr'!Print_Area</vt:lpstr>
      <vt:lpstr>'COMP Q1F Qrtly'!Print_Area</vt:lpstr>
      <vt:lpstr>'COMP Q3F'!Print_Area</vt:lpstr>
      <vt:lpstr>'COMP Qrt vs prior Yr Qtr'!Print_Area</vt:lpstr>
      <vt:lpstr>'Debt &amp; Cust Dep'!Print_Area</vt:lpstr>
      <vt:lpstr>IncomeStmt!Print_Area</vt:lpstr>
      <vt:lpstr>Input!Print_Area</vt:lpstr>
      <vt:lpstr>'Input IS ACCTS'!Print_Area</vt:lpstr>
      <vt:lpstr>'Input Plant'!Print_Area</vt:lpstr>
      <vt:lpstr>'Input WFNG'!Print_Area</vt:lpstr>
      <vt:lpstr>'Int Synch'!Print_Area</vt:lpstr>
      <vt:lpstr>'Market to Reg ROE'!Print_Area</vt:lpstr>
      <vt:lpstr>Reconcil!Print_Area</vt:lpstr>
      <vt:lpstr>Report!Print_Area</vt:lpstr>
      <vt:lpstr>'Report YE'!Print_Area</vt:lpstr>
      <vt:lpstr>'ROE Comparison'!Print_Area</vt:lpstr>
      <vt:lpstr>'Working Cap Comparison'!Print_Area</vt:lpstr>
      <vt:lpstr>'Bal Sheet'!Print_Titles</vt:lpstr>
      <vt:lpstr>'Input WFNG'!Print_Titles</vt:lpstr>
      <vt:lpstr>Reconcil_Average</vt:lpstr>
      <vt:lpstr>Reconcil_year_end</vt:lpstr>
      <vt:lpstr>rngCopyMacro</vt:lpstr>
      <vt:lpstr>'COMP 5+7F'!ROE_COMPARISON</vt:lpstr>
      <vt:lpstr>'COMP Bud Qrtly'!ROE_COMPARISON</vt:lpstr>
      <vt:lpstr>'COMP Final Bud'!ROE_COMPARISON</vt:lpstr>
      <vt:lpstr>'COMP Org Bud Qrtly'!ROE_COMPARISON</vt:lpstr>
      <vt:lpstr>'COMP Orginal Bud'!ROE_COMPARISON</vt:lpstr>
      <vt:lpstr>'COMP Prior Yr'!ROE_COMPARISON</vt:lpstr>
      <vt:lpstr>'COMP Q1F Qrtly'!ROE_COMPARISON</vt:lpstr>
      <vt:lpstr>'COMP Q3F'!ROE_COMPARISON</vt:lpstr>
      <vt:lpstr>'COMP Qrt vs prior Yr Qtr'!ROE_COMPARISON</vt:lpstr>
      <vt:lpstr>'Report YE'!Sched_1</vt:lpstr>
      <vt:lpstr>Sched_1</vt:lpstr>
      <vt:lpstr>'Report YE'!Sched_2</vt:lpstr>
      <vt:lpstr>Sched_2</vt:lpstr>
      <vt:lpstr>'Report YE'!Sched_3</vt:lpstr>
      <vt:lpstr>Sched_3</vt:lpstr>
      <vt:lpstr>'Report YE'!Sched_4</vt:lpstr>
      <vt:lpstr>Sched_4</vt:lpstr>
      <vt:lpstr>'Report YE'!Sched_5</vt:lpstr>
      <vt:lpstr>Sched_5</vt:lpstr>
      <vt:lpstr>'Report YE'!Sched_5_2</vt:lpstr>
      <vt:lpstr>Sched_5_2</vt:lpstr>
      <vt:lpstr>sysLastSave</vt:lpstr>
      <vt:lpstr>sysUserName</vt:lpstr>
      <vt:lpstr>Tolerance</vt:lpstr>
      <vt:lpstr>Working_capital</vt:lpstr>
    </vt:vector>
  </TitlesOfParts>
  <Company>Tampa Electric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Paul Higgins</dc:creator>
  <cp:lastModifiedBy>Chasity Vaughan</cp:lastModifiedBy>
  <cp:lastPrinted>2023-02-07T22:48:01Z</cp:lastPrinted>
  <dcterms:created xsi:type="dcterms:W3CDTF">2002-02-15T14:21:04Z</dcterms:created>
  <dcterms:modified xsi:type="dcterms:W3CDTF">2023-08-25T13:23:27Z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83f872e-d8d7-43ac-9961-0f2ad31e50e5_Enabled">
    <vt:lpwstr>true</vt:lpwstr>
  </property>
  <property fmtid="{D5CDD505-2E9C-101B-9397-08002B2CF9AE}" pid="5" name="MSIP_Label_a83f872e-d8d7-43ac-9961-0f2ad31e50e5_SetDate">
    <vt:lpwstr>2022-01-31T20:59:01Z</vt:lpwstr>
  </property>
  <property fmtid="{D5CDD505-2E9C-101B-9397-08002B2CF9AE}" pid="6" name="MSIP_Label_a83f872e-d8d7-43ac-9961-0f2ad31e50e5_Method">
    <vt:lpwstr>Standard</vt:lpwstr>
  </property>
  <property fmtid="{D5CDD505-2E9C-101B-9397-08002B2CF9AE}" pid="7" name="MSIP_Label_a83f872e-d8d7-43ac-9961-0f2ad31e50e5_Name">
    <vt:lpwstr>a83f872e-d8d7-43ac-9961-0f2ad31e50e5</vt:lpwstr>
  </property>
  <property fmtid="{D5CDD505-2E9C-101B-9397-08002B2CF9AE}" pid="8" name="MSIP_Label_a83f872e-d8d7-43ac-9961-0f2ad31e50e5_SiteId">
    <vt:lpwstr>fa8c194a-f8e2-43c5-bc39-b637579e39e0</vt:lpwstr>
  </property>
  <property fmtid="{D5CDD505-2E9C-101B-9397-08002B2CF9AE}" pid="9" name="MSIP_Label_a83f872e-d8d7-43ac-9961-0f2ad31e50e5_ActionId">
    <vt:lpwstr>53442ea5-9aed-4c36-bb0e-fad644a53637</vt:lpwstr>
  </property>
  <property fmtid="{D5CDD505-2E9C-101B-9397-08002B2CF9AE}" pid="10" name="MSIP_Label_a83f872e-d8d7-43ac-9961-0f2ad31e50e5_ContentBits">
    <vt:lpwstr>0</vt:lpwstr>
  </property>
  <property fmtid="{D5CDD505-2E9C-101B-9397-08002B2CF9AE}" pid="11" name="MSIP_Label_589256c7-9946-44df-b379-51beb93fd2d9_Enabled">
    <vt:lpwstr>true</vt:lpwstr>
  </property>
  <property fmtid="{D5CDD505-2E9C-101B-9397-08002B2CF9AE}" pid="12" name="MSIP_Label_589256c7-9946-44df-b379-51beb93fd2d9_SetDate">
    <vt:lpwstr>2022-03-01T17:17:20Z</vt:lpwstr>
  </property>
  <property fmtid="{D5CDD505-2E9C-101B-9397-08002B2CF9AE}" pid="13" name="MSIP_Label_589256c7-9946-44df-b379-51beb93fd2d9_Method">
    <vt:lpwstr>Privileged</vt:lpwstr>
  </property>
  <property fmtid="{D5CDD505-2E9C-101B-9397-08002B2CF9AE}" pid="14" name="MSIP_Label_589256c7-9946-44df-b379-51beb93fd2d9_Name">
    <vt:lpwstr>589256c7-9946-44df-b379-51beb93fd2d9</vt:lpwstr>
  </property>
  <property fmtid="{D5CDD505-2E9C-101B-9397-08002B2CF9AE}" pid="15" name="MSIP_Label_589256c7-9946-44df-b379-51beb93fd2d9_SiteId">
    <vt:lpwstr>36da45f1-dd2c-4d1f-af13-5abe46b99921</vt:lpwstr>
  </property>
  <property fmtid="{D5CDD505-2E9C-101B-9397-08002B2CF9AE}" pid="16" name="MSIP_Label_589256c7-9946-44df-b379-51beb93fd2d9_ActionId">
    <vt:lpwstr>e20e7b71-3d62-4fa8-ab1f-d94d07fb29ab</vt:lpwstr>
  </property>
  <property fmtid="{D5CDD505-2E9C-101B-9397-08002B2CF9AE}" pid="17" name="MSIP_Label_589256c7-9946-44df-b379-51beb93fd2d9_ContentBits">
    <vt:lpwstr>0</vt:lpwstr>
  </property>
  <property fmtid="{D5CDD505-2E9C-101B-9397-08002B2CF9AE}" pid="18" name="ContentTypeId">
    <vt:lpwstr>0x0101001B9469E761E20748A773F85B33816D32</vt:lpwstr>
  </property>
  <property fmtid="{D5CDD505-2E9C-101B-9397-08002B2CF9AE}" pid="19" name="Order">
    <vt:r8>50400</vt:r8>
  </property>
  <property fmtid="{D5CDD505-2E9C-101B-9397-08002B2CF9AE}" pid="20" name="xd_ProgID">
    <vt:lpwstr/>
  </property>
  <property fmtid="{D5CDD505-2E9C-101B-9397-08002B2CF9AE}" pid="21" name="_SourceUrl">
    <vt:lpwstr/>
  </property>
  <property fmtid="{D5CDD505-2E9C-101B-9397-08002B2CF9AE}" pid="22" name="_SharedFileIndex">
    <vt:lpwstr/>
  </property>
  <property fmtid="{D5CDD505-2E9C-101B-9397-08002B2CF9AE}" pid="23" name="TemplateUrl">
    <vt:lpwstr/>
  </property>
  <property fmtid="{D5CDD505-2E9C-101B-9397-08002B2CF9AE}" pid="24" name="_CopySource">
    <vt:lpwstr>https://caseworksprd.tec.net/1347/RachelParsons_DirectTestimony/Library/Final Supporting Workpapers/SR_Forecast_Dec 2022 Actual_LTF_2022 (use going fwd_interface inclued).xlsm</vt:lpwstr>
  </property>
</Properties>
</file>